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W:\A. Quantitative impact studies &amp; monitoring\Monitoraggio periodico Basilea 3\2022 input dicembre\Ricevuti\"/>
    </mc:Choice>
  </mc:AlternateContent>
  <workbookProtection workbookAlgorithmName="SHA-512" workbookHashValue="+VHUadURFId3umglI0di8SHrmtneVDkfmlMUTFoBExySSk0We4CKlQuXvYNJRkY/XTzTbHDAHgoJhjiVnAh8mQ==" workbookSaltValue="Vx9q0IvD5A1n85Mi+K5zMQ==" workbookSpinCount="100000" lockStructure="1"/>
  <bookViews>
    <workbookView xWindow="0" yWindow="0" windowWidth="23040" windowHeight="9192" tabRatio="928"/>
  </bookViews>
  <sheets>
    <sheet name="Supervisory information" sheetId="126" r:id="rId1"/>
    <sheet name="Checks" sheetId="121" r:id="rId2"/>
    <sheet name="General Info" sheetId="1" r:id="rId3"/>
    <sheet name="EU General Info" sheetId="171" r:id="rId4"/>
    <sheet name="Requirements" sheetId="125" r:id="rId5"/>
    <sheet name="DefCap" sheetId="56" r:id="rId6"/>
    <sheet name="TLAC holdings" sheetId="103" r:id="rId7"/>
    <sheet name="TLAC" sheetId="92" r:id="rId8"/>
    <sheet name="Leverage ratio" sheetId="141" r:id="rId9"/>
    <sheet name="Leverage ratio additional" sheetId="163" r:id="rId10"/>
    <sheet name="NSFR" sheetId="30" state="hidden" r:id="rId11"/>
    <sheet name="Credit risk (SA)" sheetId="123" r:id="rId12"/>
    <sheet name="Credit risk (IRB)" sheetId="124" r:id="rId13"/>
    <sheet name="EU RRE" sheetId="172" r:id="rId14"/>
    <sheet name="Securitisation" sheetId="112" r:id="rId15"/>
    <sheet name="CCR and CVA" sheetId="122" r:id="rId16"/>
    <sheet name="EU CVA" sheetId="173" r:id="rId17"/>
    <sheet name="EUCCP" sheetId="174" r:id="rId18"/>
    <sheet name="TB" sheetId="107" r:id="rId19"/>
    <sheet name="TB risk class" sheetId="167" r:id="rId20"/>
    <sheet name="EU TB SSRM" sheetId="175" r:id="rId21"/>
    <sheet name="TB IMA Backtesting-P&amp;L" sheetId="115" r:id="rId22"/>
    <sheet name="Crypto" sheetId="164" r:id="rId23"/>
    <sheet name="Sovereigns" sheetId="170" r:id="rId24"/>
    <sheet name="OpRisk" sheetId="127" r:id="rId25"/>
    <sheet name="Index" sheetId="177" r:id="rId26"/>
    <sheet name="A. IRRBB results" sheetId="178" r:id="rId27"/>
    <sheet name="B. Balance Sheet Structure" sheetId="179" r:id="rId28"/>
    <sheet name="C. IRRBB Results Breakdown" sheetId="180" r:id="rId29"/>
    <sheet name="D. NMDs Behavioral assumpt" sheetId="181" r:id="rId30"/>
    <sheet name="E. Stratification Retail NMDs" sheetId="182" r:id="rId31"/>
    <sheet name="F. Other Behavioral Models" sheetId="183" r:id="rId32"/>
    <sheet name="G. Basis risk" sheetId="184" r:id="rId33"/>
    <sheet name="H. CSRBB" sheetId="185" r:id="rId34"/>
    <sheet name="I. ECB MP and MT" sheetId="186" r:id="rId35"/>
    <sheet name="J. Qualitative Question_Final" sheetId="187" r:id="rId36"/>
    <sheet name="Parameters" sheetId="20" r:id="rId37"/>
    <sheet name="EU Parameters" sheetId="176" r:id="rId38"/>
    <sheet name="fx_triang" sheetId="168" r:id="rId39"/>
  </sheets>
  <externalReferences>
    <externalReference r:id="rId40"/>
    <externalReference r:id="rId41"/>
  </externalReferences>
  <definedNames>
    <definedName name="_xlnm._FilterDatabase" localSheetId="35" hidden="1">'J. Qualitative Question_Final'!$A$4:$J$69</definedName>
    <definedName name="Accounting" localSheetId="3">Parameters!$D$277:$D$279</definedName>
    <definedName name="Accounting" localSheetId="13">Parameters!$D$277:$D$279</definedName>
    <definedName name="Accounting" localSheetId="20">Parameters!$D$277:$D$279</definedName>
    <definedName name="Accounting" localSheetId="17">Parameters!$D$445:$D$447</definedName>
    <definedName name="Accounting">Parameters!$D$435:$D$437</definedName>
    <definedName name="_xlnm.Print_Area" localSheetId="15">'CCR and CVA'!$A$1:$H$16,'CCR and CVA'!$A$17:$AE$56,'CCR and CVA'!$A$57:$Q$129</definedName>
    <definedName name="_xlnm.Print_Area" localSheetId="1">Checks!$A$1:$T$152,Checks!$A$153:$AP$228,Checks!$A$229:$V$309</definedName>
    <definedName name="_xlnm.Print_Area" localSheetId="12">'Credit risk (IRB)'!$A$1:$CZ$70,'Credit risk (IRB)'!$A$71:$K$81</definedName>
    <definedName name="_xlnm.Print_Area" localSheetId="11">'Credit risk (SA)'!$A$1:$AL$161</definedName>
    <definedName name="_xlnm.Print_Area" localSheetId="22">Crypto!$A$1:$BI$113</definedName>
    <definedName name="_xlnm.Print_Area" localSheetId="5">DefCap!$A$1:$G$124</definedName>
    <definedName name="_xlnm.Print_Area" localSheetId="2">'General Info'!$A$1:$F$90</definedName>
    <definedName name="_xlnm.Print_Area" localSheetId="8">'Leverage ratio'!$1:$154</definedName>
    <definedName name="_xlnm.Print_Area" localSheetId="9">'Leverage ratio additional'!$1:$13</definedName>
    <definedName name="_xlnm.Print_Area" localSheetId="10">NSFR!$A$1:$R$316</definedName>
    <definedName name="_xlnm.Print_Area" localSheetId="24">OpRisk!$A$1:$O$108</definedName>
    <definedName name="_xlnm.Print_Area" localSheetId="36">Parameters!$A:$J</definedName>
    <definedName name="_xlnm.Print_Area" localSheetId="4">Requirements!$A$1:$AB$116,Requirements!$A$117:$K$142</definedName>
    <definedName name="_xlnm.Print_Area" localSheetId="14">Securitisation!$A$1:$T$65</definedName>
    <definedName name="_xlnm.Print_Area" localSheetId="0">'Supervisory information'!$A$1:$E$59</definedName>
    <definedName name="_xlnm.Print_Area" localSheetId="18">TB!$A$1:$L$56,TB!$A$57:$W$153,TB!$A$154:$L$373</definedName>
    <definedName name="_xlnm.Print_Area" localSheetId="21">'TB IMA Backtesting-P&amp;L'!$A$1:$ER$732</definedName>
    <definedName name="_xlnm.Print_Area" localSheetId="19">'TB risk class'!$1:$362,'TB risk class'!$A$363:$K$395</definedName>
    <definedName name="_xlnm.Print_Area" localSheetId="7">TLAC!$A$1:$E$32</definedName>
    <definedName name="_xlnm.Print_Area" localSheetId="6">'TLAC holdings'!$A$1:$G$8</definedName>
    <definedName name="BankType" localSheetId="3">Parameters!$D$280:$D$282</definedName>
    <definedName name="BankType" localSheetId="13">Parameters!$D$280:$D$282</definedName>
    <definedName name="BankType" localSheetId="20">Parameters!$D$280:$D$282</definedName>
    <definedName name="BankType" localSheetId="17">Parameters!$D$448:$D$450</definedName>
    <definedName name="BankType">Parameters!$D$438:$D$440</definedName>
    <definedName name="BankTypeNumeric" localSheetId="3">Parameters!$C$283:$C$289</definedName>
    <definedName name="BankTypeNumeric" localSheetId="13">Parameters!$C$283:$C$289</definedName>
    <definedName name="BankTypeNumeric" localSheetId="20">Parameters!$C$283:$C$289</definedName>
    <definedName name="BankTypeNumeric" localSheetId="17">Parameters!$C$451:$C$458</definedName>
    <definedName name="BankTypeNumeric">Parameters!$C$441:$C$448</definedName>
    <definedName name="Basel12">Parameters!$D$433:$D$434</definedName>
    <definedName name="CCROTC">Parameters!$D$415:$D$417</definedName>
    <definedName name="CCRSFT">Parameters!$D$418:$D$421</definedName>
    <definedName name="CreditRisk">Parameters!$D$422:$D$423</definedName>
    <definedName name="CreditRiskEquity">Parameters!$D$424:$D$425</definedName>
    <definedName name="CRMApproach">Parameters!$D$584:$D$587</definedName>
    <definedName name="CRMCCF" localSheetId="3">Parameters!$D$447:$D$448</definedName>
    <definedName name="CRMCCF" localSheetId="13">Parameters!$D$447:$D$448</definedName>
    <definedName name="CRMCCF" localSheetId="20">Parameters!$D$447:$D$448</definedName>
    <definedName name="CRMCCF" localSheetId="17">Parameters!$D$616:$D$617</definedName>
    <definedName name="CRMCCF">Parameters!$D$606:$D$607</definedName>
    <definedName name="CryptoActivity" localSheetId="3">Parameters!$D$524:$D$544</definedName>
    <definedName name="CryptoActivity" localSheetId="13">Parameters!$D$524:$D$544</definedName>
    <definedName name="CryptoActivity" localSheetId="20">Parameters!$D$524:$D$544</definedName>
    <definedName name="CryptoActivity" localSheetId="17">Parameters!$D$700:$D$724</definedName>
    <definedName name="CryptoActivity">Parameters!$D$698:$D$722</definedName>
    <definedName name="CryptoAssetCLasses" localSheetId="3">Parameters!$D$497:$D$515</definedName>
    <definedName name="CryptoAssetCLasses" localSheetId="13">Parameters!$D$497:$D$515</definedName>
    <definedName name="CryptoAssetCLasses" localSheetId="20">Parameters!$D$497:$D$515</definedName>
    <definedName name="CryptoAssetCLasses" localSheetId="17">Parameters!$D$666:$D$684</definedName>
    <definedName name="CryptoAssetCLasses">Parameters!$D$658:$D$676</definedName>
    <definedName name="CryptoFrequency" localSheetId="3">Parameters!$D$516:$D$520</definedName>
    <definedName name="CryptoFrequency" localSheetId="13">Parameters!$D$516:$D$520</definedName>
    <definedName name="CryptoFrequency" localSheetId="20">Parameters!$D$516:$D$520</definedName>
    <definedName name="CryptoFrequency" localSheetId="17">Parameters!$D$685:$D$689</definedName>
    <definedName name="CryptoFrequency">Parameters!$D$677:$D$681</definedName>
    <definedName name="CryptoGroup" localSheetId="3">Parameters!$D$521:$D$523</definedName>
    <definedName name="CryptoGroup" localSheetId="13">Parameters!$D$521:$D$523</definedName>
    <definedName name="CryptoGroup" localSheetId="20">Parameters!$D$521:$D$523</definedName>
    <definedName name="CryptoGroup" localSheetId="17">Parameters!$D$690:$D$693</definedName>
    <definedName name="CryptoGroup">Parameters!$D$682:$D$685</definedName>
    <definedName name="CryptoHQLA" localSheetId="3">Parameters!$D$545:$D$548</definedName>
    <definedName name="CryptoHQLA" localSheetId="13">Parameters!$D$545:$D$548</definedName>
    <definedName name="CryptoHQLA" localSheetId="20">Parameters!$D$545:$D$548</definedName>
    <definedName name="CryptoHQLA" localSheetId="17">Parameters!$D$725:$D$728</definedName>
    <definedName name="CryptoHQLA">Parameters!$D$723:$D$726</definedName>
    <definedName name="CryptoTicker" localSheetId="3">Parameters!$F$549:$F$650</definedName>
    <definedName name="CryptoTicker" localSheetId="13">Parameters!$F$549:$F$650</definedName>
    <definedName name="CryptoTicker" localSheetId="20">Parameters!$F$549:$F$650</definedName>
    <definedName name="CryptoTicker" localSheetId="17">Parameters!$F$729:$F$830</definedName>
    <definedName name="CryptoTicker">Parameters!$F$727:$F$828</definedName>
    <definedName name="CurrencyMismatch">Parameters!$D$596:$D$597</definedName>
    <definedName name="Enforceability">Parameters!$D$600:$D$603</definedName>
    <definedName name="EUCCPCCRapproachused" localSheetId="17">'EU Parameters'!$D$21:$D$24</definedName>
    <definedName name="EUCCPCCRapproachused">'[1]EU Parameters'!$D$21:$D$24</definedName>
    <definedName name="EUCCPcountryclearingmember" localSheetId="17">'EU Parameters'!$D$25:$D$273</definedName>
    <definedName name="EUCCPcountryclearingmember">'[1]EU Parameters'!$D$25:$D$273</definedName>
    <definedName name="EUCCPownfundsapproach" localSheetId="17">'EU Parameters'!$D$17:$D$20</definedName>
    <definedName name="EUCCPownfundsapproach">'[1]EU Parameters'!$D$17:$D$20</definedName>
    <definedName name="EUCCPparticipation" localSheetId="17">'EU Parameters'!$D$11:$D$14</definedName>
    <definedName name="EUCCPparticipation">'[1]EU Parameters'!$D$11:$D$14</definedName>
    <definedName name="EUCCPreached" localSheetId="17">'EU Parameters'!$D$15:$D$16</definedName>
    <definedName name="EUCCPreached">'[1]EU Parameters'!$D$15:$D$16</definedName>
    <definedName name="EUYesNo">#REF!</definedName>
    <definedName name="Group" localSheetId="3">Parameters!$D$252:$D$253</definedName>
    <definedName name="Group" localSheetId="13">Parameters!$D$252:$D$253</definedName>
    <definedName name="Group" localSheetId="20">Parameters!$D$252:$D$253</definedName>
    <definedName name="Group" localSheetId="17">Parameters!$D$420:$D$421</definedName>
    <definedName name="Group">Parameters!$D$410:$D$411</definedName>
    <definedName name="IndividualGroup">Parameters!$D$580:$D$581</definedName>
    <definedName name="IQ_CH">110000</definedName>
    <definedName name="IQ_CQ">5000</definedName>
    <definedName name="IQ_CY">10000</definedName>
    <definedName name="IQ_DAILY">500000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NTM">6000</definedName>
    <definedName name="IQ_TODAY">0</definedName>
    <definedName name="IQ_WEEK">50000</definedName>
    <definedName name="IQ_YTD">3000</definedName>
    <definedName name="IQ_YTDMONTH">130000</definedName>
    <definedName name="Jurisdiction">Parameters!$D$598:$D$599</definedName>
    <definedName name="LRPanelMfrequencyM">Parameters!$D$451:$D$453</definedName>
    <definedName name="LRPanelMfrequencyO">Parameters!$D$451:$D$454</definedName>
    <definedName name="LRPanelMfrequencyQ">Parameters!$D$451:$D$454</definedName>
    <definedName name="MethodTradeExposures">Parameters!$D$588:$D$591</definedName>
    <definedName name="ObservedBestEstimates">Parameters!$D$582:$D$583</definedName>
    <definedName name="OpRisk">Parameters!$D$426:$D$429</definedName>
    <definedName name="OpRiskData" localSheetId="3">Parameters!$D$493:$D$496</definedName>
    <definedName name="OpRiskData" localSheetId="13">Parameters!$D$493:$D$496</definedName>
    <definedName name="OpRiskData" localSheetId="20">Parameters!$D$493:$D$496</definedName>
    <definedName name="OpRiskData" localSheetId="17">Parameters!$D$662:$D$665</definedName>
    <definedName name="OpRiskData">Parameters!$D$654:$D$657</definedName>
    <definedName name="OpRiskLossThreshold" localSheetId="3">Parameters!$D$272:$D$274</definedName>
    <definedName name="OpRiskLossThreshold" localSheetId="13">Parameters!$D$272:$D$274</definedName>
    <definedName name="OpRiskLossThreshold" localSheetId="20">Parameters!$D$272:$D$274</definedName>
    <definedName name="OpRiskLossThreshold" localSheetId="17">Parameters!$D$440:$D$442</definedName>
    <definedName name="OpRiskLossThreshold">Parameters!$D$430:$D$432</definedName>
    <definedName name="QNumeric100">Parameters!$C$477:$C$576</definedName>
    <definedName name="QNumeric11">Parameters!$C$477:$C$487</definedName>
    <definedName name="QNumeric14">Parameters!$C$477:$C$490</definedName>
    <definedName name="QNumeric3">Parameters!$C$477:$C$479</definedName>
    <definedName name="QNumeric5">Parameters!$C$477:$C$481</definedName>
    <definedName name="QNumeric6">Parameters!$C$477:$C$482</definedName>
    <definedName name="QNumeric7">Parameters!$C$477:$C$483</definedName>
    <definedName name="QNumeric9">Parameters!$C$477:$C$485</definedName>
    <definedName name="QNumericZ10">Parameters!$C$476:$C$486</definedName>
    <definedName name="QNumericZ100" localSheetId="3">Parameters!$C$317:$C$417</definedName>
    <definedName name="QNumericZ100" localSheetId="13">Parameters!$C$317:$C$417</definedName>
    <definedName name="QNumericZ100" localSheetId="20">Parameters!$C$317:$C$417</definedName>
    <definedName name="QNumericZ100" localSheetId="17">Parameters!$C$486:$C$586</definedName>
    <definedName name="QNumericZ100">Parameters!$C$476:$C$576</definedName>
    <definedName name="RegDesks" localSheetId="3">Parameters!$D$296:$D$316</definedName>
    <definedName name="RegDesks" localSheetId="13">Parameters!$D$296:$D$316</definedName>
    <definedName name="RegDesks" localSheetId="20">Parameters!$D$296:$D$316</definedName>
    <definedName name="RegDesks" localSheetId="17">Parameters!$D$465:$D$485</definedName>
    <definedName name="RegDesks">Parameters!$D$455:$D$475</definedName>
    <definedName name="SACCRCEM">Parameters!$D$588:$D$589</definedName>
    <definedName name="SlottingUsage">Parameters!$D$592:$D$595</definedName>
    <definedName name="TBRCCurrency" localSheetId="3">Parameters!$D$452:$D$453</definedName>
    <definedName name="TBRCCurrency" localSheetId="13">Parameters!$D$452:$D$453</definedName>
    <definedName name="TBRCCurrency" localSheetId="20">Parameters!$D$452:$D$453</definedName>
    <definedName name="TBRCCurrency" localSheetId="17">Parameters!$D$621:$D$622</definedName>
    <definedName name="TBRCCurrency">Parameters!$D$611:$D$612</definedName>
    <definedName name="TBRCScalar" localSheetId="3">Parameters!$D$454:$D$456</definedName>
    <definedName name="TBRCScalar" localSheetId="13">Parameters!$D$454:$D$456</definedName>
    <definedName name="TBRCScalar" localSheetId="20">Parameters!$D$454:$D$456</definedName>
    <definedName name="TBRCScalar" localSheetId="17">Parameters!$D$623:$D$625</definedName>
    <definedName name="TBRCScalar">Parameters!$D$615:$D$617</definedName>
    <definedName name="TBreliability">Parameters!$D$613:$D$614</definedName>
    <definedName name="_xlnm.Print_Titles" localSheetId="15">'CCR and CVA'!$A:$B</definedName>
    <definedName name="_xlnm.Print_Titles" localSheetId="1">Checks!$1:$1</definedName>
    <definedName name="_xlnm.Print_Titles" localSheetId="12">'Credit risk (IRB)'!$A:$B</definedName>
    <definedName name="_xlnm.Print_Titles" localSheetId="11">'Credit risk (SA)'!$A:$B</definedName>
    <definedName name="_xlnm.Print_Titles" localSheetId="22">Crypto!$A:$C,Crypto!$1:$10</definedName>
    <definedName name="_xlnm.Print_Titles" localSheetId="2">'General Info'!$A:$B</definedName>
    <definedName name="_xlnm.Print_Titles" localSheetId="8">'Leverage ratio'!$A:$C</definedName>
    <definedName name="_xlnm.Print_Titles" localSheetId="9">'Leverage ratio additional'!$A:$B</definedName>
    <definedName name="_xlnm.Print_Titles" localSheetId="24">OpRisk!$A:$B,OpRisk!$1:$1</definedName>
    <definedName name="_xlnm.Print_Titles" localSheetId="36">Parameters!$1:$1</definedName>
    <definedName name="_xlnm.Print_Titles" localSheetId="4">Requirements!$A:$B</definedName>
    <definedName name="_xlnm.Print_Titles" localSheetId="0">'Supervisory information'!$A:$B</definedName>
    <definedName name="_xlnm.Print_Titles" localSheetId="18">TB!$A:$E</definedName>
    <definedName name="_xlnm.Print_Titles" localSheetId="21">'TB IMA Backtesting-P&amp;L'!$B:$C</definedName>
    <definedName name="_xlnm.Print_Titles" localSheetId="19">'TB risk class'!$A:$E</definedName>
    <definedName name="UnitT" localSheetId="3">Parameters!$E$254:$F$256</definedName>
    <definedName name="UnitT" localSheetId="13">Parameters!$E$254:$F$256</definedName>
    <definedName name="UnitT" localSheetId="20">Parameters!$E$254:$F$256</definedName>
    <definedName name="UnitT" localSheetId="17">Parameters!$E$422:$F$424</definedName>
    <definedName name="UnitT">Parameters!$E$412:$F$414</definedName>
    <definedName name="UnitW" localSheetId="3">Parameters!$D$254:$D$256</definedName>
    <definedName name="UnitW" localSheetId="13">Parameters!$D$254:$D$256</definedName>
    <definedName name="UnitW" localSheetId="20">Parameters!$D$254:$D$256</definedName>
    <definedName name="UnitW" localSheetId="17">Parameters!$D$422:$D$424</definedName>
    <definedName name="UnitW">Parameters!$D$412:$D$414</definedName>
    <definedName name="YesNo" localSheetId="3">Parameters!$D$249:$D$250</definedName>
    <definedName name="YesNo" localSheetId="13">Parameters!$D$249:$D$250</definedName>
    <definedName name="YesNo" localSheetId="20">Parameters!$D$249:$D$250</definedName>
    <definedName name="YesNo" localSheetId="17">Parameters!$D$417:$D$418</definedName>
    <definedName name="YesNo">Parameters!$D$407:$D$408</definedName>
    <definedName name="YesNoDontKnow" localSheetId="3">Parameters!$D$248:$D$250</definedName>
    <definedName name="YesNoDontKnow" localSheetId="13">Parameters!$D$248:$D$250</definedName>
    <definedName name="YesNoDontKnow" localSheetId="20">Parameters!$D$248:$D$250</definedName>
    <definedName name="YesNoDontKnow" localSheetId="17">Parameters!$D$416:$D$418</definedName>
    <definedName name="YesNoDontKnow">Parameters!$D$406:$D$408</definedName>
    <definedName name="YesNoNA">Parameters!$D$407:$D$409</definedName>
    <definedName name="YesNoSimplified" localSheetId="3">Parameters!$D$449:$D$451</definedName>
    <definedName name="YesNoSimplified" localSheetId="13">Parameters!$D$449:$D$451</definedName>
    <definedName name="YesNoSimplified" localSheetId="20">Parameters!$D$449:$D$451</definedName>
    <definedName name="YesNoSimplified" localSheetId="17">Parameters!$D$618:$D$620</definedName>
    <definedName name="YesNoSimplified">Parameters!$D$608:$D$610</definedName>
    <definedName name="Z_3D2E4C4C_55B0_42AD_9B20_28C028F4BEE7_.wvu.Cols" localSheetId="21">'TB IMA Backtesting-P&amp;L'!$KC:$XFD</definedName>
    <definedName name="Z_3D2E4C4C_55B0_42AD_9B20_28C028F4BEE7_.wvu.PrintArea" localSheetId="21">'TB IMA Backtesting-P&amp;L'!$A$1:$ER$732</definedName>
    <definedName name="Z_3D2E4C4C_55B0_42AD_9B20_28C028F4BEE7_.wvu.PrintTitles" localSheetId="21">'TB IMA Backtesting-P&amp;L'!$B:$C</definedName>
    <definedName name="Z_3D2E4C4C_55B0_42AD_9B20_28C028F4BEE7_.wvu.Rows" localSheetId="21">'TB IMA Backtesting-P&amp;L'!$1044:$1048576,'TB IMA Backtesting-P&amp;L'!$733:$837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1" i="123" l="1"/>
  <c r="J41" i="123"/>
  <c r="Z41" i="123"/>
  <c r="X41" i="123"/>
  <c r="J38" i="125"/>
  <c r="I38" i="125"/>
  <c r="G38" i="125"/>
  <c r="F38" i="125"/>
  <c r="D38" i="125"/>
  <c r="C38" i="125"/>
  <c r="G30" i="107" l="1"/>
  <c r="G28" i="107" l="1"/>
  <c r="G38" i="107"/>
  <c r="G37" i="107"/>
  <c r="G35" i="107"/>
  <c r="G34" i="107"/>
  <c r="G33" i="107"/>
  <c r="G32" i="107"/>
  <c r="AL44" i="124" l="1"/>
  <c r="F288" i="123" l="1"/>
  <c r="E288" i="123"/>
  <c r="D288" i="123"/>
  <c r="H265" i="123"/>
  <c r="D270" i="123"/>
  <c r="E270" i="123" s="1"/>
  <c r="F270" i="123" s="1"/>
  <c r="H270" i="123" s="1"/>
  <c r="H269" i="123" s="1"/>
  <c r="O200" i="123"/>
  <c r="N200" i="123"/>
  <c r="M200" i="123"/>
  <c r="O199" i="123"/>
  <c r="N199" i="123"/>
  <c r="M199" i="123"/>
  <c r="D269" i="123" l="1"/>
  <c r="E269" i="123" s="1"/>
  <c r="F269" i="123" s="1"/>
  <c r="AP157" i="124" l="1"/>
  <c r="AQ157" i="124"/>
  <c r="AO157" i="124"/>
  <c r="AO126" i="124"/>
  <c r="AP126" i="124"/>
  <c r="AQ126" i="124"/>
  <c r="AP122" i="124"/>
  <c r="AQ122" i="124"/>
  <c r="AO122" i="124"/>
  <c r="D197" i="124" l="1"/>
  <c r="C197" i="124"/>
  <c r="E197" i="124" s="1"/>
  <c r="J78" i="124"/>
  <c r="I78" i="124"/>
  <c r="C78" i="124"/>
  <c r="BZ54" i="124"/>
  <c r="CF54" i="124" s="1"/>
  <c r="H197" i="124" l="1"/>
  <c r="G197" i="124"/>
  <c r="J197" i="124" s="1"/>
  <c r="AK142" i="124"/>
  <c r="AK159" i="124"/>
  <c r="AH159" i="124"/>
  <c r="AI159" i="124"/>
  <c r="AG159" i="124"/>
  <c r="AH157" i="124"/>
  <c r="AI157" i="124"/>
  <c r="AG157" i="124"/>
  <c r="AH153" i="124"/>
  <c r="AI153" i="124"/>
  <c r="AG153" i="124"/>
  <c r="AM17" i="124" l="1"/>
  <c r="AM65" i="124" s="1"/>
  <c r="AL17" i="124"/>
  <c r="AL65" i="124" s="1"/>
  <c r="D1" i="1" l="1"/>
  <c r="D1" i="126"/>
  <c r="D13" i="183" l="1"/>
  <c r="D6" i="183" l="1"/>
  <c r="B7" i="187"/>
  <c r="B8" i="187"/>
  <c r="B9" i="187" s="1"/>
  <c r="B10" i="187" s="1"/>
  <c r="B11" i="187" s="1"/>
  <c r="B12" i="187" s="1"/>
  <c r="B13" i="187" s="1"/>
  <c r="B14" i="187" s="1"/>
  <c r="B16" i="187" s="1"/>
  <c r="B17" i="187" s="1"/>
  <c r="B18" i="187" s="1"/>
  <c r="B19" i="187" s="1"/>
  <c r="B20" i="187" s="1"/>
  <c r="B21" i="187" s="1"/>
  <c r="B23" i="187" s="1"/>
  <c r="B24" i="187" s="1"/>
  <c r="B25" i="187" s="1"/>
  <c r="B26" i="187" s="1"/>
  <c r="B27" i="187" s="1"/>
  <c r="B28" i="187" s="1"/>
  <c r="B30" i="187" s="1"/>
  <c r="B31" i="187" s="1"/>
  <c r="B32" i="187" s="1"/>
  <c r="B33" i="187" s="1"/>
  <c r="B34" i="187" s="1"/>
  <c r="B36" i="187" s="1"/>
  <c r="B37" i="187" s="1"/>
  <c r="B39" i="187" s="1"/>
  <c r="B46" i="187" s="1"/>
  <c r="B47" i="187" s="1"/>
  <c r="B48" i="187" s="1"/>
  <c r="B50" i="187" s="1"/>
  <c r="B52" i="187" s="1"/>
  <c r="B54" i="187" s="1"/>
  <c r="B55" i="187" s="1"/>
  <c r="B56" i="187" s="1"/>
  <c r="B57" i="187" s="1"/>
  <c r="B58" i="187" s="1"/>
  <c r="B59" i="187" s="1"/>
  <c r="B60" i="187" s="1"/>
  <c r="B61" i="187" s="1"/>
  <c r="B63" i="187" s="1"/>
  <c r="B64" i="187" s="1"/>
  <c r="B65" i="187" s="1"/>
  <c r="B66" i="187" s="1"/>
  <c r="B67" i="187" s="1"/>
  <c r="B68" i="187" s="1"/>
  <c r="B69" i="187" s="1"/>
  <c r="B71" i="187" s="1"/>
  <c r="D11" i="186"/>
  <c r="E11" i="186"/>
  <c r="F11" i="186"/>
  <c r="G11" i="186"/>
  <c r="H11" i="186"/>
  <c r="I11" i="186"/>
  <c r="J12" i="186"/>
  <c r="K12" i="186"/>
  <c r="J13" i="186"/>
  <c r="K13" i="186"/>
  <c r="D14" i="186"/>
  <c r="E14" i="186"/>
  <c r="F14" i="186"/>
  <c r="G14" i="186"/>
  <c r="H14" i="186"/>
  <c r="I14" i="186"/>
  <c r="J16" i="186"/>
  <c r="J14" i="186" s="1"/>
  <c r="K16" i="186"/>
  <c r="K14" i="186" s="1"/>
  <c r="G19" i="185"/>
  <c r="H19" i="185"/>
  <c r="I19" i="185"/>
  <c r="J19" i="185"/>
  <c r="K19" i="185"/>
  <c r="L19" i="185"/>
  <c r="M19" i="185"/>
  <c r="N19" i="185"/>
  <c r="G28" i="185"/>
  <c r="H28" i="185"/>
  <c r="I28" i="185"/>
  <c r="J28" i="185"/>
  <c r="K28" i="185"/>
  <c r="L28" i="185"/>
  <c r="M28" i="185"/>
  <c r="N28" i="185"/>
  <c r="H49" i="185"/>
  <c r="I49" i="185"/>
  <c r="J49" i="185"/>
  <c r="L49" i="185"/>
  <c r="M49" i="185"/>
  <c r="N49" i="185"/>
  <c r="H58" i="185"/>
  <c r="I58" i="185"/>
  <c r="J58" i="185"/>
  <c r="L58" i="185"/>
  <c r="M58" i="185"/>
  <c r="N58" i="185"/>
  <c r="B7" i="182"/>
  <c r="B12" i="182"/>
  <c r="B18" i="182"/>
  <c r="B17" i="182" s="1"/>
  <c r="B23" i="182"/>
  <c r="T6" i="181"/>
  <c r="U6" i="181"/>
  <c r="V6" i="181"/>
  <c r="W6" i="181"/>
  <c r="C7" i="181"/>
  <c r="D7" i="181"/>
  <c r="F7" i="181"/>
  <c r="M7" i="181" s="1"/>
  <c r="H7" i="181"/>
  <c r="J7" i="181"/>
  <c r="S7" i="181" s="1"/>
  <c r="Y7" i="181"/>
  <c r="Z7" i="181"/>
  <c r="AB7" i="181"/>
  <c r="AD7" i="181"/>
  <c r="AL7" i="181" s="1"/>
  <c r="AF7" i="181"/>
  <c r="AO7" i="181" s="1"/>
  <c r="C8" i="181"/>
  <c r="D8" i="181"/>
  <c r="F8" i="181"/>
  <c r="M8" i="181" s="1"/>
  <c r="H8" i="181"/>
  <c r="P8" i="181" s="1"/>
  <c r="J8" i="181"/>
  <c r="S8" i="181" s="1"/>
  <c r="Y8" i="181"/>
  <c r="Z8" i="181"/>
  <c r="AB8" i="181"/>
  <c r="AI8" i="181" s="1"/>
  <c r="AD8" i="181"/>
  <c r="AL8" i="181" s="1"/>
  <c r="AF8" i="181"/>
  <c r="AO8" i="181" s="1"/>
  <c r="C9" i="181"/>
  <c r="D9" i="181"/>
  <c r="F9" i="181"/>
  <c r="M9" i="181" s="1"/>
  <c r="H9" i="181"/>
  <c r="P9" i="181" s="1"/>
  <c r="J9" i="181"/>
  <c r="S9" i="181" s="1"/>
  <c r="Y9" i="181"/>
  <c r="Z9" i="181"/>
  <c r="AB9" i="181"/>
  <c r="AI9" i="181" s="1"/>
  <c r="AD9" i="181"/>
  <c r="AL9" i="181" s="1"/>
  <c r="AF9" i="181"/>
  <c r="AO9" i="181" s="1"/>
  <c r="T10" i="181"/>
  <c r="U10" i="181"/>
  <c r="V10" i="181"/>
  <c r="W10" i="181"/>
  <c r="C11" i="181"/>
  <c r="D11" i="181"/>
  <c r="F11" i="181"/>
  <c r="M11" i="181" s="1"/>
  <c r="H11" i="181"/>
  <c r="J11" i="181"/>
  <c r="S11" i="181" s="1"/>
  <c r="Y11" i="181"/>
  <c r="Z11" i="181"/>
  <c r="AB11" i="181"/>
  <c r="AI11" i="181" s="1"/>
  <c r="AD11" i="181"/>
  <c r="AL11" i="181" s="1"/>
  <c r="AF11" i="181"/>
  <c r="AO11" i="181"/>
  <c r="C12" i="181"/>
  <c r="D12" i="181"/>
  <c r="F12" i="181"/>
  <c r="M12" i="181" s="1"/>
  <c r="H12" i="181"/>
  <c r="P12" i="181" s="1"/>
  <c r="J12" i="181"/>
  <c r="S12" i="181" s="1"/>
  <c r="Y12" i="181"/>
  <c r="Z12" i="181"/>
  <c r="AB12" i="181"/>
  <c r="AI12" i="181" s="1"/>
  <c r="AD12" i="181"/>
  <c r="AL12" i="181" s="1"/>
  <c r="AF12" i="181"/>
  <c r="AO12" i="181" s="1"/>
  <c r="C13" i="181"/>
  <c r="D13" i="181"/>
  <c r="F13" i="181"/>
  <c r="M13" i="181" s="1"/>
  <c r="H13" i="181"/>
  <c r="P13" i="181" s="1"/>
  <c r="J13" i="181"/>
  <c r="S13" i="181" s="1"/>
  <c r="Y13" i="181"/>
  <c r="Z13" i="181"/>
  <c r="AB13" i="181"/>
  <c r="AI13" i="181" s="1"/>
  <c r="AD13" i="181"/>
  <c r="AL13" i="181" s="1"/>
  <c r="AF13" i="181"/>
  <c r="AO13" i="181" s="1"/>
  <c r="T14" i="181"/>
  <c r="U14" i="181"/>
  <c r="V14" i="181"/>
  <c r="W14" i="181"/>
  <c r="C15" i="181"/>
  <c r="D15" i="181"/>
  <c r="F15" i="181"/>
  <c r="M15" i="181" s="1"/>
  <c r="H15" i="181"/>
  <c r="J15" i="181"/>
  <c r="S15" i="181" s="1"/>
  <c r="Y15" i="181"/>
  <c r="Z15" i="181"/>
  <c r="AB15" i="181"/>
  <c r="AI15" i="181" s="1"/>
  <c r="AD15" i="181"/>
  <c r="AL15" i="181" s="1"/>
  <c r="AF15" i="181"/>
  <c r="AO15" i="181" s="1"/>
  <c r="C16" i="181"/>
  <c r="D16" i="181"/>
  <c r="F16" i="181"/>
  <c r="M16" i="181" s="1"/>
  <c r="H16" i="181"/>
  <c r="P16" i="181" s="1"/>
  <c r="J16" i="181"/>
  <c r="S16" i="181" s="1"/>
  <c r="Y16" i="181"/>
  <c r="Z16" i="181"/>
  <c r="AB16" i="181"/>
  <c r="AI16" i="181" s="1"/>
  <c r="AD16" i="181"/>
  <c r="AL16" i="181" s="1"/>
  <c r="AF16" i="181"/>
  <c r="AO16" i="181" s="1"/>
  <c r="C17" i="181"/>
  <c r="D17" i="181"/>
  <c r="F17" i="181"/>
  <c r="M17" i="181" s="1"/>
  <c r="H17" i="181"/>
  <c r="P17" i="181" s="1"/>
  <c r="J17" i="181"/>
  <c r="S17" i="181" s="1"/>
  <c r="Y17" i="181"/>
  <c r="Z17" i="181"/>
  <c r="AB17" i="181"/>
  <c r="AI17" i="181" s="1"/>
  <c r="AD17" i="181"/>
  <c r="AL17" i="181" s="1"/>
  <c r="AF17" i="181"/>
  <c r="AO17" i="181" s="1"/>
  <c r="W18" i="181"/>
  <c r="C19" i="181"/>
  <c r="D19" i="181"/>
  <c r="D40" i="181" s="1"/>
  <c r="F19" i="181"/>
  <c r="M19" i="181" s="1"/>
  <c r="H19" i="181"/>
  <c r="J19" i="181"/>
  <c r="S19" i="181"/>
  <c r="Y19" i="181"/>
  <c r="Y40" i="181" s="1"/>
  <c r="Z19" i="181"/>
  <c r="Z40" i="181" s="1"/>
  <c r="AB19" i="181"/>
  <c r="AI19" i="181" s="1"/>
  <c r="AD19" i="181"/>
  <c r="AL19" i="181" s="1"/>
  <c r="AF19" i="181"/>
  <c r="AO19" i="181" s="1"/>
  <c r="C20" i="181"/>
  <c r="D20" i="181"/>
  <c r="E20" i="181"/>
  <c r="F20" i="181" s="1"/>
  <c r="G20" i="181"/>
  <c r="H20" i="181"/>
  <c r="I20" i="181"/>
  <c r="J20" i="181" s="1"/>
  <c r="K20" i="181"/>
  <c r="L20" i="181"/>
  <c r="N20" i="181"/>
  <c r="O20" i="181"/>
  <c r="Q20" i="181"/>
  <c r="R20" i="181"/>
  <c r="T20" i="181"/>
  <c r="T18" i="181" s="1"/>
  <c r="U20" i="181"/>
  <c r="U18" i="181" s="1"/>
  <c r="V20" i="181"/>
  <c r="V18" i="181" s="1"/>
  <c r="W20" i="181"/>
  <c r="Y20" i="181"/>
  <c r="Z20" i="181"/>
  <c r="AA20" i="181"/>
  <c r="AC20" i="181"/>
  <c r="AD20" i="181"/>
  <c r="AE20" i="181"/>
  <c r="AF20" i="181" s="1"/>
  <c r="AG20" i="181"/>
  <c r="AH20" i="181"/>
  <c r="AJ20" i="181"/>
  <c r="AK20" i="181"/>
  <c r="AM20" i="181"/>
  <c r="AN20" i="181"/>
  <c r="C23" i="181"/>
  <c r="G23" i="181" s="1"/>
  <c r="T23" i="181"/>
  <c r="U23" i="181"/>
  <c r="V23" i="181"/>
  <c r="W23" i="181"/>
  <c r="Y23" i="181"/>
  <c r="AC23" i="181" s="1"/>
  <c r="F24" i="181"/>
  <c r="H24" i="181"/>
  <c r="P24" i="181" s="1"/>
  <c r="J24" i="181"/>
  <c r="S24" i="181" s="1"/>
  <c r="AB24" i="181"/>
  <c r="AI24" i="181" s="1"/>
  <c r="AD24" i="181"/>
  <c r="AL24" i="181" s="1"/>
  <c r="AF24" i="181"/>
  <c r="AO24" i="181" s="1"/>
  <c r="F25" i="181"/>
  <c r="M25" i="181" s="1"/>
  <c r="H25" i="181"/>
  <c r="P25" i="181" s="1"/>
  <c r="J25" i="181"/>
  <c r="S25" i="181" s="1"/>
  <c r="AB25" i="181"/>
  <c r="AI25" i="181" s="1"/>
  <c r="AD25" i="181"/>
  <c r="AL25" i="181" s="1"/>
  <c r="AF25" i="181"/>
  <c r="AO25" i="181"/>
  <c r="F26" i="181"/>
  <c r="M26" i="181" s="1"/>
  <c r="H26" i="181"/>
  <c r="P26" i="181" s="1"/>
  <c r="J26" i="181"/>
  <c r="S26" i="181"/>
  <c r="AB26" i="181"/>
  <c r="AI26" i="181" s="1"/>
  <c r="AD26" i="181"/>
  <c r="AL26" i="181" s="1"/>
  <c r="AF26" i="181"/>
  <c r="AO26" i="181" s="1"/>
  <c r="C27" i="181"/>
  <c r="E27" i="181" s="1"/>
  <c r="K27" i="181" s="1"/>
  <c r="T27" i="181"/>
  <c r="U27" i="181"/>
  <c r="V27" i="181"/>
  <c r="W27" i="181"/>
  <c r="Y27" i="181"/>
  <c r="AE27" i="181" s="1"/>
  <c r="AA27" i="181"/>
  <c r="AB27" i="181" s="1"/>
  <c r="F28" i="181"/>
  <c r="M28" i="181" s="1"/>
  <c r="H28" i="181"/>
  <c r="P28" i="181" s="1"/>
  <c r="J28" i="181"/>
  <c r="S28" i="181" s="1"/>
  <c r="AB28" i="181"/>
  <c r="AI28" i="181" s="1"/>
  <c r="AD28" i="181"/>
  <c r="AL28" i="181" s="1"/>
  <c r="AF28" i="181"/>
  <c r="AO28" i="181" s="1"/>
  <c r="F29" i="181"/>
  <c r="M29" i="181" s="1"/>
  <c r="H29" i="181"/>
  <c r="P29" i="181" s="1"/>
  <c r="J29" i="181"/>
  <c r="S29" i="181" s="1"/>
  <c r="AB29" i="181"/>
  <c r="AI29" i="181" s="1"/>
  <c r="AD29" i="181"/>
  <c r="AL29" i="181" s="1"/>
  <c r="AF29" i="181"/>
  <c r="AO29" i="181" s="1"/>
  <c r="F30" i="181"/>
  <c r="M30" i="181" s="1"/>
  <c r="H30" i="181"/>
  <c r="P30" i="181" s="1"/>
  <c r="J30" i="181"/>
  <c r="S30" i="181" s="1"/>
  <c r="AB30" i="181"/>
  <c r="AI30" i="181" s="1"/>
  <c r="AD30" i="181"/>
  <c r="AL30" i="181" s="1"/>
  <c r="AF30" i="181"/>
  <c r="AO30" i="181" s="1"/>
  <c r="C31" i="181"/>
  <c r="D31" i="181" s="1"/>
  <c r="G31" i="181"/>
  <c r="H31" i="181" s="1"/>
  <c r="T31" i="181"/>
  <c r="U31" i="181"/>
  <c r="V31" i="181"/>
  <c r="W31" i="181"/>
  <c r="Y31" i="181"/>
  <c r="AA31" i="181" s="1"/>
  <c r="AB31" i="181" s="1"/>
  <c r="F32" i="181"/>
  <c r="H32" i="181"/>
  <c r="P32" i="181" s="1"/>
  <c r="J32" i="181"/>
  <c r="S32" i="181" s="1"/>
  <c r="AB32" i="181"/>
  <c r="AI32" i="181" s="1"/>
  <c r="AD32" i="181"/>
  <c r="AL32" i="181" s="1"/>
  <c r="AF32" i="181"/>
  <c r="AO32" i="181" s="1"/>
  <c r="F33" i="181"/>
  <c r="M33" i="181" s="1"/>
  <c r="H33" i="181"/>
  <c r="P33" i="181" s="1"/>
  <c r="J33" i="181"/>
  <c r="S33" i="181" s="1"/>
  <c r="AB33" i="181"/>
  <c r="AI33" i="181" s="1"/>
  <c r="AD33" i="181"/>
  <c r="AL33" i="181" s="1"/>
  <c r="AF33" i="181"/>
  <c r="AO33" i="181" s="1"/>
  <c r="F34" i="181"/>
  <c r="M34" i="181" s="1"/>
  <c r="H34" i="181"/>
  <c r="P34" i="181" s="1"/>
  <c r="J34" i="181"/>
  <c r="S34" i="181" s="1"/>
  <c r="AB34" i="181"/>
  <c r="AD34" i="181"/>
  <c r="AL34" i="181" s="1"/>
  <c r="AF34" i="181"/>
  <c r="AO34" i="181" s="1"/>
  <c r="C35" i="181"/>
  <c r="I35" i="181" s="1"/>
  <c r="T35" i="181"/>
  <c r="U35" i="181"/>
  <c r="V35" i="181"/>
  <c r="W35" i="181"/>
  <c r="Y35" i="181"/>
  <c r="Z35" i="181" s="1"/>
  <c r="AC35" i="181"/>
  <c r="AD35" i="181" s="1"/>
  <c r="F36" i="181"/>
  <c r="M36" i="181" s="1"/>
  <c r="H36" i="181"/>
  <c r="J36" i="181"/>
  <c r="S36" i="181" s="1"/>
  <c r="AB36" i="181"/>
  <c r="AI36" i="181" s="1"/>
  <c r="AD36" i="181"/>
  <c r="AL36" i="181" s="1"/>
  <c r="AF36" i="181"/>
  <c r="AO36" i="181" s="1"/>
  <c r="F37" i="181"/>
  <c r="M37" i="181" s="1"/>
  <c r="H37" i="181"/>
  <c r="P37" i="181" s="1"/>
  <c r="J37" i="181"/>
  <c r="S37" i="181" s="1"/>
  <c r="AB37" i="181"/>
  <c r="AI37" i="181" s="1"/>
  <c r="AD37" i="181"/>
  <c r="AL37" i="181" s="1"/>
  <c r="AF37" i="181"/>
  <c r="C40" i="181"/>
  <c r="F40" i="181"/>
  <c r="M40" i="181" s="1"/>
  <c r="H40" i="181"/>
  <c r="P40" i="181" s="1"/>
  <c r="J40" i="181"/>
  <c r="S40" i="181" s="1"/>
  <c r="AB40" i="181"/>
  <c r="AI40" i="181" s="1"/>
  <c r="AD40" i="181"/>
  <c r="AL40" i="181" s="1"/>
  <c r="AF40" i="181"/>
  <c r="AO40" i="181" s="1"/>
  <c r="B8" i="180"/>
  <c r="C8" i="180"/>
  <c r="D8" i="180"/>
  <c r="E8" i="180"/>
  <c r="F8" i="180"/>
  <c r="G8" i="180"/>
  <c r="H8" i="180"/>
  <c r="I8" i="180"/>
  <c r="J8" i="180"/>
  <c r="K8" i="180"/>
  <c r="L8" i="180"/>
  <c r="M8" i="180"/>
  <c r="N8" i="180"/>
  <c r="O8" i="180"/>
  <c r="P8" i="180"/>
  <c r="Q8" i="180"/>
  <c r="R8" i="180"/>
  <c r="S8" i="180"/>
  <c r="T8" i="180"/>
  <c r="U8" i="180"/>
  <c r="AD8" i="180"/>
  <c r="AE8" i="180"/>
  <c r="AF8" i="180"/>
  <c r="AG8" i="180"/>
  <c r="AH8" i="180"/>
  <c r="AI8" i="180"/>
  <c r="AJ8" i="180"/>
  <c r="AK8" i="180"/>
  <c r="AL8" i="180"/>
  <c r="AM8" i="180"/>
  <c r="AN8" i="180"/>
  <c r="AO8" i="180"/>
  <c r="AP8" i="180"/>
  <c r="AQ8" i="180"/>
  <c r="AR8" i="180"/>
  <c r="AS8" i="180"/>
  <c r="AT8" i="180"/>
  <c r="AU8" i="180"/>
  <c r="AV8" i="180"/>
  <c r="AW8" i="180"/>
  <c r="B18" i="180"/>
  <c r="C18" i="180"/>
  <c r="D18" i="180"/>
  <c r="E18" i="180"/>
  <c r="F18" i="180"/>
  <c r="G18" i="180"/>
  <c r="H18" i="180"/>
  <c r="I18" i="180"/>
  <c r="J18" i="180"/>
  <c r="K18" i="180"/>
  <c r="L18" i="180"/>
  <c r="M18" i="180"/>
  <c r="N18" i="180"/>
  <c r="O18" i="180"/>
  <c r="P18" i="180"/>
  <c r="Q18" i="180"/>
  <c r="R18" i="180"/>
  <c r="S18" i="180"/>
  <c r="T18" i="180"/>
  <c r="U18" i="180"/>
  <c r="AD18" i="180"/>
  <c r="AE18" i="180"/>
  <c r="AF18" i="180"/>
  <c r="AG18" i="180"/>
  <c r="AH18" i="180"/>
  <c r="AI18" i="180"/>
  <c r="AJ18" i="180"/>
  <c r="AK18" i="180"/>
  <c r="AL18" i="180"/>
  <c r="AM18" i="180"/>
  <c r="AN18" i="180"/>
  <c r="AO18" i="180"/>
  <c r="AP18" i="180"/>
  <c r="AQ18" i="180"/>
  <c r="AR18" i="180"/>
  <c r="AS18" i="180"/>
  <c r="AT18" i="180"/>
  <c r="AU18" i="180"/>
  <c r="AV18" i="180"/>
  <c r="AW18" i="180"/>
  <c r="B8" i="179"/>
  <c r="C8" i="179"/>
  <c r="D8" i="179"/>
  <c r="E8" i="179"/>
  <c r="F8" i="179"/>
  <c r="G8" i="179"/>
  <c r="H8" i="179"/>
  <c r="I8" i="179"/>
  <c r="J8" i="179"/>
  <c r="K8" i="179"/>
  <c r="L8" i="179"/>
  <c r="M8" i="179"/>
  <c r="N8" i="179"/>
  <c r="O8" i="179"/>
  <c r="P8" i="179"/>
  <c r="Q8" i="179"/>
  <c r="R8" i="179"/>
  <c r="S8" i="179"/>
  <c r="T8" i="179"/>
  <c r="U8" i="179"/>
  <c r="V8" i="179"/>
  <c r="W8" i="179"/>
  <c r="X8" i="179"/>
  <c r="Y8" i="179"/>
  <c r="Z8" i="179"/>
  <c r="AA8" i="179"/>
  <c r="AB8" i="179"/>
  <c r="AC8" i="179"/>
  <c r="AD8" i="179"/>
  <c r="AE8" i="179"/>
  <c r="AF8" i="179"/>
  <c r="AG8" i="179"/>
  <c r="B19" i="179"/>
  <c r="C19" i="179"/>
  <c r="D19" i="179"/>
  <c r="E19" i="179"/>
  <c r="F19" i="179"/>
  <c r="G19" i="179"/>
  <c r="H19" i="179"/>
  <c r="I19" i="179"/>
  <c r="J19" i="179"/>
  <c r="K19" i="179"/>
  <c r="L19" i="179"/>
  <c r="M19" i="179"/>
  <c r="N19" i="179"/>
  <c r="O19" i="179"/>
  <c r="P19" i="179"/>
  <c r="Q19" i="179"/>
  <c r="R19" i="179"/>
  <c r="S19" i="179"/>
  <c r="T19" i="179"/>
  <c r="U19" i="179"/>
  <c r="V19" i="179"/>
  <c r="W19" i="179"/>
  <c r="X19" i="179"/>
  <c r="Y19" i="179"/>
  <c r="Z19" i="179"/>
  <c r="AA19" i="179"/>
  <c r="AB19" i="179"/>
  <c r="AC19" i="179"/>
  <c r="AD19" i="179"/>
  <c r="AE19" i="179"/>
  <c r="AF19" i="179"/>
  <c r="AG19" i="179"/>
  <c r="Y10" i="181" l="1"/>
  <c r="D35" i="181"/>
  <c r="C10" i="181"/>
  <c r="G10" i="181" s="1"/>
  <c r="H10" i="181" s="1"/>
  <c r="Z31" i="181"/>
  <c r="I23" i="181"/>
  <c r="J23" i="181" s="1"/>
  <c r="R23" i="181" s="1"/>
  <c r="P20" i="181"/>
  <c r="Y18" i="181"/>
  <c r="AH27" i="181"/>
  <c r="G27" i="181"/>
  <c r="N27" i="181" s="1"/>
  <c r="C6" i="181"/>
  <c r="I6" i="181" s="1"/>
  <c r="AC31" i="181"/>
  <c r="O10" i="181"/>
  <c r="M32" i="181"/>
  <c r="S20" i="181"/>
  <c r="M20" i="181"/>
  <c r="Y6" i="181"/>
  <c r="AA6" i="181" s="1"/>
  <c r="AB6" i="181" s="1"/>
  <c r="AH31" i="181"/>
  <c r="AG31" i="181"/>
  <c r="E31" i="181"/>
  <c r="C22" i="181"/>
  <c r="AA23" i="181"/>
  <c r="AB23" i="181" s="1"/>
  <c r="E23" i="181"/>
  <c r="K23" i="181" s="1"/>
  <c r="AO20" i="181"/>
  <c r="Z10" i="181"/>
  <c r="AE6" i="181"/>
  <c r="AF6" i="181" s="1"/>
  <c r="AN6" i="181" s="1"/>
  <c r="F1" i="180"/>
  <c r="P36" i="181"/>
  <c r="G35" i="181"/>
  <c r="H35" i="181" s="1"/>
  <c r="O35" i="181" s="1"/>
  <c r="AE31" i="181"/>
  <c r="AM31" i="181" s="1"/>
  <c r="I31" i="181"/>
  <c r="Q31" i="181" s="1"/>
  <c r="AC27" i="181"/>
  <c r="AD27" i="181" s="1"/>
  <c r="AK27" i="181" s="1"/>
  <c r="Z23" i="181"/>
  <c r="D23" i="181"/>
  <c r="AL20" i="181"/>
  <c r="C14" i="181"/>
  <c r="G14" i="181" s="1"/>
  <c r="N14" i="181" s="1"/>
  <c r="I10" i="181"/>
  <c r="J10" i="181" s="1"/>
  <c r="R10" i="181" s="1"/>
  <c r="D10" i="181"/>
  <c r="E1" i="180"/>
  <c r="J11" i="186"/>
  <c r="K11" i="186"/>
  <c r="B6" i="182"/>
  <c r="B5" i="182" s="1"/>
  <c r="AD23" i="181"/>
  <c r="AK23" i="181" s="1"/>
  <c r="AF27" i="181"/>
  <c r="AN27" i="181" s="1"/>
  <c r="H23" i="181"/>
  <c r="O23" i="181" s="1"/>
  <c r="J35" i="181"/>
  <c r="R35" i="181" s="1"/>
  <c r="Q10" i="181"/>
  <c r="E35" i="181"/>
  <c r="K35" i="181" s="1"/>
  <c r="O31" i="181"/>
  <c r="Z27" i="181"/>
  <c r="I27" i="181"/>
  <c r="AJ23" i="181"/>
  <c r="P15" i="181"/>
  <c r="E10" i="181"/>
  <c r="AJ35" i="181"/>
  <c r="AH23" i="181"/>
  <c r="AK35" i="181"/>
  <c r="AM27" i="181"/>
  <c r="F27" i="181"/>
  <c r="L27" i="181" s="1"/>
  <c r="AG23" i="181"/>
  <c r="N31" i="181"/>
  <c r="Q35" i="181"/>
  <c r="AO37" i="181"/>
  <c r="AI34" i="181"/>
  <c r="D27" i="181"/>
  <c r="AE23" i="181"/>
  <c r="N23" i="181"/>
  <c r="Y22" i="181"/>
  <c r="AI7" i="181"/>
  <c r="C18" i="181"/>
  <c r="P11" i="181"/>
  <c r="AE35" i="181"/>
  <c r="N35" i="181"/>
  <c r="M24" i="181"/>
  <c r="Y14" i="181"/>
  <c r="Z14" i="181" s="1"/>
  <c r="AE10" i="181"/>
  <c r="N10" i="181"/>
  <c r="D6" i="181"/>
  <c r="AB20" i="181"/>
  <c r="AI20" i="181" s="1"/>
  <c r="AG27" i="181"/>
  <c r="AC10" i="181"/>
  <c r="AJ10" i="181" s="1"/>
  <c r="P19" i="181"/>
  <c r="AA35" i="181"/>
  <c r="AG35" i="181" s="1"/>
  <c r="D14" i="181"/>
  <c r="AA10" i="181"/>
  <c r="P7" i="181"/>
  <c r="D22" i="173"/>
  <c r="AQ44" i="173"/>
  <c r="AN44" i="173"/>
  <c r="AM44" i="173"/>
  <c r="AO44" i="173" s="1"/>
  <c r="AK44" i="173"/>
  <c r="V44" i="173"/>
  <c r="S44" i="173"/>
  <c r="R44" i="173"/>
  <c r="P44" i="173"/>
  <c r="AN43" i="173"/>
  <c r="AM43" i="173"/>
  <c r="AK43" i="173"/>
  <c r="AH43" i="173"/>
  <c r="AG43" i="173"/>
  <c r="AF43" i="173"/>
  <c r="AE43" i="173"/>
  <c r="AD43" i="173"/>
  <c r="AC43" i="173"/>
  <c r="AA43" i="173"/>
  <c r="Z43" i="173"/>
  <c r="Y43" i="173"/>
  <c r="X43" i="173"/>
  <c r="W43" i="173"/>
  <c r="S43" i="173"/>
  <c r="R43" i="173"/>
  <c r="P43" i="173"/>
  <c r="L1" i="175"/>
  <c r="C1" i="174"/>
  <c r="C1" i="173"/>
  <c r="E13" i="173"/>
  <c r="F13" i="173" s="1"/>
  <c r="E12" i="173"/>
  <c r="F12" i="173" s="1"/>
  <c r="E11" i="173"/>
  <c r="E8" i="173"/>
  <c r="F8" i="173" s="1"/>
  <c r="E7" i="173"/>
  <c r="I42" i="173" s="1"/>
  <c r="M29" i="173"/>
  <c r="M45" i="173"/>
  <c r="L45" i="173"/>
  <c r="M44" i="173"/>
  <c r="L44" i="173"/>
  <c r="M43" i="173"/>
  <c r="L43" i="173"/>
  <c r="M42" i="173"/>
  <c r="L42" i="173"/>
  <c r="M41" i="173"/>
  <c r="L41" i="173"/>
  <c r="M40" i="173"/>
  <c r="L40" i="173"/>
  <c r="M39" i="173"/>
  <c r="L39" i="173"/>
  <c r="M38" i="173"/>
  <c r="L38" i="173"/>
  <c r="M37" i="173"/>
  <c r="L37" i="173"/>
  <c r="M36" i="173"/>
  <c r="L36" i="173"/>
  <c r="M35" i="173"/>
  <c r="L35" i="173"/>
  <c r="M34" i="173"/>
  <c r="L34" i="173"/>
  <c r="M33" i="173"/>
  <c r="L33" i="173"/>
  <c r="E1" i="172"/>
  <c r="I8" i="175"/>
  <c r="N8" i="175" s="1"/>
  <c r="M8" i="175"/>
  <c r="I9" i="175"/>
  <c r="M9" i="175"/>
  <c r="I10" i="175"/>
  <c r="M10" i="175"/>
  <c r="I11" i="175"/>
  <c r="M11" i="175"/>
  <c r="I12" i="175"/>
  <c r="N12" i="175" s="1"/>
  <c r="M12" i="175"/>
  <c r="I13" i="175"/>
  <c r="M13" i="175"/>
  <c r="I14" i="175"/>
  <c r="M14" i="175"/>
  <c r="F15" i="175"/>
  <c r="G15" i="175"/>
  <c r="H15" i="175"/>
  <c r="J15" i="175"/>
  <c r="K15" i="175"/>
  <c r="L15" i="175"/>
  <c r="F24" i="175"/>
  <c r="G24" i="175"/>
  <c r="H24" i="175"/>
  <c r="I24" i="175"/>
  <c r="J24" i="175"/>
  <c r="K24" i="175"/>
  <c r="M24" i="175"/>
  <c r="N24" i="175"/>
  <c r="O24" i="175"/>
  <c r="P24" i="175"/>
  <c r="Q24" i="175"/>
  <c r="R24" i="175"/>
  <c r="I28" i="175"/>
  <c r="J28" i="175"/>
  <c r="K28" i="175"/>
  <c r="P28" i="175"/>
  <c r="Q28" i="175"/>
  <c r="R28" i="175"/>
  <c r="F32" i="175"/>
  <c r="G32" i="175"/>
  <c r="H32" i="175"/>
  <c r="I32" i="175"/>
  <c r="J32" i="175"/>
  <c r="K32" i="175"/>
  <c r="M32" i="175"/>
  <c r="N32" i="175"/>
  <c r="O32" i="175"/>
  <c r="P32" i="175"/>
  <c r="Q32" i="175"/>
  <c r="R32" i="175"/>
  <c r="I36" i="175"/>
  <c r="J36" i="175"/>
  <c r="K36" i="175"/>
  <c r="P36" i="175"/>
  <c r="Q36" i="175"/>
  <c r="R36" i="175"/>
  <c r="F40" i="175"/>
  <c r="G40" i="175"/>
  <c r="H40" i="175"/>
  <c r="I40" i="175"/>
  <c r="J40" i="175"/>
  <c r="K40" i="175"/>
  <c r="M40" i="175"/>
  <c r="N40" i="175"/>
  <c r="O40" i="175"/>
  <c r="P40" i="175"/>
  <c r="Q40" i="175"/>
  <c r="R40" i="175"/>
  <c r="F44" i="175"/>
  <c r="G44" i="175"/>
  <c r="H44" i="175"/>
  <c r="I44" i="175"/>
  <c r="J44" i="175"/>
  <c r="K44" i="175"/>
  <c r="M44" i="175"/>
  <c r="N44" i="175"/>
  <c r="O44" i="175"/>
  <c r="P44" i="175"/>
  <c r="Q44" i="175"/>
  <c r="R44" i="175"/>
  <c r="F48" i="175"/>
  <c r="G48" i="175"/>
  <c r="H48" i="175"/>
  <c r="I48" i="175"/>
  <c r="J48" i="175"/>
  <c r="K48" i="175"/>
  <c r="M48" i="175"/>
  <c r="N48" i="175"/>
  <c r="O48" i="175"/>
  <c r="P48" i="175"/>
  <c r="Q48" i="175"/>
  <c r="R48" i="175"/>
  <c r="F59" i="175"/>
  <c r="G59" i="175"/>
  <c r="H59" i="175"/>
  <c r="I59" i="175"/>
  <c r="J59" i="175"/>
  <c r="K59" i="175"/>
  <c r="M59" i="175"/>
  <c r="N59" i="175"/>
  <c r="O59" i="175"/>
  <c r="P59" i="175"/>
  <c r="Q59" i="175"/>
  <c r="R59" i="175"/>
  <c r="I63" i="175"/>
  <c r="J63" i="175"/>
  <c r="K63" i="175"/>
  <c r="P63" i="175"/>
  <c r="Q63" i="175"/>
  <c r="R63" i="175"/>
  <c r="F67" i="175"/>
  <c r="G67" i="175"/>
  <c r="H67" i="175"/>
  <c r="I67" i="175"/>
  <c r="J67" i="175"/>
  <c r="K67" i="175"/>
  <c r="M67" i="175"/>
  <c r="N67" i="175"/>
  <c r="O67" i="175"/>
  <c r="P67" i="175"/>
  <c r="Q67" i="175"/>
  <c r="R67" i="175"/>
  <c r="I71" i="175"/>
  <c r="J71" i="175"/>
  <c r="K71" i="175"/>
  <c r="P71" i="175"/>
  <c r="Q71" i="175"/>
  <c r="R71" i="175"/>
  <c r="F75" i="175"/>
  <c r="G75" i="175"/>
  <c r="H75" i="175"/>
  <c r="I75" i="175"/>
  <c r="J75" i="175"/>
  <c r="K75" i="175"/>
  <c r="M75" i="175"/>
  <c r="N75" i="175"/>
  <c r="O75" i="175"/>
  <c r="P75" i="175"/>
  <c r="Q75" i="175"/>
  <c r="R75" i="175"/>
  <c r="F79" i="175"/>
  <c r="G79" i="175"/>
  <c r="H79" i="175"/>
  <c r="I79" i="175"/>
  <c r="J79" i="175"/>
  <c r="K79" i="175"/>
  <c r="M79" i="175"/>
  <c r="N79" i="175"/>
  <c r="O79" i="175"/>
  <c r="P79" i="175"/>
  <c r="Q79" i="175"/>
  <c r="R79" i="175"/>
  <c r="F83" i="175"/>
  <c r="G83" i="175"/>
  <c r="H83" i="175"/>
  <c r="I83" i="175"/>
  <c r="J83" i="175"/>
  <c r="K83" i="175"/>
  <c r="M83" i="175"/>
  <c r="N83" i="175"/>
  <c r="O83" i="175"/>
  <c r="P83" i="175"/>
  <c r="Q83" i="175"/>
  <c r="R83" i="175"/>
  <c r="I93" i="175"/>
  <c r="M93" i="175"/>
  <c r="I94" i="175"/>
  <c r="M94" i="175"/>
  <c r="I95" i="175"/>
  <c r="M95" i="175"/>
  <c r="I96" i="175"/>
  <c r="N96" i="175" s="1"/>
  <c r="M96" i="175"/>
  <c r="F97" i="175"/>
  <c r="G97" i="175"/>
  <c r="H97" i="175"/>
  <c r="J97" i="175"/>
  <c r="K97" i="175"/>
  <c r="L97" i="175"/>
  <c r="C16" i="174"/>
  <c r="D16" i="174"/>
  <c r="E16" i="174"/>
  <c r="F16" i="174"/>
  <c r="G16" i="174"/>
  <c r="H16" i="174"/>
  <c r="I16" i="174"/>
  <c r="J16" i="174"/>
  <c r="K16" i="174"/>
  <c r="L16" i="174"/>
  <c r="M16" i="174"/>
  <c r="N16" i="174"/>
  <c r="O16" i="174"/>
  <c r="P16" i="174"/>
  <c r="Q16" i="174"/>
  <c r="R16" i="174"/>
  <c r="S16" i="174"/>
  <c r="T16" i="174"/>
  <c r="U16" i="174"/>
  <c r="V16" i="174"/>
  <c r="W16" i="174"/>
  <c r="X16" i="174"/>
  <c r="Y16" i="174"/>
  <c r="Z16" i="174"/>
  <c r="D19" i="174"/>
  <c r="C23" i="174"/>
  <c r="D23" i="174"/>
  <c r="E23" i="174"/>
  <c r="F23" i="174"/>
  <c r="G23" i="174"/>
  <c r="H23" i="174"/>
  <c r="I23" i="174"/>
  <c r="K23" i="174"/>
  <c r="M23" i="174"/>
  <c r="C40" i="174"/>
  <c r="D40" i="174"/>
  <c r="E40" i="174"/>
  <c r="F40" i="174"/>
  <c r="G40" i="174"/>
  <c r="H40" i="174"/>
  <c r="I40" i="174"/>
  <c r="K40" i="174"/>
  <c r="M40" i="174"/>
  <c r="C46" i="174"/>
  <c r="D46" i="174"/>
  <c r="E46" i="174"/>
  <c r="F46" i="174"/>
  <c r="G46" i="174"/>
  <c r="H46" i="174"/>
  <c r="I46" i="174"/>
  <c r="K46" i="174"/>
  <c r="M46" i="174"/>
  <c r="C49" i="174"/>
  <c r="D49" i="174"/>
  <c r="E49" i="174"/>
  <c r="F49" i="174"/>
  <c r="G49" i="174"/>
  <c r="H49" i="174"/>
  <c r="I49" i="174"/>
  <c r="K49" i="174"/>
  <c r="M49" i="174"/>
  <c r="C52" i="174"/>
  <c r="D52" i="174"/>
  <c r="E52" i="174"/>
  <c r="F52" i="174"/>
  <c r="G52" i="174"/>
  <c r="H52" i="174"/>
  <c r="I52" i="174"/>
  <c r="J52" i="174"/>
  <c r="K52" i="174"/>
  <c r="L52" i="174"/>
  <c r="M52" i="174"/>
  <c r="N52" i="174"/>
  <c r="O52" i="174"/>
  <c r="P52" i="174"/>
  <c r="Q52" i="174"/>
  <c r="B55" i="174"/>
  <c r="C55" i="174"/>
  <c r="D55" i="174"/>
  <c r="E55" i="174"/>
  <c r="F55" i="174"/>
  <c r="G55" i="174"/>
  <c r="H55" i="174"/>
  <c r="I55" i="174"/>
  <c r="J55" i="174"/>
  <c r="K55" i="174"/>
  <c r="L55" i="174"/>
  <c r="M55" i="174"/>
  <c r="N55" i="174"/>
  <c r="O55" i="174"/>
  <c r="P55" i="174"/>
  <c r="Q55" i="174"/>
  <c r="D59" i="174"/>
  <c r="C63" i="174"/>
  <c r="D63" i="174"/>
  <c r="E63" i="174"/>
  <c r="F63" i="174"/>
  <c r="G63" i="174"/>
  <c r="H63" i="174"/>
  <c r="I63" i="174"/>
  <c r="K63" i="174"/>
  <c r="M63" i="174"/>
  <c r="C80" i="174"/>
  <c r="D80" i="174"/>
  <c r="E80" i="174"/>
  <c r="F80" i="174"/>
  <c r="G80" i="174"/>
  <c r="H80" i="174"/>
  <c r="I80" i="174"/>
  <c r="K80" i="174"/>
  <c r="M80" i="174"/>
  <c r="C86" i="174"/>
  <c r="D86" i="174"/>
  <c r="E86" i="174"/>
  <c r="F86" i="174"/>
  <c r="G86" i="174"/>
  <c r="H86" i="174"/>
  <c r="I86" i="174"/>
  <c r="K86" i="174"/>
  <c r="M86" i="174"/>
  <c r="C89" i="174"/>
  <c r="D89" i="174"/>
  <c r="E89" i="174"/>
  <c r="F89" i="174"/>
  <c r="G89" i="174"/>
  <c r="H89" i="174"/>
  <c r="I89" i="174"/>
  <c r="K89" i="174"/>
  <c r="M89" i="174"/>
  <c r="C92" i="174"/>
  <c r="D92" i="174"/>
  <c r="E92" i="174"/>
  <c r="F92" i="174"/>
  <c r="G92" i="174"/>
  <c r="H92" i="174"/>
  <c r="I92" i="174"/>
  <c r="J92" i="174"/>
  <c r="K92" i="174"/>
  <c r="L92" i="174"/>
  <c r="M92" i="174"/>
  <c r="N92" i="174"/>
  <c r="O92" i="174"/>
  <c r="P92" i="174"/>
  <c r="Q92" i="174"/>
  <c r="B95" i="174"/>
  <c r="C95" i="174"/>
  <c r="D95" i="174"/>
  <c r="E95" i="174"/>
  <c r="F95" i="174"/>
  <c r="G95" i="174"/>
  <c r="H95" i="174"/>
  <c r="I95" i="174"/>
  <c r="J95" i="174"/>
  <c r="K95" i="174"/>
  <c r="L95" i="174"/>
  <c r="M95" i="174"/>
  <c r="N95" i="174"/>
  <c r="O95" i="174"/>
  <c r="P95" i="174"/>
  <c r="Q95" i="174"/>
  <c r="D99" i="174"/>
  <c r="C103" i="174"/>
  <c r="D103" i="174"/>
  <c r="E103" i="174"/>
  <c r="F103" i="174"/>
  <c r="G103" i="174"/>
  <c r="H103" i="174"/>
  <c r="I103" i="174"/>
  <c r="K103" i="174"/>
  <c r="M103" i="174"/>
  <c r="C120" i="174"/>
  <c r="D120" i="174"/>
  <c r="E120" i="174"/>
  <c r="F120" i="174"/>
  <c r="G120" i="174"/>
  <c r="H120" i="174"/>
  <c r="I120" i="174"/>
  <c r="K120" i="174"/>
  <c r="M120" i="174"/>
  <c r="C126" i="174"/>
  <c r="D126" i="174"/>
  <c r="E126" i="174"/>
  <c r="F126" i="174"/>
  <c r="G126" i="174"/>
  <c r="H126" i="174"/>
  <c r="I126" i="174"/>
  <c r="K126" i="174"/>
  <c r="M126" i="174"/>
  <c r="C129" i="174"/>
  <c r="D129" i="174"/>
  <c r="E129" i="174"/>
  <c r="F129" i="174"/>
  <c r="G129" i="174"/>
  <c r="H129" i="174"/>
  <c r="I129" i="174"/>
  <c r="K129" i="174"/>
  <c r="M129" i="174"/>
  <c r="C132" i="174"/>
  <c r="D132" i="174"/>
  <c r="E132" i="174"/>
  <c r="F132" i="174"/>
  <c r="G132" i="174"/>
  <c r="H132" i="174"/>
  <c r="I132" i="174"/>
  <c r="J132" i="174"/>
  <c r="K132" i="174"/>
  <c r="L132" i="174"/>
  <c r="M132" i="174"/>
  <c r="N132" i="174"/>
  <c r="O132" i="174"/>
  <c r="P132" i="174"/>
  <c r="Q132" i="174"/>
  <c r="B135" i="174"/>
  <c r="C135" i="174"/>
  <c r="D135" i="174"/>
  <c r="E135" i="174"/>
  <c r="F135" i="174"/>
  <c r="G135" i="174"/>
  <c r="H135" i="174"/>
  <c r="I135" i="174"/>
  <c r="J135" i="174"/>
  <c r="K135" i="174"/>
  <c r="L135" i="174"/>
  <c r="M135" i="174"/>
  <c r="N135" i="174"/>
  <c r="O135" i="174"/>
  <c r="P135" i="174"/>
  <c r="Q135" i="174"/>
  <c r="D139" i="174"/>
  <c r="C143" i="174"/>
  <c r="D143" i="174"/>
  <c r="E143" i="174"/>
  <c r="F143" i="174"/>
  <c r="G143" i="174"/>
  <c r="H143" i="174"/>
  <c r="I143" i="174"/>
  <c r="K143" i="174"/>
  <c r="M143" i="174"/>
  <c r="C160" i="174"/>
  <c r="D160" i="174"/>
  <c r="E160" i="174"/>
  <c r="F160" i="174"/>
  <c r="G160" i="174"/>
  <c r="H160" i="174"/>
  <c r="I160" i="174"/>
  <c r="K160" i="174"/>
  <c r="M160" i="174"/>
  <c r="C166" i="174"/>
  <c r="D166" i="174"/>
  <c r="E166" i="174"/>
  <c r="F166" i="174"/>
  <c r="G166" i="174"/>
  <c r="H166" i="174"/>
  <c r="I166" i="174"/>
  <c r="K166" i="174"/>
  <c r="M166" i="174"/>
  <c r="C169" i="174"/>
  <c r="D169" i="174"/>
  <c r="E169" i="174"/>
  <c r="F169" i="174"/>
  <c r="G169" i="174"/>
  <c r="H169" i="174"/>
  <c r="I169" i="174"/>
  <c r="K169" i="174"/>
  <c r="M169" i="174"/>
  <c r="C172" i="174"/>
  <c r="D172" i="174"/>
  <c r="E172" i="174"/>
  <c r="F172" i="174"/>
  <c r="G172" i="174"/>
  <c r="H172" i="174"/>
  <c r="I172" i="174"/>
  <c r="J172" i="174"/>
  <c r="K172" i="174"/>
  <c r="L172" i="174"/>
  <c r="M172" i="174"/>
  <c r="N172" i="174"/>
  <c r="O172" i="174"/>
  <c r="P172" i="174"/>
  <c r="Q172" i="174"/>
  <c r="B175" i="174"/>
  <c r="C175" i="174"/>
  <c r="D175" i="174"/>
  <c r="E175" i="174"/>
  <c r="F175" i="174"/>
  <c r="G175" i="174"/>
  <c r="H175" i="174"/>
  <c r="I175" i="174"/>
  <c r="J175" i="174"/>
  <c r="K175" i="174"/>
  <c r="L175" i="174"/>
  <c r="M175" i="174"/>
  <c r="N175" i="174"/>
  <c r="O175" i="174"/>
  <c r="P175" i="174"/>
  <c r="Q175" i="174"/>
  <c r="D179" i="174"/>
  <c r="C183" i="174"/>
  <c r="D183" i="174"/>
  <c r="E183" i="174"/>
  <c r="F183" i="174"/>
  <c r="G183" i="174"/>
  <c r="H183" i="174"/>
  <c r="I183" i="174"/>
  <c r="K183" i="174"/>
  <c r="M183" i="174"/>
  <c r="C200" i="174"/>
  <c r="D200" i="174"/>
  <c r="E200" i="174"/>
  <c r="F200" i="174"/>
  <c r="G200" i="174"/>
  <c r="H200" i="174"/>
  <c r="I200" i="174"/>
  <c r="K200" i="174"/>
  <c r="M200" i="174"/>
  <c r="C206" i="174"/>
  <c r="D206" i="174"/>
  <c r="E206" i="174"/>
  <c r="F206" i="174"/>
  <c r="G206" i="174"/>
  <c r="H206" i="174"/>
  <c r="I206" i="174"/>
  <c r="K206" i="174"/>
  <c r="M206" i="174"/>
  <c r="C209" i="174"/>
  <c r="D209" i="174"/>
  <c r="E209" i="174"/>
  <c r="F209" i="174"/>
  <c r="G209" i="174"/>
  <c r="H209" i="174"/>
  <c r="I209" i="174"/>
  <c r="K209" i="174"/>
  <c r="M209" i="174"/>
  <c r="C212" i="174"/>
  <c r="D212" i="174"/>
  <c r="E212" i="174"/>
  <c r="F212" i="174"/>
  <c r="G212" i="174"/>
  <c r="H212" i="174"/>
  <c r="I212" i="174"/>
  <c r="J212" i="174"/>
  <c r="K212" i="174"/>
  <c r="L212" i="174"/>
  <c r="M212" i="174"/>
  <c r="N212" i="174"/>
  <c r="O212" i="174"/>
  <c r="P212" i="174"/>
  <c r="Q212" i="174"/>
  <c r="B215" i="174"/>
  <c r="C215" i="174"/>
  <c r="D215" i="174"/>
  <c r="E215" i="174"/>
  <c r="F215" i="174"/>
  <c r="G215" i="174"/>
  <c r="H215" i="174"/>
  <c r="I215" i="174"/>
  <c r="J215" i="174"/>
  <c r="K215" i="174"/>
  <c r="L215" i="174"/>
  <c r="M215" i="174"/>
  <c r="N215" i="174"/>
  <c r="O215" i="174"/>
  <c r="P215" i="174"/>
  <c r="Q215" i="174"/>
  <c r="D219" i="174"/>
  <c r="C223" i="174"/>
  <c r="D223" i="174"/>
  <c r="E223" i="174"/>
  <c r="F223" i="174"/>
  <c r="G223" i="174"/>
  <c r="H223" i="174"/>
  <c r="I223" i="174"/>
  <c r="K223" i="174"/>
  <c r="M223" i="174"/>
  <c r="C240" i="174"/>
  <c r="D240" i="174"/>
  <c r="E240" i="174"/>
  <c r="F240" i="174"/>
  <c r="G240" i="174"/>
  <c r="H240" i="174"/>
  <c r="I240" i="174"/>
  <c r="K240" i="174"/>
  <c r="M240" i="174"/>
  <c r="C246" i="174"/>
  <c r="D246" i="174"/>
  <c r="E246" i="174"/>
  <c r="F246" i="174"/>
  <c r="G246" i="174"/>
  <c r="H246" i="174"/>
  <c r="I246" i="174"/>
  <c r="K246" i="174"/>
  <c r="M246" i="174"/>
  <c r="C249" i="174"/>
  <c r="D249" i="174"/>
  <c r="E249" i="174"/>
  <c r="F249" i="174"/>
  <c r="G249" i="174"/>
  <c r="H249" i="174"/>
  <c r="I249" i="174"/>
  <c r="K249" i="174"/>
  <c r="M249" i="174"/>
  <c r="C252" i="174"/>
  <c r="D252" i="174"/>
  <c r="E252" i="174"/>
  <c r="F252" i="174"/>
  <c r="G252" i="174"/>
  <c r="H252" i="174"/>
  <c r="I252" i="174"/>
  <c r="J252" i="174"/>
  <c r="K252" i="174"/>
  <c r="L252" i="174"/>
  <c r="M252" i="174"/>
  <c r="N252" i="174"/>
  <c r="O252" i="174"/>
  <c r="P252" i="174"/>
  <c r="Q252" i="174"/>
  <c r="B255" i="174"/>
  <c r="C255" i="174"/>
  <c r="D255" i="174"/>
  <c r="E255" i="174"/>
  <c r="F255" i="174"/>
  <c r="G255" i="174"/>
  <c r="H255" i="174"/>
  <c r="I255" i="174"/>
  <c r="J255" i="174"/>
  <c r="K255" i="174"/>
  <c r="L255" i="174"/>
  <c r="M255" i="174"/>
  <c r="N255" i="174"/>
  <c r="O255" i="174"/>
  <c r="P255" i="174"/>
  <c r="Q255" i="174"/>
  <c r="D259" i="174"/>
  <c r="C263" i="174"/>
  <c r="D263" i="174"/>
  <c r="E263" i="174"/>
  <c r="F263" i="174"/>
  <c r="G263" i="174"/>
  <c r="H263" i="174"/>
  <c r="I263" i="174"/>
  <c r="K263" i="174"/>
  <c r="M263" i="174"/>
  <c r="C280" i="174"/>
  <c r="D280" i="174"/>
  <c r="E280" i="174"/>
  <c r="F280" i="174"/>
  <c r="G280" i="174"/>
  <c r="H280" i="174"/>
  <c r="I280" i="174"/>
  <c r="K280" i="174"/>
  <c r="M280" i="174"/>
  <c r="C286" i="174"/>
  <c r="D286" i="174"/>
  <c r="E286" i="174"/>
  <c r="F286" i="174"/>
  <c r="G286" i="174"/>
  <c r="H286" i="174"/>
  <c r="I286" i="174"/>
  <c r="K286" i="174"/>
  <c r="M286" i="174"/>
  <c r="C289" i="174"/>
  <c r="D289" i="174"/>
  <c r="E289" i="174"/>
  <c r="F289" i="174"/>
  <c r="G289" i="174"/>
  <c r="H289" i="174"/>
  <c r="I289" i="174"/>
  <c r="K289" i="174"/>
  <c r="M289" i="174"/>
  <c r="C292" i="174"/>
  <c r="D292" i="174"/>
  <c r="E292" i="174"/>
  <c r="F292" i="174"/>
  <c r="G292" i="174"/>
  <c r="H292" i="174"/>
  <c r="I292" i="174"/>
  <c r="J292" i="174"/>
  <c r="K292" i="174"/>
  <c r="L292" i="174"/>
  <c r="M292" i="174"/>
  <c r="N292" i="174"/>
  <c r="O292" i="174"/>
  <c r="P292" i="174"/>
  <c r="Q292" i="174"/>
  <c r="B295" i="174"/>
  <c r="C295" i="174"/>
  <c r="D295" i="174"/>
  <c r="E295" i="174"/>
  <c r="F295" i="174"/>
  <c r="G295" i="174"/>
  <c r="H295" i="174"/>
  <c r="I295" i="174"/>
  <c r="J295" i="174"/>
  <c r="K295" i="174"/>
  <c r="L295" i="174"/>
  <c r="M295" i="174"/>
  <c r="N295" i="174"/>
  <c r="O295" i="174"/>
  <c r="P295" i="174"/>
  <c r="Q295" i="174"/>
  <c r="D299" i="174"/>
  <c r="C303" i="174"/>
  <c r="D303" i="174"/>
  <c r="E303" i="174"/>
  <c r="F303" i="174"/>
  <c r="G303" i="174"/>
  <c r="H303" i="174"/>
  <c r="I303" i="174"/>
  <c r="K303" i="174"/>
  <c r="M303" i="174"/>
  <c r="C320" i="174"/>
  <c r="D320" i="174"/>
  <c r="E320" i="174"/>
  <c r="F320" i="174"/>
  <c r="G320" i="174"/>
  <c r="H320" i="174"/>
  <c r="I320" i="174"/>
  <c r="K320" i="174"/>
  <c r="M320" i="174"/>
  <c r="C326" i="174"/>
  <c r="D326" i="174"/>
  <c r="E326" i="174"/>
  <c r="F326" i="174"/>
  <c r="G326" i="174"/>
  <c r="H326" i="174"/>
  <c r="I326" i="174"/>
  <c r="K326" i="174"/>
  <c r="M326" i="174"/>
  <c r="C329" i="174"/>
  <c r="D329" i="174"/>
  <c r="E329" i="174"/>
  <c r="F329" i="174"/>
  <c r="G329" i="174"/>
  <c r="H329" i="174"/>
  <c r="I329" i="174"/>
  <c r="K329" i="174"/>
  <c r="M329" i="174"/>
  <c r="C332" i="174"/>
  <c r="D332" i="174"/>
  <c r="E332" i="174"/>
  <c r="F332" i="174"/>
  <c r="G332" i="174"/>
  <c r="H332" i="174"/>
  <c r="I332" i="174"/>
  <c r="J332" i="174"/>
  <c r="K332" i="174"/>
  <c r="L332" i="174"/>
  <c r="M332" i="174"/>
  <c r="N332" i="174"/>
  <c r="O332" i="174"/>
  <c r="P332" i="174"/>
  <c r="Q332" i="174"/>
  <c r="B335" i="174"/>
  <c r="C335" i="174"/>
  <c r="D335" i="174"/>
  <c r="E335" i="174"/>
  <c r="F335" i="174"/>
  <c r="G335" i="174"/>
  <c r="H335" i="174"/>
  <c r="I335" i="174"/>
  <c r="J335" i="174"/>
  <c r="K335" i="174"/>
  <c r="L335" i="174"/>
  <c r="M335" i="174"/>
  <c r="N335" i="174"/>
  <c r="O335" i="174"/>
  <c r="P335" i="174"/>
  <c r="Q335" i="174"/>
  <c r="D339" i="174"/>
  <c r="C343" i="174"/>
  <c r="D343" i="174"/>
  <c r="E343" i="174"/>
  <c r="F343" i="174"/>
  <c r="G343" i="174"/>
  <c r="H343" i="174"/>
  <c r="I343" i="174"/>
  <c r="K343" i="174"/>
  <c r="M343" i="174"/>
  <c r="C360" i="174"/>
  <c r="D360" i="174"/>
  <c r="E360" i="174"/>
  <c r="F360" i="174"/>
  <c r="G360" i="174"/>
  <c r="H360" i="174"/>
  <c r="I360" i="174"/>
  <c r="K360" i="174"/>
  <c r="M360" i="174"/>
  <c r="C366" i="174"/>
  <c r="D366" i="174"/>
  <c r="E366" i="174"/>
  <c r="F366" i="174"/>
  <c r="G366" i="174"/>
  <c r="H366" i="174"/>
  <c r="I366" i="174"/>
  <c r="K366" i="174"/>
  <c r="M366" i="174"/>
  <c r="C369" i="174"/>
  <c r="D369" i="174"/>
  <c r="E369" i="174"/>
  <c r="F369" i="174"/>
  <c r="G369" i="174"/>
  <c r="H369" i="174"/>
  <c r="I369" i="174"/>
  <c r="K369" i="174"/>
  <c r="M369" i="174"/>
  <c r="C372" i="174"/>
  <c r="D372" i="174"/>
  <c r="E372" i="174"/>
  <c r="F372" i="174"/>
  <c r="G372" i="174"/>
  <c r="H372" i="174"/>
  <c r="I372" i="174"/>
  <c r="J372" i="174"/>
  <c r="K372" i="174"/>
  <c r="L372" i="174"/>
  <c r="M372" i="174"/>
  <c r="N372" i="174"/>
  <c r="O372" i="174"/>
  <c r="P372" i="174"/>
  <c r="Q372" i="174"/>
  <c r="B375" i="174"/>
  <c r="C375" i="174"/>
  <c r="D375" i="174"/>
  <c r="E375" i="174"/>
  <c r="F375" i="174"/>
  <c r="G375" i="174"/>
  <c r="H375" i="174"/>
  <c r="I375" i="174"/>
  <c r="J375" i="174"/>
  <c r="K375" i="174"/>
  <c r="L375" i="174"/>
  <c r="M375" i="174"/>
  <c r="N375" i="174"/>
  <c r="O375" i="174"/>
  <c r="P375" i="174"/>
  <c r="Q375" i="174"/>
  <c r="D379" i="174"/>
  <c r="C383" i="174"/>
  <c r="D383" i="174"/>
  <c r="E383" i="174"/>
  <c r="F383" i="174"/>
  <c r="G383" i="174"/>
  <c r="H383" i="174"/>
  <c r="I383" i="174"/>
  <c r="K383" i="174"/>
  <c r="M383" i="174"/>
  <c r="C400" i="174"/>
  <c r="D400" i="174"/>
  <c r="E400" i="174"/>
  <c r="F400" i="174"/>
  <c r="G400" i="174"/>
  <c r="H400" i="174"/>
  <c r="I400" i="174"/>
  <c r="K400" i="174"/>
  <c r="M400" i="174"/>
  <c r="C406" i="174"/>
  <c r="D406" i="174"/>
  <c r="E406" i="174"/>
  <c r="F406" i="174"/>
  <c r="G406" i="174"/>
  <c r="H406" i="174"/>
  <c r="I406" i="174"/>
  <c r="K406" i="174"/>
  <c r="M406" i="174"/>
  <c r="C409" i="174"/>
  <c r="D409" i="174"/>
  <c r="E409" i="174"/>
  <c r="F409" i="174"/>
  <c r="G409" i="174"/>
  <c r="H409" i="174"/>
  <c r="I409" i="174"/>
  <c r="K409" i="174"/>
  <c r="M409" i="174"/>
  <c r="C412" i="174"/>
  <c r="D412" i="174"/>
  <c r="E412" i="174"/>
  <c r="F412" i="174"/>
  <c r="G412" i="174"/>
  <c r="H412" i="174"/>
  <c r="I412" i="174"/>
  <c r="J412" i="174"/>
  <c r="K412" i="174"/>
  <c r="L412" i="174"/>
  <c r="M412" i="174"/>
  <c r="N412" i="174"/>
  <c r="O412" i="174"/>
  <c r="P412" i="174"/>
  <c r="Q412" i="174"/>
  <c r="B415" i="174"/>
  <c r="C415" i="174"/>
  <c r="D415" i="174"/>
  <c r="E415" i="174"/>
  <c r="F415" i="174"/>
  <c r="G415" i="174"/>
  <c r="H415" i="174"/>
  <c r="I415" i="174"/>
  <c r="J415" i="174"/>
  <c r="K415" i="174"/>
  <c r="L415" i="174"/>
  <c r="M415" i="174"/>
  <c r="N415" i="174"/>
  <c r="O415" i="174"/>
  <c r="P415" i="174"/>
  <c r="Q415" i="174"/>
  <c r="D419" i="174"/>
  <c r="C423" i="174"/>
  <c r="D423" i="174"/>
  <c r="E423" i="174"/>
  <c r="F423" i="174"/>
  <c r="G423" i="174"/>
  <c r="H423" i="174"/>
  <c r="I423" i="174"/>
  <c r="K423" i="174"/>
  <c r="M423" i="174"/>
  <c r="C440" i="174"/>
  <c r="D440" i="174"/>
  <c r="E440" i="174"/>
  <c r="F440" i="174"/>
  <c r="G440" i="174"/>
  <c r="H440" i="174"/>
  <c r="I440" i="174"/>
  <c r="K440" i="174"/>
  <c r="M440" i="174"/>
  <c r="C446" i="174"/>
  <c r="D446" i="174"/>
  <c r="E446" i="174"/>
  <c r="F446" i="174"/>
  <c r="G446" i="174"/>
  <c r="H446" i="174"/>
  <c r="I446" i="174"/>
  <c r="K446" i="174"/>
  <c r="M446" i="174"/>
  <c r="C449" i="174"/>
  <c r="D449" i="174"/>
  <c r="E449" i="174"/>
  <c r="F449" i="174"/>
  <c r="G449" i="174"/>
  <c r="H449" i="174"/>
  <c r="I449" i="174"/>
  <c r="K449" i="174"/>
  <c r="M449" i="174"/>
  <c r="C452" i="174"/>
  <c r="D452" i="174"/>
  <c r="E452" i="174"/>
  <c r="F452" i="174"/>
  <c r="G452" i="174"/>
  <c r="H452" i="174"/>
  <c r="I452" i="174"/>
  <c r="J452" i="174"/>
  <c r="K452" i="174"/>
  <c r="L452" i="174"/>
  <c r="M452" i="174"/>
  <c r="N452" i="174"/>
  <c r="O452" i="174"/>
  <c r="P452" i="174"/>
  <c r="Q452" i="174"/>
  <c r="B455" i="174"/>
  <c r="C455" i="174"/>
  <c r="D455" i="174"/>
  <c r="E455" i="174"/>
  <c r="F455" i="174"/>
  <c r="G455" i="174"/>
  <c r="H455" i="174"/>
  <c r="I455" i="174"/>
  <c r="J455" i="174"/>
  <c r="K455" i="174"/>
  <c r="L455" i="174"/>
  <c r="M455" i="174"/>
  <c r="N455" i="174"/>
  <c r="O455" i="174"/>
  <c r="P455" i="174"/>
  <c r="Q455" i="174"/>
  <c r="D459" i="174"/>
  <c r="C463" i="174"/>
  <c r="D463" i="174"/>
  <c r="E463" i="174"/>
  <c r="F463" i="174"/>
  <c r="G463" i="174"/>
  <c r="H463" i="174"/>
  <c r="I463" i="174"/>
  <c r="K463" i="174"/>
  <c r="M463" i="174"/>
  <c r="C480" i="174"/>
  <c r="D480" i="174"/>
  <c r="E480" i="174"/>
  <c r="F480" i="174"/>
  <c r="G480" i="174"/>
  <c r="H480" i="174"/>
  <c r="I480" i="174"/>
  <c r="K480" i="174"/>
  <c r="M480" i="174"/>
  <c r="C486" i="174"/>
  <c r="D486" i="174"/>
  <c r="E486" i="174"/>
  <c r="F486" i="174"/>
  <c r="G486" i="174"/>
  <c r="H486" i="174"/>
  <c r="I486" i="174"/>
  <c r="K486" i="174"/>
  <c r="M486" i="174"/>
  <c r="C489" i="174"/>
  <c r="D489" i="174"/>
  <c r="E489" i="174"/>
  <c r="F489" i="174"/>
  <c r="G489" i="174"/>
  <c r="H489" i="174"/>
  <c r="I489" i="174"/>
  <c r="K489" i="174"/>
  <c r="M489" i="174"/>
  <c r="C492" i="174"/>
  <c r="D492" i="174"/>
  <c r="E492" i="174"/>
  <c r="F492" i="174"/>
  <c r="G492" i="174"/>
  <c r="H492" i="174"/>
  <c r="I492" i="174"/>
  <c r="J492" i="174"/>
  <c r="K492" i="174"/>
  <c r="L492" i="174"/>
  <c r="M492" i="174"/>
  <c r="N492" i="174"/>
  <c r="O492" i="174"/>
  <c r="P492" i="174"/>
  <c r="Q492" i="174"/>
  <c r="B495" i="174"/>
  <c r="C495" i="174"/>
  <c r="D495" i="174"/>
  <c r="E495" i="174"/>
  <c r="F495" i="174"/>
  <c r="G495" i="174"/>
  <c r="H495" i="174"/>
  <c r="I495" i="174"/>
  <c r="J495" i="174"/>
  <c r="K495" i="174"/>
  <c r="L495" i="174"/>
  <c r="M495" i="174"/>
  <c r="N495" i="174"/>
  <c r="O495" i="174"/>
  <c r="P495" i="174"/>
  <c r="Q495" i="174"/>
  <c r="D499" i="174"/>
  <c r="C503" i="174"/>
  <c r="D503" i="174"/>
  <c r="E503" i="174"/>
  <c r="F503" i="174"/>
  <c r="G503" i="174"/>
  <c r="H503" i="174"/>
  <c r="I503" i="174"/>
  <c r="K503" i="174"/>
  <c r="M503" i="174"/>
  <c r="C520" i="174"/>
  <c r="D520" i="174"/>
  <c r="E520" i="174"/>
  <c r="F520" i="174"/>
  <c r="G520" i="174"/>
  <c r="H520" i="174"/>
  <c r="I520" i="174"/>
  <c r="K520" i="174"/>
  <c r="M520" i="174"/>
  <c r="C526" i="174"/>
  <c r="D526" i="174"/>
  <c r="E526" i="174"/>
  <c r="F526" i="174"/>
  <c r="G526" i="174"/>
  <c r="H526" i="174"/>
  <c r="I526" i="174"/>
  <c r="K526" i="174"/>
  <c r="M526" i="174"/>
  <c r="C529" i="174"/>
  <c r="D529" i="174"/>
  <c r="E529" i="174"/>
  <c r="F529" i="174"/>
  <c r="G529" i="174"/>
  <c r="H529" i="174"/>
  <c r="I529" i="174"/>
  <c r="K529" i="174"/>
  <c r="M529" i="174"/>
  <c r="C532" i="174"/>
  <c r="D532" i="174"/>
  <c r="E532" i="174"/>
  <c r="F532" i="174"/>
  <c r="G532" i="174"/>
  <c r="H532" i="174"/>
  <c r="I532" i="174"/>
  <c r="J532" i="174"/>
  <c r="K532" i="174"/>
  <c r="L532" i="174"/>
  <c r="M532" i="174"/>
  <c r="N532" i="174"/>
  <c r="O532" i="174"/>
  <c r="P532" i="174"/>
  <c r="Q532" i="174"/>
  <c r="B535" i="174"/>
  <c r="C535" i="174"/>
  <c r="D535" i="174"/>
  <c r="E535" i="174"/>
  <c r="F535" i="174"/>
  <c r="G535" i="174"/>
  <c r="H535" i="174"/>
  <c r="I535" i="174"/>
  <c r="J535" i="174"/>
  <c r="K535" i="174"/>
  <c r="L535" i="174"/>
  <c r="M535" i="174"/>
  <c r="N535" i="174"/>
  <c r="O535" i="174"/>
  <c r="P535" i="174"/>
  <c r="Q535" i="174"/>
  <c r="D539" i="174"/>
  <c r="C543" i="174"/>
  <c r="D543" i="174"/>
  <c r="E543" i="174"/>
  <c r="F543" i="174"/>
  <c r="G543" i="174"/>
  <c r="H543" i="174"/>
  <c r="I543" i="174"/>
  <c r="K543" i="174"/>
  <c r="M543" i="174"/>
  <c r="C560" i="174"/>
  <c r="D560" i="174"/>
  <c r="E560" i="174"/>
  <c r="F560" i="174"/>
  <c r="G560" i="174"/>
  <c r="H560" i="174"/>
  <c r="I560" i="174"/>
  <c r="K560" i="174"/>
  <c r="M560" i="174"/>
  <c r="C566" i="174"/>
  <c r="D566" i="174"/>
  <c r="E566" i="174"/>
  <c r="F566" i="174"/>
  <c r="G566" i="174"/>
  <c r="H566" i="174"/>
  <c r="I566" i="174"/>
  <c r="K566" i="174"/>
  <c r="M566" i="174"/>
  <c r="C569" i="174"/>
  <c r="D569" i="174"/>
  <c r="E569" i="174"/>
  <c r="F569" i="174"/>
  <c r="G569" i="174"/>
  <c r="H569" i="174"/>
  <c r="I569" i="174"/>
  <c r="K569" i="174"/>
  <c r="M569" i="174"/>
  <c r="C572" i="174"/>
  <c r="D572" i="174"/>
  <c r="E572" i="174"/>
  <c r="F572" i="174"/>
  <c r="G572" i="174"/>
  <c r="H572" i="174"/>
  <c r="I572" i="174"/>
  <c r="J572" i="174"/>
  <c r="K572" i="174"/>
  <c r="L572" i="174"/>
  <c r="M572" i="174"/>
  <c r="N572" i="174"/>
  <c r="O572" i="174"/>
  <c r="P572" i="174"/>
  <c r="Q572" i="174"/>
  <c r="B575" i="174"/>
  <c r="C575" i="174"/>
  <c r="D575" i="174"/>
  <c r="E575" i="174"/>
  <c r="F575" i="174"/>
  <c r="G575" i="174"/>
  <c r="H575" i="174"/>
  <c r="I575" i="174"/>
  <c r="J575" i="174"/>
  <c r="K575" i="174"/>
  <c r="L575" i="174"/>
  <c r="M575" i="174"/>
  <c r="N575" i="174"/>
  <c r="O575" i="174"/>
  <c r="P575" i="174"/>
  <c r="Q575" i="174"/>
  <c r="D579" i="174"/>
  <c r="C583" i="174"/>
  <c r="D583" i="174"/>
  <c r="E583" i="174"/>
  <c r="F583" i="174"/>
  <c r="G583" i="174"/>
  <c r="H583" i="174"/>
  <c r="I583" i="174"/>
  <c r="K583" i="174"/>
  <c r="M583" i="174"/>
  <c r="C600" i="174"/>
  <c r="D600" i="174"/>
  <c r="E600" i="174"/>
  <c r="F600" i="174"/>
  <c r="G600" i="174"/>
  <c r="H600" i="174"/>
  <c r="I600" i="174"/>
  <c r="K600" i="174"/>
  <c r="M600" i="174"/>
  <c r="C606" i="174"/>
  <c r="D606" i="174"/>
  <c r="E606" i="174"/>
  <c r="F606" i="174"/>
  <c r="G606" i="174"/>
  <c r="H606" i="174"/>
  <c r="I606" i="174"/>
  <c r="K606" i="174"/>
  <c r="M606" i="174"/>
  <c r="C609" i="174"/>
  <c r="D609" i="174"/>
  <c r="E609" i="174"/>
  <c r="F609" i="174"/>
  <c r="G609" i="174"/>
  <c r="H609" i="174"/>
  <c r="I609" i="174"/>
  <c r="K609" i="174"/>
  <c r="M609" i="174"/>
  <c r="C612" i="174"/>
  <c r="D612" i="174"/>
  <c r="E612" i="174"/>
  <c r="F612" i="174"/>
  <c r="G612" i="174"/>
  <c r="H612" i="174"/>
  <c r="I612" i="174"/>
  <c r="J612" i="174"/>
  <c r="K612" i="174"/>
  <c r="L612" i="174"/>
  <c r="M612" i="174"/>
  <c r="N612" i="174"/>
  <c r="O612" i="174"/>
  <c r="P612" i="174"/>
  <c r="Q612" i="174"/>
  <c r="B615" i="174"/>
  <c r="C615" i="174"/>
  <c r="D615" i="174"/>
  <c r="E615" i="174"/>
  <c r="F615" i="174"/>
  <c r="G615" i="174"/>
  <c r="H615" i="174"/>
  <c r="I615" i="174"/>
  <c r="J615" i="174"/>
  <c r="K615" i="174"/>
  <c r="L615" i="174"/>
  <c r="M615" i="174"/>
  <c r="N615" i="174"/>
  <c r="O615" i="174"/>
  <c r="P615" i="174"/>
  <c r="Q615" i="174"/>
  <c r="D619" i="174"/>
  <c r="C623" i="174"/>
  <c r="D623" i="174"/>
  <c r="E623" i="174"/>
  <c r="F623" i="174"/>
  <c r="G623" i="174"/>
  <c r="H623" i="174"/>
  <c r="I623" i="174"/>
  <c r="K623" i="174"/>
  <c r="M623" i="174"/>
  <c r="C640" i="174"/>
  <c r="D640" i="174"/>
  <c r="E640" i="174"/>
  <c r="F640" i="174"/>
  <c r="G640" i="174"/>
  <c r="H640" i="174"/>
  <c r="I640" i="174"/>
  <c r="K640" i="174"/>
  <c r="M640" i="174"/>
  <c r="C646" i="174"/>
  <c r="D646" i="174"/>
  <c r="E646" i="174"/>
  <c r="F646" i="174"/>
  <c r="G646" i="174"/>
  <c r="H646" i="174"/>
  <c r="I646" i="174"/>
  <c r="K646" i="174"/>
  <c r="M646" i="174"/>
  <c r="C649" i="174"/>
  <c r="D649" i="174"/>
  <c r="E649" i="174"/>
  <c r="F649" i="174"/>
  <c r="G649" i="174"/>
  <c r="H649" i="174"/>
  <c r="I649" i="174"/>
  <c r="K649" i="174"/>
  <c r="M649" i="174"/>
  <c r="C652" i="174"/>
  <c r="D652" i="174"/>
  <c r="E652" i="174"/>
  <c r="F652" i="174"/>
  <c r="G652" i="174"/>
  <c r="H652" i="174"/>
  <c r="I652" i="174"/>
  <c r="J652" i="174"/>
  <c r="K652" i="174"/>
  <c r="L652" i="174"/>
  <c r="M652" i="174"/>
  <c r="N652" i="174"/>
  <c r="O652" i="174"/>
  <c r="P652" i="174"/>
  <c r="Q652" i="174"/>
  <c r="B655" i="174"/>
  <c r="C655" i="174"/>
  <c r="D655" i="174"/>
  <c r="E655" i="174"/>
  <c r="F655" i="174"/>
  <c r="G655" i="174"/>
  <c r="H655" i="174"/>
  <c r="I655" i="174"/>
  <c r="J655" i="174"/>
  <c r="K655" i="174"/>
  <c r="L655" i="174"/>
  <c r="M655" i="174"/>
  <c r="N655" i="174"/>
  <c r="O655" i="174"/>
  <c r="P655" i="174"/>
  <c r="Q655" i="174"/>
  <c r="D659" i="174"/>
  <c r="C663" i="174"/>
  <c r="D663" i="174"/>
  <c r="E663" i="174"/>
  <c r="F663" i="174"/>
  <c r="G663" i="174"/>
  <c r="H663" i="174"/>
  <c r="I663" i="174"/>
  <c r="K663" i="174"/>
  <c r="M663" i="174"/>
  <c r="C680" i="174"/>
  <c r="D680" i="174"/>
  <c r="E680" i="174"/>
  <c r="F680" i="174"/>
  <c r="G680" i="174"/>
  <c r="H680" i="174"/>
  <c r="I680" i="174"/>
  <c r="K680" i="174"/>
  <c r="M680" i="174"/>
  <c r="C686" i="174"/>
  <c r="D686" i="174"/>
  <c r="E686" i="174"/>
  <c r="F686" i="174"/>
  <c r="G686" i="174"/>
  <c r="H686" i="174"/>
  <c r="I686" i="174"/>
  <c r="K686" i="174"/>
  <c r="M686" i="174"/>
  <c r="C689" i="174"/>
  <c r="D689" i="174"/>
  <c r="E689" i="174"/>
  <c r="F689" i="174"/>
  <c r="G689" i="174"/>
  <c r="H689" i="174"/>
  <c r="I689" i="174"/>
  <c r="K689" i="174"/>
  <c r="M689" i="174"/>
  <c r="C692" i="174"/>
  <c r="D692" i="174"/>
  <c r="E692" i="174"/>
  <c r="F692" i="174"/>
  <c r="G692" i="174"/>
  <c r="H692" i="174"/>
  <c r="I692" i="174"/>
  <c r="J692" i="174"/>
  <c r="K692" i="174"/>
  <c r="L692" i="174"/>
  <c r="M692" i="174"/>
  <c r="N692" i="174"/>
  <c r="O692" i="174"/>
  <c r="P692" i="174"/>
  <c r="Q692" i="174"/>
  <c r="B695" i="174"/>
  <c r="C695" i="174"/>
  <c r="D695" i="174"/>
  <c r="E695" i="174"/>
  <c r="F695" i="174"/>
  <c r="G695" i="174"/>
  <c r="H695" i="174"/>
  <c r="I695" i="174"/>
  <c r="J695" i="174"/>
  <c r="K695" i="174"/>
  <c r="L695" i="174"/>
  <c r="M695" i="174"/>
  <c r="N695" i="174"/>
  <c r="O695" i="174"/>
  <c r="P695" i="174"/>
  <c r="Q695" i="174"/>
  <c r="D699" i="174"/>
  <c r="C703" i="174"/>
  <c r="D703" i="174"/>
  <c r="E703" i="174"/>
  <c r="F703" i="174"/>
  <c r="G703" i="174"/>
  <c r="H703" i="174"/>
  <c r="I703" i="174"/>
  <c r="K703" i="174"/>
  <c r="M703" i="174"/>
  <c r="C720" i="174"/>
  <c r="D720" i="174"/>
  <c r="E720" i="174"/>
  <c r="F720" i="174"/>
  <c r="G720" i="174"/>
  <c r="H720" i="174"/>
  <c r="I720" i="174"/>
  <c r="K720" i="174"/>
  <c r="M720" i="174"/>
  <c r="C726" i="174"/>
  <c r="D726" i="174"/>
  <c r="E726" i="174"/>
  <c r="F726" i="174"/>
  <c r="G726" i="174"/>
  <c r="H726" i="174"/>
  <c r="I726" i="174"/>
  <c r="K726" i="174"/>
  <c r="M726" i="174"/>
  <c r="C729" i="174"/>
  <c r="D729" i="174"/>
  <c r="E729" i="174"/>
  <c r="F729" i="174"/>
  <c r="G729" i="174"/>
  <c r="H729" i="174"/>
  <c r="I729" i="174"/>
  <c r="K729" i="174"/>
  <c r="M729" i="174"/>
  <c r="C732" i="174"/>
  <c r="D732" i="174"/>
  <c r="E732" i="174"/>
  <c r="F732" i="174"/>
  <c r="G732" i="174"/>
  <c r="H732" i="174"/>
  <c r="I732" i="174"/>
  <c r="J732" i="174"/>
  <c r="K732" i="174"/>
  <c r="L732" i="174"/>
  <c r="M732" i="174"/>
  <c r="N732" i="174"/>
  <c r="O732" i="174"/>
  <c r="P732" i="174"/>
  <c r="Q732" i="174"/>
  <c r="B735" i="174"/>
  <c r="C735" i="174"/>
  <c r="D735" i="174"/>
  <c r="E735" i="174"/>
  <c r="F735" i="174"/>
  <c r="G735" i="174"/>
  <c r="H735" i="174"/>
  <c r="I735" i="174"/>
  <c r="J735" i="174"/>
  <c r="K735" i="174"/>
  <c r="L735" i="174"/>
  <c r="M735" i="174"/>
  <c r="N735" i="174"/>
  <c r="O735" i="174"/>
  <c r="P735" i="174"/>
  <c r="Q735" i="174"/>
  <c r="D739" i="174"/>
  <c r="C743" i="174"/>
  <c r="D743" i="174"/>
  <c r="E743" i="174"/>
  <c r="F743" i="174"/>
  <c r="G743" i="174"/>
  <c r="H743" i="174"/>
  <c r="I743" i="174"/>
  <c r="K743" i="174"/>
  <c r="M743" i="174"/>
  <c r="C760" i="174"/>
  <c r="D760" i="174"/>
  <c r="E760" i="174"/>
  <c r="F760" i="174"/>
  <c r="G760" i="174"/>
  <c r="H760" i="174"/>
  <c r="I760" i="174"/>
  <c r="K760" i="174"/>
  <c r="M760" i="174"/>
  <c r="C766" i="174"/>
  <c r="D766" i="174"/>
  <c r="E766" i="174"/>
  <c r="F766" i="174"/>
  <c r="G766" i="174"/>
  <c r="H766" i="174"/>
  <c r="I766" i="174"/>
  <c r="K766" i="174"/>
  <c r="M766" i="174"/>
  <c r="C769" i="174"/>
  <c r="D769" i="174"/>
  <c r="E769" i="174"/>
  <c r="F769" i="174"/>
  <c r="G769" i="174"/>
  <c r="H769" i="174"/>
  <c r="I769" i="174"/>
  <c r="K769" i="174"/>
  <c r="M769" i="174"/>
  <c r="C772" i="174"/>
  <c r="D772" i="174"/>
  <c r="E772" i="174"/>
  <c r="F772" i="174"/>
  <c r="G772" i="174"/>
  <c r="H772" i="174"/>
  <c r="I772" i="174"/>
  <c r="J772" i="174"/>
  <c r="K772" i="174"/>
  <c r="L772" i="174"/>
  <c r="M772" i="174"/>
  <c r="N772" i="174"/>
  <c r="O772" i="174"/>
  <c r="P772" i="174"/>
  <c r="Q772" i="174"/>
  <c r="B775" i="174"/>
  <c r="C775" i="174"/>
  <c r="D775" i="174"/>
  <c r="E775" i="174"/>
  <c r="F775" i="174"/>
  <c r="G775" i="174"/>
  <c r="H775" i="174"/>
  <c r="I775" i="174"/>
  <c r="J775" i="174"/>
  <c r="K775" i="174"/>
  <c r="L775" i="174"/>
  <c r="M775" i="174"/>
  <c r="N775" i="174"/>
  <c r="O775" i="174"/>
  <c r="P775" i="174"/>
  <c r="Q775" i="174"/>
  <c r="D779" i="174"/>
  <c r="C783" i="174"/>
  <c r="D783" i="174"/>
  <c r="E783" i="174"/>
  <c r="F783" i="174"/>
  <c r="G783" i="174"/>
  <c r="H783" i="174"/>
  <c r="I783" i="174"/>
  <c r="K783" i="174"/>
  <c r="M783" i="174"/>
  <c r="C800" i="174"/>
  <c r="D800" i="174"/>
  <c r="E800" i="174"/>
  <c r="F800" i="174"/>
  <c r="G800" i="174"/>
  <c r="H800" i="174"/>
  <c r="I800" i="174"/>
  <c r="K800" i="174"/>
  <c r="M800" i="174"/>
  <c r="C806" i="174"/>
  <c r="D806" i="174"/>
  <c r="E806" i="174"/>
  <c r="F806" i="174"/>
  <c r="G806" i="174"/>
  <c r="H806" i="174"/>
  <c r="I806" i="174"/>
  <c r="K806" i="174"/>
  <c r="M806" i="174"/>
  <c r="C809" i="174"/>
  <c r="D809" i="174"/>
  <c r="E809" i="174"/>
  <c r="F809" i="174"/>
  <c r="G809" i="174"/>
  <c r="H809" i="174"/>
  <c r="I809" i="174"/>
  <c r="K809" i="174"/>
  <c r="M809" i="174"/>
  <c r="C812" i="174"/>
  <c r="D812" i="174"/>
  <c r="E812" i="174"/>
  <c r="F812" i="174"/>
  <c r="G812" i="174"/>
  <c r="H812" i="174"/>
  <c r="I812" i="174"/>
  <c r="J812" i="174"/>
  <c r="K812" i="174"/>
  <c r="L812" i="174"/>
  <c r="M812" i="174"/>
  <c r="N812" i="174"/>
  <c r="O812" i="174"/>
  <c r="P812" i="174"/>
  <c r="Q812" i="174"/>
  <c r="B815" i="174"/>
  <c r="C815" i="174"/>
  <c r="D815" i="174"/>
  <c r="E815" i="174"/>
  <c r="F815" i="174"/>
  <c r="G815" i="174"/>
  <c r="H815" i="174"/>
  <c r="I815" i="174"/>
  <c r="J815" i="174"/>
  <c r="K815" i="174"/>
  <c r="L815" i="174"/>
  <c r="M815" i="174"/>
  <c r="N815" i="174"/>
  <c r="O815" i="174"/>
  <c r="P815" i="174"/>
  <c r="Q815" i="174"/>
  <c r="D819" i="174"/>
  <c r="C823" i="174"/>
  <c r="D823" i="174"/>
  <c r="E823" i="174"/>
  <c r="F823" i="174"/>
  <c r="G823" i="174"/>
  <c r="H823" i="174"/>
  <c r="I823" i="174"/>
  <c r="K823" i="174"/>
  <c r="M823" i="174"/>
  <c r="C840" i="174"/>
  <c r="D840" i="174"/>
  <c r="E840" i="174"/>
  <c r="F840" i="174"/>
  <c r="G840" i="174"/>
  <c r="H840" i="174"/>
  <c r="I840" i="174"/>
  <c r="K840" i="174"/>
  <c r="M840" i="174"/>
  <c r="C846" i="174"/>
  <c r="D846" i="174"/>
  <c r="E846" i="174"/>
  <c r="F846" i="174"/>
  <c r="G846" i="174"/>
  <c r="H846" i="174"/>
  <c r="I846" i="174"/>
  <c r="K846" i="174"/>
  <c r="M846" i="174"/>
  <c r="C849" i="174"/>
  <c r="D849" i="174"/>
  <c r="E849" i="174"/>
  <c r="F849" i="174"/>
  <c r="G849" i="174"/>
  <c r="H849" i="174"/>
  <c r="I849" i="174"/>
  <c r="K849" i="174"/>
  <c r="M849" i="174"/>
  <c r="C852" i="174"/>
  <c r="D852" i="174"/>
  <c r="E852" i="174"/>
  <c r="F852" i="174"/>
  <c r="G852" i="174"/>
  <c r="H852" i="174"/>
  <c r="I852" i="174"/>
  <c r="J852" i="174"/>
  <c r="K852" i="174"/>
  <c r="L852" i="174"/>
  <c r="M852" i="174"/>
  <c r="N852" i="174"/>
  <c r="O852" i="174"/>
  <c r="P852" i="174"/>
  <c r="Q852" i="174"/>
  <c r="B855" i="174"/>
  <c r="C855" i="174"/>
  <c r="D855" i="174"/>
  <c r="E855" i="174"/>
  <c r="F855" i="174"/>
  <c r="G855" i="174"/>
  <c r="H855" i="174"/>
  <c r="I855" i="174"/>
  <c r="J855" i="174"/>
  <c r="K855" i="174"/>
  <c r="L855" i="174"/>
  <c r="M855" i="174"/>
  <c r="N855" i="174"/>
  <c r="O855" i="174"/>
  <c r="P855" i="174"/>
  <c r="Q855" i="174"/>
  <c r="D859" i="174"/>
  <c r="C863" i="174"/>
  <c r="D863" i="174"/>
  <c r="E863" i="174"/>
  <c r="F863" i="174"/>
  <c r="G863" i="174"/>
  <c r="H863" i="174"/>
  <c r="I863" i="174"/>
  <c r="K863" i="174"/>
  <c r="M863" i="174"/>
  <c r="C880" i="174"/>
  <c r="D880" i="174"/>
  <c r="E880" i="174"/>
  <c r="F880" i="174"/>
  <c r="G880" i="174"/>
  <c r="H880" i="174"/>
  <c r="I880" i="174"/>
  <c r="K880" i="174"/>
  <c r="M880" i="174"/>
  <c r="C886" i="174"/>
  <c r="D886" i="174"/>
  <c r="E886" i="174"/>
  <c r="F886" i="174"/>
  <c r="G886" i="174"/>
  <c r="H886" i="174"/>
  <c r="I886" i="174"/>
  <c r="K886" i="174"/>
  <c r="M886" i="174"/>
  <c r="C889" i="174"/>
  <c r="D889" i="174"/>
  <c r="E889" i="174"/>
  <c r="F889" i="174"/>
  <c r="G889" i="174"/>
  <c r="H889" i="174"/>
  <c r="I889" i="174"/>
  <c r="K889" i="174"/>
  <c r="M889" i="174"/>
  <c r="C892" i="174"/>
  <c r="D892" i="174"/>
  <c r="E892" i="174"/>
  <c r="F892" i="174"/>
  <c r="G892" i="174"/>
  <c r="H892" i="174"/>
  <c r="I892" i="174"/>
  <c r="J892" i="174"/>
  <c r="K892" i="174"/>
  <c r="L892" i="174"/>
  <c r="M892" i="174"/>
  <c r="N892" i="174"/>
  <c r="O892" i="174"/>
  <c r="P892" i="174"/>
  <c r="Q892" i="174"/>
  <c r="B895" i="174"/>
  <c r="C895" i="174"/>
  <c r="D895" i="174"/>
  <c r="E895" i="174"/>
  <c r="F895" i="174"/>
  <c r="G895" i="174"/>
  <c r="H895" i="174"/>
  <c r="I895" i="174"/>
  <c r="J895" i="174"/>
  <c r="K895" i="174"/>
  <c r="L895" i="174"/>
  <c r="M895" i="174"/>
  <c r="N895" i="174"/>
  <c r="O895" i="174"/>
  <c r="P895" i="174"/>
  <c r="Q895" i="174"/>
  <c r="D899" i="174"/>
  <c r="C903" i="174"/>
  <c r="D903" i="174"/>
  <c r="E903" i="174"/>
  <c r="F903" i="174"/>
  <c r="G903" i="174"/>
  <c r="H903" i="174"/>
  <c r="I903" i="174"/>
  <c r="K903" i="174"/>
  <c r="M903" i="174"/>
  <c r="C920" i="174"/>
  <c r="D920" i="174"/>
  <c r="E920" i="174"/>
  <c r="F920" i="174"/>
  <c r="G920" i="174"/>
  <c r="H920" i="174"/>
  <c r="I920" i="174"/>
  <c r="K920" i="174"/>
  <c r="M920" i="174"/>
  <c r="C926" i="174"/>
  <c r="D926" i="174"/>
  <c r="E926" i="174"/>
  <c r="F926" i="174"/>
  <c r="G926" i="174"/>
  <c r="H926" i="174"/>
  <c r="I926" i="174"/>
  <c r="K926" i="174"/>
  <c r="M926" i="174"/>
  <c r="C929" i="174"/>
  <c r="D929" i="174"/>
  <c r="E929" i="174"/>
  <c r="F929" i="174"/>
  <c r="G929" i="174"/>
  <c r="H929" i="174"/>
  <c r="I929" i="174"/>
  <c r="K929" i="174"/>
  <c r="M929" i="174"/>
  <c r="C932" i="174"/>
  <c r="D932" i="174"/>
  <c r="E932" i="174"/>
  <c r="F932" i="174"/>
  <c r="G932" i="174"/>
  <c r="H932" i="174"/>
  <c r="I932" i="174"/>
  <c r="J932" i="174"/>
  <c r="K932" i="174"/>
  <c r="L932" i="174"/>
  <c r="M932" i="174"/>
  <c r="N932" i="174"/>
  <c r="O932" i="174"/>
  <c r="P932" i="174"/>
  <c r="Q932" i="174"/>
  <c r="B935" i="174"/>
  <c r="C935" i="174"/>
  <c r="D935" i="174"/>
  <c r="E935" i="174"/>
  <c r="F935" i="174"/>
  <c r="G935" i="174"/>
  <c r="H935" i="174"/>
  <c r="I935" i="174"/>
  <c r="J935" i="174"/>
  <c r="K935" i="174"/>
  <c r="L935" i="174"/>
  <c r="M935" i="174"/>
  <c r="N935" i="174"/>
  <c r="O935" i="174"/>
  <c r="P935" i="174"/>
  <c r="Q935" i="174"/>
  <c r="D939" i="174"/>
  <c r="C943" i="174"/>
  <c r="D943" i="174"/>
  <c r="E943" i="174"/>
  <c r="F943" i="174"/>
  <c r="G943" i="174"/>
  <c r="H943" i="174"/>
  <c r="I943" i="174"/>
  <c r="K943" i="174"/>
  <c r="M943" i="174"/>
  <c r="C960" i="174"/>
  <c r="D960" i="174"/>
  <c r="E960" i="174"/>
  <c r="F960" i="174"/>
  <c r="G960" i="174"/>
  <c r="H960" i="174"/>
  <c r="I960" i="174"/>
  <c r="K960" i="174"/>
  <c r="M960" i="174"/>
  <c r="C966" i="174"/>
  <c r="D966" i="174"/>
  <c r="E966" i="174"/>
  <c r="F966" i="174"/>
  <c r="G966" i="174"/>
  <c r="H966" i="174"/>
  <c r="I966" i="174"/>
  <c r="K966" i="174"/>
  <c r="M966" i="174"/>
  <c r="C969" i="174"/>
  <c r="D969" i="174"/>
  <c r="E969" i="174"/>
  <c r="F969" i="174"/>
  <c r="G969" i="174"/>
  <c r="H969" i="174"/>
  <c r="I969" i="174"/>
  <c r="K969" i="174"/>
  <c r="M969" i="174"/>
  <c r="C972" i="174"/>
  <c r="D972" i="174"/>
  <c r="E972" i="174"/>
  <c r="F972" i="174"/>
  <c r="G972" i="174"/>
  <c r="H972" i="174"/>
  <c r="I972" i="174"/>
  <c r="J972" i="174"/>
  <c r="K972" i="174"/>
  <c r="L972" i="174"/>
  <c r="M972" i="174"/>
  <c r="N972" i="174"/>
  <c r="O972" i="174"/>
  <c r="P972" i="174"/>
  <c r="Q972" i="174"/>
  <c r="B975" i="174"/>
  <c r="C975" i="174"/>
  <c r="D975" i="174"/>
  <c r="E975" i="174"/>
  <c r="F975" i="174"/>
  <c r="G975" i="174"/>
  <c r="H975" i="174"/>
  <c r="I975" i="174"/>
  <c r="J975" i="174"/>
  <c r="K975" i="174"/>
  <c r="L975" i="174"/>
  <c r="M975" i="174"/>
  <c r="N975" i="174"/>
  <c r="O975" i="174"/>
  <c r="P975" i="174"/>
  <c r="Q975" i="174"/>
  <c r="E6" i="173"/>
  <c r="H6" i="173" s="1"/>
  <c r="K34" i="173"/>
  <c r="H8" i="173"/>
  <c r="H13" i="173"/>
  <c r="H15" i="173"/>
  <c r="AP34" i="173" s="1"/>
  <c r="D20" i="173"/>
  <c r="K33" i="173"/>
  <c r="N33" i="173"/>
  <c r="T33" i="173"/>
  <c r="V33" i="173"/>
  <c r="AI33" i="173"/>
  <c r="AO33" i="173"/>
  <c r="AQ33" i="173"/>
  <c r="N34" i="173"/>
  <c r="T34" i="173"/>
  <c r="V34" i="173"/>
  <c r="AI34" i="173"/>
  <c r="AO34" i="173"/>
  <c r="AQ34" i="173"/>
  <c r="G35" i="173"/>
  <c r="K35" i="173"/>
  <c r="N35" i="173"/>
  <c r="T35" i="173"/>
  <c r="V35" i="173"/>
  <c r="AI35" i="173"/>
  <c r="AO35" i="173"/>
  <c r="AQ35" i="173"/>
  <c r="G36" i="173"/>
  <c r="K36" i="173"/>
  <c r="N36" i="173"/>
  <c r="T36" i="173"/>
  <c r="V36" i="173"/>
  <c r="AI36" i="173"/>
  <c r="AO36" i="173"/>
  <c r="AQ36" i="173"/>
  <c r="G37" i="173"/>
  <c r="N37" i="173"/>
  <c r="T37" i="173"/>
  <c r="V37" i="173"/>
  <c r="AI37" i="173"/>
  <c r="AO37" i="173"/>
  <c r="AQ37" i="173"/>
  <c r="K38" i="173"/>
  <c r="N38" i="173"/>
  <c r="T38" i="173"/>
  <c r="V38" i="173"/>
  <c r="AI38" i="173"/>
  <c r="AO38" i="173"/>
  <c r="AQ38" i="173"/>
  <c r="N39" i="173"/>
  <c r="T39" i="173"/>
  <c r="V39" i="173"/>
  <c r="AI39" i="173"/>
  <c r="AO39" i="173"/>
  <c r="AQ39" i="173"/>
  <c r="G40" i="173"/>
  <c r="K40" i="173"/>
  <c r="N40" i="173"/>
  <c r="T40" i="173"/>
  <c r="V40" i="173"/>
  <c r="AI40" i="173"/>
  <c r="AO40" i="173"/>
  <c r="AQ40" i="173"/>
  <c r="K41" i="173"/>
  <c r="N41" i="173"/>
  <c r="T41" i="173"/>
  <c r="V41" i="173"/>
  <c r="AI41" i="173"/>
  <c r="AO41" i="173"/>
  <c r="AQ41" i="173"/>
  <c r="K42" i="173"/>
  <c r="N42" i="173"/>
  <c r="T42" i="173"/>
  <c r="V42" i="173"/>
  <c r="AI42" i="173"/>
  <c r="AO42" i="173"/>
  <c r="AQ42" i="173"/>
  <c r="K43" i="173"/>
  <c r="N43" i="173"/>
  <c r="AO43" i="173"/>
  <c r="K44" i="173"/>
  <c r="N44" i="173"/>
  <c r="T44" i="173"/>
  <c r="AI44" i="173"/>
  <c r="G45" i="173"/>
  <c r="K45" i="173"/>
  <c r="N45" i="173"/>
  <c r="T45" i="173"/>
  <c r="V45" i="173"/>
  <c r="AI45" i="173"/>
  <c r="AO45" i="173"/>
  <c r="AQ45" i="173"/>
  <c r="A3" i="172"/>
  <c r="I7" i="172"/>
  <c r="I8" i="172"/>
  <c r="C9" i="172"/>
  <c r="C10" i="172" s="1"/>
  <c r="A12" i="172"/>
  <c r="C18" i="172"/>
  <c r="E18" i="172" s="1"/>
  <c r="D18" i="172"/>
  <c r="F18" i="172"/>
  <c r="E19" i="172"/>
  <c r="G19" i="172"/>
  <c r="H19" i="172"/>
  <c r="E20" i="172"/>
  <c r="G20" i="172"/>
  <c r="H20" i="172"/>
  <c r="E21" i="172"/>
  <c r="G21" i="172"/>
  <c r="E22" i="172"/>
  <c r="G22" i="172"/>
  <c r="C23" i="172"/>
  <c r="E23" i="172" s="1"/>
  <c r="D23" i="172"/>
  <c r="F23" i="172"/>
  <c r="E24" i="172"/>
  <c r="G24" i="172"/>
  <c r="H24" i="172"/>
  <c r="E25" i="172"/>
  <c r="G25" i="172"/>
  <c r="H25" i="172"/>
  <c r="E26" i="172"/>
  <c r="G26" i="172"/>
  <c r="E27" i="172"/>
  <c r="G27" i="172"/>
  <c r="C28" i="172"/>
  <c r="E28" i="172" s="1"/>
  <c r="D28" i="172"/>
  <c r="F28" i="172"/>
  <c r="E29" i="172"/>
  <c r="G29" i="172"/>
  <c r="E30" i="172"/>
  <c r="G30" i="172"/>
  <c r="A36" i="172"/>
  <c r="I40" i="172"/>
  <c r="I41" i="172"/>
  <c r="C42" i="172"/>
  <c r="C43" i="172" s="1"/>
  <c r="A45" i="172"/>
  <c r="B50" i="172"/>
  <c r="C51" i="172"/>
  <c r="D51" i="172"/>
  <c r="F51" i="172"/>
  <c r="E52" i="172"/>
  <c r="G52" i="172"/>
  <c r="H52" i="172"/>
  <c r="E53" i="172"/>
  <c r="G53" i="172"/>
  <c r="H53" i="172"/>
  <c r="E54" i="172"/>
  <c r="G54" i="172"/>
  <c r="E55" i="172"/>
  <c r="G55" i="172"/>
  <c r="C56" i="172"/>
  <c r="E56" i="172" s="1"/>
  <c r="D56" i="172"/>
  <c r="F56" i="172"/>
  <c r="E57" i="172"/>
  <c r="G57" i="172"/>
  <c r="H57" i="172"/>
  <c r="E58" i="172"/>
  <c r="G58" i="172"/>
  <c r="H58" i="172"/>
  <c r="E59" i="172"/>
  <c r="G59" i="172"/>
  <c r="E60" i="172"/>
  <c r="G60" i="172"/>
  <c r="C61" i="172"/>
  <c r="E61" i="172" s="1"/>
  <c r="D61" i="172"/>
  <c r="F61" i="172"/>
  <c r="E62" i="172"/>
  <c r="G62" i="172"/>
  <c r="E63" i="172"/>
  <c r="G63" i="172"/>
  <c r="A69" i="172"/>
  <c r="I73" i="172"/>
  <c r="I74" i="172"/>
  <c r="C75" i="172"/>
  <c r="C76" i="172" s="1"/>
  <c r="A78" i="172"/>
  <c r="B83" i="172"/>
  <c r="C84" i="172"/>
  <c r="E84" i="172" s="1"/>
  <c r="D84" i="172"/>
  <c r="F84" i="172"/>
  <c r="E85" i="172"/>
  <c r="G85" i="172"/>
  <c r="H85" i="172"/>
  <c r="E86" i="172"/>
  <c r="G86" i="172"/>
  <c r="H86" i="172"/>
  <c r="E87" i="172"/>
  <c r="G87" i="172"/>
  <c r="E88" i="172"/>
  <c r="G88" i="172"/>
  <c r="C89" i="172"/>
  <c r="E89" i="172" s="1"/>
  <c r="D89" i="172"/>
  <c r="F89" i="172"/>
  <c r="E90" i="172"/>
  <c r="G90" i="172"/>
  <c r="H90" i="172"/>
  <c r="E91" i="172"/>
  <c r="G91" i="172"/>
  <c r="H91" i="172"/>
  <c r="E92" i="172"/>
  <c r="G92" i="172"/>
  <c r="E93" i="172"/>
  <c r="G93" i="172"/>
  <c r="C94" i="172"/>
  <c r="E94" i="172" s="1"/>
  <c r="D94" i="172"/>
  <c r="F94" i="172"/>
  <c r="E95" i="172"/>
  <c r="G95" i="172"/>
  <c r="E96" i="172"/>
  <c r="G96" i="172"/>
  <c r="A102" i="172"/>
  <c r="I106" i="172"/>
  <c r="I107" i="172"/>
  <c r="C108" i="172"/>
  <c r="C109" i="172" s="1"/>
  <c r="A111" i="172"/>
  <c r="B116" i="172"/>
  <c r="C117" i="172"/>
  <c r="E117" i="172" s="1"/>
  <c r="D117" i="172"/>
  <c r="F117" i="172"/>
  <c r="E118" i="172"/>
  <c r="G118" i="172"/>
  <c r="H118" i="172"/>
  <c r="E119" i="172"/>
  <c r="G119" i="172"/>
  <c r="H119" i="172"/>
  <c r="E120" i="172"/>
  <c r="G120" i="172"/>
  <c r="E121" i="172"/>
  <c r="G121" i="172"/>
  <c r="C122" i="172"/>
  <c r="E122" i="172" s="1"/>
  <c r="D122" i="172"/>
  <c r="F122" i="172"/>
  <c r="E123" i="172"/>
  <c r="G123" i="172"/>
  <c r="H123" i="172"/>
  <c r="E124" i="172"/>
  <c r="G124" i="172"/>
  <c r="H124" i="172"/>
  <c r="E125" i="172"/>
  <c r="G125" i="172"/>
  <c r="E126" i="172"/>
  <c r="G126" i="172"/>
  <c r="C127" i="172"/>
  <c r="E127" i="172" s="1"/>
  <c r="D127" i="172"/>
  <c r="F127" i="172"/>
  <c r="E128" i="172"/>
  <c r="G128" i="172"/>
  <c r="E129" i="172"/>
  <c r="G129" i="172"/>
  <c r="A135" i="172"/>
  <c r="I139" i="172"/>
  <c r="I140" i="172"/>
  <c r="C141" i="172"/>
  <c r="C142" i="172" s="1"/>
  <c r="A144" i="172"/>
  <c r="B149" i="172"/>
  <c r="C150" i="172"/>
  <c r="E150" i="172" s="1"/>
  <c r="D150" i="172"/>
  <c r="F150" i="172"/>
  <c r="F149" i="172" s="1"/>
  <c r="E151" i="172"/>
  <c r="G151" i="172"/>
  <c r="H151" i="172"/>
  <c r="E152" i="172"/>
  <c r="G152" i="172"/>
  <c r="H152" i="172"/>
  <c r="E153" i="172"/>
  <c r="G153" i="172"/>
  <c r="E154" i="172"/>
  <c r="G154" i="172"/>
  <c r="C155" i="172"/>
  <c r="E155" i="172" s="1"/>
  <c r="D155" i="172"/>
  <c r="G155" i="172" s="1"/>
  <c r="F155" i="172"/>
  <c r="E156" i="172"/>
  <c r="G156" i="172"/>
  <c r="H156" i="172"/>
  <c r="E157" i="172"/>
  <c r="G157" i="172"/>
  <c r="H157" i="172"/>
  <c r="E158" i="172"/>
  <c r="G158" i="172"/>
  <c r="E159" i="172"/>
  <c r="G159" i="172"/>
  <c r="C160" i="172"/>
  <c r="E160" i="172" s="1"/>
  <c r="D160" i="172"/>
  <c r="F160" i="172"/>
  <c r="E161" i="172"/>
  <c r="G161" i="172"/>
  <c r="E162" i="172"/>
  <c r="G162" i="172"/>
  <c r="S197" i="124"/>
  <c r="R197" i="124"/>
  <c r="S195" i="124"/>
  <c r="S194" i="124"/>
  <c r="R194" i="124"/>
  <c r="S193" i="124"/>
  <c r="R193" i="124"/>
  <c r="S192" i="124"/>
  <c r="R192" i="124"/>
  <c r="P192" i="124"/>
  <c r="L181" i="124"/>
  <c r="L179" i="124"/>
  <c r="L174" i="124"/>
  <c r="L173" i="124"/>
  <c r="L172" i="124"/>
  <c r="L171" i="124"/>
  <c r="BE161" i="124"/>
  <c r="BC161" i="124"/>
  <c r="BB161" i="124"/>
  <c r="BE157" i="124"/>
  <c r="BC157" i="124"/>
  <c r="BB157" i="124"/>
  <c r="BE155" i="124"/>
  <c r="BC155" i="124"/>
  <c r="BB155" i="124"/>
  <c r="BE153" i="124"/>
  <c r="BC153" i="124"/>
  <c r="BB153" i="124"/>
  <c r="AR160" i="124"/>
  <c r="AR158" i="124"/>
  <c r="AR157" i="124"/>
  <c r="AR156" i="124"/>
  <c r="AR155" i="124"/>
  <c r="AR154" i="124"/>
  <c r="BE146" i="124"/>
  <c r="BC146" i="124"/>
  <c r="BB146" i="124"/>
  <c r="BE138" i="124"/>
  <c r="BC138" i="124"/>
  <c r="BB138" i="124"/>
  <c r="BE134" i="124"/>
  <c r="BC134" i="124"/>
  <c r="BB134" i="124"/>
  <c r="BE130" i="124"/>
  <c r="BC130" i="124"/>
  <c r="BB130" i="124"/>
  <c r="BE126" i="124"/>
  <c r="BC126" i="124"/>
  <c r="BB126" i="124"/>
  <c r="BE122" i="124"/>
  <c r="BC122" i="124"/>
  <c r="BB122" i="124"/>
  <c r="BE118" i="124"/>
  <c r="BC118" i="124"/>
  <c r="BB118" i="124"/>
  <c r="AR145" i="124"/>
  <c r="AR144" i="124"/>
  <c r="AR141" i="124"/>
  <c r="AR140" i="124"/>
  <c r="AR138" i="124"/>
  <c r="AR137" i="124"/>
  <c r="AR136" i="124"/>
  <c r="AR133" i="124"/>
  <c r="AR132" i="124"/>
  <c r="AR129" i="124"/>
  <c r="AR128" i="124"/>
  <c r="AR126" i="124"/>
  <c r="AR125" i="124"/>
  <c r="AR124" i="124"/>
  <c r="AR122" i="124"/>
  <c r="AR121" i="124"/>
  <c r="AR120" i="124"/>
  <c r="CX63" i="124"/>
  <c r="CT63" i="124"/>
  <c r="CX62" i="124"/>
  <c r="CT62" i="124"/>
  <c r="CX61" i="124"/>
  <c r="CT61" i="124"/>
  <c r="CT60" i="124"/>
  <c r="CT59" i="124"/>
  <c r="CY58" i="124"/>
  <c r="CV58" i="124"/>
  <c r="CU58" i="124"/>
  <c r="CX57" i="124"/>
  <c r="CT57" i="124"/>
  <c r="CX56" i="124"/>
  <c r="CT56" i="124"/>
  <c r="CY55" i="124"/>
  <c r="CV55" i="124"/>
  <c r="CU55" i="124"/>
  <c r="CT49" i="124"/>
  <c r="CT48" i="124"/>
  <c r="CT46" i="124"/>
  <c r="CT45" i="124"/>
  <c r="CY44" i="124"/>
  <c r="CV44" i="124"/>
  <c r="CU44" i="124"/>
  <c r="CT43" i="124"/>
  <c r="CT42" i="124"/>
  <c r="CY41" i="124"/>
  <c r="CV41" i="124"/>
  <c r="CU41" i="124"/>
  <c r="CT40" i="124"/>
  <c r="CT39" i="124"/>
  <c r="CT38" i="124"/>
  <c r="CT37" i="124"/>
  <c r="CT36" i="124"/>
  <c r="CT33" i="124"/>
  <c r="CT30" i="124"/>
  <c r="CT27" i="124"/>
  <c r="CT24" i="124"/>
  <c r="CT21" i="124"/>
  <c r="CY20" i="124"/>
  <c r="CV20" i="124"/>
  <c r="CU20" i="124"/>
  <c r="CT19" i="124"/>
  <c r="CT18" i="124"/>
  <c r="CY17" i="124"/>
  <c r="CV17" i="124"/>
  <c r="CU17" i="124"/>
  <c r="AF214" i="124"/>
  <c r="AA214" i="124"/>
  <c r="U214" i="124"/>
  <c r="P214" i="124"/>
  <c r="K214" i="124"/>
  <c r="G214" i="124"/>
  <c r="AF213" i="124"/>
  <c r="AA213" i="124"/>
  <c r="U213" i="124"/>
  <c r="P213" i="124"/>
  <c r="K213" i="124"/>
  <c r="G213" i="124"/>
  <c r="AE212" i="124"/>
  <c r="AD212" i="124"/>
  <c r="AB212" i="124"/>
  <c r="Z212" i="124"/>
  <c r="Y212" i="124"/>
  <c r="X212" i="124"/>
  <c r="W212" i="124"/>
  <c r="V212" i="124"/>
  <c r="T212" i="124"/>
  <c r="S212" i="124"/>
  <c r="R212" i="124"/>
  <c r="O212" i="124"/>
  <c r="N212" i="124"/>
  <c r="M212" i="124"/>
  <c r="L212" i="124"/>
  <c r="J212" i="124"/>
  <c r="I212" i="124"/>
  <c r="H212" i="124"/>
  <c r="E212" i="124"/>
  <c r="D212" i="124"/>
  <c r="C212" i="124"/>
  <c r="AF211" i="124"/>
  <c r="AA211" i="124"/>
  <c r="W211" i="124"/>
  <c r="AF210" i="124"/>
  <c r="AA210" i="124"/>
  <c r="U210" i="124"/>
  <c r="P210" i="124"/>
  <c r="K210" i="124"/>
  <c r="G210" i="124"/>
  <c r="AF209" i="124"/>
  <c r="AA209" i="124"/>
  <c r="U209" i="124"/>
  <c r="P209" i="124"/>
  <c r="K209" i="124"/>
  <c r="G209" i="124"/>
  <c r="AE208" i="124"/>
  <c r="AD208" i="124"/>
  <c r="AB208" i="124"/>
  <c r="Z208" i="124"/>
  <c r="Y208" i="124"/>
  <c r="X208" i="124"/>
  <c r="W208" i="124"/>
  <c r="V208" i="124"/>
  <c r="T208" i="124"/>
  <c r="S208" i="124"/>
  <c r="R208" i="124"/>
  <c r="O208" i="124"/>
  <c r="N208" i="124"/>
  <c r="M208" i="124"/>
  <c r="L208" i="124"/>
  <c r="J208" i="124"/>
  <c r="I208" i="124"/>
  <c r="H208" i="124"/>
  <c r="E208" i="124"/>
  <c r="D208" i="124"/>
  <c r="C208" i="124"/>
  <c r="G208" i="124" s="1"/>
  <c r="AF207" i="124"/>
  <c r="AA207" i="124"/>
  <c r="W207" i="124"/>
  <c r="K199" i="124"/>
  <c r="K198" i="124"/>
  <c r="O197" i="124"/>
  <c r="K197" i="124"/>
  <c r="K196" i="124"/>
  <c r="K195" i="124"/>
  <c r="O194" i="124"/>
  <c r="K194" i="124"/>
  <c r="O193" i="124"/>
  <c r="K193" i="124"/>
  <c r="M192" i="124"/>
  <c r="L192" i="124"/>
  <c r="J192" i="124"/>
  <c r="I192" i="124"/>
  <c r="H192" i="124"/>
  <c r="G192" i="124"/>
  <c r="E192" i="124"/>
  <c r="D192" i="124"/>
  <c r="C192" i="124"/>
  <c r="K182" i="124"/>
  <c r="K181" i="124"/>
  <c r="K180" i="124"/>
  <c r="K179" i="124"/>
  <c r="I178" i="124"/>
  <c r="I175" i="124" s="1"/>
  <c r="H178" i="124"/>
  <c r="H175" i="124" s="1"/>
  <c r="G178" i="124"/>
  <c r="G175" i="124" s="1"/>
  <c r="E178" i="124"/>
  <c r="E175" i="124" s="1"/>
  <c r="D178" i="124"/>
  <c r="D175" i="124" s="1"/>
  <c r="C178" i="124"/>
  <c r="C175" i="124" s="1"/>
  <c r="J175" i="124" s="1"/>
  <c r="K174" i="124"/>
  <c r="K173" i="124"/>
  <c r="K172" i="124"/>
  <c r="K171" i="124"/>
  <c r="I170" i="124"/>
  <c r="I167" i="124" s="1"/>
  <c r="H170" i="124"/>
  <c r="H167" i="124" s="1"/>
  <c r="G170" i="124"/>
  <c r="G167" i="124" s="1"/>
  <c r="E170" i="124"/>
  <c r="E167" i="124" s="1"/>
  <c r="D170" i="124"/>
  <c r="D167" i="124" s="1"/>
  <c r="C170" i="124"/>
  <c r="C167" i="124" s="1"/>
  <c r="AU161" i="124"/>
  <c r="AT161" i="124"/>
  <c r="AM161" i="124"/>
  <c r="AL161" i="124"/>
  <c r="AK161" i="124"/>
  <c r="AI161" i="124"/>
  <c r="AH161" i="124"/>
  <c r="AG161" i="124"/>
  <c r="AN160" i="124"/>
  <c r="AJ160" i="124"/>
  <c r="AF160" i="124"/>
  <c r="AA160" i="124"/>
  <c r="U160" i="124"/>
  <c r="P160" i="124"/>
  <c r="K160" i="124"/>
  <c r="G160" i="124"/>
  <c r="AN159" i="124"/>
  <c r="AJ159" i="124"/>
  <c r="AN158" i="124"/>
  <c r="AJ158" i="124"/>
  <c r="AF158" i="124"/>
  <c r="AA158" i="124"/>
  <c r="U158" i="124"/>
  <c r="P158" i="124"/>
  <c r="K158" i="124"/>
  <c r="G158" i="124"/>
  <c r="AN157" i="124"/>
  <c r="AJ157" i="124"/>
  <c r="AE157" i="124"/>
  <c r="AD157" i="124"/>
  <c r="AB157" i="124"/>
  <c r="Z157" i="124"/>
  <c r="Y157" i="124"/>
  <c r="X157" i="124"/>
  <c r="W157" i="124"/>
  <c r="AN156" i="124"/>
  <c r="AJ156" i="124"/>
  <c r="AF156" i="124"/>
  <c r="AA156" i="124"/>
  <c r="U156" i="124"/>
  <c r="P156" i="124"/>
  <c r="K156" i="124"/>
  <c r="G156" i="124"/>
  <c r="AN155" i="124"/>
  <c r="AJ155" i="124"/>
  <c r="AN154" i="124"/>
  <c r="AJ154" i="124"/>
  <c r="AF154" i="124"/>
  <c r="AA154" i="124"/>
  <c r="U154" i="124"/>
  <c r="P154" i="124"/>
  <c r="K154" i="124"/>
  <c r="G154" i="124"/>
  <c r="AN153" i="124"/>
  <c r="AJ153" i="124"/>
  <c r="AU146" i="124"/>
  <c r="AT146" i="124"/>
  <c r="AM146" i="124"/>
  <c r="AL146" i="124"/>
  <c r="AK146" i="124"/>
  <c r="AI146" i="124"/>
  <c r="AH146" i="124"/>
  <c r="AG146" i="124"/>
  <c r="AN145" i="124"/>
  <c r="AJ145" i="124"/>
  <c r="AF145" i="124"/>
  <c r="AA145" i="124"/>
  <c r="U145" i="124"/>
  <c r="P145" i="124"/>
  <c r="K145" i="124"/>
  <c r="G145" i="124"/>
  <c r="AN144" i="124"/>
  <c r="AJ144" i="124"/>
  <c r="AF144" i="124"/>
  <c r="AA144" i="124"/>
  <c r="U144" i="124"/>
  <c r="P144" i="124"/>
  <c r="K144" i="124"/>
  <c r="G144" i="124"/>
  <c r="AU143" i="124"/>
  <c r="AT143" i="124"/>
  <c r="AQ143" i="124"/>
  <c r="AP143" i="124"/>
  <c r="AO143" i="124"/>
  <c r="AM143" i="124"/>
  <c r="AL143" i="124"/>
  <c r="AK143" i="124"/>
  <c r="AI143" i="124"/>
  <c r="AH143" i="124"/>
  <c r="AG143" i="124"/>
  <c r="AE143" i="124"/>
  <c r="AD143" i="124"/>
  <c r="AB143" i="124"/>
  <c r="Z143" i="124"/>
  <c r="Y143" i="124"/>
  <c r="X143" i="124"/>
  <c r="W143" i="124"/>
  <c r="V143" i="124"/>
  <c r="T143" i="124"/>
  <c r="S143" i="124"/>
  <c r="R143" i="124"/>
  <c r="O143" i="124"/>
  <c r="N143" i="124"/>
  <c r="M143" i="124"/>
  <c r="L143" i="124"/>
  <c r="J143" i="124"/>
  <c r="I143" i="124"/>
  <c r="H143" i="124"/>
  <c r="E143" i="124"/>
  <c r="D143" i="124"/>
  <c r="C143" i="124"/>
  <c r="AN142" i="124"/>
  <c r="AJ142" i="124"/>
  <c r="AN141" i="124"/>
  <c r="AJ141" i="124"/>
  <c r="AF141" i="124"/>
  <c r="AA141" i="124"/>
  <c r="U141" i="124"/>
  <c r="P141" i="124"/>
  <c r="K141" i="124"/>
  <c r="G141" i="124"/>
  <c r="AN140" i="124"/>
  <c r="AJ140" i="124"/>
  <c r="AF140" i="124"/>
  <c r="AA140" i="124"/>
  <c r="U140" i="124"/>
  <c r="P140" i="124"/>
  <c r="K140" i="124"/>
  <c r="G140" i="124"/>
  <c r="AU139" i="124"/>
  <c r="AT139" i="124"/>
  <c r="AQ139" i="124"/>
  <c r="AP139" i="124"/>
  <c r="AO139" i="124"/>
  <c r="AM139" i="124"/>
  <c r="AL139" i="124"/>
  <c r="AK139" i="124"/>
  <c r="AI139" i="124"/>
  <c r="AH139" i="124"/>
  <c r="AG139" i="124"/>
  <c r="AE139" i="124"/>
  <c r="AD139" i="124"/>
  <c r="AB139" i="124"/>
  <c r="Z139" i="124"/>
  <c r="Y139" i="124"/>
  <c r="X139" i="124"/>
  <c r="W139" i="124"/>
  <c r="V139" i="124"/>
  <c r="T139" i="124"/>
  <c r="S139" i="124"/>
  <c r="R139" i="124"/>
  <c r="O139" i="124"/>
  <c r="N139" i="124"/>
  <c r="M139" i="124"/>
  <c r="L139" i="124"/>
  <c r="J139" i="124"/>
  <c r="I139" i="124"/>
  <c r="H139" i="124"/>
  <c r="E139" i="124"/>
  <c r="D139" i="124"/>
  <c r="C139" i="124"/>
  <c r="AN138" i="124"/>
  <c r="AJ138" i="124"/>
  <c r="AN137" i="124"/>
  <c r="AJ137" i="124"/>
  <c r="AF137" i="124"/>
  <c r="AA137" i="124"/>
  <c r="U137" i="124"/>
  <c r="P137" i="124"/>
  <c r="K137" i="124"/>
  <c r="G137" i="124"/>
  <c r="AN136" i="124"/>
  <c r="AJ136" i="124"/>
  <c r="AF136" i="124"/>
  <c r="AA136" i="124"/>
  <c r="U136" i="124"/>
  <c r="P136" i="124"/>
  <c r="K136" i="124"/>
  <c r="G136" i="124"/>
  <c r="AU135" i="124"/>
  <c r="AT135" i="124"/>
  <c r="AQ135" i="124"/>
  <c r="AP135" i="124"/>
  <c r="AO135" i="124"/>
  <c r="AM135" i="124"/>
  <c r="AL135" i="124"/>
  <c r="AK135" i="124"/>
  <c r="AI135" i="124"/>
  <c r="AH135" i="124"/>
  <c r="AG135" i="124"/>
  <c r="AE135" i="124"/>
  <c r="AD135" i="124"/>
  <c r="AB135" i="124"/>
  <c r="Z135" i="124"/>
  <c r="Y135" i="124"/>
  <c r="X135" i="124"/>
  <c r="W135" i="124"/>
  <c r="V135" i="124"/>
  <c r="T135" i="124"/>
  <c r="S135" i="124"/>
  <c r="R135" i="124"/>
  <c r="O135" i="124"/>
  <c r="N135" i="124"/>
  <c r="M135" i="124"/>
  <c r="L135" i="124"/>
  <c r="J135" i="124"/>
  <c r="I135" i="124"/>
  <c r="H135" i="124"/>
  <c r="E135" i="124"/>
  <c r="D135" i="124"/>
  <c r="C135" i="124"/>
  <c r="AN134" i="124"/>
  <c r="AJ134" i="124"/>
  <c r="AN133" i="124"/>
  <c r="AJ133" i="124"/>
  <c r="AF133" i="124"/>
  <c r="AA133" i="124"/>
  <c r="U133" i="124"/>
  <c r="P133" i="124"/>
  <c r="K133" i="124"/>
  <c r="G133" i="124"/>
  <c r="AN132" i="124"/>
  <c r="AJ132" i="124"/>
  <c r="AF132" i="124"/>
  <c r="AA132" i="124"/>
  <c r="U132" i="124"/>
  <c r="P132" i="124"/>
  <c r="K132" i="124"/>
  <c r="G132" i="124"/>
  <c r="AU131" i="124"/>
  <c r="AT131" i="124"/>
  <c r="AQ131" i="124"/>
  <c r="AP131" i="124"/>
  <c r="AO131" i="124"/>
  <c r="AM131" i="124"/>
  <c r="AL131" i="124"/>
  <c r="AK131" i="124"/>
  <c r="AI131" i="124"/>
  <c r="AH131" i="124"/>
  <c r="AG131" i="124"/>
  <c r="AE131" i="124"/>
  <c r="AD131" i="124"/>
  <c r="AB131" i="124"/>
  <c r="Z131" i="124"/>
  <c r="Y131" i="124"/>
  <c r="X131" i="124"/>
  <c r="W131" i="124"/>
  <c r="V131" i="124"/>
  <c r="T131" i="124"/>
  <c r="S131" i="124"/>
  <c r="R131" i="124"/>
  <c r="O131" i="124"/>
  <c r="N131" i="124"/>
  <c r="M131" i="124"/>
  <c r="L131" i="124"/>
  <c r="J131" i="124"/>
  <c r="I131" i="124"/>
  <c r="H131" i="124"/>
  <c r="E131" i="124"/>
  <c r="D131" i="124"/>
  <c r="C131" i="124"/>
  <c r="AN130" i="124"/>
  <c r="AJ130" i="124"/>
  <c r="AN129" i="124"/>
  <c r="AJ129" i="124"/>
  <c r="AF129" i="124"/>
  <c r="AA129" i="124"/>
  <c r="U129" i="124"/>
  <c r="P129" i="124"/>
  <c r="K129" i="124"/>
  <c r="G129" i="124"/>
  <c r="AN128" i="124"/>
  <c r="AJ128" i="124"/>
  <c r="AF128" i="124"/>
  <c r="AA128" i="124"/>
  <c r="U128" i="124"/>
  <c r="P128" i="124"/>
  <c r="K128" i="124"/>
  <c r="G128" i="124"/>
  <c r="AU127" i="124"/>
  <c r="AT127" i="124"/>
  <c r="AQ127" i="124"/>
  <c r="AP127" i="124"/>
  <c r="AO127" i="124"/>
  <c r="AM127" i="124"/>
  <c r="AL127" i="124"/>
  <c r="AK127" i="124"/>
  <c r="AI127" i="124"/>
  <c r="AH127" i="124"/>
  <c r="AG127" i="124"/>
  <c r="AE127" i="124"/>
  <c r="AD127" i="124"/>
  <c r="AB127" i="124"/>
  <c r="Z127" i="124"/>
  <c r="Y127" i="124"/>
  <c r="X127" i="124"/>
  <c r="W127" i="124"/>
  <c r="V127" i="124"/>
  <c r="T127" i="124"/>
  <c r="S127" i="124"/>
  <c r="R127" i="124"/>
  <c r="O127" i="124"/>
  <c r="N127" i="124"/>
  <c r="M127" i="124"/>
  <c r="L127" i="124"/>
  <c r="J127" i="124"/>
  <c r="I127" i="124"/>
  <c r="H127" i="124"/>
  <c r="E127" i="124"/>
  <c r="D127" i="124"/>
  <c r="C127" i="124"/>
  <c r="AN126" i="124"/>
  <c r="AJ126" i="124"/>
  <c r="AE126" i="124"/>
  <c r="AD126" i="124"/>
  <c r="AB126" i="124"/>
  <c r="Z126" i="124"/>
  <c r="Y126" i="124"/>
  <c r="X126" i="124"/>
  <c r="W126" i="124"/>
  <c r="AN125" i="124"/>
  <c r="AJ125" i="124"/>
  <c r="AF125" i="124"/>
  <c r="AA125" i="124"/>
  <c r="U125" i="124"/>
  <c r="P125" i="124"/>
  <c r="K125" i="124"/>
  <c r="G125" i="124"/>
  <c r="AN124" i="124"/>
  <c r="AJ124" i="124"/>
  <c r="AF124" i="124"/>
  <c r="AA124" i="124"/>
  <c r="U124" i="124"/>
  <c r="P124" i="124"/>
  <c r="K124" i="124"/>
  <c r="G124" i="124"/>
  <c r="AU123" i="124"/>
  <c r="AT123" i="124"/>
  <c r="AQ123" i="124"/>
  <c r="AP123" i="124"/>
  <c r="AO123" i="124"/>
  <c r="AM123" i="124"/>
  <c r="AL123" i="124"/>
  <c r="AK123" i="124"/>
  <c r="AI123" i="124"/>
  <c r="AH123" i="124"/>
  <c r="AG123" i="124"/>
  <c r="AE123" i="124"/>
  <c r="AD123" i="124"/>
  <c r="AB123" i="124"/>
  <c r="Z123" i="124"/>
  <c r="Y123" i="124"/>
  <c r="X123" i="124"/>
  <c r="W123" i="124"/>
  <c r="V123" i="124"/>
  <c r="T123" i="124"/>
  <c r="S123" i="124"/>
  <c r="R123" i="124"/>
  <c r="O123" i="124"/>
  <c r="N123" i="124"/>
  <c r="M123" i="124"/>
  <c r="L123" i="124"/>
  <c r="J123" i="124"/>
  <c r="I123" i="124"/>
  <c r="H123" i="124"/>
  <c r="E123" i="124"/>
  <c r="D123" i="124"/>
  <c r="C123" i="124"/>
  <c r="AN122" i="124"/>
  <c r="AJ122" i="124"/>
  <c r="AE122" i="124"/>
  <c r="AD122" i="124"/>
  <c r="AB122" i="124"/>
  <c r="Z122" i="124"/>
  <c r="Y122" i="124"/>
  <c r="X122" i="124"/>
  <c r="W122" i="124"/>
  <c r="AN121" i="124"/>
  <c r="AJ121" i="124"/>
  <c r="AF121" i="124"/>
  <c r="AA121" i="124"/>
  <c r="U121" i="124"/>
  <c r="P121" i="124"/>
  <c r="K121" i="124"/>
  <c r="G121" i="124"/>
  <c r="AN120" i="124"/>
  <c r="AJ120" i="124"/>
  <c r="AF120" i="124"/>
  <c r="AA120" i="124"/>
  <c r="U120" i="124"/>
  <c r="P120" i="124"/>
  <c r="K120" i="124"/>
  <c r="G120" i="124"/>
  <c r="AU119" i="124"/>
  <c r="AT119" i="124"/>
  <c r="AQ119" i="124"/>
  <c r="AP119" i="124"/>
  <c r="AO119" i="124"/>
  <c r="AM119" i="124"/>
  <c r="AL119" i="124"/>
  <c r="AK119" i="124"/>
  <c r="AI119" i="124"/>
  <c r="AH119" i="124"/>
  <c r="AG119" i="124"/>
  <c r="AE119" i="124"/>
  <c r="AD119" i="124"/>
  <c r="AB119" i="124"/>
  <c r="Z119" i="124"/>
  <c r="Y119" i="124"/>
  <c r="X119" i="124"/>
  <c r="W119" i="124"/>
  <c r="V119" i="124"/>
  <c r="T119" i="124"/>
  <c r="S119" i="124"/>
  <c r="R119" i="124"/>
  <c r="O119" i="124"/>
  <c r="N119" i="124"/>
  <c r="M119" i="124"/>
  <c r="L119" i="124"/>
  <c r="J119" i="124"/>
  <c r="I119" i="124"/>
  <c r="H119" i="124"/>
  <c r="E119" i="124"/>
  <c r="D119" i="124"/>
  <c r="C119" i="124"/>
  <c r="AN118" i="124"/>
  <c r="AJ118" i="124"/>
  <c r="CY64" i="124"/>
  <c r="CV64" i="124"/>
  <c r="CU64" i="124"/>
  <c r="CX54" i="124"/>
  <c r="CU54" i="124"/>
  <c r="CX53" i="124"/>
  <c r="CU53" i="124"/>
  <c r="L191" i="124" s="1"/>
  <c r="CX52" i="124"/>
  <c r="CU52" i="124"/>
  <c r="L190" i="124" s="1"/>
  <c r="CY50" i="124"/>
  <c r="CV50" i="124"/>
  <c r="CU50" i="124"/>
  <c r="CY47" i="124"/>
  <c r="CV47" i="124"/>
  <c r="CU47" i="124"/>
  <c r="AI27" i="181" l="1"/>
  <c r="AL23" i="181"/>
  <c r="AO27" i="181"/>
  <c r="AM6" i="181"/>
  <c r="AO6" i="181" s="1"/>
  <c r="Z6" i="181"/>
  <c r="Z22" i="181"/>
  <c r="J31" i="181"/>
  <c r="R31" i="181" s="1"/>
  <c r="P31" i="181"/>
  <c r="G6" i="181"/>
  <c r="Q23" i="181"/>
  <c r="S23" i="181" s="1"/>
  <c r="D22" i="181"/>
  <c r="AV160" i="124"/>
  <c r="H11" i="173"/>
  <c r="P23" i="181"/>
  <c r="E14" i="181"/>
  <c r="K14" i="181" s="1"/>
  <c r="P10" i="181"/>
  <c r="I14" i="181"/>
  <c r="Q14" i="181" s="1"/>
  <c r="Z18" i="181"/>
  <c r="AA18" i="181"/>
  <c r="AB18" i="181" s="1"/>
  <c r="H27" i="181"/>
  <c r="O27" i="181" s="1"/>
  <c r="P27" i="181" s="1"/>
  <c r="AC18" i="181"/>
  <c r="AD18" i="181" s="1"/>
  <c r="AK18" i="181" s="1"/>
  <c r="CT64" i="124"/>
  <c r="G94" i="172"/>
  <c r="AF31" i="181"/>
  <c r="AN31" i="181" s="1"/>
  <c r="AO31" i="181" s="1"/>
  <c r="AR119" i="124"/>
  <c r="AV133" i="124"/>
  <c r="AV140" i="124"/>
  <c r="CT41" i="124"/>
  <c r="N93" i="175"/>
  <c r="N14" i="175"/>
  <c r="N11" i="175"/>
  <c r="AE18" i="181"/>
  <c r="AM18" i="181" s="1"/>
  <c r="E6" i="181"/>
  <c r="K6" i="181" s="1"/>
  <c r="AA122" i="124"/>
  <c r="AF126" i="124"/>
  <c r="K127" i="124"/>
  <c r="AJ131" i="124"/>
  <c r="AY132" i="124"/>
  <c r="AZ133" i="124"/>
  <c r="K135" i="124"/>
  <c r="AA135" i="124"/>
  <c r="AR135" i="124"/>
  <c r="K143" i="124"/>
  <c r="AA143" i="124"/>
  <c r="AW158" i="124"/>
  <c r="K212" i="124"/>
  <c r="F116" i="172"/>
  <c r="G89" i="172"/>
  <c r="G84" i="172"/>
  <c r="G51" i="172"/>
  <c r="G34" i="173"/>
  <c r="N94" i="175"/>
  <c r="AI23" i="181"/>
  <c r="AL35" i="181"/>
  <c r="S10" i="181"/>
  <c r="AW154" i="124"/>
  <c r="CT17" i="124"/>
  <c r="G117" i="172"/>
  <c r="G44" i="173"/>
  <c r="G43" i="173"/>
  <c r="G42" i="173"/>
  <c r="N9" i="175"/>
  <c r="AV124" i="124"/>
  <c r="AW125" i="124"/>
  <c r="AF127" i="124"/>
  <c r="BA126" i="124" s="1"/>
  <c r="AN127" i="124"/>
  <c r="AN139" i="124"/>
  <c r="U143" i="124"/>
  <c r="AN143" i="124"/>
  <c r="AW145" i="124"/>
  <c r="AF157" i="124"/>
  <c r="U212" i="124"/>
  <c r="G160" i="172"/>
  <c r="F50" i="172"/>
  <c r="N95" i="175"/>
  <c r="T43" i="173"/>
  <c r="AI31" i="181"/>
  <c r="AJ31" i="181"/>
  <c r="AD31" i="181"/>
  <c r="AK31" i="181" s="1"/>
  <c r="AR143" i="124"/>
  <c r="AR131" i="124"/>
  <c r="AR127" i="124"/>
  <c r="AR123" i="124"/>
  <c r="D17" i="172"/>
  <c r="G23" i="172"/>
  <c r="G38" i="173"/>
  <c r="H14" i="173"/>
  <c r="AL37" i="173" s="1"/>
  <c r="H12" i="173"/>
  <c r="I12" i="173" s="1"/>
  <c r="CT20" i="124"/>
  <c r="CT50" i="124"/>
  <c r="CT55" i="124"/>
  <c r="CT44" i="124"/>
  <c r="AA157" i="124"/>
  <c r="I97" i="175"/>
  <c r="M15" i="175"/>
  <c r="I15" i="175"/>
  <c r="N13" i="175"/>
  <c r="F6" i="173"/>
  <c r="I6" i="173" s="1"/>
  <c r="G139" i="124"/>
  <c r="C149" i="172"/>
  <c r="E149" i="172" s="1"/>
  <c r="D83" i="172"/>
  <c r="H83" i="172" s="1"/>
  <c r="P119" i="124"/>
  <c r="AA119" i="124"/>
  <c r="P123" i="124"/>
  <c r="U131" i="124"/>
  <c r="AV131" i="124" s="1"/>
  <c r="U139" i="124"/>
  <c r="P143" i="124"/>
  <c r="D149" i="172"/>
  <c r="C83" i="172"/>
  <c r="E83" i="172" s="1"/>
  <c r="L52" i="175"/>
  <c r="S52" i="175"/>
  <c r="AI43" i="173"/>
  <c r="P35" i="181"/>
  <c r="AC6" i="181"/>
  <c r="F23" i="181"/>
  <c r="L23" i="181" s="1"/>
  <c r="K31" i="181"/>
  <c r="F31" i="181"/>
  <c r="L31" i="181" s="1"/>
  <c r="AG6" i="181"/>
  <c r="G119" i="124"/>
  <c r="U123" i="124"/>
  <c r="AV123" i="124" s="1"/>
  <c r="AA126" i="124"/>
  <c r="AJ127" i="124"/>
  <c r="K131" i="124"/>
  <c r="P131" i="124"/>
  <c r="AA131" i="124"/>
  <c r="AW133" i="124"/>
  <c r="G135" i="124"/>
  <c r="AJ135" i="124"/>
  <c r="AA139" i="124"/>
  <c r="AW141" i="124"/>
  <c r="AA208" i="124"/>
  <c r="G212" i="124"/>
  <c r="CX64" i="124"/>
  <c r="G61" i="172"/>
  <c r="C50" i="172"/>
  <c r="E50" i="172" s="1"/>
  <c r="F17" i="172"/>
  <c r="G18" i="172"/>
  <c r="AP38" i="173"/>
  <c r="AJ35" i="173"/>
  <c r="N10" i="175"/>
  <c r="S35" i="181"/>
  <c r="CT58" i="124"/>
  <c r="G150" i="172"/>
  <c r="G127" i="172"/>
  <c r="G122" i="172"/>
  <c r="F83" i="172"/>
  <c r="D50" i="172"/>
  <c r="C17" i="172"/>
  <c r="E17" i="172" s="1"/>
  <c r="AP42" i="173"/>
  <c r="AP40" i="173"/>
  <c r="L87" i="175"/>
  <c r="S87" i="175"/>
  <c r="AH18" i="181"/>
  <c r="AJ27" i="181"/>
  <c r="AL27" i="181" s="1"/>
  <c r="AG18" i="181"/>
  <c r="AR139" i="124"/>
  <c r="AZ144" i="124"/>
  <c r="AZ145" i="124"/>
  <c r="AZ140" i="124"/>
  <c r="AZ141" i="124"/>
  <c r="CT47" i="124"/>
  <c r="K192" i="124"/>
  <c r="L189" i="124"/>
  <c r="AN161" i="124"/>
  <c r="AY157" i="124"/>
  <c r="AZ154" i="124"/>
  <c r="AZ158" i="124"/>
  <c r="AZ160" i="124"/>
  <c r="AW160" i="124"/>
  <c r="AW156" i="124"/>
  <c r="AV154" i="124"/>
  <c r="AJ143" i="124"/>
  <c r="AV143" i="124" s="1"/>
  <c r="AV145" i="124"/>
  <c r="AW140" i="124"/>
  <c r="AJ139" i="124"/>
  <c r="AW136" i="124"/>
  <c r="AV132" i="124"/>
  <c r="AV128" i="124"/>
  <c r="AW129" i="124"/>
  <c r="AJ123" i="124"/>
  <c r="AV120" i="124"/>
  <c r="AW121" i="124"/>
  <c r="AJ119" i="124"/>
  <c r="AY136" i="124"/>
  <c r="AZ137" i="124"/>
  <c r="AN135" i="124"/>
  <c r="AN131" i="124"/>
  <c r="AZ129" i="124"/>
  <c r="AY126" i="124"/>
  <c r="AZ125" i="124"/>
  <c r="AN123" i="124"/>
  <c r="AZ120" i="124"/>
  <c r="AZ121" i="124"/>
  <c r="AN146" i="124"/>
  <c r="AN119" i="124"/>
  <c r="AW128" i="124"/>
  <c r="AV129" i="124"/>
  <c r="U127" i="124"/>
  <c r="AV127" i="124" s="1"/>
  <c r="AW124" i="124"/>
  <c r="AW120" i="124"/>
  <c r="U119" i="124"/>
  <c r="AV119" i="124" s="1"/>
  <c r="AW137" i="124"/>
  <c r="U135" i="124"/>
  <c r="AW144" i="124"/>
  <c r="P135" i="124"/>
  <c r="P139" i="124"/>
  <c r="P127" i="124"/>
  <c r="K139" i="124"/>
  <c r="K119" i="124"/>
  <c r="K123" i="124"/>
  <c r="G143" i="124"/>
  <c r="G131" i="124"/>
  <c r="G127" i="124"/>
  <c r="G123" i="124"/>
  <c r="AF119" i="124"/>
  <c r="AF123" i="124"/>
  <c r="AF131" i="124"/>
  <c r="AF135" i="124"/>
  <c r="AF139" i="124"/>
  <c r="AY139" i="124" s="1"/>
  <c r="AF143" i="124"/>
  <c r="AY141" i="124"/>
  <c r="AZ136" i="124"/>
  <c r="AZ132" i="124"/>
  <c r="AZ128" i="124"/>
  <c r="AY129" i="124"/>
  <c r="AZ124" i="124"/>
  <c r="AY120" i="124"/>
  <c r="AA127" i="124"/>
  <c r="AA123" i="124"/>
  <c r="AF122" i="124"/>
  <c r="AF212" i="124"/>
  <c r="AF208" i="124"/>
  <c r="AA212" i="124"/>
  <c r="U208" i="124"/>
  <c r="P212" i="124"/>
  <c r="P208" i="124"/>
  <c r="K208" i="124"/>
  <c r="AZ156" i="124"/>
  <c r="AY160" i="124"/>
  <c r="BA157" i="124"/>
  <c r="AH6" i="181"/>
  <c r="G18" i="181"/>
  <c r="AB10" i="181"/>
  <c r="AH10" i="181" s="1"/>
  <c r="AF10" i="181"/>
  <c r="AN10" i="181" s="1"/>
  <c r="AM10" i="181"/>
  <c r="N6" i="181"/>
  <c r="H6" i="181"/>
  <c r="O6" i="181" s="1"/>
  <c r="F10" i="181"/>
  <c r="L10" i="181" s="1"/>
  <c r="H14" i="181"/>
  <c r="O14" i="181" s="1"/>
  <c r="AE14" i="181"/>
  <c r="E18" i="181"/>
  <c r="I18" i="181"/>
  <c r="Q18" i="181" s="1"/>
  <c r="AB35" i="181"/>
  <c r="AH35" i="181" s="1"/>
  <c r="AG10" i="181"/>
  <c r="C5" i="181"/>
  <c r="S31" i="181"/>
  <c r="AA14" i="181"/>
  <c r="AG14" i="181" s="1"/>
  <c r="J6" i="181"/>
  <c r="R6" i="181" s="1"/>
  <c r="F14" i="181"/>
  <c r="L14" i="181" s="1"/>
  <c r="M14" i="181" s="1"/>
  <c r="D18" i="181"/>
  <c r="Q27" i="181"/>
  <c r="J27" i="181"/>
  <c r="R27" i="181" s="1"/>
  <c r="K10" i="181"/>
  <c r="AF35" i="181"/>
  <c r="AN35" i="181" s="1"/>
  <c r="AM35" i="181"/>
  <c r="J14" i="181"/>
  <c r="R14" i="181" s="1"/>
  <c r="AD10" i="181"/>
  <c r="AK10" i="181" s="1"/>
  <c r="AL10" i="181" s="1"/>
  <c r="F6" i="181"/>
  <c r="L6" i="181" s="1"/>
  <c r="AM23" i="181"/>
  <c r="AF23" i="181"/>
  <c r="AN23" i="181" s="1"/>
  <c r="F35" i="181"/>
  <c r="L35" i="181" s="1"/>
  <c r="AC14" i="181"/>
  <c r="Y5" i="181"/>
  <c r="Q6" i="181"/>
  <c r="M27" i="181"/>
  <c r="AP33" i="173"/>
  <c r="AP43" i="173"/>
  <c r="AP39" i="173"/>
  <c r="AP37" i="173"/>
  <c r="AL43" i="173"/>
  <c r="AP45" i="173"/>
  <c r="Q33" i="173"/>
  <c r="Q37" i="173"/>
  <c r="Q45" i="173"/>
  <c r="Q42" i="173"/>
  <c r="Q36" i="173"/>
  <c r="I11" i="173"/>
  <c r="Q41" i="173"/>
  <c r="Q43" i="173"/>
  <c r="Q38" i="173"/>
  <c r="Q44" i="173"/>
  <c r="Q40" i="173"/>
  <c r="AL35" i="173"/>
  <c r="AL38" i="173"/>
  <c r="I37" i="173"/>
  <c r="I45" i="173"/>
  <c r="AL44" i="173"/>
  <c r="I43" i="173"/>
  <c r="AL41" i="173"/>
  <c r="H7" i="173"/>
  <c r="I38" i="173"/>
  <c r="AL36" i="173"/>
  <c r="F7" i="173"/>
  <c r="I7" i="173" s="1"/>
  <c r="I35" i="173"/>
  <c r="I34" i="173"/>
  <c r="AL42" i="173"/>
  <c r="F11" i="173"/>
  <c r="AL45" i="173"/>
  <c r="I44" i="173"/>
  <c r="AL39" i="173"/>
  <c r="I41" i="173"/>
  <c r="I33" i="173"/>
  <c r="AL34" i="173"/>
  <c r="I13" i="173"/>
  <c r="AL40" i="173"/>
  <c r="I39" i="173"/>
  <c r="I14" i="173"/>
  <c r="I36" i="173"/>
  <c r="I15" i="173"/>
  <c r="G149" i="172"/>
  <c r="H149" i="172"/>
  <c r="G50" i="172"/>
  <c r="H50" i="172"/>
  <c r="U38" i="173"/>
  <c r="U39" i="173"/>
  <c r="U40" i="173"/>
  <c r="U41" i="173"/>
  <c r="U42" i="173"/>
  <c r="U43" i="173"/>
  <c r="U44" i="173"/>
  <c r="U33" i="173"/>
  <c r="U34" i="173"/>
  <c r="U35" i="173"/>
  <c r="U36" i="173"/>
  <c r="U45" i="173"/>
  <c r="U37" i="173"/>
  <c r="G83" i="172"/>
  <c r="Q39" i="173"/>
  <c r="AJ34" i="173"/>
  <c r="AL33" i="173"/>
  <c r="AJ33" i="173"/>
  <c r="D116" i="172"/>
  <c r="G56" i="172"/>
  <c r="G41" i="173"/>
  <c r="I40" i="173"/>
  <c r="K39" i="173"/>
  <c r="Q35" i="173"/>
  <c r="I8" i="173"/>
  <c r="Q34" i="173"/>
  <c r="AJ44" i="173"/>
  <c r="C116" i="172"/>
  <c r="E116" i="172" s="1"/>
  <c r="E51" i="172"/>
  <c r="AP41" i="173"/>
  <c r="G39" i="173"/>
  <c r="K37" i="173"/>
  <c r="AJ42" i="173"/>
  <c r="G28" i="172"/>
  <c r="AJ43" i="173"/>
  <c r="AJ41" i="173"/>
  <c r="M97" i="175"/>
  <c r="N97" i="175" s="1"/>
  <c r="AJ40" i="173"/>
  <c r="AJ39" i="173"/>
  <c r="AP36" i="173"/>
  <c r="AP44" i="173"/>
  <c r="AJ38" i="173"/>
  <c r="AP35" i="173"/>
  <c r="G33" i="173"/>
  <c r="AJ37" i="173"/>
  <c r="AJ45" i="173"/>
  <c r="AJ36" i="173"/>
  <c r="AY123" i="124"/>
  <c r="AY122" i="124"/>
  <c r="AY119" i="124"/>
  <c r="AJ161" i="124"/>
  <c r="AY140" i="124"/>
  <c r="AY145" i="124"/>
  <c r="AJ146" i="124"/>
  <c r="AY154" i="124"/>
  <c r="AV156" i="124"/>
  <c r="AV137" i="124"/>
  <c r="AV144" i="124"/>
  <c r="AY128" i="124"/>
  <c r="AY156" i="124"/>
  <c r="AV158" i="124"/>
  <c r="AV125" i="124"/>
  <c r="AY137" i="124"/>
  <c r="AY144" i="124"/>
  <c r="AV136" i="124"/>
  <c r="AY158" i="124"/>
  <c r="AY125" i="124"/>
  <c r="AY124" i="124"/>
  <c r="AY133" i="124"/>
  <c r="AV121" i="124"/>
  <c r="AY121" i="124"/>
  <c r="AW132" i="124"/>
  <c r="AV141" i="124"/>
  <c r="AI6" i="181" l="1"/>
  <c r="AF18" i="181"/>
  <c r="AN18" i="181" s="1"/>
  <c r="P22" i="181"/>
  <c r="P14" i="181"/>
  <c r="P6" i="181"/>
  <c r="AY143" i="124"/>
  <c r="BA122" i="124"/>
  <c r="Z5" i="181"/>
  <c r="AV135" i="124"/>
  <c r="AY127" i="124"/>
  <c r="M23" i="181"/>
  <c r="AL31" i="181"/>
  <c r="AL22" i="181" s="1"/>
  <c r="AJ18" i="181"/>
  <c r="AL18" i="181" s="1"/>
  <c r="H17" i="172"/>
  <c r="AO23" i="181"/>
  <c r="S27" i="181"/>
  <c r="S22" i="181" s="1"/>
  <c r="AI10" i="181"/>
  <c r="M35" i="181"/>
  <c r="M10" i="181"/>
  <c r="G17" i="172"/>
  <c r="AD6" i="181"/>
  <c r="AK6" i="181" s="1"/>
  <c r="AJ6" i="181"/>
  <c r="AO10" i="181"/>
  <c r="M31" i="181"/>
  <c r="AO35" i="181"/>
  <c r="AI18" i="181"/>
  <c r="D5" i="181"/>
  <c r="AO18" i="181"/>
  <c r="AV139" i="124"/>
  <c r="N15" i="175"/>
  <c r="AY135" i="124"/>
  <c r="AY131" i="124"/>
  <c r="H18" i="181"/>
  <c r="O18" i="181" s="1"/>
  <c r="J18" i="181"/>
  <c r="R18" i="181" s="1"/>
  <c r="N18" i="181"/>
  <c r="M6" i="181"/>
  <c r="S14" i="181"/>
  <c r="AF14" i="181"/>
  <c r="AN14" i="181" s="1"/>
  <c r="AM14" i="181"/>
  <c r="S6" i="181"/>
  <c r="AB14" i="181"/>
  <c r="AH14" i="181" s="1"/>
  <c r="AD14" i="181"/>
  <c r="AK14" i="181" s="1"/>
  <c r="AJ14" i="181"/>
  <c r="AI35" i="181"/>
  <c r="AI22" i="181" s="1"/>
  <c r="F18" i="181"/>
  <c r="L18" i="181" s="1"/>
  <c r="K18" i="181"/>
  <c r="G116" i="172"/>
  <c r="H116" i="172"/>
  <c r="M18" i="181" l="1"/>
  <c r="AO22" i="181"/>
  <c r="M22" i="181"/>
  <c r="AO14" i="181"/>
  <c r="AO5" i="181" s="1"/>
  <c r="P18" i="181"/>
  <c r="P5" i="181" s="1"/>
  <c r="AI14" i="181"/>
  <c r="AI5" i="181" s="1"/>
  <c r="AL14" i="181"/>
  <c r="AL6" i="181"/>
  <c r="S18" i="181"/>
  <c r="S5" i="181" s="1"/>
  <c r="M5" i="181"/>
  <c r="W309" i="123"/>
  <c r="W308" i="123"/>
  <c r="W307" i="123"/>
  <c r="W306" i="123"/>
  <c r="W305" i="123"/>
  <c r="W304" i="123"/>
  <c r="V304" i="123"/>
  <c r="W303" i="123"/>
  <c r="W302" i="123"/>
  <c r="W301" i="123"/>
  <c r="W300" i="123"/>
  <c r="W299" i="123"/>
  <c r="W298" i="123"/>
  <c r="W297" i="123"/>
  <c r="W296" i="123"/>
  <c r="V296" i="123"/>
  <c r="W295" i="123"/>
  <c r="W294" i="123"/>
  <c r="W293" i="123"/>
  <c r="W292" i="123"/>
  <c r="W291" i="123"/>
  <c r="V291" i="123"/>
  <c r="W290" i="123"/>
  <c r="W289" i="123"/>
  <c r="W288" i="123"/>
  <c r="W287" i="123"/>
  <c r="W286" i="123"/>
  <c r="V286" i="123"/>
  <c r="W285" i="123"/>
  <c r="V285" i="123"/>
  <c r="T269" i="123"/>
  <c r="S269" i="123"/>
  <c r="T267" i="123"/>
  <c r="T266" i="123"/>
  <c r="S266" i="123"/>
  <c r="T265" i="123"/>
  <c r="S265" i="123"/>
  <c r="T264" i="123"/>
  <c r="S264" i="123"/>
  <c r="R264" i="123"/>
  <c r="AL255" i="123"/>
  <c r="AK255" i="123"/>
  <c r="AJ255" i="123"/>
  <c r="AL251" i="123"/>
  <c r="AK251" i="123"/>
  <c r="AJ251" i="123"/>
  <c r="AL248" i="123"/>
  <c r="AK248" i="123"/>
  <c r="AJ248" i="123"/>
  <c r="AL246" i="123"/>
  <c r="AK246" i="123"/>
  <c r="AJ246" i="123"/>
  <c r="AL244" i="123"/>
  <c r="AK244" i="123"/>
  <c r="AJ244" i="123"/>
  <c r="AL242" i="123"/>
  <c r="AK242" i="123"/>
  <c r="AJ242" i="123"/>
  <c r="AL238" i="123"/>
  <c r="AK238" i="123"/>
  <c r="AJ238" i="123"/>
  <c r="AL236" i="123"/>
  <c r="AK236" i="123"/>
  <c r="AJ236" i="123"/>
  <c r="AL230" i="123"/>
  <c r="AK230" i="123"/>
  <c r="AJ230" i="123"/>
  <c r="AL222" i="123"/>
  <c r="AK222" i="123"/>
  <c r="AJ222" i="123"/>
  <c r="AL218" i="123"/>
  <c r="AK218" i="123"/>
  <c r="AJ218" i="123"/>
  <c r="AL214" i="123"/>
  <c r="AK214" i="123"/>
  <c r="AJ214" i="123"/>
  <c r="AL210" i="123"/>
  <c r="AK210" i="123"/>
  <c r="AJ210" i="123"/>
  <c r="AL206" i="123"/>
  <c r="AK206" i="123"/>
  <c r="AJ206" i="123"/>
  <c r="AL201" i="123"/>
  <c r="AK201" i="123"/>
  <c r="AJ201" i="123"/>
  <c r="AL197" i="123"/>
  <c r="AK197" i="123"/>
  <c r="AJ197" i="123"/>
  <c r="AL193" i="123"/>
  <c r="AK193" i="123"/>
  <c r="AJ193" i="123"/>
  <c r="P265" i="123"/>
  <c r="Q309" i="123"/>
  <c r="G309" i="123"/>
  <c r="P308" i="123"/>
  <c r="L308" i="123"/>
  <c r="H308" i="123"/>
  <c r="P307" i="123"/>
  <c r="L307" i="123"/>
  <c r="H307" i="123"/>
  <c r="P306" i="123"/>
  <c r="L306" i="123"/>
  <c r="H306" i="123"/>
  <c r="P305" i="123"/>
  <c r="L305" i="123"/>
  <c r="H305" i="123"/>
  <c r="S304" i="123"/>
  <c r="R304" i="123"/>
  <c r="O304" i="123"/>
  <c r="N304" i="123"/>
  <c r="M304" i="123"/>
  <c r="K304" i="123"/>
  <c r="J304" i="123"/>
  <c r="I304" i="123"/>
  <c r="G304" i="123"/>
  <c r="F304" i="123"/>
  <c r="E304" i="123"/>
  <c r="D304" i="123"/>
  <c r="P303" i="123"/>
  <c r="L303" i="123"/>
  <c r="H303" i="123"/>
  <c r="P302" i="123"/>
  <c r="L302" i="123"/>
  <c r="H302" i="123"/>
  <c r="P301" i="123"/>
  <c r="L301" i="123"/>
  <c r="H301" i="123"/>
  <c r="P300" i="123"/>
  <c r="L300" i="123"/>
  <c r="H300" i="123"/>
  <c r="P299" i="123"/>
  <c r="L299" i="123"/>
  <c r="H299" i="123"/>
  <c r="P298" i="123"/>
  <c r="L298" i="123"/>
  <c r="H298" i="123"/>
  <c r="P297" i="123"/>
  <c r="L297" i="123"/>
  <c r="H297" i="123"/>
  <c r="S296" i="123"/>
  <c r="R296" i="123"/>
  <c r="O296" i="123"/>
  <c r="N296" i="123"/>
  <c r="M296" i="123"/>
  <c r="P296" i="123" s="1"/>
  <c r="K296" i="123"/>
  <c r="J296" i="123"/>
  <c r="I296" i="123"/>
  <c r="G296" i="123"/>
  <c r="F296" i="123"/>
  <c r="E296" i="123"/>
  <c r="D296" i="123"/>
  <c r="P295" i="123"/>
  <c r="L295" i="123"/>
  <c r="H295" i="123"/>
  <c r="P294" i="123"/>
  <c r="L294" i="123"/>
  <c r="H294" i="123"/>
  <c r="P293" i="123"/>
  <c r="L293" i="123"/>
  <c r="H293" i="123"/>
  <c r="S292" i="123"/>
  <c r="S291" i="123" s="1"/>
  <c r="R292" i="123"/>
  <c r="R291" i="123" s="1"/>
  <c r="O292" i="123"/>
  <c r="N292" i="123"/>
  <c r="N291" i="123" s="1"/>
  <c r="M292" i="123"/>
  <c r="M291" i="123" s="1"/>
  <c r="K292" i="123"/>
  <c r="K291" i="123" s="1"/>
  <c r="J292" i="123"/>
  <c r="I292" i="123"/>
  <c r="G292" i="123"/>
  <c r="G291" i="123" s="1"/>
  <c r="F292" i="123"/>
  <c r="F291" i="123" s="1"/>
  <c r="E292" i="123"/>
  <c r="D292" i="123"/>
  <c r="H292" i="123" s="1"/>
  <c r="O291" i="123"/>
  <c r="J291" i="123"/>
  <c r="I291" i="123"/>
  <c r="E291" i="123"/>
  <c r="P290" i="123"/>
  <c r="L290" i="123"/>
  <c r="H290" i="123"/>
  <c r="P289" i="123"/>
  <c r="L289" i="123"/>
  <c r="H289" i="123"/>
  <c r="P288" i="123"/>
  <c r="H288" i="123"/>
  <c r="S287" i="123"/>
  <c r="R287" i="123"/>
  <c r="O287" i="123"/>
  <c r="O286" i="123" s="1"/>
  <c r="N287" i="123"/>
  <c r="N286" i="123" s="1"/>
  <c r="M287" i="123"/>
  <c r="M286" i="123" s="1"/>
  <c r="J287" i="123"/>
  <c r="J286" i="123" s="1"/>
  <c r="G287" i="123"/>
  <c r="G286" i="123" s="1"/>
  <c r="F287" i="123"/>
  <c r="F286" i="123" s="1"/>
  <c r="E287" i="123"/>
  <c r="E286" i="123" s="1"/>
  <c r="D287" i="123"/>
  <c r="S286" i="123"/>
  <c r="R286" i="123"/>
  <c r="D286" i="123"/>
  <c r="L271" i="123"/>
  <c r="L270" i="123"/>
  <c r="P269" i="123"/>
  <c r="L269" i="123"/>
  <c r="L268" i="123"/>
  <c r="L267" i="123"/>
  <c r="P266" i="123"/>
  <c r="L266" i="123"/>
  <c r="L265" i="123"/>
  <c r="N264" i="123"/>
  <c r="M264" i="123"/>
  <c r="K264" i="123"/>
  <c r="J264" i="123"/>
  <c r="I264" i="123"/>
  <c r="H264" i="123"/>
  <c r="F264" i="123"/>
  <c r="E264" i="123"/>
  <c r="D264" i="123"/>
  <c r="N263" i="123"/>
  <c r="M263" i="123"/>
  <c r="K263" i="123"/>
  <c r="J263" i="123"/>
  <c r="I263" i="123"/>
  <c r="N262" i="123"/>
  <c r="M262" i="123"/>
  <c r="K262" i="123"/>
  <c r="J262" i="123"/>
  <c r="I262" i="123"/>
  <c r="AD254" i="123"/>
  <c r="Z254" i="123"/>
  <c r="V254" i="123"/>
  <c r="P254" i="123"/>
  <c r="L254" i="123"/>
  <c r="H254" i="123"/>
  <c r="AD253" i="123"/>
  <c r="Z253" i="123"/>
  <c r="AD252" i="123"/>
  <c r="Z252" i="123"/>
  <c r="V252" i="123"/>
  <c r="P252" i="123"/>
  <c r="L252" i="123"/>
  <c r="H252" i="123"/>
  <c r="AD251" i="123"/>
  <c r="Z251" i="123"/>
  <c r="T251" i="123"/>
  <c r="S251" i="123"/>
  <c r="R251" i="123"/>
  <c r="O251" i="123"/>
  <c r="N251" i="123"/>
  <c r="M251" i="123"/>
  <c r="K251" i="123"/>
  <c r="J251" i="123"/>
  <c r="I251" i="123"/>
  <c r="F251" i="123"/>
  <c r="E251" i="123"/>
  <c r="D251" i="123"/>
  <c r="AD250" i="123"/>
  <c r="Z250" i="123"/>
  <c r="V250" i="123"/>
  <c r="P250" i="123"/>
  <c r="L250" i="123"/>
  <c r="H250" i="123"/>
  <c r="AD249" i="123"/>
  <c r="Z249" i="123"/>
  <c r="V249" i="123"/>
  <c r="P249" i="123"/>
  <c r="L249" i="123"/>
  <c r="H249" i="123"/>
  <c r="AD248" i="123"/>
  <c r="Z248" i="123"/>
  <c r="T248" i="123"/>
  <c r="S248" i="123"/>
  <c r="R248" i="123"/>
  <c r="O248" i="123"/>
  <c r="N248" i="123"/>
  <c r="M248" i="123"/>
  <c r="K248" i="123"/>
  <c r="J248" i="123"/>
  <c r="I248" i="123"/>
  <c r="F248" i="123"/>
  <c r="E248" i="123"/>
  <c r="D248" i="123"/>
  <c r="AD247" i="123"/>
  <c r="Z247" i="123"/>
  <c r="V247" i="123"/>
  <c r="P247" i="123"/>
  <c r="L247" i="123"/>
  <c r="H247" i="123"/>
  <c r="AD246" i="123"/>
  <c r="Z246" i="123"/>
  <c r="T246" i="123"/>
  <c r="S246" i="123"/>
  <c r="R246" i="123"/>
  <c r="O246" i="123"/>
  <c r="N246" i="123"/>
  <c r="M246" i="123"/>
  <c r="K246" i="123"/>
  <c r="J246" i="123"/>
  <c r="I246" i="123"/>
  <c r="F246" i="123"/>
  <c r="E246" i="123"/>
  <c r="D246" i="123"/>
  <c r="AD245" i="123"/>
  <c r="Z245" i="123"/>
  <c r="V245" i="123"/>
  <c r="P245" i="123"/>
  <c r="L245" i="123"/>
  <c r="H245" i="123"/>
  <c r="AD244" i="123"/>
  <c r="Z244" i="123"/>
  <c r="T244" i="123"/>
  <c r="S244" i="123"/>
  <c r="R244" i="123"/>
  <c r="O244" i="123"/>
  <c r="N244" i="123"/>
  <c r="M244" i="123"/>
  <c r="K244" i="123"/>
  <c r="J244" i="123"/>
  <c r="I244" i="123"/>
  <c r="F244" i="123"/>
  <c r="E244" i="123"/>
  <c r="D244" i="123"/>
  <c r="AD243" i="123"/>
  <c r="Z243" i="123"/>
  <c r="V243" i="123"/>
  <c r="P243" i="123"/>
  <c r="L243" i="123"/>
  <c r="H243" i="123"/>
  <c r="AD242" i="123"/>
  <c r="Z242" i="123"/>
  <c r="T242" i="123"/>
  <c r="S242" i="123"/>
  <c r="R242" i="123"/>
  <c r="O242" i="123"/>
  <c r="N242" i="123"/>
  <c r="M242" i="123"/>
  <c r="K242" i="123"/>
  <c r="J242" i="123"/>
  <c r="I242" i="123"/>
  <c r="F242" i="123"/>
  <c r="E242" i="123"/>
  <c r="D242" i="123"/>
  <c r="AF241" i="123"/>
  <c r="AE241" i="123"/>
  <c r="AE240" i="123" s="1"/>
  <c r="AE255" i="123" s="1"/>
  <c r="AC241" i="123"/>
  <c r="AC240" i="123" s="1"/>
  <c r="AC255" i="123" s="1"/>
  <c r="AB241" i="123"/>
  <c r="AB240" i="123" s="1"/>
  <c r="AB255" i="123" s="1"/>
  <c r="AA241" i="123"/>
  <c r="AA240" i="123" s="1"/>
  <c r="Y241" i="123"/>
  <c r="Y240" i="123" s="1"/>
  <c r="Y255" i="123" s="1"/>
  <c r="X241" i="123"/>
  <c r="X240" i="123" s="1"/>
  <c r="X255" i="123" s="1"/>
  <c r="W241" i="123"/>
  <c r="W240" i="123" s="1"/>
  <c r="AF240" i="123"/>
  <c r="AF255" i="123" s="1"/>
  <c r="AD239" i="123"/>
  <c r="Z239" i="123"/>
  <c r="V239" i="123"/>
  <c r="P239" i="123"/>
  <c r="L239" i="123"/>
  <c r="H239" i="123"/>
  <c r="AD238" i="123"/>
  <c r="Z238" i="123"/>
  <c r="T238" i="123"/>
  <c r="S238" i="123"/>
  <c r="R238" i="123"/>
  <c r="O238" i="123"/>
  <c r="N238" i="123"/>
  <c r="M238" i="123"/>
  <c r="K238" i="123"/>
  <c r="J238" i="123"/>
  <c r="I238" i="123"/>
  <c r="F238" i="123"/>
  <c r="E238" i="123"/>
  <c r="D238" i="123"/>
  <c r="AD237" i="123"/>
  <c r="Z237" i="123"/>
  <c r="V237" i="123"/>
  <c r="P237" i="123"/>
  <c r="L237" i="123"/>
  <c r="H237" i="123"/>
  <c r="AD236" i="123"/>
  <c r="Z236" i="123"/>
  <c r="AD229" i="123"/>
  <c r="Z229" i="123"/>
  <c r="V229" i="123"/>
  <c r="P229" i="123"/>
  <c r="L229" i="123"/>
  <c r="H229" i="123"/>
  <c r="AD228" i="123"/>
  <c r="Z228" i="123"/>
  <c r="V228" i="123"/>
  <c r="AG228" i="123" s="1"/>
  <c r="P228" i="123"/>
  <c r="L228" i="123"/>
  <c r="H228" i="123"/>
  <c r="AF227" i="123"/>
  <c r="AE227" i="123"/>
  <c r="AC227" i="123"/>
  <c r="AB227" i="123"/>
  <c r="AA227" i="123"/>
  <c r="Y227" i="123"/>
  <c r="X227" i="123"/>
  <c r="W227" i="123"/>
  <c r="T227" i="123"/>
  <c r="S227" i="123"/>
  <c r="R227" i="123"/>
  <c r="O227" i="123"/>
  <c r="N227" i="123"/>
  <c r="M227" i="123"/>
  <c r="K227" i="123"/>
  <c r="J227" i="123"/>
  <c r="I227" i="123"/>
  <c r="F227" i="123"/>
  <c r="E227" i="123"/>
  <c r="D227" i="123"/>
  <c r="AD226" i="123"/>
  <c r="Z226" i="123"/>
  <c r="AD225" i="123"/>
  <c r="Z225" i="123"/>
  <c r="V225" i="123"/>
  <c r="P225" i="123"/>
  <c r="L225" i="123"/>
  <c r="H225" i="123"/>
  <c r="AD224" i="123"/>
  <c r="Z224" i="123"/>
  <c r="V224" i="123"/>
  <c r="P224" i="123"/>
  <c r="L224" i="123"/>
  <c r="H224" i="123"/>
  <c r="AF223" i="123"/>
  <c r="AE223" i="123"/>
  <c r="AC223" i="123"/>
  <c r="AB223" i="123"/>
  <c r="AA223" i="123"/>
  <c r="Y223" i="123"/>
  <c r="X223" i="123"/>
  <c r="W223" i="123"/>
  <c r="T223" i="123"/>
  <c r="S223" i="123"/>
  <c r="R223" i="123"/>
  <c r="O223" i="123"/>
  <c r="N223" i="123"/>
  <c r="M223" i="123"/>
  <c r="K223" i="123"/>
  <c r="J223" i="123"/>
  <c r="I223" i="123"/>
  <c r="F223" i="123"/>
  <c r="E223" i="123"/>
  <c r="D223" i="123"/>
  <c r="AD222" i="123"/>
  <c r="Z222" i="123"/>
  <c r="AD221" i="123"/>
  <c r="Z221" i="123"/>
  <c r="V221" i="123"/>
  <c r="AH221" i="123" s="1"/>
  <c r="P221" i="123"/>
  <c r="L221" i="123"/>
  <c r="H221" i="123"/>
  <c r="AD220" i="123"/>
  <c r="Z220" i="123"/>
  <c r="V220" i="123"/>
  <c r="P220" i="123"/>
  <c r="L220" i="123"/>
  <c r="H220" i="123"/>
  <c r="AF219" i="123"/>
  <c r="AE219" i="123"/>
  <c r="AC219" i="123"/>
  <c r="AB219" i="123"/>
  <c r="AA219" i="123"/>
  <c r="Y219" i="123"/>
  <c r="X219" i="123"/>
  <c r="W219" i="123"/>
  <c r="T219" i="123"/>
  <c r="S219" i="123"/>
  <c r="R219" i="123"/>
  <c r="O219" i="123"/>
  <c r="N219" i="123"/>
  <c r="M219" i="123"/>
  <c r="K219" i="123"/>
  <c r="J219" i="123"/>
  <c r="I219" i="123"/>
  <c r="F219" i="123"/>
  <c r="E219" i="123"/>
  <c r="D219" i="123"/>
  <c r="AD218" i="123"/>
  <c r="Z218" i="123"/>
  <c r="AD217" i="123"/>
  <c r="Z217" i="123"/>
  <c r="V217" i="123"/>
  <c r="P217" i="123"/>
  <c r="L217" i="123"/>
  <c r="H217" i="123"/>
  <c r="AD216" i="123"/>
  <c r="Z216" i="123"/>
  <c r="V216" i="123"/>
  <c r="AG216" i="123" s="1"/>
  <c r="P216" i="123"/>
  <c r="L216" i="123"/>
  <c r="H216" i="123"/>
  <c r="AF215" i="123"/>
  <c r="AE215" i="123"/>
  <c r="AC215" i="123"/>
  <c r="AB215" i="123"/>
  <c r="AA215" i="123"/>
  <c r="Y215" i="123"/>
  <c r="X215" i="123"/>
  <c r="W215" i="123"/>
  <c r="T215" i="123"/>
  <c r="S215" i="123"/>
  <c r="R215" i="123"/>
  <c r="O215" i="123"/>
  <c r="N215" i="123"/>
  <c r="M215" i="123"/>
  <c r="K215" i="123"/>
  <c r="J215" i="123"/>
  <c r="I215" i="123"/>
  <c r="F215" i="123"/>
  <c r="E215" i="123"/>
  <c r="D215" i="123"/>
  <c r="AD214" i="123"/>
  <c r="Z214" i="123"/>
  <c r="AD213" i="123"/>
  <c r="Z213" i="123"/>
  <c r="V213" i="123"/>
  <c r="P213" i="123"/>
  <c r="L213" i="123"/>
  <c r="H213" i="123"/>
  <c r="AD212" i="123"/>
  <c r="Z212" i="123"/>
  <c r="V212" i="123"/>
  <c r="P212" i="123"/>
  <c r="L212" i="123"/>
  <c r="H212" i="123"/>
  <c r="AF211" i="123"/>
  <c r="AE211" i="123"/>
  <c r="AC211" i="123"/>
  <c r="AB211" i="123"/>
  <c r="AA211" i="123"/>
  <c r="Y211" i="123"/>
  <c r="X211" i="123"/>
  <c r="W211" i="123"/>
  <c r="T211" i="123"/>
  <c r="S211" i="123"/>
  <c r="R211" i="123"/>
  <c r="O211" i="123"/>
  <c r="N211" i="123"/>
  <c r="M211" i="123"/>
  <c r="K211" i="123"/>
  <c r="J211" i="123"/>
  <c r="I211" i="123"/>
  <c r="F211" i="123"/>
  <c r="E211" i="123"/>
  <c r="D211" i="123"/>
  <c r="AD210" i="123"/>
  <c r="Z210" i="123"/>
  <c r="AD209" i="123"/>
  <c r="Z209" i="123"/>
  <c r="V209" i="123"/>
  <c r="AG209" i="123" s="1"/>
  <c r="P209" i="123"/>
  <c r="L209" i="123"/>
  <c r="H209" i="123"/>
  <c r="AD208" i="123"/>
  <c r="Z208" i="123"/>
  <c r="V208" i="123"/>
  <c r="P208" i="123"/>
  <c r="L208" i="123"/>
  <c r="H208" i="123"/>
  <c r="AF207" i="123"/>
  <c r="AE207" i="123"/>
  <c r="AC207" i="123"/>
  <c r="AB207" i="123"/>
  <c r="AA207" i="123"/>
  <c r="Y207" i="123"/>
  <c r="X207" i="123"/>
  <c r="W207" i="123"/>
  <c r="T207" i="123"/>
  <c r="S207" i="123"/>
  <c r="R207" i="123"/>
  <c r="O207" i="123"/>
  <c r="N207" i="123"/>
  <c r="M207" i="123"/>
  <c r="K207" i="123"/>
  <c r="J207" i="123"/>
  <c r="I207" i="123"/>
  <c r="F207" i="123"/>
  <c r="E207" i="123"/>
  <c r="D207" i="123"/>
  <c r="AD206" i="123"/>
  <c r="Z206" i="123"/>
  <c r="AF205" i="123"/>
  <c r="AF230" i="123" s="1"/>
  <c r="AE205" i="123"/>
  <c r="AE230" i="123" s="1"/>
  <c r="AC205" i="123"/>
  <c r="AC230" i="123" s="1"/>
  <c r="AB205" i="123"/>
  <c r="AB230" i="123" s="1"/>
  <c r="AA205" i="123"/>
  <c r="Y205" i="123"/>
  <c r="Y230" i="123" s="1"/>
  <c r="X205" i="123"/>
  <c r="X230" i="123" s="1"/>
  <c r="W205" i="123"/>
  <c r="AD204" i="123"/>
  <c r="Z204" i="123"/>
  <c r="V204" i="123"/>
  <c r="P204" i="123"/>
  <c r="L204" i="123"/>
  <c r="H204" i="123"/>
  <c r="AD203" i="123"/>
  <c r="Z203" i="123"/>
  <c r="V203" i="123"/>
  <c r="P203" i="123"/>
  <c r="L203" i="123"/>
  <c r="H203" i="123"/>
  <c r="AF202" i="123"/>
  <c r="AE202" i="123"/>
  <c r="AC202" i="123"/>
  <c r="AB202" i="123"/>
  <c r="AA202" i="123"/>
  <c r="Y202" i="123"/>
  <c r="X202" i="123"/>
  <c r="W202" i="123"/>
  <c r="Z202" i="123" s="1"/>
  <c r="T202" i="123"/>
  <c r="S202" i="123"/>
  <c r="R202" i="123"/>
  <c r="O202" i="123"/>
  <c r="N202" i="123"/>
  <c r="M202" i="123"/>
  <c r="K202" i="123"/>
  <c r="J202" i="123"/>
  <c r="I202" i="123"/>
  <c r="F202" i="123"/>
  <c r="E202" i="123"/>
  <c r="D202" i="123"/>
  <c r="AD201" i="123"/>
  <c r="Z201" i="123"/>
  <c r="AD200" i="123"/>
  <c r="Z200" i="123"/>
  <c r="V200" i="123"/>
  <c r="P200" i="123"/>
  <c r="L200" i="123"/>
  <c r="H200" i="123"/>
  <c r="AD199" i="123"/>
  <c r="Z199" i="123"/>
  <c r="V199" i="123"/>
  <c r="P199" i="123"/>
  <c r="L199" i="123"/>
  <c r="H199" i="123"/>
  <c r="AF198" i="123"/>
  <c r="AE198" i="123"/>
  <c r="AC198" i="123"/>
  <c r="AB198" i="123"/>
  <c r="AA198" i="123"/>
  <c r="Y198" i="123"/>
  <c r="X198" i="123"/>
  <c r="W198" i="123"/>
  <c r="T198" i="123"/>
  <c r="S198" i="123"/>
  <c r="R198" i="123"/>
  <c r="O198" i="123"/>
  <c r="N198" i="123"/>
  <c r="M198" i="123"/>
  <c r="K198" i="123"/>
  <c r="J198" i="123"/>
  <c r="I198" i="123"/>
  <c r="F198" i="123"/>
  <c r="E198" i="123"/>
  <c r="D198" i="123"/>
  <c r="AD197" i="123"/>
  <c r="Z197" i="123"/>
  <c r="T197" i="123"/>
  <c r="S197" i="123"/>
  <c r="R197" i="123"/>
  <c r="O197" i="123"/>
  <c r="N197" i="123"/>
  <c r="M197" i="123"/>
  <c r="K197" i="123"/>
  <c r="J197" i="123"/>
  <c r="I197" i="123"/>
  <c r="F197" i="123"/>
  <c r="E197" i="123"/>
  <c r="D197" i="123"/>
  <c r="AD196" i="123"/>
  <c r="Z196" i="123"/>
  <c r="V196" i="123"/>
  <c r="P196" i="123"/>
  <c r="L196" i="123"/>
  <c r="H196" i="123"/>
  <c r="AD195" i="123"/>
  <c r="Z195" i="123"/>
  <c r="AG195" i="123" s="1"/>
  <c r="V195" i="123"/>
  <c r="P195" i="123"/>
  <c r="L195" i="123"/>
  <c r="H195" i="123"/>
  <c r="AF194" i="123"/>
  <c r="AE194" i="123"/>
  <c r="AC194" i="123"/>
  <c r="AB194" i="123"/>
  <c r="AA194" i="123"/>
  <c r="Y194" i="123"/>
  <c r="X194" i="123"/>
  <c r="W194" i="123"/>
  <c r="T194" i="123"/>
  <c r="S194" i="123"/>
  <c r="R194" i="123"/>
  <c r="O194" i="123"/>
  <c r="N194" i="123"/>
  <c r="M194" i="123"/>
  <c r="K194" i="123"/>
  <c r="J194" i="123"/>
  <c r="L194" i="123" s="1"/>
  <c r="I194" i="123"/>
  <c r="F194" i="123"/>
  <c r="E194" i="123"/>
  <c r="D194" i="123"/>
  <c r="AD193" i="123"/>
  <c r="Z193" i="123"/>
  <c r="AI142" i="123"/>
  <c r="AI141" i="123"/>
  <c r="AK140" i="123"/>
  <c r="AJ140" i="123"/>
  <c r="AI139" i="123"/>
  <c r="AI138" i="123"/>
  <c r="AI140" i="123" s="1"/>
  <c r="AI137" i="123"/>
  <c r="AI136" i="123"/>
  <c r="AI135" i="123" s="1"/>
  <c r="AK135" i="123"/>
  <c r="S309" i="123" s="1"/>
  <c r="AJ135" i="123"/>
  <c r="R309" i="123" s="1"/>
  <c r="AI134" i="123"/>
  <c r="AI133" i="123"/>
  <c r="AI132" i="123"/>
  <c r="AI131" i="123"/>
  <c r="AK130" i="123"/>
  <c r="AJ130" i="123"/>
  <c r="AI129" i="123"/>
  <c r="AI128" i="123"/>
  <c r="AI127" i="123"/>
  <c r="AI126" i="123"/>
  <c r="AI125" i="123"/>
  <c r="AI124" i="123"/>
  <c r="AI123" i="123"/>
  <c r="AK122" i="123"/>
  <c r="AJ122" i="123"/>
  <c r="AI121" i="123"/>
  <c r="AI120" i="123"/>
  <c r="AI119" i="123"/>
  <c r="AI117" i="123"/>
  <c r="AI116" i="123"/>
  <c r="AI115" i="123"/>
  <c r="AI112" i="123"/>
  <c r="AI111" i="123"/>
  <c r="AI110" i="123"/>
  <c r="AI108" i="123"/>
  <c r="AI107" i="123"/>
  <c r="AI106" i="123"/>
  <c r="AI105" i="123"/>
  <c r="AI104" i="123"/>
  <c r="AI103" i="123"/>
  <c r="AI102" i="123"/>
  <c r="AI98" i="123"/>
  <c r="AI97" i="123"/>
  <c r="AI96" i="123"/>
  <c r="AK95" i="123"/>
  <c r="AJ95" i="123"/>
  <c r="AI94" i="123"/>
  <c r="AI93" i="123"/>
  <c r="AK92" i="123"/>
  <c r="AJ92" i="123"/>
  <c r="AI91" i="123"/>
  <c r="AI90" i="123"/>
  <c r="AI89" i="123"/>
  <c r="L263" i="123" s="1"/>
  <c r="AI88" i="123"/>
  <c r="L262" i="123" s="1"/>
  <c r="AK87" i="123"/>
  <c r="AJ87" i="123"/>
  <c r="AI86" i="123"/>
  <c r="AI85" i="123"/>
  <c r="AI84" i="123"/>
  <c r="AI83" i="123"/>
  <c r="AI82" i="123"/>
  <c r="AI81" i="123" s="1"/>
  <c r="AK81" i="123"/>
  <c r="AK79" i="123" s="1"/>
  <c r="AJ81" i="123"/>
  <c r="AJ79" i="123" s="1"/>
  <c r="AI80" i="123"/>
  <c r="AI78" i="123"/>
  <c r="AI77" i="123"/>
  <c r="AI76" i="123"/>
  <c r="AI74" i="123"/>
  <c r="AI73" i="123"/>
  <c r="AI72" i="123"/>
  <c r="AI71" i="123"/>
  <c r="AI70" i="123"/>
  <c r="AI69" i="123"/>
  <c r="AI65" i="123"/>
  <c r="AI64" i="123"/>
  <c r="AI63" i="123"/>
  <c r="AI62" i="123"/>
  <c r="AI61" i="123"/>
  <c r="AI60" i="123"/>
  <c r="AI59" i="123"/>
  <c r="AK58" i="123"/>
  <c r="AJ58" i="123"/>
  <c r="AI57" i="123"/>
  <c r="AI56" i="123"/>
  <c r="AI55" i="123"/>
  <c r="AI54" i="123"/>
  <c r="AI53" i="123"/>
  <c r="AI49" i="123"/>
  <c r="AI48" i="123"/>
  <c r="AI47" i="123"/>
  <c r="AK46" i="123"/>
  <c r="AJ46" i="123"/>
  <c r="AJ39" i="123" s="1"/>
  <c r="AI44" i="123"/>
  <c r="AI43" i="123"/>
  <c r="AI42" i="123"/>
  <c r="AI41" i="123"/>
  <c r="AK40" i="123"/>
  <c r="AJ40" i="123"/>
  <c r="AI38" i="123"/>
  <c r="AI37" i="123"/>
  <c r="AI36" i="123"/>
  <c r="AI35" i="123"/>
  <c r="AI34" i="123"/>
  <c r="AI32" i="123"/>
  <c r="AI31" i="123"/>
  <c r="AI30" i="123"/>
  <c r="AI29" i="123"/>
  <c r="AI28" i="123"/>
  <c r="AI25" i="123"/>
  <c r="AI23" i="123"/>
  <c r="AI22" i="123"/>
  <c r="AI21" i="123"/>
  <c r="AI20" i="123"/>
  <c r="AK19" i="123"/>
  <c r="AJ19" i="123"/>
  <c r="AI87" i="123" l="1"/>
  <c r="AK39" i="123"/>
  <c r="AI40" i="123"/>
  <c r="V198" i="123"/>
  <c r="L202" i="123"/>
  <c r="AH208" i="123"/>
  <c r="AH237" i="123"/>
  <c r="L242" i="123"/>
  <c r="L246" i="123"/>
  <c r="J261" i="123"/>
  <c r="AD219" i="123"/>
  <c r="AH220" i="123"/>
  <c r="AH228" i="123"/>
  <c r="AH203" i="123"/>
  <c r="AI95" i="123"/>
  <c r="L215" i="123"/>
  <c r="AD215" i="123"/>
  <c r="H238" i="123"/>
  <c r="N261" i="123"/>
  <c r="L264" i="123"/>
  <c r="AI19" i="123"/>
  <c r="AI92" i="123"/>
  <c r="Z194" i="123"/>
  <c r="H202" i="123"/>
  <c r="L219" i="123"/>
  <c r="H248" i="123"/>
  <c r="K261" i="123"/>
  <c r="L261" i="123"/>
  <c r="AI122" i="123"/>
  <c r="AD194" i="123"/>
  <c r="AD207" i="123"/>
  <c r="AH247" i="123"/>
  <c r="P292" i="123"/>
  <c r="L304" i="123"/>
  <c r="L292" i="123"/>
  <c r="H304" i="123"/>
  <c r="D291" i="123"/>
  <c r="AH254" i="123"/>
  <c r="V227" i="123"/>
  <c r="AG229" i="123"/>
  <c r="AH225" i="123"/>
  <c r="AH199" i="123"/>
  <c r="P227" i="123"/>
  <c r="P223" i="123"/>
  <c r="P211" i="123"/>
  <c r="L227" i="123"/>
  <c r="V244" i="123"/>
  <c r="AG244" i="123" s="1"/>
  <c r="V246" i="123"/>
  <c r="AG246" i="123" s="1"/>
  <c r="P251" i="123"/>
  <c r="L248" i="123"/>
  <c r="L238" i="123"/>
  <c r="H227" i="123"/>
  <c r="H198" i="123"/>
  <c r="H242" i="123"/>
  <c r="AI46" i="123"/>
  <c r="AI39" i="123" s="1"/>
  <c r="P194" i="123"/>
  <c r="H197" i="123"/>
  <c r="P198" i="123"/>
  <c r="Z198" i="123"/>
  <c r="AG200" i="123"/>
  <c r="P202" i="123"/>
  <c r="V202" i="123"/>
  <c r="AG202" i="123" s="1"/>
  <c r="AG204" i="123"/>
  <c r="P207" i="123"/>
  <c r="V211" i="123"/>
  <c r="AH213" i="123"/>
  <c r="H215" i="123"/>
  <c r="P215" i="123"/>
  <c r="Z215" i="123"/>
  <c r="AH216" i="123"/>
  <c r="AH217" i="123"/>
  <c r="P219" i="123"/>
  <c r="AG220" i="123"/>
  <c r="AG225" i="123"/>
  <c r="Z227" i="123"/>
  <c r="AG227" i="123" s="1"/>
  <c r="V238" i="123"/>
  <c r="AI238" i="123" s="1"/>
  <c r="AG239" i="123"/>
  <c r="P242" i="123"/>
  <c r="V242" i="123"/>
  <c r="AG242" i="123" s="1"/>
  <c r="P244" i="123"/>
  <c r="AH245" i="123"/>
  <c r="H246" i="123"/>
  <c r="P248" i="123"/>
  <c r="AG250" i="123"/>
  <c r="V251" i="123"/>
  <c r="AG251" i="123" s="1"/>
  <c r="AH252" i="123"/>
  <c r="H291" i="123"/>
  <c r="L291" i="123"/>
  <c r="H286" i="123"/>
  <c r="R285" i="123"/>
  <c r="AI58" i="123"/>
  <c r="AI79" i="123"/>
  <c r="H194" i="123"/>
  <c r="AH195" i="123"/>
  <c r="AG196" i="123"/>
  <c r="P197" i="123"/>
  <c r="L198" i="123"/>
  <c r="AD202" i="123"/>
  <c r="AD205" i="123"/>
  <c r="AD230" i="123" s="1"/>
  <c r="H207" i="123"/>
  <c r="Z207" i="123"/>
  <c r="AG208" i="123"/>
  <c r="L211" i="123"/>
  <c r="AD211" i="123"/>
  <c r="AH212" i="123"/>
  <c r="H219" i="123"/>
  <c r="Z219" i="123"/>
  <c r="L223" i="123"/>
  <c r="V223" i="123"/>
  <c r="AD223" i="123"/>
  <c r="AH224" i="123"/>
  <c r="AD227" i="123"/>
  <c r="AH229" i="123"/>
  <c r="P238" i="123"/>
  <c r="L244" i="123"/>
  <c r="P246" i="123"/>
  <c r="V248" i="123"/>
  <c r="AG248" i="123" s="1"/>
  <c r="AH249" i="123"/>
  <c r="L251" i="123"/>
  <c r="S285" i="123"/>
  <c r="P286" i="123"/>
  <c r="H296" i="123"/>
  <c r="L296" i="123"/>
  <c r="AL5" i="181"/>
  <c r="AI130" i="123"/>
  <c r="V194" i="123"/>
  <c r="AG194" i="123" s="1"/>
  <c r="L197" i="123"/>
  <c r="AD198" i="123"/>
  <c r="Z205" i="123"/>
  <c r="Z230" i="123" s="1"/>
  <c r="L207" i="123"/>
  <c r="V207" i="123"/>
  <c r="AG207" i="123" s="1"/>
  <c r="H211" i="123"/>
  <c r="Z211" i="123"/>
  <c r="V215" i="123"/>
  <c r="V219" i="123"/>
  <c r="AG219" i="123" s="1"/>
  <c r="H223" i="123"/>
  <c r="Z223" i="123"/>
  <c r="AH243" i="123"/>
  <c r="H244" i="123"/>
  <c r="H251" i="123"/>
  <c r="I261" i="123"/>
  <c r="M261" i="123"/>
  <c r="H287" i="123"/>
  <c r="P287" i="123"/>
  <c r="Z240" i="123"/>
  <c r="W255" i="123"/>
  <c r="AD240" i="123"/>
  <c r="AD255" i="123" s="1"/>
  <c r="AA255" i="123"/>
  <c r="AG198" i="123"/>
  <c r="P291" i="123"/>
  <c r="AH196" i="123"/>
  <c r="AG249" i="123"/>
  <c r="AH200" i="123"/>
  <c r="AG213" i="123"/>
  <c r="AG237" i="123"/>
  <c r="AH239" i="123"/>
  <c r="Z241" i="123"/>
  <c r="AG247" i="123"/>
  <c r="AG224" i="123"/>
  <c r="AH204" i="123"/>
  <c r="AG217" i="123"/>
  <c r="AG245" i="123"/>
  <c r="AG252" i="123"/>
  <c r="AG221" i="123"/>
  <c r="AD241" i="123"/>
  <c r="AG243" i="123"/>
  <c r="P304" i="123"/>
  <c r="AG254" i="123"/>
  <c r="W230" i="123"/>
  <c r="V197" i="123"/>
  <c r="AG197" i="123" s="1"/>
  <c r="AH209" i="123"/>
  <c r="AG199" i="123"/>
  <c r="AG212" i="123"/>
  <c r="AG203" i="123"/>
  <c r="AA230" i="123"/>
  <c r="AG238" i="123" l="1"/>
  <c r="AG215" i="123"/>
  <c r="AG223" i="123"/>
  <c r="AI197" i="123"/>
  <c r="AG211" i="123"/>
  <c r="Z255" i="123"/>
  <c r="M46" i="121" l="1"/>
  <c r="L46" i="121"/>
  <c r="C58" i="121"/>
  <c r="O280" i="30"/>
  <c r="K280" i="30" s="1"/>
  <c r="P280" i="30"/>
  <c r="L280" i="30" s="1"/>
  <c r="N282" i="30"/>
  <c r="H277" i="30"/>
  <c r="H285" i="30"/>
  <c r="N274" i="30"/>
  <c r="N273" i="30"/>
  <c r="O273" i="30"/>
  <c r="P273" i="30"/>
  <c r="O274" i="30"/>
  <c r="P274" i="30"/>
  <c r="B241" i="20"/>
  <c r="B240" i="20"/>
  <c r="Q265" i="30"/>
  <c r="N265" i="30" s="1"/>
  <c r="Q264" i="30"/>
  <c r="N264" i="30" s="1"/>
  <c r="B232" i="20"/>
  <c r="B231" i="20"/>
  <c r="O255" i="30"/>
  <c r="K255" i="30" s="1"/>
  <c r="P255" i="30"/>
  <c r="L255" i="30" s="1"/>
  <c r="Q255" i="30"/>
  <c r="M255" i="30" s="1"/>
  <c r="O256" i="30"/>
  <c r="K256" i="30" s="1"/>
  <c r="P256" i="30"/>
  <c r="L256" i="30" s="1"/>
  <c r="Q256" i="30"/>
  <c r="M256" i="30" s="1"/>
  <c r="B223" i="20"/>
  <c r="B222" i="20"/>
  <c r="Q247" i="30"/>
  <c r="M247" i="30" s="1"/>
  <c r="N247" i="30" s="1"/>
  <c r="P247" i="30"/>
  <c r="L247" i="30" s="1"/>
  <c r="O247" i="30"/>
  <c r="K247" i="30" s="1"/>
  <c r="Q246" i="30"/>
  <c r="M246" i="30" s="1"/>
  <c r="N246" i="30" s="1"/>
  <c r="P246" i="30"/>
  <c r="L246" i="30" s="1"/>
  <c r="O246" i="30"/>
  <c r="K246" i="30" s="1"/>
  <c r="P242" i="30"/>
  <c r="L242" i="30" s="1"/>
  <c r="O242" i="30"/>
  <c r="K242" i="30" s="1"/>
  <c r="B214" i="20"/>
  <c r="B213" i="20"/>
  <c r="O228" i="30"/>
  <c r="K228" i="30" s="1"/>
  <c r="P228" i="30"/>
  <c r="L228" i="30" s="1"/>
  <c r="Q228" i="30"/>
  <c r="M228" i="30" s="1"/>
  <c r="O229" i="30"/>
  <c r="K229" i="30" s="1"/>
  <c r="P229" i="30"/>
  <c r="L229" i="30" s="1"/>
  <c r="Q229" i="30"/>
  <c r="M229" i="30" s="1"/>
  <c r="B196" i="20"/>
  <c r="B195" i="20"/>
  <c r="O219" i="30"/>
  <c r="K219" i="30" s="1"/>
  <c r="N219" i="30" s="1"/>
  <c r="P219" i="30"/>
  <c r="L219" i="30" s="1"/>
  <c r="O220" i="30"/>
  <c r="K220" i="30" s="1"/>
  <c r="P220" i="30"/>
  <c r="L220" i="30" s="1"/>
  <c r="B187" i="20"/>
  <c r="B186" i="20"/>
  <c r="O201" i="30"/>
  <c r="K201" i="30" s="1"/>
  <c r="P201" i="30"/>
  <c r="L201" i="30" s="1"/>
  <c r="Q201" i="30"/>
  <c r="M201" i="30" s="1"/>
  <c r="N201" i="30" s="1"/>
  <c r="O202" i="30"/>
  <c r="K202" i="30"/>
  <c r="P202" i="30"/>
  <c r="L202" i="30" s="1"/>
  <c r="Q202" i="30"/>
  <c r="M202" i="30"/>
  <c r="N202" i="30" s="1"/>
  <c r="B169" i="20"/>
  <c r="B168" i="20"/>
  <c r="O192" i="30"/>
  <c r="K192" i="30" s="1"/>
  <c r="P192" i="30"/>
  <c r="L192" i="30" s="1"/>
  <c r="Q192" i="30"/>
  <c r="M192" i="30" s="1"/>
  <c r="O193" i="30"/>
  <c r="K193" i="30" s="1"/>
  <c r="P193" i="30"/>
  <c r="L193" i="30" s="1"/>
  <c r="Q193" i="30"/>
  <c r="M193" i="30" s="1"/>
  <c r="B160" i="20"/>
  <c r="B159" i="20"/>
  <c r="O183" i="30"/>
  <c r="K183" i="30" s="1"/>
  <c r="P183" i="30"/>
  <c r="L183" i="30" s="1"/>
  <c r="O184" i="30"/>
  <c r="K184" i="30" s="1"/>
  <c r="P184" i="30"/>
  <c r="L184" i="30" s="1"/>
  <c r="B151" i="20"/>
  <c r="B150" i="20"/>
  <c r="O174" i="30"/>
  <c r="K174" i="30" s="1"/>
  <c r="P174" i="30"/>
  <c r="L174" i="30" s="1"/>
  <c r="O175" i="30"/>
  <c r="K175" i="30" s="1"/>
  <c r="P175" i="30"/>
  <c r="L175" i="30" s="1"/>
  <c r="B142" i="20"/>
  <c r="B141" i="20"/>
  <c r="O162" i="30"/>
  <c r="K162" i="30" s="1"/>
  <c r="P162" i="30"/>
  <c r="L162" i="30" s="1"/>
  <c r="Q162" i="30"/>
  <c r="M162" i="30" s="1"/>
  <c r="O163" i="30"/>
  <c r="K163" i="30" s="1"/>
  <c r="P163" i="30"/>
  <c r="L163" i="30" s="1"/>
  <c r="Q163" i="30"/>
  <c r="M163" i="30" s="1"/>
  <c r="O164" i="30"/>
  <c r="K164" i="30" s="1"/>
  <c r="P164" i="30"/>
  <c r="L164" i="30" s="1"/>
  <c r="Q164" i="30"/>
  <c r="M164" i="30" s="1"/>
  <c r="O165" i="30"/>
  <c r="K165" i="30" s="1"/>
  <c r="P165" i="30"/>
  <c r="L165" i="30" s="1"/>
  <c r="Q165" i="30"/>
  <c r="M165" i="30" s="1"/>
  <c r="O166" i="30"/>
  <c r="K166" i="30" s="1"/>
  <c r="P166" i="30"/>
  <c r="L166" i="30" s="1"/>
  <c r="Q166" i="30"/>
  <c r="M166" i="30" s="1"/>
  <c r="Q161" i="30"/>
  <c r="M161" i="30" s="1"/>
  <c r="B133" i="20"/>
  <c r="B132" i="20"/>
  <c r="B126" i="20"/>
  <c r="Q156" i="30"/>
  <c r="M156" i="30" s="1"/>
  <c r="P156" i="30"/>
  <c r="L156" i="30" s="1"/>
  <c r="O156" i="30"/>
  <c r="K156" i="30" s="1"/>
  <c r="Q155" i="30"/>
  <c r="M155" i="30" s="1"/>
  <c r="P155" i="30"/>
  <c r="L155" i="30" s="1"/>
  <c r="O155" i="30"/>
  <c r="K155" i="30" s="1"/>
  <c r="B123" i="20"/>
  <c r="B122" i="20"/>
  <c r="Q138" i="30"/>
  <c r="M138" i="30" s="1"/>
  <c r="P138" i="30"/>
  <c r="L138" i="30" s="1"/>
  <c r="O138" i="30"/>
  <c r="K138" i="30" s="1"/>
  <c r="Q137" i="30"/>
  <c r="M137" i="30" s="1"/>
  <c r="P137" i="30"/>
  <c r="L137" i="30" s="1"/>
  <c r="O137" i="30"/>
  <c r="K137" i="30" s="1"/>
  <c r="B105" i="20"/>
  <c r="B104" i="20"/>
  <c r="Q129" i="30"/>
  <c r="M129" i="30" s="1"/>
  <c r="P129" i="30"/>
  <c r="L129" i="30" s="1"/>
  <c r="O129" i="30"/>
  <c r="K129" i="30" s="1"/>
  <c r="Q128" i="30"/>
  <c r="M128" i="30" s="1"/>
  <c r="P128" i="30"/>
  <c r="L128" i="30" s="1"/>
  <c r="O128" i="30"/>
  <c r="K128" i="30" s="1"/>
  <c r="B96" i="20"/>
  <c r="B95" i="20"/>
  <c r="Q120" i="30"/>
  <c r="M120" i="30" s="1"/>
  <c r="P120" i="30"/>
  <c r="L120" i="30" s="1"/>
  <c r="O120" i="30"/>
  <c r="K120" i="30" s="1"/>
  <c r="Q119" i="30"/>
  <c r="M119" i="30" s="1"/>
  <c r="P119" i="30"/>
  <c r="L119" i="30" s="1"/>
  <c r="O119" i="30"/>
  <c r="K119" i="30" s="1"/>
  <c r="B87" i="20"/>
  <c r="B86" i="20"/>
  <c r="B80" i="20"/>
  <c r="Q101" i="30"/>
  <c r="M101" i="30" s="1"/>
  <c r="P101" i="30"/>
  <c r="L101" i="30" s="1"/>
  <c r="O101" i="30"/>
  <c r="K101" i="30" s="1"/>
  <c r="Q100" i="30"/>
  <c r="M100" i="30" s="1"/>
  <c r="P100" i="30"/>
  <c r="L100" i="30" s="1"/>
  <c r="O100" i="30"/>
  <c r="K100" i="30" s="1"/>
  <c r="B68" i="20"/>
  <c r="B67" i="20"/>
  <c r="Q92" i="30"/>
  <c r="M92" i="30" s="1"/>
  <c r="P92" i="30"/>
  <c r="L92" i="30" s="1"/>
  <c r="O92" i="30"/>
  <c r="K92" i="30" s="1"/>
  <c r="Q91" i="30"/>
  <c r="M91" i="30" s="1"/>
  <c r="P91" i="30"/>
  <c r="L91" i="30" s="1"/>
  <c r="O91" i="30"/>
  <c r="K91" i="30" s="1"/>
  <c r="B59" i="20"/>
  <c r="B58" i="20"/>
  <c r="Q83" i="30"/>
  <c r="M83" i="30" s="1"/>
  <c r="P83" i="30"/>
  <c r="L83" i="30" s="1"/>
  <c r="O83" i="30"/>
  <c r="K83" i="30" s="1"/>
  <c r="Q82" i="30"/>
  <c r="M82" i="30" s="1"/>
  <c r="P82" i="30"/>
  <c r="L82" i="30" s="1"/>
  <c r="O82" i="30"/>
  <c r="K82" i="30" s="1"/>
  <c r="B50" i="20"/>
  <c r="B49" i="20"/>
  <c r="O68" i="30"/>
  <c r="K68" i="30" s="1"/>
  <c r="P68" i="30"/>
  <c r="L68" i="30" s="1"/>
  <c r="H68" i="30"/>
  <c r="Q65" i="30"/>
  <c r="M65" i="30" s="1"/>
  <c r="P65" i="30"/>
  <c r="L65" i="30" s="1"/>
  <c r="O65" i="30"/>
  <c r="K65" i="30" s="1"/>
  <c r="Q64" i="30"/>
  <c r="M64" i="30" s="1"/>
  <c r="P64" i="30"/>
  <c r="L64" i="30" s="1"/>
  <c r="O64" i="30"/>
  <c r="K64" i="30" s="1"/>
  <c r="B31" i="20"/>
  <c r="B30" i="20"/>
  <c r="B19" i="20"/>
  <c r="H297" i="30"/>
  <c r="H305" i="30" s="1"/>
  <c r="H259" i="30"/>
  <c r="E284" i="30"/>
  <c r="H283" i="30"/>
  <c r="H281" i="30"/>
  <c r="H280" i="30"/>
  <c r="H274" i="30"/>
  <c r="H273" i="30"/>
  <c r="H272" i="30"/>
  <c r="H271" i="30"/>
  <c r="H270" i="30"/>
  <c r="H269" i="30"/>
  <c r="H256" i="30"/>
  <c r="H255" i="30"/>
  <c r="H254" i="30"/>
  <c r="H253" i="30"/>
  <c r="H252" i="30"/>
  <c r="H251" i="30"/>
  <c r="H229" i="30"/>
  <c r="H228" i="30"/>
  <c r="H227" i="30"/>
  <c r="H226" i="30"/>
  <c r="H225" i="30"/>
  <c r="H224" i="30"/>
  <c r="H247" i="30"/>
  <c r="H246" i="30"/>
  <c r="H245" i="30"/>
  <c r="H244" i="30"/>
  <c r="H243" i="30"/>
  <c r="H242" i="30"/>
  <c r="H220" i="30"/>
  <c r="H219" i="30"/>
  <c r="H218" i="30"/>
  <c r="H217" i="30"/>
  <c r="H216" i="30"/>
  <c r="H215" i="30"/>
  <c r="H202" i="30"/>
  <c r="H201" i="30"/>
  <c r="H200" i="30"/>
  <c r="H199" i="30"/>
  <c r="H198" i="30"/>
  <c r="H197" i="30"/>
  <c r="H193" i="30"/>
  <c r="H192" i="30"/>
  <c r="H191" i="30"/>
  <c r="H190" i="30"/>
  <c r="H189" i="30"/>
  <c r="H188" i="30"/>
  <c r="H179" i="30"/>
  <c r="H184" i="30"/>
  <c r="H183" i="30"/>
  <c r="H182" i="30"/>
  <c r="H181" i="30"/>
  <c r="H180" i="30"/>
  <c r="H175" i="30"/>
  <c r="H174" i="30"/>
  <c r="H173" i="30"/>
  <c r="H172" i="30"/>
  <c r="H171" i="30"/>
  <c r="H170" i="30"/>
  <c r="H166" i="30"/>
  <c r="H165" i="30"/>
  <c r="H164" i="30"/>
  <c r="H163" i="30"/>
  <c r="H162" i="30"/>
  <c r="H161" i="30"/>
  <c r="H156" i="30"/>
  <c r="H155" i="30"/>
  <c r="H154" i="30"/>
  <c r="H153" i="30"/>
  <c r="H152" i="30"/>
  <c r="H151" i="30"/>
  <c r="H138" i="30"/>
  <c r="H137" i="30"/>
  <c r="H136" i="30"/>
  <c r="H135" i="30"/>
  <c r="H134" i="30"/>
  <c r="H133" i="30"/>
  <c r="H129" i="30"/>
  <c r="H128" i="30"/>
  <c r="H127" i="30"/>
  <c r="H126" i="30"/>
  <c r="H125" i="30"/>
  <c r="H124" i="30"/>
  <c r="H120" i="30"/>
  <c r="H119" i="30"/>
  <c r="H118" i="30"/>
  <c r="H117" i="30"/>
  <c r="H116" i="30"/>
  <c r="H115" i="30"/>
  <c r="H101" i="30"/>
  <c r="H100" i="30"/>
  <c r="H99" i="30"/>
  <c r="H98" i="30"/>
  <c r="H97" i="30"/>
  <c r="H96" i="30"/>
  <c r="H92" i="30"/>
  <c r="H91" i="30"/>
  <c r="H90" i="30"/>
  <c r="H89" i="30"/>
  <c r="H88" i="30"/>
  <c r="H87" i="30"/>
  <c r="H83" i="30"/>
  <c r="H82" i="30"/>
  <c r="H81" i="30"/>
  <c r="H80" i="30"/>
  <c r="H79" i="30"/>
  <c r="H78" i="30"/>
  <c r="H73" i="30"/>
  <c r="H72" i="30"/>
  <c r="H71" i="30"/>
  <c r="H70" i="30"/>
  <c r="N255" i="30"/>
  <c r="N163" i="30"/>
  <c r="S163" i="30" s="1"/>
  <c r="H65" i="30"/>
  <c r="H64" i="30"/>
  <c r="H63" i="30"/>
  <c r="H62" i="30"/>
  <c r="H61" i="30"/>
  <c r="H60" i="30"/>
  <c r="H56" i="30"/>
  <c r="H55" i="30"/>
  <c r="H53" i="30" s="1"/>
  <c r="H54" i="30"/>
  <c r="G57" i="30"/>
  <c r="L58" i="121" s="1"/>
  <c r="F57" i="30"/>
  <c r="K58" i="121" s="1"/>
  <c r="E57" i="30"/>
  <c r="J58" i="121" s="1"/>
  <c r="L35" i="30"/>
  <c r="K35" i="30"/>
  <c r="K9" i="30"/>
  <c r="L9" i="30"/>
  <c r="K7" i="30"/>
  <c r="L7" i="30"/>
  <c r="M7" i="30"/>
  <c r="G30" i="30"/>
  <c r="F30" i="30"/>
  <c r="E30" i="30"/>
  <c r="G20" i="30"/>
  <c r="F20" i="30"/>
  <c r="H20" i="30" s="1"/>
  <c r="E20" i="30"/>
  <c r="H42" i="30"/>
  <c r="H44" i="30"/>
  <c r="H43" i="30"/>
  <c r="H41" i="30"/>
  <c r="H40" i="30"/>
  <c r="H36" i="30"/>
  <c r="H35" i="30"/>
  <c r="H33" i="30"/>
  <c r="H32" i="30"/>
  <c r="H31" i="30"/>
  <c r="H27" i="30"/>
  <c r="H26" i="30"/>
  <c r="H23" i="30"/>
  <c r="H22" i="30"/>
  <c r="H21" i="30"/>
  <c r="H17" i="30"/>
  <c r="H16" i="30"/>
  <c r="H13" i="30"/>
  <c r="H12" i="30"/>
  <c r="H11" i="30"/>
  <c r="H9" i="30"/>
  <c r="H6" i="30" s="1"/>
  <c r="H7" i="30"/>
  <c r="A11" i="124"/>
  <c r="A8" i="163"/>
  <c r="H30" i="30"/>
  <c r="E45" i="30"/>
  <c r="BH11" i="164"/>
  <c r="BG11" i="164"/>
  <c r="AF11" i="164"/>
  <c r="AE11" i="164"/>
  <c r="AD11" i="164"/>
  <c r="AC11" i="164"/>
  <c r="AA11" i="164"/>
  <c r="W11" i="164"/>
  <c r="AS11" i="164"/>
  <c r="Z38" i="164"/>
  <c r="Z37" i="164"/>
  <c r="Z36" i="164"/>
  <c r="Z35" i="164"/>
  <c r="Z34" i="164"/>
  <c r="Z33" i="164"/>
  <c r="Z32" i="164"/>
  <c r="Z31" i="164"/>
  <c r="Z30" i="164"/>
  <c r="Z29" i="164"/>
  <c r="Z28" i="164"/>
  <c r="Z27" i="164"/>
  <c r="Z26" i="164"/>
  <c r="Z25" i="164"/>
  <c r="Z24" i="164"/>
  <c r="Z23" i="164"/>
  <c r="Z22" i="164"/>
  <c r="Z21" i="164"/>
  <c r="Z20" i="164"/>
  <c r="Z19" i="164"/>
  <c r="Z18" i="164"/>
  <c r="Z17" i="164"/>
  <c r="Z16" i="164"/>
  <c r="Z15" i="164"/>
  <c r="Z14" i="164"/>
  <c r="Z13" i="164"/>
  <c r="Z39" i="164"/>
  <c r="Z40" i="164"/>
  <c r="Z41" i="164"/>
  <c r="Z42" i="164"/>
  <c r="Z43" i="164"/>
  <c r="Z44" i="164"/>
  <c r="Z45" i="164"/>
  <c r="Z46" i="164"/>
  <c r="Z47" i="164"/>
  <c r="Z48" i="164"/>
  <c r="Z49" i="164"/>
  <c r="Z50" i="164"/>
  <c r="Z51" i="164"/>
  <c r="Z52" i="164"/>
  <c r="Z53" i="164"/>
  <c r="Z54" i="164"/>
  <c r="Z55" i="164"/>
  <c r="Z56" i="164"/>
  <c r="Z57" i="164"/>
  <c r="Z58" i="164"/>
  <c r="Z59" i="164"/>
  <c r="Z60" i="164"/>
  <c r="Z61" i="164"/>
  <c r="Z62" i="164"/>
  <c r="Z63" i="164"/>
  <c r="Z64" i="164"/>
  <c r="Z65" i="164"/>
  <c r="Z66" i="164"/>
  <c r="Z67" i="164"/>
  <c r="Z68" i="164"/>
  <c r="Z69" i="164"/>
  <c r="Z70" i="164"/>
  <c r="Z71" i="164"/>
  <c r="Z72" i="164"/>
  <c r="Z73" i="164"/>
  <c r="Z74" i="164"/>
  <c r="Z75" i="164"/>
  <c r="Z76" i="164"/>
  <c r="Z77" i="164"/>
  <c r="Z78" i="164"/>
  <c r="Z79" i="164"/>
  <c r="Z80" i="164"/>
  <c r="Z81" i="164"/>
  <c r="Z82" i="164"/>
  <c r="Z83" i="164"/>
  <c r="Z84" i="164"/>
  <c r="Z85" i="164"/>
  <c r="Z86" i="164"/>
  <c r="Z87" i="164"/>
  <c r="Z88" i="164"/>
  <c r="Z89" i="164"/>
  <c r="Z90" i="164"/>
  <c r="Z91" i="164"/>
  <c r="Z92" i="164"/>
  <c r="Z93" i="164"/>
  <c r="Z94" i="164"/>
  <c r="Z95" i="164"/>
  <c r="Z96" i="164"/>
  <c r="Z97" i="164"/>
  <c r="Z98" i="164"/>
  <c r="Z99" i="164"/>
  <c r="Z100" i="164"/>
  <c r="Z101" i="164"/>
  <c r="Z102" i="164"/>
  <c r="Z103" i="164"/>
  <c r="Z104" i="164"/>
  <c r="Z105" i="164"/>
  <c r="Z106" i="164"/>
  <c r="Z107" i="164"/>
  <c r="Z108" i="164"/>
  <c r="Z109" i="164"/>
  <c r="Z110" i="164"/>
  <c r="Z111" i="164"/>
  <c r="Z112" i="164"/>
  <c r="Z12" i="164"/>
  <c r="H76" i="127" a="1"/>
  <c r="H76" i="127" s="1"/>
  <c r="H75" i="127" a="1"/>
  <c r="H75" i="127" s="1"/>
  <c r="I76" i="127" a="1"/>
  <c r="I76" i="127" s="1"/>
  <c r="I75" i="127" a="1"/>
  <c r="I75" i="127" s="1"/>
  <c r="J76" i="127" a="1"/>
  <c r="J76" i="127" s="1"/>
  <c r="J75" i="127" a="1"/>
  <c r="J75" i="127" s="1"/>
  <c r="J69" i="127"/>
  <c r="I69" i="127"/>
  <c r="H69" i="127"/>
  <c r="J65" i="127"/>
  <c r="N65" i="127"/>
  <c r="N11" i="127"/>
  <c r="M11" i="127"/>
  <c r="L11" i="127"/>
  <c r="K11" i="127"/>
  <c r="J11" i="127"/>
  <c r="B246" i="20"/>
  <c r="L107" i="170"/>
  <c r="H107" i="170"/>
  <c r="D107" i="170"/>
  <c r="L106" i="170"/>
  <c r="H106" i="170"/>
  <c r="D106" i="170"/>
  <c r="B106" i="170"/>
  <c r="L105" i="170"/>
  <c r="H105" i="170"/>
  <c r="D105" i="170"/>
  <c r="L104" i="170"/>
  <c r="H104" i="170"/>
  <c r="D104" i="170"/>
  <c r="N103" i="170"/>
  <c r="M103" i="170"/>
  <c r="K103" i="170"/>
  <c r="J103" i="170"/>
  <c r="I103" i="170"/>
  <c r="G103" i="170"/>
  <c r="F103" i="170"/>
  <c r="E103" i="170"/>
  <c r="C103" i="170"/>
  <c r="L102" i="170"/>
  <c r="H102" i="170"/>
  <c r="D102" i="170"/>
  <c r="B102" i="170"/>
  <c r="L101" i="170"/>
  <c r="H101" i="170"/>
  <c r="D101" i="170"/>
  <c r="L100" i="170"/>
  <c r="H100" i="170"/>
  <c r="D100" i="170"/>
  <c r="N99" i="170"/>
  <c r="M99" i="170"/>
  <c r="K99" i="170"/>
  <c r="J99" i="170"/>
  <c r="I99" i="170"/>
  <c r="G99" i="170"/>
  <c r="F99" i="170"/>
  <c r="E99" i="170"/>
  <c r="C99" i="170"/>
  <c r="L98" i="170"/>
  <c r="H98" i="170"/>
  <c r="D98" i="170"/>
  <c r="B98" i="170"/>
  <c r="L97" i="170"/>
  <c r="H97" i="170"/>
  <c r="D97" i="170"/>
  <c r="L96" i="170"/>
  <c r="H96" i="170"/>
  <c r="D96" i="170"/>
  <c r="N95" i="170"/>
  <c r="M95" i="170"/>
  <c r="K95" i="170"/>
  <c r="J95" i="170"/>
  <c r="I95" i="170"/>
  <c r="G95" i="170"/>
  <c r="F95" i="170"/>
  <c r="E95" i="170"/>
  <c r="C95" i="170"/>
  <c r="K89" i="170"/>
  <c r="J89" i="170"/>
  <c r="H89" i="170"/>
  <c r="G89" i="170"/>
  <c r="E89" i="170"/>
  <c r="D89" i="170"/>
  <c r="I88" i="170"/>
  <c r="F88" i="170"/>
  <c r="C88" i="170"/>
  <c r="I87" i="170"/>
  <c r="F87" i="170"/>
  <c r="C87" i="170"/>
  <c r="I86" i="170"/>
  <c r="F86" i="170"/>
  <c r="C86" i="170"/>
  <c r="I85" i="170"/>
  <c r="F85" i="170"/>
  <c r="C85" i="170"/>
  <c r="I84" i="170"/>
  <c r="F84" i="170"/>
  <c r="C84" i="170"/>
  <c r="I83" i="170"/>
  <c r="F83" i="170"/>
  <c r="C83" i="170"/>
  <c r="I82" i="170"/>
  <c r="F82" i="170"/>
  <c r="C82" i="170"/>
  <c r="I81" i="170"/>
  <c r="F81" i="170"/>
  <c r="C81" i="170"/>
  <c r="I80" i="170"/>
  <c r="F80" i="170"/>
  <c r="C80" i="170"/>
  <c r="I79" i="170"/>
  <c r="F79" i="170"/>
  <c r="C79" i="170"/>
  <c r="I78" i="170"/>
  <c r="F78" i="170"/>
  <c r="C78" i="170"/>
  <c r="I77" i="170"/>
  <c r="F77" i="170"/>
  <c r="C77" i="170"/>
  <c r="I76" i="170"/>
  <c r="F76" i="170"/>
  <c r="C76" i="170"/>
  <c r="I75" i="170"/>
  <c r="F75" i="170"/>
  <c r="C75" i="170"/>
  <c r="I74" i="170"/>
  <c r="F74" i="170"/>
  <c r="C74" i="170"/>
  <c r="I73" i="170"/>
  <c r="F73" i="170"/>
  <c r="C73" i="170"/>
  <c r="I72" i="170"/>
  <c r="F72" i="170"/>
  <c r="C72" i="170"/>
  <c r="I71" i="170"/>
  <c r="F71" i="170"/>
  <c r="C71" i="170"/>
  <c r="I70" i="170"/>
  <c r="F70" i="170"/>
  <c r="C70" i="170"/>
  <c r="I69" i="170"/>
  <c r="F69" i="170"/>
  <c r="C69" i="170"/>
  <c r="I68" i="170"/>
  <c r="F68" i="170"/>
  <c r="C68" i="170"/>
  <c r="I67" i="170"/>
  <c r="F67" i="170"/>
  <c r="C67" i="170"/>
  <c r="I66" i="170"/>
  <c r="F66" i="170"/>
  <c r="C66" i="170"/>
  <c r="I65" i="170"/>
  <c r="F65" i="170"/>
  <c r="C65" i="170"/>
  <c r="I64" i="170"/>
  <c r="F64" i="170"/>
  <c r="C64" i="170"/>
  <c r="I63" i="170"/>
  <c r="F63" i="170"/>
  <c r="C63" i="170"/>
  <c r="I62" i="170"/>
  <c r="F62" i="170"/>
  <c r="C62" i="170"/>
  <c r="I61" i="170"/>
  <c r="F61" i="170"/>
  <c r="C61" i="170"/>
  <c r="I60" i="170"/>
  <c r="F60" i="170"/>
  <c r="C60" i="170"/>
  <c r="I59" i="170"/>
  <c r="F59" i="170"/>
  <c r="C59" i="170"/>
  <c r="I58" i="170"/>
  <c r="F58" i="170"/>
  <c r="C58" i="170"/>
  <c r="I57" i="170"/>
  <c r="F57" i="170"/>
  <c r="C57" i="170"/>
  <c r="N49" i="170"/>
  <c r="M49" i="170"/>
  <c r="L49" i="170"/>
  <c r="K49" i="170"/>
  <c r="J49" i="170"/>
  <c r="I49" i="170"/>
  <c r="H49" i="170"/>
  <c r="G49" i="170"/>
  <c r="F49" i="170"/>
  <c r="E49" i="170"/>
  <c r="D49" i="170"/>
  <c r="C49" i="170"/>
  <c r="N44" i="170"/>
  <c r="M44" i="170"/>
  <c r="L44" i="170"/>
  <c r="K44" i="170"/>
  <c r="J44" i="170"/>
  <c r="I44" i="170"/>
  <c r="H44" i="170"/>
  <c r="G44" i="170"/>
  <c r="F44" i="170"/>
  <c r="E44" i="170"/>
  <c r="D44" i="170"/>
  <c r="C44" i="170"/>
  <c r="N39" i="170"/>
  <c r="M39" i="170"/>
  <c r="L39" i="170"/>
  <c r="K39" i="170"/>
  <c r="J39" i="170"/>
  <c r="I39" i="170"/>
  <c r="H39" i="170"/>
  <c r="G39" i="170"/>
  <c r="F39" i="170"/>
  <c r="E39" i="170"/>
  <c r="D39" i="170"/>
  <c r="C39" i="170"/>
  <c r="N34" i="170"/>
  <c r="M34" i="170"/>
  <c r="L34" i="170"/>
  <c r="K34" i="170"/>
  <c r="J34" i="170"/>
  <c r="I34" i="170"/>
  <c r="H34" i="170"/>
  <c r="G34" i="170"/>
  <c r="F34" i="170"/>
  <c r="E34" i="170"/>
  <c r="D34" i="170"/>
  <c r="C34" i="170"/>
  <c r="N30" i="170"/>
  <c r="M30" i="170"/>
  <c r="L30" i="170"/>
  <c r="K30" i="170"/>
  <c r="J30" i="170"/>
  <c r="I30" i="170"/>
  <c r="H30" i="170"/>
  <c r="G30" i="170"/>
  <c r="F30" i="170"/>
  <c r="E30" i="170"/>
  <c r="D30" i="170"/>
  <c r="C30" i="170"/>
  <c r="N26" i="170"/>
  <c r="M26" i="170"/>
  <c r="M52" i="170" s="1"/>
  <c r="L26" i="170"/>
  <c r="K26" i="170"/>
  <c r="J26" i="170"/>
  <c r="I26" i="170"/>
  <c r="I52" i="170" s="1"/>
  <c r="H26" i="170"/>
  <c r="H52" i="170" s="1"/>
  <c r="G26" i="170"/>
  <c r="F26" i="170"/>
  <c r="E26" i="170"/>
  <c r="D26" i="170"/>
  <c r="C26" i="170"/>
  <c r="B18" i="170"/>
  <c r="O15" i="170"/>
  <c r="N15" i="170"/>
  <c r="M15" i="170"/>
  <c r="L15" i="170"/>
  <c r="K15" i="170"/>
  <c r="J15" i="170"/>
  <c r="I15" i="170"/>
  <c r="H15" i="170"/>
  <c r="G15" i="170"/>
  <c r="F15" i="170"/>
  <c r="E15" i="170"/>
  <c r="D15" i="170"/>
  <c r="C15" i="170"/>
  <c r="B14" i="170"/>
  <c r="O11" i="170"/>
  <c r="N11" i="170"/>
  <c r="M11" i="170"/>
  <c r="L11" i="170"/>
  <c r="K11" i="170"/>
  <c r="J11" i="170"/>
  <c r="I11" i="170"/>
  <c r="H11" i="170"/>
  <c r="G11" i="170"/>
  <c r="F11" i="170"/>
  <c r="E11" i="170"/>
  <c r="D11" i="170"/>
  <c r="C11" i="170"/>
  <c r="B10" i="170"/>
  <c r="O7" i="170"/>
  <c r="O20" i="170" s="1"/>
  <c r="N7" i="170"/>
  <c r="M7" i="170"/>
  <c r="L7" i="170"/>
  <c r="L20" i="170" s="1"/>
  <c r="K7" i="170"/>
  <c r="K20" i="170" s="1"/>
  <c r="J7" i="170"/>
  <c r="I7" i="170"/>
  <c r="H7" i="170"/>
  <c r="G7" i="170"/>
  <c r="F7" i="170"/>
  <c r="E7" i="170"/>
  <c r="D7" i="170"/>
  <c r="C7" i="170"/>
  <c r="C20" i="170" s="1"/>
  <c r="D1" i="170"/>
  <c r="W162" i="121"/>
  <c r="X162" i="121"/>
  <c r="Y162" i="121"/>
  <c r="Z162" i="121"/>
  <c r="AA162" i="121"/>
  <c r="AB162" i="121"/>
  <c r="W214" i="121"/>
  <c r="X214" i="121"/>
  <c r="Y214" i="121"/>
  <c r="Z214" i="121"/>
  <c r="W221" i="121"/>
  <c r="X221" i="121"/>
  <c r="Y221" i="121"/>
  <c r="Z221" i="121"/>
  <c r="AA221" i="121"/>
  <c r="AB221" i="121"/>
  <c r="AC221" i="121"/>
  <c r="AD221" i="121"/>
  <c r="AE221" i="121"/>
  <c r="AF221" i="121"/>
  <c r="AG221" i="121"/>
  <c r="AH221" i="121"/>
  <c r="AI221" i="121"/>
  <c r="AJ221" i="121"/>
  <c r="AK221" i="121"/>
  <c r="AL221" i="121"/>
  <c r="AM221" i="121"/>
  <c r="AN221" i="121"/>
  <c r="AO221" i="121"/>
  <c r="CS16" i="124"/>
  <c r="CR16" i="124"/>
  <c r="B45" i="30"/>
  <c r="C308" i="121"/>
  <c r="C307" i="121"/>
  <c r="N103" i="127"/>
  <c r="S308" i="121" s="1"/>
  <c r="M103" i="127"/>
  <c r="R308" i="121" s="1"/>
  <c r="L103" i="127"/>
  <c r="Q308" i="121" s="1"/>
  <c r="N95" i="127"/>
  <c r="S307" i="121" s="1"/>
  <c r="M95" i="127"/>
  <c r="R307" i="121" s="1"/>
  <c r="L95" i="127"/>
  <c r="Q307" i="121" s="1"/>
  <c r="N96" i="127"/>
  <c r="M96" i="127"/>
  <c r="L96" i="127"/>
  <c r="N89" i="127"/>
  <c r="M89" i="127"/>
  <c r="L89" i="127"/>
  <c r="K112" i="141"/>
  <c r="C103" i="141"/>
  <c r="B266" i="20"/>
  <c r="B265" i="20"/>
  <c r="B264" i="20"/>
  <c r="B263" i="20"/>
  <c r="B262" i="20"/>
  <c r="B261" i="20"/>
  <c r="B260" i="20"/>
  <c r="B259" i="20"/>
  <c r="B258" i="20"/>
  <c r="B257" i="20"/>
  <c r="B256" i="20"/>
  <c r="B255" i="20"/>
  <c r="B252" i="20"/>
  <c r="B250" i="20"/>
  <c r="B249" i="20"/>
  <c r="B248" i="20"/>
  <c r="B247" i="20"/>
  <c r="B245" i="20"/>
  <c r="B244" i="20"/>
  <c r="B239" i="20"/>
  <c r="B238" i="20"/>
  <c r="B237" i="20"/>
  <c r="B236" i="20"/>
  <c r="B235" i="20"/>
  <c r="B230" i="20"/>
  <c r="B229" i="20"/>
  <c r="B228" i="20"/>
  <c r="B227" i="20"/>
  <c r="B226" i="20"/>
  <c r="B221" i="20"/>
  <c r="B220" i="20"/>
  <c r="B219" i="20"/>
  <c r="B218" i="20"/>
  <c r="B217" i="20"/>
  <c r="B212" i="20"/>
  <c r="B211" i="20"/>
  <c r="B210" i="20"/>
  <c r="B209" i="20"/>
  <c r="B208" i="20"/>
  <c r="B194" i="20"/>
  <c r="B193" i="20"/>
  <c r="B192" i="20"/>
  <c r="B191" i="20"/>
  <c r="B190" i="20"/>
  <c r="B185" i="20"/>
  <c r="B184" i="20"/>
  <c r="B183" i="20"/>
  <c r="B182" i="20"/>
  <c r="B181" i="20"/>
  <c r="B167" i="20"/>
  <c r="B166" i="20"/>
  <c r="B165" i="20"/>
  <c r="B164" i="20"/>
  <c r="B163" i="20"/>
  <c r="B158" i="20"/>
  <c r="B157" i="20"/>
  <c r="B156" i="20"/>
  <c r="B155" i="20"/>
  <c r="B154" i="20"/>
  <c r="B149" i="20"/>
  <c r="B148" i="20"/>
  <c r="B147" i="20"/>
  <c r="B146" i="20"/>
  <c r="B145" i="20"/>
  <c r="B140" i="20"/>
  <c r="B139" i="20"/>
  <c r="B138" i="20"/>
  <c r="B137" i="20"/>
  <c r="B136" i="20"/>
  <c r="B131" i="20"/>
  <c r="B130" i="20"/>
  <c r="B129" i="20"/>
  <c r="B128" i="20"/>
  <c r="B127" i="20"/>
  <c r="B121" i="20"/>
  <c r="B120" i="20"/>
  <c r="B119" i="20"/>
  <c r="B118" i="20"/>
  <c r="B117" i="20"/>
  <c r="B103" i="20"/>
  <c r="B102" i="20"/>
  <c r="B101" i="20"/>
  <c r="B100" i="20"/>
  <c r="B99" i="20"/>
  <c r="B94" i="20"/>
  <c r="B93" i="20"/>
  <c r="B92" i="20"/>
  <c r="B91" i="20"/>
  <c r="B90" i="20"/>
  <c r="B85" i="20"/>
  <c r="B84" i="20"/>
  <c r="B83" i="20"/>
  <c r="B82" i="20"/>
  <c r="B81" i="20"/>
  <c r="B66" i="20"/>
  <c r="B65" i="20"/>
  <c r="B64" i="20"/>
  <c r="B63" i="20"/>
  <c r="B62" i="20"/>
  <c r="B57" i="20"/>
  <c r="B56" i="20"/>
  <c r="B55" i="20"/>
  <c r="B54" i="20"/>
  <c r="B53" i="20"/>
  <c r="B48" i="20"/>
  <c r="B47" i="20"/>
  <c r="B46" i="20"/>
  <c r="B45" i="20"/>
  <c r="B44" i="20"/>
  <c r="B43" i="20"/>
  <c r="B40" i="20"/>
  <c r="B39" i="20"/>
  <c r="B38" i="20"/>
  <c r="B37" i="20"/>
  <c r="B36" i="20"/>
  <c r="B34" i="20"/>
  <c r="B29" i="20"/>
  <c r="B28" i="20"/>
  <c r="B27" i="20"/>
  <c r="B26" i="20"/>
  <c r="B25" i="20"/>
  <c r="B22" i="20"/>
  <c r="B21" i="20"/>
  <c r="B20" i="20"/>
  <c r="O302" i="30"/>
  <c r="N302" i="30" s="1"/>
  <c r="S302" i="30" s="1"/>
  <c r="O301" i="30"/>
  <c r="N301" i="30" s="1"/>
  <c r="O300" i="30"/>
  <c r="N300" i="30" s="1"/>
  <c r="O299" i="30"/>
  <c r="N299" i="30" s="1"/>
  <c r="S299" i="30" s="1"/>
  <c r="O298" i="30"/>
  <c r="N298" i="30" s="1"/>
  <c r="O296" i="30"/>
  <c r="N296" i="30" s="1"/>
  <c r="O295" i="30"/>
  <c r="N295" i="30" s="1"/>
  <c r="S295" i="30" s="1"/>
  <c r="O294" i="30"/>
  <c r="N294" i="30" s="1"/>
  <c r="O293" i="30"/>
  <c r="N293" i="30" s="1"/>
  <c r="S293" i="30" s="1"/>
  <c r="O292" i="30"/>
  <c r="N292" i="30" s="1"/>
  <c r="O291" i="30"/>
  <c r="N291" i="30" s="1"/>
  <c r="S291" i="30" s="1"/>
  <c r="Q285" i="30"/>
  <c r="M285" i="30"/>
  <c r="P285" i="30"/>
  <c r="L285" i="30" s="1"/>
  <c r="O285" i="30"/>
  <c r="K285" i="30" s="1"/>
  <c r="Q283" i="30"/>
  <c r="M283" i="30"/>
  <c r="P283" i="30"/>
  <c r="L283" i="30" s="1"/>
  <c r="O283" i="30"/>
  <c r="K283" i="30" s="1"/>
  <c r="O282" i="30"/>
  <c r="S282" i="30"/>
  <c r="Q281" i="30"/>
  <c r="M281" i="30" s="1"/>
  <c r="P281" i="30"/>
  <c r="L281" i="30" s="1"/>
  <c r="O281" i="30"/>
  <c r="K281" i="30"/>
  <c r="Q280" i="30"/>
  <c r="M280" i="30" s="1"/>
  <c r="Q279" i="30"/>
  <c r="N279" i="30" s="1"/>
  <c r="Q278" i="30"/>
  <c r="N278" i="30"/>
  <c r="Q277" i="30"/>
  <c r="M277" i="30" s="1"/>
  <c r="P277" i="30"/>
  <c r="L277" i="30" s="1"/>
  <c r="O277" i="30"/>
  <c r="K277" i="30" s="1"/>
  <c r="P272" i="30"/>
  <c r="L272" i="30" s="1"/>
  <c r="O272" i="30"/>
  <c r="K272" i="30"/>
  <c r="P271" i="30"/>
  <c r="L271" i="30" s="1"/>
  <c r="O271" i="30"/>
  <c r="K271" i="30" s="1"/>
  <c r="P270" i="30"/>
  <c r="L270" i="30"/>
  <c r="O270" i="30"/>
  <c r="K270" i="30" s="1"/>
  <c r="P269" i="30"/>
  <c r="L269" i="30" s="1"/>
  <c r="O269" i="30"/>
  <c r="K269" i="30" s="1"/>
  <c r="Q263" i="30"/>
  <c r="Q262" i="30"/>
  <c r="Q261" i="30"/>
  <c r="Q260" i="30"/>
  <c r="N260" i="30" s="1"/>
  <c r="Q254" i="30"/>
  <c r="M254" i="30" s="1"/>
  <c r="P254" i="30"/>
  <c r="L254" i="30" s="1"/>
  <c r="O254" i="30"/>
  <c r="K254" i="30" s="1"/>
  <c r="Q253" i="30"/>
  <c r="M253" i="30" s="1"/>
  <c r="P253" i="30"/>
  <c r="L253" i="30" s="1"/>
  <c r="O253" i="30"/>
  <c r="K253" i="30" s="1"/>
  <c r="Q252" i="30"/>
  <c r="M252" i="30" s="1"/>
  <c r="P252" i="30"/>
  <c r="L252" i="30" s="1"/>
  <c r="O252" i="30"/>
  <c r="K252" i="30" s="1"/>
  <c r="Q251" i="30"/>
  <c r="M251" i="30" s="1"/>
  <c r="P251" i="30"/>
  <c r="L251" i="30" s="1"/>
  <c r="O251" i="30"/>
  <c r="K251" i="30"/>
  <c r="Q245" i="30"/>
  <c r="P245" i="30"/>
  <c r="L245" i="30" s="1"/>
  <c r="O245" i="30"/>
  <c r="K245" i="30" s="1"/>
  <c r="Q244" i="30"/>
  <c r="P244" i="30"/>
  <c r="L244" i="30" s="1"/>
  <c r="O244" i="30"/>
  <c r="K244" i="30" s="1"/>
  <c r="Q243" i="30"/>
  <c r="P243" i="30"/>
  <c r="L243" i="30" s="1"/>
  <c r="O243" i="30"/>
  <c r="K243" i="30" s="1"/>
  <c r="Q242" i="30"/>
  <c r="Q227" i="30"/>
  <c r="M227" i="30" s="1"/>
  <c r="P227" i="30"/>
  <c r="L227" i="30" s="1"/>
  <c r="O227" i="30"/>
  <c r="K227" i="30" s="1"/>
  <c r="Q226" i="30"/>
  <c r="M226" i="30" s="1"/>
  <c r="P226" i="30"/>
  <c r="L226" i="30"/>
  <c r="O226" i="30"/>
  <c r="K226" i="30" s="1"/>
  <c r="Q225" i="30"/>
  <c r="M225" i="30" s="1"/>
  <c r="P225" i="30"/>
  <c r="L225" i="30" s="1"/>
  <c r="O225" i="30"/>
  <c r="K225" i="30" s="1"/>
  <c r="N225" i="30" s="1"/>
  <c r="S225" i="30" s="1"/>
  <c r="Q224" i="30"/>
  <c r="M224" i="30" s="1"/>
  <c r="P224" i="30"/>
  <c r="L224" i="30" s="1"/>
  <c r="O224" i="30"/>
  <c r="K224" i="30" s="1"/>
  <c r="P218" i="30"/>
  <c r="L218" i="30" s="1"/>
  <c r="O218" i="30"/>
  <c r="K218" i="30" s="1"/>
  <c r="P217" i="30"/>
  <c r="L217" i="30" s="1"/>
  <c r="O217" i="30"/>
  <c r="K217" i="30" s="1"/>
  <c r="P216" i="30"/>
  <c r="L216" i="30" s="1"/>
  <c r="O216" i="30"/>
  <c r="K216" i="30" s="1"/>
  <c r="N216" i="30" s="1"/>
  <c r="S216" i="30" s="1"/>
  <c r="P215" i="30"/>
  <c r="L215" i="30" s="1"/>
  <c r="O215" i="30"/>
  <c r="K215" i="30" s="1"/>
  <c r="Q200" i="30"/>
  <c r="M200" i="30" s="1"/>
  <c r="N200" i="30" s="1"/>
  <c r="S200" i="30" s="1"/>
  <c r="P200" i="30"/>
  <c r="L200" i="30" s="1"/>
  <c r="O200" i="30"/>
  <c r="K200" i="30" s="1"/>
  <c r="Q199" i="30"/>
  <c r="P199" i="30"/>
  <c r="L199" i="30" s="1"/>
  <c r="O199" i="30"/>
  <c r="K199" i="30" s="1"/>
  <c r="Q198" i="30"/>
  <c r="P198" i="30"/>
  <c r="L198" i="30" s="1"/>
  <c r="O198" i="30"/>
  <c r="K198" i="30" s="1"/>
  <c r="Q197" i="30"/>
  <c r="M197" i="30" s="1"/>
  <c r="P197" i="30"/>
  <c r="L197" i="30" s="1"/>
  <c r="O197" i="30"/>
  <c r="K197" i="30" s="1"/>
  <c r="Q191" i="30"/>
  <c r="M191" i="30" s="1"/>
  <c r="P191" i="30"/>
  <c r="L191" i="30" s="1"/>
  <c r="O191" i="30"/>
  <c r="K191" i="30" s="1"/>
  <c r="Q190" i="30"/>
  <c r="M190" i="30" s="1"/>
  <c r="P190" i="30"/>
  <c r="L190" i="30" s="1"/>
  <c r="O190" i="30"/>
  <c r="K190" i="30" s="1"/>
  <c r="Q189" i="30"/>
  <c r="M189" i="30" s="1"/>
  <c r="P189" i="30"/>
  <c r="L189" i="30" s="1"/>
  <c r="O189" i="30"/>
  <c r="K189" i="30" s="1"/>
  <c r="Q188" i="30"/>
  <c r="M188" i="30" s="1"/>
  <c r="N188" i="30" s="1"/>
  <c r="S188" i="30" s="1"/>
  <c r="P188" i="30"/>
  <c r="L188" i="30"/>
  <c r="O188" i="30"/>
  <c r="K188" i="30" s="1"/>
  <c r="P182" i="30"/>
  <c r="L182" i="30" s="1"/>
  <c r="O182" i="30"/>
  <c r="K182" i="30" s="1"/>
  <c r="P181" i="30"/>
  <c r="L181" i="30" s="1"/>
  <c r="O181" i="30"/>
  <c r="K181" i="30" s="1"/>
  <c r="P180" i="30"/>
  <c r="L180" i="30" s="1"/>
  <c r="O180" i="30"/>
  <c r="K180" i="30" s="1"/>
  <c r="P179" i="30"/>
  <c r="L179" i="30" s="1"/>
  <c r="O179" i="30"/>
  <c r="K179" i="30" s="1"/>
  <c r="P173" i="30"/>
  <c r="L173" i="30" s="1"/>
  <c r="O173" i="30"/>
  <c r="K173" i="30" s="1"/>
  <c r="P172" i="30"/>
  <c r="L172" i="30" s="1"/>
  <c r="O172" i="30"/>
  <c r="K172" i="30" s="1"/>
  <c r="P171" i="30"/>
  <c r="L171" i="30" s="1"/>
  <c r="O171" i="30"/>
  <c r="K171" i="30" s="1"/>
  <c r="P170" i="30"/>
  <c r="L170" i="30" s="1"/>
  <c r="N170" i="30" s="1"/>
  <c r="O170" i="30"/>
  <c r="K170" i="30" s="1"/>
  <c r="P161" i="30"/>
  <c r="L161" i="30" s="1"/>
  <c r="O161" i="30"/>
  <c r="K161" i="30" s="1"/>
  <c r="Q154" i="30"/>
  <c r="M154" i="30" s="1"/>
  <c r="P154" i="30"/>
  <c r="L154" i="30" s="1"/>
  <c r="O154" i="30"/>
  <c r="K154" i="30" s="1"/>
  <c r="Q153" i="30"/>
  <c r="M153" i="30" s="1"/>
  <c r="P153" i="30"/>
  <c r="L153" i="30" s="1"/>
  <c r="O153" i="30"/>
  <c r="K153" i="30" s="1"/>
  <c r="Q152" i="30"/>
  <c r="M152" i="30" s="1"/>
  <c r="P152" i="30"/>
  <c r="L152" i="30" s="1"/>
  <c r="O152" i="30"/>
  <c r="K152" i="30" s="1"/>
  <c r="Q151" i="30"/>
  <c r="M151" i="30" s="1"/>
  <c r="P151" i="30"/>
  <c r="L151" i="30" s="1"/>
  <c r="O151" i="30"/>
  <c r="K151" i="30" s="1"/>
  <c r="Q136" i="30"/>
  <c r="M136" i="30" s="1"/>
  <c r="P136" i="30"/>
  <c r="L136" i="30" s="1"/>
  <c r="O136" i="30"/>
  <c r="K136" i="30" s="1"/>
  <c r="Q135" i="30"/>
  <c r="M135" i="30" s="1"/>
  <c r="P135" i="30"/>
  <c r="L135" i="30" s="1"/>
  <c r="O135" i="30"/>
  <c r="K135" i="30" s="1"/>
  <c r="Q134" i="30"/>
  <c r="M134" i="30" s="1"/>
  <c r="P134" i="30"/>
  <c r="L134" i="30" s="1"/>
  <c r="O134" i="30"/>
  <c r="K134" i="30" s="1"/>
  <c r="Q133" i="30"/>
  <c r="M133" i="30" s="1"/>
  <c r="P133" i="30"/>
  <c r="L133" i="30"/>
  <c r="O133" i="30"/>
  <c r="K133" i="30"/>
  <c r="Q127" i="30"/>
  <c r="M127" i="30" s="1"/>
  <c r="P127" i="30"/>
  <c r="L127" i="30" s="1"/>
  <c r="O127" i="30"/>
  <c r="K127" i="30"/>
  <c r="Q126" i="30"/>
  <c r="M126" i="30"/>
  <c r="P126" i="30"/>
  <c r="L126" i="30"/>
  <c r="N126" i="30" s="1"/>
  <c r="S126" i="30" s="1"/>
  <c r="O126" i="30"/>
  <c r="K126" i="30" s="1"/>
  <c r="Q125" i="30"/>
  <c r="M125" i="30" s="1"/>
  <c r="P125" i="30"/>
  <c r="L125" i="30" s="1"/>
  <c r="O125" i="30"/>
  <c r="K125" i="30" s="1"/>
  <c r="Q124" i="30"/>
  <c r="M124" i="30" s="1"/>
  <c r="P124" i="30"/>
  <c r="L124" i="30" s="1"/>
  <c r="O124" i="30"/>
  <c r="K124" i="30" s="1"/>
  <c r="Q118" i="30"/>
  <c r="M118" i="30" s="1"/>
  <c r="P118" i="30"/>
  <c r="L118" i="30" s="1"/>
  <c r="O118" i="30"/>
  <c r="K118" i="30" s="1"/>
  <c r="Q117" i="30"/>
  <c r="M117" i="30" s="1"/>
  <c r="P117" i="30"/>
  <c r="L117" i="30" s="1"/>
  <c r="O117" i="30"/>
  <c r="K117" i="30" s="1"/>
  <c r="Q116" i="30"/>
  <c r="M116" i="30" s="1"/>
  <c r="P116" i="30"/>
  <c r="L116" i="30" s="1"/>
  <c r="O116" i="30"/>
  <c r="K116" i="30" s="1"/>
  <c r="Q115" i="30"/>
  <c r="M115" i="30" s="1"/>
  <c r="P115" i="30"/>
  <c r="L115" i="30" s="1"/>
  <c r="O115" i="30"/>
  <c r="K115" i="30" s="1"/>
  <c r="Q99" i="30"/>
  <c r="M99" i="30" s="1"/>
  <c r="P99" i="30"/>
  <c r="L99" i="30" s="1"/>
  <c r="O99" i="30"/>
  <c r="K99" i="30" s="1"/>
  <c r="Q98" i="30"/>
  <c r="M98" i="30" s="1"/>
  <c r="P98" i="30"/>
  <c r="L98" i="30" s="1"/>
  <c r="O98" i="30"/>
  <c r="K98" i="30" s="1"/>
  <c r="Q97" i="30"/>
  <c r="M97" i="30" s="1"/>
  <c r="P97" i="30"/>
  <c r="L97" i="30" s="1"/>
  <c r="O97" i="30"/>
  <c r="K97" i="30" s="1"/>
  <c r="Q96" i="30"/>
  <c r="M96" i="30" s="1"/>
  <c r="P96" i="30"/>
  <c r="L96" i="30" s="1"/>
  <c r="O96" i="30"/>
  <c r="K96" i="30" s="1"/>
  <c r="Q90" i="30"/>
  <c r="M90" i="30" s="1"/>
  <c r="P90" i="30"/>
  <c r="L90" i="30" s="1"/>
  <c r="O90" i="30"/>
  <c r="K90" i="30" s="1"/>
  <c r="Q89" i="30"/>
  <c r="M89" i="30" s="1"/>
  <c r="P89" i="30"/>
  <c r="L89" i="30" s="1"/>
  <c r="O89" i="30"/>
  <c r="K89" i="30" s="1"/>
  <c r="Q88" i="30"/>
  <c r="M88" i="30"/>
  <c r="P88" i="30"/>
  <c r="L88" i="30"/>
  <c r="O88" i="30"/>
  <c r="K88" i="30"/>
  <c r="Q87" i="30"/>
  <c r="M87" i="30" s="1"/>
  <c r="P87" i="30"/>
  <c r="L87" i="30" s="1"/>
  <c r="O87" i="30"/>
  <c r="K87" i="30" s="1"/>
  <c r="Q81" i="30"/>
  <c r="M81" i="30" s="1"/>
  <c r="P81" i="30"/>
  <c r="L81" i="30" s="1"/>
  <c r="O81" i="30"/>
  <c r="K81" i="30" s="1"/>
  <c r="Q80" i="30"/>
  <c r="M80" i="30" s="1"/>
  <c r="P80" i="30"/>
  <c r="L80" i="30" s="1"/>
  <c r="O80" i="30"/>
  <c r="K80" i="30" s="1"/>
  <c r="Q79" i="30"/>
  <c r="M79" i="30" s="1"/>
  <c r="P79" i="30"/>
  <c r="L79" i="30" s="1"/>
  <c r="O79" i="30"/>
  <c r="K79" i="30" s="1"/>
  <c r="Q78" i="30"/>
  <c r="M78" i="30" s="1"/>
  <c r="P78" i="30"/>
  <c r="L78" i="30" s="1"/>
  <c r="O78" i="30"/>
  <c r="K78" i="30" s="1"/>
  <c r="Q73" i="30"/>
  <c r="M73" i="30" s="1"/>
  <c r="P73" i="30"/>
  <c r="L73" i="30" s="1"/>
  <c r="O73" i="30"/>
  <c r="K73" i="30" s="1"/>
  <c r="Q72" i="30"/>
  <c r="M72" i="30" s="1"/>
  <c r="P72" i="30"/>
  <c r="L72" i="30" s="1"/>
  <c r="O72" i="30"/>
  <c r="K72" i="30" s="1"/>
  <c r="Q71" i="30"/>
  <c r="M71" i="30" s="1"/>
  <c r="P71" i="30"/>
  <c r="L71" i="30" s="1"/>
  <c r="O71" i="30"/>
  <c r="K71" i="30" s="1"/>
  <c r="Q70" i="30"/>
  <c r="M70" i="30" s="1"/>
  <c r="P70" i="30"/>
  <c r="L70" i="30" s="1"/>
  <c r="O70" i="30"/>
  <c r="K70" i="30" s="1"/>
  <c r="Q68" i="30"/>
  <c r="Q63" i="30"/>
  <c r="M63" i="30" s="1"/>
  <c r="P63" i="30"/>
  <c r="L63" i="30" s="1"/>
  <c r="O63" i="30"/>
  <c r="K63" i="30" s="1"/>
  <c r="Q62" i="30"/>
  <c r="M62" i="30"/>
  <c r="P62" i="30"/>
  <c r="L62" i="30"/>
  <c r="O62" i="30"/>
  <c r="K62" i="30" s="1"/>
  <c r="Q61" i="30"/>
  <c r="M61" i="30" s="1"/>
  <c r="P61" i="30"/>
  <c r="L61" i="30" s="1"/>
  <c r="O61" i="30"/>
  <c r="K61" i="30" s="1"/>
  <c r="N61" i="30" s="1"/>
  <c r="S61" i="30" s="1"/>
  <c r="Q60" i="30"/>
  <c r="M60" i="30" s="1"/>
  <c r="P60" i="30"/>
  <c r="L60" i="30" s="1"/>
  <c r="O60" i="30"/>
  <c r="K60" i="30"/>
  <c r="Q56" i="30"/>
  <c r="M56" i="30"/>
  <c r="P56" i="30"/>
  <c r="L56" i="30"/>
  <c r="N56" i="30" s="1"/>
  <c r="S56" i="30" s="1"/>
  <c r="O56" i="30"/>
  <c r="K56" i="30" s="1"/>
  <c r="Q55" i="30"/>
  <c r="M55" i="30" s="1"/>
  <c r="P55" i="30"/>
  <c r="L55" i="30" s="1"/>
  <c r="O55" i="30"/>
  <c r="K55" i="30" s="1"/>
  <c r="O54" i="30"/>
  <c r="K54" i="30" s="1"/>
  <c r="N54" i="30" s="1"/>
  <c r="N262" i="30"/>
  <c r="S262" i="30" s="1"/>
  <c r="N261" i="30"/>
  <c r="S261" i="30" s="1"/>
  <c r="N263" i="30"/>
  <c r="S263" i="30" s="1"/>
  <c r="S260" i="30"/>
  <c r="M245" i="30"/>
  <c r="N245" i="30" s="1"/>
  <c r="S245" i="30" s="1"/>
  <c r="M242" i="30"/>
  <c r="N242" i="30" s="1"/>
  <c r="M244" i="30"/>
  <c r="N244" i="30" s="1"/>
  <c r="S244" i="30" s="1"/>
  <c r="M243" i="30"/>
  <c r="N243" i="30" s="1"/>
  <c r="S243" i="30"/>
  <c r="M199" i="30"/>
  <c r="N199" i="30" s="1"/>
  <c r="S199" i="30" s="1"/>
  <c r="N197" i="30"/>
  <c r="S197" i="30" s="1"/>
  <c r="M198" i="30"/>
  <c r="N198" i="30" s="1"/>
  <c r="S198" i="30" s="1"/>
  <c r="M68" i="30"/>
  <c r="N68" i="30" s="1"/>
  <c r="S68" i="30" s="1"/>
  <c r="P114" i="125"/>
  <c r="M113" i="125"/>
  <c r="M114" i="125"/>
  <c r="P38" i="125"/>
  <c r="O38" i="125"/>
  <c r="L38" i="125"/>
  <c r="M38" i="125"/>
  <c r="L39" i="125"/>
  <c r="M39" i="125"/>
  <c r="C57" i="121"/>
  <c r="J57" i="121"/>
  <c r="O5" i="163"/>
  <c r="M47" i="121" s="1"/>
  <c r="O6" i="163"/>
  <c r="M48" i="121" s="1"/>
  <c r="O7" i="163"/>
  <c r="M49" i="121" s="1"/>
  <c r="BE11" i="164"/>
  <c r="BD11" i="164"/>
  <c r="BC11" i="164"/>
  <c r="BB11" i="164"/>
  <c r="AV11" i="164"/>
  <c r="AU11" i="164"/>
  <c r="AP11" i="164"/>
  <c r="AO11" i="164"/>
  <c r="AN11" i="164"/>
  <c r="AL11" i="164"/>
  <c r="AK11" i="164"/>
  <c r="AJ11" i="164"/>
  <c r="AI11" i="164"/>
  <c r="AH11" i="164"/>
  <c r="AB11" i="164"/>
  <c r="Y11" i="164"/>
  <c r="X11" i="164"/>
  <c r="V11" i="164"/>
  <c r="U11" i="164"/>
  <c r="V162" i="121"/>
  <c r="U162" i="121"/>
  <c r="T162" i="121"/>
  <c r="S162" i="121"/>
  <c r="R162" i="121"/>
  <c r="Q162" i="121"/>
  <c r="P162" i="121"/>
  <c r="O162" i="121"/>
  <c r="N162" i="121"/>
  <c r="M162" i="121"/>
  <c r="L162" i="121"/>
  <c r="K162" i="121"/>
  <c r="J162" i="121"/>
  <c r="I162" i="121"/>
  <c r="H162" i="121"/>
  <c r="G162" i="121"/>
  <c r="F162" i="121"/>
  <c r="E162" i="121"/>
  <c r="D162" i="121"/>
  <c r="Q19" i="123"/>
  <c r="AB163" i="121"/>
  <c r="AA163" i="121"/>
  <c r="Z163" i="121"/>
  <c r="AD54" i="122"/>
  <c r="AC54" i="122"/>
  <c r="AB54" i="122"/>
  <c r="AA54" i="122"/>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727" i="20"/>
  <c r="I4" i="164"/>
  <c r="D14" i="107"/>
  <c r="I105" i="141"/>
  <c r="F6" i="122"/>
  <c r="D7" i="122"/>
  <c r="AA41" i="122" s="1"/>
  <c r="C7" i="122"/>
  <c r="D6" i="122"/>
  <c r="AC31" i="122" s="1"/>
  <c r="E5" i="122"/>
  <c r="Z21" i="122" s="1"/>
  <c r="D5" i="122"/>
  <c r="AC21" i="122" s="1"/>
  <c r="C5" i="122"/>
  <c r="D21" i="122" s="1"/>
  <c r="D10" i="122"/>
  <c r="P10" i="122" s="1"/>
  <c r="AD41" i="122"/>
  <c r="N88" i="127"/>
  <c r="M88" i="127" s="1"/>
  <c r="L88" i="127" s="1"/>
  <c r="V153" i="107"/>
  <c r="V152" i="107"/>
  <c r="V151" i="107"/>
  <c r="V150" i="107"/>
  <c r="V149" i="107"/>
  <c r="V148" i="107"/>
  <c r="V147" i="107"/>
  <c r="S146" i="107"/>
  <c r="V145" i="107"/>
  <c r="V144" i="107"/>
  <c r="V143" i="107"/>
  <c r="V142" i="107"/>
  <c r="V141" i="107"/>
  <c r="S140" i="107"/>
  <c r="V139" i="107"/>
  <c r="V138" i="107"/>
  <c r="V137" i="107"/>
  <c r="V136" i="107"/>
  <c r="V135" i="107"/>
  <c r="S134" i="107"/>
  <c r="S133" i="107"/>
  <c r="S132" i="107"/>
  <c r="S126" i="107" s="1"/>
  <c r="S125" i="107"/>
  <c r="V124" i="107"/>
  <c r="V123" i="107"/>
  <c r="V122" i="107"/>
  <c r="V121" i="107"/>
  <c r="V120" i="107"/>
  <c r="V119" i="107"/>
  <c r="V118" i="107"/>
  <c r="S117" i="107"/>
  <c r="V116" i="107"/>
  <c r="V115" i="107"/>
  <c r="V114" i="107"/>
  <c r="V113" i="107"/>
  <c r="V112" i="107"/>
  <c r="V111" i="107"/>
  <c r="V110" i="107"/>
  <c r="V109" i="107"/>
  <c r="V108" i="107"/>
  <c r="V107" i="107"/>
  <c r="V106" i="107"/>
  <c r="V105" i="107"/>
  <c r="V104" i="107"/>
  <c r="V103" i="107"/>
  <c r="V102" i="107"/>
  <c r="V101" i="107"/>
  <c r="V100" i="107"/>
  <c r="V99" i="107"/>
  <c r="V98" i="107"/>
  <c r="V97" i="107"/>
  <c r="V96" i="107"/>
  <c r="V95" i="107"/>
  <c r="V94" i="107"/>
  <c r="V93" i="107"/>
  <c r="V92" i="107"/>
  <c r="V91" i="107"/>
  <c r="S90" i="107"/>
  <c r="V89" i="107"/>
  <c r="S88" i="107"/>
  <c r="S87" i="107"/>
  <c r="S131" i="107" s="1"/>
  <c r="V86" i="107"/>
  <c r="V85" i="107"/>
  <c r="V84" i="107"/>
  <c r="V83" i="107"/>
  <c r="V82" i="107"/>
  <c r="S81" i="107"/>
  <c r="V80" i="107"/>
  <c r="V79" i="107"/>
  <c r="V78" i="107"/>
  <c r="V77" i="107"/>
  <c r="V76" i="107"/>
  <c r="V75" i="107"/>
  <c r="S74" i="107"/>
  <c r="V73" i="107"/>
  <c r="V72" i="107"/>
  <c r="V71" i="107"/>
  <c r="V70" i="107"/>
  <c r="V69" i="107"/>
  <c r="S68" i="107"/>
  <c r="V67" i="107"/>
  <c r="V66" i="107"/>
  <c r="V65" i="107"/>
  <c r="V64" i="107"/>
  <c r="V63" i="107"/>
  <c r="S62" i="107"/>
  <c r="R153" i="107"/>
  <c r="R152" i="107"/>
  <c r="R151" i="107"/>
  <c r="R150" i="107"/>
  <c r="R149" i="107"/>
  <c r="R148" i="107"/>
  <c r="R147" i="107"/>
  <c r="O146" i="107"/>
  <c r="R145" i="107"/>
  <c r="R144" i="107"/>
  <c r="R143" i="107"/>
  <c r="R142" i="107"/>
  <c r="R141" i="107"/>
  <c r="O140" i="107"/>
  <c r="R139" i="107"/>
  <c r="R138" i="107"/>
  <c r="R137" i="107"/>
  <c r="R136" i="107"/>
  <c r="R135" i="107"/>
  <c r="O134" i="107"/>
  <c r="O133" i="107"/>
  <c r="O132" i="107"/>
  <c r="O126" i="107" s="1"/>
  <c r="O125" i="107"/>
  <c r="R124" i="107"/>
  <c r="R123" i="107"/>
  <c r="R122" i="107"/>
  <c r="R121" i="107"/>
  <c r="R120" i="107"/>
  <c r="R119" i="107"/>
  <c r="R118" i="107"/>
  <c r="O117" i="107"/>
  <c r="R116" i="107"/>
  <c r="R115" i="107"/>
  <c r="R114" i="107"/>
  <c r="R113" i="107"/>
  <c r="R112" i="107"/>
  <c r="R111" i="107"/>
  <c r="R110" i="107"/>
  <c r="R109" i="107"/>
  <c r="R108" i="107"/>
  <c r="R107" i="107"/>
  <c r="R106" i="107"/>
  <c r="R105" i="107"/>
  <c r="R104" i="107"/>
  <c r="R103" i="107"/>
  <c r="R102" i="107"/>
  <c r="R101" i="107"/>
  <c r="R100" i="107"/>
  <c r="R99" i="107"/>
  <c r="R98" i="107"/>
  <c r="R97" i="107"/>
  <c r="R96" i="107"/>
  <c r="R95" i="107"/>
  <c r="R94" i="107"/>
  <c r="R93" i="107"/>
  <c r="R92" i="107"/>
  <c r="R91" i="107"/>
  <c r="O90" i="107"/>
  <c r="R89" i="107"/>
  <c r="O88" i="107"/>
  <c r="O87" i="107"/>
  <c r="O131" i="107" s="1"/>
  <c r="R86" i="107"/>
  <c r="R85" i="107"/>
  <c r="R84" i="107"/>
  <c r="R83" i="107"/>
  <c r="R82" i="107"/>
  <c r="O81" i="107"/>
  <c r="R80" i="107"/>
  <c r="R79" i="107"/>
  <c r="R78" i="107"/>
  <c r="R77" i="107"/>
  <c r="R76" i="107"/>
  <c r="R75" i="107"/>
  <c r="O74" i="107"/>
  <c r="R73" i="107"/>
  <c r="R72" i="107"/>
  <c r="R71" i="107"/>
  <c r="R70" i="107"/>
  <c r="R69" i="107"/>
  <c r="O68" i="107"/>
  <c r="R67" i="107"/>
  <c r="R66" i="107"/>
  <c r="R65" i="107"/>
  <c r="R64" i="107"/>
  <c r="R63" i="107"/>
  <c r="O62" i="107"/>
  <c r="O61" i="107" s="1"/>
  <c r="D107" i="122"/>
  <c r="C107" i="122"/>
  <c r="D88" i="122"/>
  <c r="C88" i="122"/>
  <c r="G125" i="107"/>
  <c r="W21" i="122"/>
  <c r="Q21" i="122"/>
  <c r="X21" i="122"/>
  <c r="R21" i="122"/>
  <c r="F21" i="122"/>
  <c r="Q41" i="122"/>
  <c r="E41" i="122"/>
  <c r="X41" i="122"/>
  <c r="F41" i="122"/>
  <c r="U21" i="122"/>
  <c r="C21" i="122"/>
  <c r="X31" i="122"/>
  <c r="T21" i="122"/>
  <c r="T51" i="122" s="1"/>
  <c r="O7" i="122"/>
  <c r="P7" i="122"/>
  <c r="L38" i="112"/>
  <c r="O247" i="121" s="1"/>
  <c r="K38" i="112"/>
  <c r="N247" i="121" s="1"/>
  <c r="J38" i="112"/>
  <c r="M247" i="121" s="1"/>
  <c r="I38" i="112"/>
  <c r="L247" i="121" s="1"/>
  <c r="F38" i="112"/>
  <c r="I247" i="121" s="1"/>
  <c r="E38" i="112"/>
  <c r="H247" i="121" s="1"/>
  <c r="B37" i="112"/>
  <c r="C246" i="121" s="1"/>
  <c r="B38" i="112"/>
  <c r="C247" i="121" s="1"/>
  <c r="E81" i="1"/>
  <c r="L8" i="121" s="1"/>
  <c r="C15" i="121"/>
  <c r="C14" i="121"/>
  <c r="C13" i="121"/>
  <c r="C12" i="121"/>
  <c r="C11" i="121"/>
  <c r="C10" i="121"/>
  <c r="C9" i="121"/>
  <c r="C8" i="121"/>
  <c r="C7" i="121"/>
  <c r="C6" i="121"/>
  <c r="L3" i="121"/>
  <c r="K3" i="121"/>
  <c r="O230" i="121"/>
  <c r="N230" i="121"/>
  <c r="V231" i="121"/>
  <c r="U231" i="121"/>
  <c r="T231" i="121"/>
  <c r="S231" i="121"/>
  <c r="R231" i="121"/>
  <c r="V230" i="121"/>
  <c r="U230" i="121"/>
  <c r="T230" i="121"/>
  <c r="S230" i="121"/>
  <c r="R230" i="121"/>
  <c r="D269" i="167"/>
  <c r="E89" i="1"/>
  <c r="L15" i="121" s="1"/>
  <c r="E88" i="1"/>
  <c r="L14" i="121" s="1"/>
  <c r="E87" i="1"/>
  <c r="L13" i="121" s="1"/>
  <c r="E85" i="1"/>
  <c r="L12" i="121" s="1"/>
  <c r="E84" i="1"/>
  <c r="L11" i="121" s="1"/>
  <c r="E83" i="1"/>
  <c r="L10" i="121" s="1"/>
  <c r="E82" i="1"/>
  <c r="L9" i="121"/>
  <c r="E80" i="1"/>
  <c r="L7" i="121" s="1"/>
  <c r="E79" i="1"/>
  <c r="L6" i="121" s="1"/>
  <c r="D12" i="1"/>
  <c r="G6" i="122" s="1"/>
  <c r="AB45" i="122" s="1"/>
  <c r="AC35" i="122"/>
  <c r="E32" i="122"/>
  <c r="Y28" i="122"/>
  <c r="R45" i="122"/>
  <c r="I373" i="167"/>
  <c r="B373" i="167"/>
  <c r="K132" i="107"/>
  <c r="G132" i="107"/>
  <c r="F168" i="167"/>
  <c r="M146" i="123"/>
  <c r="I146" i="123"/>
  <c r="O12" i="163"/>
  <c r="O11" i="163"/>
  <c r="G631" i="115" a="1"/>
  <c r="G681" i="115" s="1"/>
  <c r="F631" i="115" a="1"/>
  <c r="F730" i="115" s="1"/>
  <c r="E631" i="115" a="1"/>
  <c r="E729" i="115" s="1"/>
  <c r="C631" i="115" a="1"/>
  <c r="D730" i="115" s="1"/>
  <c r="G528" i="115" a="1"/>
  <c r="G537" i="115" s="1"/>
  <c r="F528" i="115" a="1"/>
  <c r="F613" i="115" s="1"/>
  <c r="E528" i="115" a="1"/>
  <c r="E619" i="115" s="1"/>
  <c r="C528" i="115" a="1"/>
  <c r="C623" i="115" s="1"/>
  <c r="G425" i="115" a="1"/>
  <c r="G481" i="115" s="1"/>
  <c r="F425" i="115" a="1"/>
  <c r="F490" i="115" s="1"/>
  <c r="E425" i="115" a="1"/>
  <c r="E492" i="115" s="1"/>
  <c r="C425" i="115" a="1"/>
  <c r="D519" i="115" s="1"/>
  <c r="G320" i="115" a="1"/>
  <c r="G405" i="115" s="1"/>
  <c r="F320" i="115" a="1"/>
  <c r="F381" i="115" s="1"/>
  <c r="E320" i="115" a="1"/>
  <c r="E358" i="115" s="1"/>
  <c r="C320" i="115" a="1"/>
  <c r="C335" i="115" s="1"/>
  <c r="G217" i="115" a="1"/>
  <c r="G297" i="115" s="1"/>
  <c r="F217" i="115" a="1"/>
  <c r="F275" i="115" s="1"/>
  <c r="E217" i="115" a="1"/>
  <c r="E316" i="115" s="1"/>
  <c r="C217" i="115" a="1"/>
  <c r="D246" i="115" s="1"/>
  <c r="G114" i="115" a="1"/>
  <c r="G170" i="115" s="1"/>
  <c r="F114" i="115" a="1"/>
  <c r="F198" i="115" s="1"/>
  <c r="E114" i="115" a="1"/>
  <c r="E201" i="115" s="1"/>
  <c r="C114" i="115" a="1"/>
  <c r="C209" i="115" s="1"/>
  <c r="G11" i="115" a="1"/>
  <c r="G11" i="115" s="1"/>
  <c r="F11" i="115" a="1"/>
  <c r="F11" i="115" s="1"/>
  <c r="E11" i="115" a="1"/>
  <c r="E76" i="115" s="1"/>
  <c r="C11" i="115" a="1"/>
  <c r="C11" i="115" s="1"/>
  <c r="E546" i="115"/>
  <c r="D584" i="115"/>
  <c r="E350" i="115"/>
  <c r="F106" i="122"/>
  <c r="AQ43" i="173" s="1"/>
  <c r="F87" i="122"/>
  <c r="D146" i="125"/>
  <c r="AI68" i="124"/>
  <c r="AE68" i="124"/>
  <c r="W68" i="124"/>
  <c r="S68" i="124"/>
  <c r="M68" i="124"/>
  <c r="K68" i="124"/>
  <c r="J68" i="124"/>
  <c r="I68" i="124"/>
  <c r="G68" i="124"/>
  <c r="F68" i="124"/>
  <c r="E68" i="124"/>
  <c r="D68" i="124"/>
  <c r="C68" i="124"/>
  <c r="L284" i="121"/>
  <c r="C284" i="121"/>
  <c r="C283" i="121"/>
  <c r="C282" i="121"/>
  <c r="C279" i="121"/>
  <c r="C278" i="121"/>
  <c r="C277" i="121"/>
  <c r="C276" i="121"/>
  <c r="C275" i="121"/>
  <c r="C274" i="121"/>
  <c r="C273" i="121"/>
  <c r="C272" i="121"/>
  <c r="C271" i="121"/>
  <c r="C270" i="121"/>
  <c r="G362" i="20"/>
  <c r="G359" i="20"/>
  <c r="G358" i="20"/>
  <c r="G357" i="20"/>
  <c r="G356" i="20"/>
  <c r="G355" i="20"/>
  <c r="G354" i="20"/>
  <c r="G350" i="20"/>
  <c r="G349" i="20"/>
  <c r="G348" i="20"/>
  <c r="F99" i="122"/>
  <c r="D99" i="122"/>
  <c r="C99" i="122"/>
  <c r="E77" i="122"/>
  <c r="C52" i="121"/>
  <c r="C51" i="121"/>
  <c r="C50" i="121"/>
  <c r="J46" i="121"/>
  <c r="E1" i="163"/>
  <c r="O10" i="163"/>
  <c r="M50" i="121" s="1"/>
  <c r="N12" i="163"/>
  <c r="L52" i="121" s="1"/>
  <c r="N11" i="163"/>
  <c r="L51" i="121" s="1"/>
  <c r="N10" i="163"/>
  <c r="L50" i="121" s="1"/>
  <c r="M52" i="121"/>
  <c r="M51" i="121"/>
  <c r="G12" i="163"/>
  <c r="G11" i="163"/>
  <c r="G10" i="163"/>
  <c r="M12" i="163"/>
  <c r="K52" i="121" s="1"/>
  <c r="L12" i="163"/>
  <c r="J52" i="121" s="1"/>
  <c r="M11" i="163"/>
  <c r="K51" i="121" s="1"/>
  <c r="L11" i="163"/>
  <c r="J51" i="121" s="1"/>
  <c r="M10" i="163"/>
  <c r="K50" i="121" s="1"/>
  <c r="L10" i="163"/>
  <c r="J50" i="121" s="1"/>
  <c r="G371" i="167"/>
  <c r="F371" i="167"/>
  <c r="F12" i="167"/>
  <c r="B12" i="167"/>
  <c r="K4" i="167"/>
  <c r="H55" i="107"/>
  <c r="K81" i="107"/>
  <c r="K74" i="107"/>
  <c r="K68" i="107"/>
  <c r="K62" i="107"/>
  <c r="K61" i="107" s="1"/>
  <c r="G62" i="107"/>
  <c r="G81" i="107"/>
  <c r="G74" i="107"/>
  <c r="G68" i="107"/>
  <c r="H371" i="167"/>
  <c r="K10" i="167"/>
  <c r="K9" i="167"/>
  <c r="K8" i="167"/>
  <c r="K5" i="167"/>
  <c r="K117" i="107"/>
  <c r="K90" i="107"/>
  <c r="K88" i="107"/>
  <c r="G90" i="107"/>
  <c r="C38" i="121"/>
  <c r="O28" i="121"/>
  <c r="L34" i="141"/>
  <c r="O38" i="121" s="1"/>
  <c r="K35" i="141"/>
  <c r="N39" i="121" s="1"/>
  <c r="AI69" i="124"/>
  <c r="AE69" i="124"/>
  <c r="W69" i="124"/>
  <c r="S69" i="124"/>
  <c r="M69" i="124"/>
  <c r="K69" i="124"/>
  <c r="J69" i="124"/>
  <c r="I69" i="124"/>
  <c r="G69" i="124"/>
  <c r="F69" i="124"/>
  <c r="E69" i="124"/>
  <c r="D69" i="124"/>
  <c r="C69" i="124"/>
  <c r="C9" i="124"/>
  <c r="D9" i="124" s="1"/>
  <c r="B9" i="124"/>
  <c r="M145" i="123"/>
  <c r="I145" i="123"/>
  <c r="B11" i="123"/>
  <c r="D11" i="123"/>
  <c r="E11" i="123" s="1"/>
  <c r="BX58" i="124"/>
  <c r="BX50" i="124"/>
  <c r="AK223" i="121" s="1"/>
  <c r="BX47" i="124"/>
  <c r="AK222" i="121" s="1"/>
  <c r="BX44" i="124"/>
  <c r="BX41" i="124"/>
  <c r="BX35" i="124"/>
  <c r="BX32" i="124"/>
  <c r="BX29" i="124"/>
  <c r="BX26" i="124"/>
  <c r="BX23" i="124"/>
  <c r="BX20" i="124"/>
  <c r="BX17" i="124"/>
  <c r="BL58" i="124"/>
  <c r="BL50" i="124"/>
  <c r="AA223" i="121" s="1"/>
  <c r="BL47" i="124"/>
  <c r="AA222" i="121" s="1"/>
  <c r="BL44" i="124"/>
  <c r="BL41" i="124"/>
  <c r="BL20" i="124"/>
  <c r="BL17" i="124"/>
  <c r="N105" i="127"/>
  <c r="M105" i="127" s="1"/>
  <c r="L105" i="127" s="1"/>
  <c r="F19" i="107"/>
  <c r="F18" i="107"/>
  <c r="F17" i="107"/>
  <c r="D20" i="107"/>
  <c r="D19" i="107"/>
  <c r="D18" i="107"/>
  <c r="D17" i="107"/>
  <c r="B63" i="122"/>
  <c r="J39" i="125"/>
  <c r="J37" i="125" s="1"/>
  <c r="I39" i="125"/>
  <c r="I37" i="125" s="1"/>
  <c r="G37" i="125"/>
  <c r="F37" i="125"/>
  <c r="D37" i="125"/>
  <c r="C37" i="125"/>
  <c r="F169" i="167"/>
  <c r="F7" i="167" s="1"/>
  <c r="B7" i="167"/>
  <c r="F358" i="167"/>
  <c r="F354" i="167"/>
  <c r="F350" i="167"/>
  <c r="F263" i="167"/>
  <c r="F259" i="167"/>
  <c r="F255" i="167"/>
  <c r="F233" i="167"/>
  <c r="F229" i="167"/>
  <c r="F224" i="167" s="1"/>
  <c r="J8" i="167" s="1"/>
  <c r="L8" i="167" s="1"/>
  <c r="F225" i="167"/>
  <c r="F161" i="167"/>
  <c r="F157" i="167"/>
  <c r="F153" i="167"/>
  <c r="F117" i="167"/>
  <c r="F113" i="167"/>
  <c r="F109" i="167"/>
  <c r="F80" i="167"/>
  <c r="F76" i="167"/>
  <c r="F72" i="167"/>
  <c r="H10" i="167"/>
  <c r="G10" i="167"/>
  <c r="F10" i="167"/>
  <c r="H9" i="167"/>
  <c r="G9" i="167"/>
  <c r="F9" i="167"/>
  <c r="H8" i="167"/>
  <c r="G8" i="167"/>
  <c r="F8" i="167"/>
  <c r="H6" i="167"/>
  <c r="G6" i="167"/>
  <c r="F6" i="167"/>
  <c r="H5" i="167"/>
  <c r="G5" i="167"/>
  <c r="F5" i="167"/>
  <c r="H4" i="167"/>
  <c r="G4" i="167"/>
  <c r="F4" i="167"/>
  <c r="B10" i="167"/>
  <c r="B9" i="167"/>
  <c r="B8" i="167"/>
  <c r="B6" i="167"/>
  <c r="B5" i="167"/>
  <c r="B4" i="167"/>
  <c r="D20" i="167"/>
  <c r="H52" i="107"/>
  <c r="G271" i="167"/>
  <c r="G275" i="167" s="1"/>
  <c r="G88" i="107"/>
  <c r="K146" i="107"/>
  <c r="K140" i="107"/>
  <c r="K133" i="107"/>
  <c r="K134" i="107"/>
  <c r="G146" i="107"/>
  <c r="G140" i="107"/>
  <c r="G134" i="107"/>
  <c r="G133" i="107"/>
  <c r="K87" i="107"/>
  <c r="G117" i="107"/>
  <c r="G87" i="107"/>
  <c r="G1" i="167"/>
  <c r="L346" i="167"/>
  <c r="L345" i="167"/>
  <c r="L344" i="167"/>
  <c r="L343" i="167"/>
  <c r="L342" i="167"/>
  <c r="L341" i="167"/>
  <c r="L340" i="167"/>
  <c r="L339" i="167"/>
  <c r="L338" i="167"/>
  <c r="L337" i="167"/>
  <c r="L336" i="167"/>
  <c r="L335" i="167"/>
  <c r="L334" i="167"/>
  <c r="L333" i="167"/>
  <c r="L332" i="167"/>
  <c r="L331" i="167"/>
  <c r="L330" i="167"/>
  <c r="L329" i="167"/>
  <c r="L328" i="167"/>
  <c r="L327" i="167"/>
  <c r="L326" i="167"/>
  <c r="L325" i="167"/>
  <c r="L324" i="167"/>
  <c r="L323" i="167"/>
  <c r="L322" i="167"/>
  <c r="L321" i="167"/>
  <c r="L320" i="167"/>
  <c r="L319" i="167"/>
  <c r="L318" i="167"/>
  <c r="L317" i="167"/>
  <c r="L316" i="167"/>
  <c r="L315" i="167"/>
  <c r="L314" i="167"/>
  <c r="L313" i="167"/>
  <c r="L312" i="167"/>
  <c r="L311" i="167"/>
  <c r="L310" i="167"/>
  <c r="L309" i="167"/>
  <c r="L308" i="167"/>
  <c r="L307" i="167"/>
  <c r="L306" i="167"/>
  <c r="L305" i="167"/>
  <c r="L304" i="167"/>
  <c r="L303" i="167"/>
  <c r="L302" i="167"/>
  <c r="L301" i="167"/>
  <c r="L300" i="167"/>
  <c r="L299" i="167"/>
  <c r="L298" i="167"/>
  <c r="L297" i="167"/>
  <c r="L296" i="167"/>
  <c r="L295" i="167"/>
  <c r="L294" i="167"/>
  <c r="L293" i="167"/>
  <c r="L292" i="167"/>
  <c r="L291" i="167"/>
  <c r="L290" i="167"/>
  <c r="L289" i="167"/>
  <c r="L288" i="167"/>
  <c r="L287" i="167"/>
  <c r="L286" i="167"/>
  <c r="L285" i="167"/>
  <c r="L284" i="167"/>
  <c r="L283" i="167"/>
  <c r="L282" i="167"/>
  <c r="L281" i="167"/>
  <c r="Z54" i="122"/>
  <c r="Y54" i="122"/>
  <c r="X54" i="122"/>
  <c r="W54" i="122"/>
  <c r="V54" i="122"/>
  <c r="U54" i="122"/>
  <c r="T54" i="122"/>
  <c r="S54" i="122"/>
  <c r="R54" i="122"/>
  <c r="Q54" i="122"/>
  <c r="P54" i="122"/>
  <c r="O54" i="122"/>
  <c r="H54" i="122"/>
  <c r="G54" i="122"/>
  <c r="F54" i="122"/>
  <c r="E54" i="122"/>
  <c r="D54" i="122"/>
  <c r="C54" i="122"/>
  <c r="J63" i="107"/>
  <c r="N116" i="107"/>
  <c r="N115" i="107"/>
  <c r="N114" i="107"/>
  <c r="N113" i="107"/>
  <c r="N112" i="107"/>
  <c r="N111" i="107"/>
  <c r="N110" i="107"/>
  <c r="N109" i="107"/>
  <c r="N108" i="107"/>
  <c r="N107" i="107"/>
  <c r="N106" i="107"/>
  <c r="N105" i="107"/>
  <c r="N104" i="107"/>
  <c r="N103" i="107"/>
  <c r="N102" i="107"/>
  <c r="N101" i="107"/>
  <c r="N100" i="107"/>
  <c r="N99" i="107"/>
  <c r="N98" i="107"/>
  <c r="N97" i="107"/>
  <c r="N95" i="107"/>
  <c r="N94" i="107"/>
  <c r="N93" i="107"/>
  <c r="N92" i="107"/>
  <c r="J116" i="107"/>
  <c r="J115" i="107"/>
  <c r="J114" i="107"/>
  <c r="J113" i="107"/>
  <c r="J112" i="107"/>
  <c r="J111" i="107"/>
  <c r="J110" i="107"/>
  <c r="J109" i="107"/>
  <c r="J108" i="107"/>
  <c r="J107" i="107"/>
  <c r="J106" i="107"/>
  <c r="J105" i="107"/>
  <c r="J104" i="107"/>
  <c r="J103" i="107"/>
  <c r="J101" i="107"/>
  <c r="J100" i="107"/>
  <c r="J99" i="107"/>
  <c r="J98" i="107"/>
  <c r="J97" i="107"/>
  <c r="J96" i="107"/>
  <c r="J95" i="107"/>
  <c r="J94" i="107"/>
  <c r="J93" i="107"/>
  <c r="J92" i="107"/>
  <c r="H54" i="107"/>
  <c r="H53" i="107"/>
  <c r="H50" i="107"/>
  <c r="H48" i="107"/>
  <c r="H47" i="107"/>
  <c r="H45" i="107"/>
  <c r="H44" i="107"/>
  <c r="H42" i="107"/>
  <c r="H41" i="107"/>
  <c r="H39" i="107"/>
  <c r="H38" i="107"/>
  <c r="H37" i="107"/>
  <c r="H35" i="107"/>
  <c r="H34" i="107"/>
  <c r="H33" i="107"/>
  <c r="H32" i="107"/>
  <c r="H30" i="107"/>
  <c r="H28" i="107"/>
  <c r="F76" i="122"/>
  <c r="C267" i="121" s="1"/>
  <c r="E76" i="122"/>
  <c r="H76" i="122"/>
  <c r="G76" i="122"/>
  <c r="G46" i="107"/>
  <c r="G56" i="107" s="1"/>
  <c r="G5" i="107" s="1"/>
  <c r="D111" i="125" s="1"/>
  <c r="I11" i="107"/>
  <c r="N153" i="107"/>
  <c r="N152" i="107"/>
  <c r="N151" i="107"/>
  <c r="N150" i="107"/>
  <c r="N149" i="107"/>
  <c r="N148" i="107"/>
  <c r="N147" i="107"/>
  <c r="N145" i="107"/>
  <c r="N144" i="107"/>
  <c r="N143" i="107"/>
  <c r="N142" i="107"/>
  <c r="N141" i="107"/>
  <c r="N139" i="107"/>
  <c r="N138" i="107"/>
  <c r="N137" i="107"/>
  <c r="N136" i="107"/>
  <c r="N135" i="107"/>
  <c r="J153" i="107"/>
  <c r="J152" i="107"/>
  <c r="J151" i="107"/>
  <c r="J150" i="107"/>
  <c r="J149" i="107"/>
  <c r="J148" i="107"/>
  <c r="J147" i="107"/>
  <c r="J145" i="107"/>
  <c r="J144" i="107"/>
  <c r="J143" i="107"/>
  <c r="J142" i="107"/>
  <c r="J141" i="107"/>
  <c r="J139" i="107"/>
  <c r="J138" i="107"/>
  <c r="J137" i="107"/>
  <c r="J136" i="107"/>
  <c r="J135" i="107"/>
  <c r="N124" i="107"/>
  <c r="N123" i="107"/>
  <c r="N122" i="107"/>
  <c r="N121" i="107"/>
  <c r="N120" i="107"/>
  <c r="N119" i="107"/>
  <c r="N118" i="107"/>
  <c r="N96" i="107"/>
  <c r="N91" i="107"/>
  <c r="N89" i="107"/>
  <c r="J123" i="107"/>
  <c r="J122" i="107"/>
  <c r="J121" i="107"/>
  <c r="J120" i="107"/>
  <c r="J119" i="107"/>
  <c r="J118" i="107"/>
  <c r="J102" i="107"/>
  <c r="J91" i="107"/>
  <c r="J89" i="107"/>
  <c r="N86" i="107"/>
  <c r="N85" i="107"/>
  <c r="N84" i="107"/>
  <c r="N83" i="107"/>
  <c r="N82" i="107"/>
  <c r="N80" i="107"/>
  <c r="N79" i="107"/>
  <c r="N78" i="107"/>
  <c r="N77" i="107"/>
  <c r="N76" i="107"/>
  <c r="N75" i="107"/>
  <c r="N73" i="107"/>
  <c r="N72" i="107"/>
  <c r="N71" i="107"/>
  <c r="N70" i="107"/>
  <c r="N69" i="107"/>
  <c r="N67" i="107"/>
  <c r="N66" i="107"/>
  <c r="N65" i="107"/>
  <c r="N64" i="107"/>
  <c r="N63" i="107"/>
  <c r="J86" i="107"/>
  <c r="J85" i="107"/>
  <c r="J84" i="107"/>
  <c r="J83" i="107"/>
  <c r="J82" i="107"/>
  <c r="J80" i="107"/>
  <c r="J79" i="107"/>
  <c r="J78" i="107"/>
  <c r="J77" i="107"/>
  <c r="J76" i="107"/>
  <c r="J75" i="107"/>
  <c r="J73" i="107"/>
  <c r="J72" i="107"/>
  <c r="J71" i="107"/>
  <c r="J70" i="107"/>
  <c r="J69" i="107"/>
  <c r="J67" i="107"/>
  <c r="J66" i="107"/>
  <c r="J65" i="107"/>
  <c r="J64" i="107"/>
  <c r="I15" i="107"/>
  <c r="CP54" i="124"/>
  <c r="CP53" i="124"/>
  <c r="I191" i="124" s="1"/>
  <c r="CP52" i="124"/>
  <c r="I190" i="124" s="1"/>
  <c r="C49" i="121"/>
  <c r="C48" i="121"/>
  <c r="K46" i="121"/>
  <c r="C47" i="121"/>
  <c r="N7" i="163"/>
  <c r="L49" i="121" s="1"/>
  <c r="N6" i="163"/>
  <c r="L48" i="121" s="1"/>
  <c r="N5" i="163"/>
  <c r="L47" i="121" s="1"/>
  <c r="M7" i="163"/>
  <c r="K49" i="121" s="1"/>
  <c r="M6" i="163"/>
  <c r="K48" i="121" s="1"/>
  <c r="M5" i="163"/>
  <c r="K47" i="121" s="1"/>
  <c r="L7" i="163"/>
  <c r="J49" i="121" s="1"/>
  <c r="L6" i="163"/>
  <c r="J48" i="121" s="1"/>
  <c r="L5" i="163"/>
  <c r="J47" i="121" s="1"/>
  <c r="KB630" i="115"/>
  <c r="KA630" i="115"/>
  <c r="JZ630" i="115"/>
  <c r="JY630" i="115"/>
  <c r="JX630" i="115"/>
  <c r="JW630" i="115"/>
  <c r="JV630" i="115"/>
  <c r="JU630" i="115"/>
  <c r="JT630" i="115"/>
  <c r="JS630" i="115"/>
  <c r="JR630" i="115"/>
  <c r="JQ630" i="115"/>
  <c r="JP630" i="115"/>
  <c r="JO630" i="115"/>
  <c r="JN630" i="115"/>
  <c r="JM630" i="115"/>
  <c r="JL630" i="115"/>
  <c r="JK630" i="115"/>
  <c r="JJ630" i="115"/>
  <c r="JI630" i="115"/>
  <c r="JH630" i="115"/>
  <c r="JG630" i="115"/>
  <c r="JF630" i="115"/>
  <c r="JE630" i="115"/>
  <c r="JD630" i="115"/>
  <c r="JC630" i="115"/>
  <c r="JB630" i="115"/>
  <c r="JA630" i="115"/>
  <c r="IZ630" i="115"/>
  <c r="IY630" i="115"/>
  <c r="IX630" i="115"/>
  <c r="IW630" i="115"/>
  <c r="IV630" i="115"/>
  <c r="IU630" i="115"/>
  <c r="IT630" i="115"/>
  <c r="IS630" i="115"/>
  <c r="IR630" i="115"/>
  <c r="IQ630" i="115"/>
  <c r="IP630" i="115"/>
  <c r="IO630" i="115"/>
  <c r="IN630" i="115"/>
  <c r="IM630" i="115"/>
  <c r="IL630" i="115"/>
  <c r="IK630" i="115"/>
  <c r="IJ630" i="115"/>
  <c r="II630" i="115"/>
  <c r="IH630" i="115"/>
  <c r="IG630" i="115"/>
  <c r="IF630" i="115"/>
  <c r="IE630" i="115"/>
  <c r="ID630" i="115"/>
  <c r="IC630" i="115"/>
  <c r="IB630" i="115"/>
  <c r="IA630" i="115"/>
  <c r="HZ630" i="115"/>
  <c r="HY630" i="115"/>
  <c r="HX630" i="115"/>
  <c r="HW630" i="115"/>
  <c r="HV630" i="115"/>
  <c r="HU630" i="115"/>
  <c r="HT630" i="115"/>
  <c r="HS630" i="115"/>
  <c r="HR630" i="115"/>
  <c r="HQ630" i="115"/>
  <c r="HP630" i="115"/>
  <c r="HO630" i="115"/>
  <c r="HN630" i="115"/>
  <c r="HM630" i="115"/>
  <c r="HL630" i="115"/>
  <c r="HK630" i="115"/>
  <c r="HJ630" i="115"/>
  <c r="HI630" i="115"/>
  <c r="HH630" i="115"/>
  <c r="HG630" i="115"/>
  <c r="HF630" i="115"/>
  <c r="HE630" i="115"/>
  <c r="HD630" i="115"/>
  <c r="HC630" i="115"/>
  <c r="HB630" i="115"/>
  <c r="HA630" i="115"/>
  <c r="GZ630" i="115"/>
  <c r="GY630" i="115"/>
  <c r="GX630" i="115"/>
  <c r="GW630" i="115"/>
  <c r="GV630" i="115"/>
  <c r="GU630" i="115"/>
  <c r="GT630" i="115"/>
  <c r="GS630" i="115"/>
  <c r="GR630" i="115"/>
  <c r="GQ630" i="115"/>
  <c r="GP630" i="115"/>
  <c r="GO630" i="115"/>
  <c r="GN630" i="115"/>
  <c r="GM630" i="115"/>
  <c r="GL630" i="115"/>
  <c r="GK630" i="115"/>
  <c r="GJ630" i="115"/>
  <c r="GI630" i="115"/>
  <c r="GH630" i="115"/>
  <c r="GG630" i="115"/>
  <c r="GF630" i="115"/>
  <c r="GE630" i="115"/>
  <c r="GD630" i="115"/>
  <c r="GC630" i="115"/>
  <c r="GB630" i="115"/>
  <c r="GA630" i="115"/>
  <c r="FZ630" i="115"/>
  <c r="FY630" i="115"/>
  <c r="FX630" i="115"/>
  <c r="FW630" i="115"/>
  <c r="FV630" i="115"/>
  <c r="FU630" i="115"/>
  <c r="FT630" i="115"/>
  <c r="FS630" i="115"/>
  <c r="FR630" i="115"/>
  <c r="FQ630" i="115"/>
  <c r="FP630" i="115"/>
  <c r="FO630" i="115"/>
  <c r="FN630" i="115"/>
  <c r="FM630" i="115"/>
  <c r="FL630" i="115"/>
  <c r="FK630" i="115"/>
  <c r="FJ630" i="115"/>
  <c r="FI630" i="115"/>
  <c r="FH630" i="115"/>
  <c r="FG630" i="115"/>
  <c r="FF630" i="115"/>
  <c r="FE630" i="115"/>
  <c r="FD630" i="115"/>
  <c r="FC630" i="115"/>
  <c r="FB630" i="115"/>
  <c r="FA630" i="115"/>
  <c r="EZ630" i="115"/>
  <c r="EY630" i="115"/>
  <c r="EX630" i="115"/>
  <c r="EW630" i="115"/>
  <c r="EV630" i="115"/>
  <c r="EU630" i="115"/>
  <c r="ET630" i="115"/>
  <c r="ES630" i="115"/>
  <c r="KB527" i="115"/>
  <c r="KA527" i="115"/>
  <c r="JZ527" i="115"/>
  <c r="JY527" i="115"/>
  <c r="JX527" i="115"/>
  <c r="JW527" i="115"/>
  <c r="JV527" i="115"/>
  <c r="JU527" i="115"/>
  <c r="JT527" i="115"/>
  <c r="JS527" i="115"/>
  <c r="JR527" i="115"/>
  <c r="JQ527" i="115"/>
  <c r="JP527" i="115"/>
  <c r="JO527" i="115"/>
  <c r="JN527" i="115"/>
  <c r="JM527" i="115"/>
  <c r="JL527" i="115"/>
  <c r="JK527" i="115"/>
  <c r="JJ527" i="115"/>
  <c r="JI527" i="115"/>
  <c r="JH527" i="115"/>
  <c r="JG527" i="115"/>
  <c r="JF527" i="115"/>
  <c r="JE527" i="115"/>
  <c r="JD527" i="115"/>
  <c r="JC527" i="115"/>
  <c r="JB527" i="115"/>
  <c r="JA527" i="115"/>
  <c r="IZ527" i="115"/>
  <c r="IY527" i="115"/>
  <c r="IX527" i="115"/>
  <c r="IW527" i="115"/>
  <c r="IV527" i="115"/>
  <c r="IU527" i="115"/>
  <c r="IT527" i="115"/>
  <c r="IS527" i="115"/>
  <c r="IR527" i="115"/>
  <c r="IQ527" i="115"/>
  <c r="IP527" i="115"/>
  <c r="IO527" i="115"/>
  <c r="IN527" i="115"/>
  <c r="IM527" i="115"/>
  <c r="IL527" i="115"/>
  <c r="IK527" i="115"/>
  <c r="IJ527" i="115"/>
  <c r="II527" i="115"/>
  <c r="IH527" i="115"/>
  <c r="IG527" i="115"/>
  <c r="IF527" i="115"/>
  <c r="IE527" i="115"/>
  <c r="ID527" i="115"/>
  <c r="IC527" i="115"/>
  <c r="IB527" i="115"/>
  <c r="IA527" i="115"/>
  <c r="HZ527" i="115"/>
  <c r="HY527" i="115"/>
  <c r="HX527" i="115"/>
  <c r="HW527" i="115"/>
  <c r="HV527" i="115"/>
  <c r="HU527" i="115"/>
  <c r="HT527" i="115"/>
  <c r="HS527" i="115"/>
  <c r="HR527" i="115"/>
  <c r="HQ527" i="115"/>
  <c r="HP527" i="115"/>
  <c r="HO527" i="115"/>
  <c r="HN527" i="115"/>
  <c r="HM527" i="115"/>
  <c r="HL527" i="115"/>
  <c r="HK527" i="115"/>
  <c r="HJ527" i="115"/>
  <c r="HI527" i="115"/>
  <c r="HH527" i="115"/>
  <c r="HG527" i="115"/>
  <c r="HF527" i="115"/>
  <c r="HE527" i="115"/>
  <c r="HD527" i="115"/>
  <c r="HC527" i="115"/>
  <c r="HB527" i="115"/>
  <c r="HA527" i="115"/>
  <c r="GZ527" i="115"/>
  <c r="GY527" i="115"/>
  <c r="GX527" i="115"/>
  <c r="GW527" i="115"/>
  <c r="GV527" i="115"/>
  <c r="GU527" i="115"/>
  <c r="GT527" i="115"/>
  <c r="GS527" i="115"/>
  <c r="GR527" i="115"/>
  <c r="GQ527" i="115"/>
  <c r="GP527" i="115"/>
  <c r="GO527" i="115"/>
  <c r="GN527" i="115"/>
  <c r="GM527" i="115"/>
  <c r="GL527" i="115"/>
  <c r="GK527" i="115"/>
  <c r="GJ527" i="115"/>
  <c r="GI527" i="115"/>
  <c r="GH527" i="115"/>
  <c r="GG527" i="115"/>
  <c r="GF527" i="115"/>
  <c r="GE527" i="115"/>
  <c r="GD527" i="115"/>
  <c r="GC527" i="115"/>
  <c r="GB527" i="115"/>
  <c r="GA527" i="115"/>
  <c r="FZ527" i="115"/>
  <c r="FY527" i="115"/>
  <c r="FX527" i="115"/>
  <c r="FW527" i="115"/>
  <c r="FV527" i="115"/>
  <c r="FU527" i="115"/>
  <c r="FT527" i="115"/>
  <c r="FS527" i="115"/>
  <c r="FR527" i="115"/>
  <c r="FQ527" i="115"/>
  <c r="FP527" i="115"/>
  <c r="FO527" i="115"/>
  <c r="FN527" i="115"/>
  <c r="FM527" i="115"/>
  <c r="FL527" i="115"/>
  <c r="FK527" i="115"/>
  <c r="FJ527" i="115"/>
  <c r="FI527" i="115"/>
  <c r="FH527" i="115"/>
  <c r="FG527" i="115"/>
  <c r="FF527" i="115"/>
  <c r="FE527" i="115"/>
  <c r="FD527" i="115"/>
  <c r="FC527" i="115"/>
  <c r="FB527" i="115"/>
  <c r="FA527" i="115"/>
  <c r="EZ527" i="115"/>
  <c r="EY527" i="115"/>
  <c r="EX527" i="115"/>
  <c r="EW527" i="115"/>
  <c r="EV527" i="115"/>
  <c r="EU527" i="115"/>
  <c r="ET527" i="115"/>
  <c r="ES527" i="115"/>
  <c r="KB424" i="115"/>
  <c r="KA424" i="115"/>
  <c r="JZ424" i="115"/>
  <c r="JY424" i="115"/>
  <c r="JX424" i="115"/>
  <c r="JW424" i="115"/>
  <c r="JV424" i="115"/>
  <c r="JU424" i="115"/>
  <c r="JT424" i="115"/>
  <c r="JS424" i="115"/>
  <c r="JR424" i="115"/>
  <c r="JQ424" i="115"/>
  <c r="JP424" i="115"/>
  <c r="JO424" i="115"/>
  <c r="JN424" i="115"/>
  <c r="JM424" i="115"/>
  <c r="JL424" i="115"/>
  <c r="JK424" i="115"/>
  <c r="JJ424" i="115"/>
  <c r="JI424" i="115"/>
  <c r="JH424" i="115"/>
  <c r="JG424" i="115"/>
  <c r="JF424" i="115"/>
  <c r="JE424" i="115"/>
  <c r="JD424" i="115"/>
  <c r="JC424" i="115"/>
  <c r="JB424" i="115"/>
  <c r="JA424" i="115"/>
  <c r="IZ424" i="115"/>
  <c r="IY424" i="115"/>
  <c r="IX424" i="115"/>
  <c r="IW424" i="115"/>
  <c r="IV424" i="115"/>
  <c r="IU424" i="115"/>
  <c r="IT424" i="115"/>
  <c r="IS424" i="115"/>
  <c r="IR424" i="115"/>
  <c r="IQ424" i="115"/>
  <c r="IP424" i="115"/>
  <c r="IO424" i="115"/>
  <c r="IN424" i="115"/>
  <c r="IM424" i="115"/>
  <c r="IL424" i="115"/>
  <c r="IK424" i="115"/>
  <c r="IJ424" i="115"/>
  <c r="II424" i="115"/>
  <c r="IH424" i="115"/>
  <c r="IG424" i="115"/>
  <c r="IF424" i="115"/>
  <c r="IE424" i="115"/>
  <c r="ID424" i="115"/>
  <c r="IC424" i="115"/>
  <c r="IB424" i="115"/>
  <c r="IA424" i="115"/>
  <c r="HZ424" i="115"/>
  <c r="HY424" i="115"/>
  <c r="HX424" i="115"/>
  <c r="HW424" i="115"/>
  <c r="HV424" i="115"/>
  <c r="HU424" i="115"/>
  <c r="HT424" i="115"/>
  <c r="HS424" i="115"/>
  <c r="HR424" i="115"/>
  <c r="HQ424" i="115"/>
  <c r="HP424" i="115"/>
  <c r="HO424" i="115"/>
  <c r="HN424" i="115"/>
  <c r="HM424" i="115"/>
  <c r="HL424" i="115"/>
  <c r="HK424" i="115"/>
  <c r="HJ424" i="115"/>
  <c r="HI424" i="115"/>
  <c r="HH424" i="115"/>
  <c r="HG424" i="115"/>
  <c r="HF424" i="115"/>
  <c r="HE424" i="115"/>
  <c r="HD424" i="115"/>
  <c r="HC424" i="115"/>
  <c r="HB424" i="115"/>
  <c r="HA424" i="115"/>
  <c r="GZ424" i="115"/>
  <c r="GY424" i="115"/>
  <c r="GX424" i="115"/>
  <c r="GW424" i="115"/>
  <c r="GV424" i="115"/>
  <c r="GU424" i="115"/>
  <c r="GT424" i="115"/>
  <c r="GS424" i="115"/>
  <c r="GR424" i="115"/>
  <c r="GQ424" i="115"/>
  <c r="GP424" i="115"/>
  <c r="GO424" i="115"/>
  <c r="GN424" i="115"/>
  <c r="GM424" i="115"/>
  <c r="GL424" i="115"/>
  <c r="GK424" i="115"/>
  <c r="GJ424" i="115"/>
  <c r="GI424" i="115"/>
  <c r="GH424" i="115"/>
  <c r="GG424" i="115"/>
  <c r="GF424" i="115"/>
  <c r="GE424" i="115"/>
  <c r="GD424" i="115"/>
  <c r="GC424" i="115"/>
  <c r="GB424" i="115"/>
  <c r="GA424" i="115"/>
  <c r="FZ424" i="115"/>
  <c r="FY424" i="115"/>
  <c r="FX424" i="115"/>
  <c r="FW424" i="115"/>
  <c r="FV424" i="115"/>
  <c r="FU424" i="115"/>
  <c r="FT424" i="115"/>
  <c r="FS424" i="115"/>
  <c r="FR424" i="115"/>
  <c r="FQ424" i="115"/>
  <c r="FP424" i="115"/>
  <c r="FO424" i="115"/>
  <c r="FN424" i="115"/>
  <c r="FM424" i="115"/>
  <c r="FL424" i="115"/>
  <c r="FK424" i="115"/>
  <c r="FJ424" i="115"/>
  <c r="FI424" i="115"/>
  <c r="FH424" i="115"/>
  <c r="FG424" i="115"/>
  <c r="FF424" i="115"/>
  <c r="FE424" i="115"/>
  <c r="FD424" i="115"/>
  <c r="FC424" i="115"/>
  <c r="FB424" i="115"/>
  <c r="FA424" i="115"/>
  <c r="EZ424" i="115"/>
  <c r="EY424" i="115"/>
  <c r="EX424" i="115"/>
  <c r="EW424" i="115"/>
  <c r="EV424" i="115"/>
  <c r="EU424" i="115"/>
  <c r="ET424" i="115"/>
  <c r="ES424" i="115"/>
  <c r="KB319" i="115"/>
  <c r="KA319" i="115"/>
  <c r="JZ319" i="115"/>
  <c r="JY319" i="115"/>
  <c r="JX319" i="115"/>
  <c r="JW319" i="115"/>
  <c r="JV319" i="115"/>
  <c r="JU319" i="115"/>
  <c r="JT319" i="115"/>
  <c r="JS319" i="115"/>
  <c r="JR319" i="115"/>
  <c r="JQ319" i="115"/>
  <c r="JP319" i="115"/>
  <c r="JO319" i="115"/>
  <c r="JN319" i="115"/>
  <c r="JM319" i="115"/>
  <c r="JL319" i="115"/>
  <c r="JK319" i="115"/>
  <c r="JJ319" i="115"/>
  <c r="JI319" i="115"/>
  <c r="JH319" i="115"/>
  <c r="JG319" i="115"/>
  <c r="JF319" i="115"/>
  <c r="JE319" i="115"/>
  <c r="JD319" i="115"/>
  <c r="JC319" i="115"/>
  <c r="JB319" i="115"/>
  <c r="JA319" i="115"/>
  <c r="IZ319" i="115"/>
  <c r="IY319" i="115"/>
  <c r="IX319" i="115"/>
  <c r="IW319" i="115"/>
  <c r="IV319" i="115"/>
  <c r="IU319" i="115"/>
  <c r="IT319" i="115"/>
  <c r="IS319" i="115"/>
  <c r="IR319" i="115"/>
  <c r="IQ319" i="115"/>
  <c r="IP319" i="115"/>
  <c r="IO319" i="115"/>
  <c r="IN319" i="115"/>
  <c r="IM319" i="115"/>
  <c r="IL319" i="115"/>
  <c r="IK319" i="115"/>
  <c r="IJ319" i="115"/>
  <c r="II319" i="115"/>
  <c r="IH319" i="115"/>
  <c r="IG319" i="115"/>
  <c r="IF319" i="115"/>
  <c r="IE319" i="115"/>
  <c r="ID319" i="115"/>
  <c r="IC319" i="115"/>
  <c r="IB319" i="115"/>
  <c r="IA319" i="115"/>
  <c r="HZ319" i="115"/>
  <c r="HY319" i="115"/>
  <c r="HX319" i="115"/>
  <c r="HW319" i="115"/>
  <c r="HV319" i="115"/>
  <c r="HU319" i="115"/>
  <c r="HT319" i="115"/>
  <c r="HS319" i="115"/>
  <c r="HR319" i="115"/>
  <c r="HQ319" i="115"/>
  <c r="HP319" i="115"/>
  <c r="HO319" i="115"/>
  <c r="HN319" i="115"/>
  <c r="HM319" i="115"/>
  <c r="HL319" i="115"/>
  <c r="HK319" i="115"/>
  <c r="HJ319" i="115"/>
  <c r="HI319" i="115"/>
  <c r="HH319" i="115"/>
  <c r="HG319" i="115"/>
  <c r="HF319" i="115"/>
  <c r="HE319" i="115"/>
  <c r="HD319" i="115"/>
  <c r="HC319" i="115"/>
  <c r="HB319" i="115"/>
  <c r="HA319" i="115"/>
  <c r="GZ319" i="115"/>
  <c r="GY319" i="115"/>
  <c r="GX319" i="115"/>
  <c r="GW319" i="115"/>
  <c r="GV319" i="115"/>
  <c r="GU319" i="115"/>
  <c r="GT319" i="115"/>
  <c r="GS319" i="115"/>
  <c r="GR319" i="115"/>
  <c r="GQ319" i="115"/>
  <c r="GP319" i="115"/>
  <c r="GO319" i="115"/>
  <c r="GN319" i="115"/>
  <c r="GM319" i="115"/>
  <c r="GL319" i="115"/>
  <c r="GK319" i="115"/>
  <c r="GJ319" i="115"/>
  <c r="GI319" i="115"/>
  <c r="GH319" i="115"/>
  <c r="GG319" i="115"/>
  <c r="GF319" i="115"/>
  <c r="GE319" i="115"/>
  <c r="GD319" i="115"/>
  <c r="GC319" i="115"/>
  <c r="GB319" i="115"/>
  <c r="GA319" i="115"/>
  <c r="FZ319" i="115"/>
  <c r="FY319" i="115"/>
  <c r="FX319" i="115"/>
  <c r="FW319" i="115"/>
  <c r="FV319" i="115"/>
  <c r="FU319" i="115"/>
  <c r="FT319" i="115"/>
  <c r="FS319" i="115"/>
  <c r="FR319" i="115"/>
  <c r="FQ319" i="115"/>
  <c r="FP319" i="115"/>
  <c r="FO319" i="115"/>
  <c r="FN319" i="115"/>
  <c r="FM319" i="115"/>
  <c r="FL319" i="115"/>
  <c r="FK319" i="115"/>
  <c r="FJ319" i="115"/>
  <c r="FI319" i="115"/>
  <c r="FH319" i="115"/>
  <c r="FG319" i="115"/>
  <c r="FF319" i="115"/>
  <c r="FE319" i="115"/>
  <c r="FD319" i="115"/>
  <c r="FC319" i="115"/>
  <c r="FB319" i="115"/>
  <c r="FA319" i="115"/>
  <c r="EZ319" i="115"/>
  <c r="EY319" i="115"/>
  <c r="EX319" i="115"/>
  <c r="EW319" i="115"/>
  <c r="EV319" i="115"/>
  <c r="EU319" i="115"/>
  <c r="ET319" i="115"/>
  <c r="ES319" i="115"/>
  <c r="KB216" i="115"/>
  <c r="KA216" i="115"/>
  <c r="JZ216" i="115"/>
  <c r="JY216" i="115"/>
  <c r="JX216" i="115"/>
  <c r="JW216" i="115"/>
  <c r="JV216" i="115"/>
  <c r="JU216" i="115"/>
  <c r="JT216" i="115"/>
  <c r="JS216" i="115"/>
  <c r="JR216" i="115"/>
  <c r="JQ216" i="115"/>
  <c r="JP216" i="115"/>
  <c r="JO216" i="115"/>
  <c r="JN216" i="115"/>
  <c r="JM216" i="115"/>
  <c r="JL216" i="115"/>
  <c r="JK216" i="115"/>
  <c r="JJ216" i="115"/>
  <c r="JI216" i="115"/>
  <c r="JH216" i="115"/>
  <c r="JG216" i="115"/>
  <c r="JF216" i="115"/>
  <c r="JE216" i="115"/>
  <c r="JD216" i="115"/>
  <c r="JC216" i="115"/>
  <c r="JB216" i="115"/>
  <c r="JA216" i="115"/>
  <c r="IZ216" i="115"/>
  <c r="IY216" i="115"/>
  <c r="IX216" i="115"/>
  <c r="IW216" i="115"/>
  <c r="IV216" i="115"/>
  <c r="IU216" i="115"/>
  <c r="IT216" i="115"/>
  <c r="IS216" i="115"/>
  <c r="IR216" i="115"/>
  <c r="IQ216" i="115"/>
  <c r="IP216" i="115"/>
  <c r="IO216" i="115"/>
  <c r="IN216" i="115"/>
  <c r="IM216" i="115"/>
  <c r="IL216" i="115"/>
  <c r="IK216" i="115"/>
  <c r="IJ216" i="115"/>
  <c r="II216" i="115"/>
  <c r="IH216" i="115"/>
  <c r="IG216" i="115"/>
  <c r="IF216" i="115"/>
  <c r="IE216" i="115"/>
  <c r="ID216" i="115"/>
  <c r="IC216" i="115"/>
  <c r="IB216" i="115"/>
  <c r="IA216" i="115"/>
  <c r="HZ216" i="115"/>
  <c r="HY216" i="115"/>
  <c r="HX216" i="115"/>
  <c r="HW216" i="115"/>
  <c r="HV216" i="115"/>
  <c r="HU216" i="115"/>
  <c r="HT216" i="115"/>
  <c r="HS216" i="115"/>
  <c r="HR216" i="115"/>
  <c r="HQ216" i="115"/>
  <c r="HP216" i="115"/>
  <c r="HO216" i="115"/>
  <c r="HN216" i="115"/>
  <c r="HM216" i="115"/>
  <c r="HL216" i="115"/>
  <c r="HK216" i="115"/>
  <c r="HJ216" i="115"/>
  <c r="HI216" i="115"/>
  <c r="HH216" i="115"/>
  <c r="HG216" i="115"/>
  <c r="HF216" i="115"/>
  <c r="HE216" i="115"/>
  <c r="HD216" i="115"/>
  <c r="HC216" i="115"/>
  <c r="HB216" i="115"/>
  <c r="HA216" i="115"/>
  <c r="GZ216" i="115"/>
  <c r="GY216" i="115"/>
  <c r="GX216" i="115"/>
  <c r="GW216" i="115"/>
  <c r="GV216" i="115"/>
  <c r="GU216" i="115"/>
  <c r="GT216" i="115"/>
  <c r="GS216" i="115"/>
  <c r="GR216" i="115"/>
  <c r="GQ216" i="115"/>
  <c r="GP216" i="115"/>
  <c r="GO216" i="115"/>
  <c r="GN216" i="115"/>
  <c r="GM216" i="115"/>
  <c r="GL216" i="115"/>
  <c r="GK216" i="115"/>
  <c r="GJ216" i="115"/>
  <c r="GI216" i="115"/>
  <c r="GH216" i="115"/>
  <c r="GG216" i="115"/>
  <c r="GF216" i="115"/>
  <c r="GE216" i="115"/>
  <c r="GD216" i="115"/>
  <c r="GC216" i="115"/>
  <c r="GB216" i="115"/>
  <c r="GA216" i="115"/>
  <c r="FZ216" i="115"/>
  <c r="FY216" i="115"/>
  <c r="FX216" i="115"/>
  <c r="FW216" i="115"/>
  <c r="FV216" i="115"/>
  <c r="FU216" i="115"/>
  <c r="FT216" i="115"/>
  <c r="FS216" i="115"/>
  <c r="FR216" i="115"/>
  <c r="FQ216" i="115"/>
  <c r="FP216" i="115"/>
  <c r="FO216" i="115"/>
  <c r="FN216" i="115"/>
  <c r="FM216" i="115"/>
  <c r="FL216" i="115"/>
  <c r="FK216" i="115"/>
  <c r="FJ216" i="115"/>
  <c r="FI216" i="115"/>
  <c r="FH216" i="115"/>
  <c r="FG216" i="115"/>
  <c r="FF216" i="115"/>
  <c r="FE216" i="115"/>
  <c r="FD216" i="115"/>
  <c r="FC216" i="115"/>
  <c r="FB216" i="115"/>
  <c r="FA216" i="115"/>
  <c r="EZ216" i="115"/>
  <c r="EY216" i="115"/>
  <c r="EX216" i="115"/>
  <c r="EW216" i="115"/>
  <c r="EV216" i="115"/>
  <c r="EU216" i="115"/>
  <c r="ET216" i="115"/>
  <c r="ES216" i="115"/>
  <c r="KB113" i="115"/>
  <c r="KA113" i="115"/>
  <c r="JZ113" i="115"/>
  <c r="JY113" i="115"/>
  <c r="JX113" i="115"/>
  <c r="JW113" i="115"/>
  <c r="JV113" i="115"/>
  <c r="JU113" i="115"/>
  <c r="JT113" i="115"/>
  <c r="JS113" i="115"/>
  <c r="JR113" i="115"/>
  <c r="JQ113" i="115"/>
  <c r="JP113" i="115"/>
  <c r="JO113" i="115"/>
  <c r="JN113" i="115"/>
  <c r="JM113" i="115"/>
  <c r="JL113" i="115"/>
  <c r="JK113" i="115"/>
  <c r="JJ113" i="115"/>
  <c r="JI113" i="115"/>
  <c r="JH113" i="115"/>
  <c r="JG113" i="115"/>
  <c r="JF113" i="115"/>
  <c r="JE113" i="115"/>
  <c r="JD113" i="115"/>
  <c r="JC113" i="115"/>
  <c r="JB113" i="115"/>
  <c r="JA113" i="115"/>
  <c r="IZ113" i="115"/>
  <c r="IY113" i="115"/>
  <c r="IX113" i="115"/>
  <c r="IW113" i="115"/>
  <c r="IV113" i="115"/>
  <c r="IU113" i="115"/>
  <c r="IT113" i="115"/>
  <c r="IS113" i="115"/>
  <c r="IR113" i="115"/>
  <c r="IQ113" i="115"/>
  <c r="IP113" i="115"/>
  <c r="IO113" i="115"/>
  <c r="IN113" i="115"/>
  <c r="IM113" i="115"/>
  <c r="IL113" i="115"/>
  <c r="IK113" i="115"/>
  <c r="IJ113" i="115"/>
  <c r="II113" i="115"/>
  <c r="IH113" i="115"/>
  <c r="IG113" i="115"/>
  <c r="IF113" i="115"/>
  <c r="IE113" i="115"/>
  <c r="ID113" i="115"/>
  <c r="IC113" i="115"/>
  <c r="IB113" i="115"/>
  <c r="IA113" i="115"/>
  <c r="HZ113" i="115"/>
  <c r="HY113" i="115"/>
  <c r="HX113" i="115"/>
  <c r="HW113" i="115"/>
  <c r="HV113" i="115"/>
  <c r="HU113" i="115"/>
  <c r="HT113" i="115"/>
  <c r="HS113" i="115"/>
  <c r="HR113" i="115"/>
  <c r="HQ113" i="115"/>
  <c r="HP113" i="115"/>
  <c r="HO113" i="115"/>
  <c r="HN113" i="115"/>
  <c r="HM113" i="115"/>
  <c r="HL113" i="115"/>
  <c r="HK113" i="115"/>
  <c r="HJ113" i="115"/>
  <c r="HI113" i="115"/>
  <c r="HH113" i="115"/>
  <c r="HG113" i="115"/>
  <c r="HF113" i="115"/>
  <c r="HE113" i="115"/>
  <c r="HD113" i="115"/>
  <c r="HC113" i="115"/>
  <c r="HB113" i="115"/>
  <c r="HA113" i="115"/>
  <c r="GZ113" i="115"/>
  <c r="GY113" i="115"/>
  <c r="GX113" i="115"/>
  <c r="GW113" i="115"/>
  <c r="GV113" i="115"/>
  <c r="GU113" i="115"/>
  <c r="GT113" i="115"/>
  <c r="GS113" i="115"/>
  <c r="GR113" i="115"/>
  <c r="GQ113" i="115"/>
  <c r="GP113" i="115"/>
  <c r="GO113" i="115"/>
  <c r="GN113" i="115"/>
  <c r="GM113" i="115"/>
  <c r="GL113" i="115"/>
  <c r="GK113" i="115"/>
  <c r="GJ113" i="115"/>
  <c r="GI113" i="115"/>
  <c r="GH113" i="115"/>
  <c r="GG113" i="115"/>
  <c r="GF113" i="115"/>
  <c r="GE113" i="115"/>
  <c r="GD113" i="115"/>
  <c r="GC113" i="115"/>
  <c r="GB113" i="115"/>
  <c r="GA113" i="115"/>
  <c r="FZ113" i="115"/>
  <c r="FY113" i="115"/>
  <c r="FX113" i="115"/>
  <c r="FW113" i="115"/>
  <c r="FV113" i="115"/>
  <c r="FU113" i="115"/>
  <c r="FT113" i="115"/>
  <c r="FS113" i="115"/>
  <c r="FR113" i="115"/>
  <c r="FQ113" i="115"/>
  <c r="FP113" i="115"/>
  <c r="FO113" i="115"/>
  <c r="FN113" i="115"/>
  <c r="FM113" i="115"/>
  <c r="FL113" i="115"/>
  <c r="FK113" i="115"/>
  <c r="FJ113" i="115"/>
  <c r="FI113" i="115"/>
  <c r="FH113" i="115"/>
  <c r="FG113" i="115"/>
  <c r="FF113" i="115"/>
  <c r="FE113" i="115"/>
  <c r="FD113" i="115"/>
  <c r="FC113" i="115"/>
  <c r="FB113" i="115"/>
  <c r="FA113" i="115"/>
  <c r="EZ113" i="115"/>
  <c r="EY113" i="115"/>
  <c r="EX113" i="115"/>
  <c r="EW113" i="115"/>
  <c r="EV113" i="115"/>
  <c r="EU113" i="115"/>
  <c r="ET113" i="115"/>
  <c r="ES113" i="115"/>
  <c r="KB10" i="115"/>
  <c r="KA10" i="115"/>
  <c r="JZ10" i="115"/>
  <c r="JY10" i="115"/>
  <c r="JX10" i="115"/>
  <c r="JW10" i="115"/>
  <c r="JV10" i="115"/>
  <c r="JU10" i="115"/>
  <c r="JT10" i="115"/>
  <c r="JS10" i="115"/>
  <c r="JR10" i="115"/>
  <c r="JQ10" i="115"/>
  <c r="JP10" i="115"/>
  <c r="JO10" i="115"/>
  <c r="JN10" i="115"/>
  <c r="JM10" i="115"/>
  <c r="JL10" i="115"/>
  <c r="JK10" i="115"/>
  <c r="JJ10" i="115"/>
  <c r="JI10" i="115"/>
  <c r="JH10" i="115"/>
  <c r="JG10" i="115"/>
  <c r="JF10" i="115"/>
  <c r="JE10" i="115"/>
  <c r="JD10" i="115"/>
  <c r="JC10" i="115"/>
  <c r="JB10" i="115"/>
  <c r="JA10" i="115"/>
  <c r="IZ10" i="115"/>
  <c r="IY10" i="115"/>
  <c r="IX10" i="115"/>
  <c r="IW10" i="115"/>
  <c r="IV10" i="115"/>
  <c r="IU10" i="115"/>
  <c r="IT10" i="115"/>
  <c r="IS10" i="115"/>
  <c r="IR10" i="115"/>
  <c r="IQ10" i="115"/>
  <c r="IP10" i="115"/>
  <c r="IO10" i="115"/>
  <c r="IN10" i="115"/>
  <c r="IM10" i="115"/>
  <c r="IL10" i="115"/>
  <c r="IK10" i="115"/>
  <c r="IJ10" i="115"/>
  <c r="II10" i="115"/>
  <c r="IH10" i="115"/>
  <c r="IG10" i="115"/>
  <c r="IF10" i="115"/>
  <c r="IE10" i="115"/>
  <c r="ID10" i="115"/>
  <c r="IC10" i="115"/>
  <c r="IB10" i="115"/>
  <c r="IA10" i="115"/>
  <c r="HZ10" i="115"/>
  <c r="HY10" i="115"/>
  <c r="HX10" i="115"/>
  <c r="HW10" i="115"/>
  <c r="HV10" i="115"/>
  <c r="HU10" i="115"/>
  <c r="HT10" i="115"/>
  <c r="HS10" i="115"/>
  <c r="HR10" i="115"/>
  <c r="HQ10" i="115"/>
  <c r="HP10" i="115"/>
  <c r="HO10" i="115"/>
  <c r="HN10" i="115"/>
  <c r="HM10" i="115"/>
  <c r="HL10" i="115"/>
  <c r="HK10" i="115"/>
  <c r="HJ10" i="115"/>
  <c r="HI10" i="115"/>
  <c r="HH10" i="115"/>
  <c r="HG10" i="115"/>
  <c r="HF10" i="115"/>
  <c r="HE10" i="115"/>
  <c r="HD10" i="115"/>
  <c r="HC10" i="115"/>
  <c r="HB10" i="115"/>
  <c r="HA10" i="115"/>
  <c r="GZ10" i="115"/>
  <c r="GY10" i="115"/>
  <c r="GX10" i="115"/>
  <c r="GW10" i="115"/>
  <c r="GV10" i="115"/>
  <c r="GU10" i="115"/>
  <c r="GT10" i="115"/>
  <c r="GS10" i="115"/>
  <c r="GR10" i="115"/>
  <c r="GQ10" i="115"/>
  <c r="GP10" i="115"/>
  <c r="GO10" i="115"/>
  <c r="GN10" i="115"/>
  <c r="GM10" i="115"/>
  <c r="GL10" i="115"/>
  <c r="GK10" i="115"/>
  <c r="GJ10" i="115"/>
  <c r="GI10" i="115"/>
  <c r="GH10" i="115"/>
  <c r="GG10" i="115"/>
  <c r="GF10" i="115"/>
  <c r="GE10" i="115"/>
  <c r="GD10" i="115"/>
  <c r="GC10" i="115"/>
  <c r="GB10" i="115"/>
  <c r="GA10" i="115"/>
  <c r="FZ10" i="115"/>
  <c r="FY10" i="115"/>
  <c r="FX10" i="115"/>
  <c r="FW10" i="115"/>
  <c r="FV10" i="115"/>
  <c r="FU10" i="115"/>
  <c r="FT10" i="115"/>
  <c r="FS10" i="115"/>
  <c r="FR10" i="115"/>
  <c r="FQ10" i="115"/>
  <c r="FP10" i="115"/>
  <c r="FO10" i="115"/>
  <c r="FN10" i="115"/>
  <c r="FM10" i="115"/>
  <c r="FL10" i="115"/>
  <c r="FK10" i="115"/>
  <c r="FJ10" i="115"/>
  <c r="FI10" i="115"/>
  <c r="FH10" i="115"/>
  <c r="FG10" i="115"/>
  <c r="FF10" i="115"/>
  <c r="FE10" i="115"/>
  <c r="FD10" i="115"/>
  <c r="FC10" i="115"/>
  <c r="FB10" i="115"/>
  <c r="FA10" i="115"/>
  <c r="EZ10" i="115"/>
  <c r="EY10" i="115"/>
  <c r="EX10" i="115"/>
  <c r="EW10" i="115"/>
  <c r="EV10" i="115"/>
  <c r="EU10" i="115"/>
  <c r="ET10" i="115"/>
  <c r="ES10" i="115"/>
  <c r="KB5" i="115"/>
  <c r="KA5" i="115"/>
  <c r="JZ5" i="115"/>
  <c r="JY5" i="115"/>
  <c r="JX5" i="115"/>
  <c r="JW5" i="115"/>
  <c r="JV5" i="115"/>
  <c r="JU5" i="115"/>
  <c r="JT5" i="115"/>
  <c r="JS5" i="115"/>
  <c r="JR5" i="115"/>
  <c r="JQ5" i="115"/>
  <c r="JP5" i="115"/>
  <c r="JO5" i="115"/>
  <c r="JN5" i="115"/>
  <c r="JM5" i="115"/>
  <c r="JL5" i="115"/>
  <c r="JK5" i="115"/>
  <c r="JJ5" i="115"/>
  <c r="JI5" i="115"/>
  <c r="JH5" i="115"/>
  <c r="JG5" i="115"/>
  <c r="JF5" i="115"/>
  <c r="JE5" i="115"/>
  <c r="JD5" i="115"/>
  <c r="JC5" i="115"/>
  <c r="JB5" i="115"/>
  <c r="JA5" i="115"/>
  <c r="IZ5" i="115"/>
  <c r="IY5" i="115"/>
  <c r="IX5" i="115"/>
  <c r="IW5" i="115"/>
  <c r="IV5" i="115"/>
  <c r="IU5" i="115"/>
  <c r="IT5" i="115"/>
  <c r="IS5" i="115"/>
  <c r="IR5" i="115"/>
  <c r="IQ5" i="115"/>
  <c r="IP5" i="115"/>
  <c r="IO5" i="115"/>
  <c r="IN5" i="115"/>
  <c r="IM5" i="115"/>
  <c r="IL5" i="115"/>
  <c r="IK5" i="115"/>
  <c r="IJ5" i="115"/>
  <c r="II5" i="115"/>
  <c r="IH5" i="115"/>
  <c r="IG5" i="115"/>
  <c r="IF5" i="115"/>
  <c r="IE5" i="115"/>
  <c r="ID5" i="115"/>
  <c r="IC5" i="115"/>
  <c r="IB5" i="115"/>
  <c r="IA5" i="115"/>
  <c r="HZ5" i="115"/>
  <c r="HY5" i="115"/>
  <c r="HX5" i="115"/>
  <c r="HW5" i="115"/>
  <c r="HV5" i="115"/>
  <c r="HU5" i="115"/>
  <c r="HT5" i="115"/>
  <c r="HS5" i="115"/>
  <c r="HR5" i="115"/>
  <c r="HQ5" i="115"/>
  <c r="HP5" i="115"/>
  <c r="HO5" i="115"/>
  <c r="HN5" i="115"/>
  <c r="HM5" i="115"/>
  <c r="HL5" i="115"/>
  <c r="HK5" i="115"/>
  <c r="HJ5" i="115"/>
  <c r="HI5" i="115"/>
  <c r="HH5" i="115"/>
  <c r="HG5" i="115"/>
  <c r="HF5" i="115"/>
  <c r="HE5" i="115"/>
  <c r="HD5" i="115"/>
  <c r="HC5" i="115"/>
  <c r="HB5" i="115"/>
  <c r="HA5" i="115"/>
  <c r="GZ5" i="115"/>
  <c r="GY5" i="115"/>
  <c r="GX5" i="115"/>
  <c r="GW5" i="115"/>
  <c r="GV5" i="115"/>
  <c r="GU5" i="115"/>
  <c r="GT5" i="115"/>
  <c r="GS5" i="115"/>
  <c r="GR5" i="115"/>
  <c r="GQ5" i="115"/>
  <c r="GP5" i="115"/>
  <c r="GO5" i="115"/>
  <c r="GN5" i="115"/>
  <c r="GM5" i="115"/>
  <c r="GL5" i="115"/>
  <c r="GK5" i="115"/>
  <c r="GJ5" i="115"/>
  <c r="GI5" i="115"/>
  <c r="GH5" i="115"/>
  <c r="GG5" i="115"/>
  <c r="GF5" i="115"/>
  <c r="GE5" i="115"/>
  <c r="GD5" i="115"/>
  <c r="GC5" i="115"/>
  <c r="GB5" i="115"/>
  <c r="GA5" i="115"/>
  <c r="FZ5" i="115"/>
  <c r="FY5" i="115"/>
  <c r="FX5" i="115"/>
  <c r="FW5" i="115"/>
  <c r="FV5" i="115"/>
  <c r="FU5" i="115"/>
  <c r="FT5" i="115"/>
  <c r="FS5" i="115"/>
  <c r="FR5" i="115"/>
  <c r="FQ5" i="115"/>
  <c r="FP5" i="115"/>
  <c r="FO5" i="115"/>
  <c r="FN5" i="115"/>
  <c r="FM5" i="115"/>
  <c r="FL5" i="115"/>
  <c r="FK5" i="115"/>
  <c r="FJ5" i="115"/>
  <c r="FI5" i="115"/>
  <c r="FH5" i="115"/>
  <c r="FG5" i="115"/>
  <c r="FF5" i="115"/>
  <c r="FE5" i="115"/>
  <c r="FD5" i="115"/>
  <c r="FC5" i="115"/>
  <c r="FB5" i="115"/>
  <c r="FA5" i="115"/>
  <c r="EZ5" i="115"/>
  <c r="EY5" i="115"/>
  <c r="EX5" i="115"/>
  <c r="EW5" i="115"/>
  <c r="EV5" i="115"/>
  <c r="EU5" i="115"/>
  <c r="ET5" i="115"/>
  <c r="ES5" i="115"/>
  <c r="C244" i="121"/>
  <c r="B52" i="112"/>
  <c r="C255" i="121" s="1"/>
  <c r="B51" i="112"/>
  <c r="E20" i="112"/>
  <c r="E78" i="122"/>
  <c r="K265" i="121" s="1"/>
  <c r="F78" i="122"/>
  <c r="L267" i="121" s="1"/>
  <c r="F77" i="122"/>
  <c r="L266" i="121" s="1"/>
  <c r="D9" i="122"/>
  <c r="P9" i="122" s="1"/>
  <c r="G13" i="122"/>
  <c r="E105" i="122" s="1"/>
  <c r="G12" i="122"/>
  <c r="R12" i="122" s="1"/>
  <c r="G11" i="122"/>
  <c r="R11" i="122" s="1"/>
  <c r="G9" i="122"/>
  <c r="E83" i="122" s="1"/>
  <c r="G10" i="122"/>
  <c r="E87" i="122" s="1"/>
  <c r="K272" i="121" s="1"/>
  <c r="K125" i="107"/>
  <c r="K126" i="107"/>
  <c r="K131" i="107"/>
  <c r="L68" i="127"/>
  <c r="M68" i="127"/>
  <c r="N68" i="127"/>
  <c r="L67" i="127"/>
  <c r="M67" i="127"/>
  <c r="N67" i="127"/>
  <c r="L47" i="112"/>
  <c r="L28" i="112"/>
  <c r="L22" i="112"/>
  <c r="C52" i="56"/>
  <c r="S46" i="112"/>
  <c r="V250" i="121" s="1"/>
  <c r="R46" i="112"/>
  <c r="U250" i="121" s="1"/>
  <c r="S45" i="112"/>
  <c r="V249" i="121" s="1"/>
  <c r="R45" i="112"/>
  <c r="U249" i="121" s="1"/>
  <c r="L49" i="112"/>
  <c r="L48" i="112"/>
  <c r="L30" i="112"/>
  <c r="L29" i="112"/>
  <c r="L24" i="112"/>
  <c r="L23" i="112"/>
  <c r="L19" i="112" s="1"/>
  <c r="C29" i="121"/>
  <c r="C281" i="121"/>
  <c r="Z51" i="122"/>
  <c r="I23" i="141"/>
  <c r="C23" i="141"/>
  <c r="CI54" i="124"/>
  <c r="CI53" i="124"/>
  <c r="CI52" i="124"/>
  <c r="CQ52" i="124" s="1"/>
  <c r="J190" i="124" s="1"/>
  <c r="CE52" i="124"/>
  <c r="H52" i="124"/>
  <c r="C190" i="124" s="1"/>
  <c r="M51" i="124"/>
  <c r="E98" i="125" s="1"/>
  <c r="E27" i="125" s="1"/>
  <c r="L53" i="124"/>
  <c r="D191" i="124" s="1"/>
  <c r="L54" i="124"/>
  <c r="L52" i="124"/>
  <c r="D190" i="124" s="1"/>
  <c r="L56" i="124"/>
  <c r="H56" i="124"/>
  <c r="H53" i="124"/>
  <c r="C191" i="124" s="1"/>
  <c r="H54" i="124"/>
  <c r="H79" i="122"/>
  <c r="N269" i="121" s="1"/>
  <c r="G79" i="122"/>
  <c r="M268" i="121" s="1"/>
  <c r="D79" i="122"/>
  <c r="C79" i="122"/>
  <c r="C280" i="121"/>
  <c r="C269" i="121"/>
  <c r="C268" i="121"/>
  <c r="C264" i="121"/>
  <c r="C265" i="121"/>
  <c r="C263" i="121"/>
  <c r="C262" i="121"/>
  <c r="K261" i="121"/>
  <c r="L261" i="121"/>
  <c r="M261" i="121"/>
  <c r="N261" i="121"/>
  <c r="J261" i="121"/>
  <c r="F230" i="121"/>
  <c r="K264" i="121"/>
  <c r="AZ60" i="124"/>
  <c r="AX60" i="124"/>
  <c r="AW60" i="124"/>
  <c r="AV60" i="124"/>
  <c r="AT60" i="124"/>
  <c r="AS60" i="124"/>
  <c r="AR60" i="124"/>
  <c r="AQ60" i="124"/>
  <c r="CX60" i="124" s="1"/>
  <c r="AP60" i="124"/>
  <c r="BW58" i="124"/>
  <c r="BU58" i="124"/>
  <c r="BT58" i="124"/>
  <c r="BS58" i="124"/>
  <c r="BQ58" i="124"/>
  <c r="BP58" i="124"/>
  <c r="BO58" i="124"/>
  <c r="BN58" i="124"/>
  <c r="BM58" i="124"/>
  <c r="BV60" i="124"/>
  <c r="BR60" i="124"/>
  <c r="BV59" i="124"/>
  <c r="BR59" i="124"/>
  <c r="K51" i="124"/>
  <c r="J51" i="124"/>
  <c r="G51" i="124"/>
  <c r="F51" i="124"/>
  <c r="E51" i="124"/>
  <c r="D51" i="124"/>
  <c r="C51" i="124"/>
  <c r="CH51" i="124"/>
  <c r="CG51" i="124"/>
  <c r="CF51" i="124"/>
  <c r="I51" i="124"/>
  <c r="E94" i="122"/>
  <c r="E93" i="122"/>
  <c r="N28" i="127"/>
  <c r="E27" i="127"/>
  <c r="K40" i="124"/>
  <c r="J126" i="124" s="1"/>
  <c r="H82" i="125"/>
  <c r="H81" i="125"/>
  <c r="C62" i="127"/>
  <c r="D62" i="127"/>
  <c r="D53" i="127"/>
  <c r="C53" i="127"/>
  <c r="D51" i="127"/>
  <c r="D58" i="127" s="1"/>
  <c r="C51" i="127"/>
  <c r="C58" i="127" s="1"/>
  <c r="C35" i="127"/>
  <c r="D35" i="127"/>
  <c r="D42" i="127" s="1"/>
  <c r="C37" i="127"/>
  <c r="D37" i="127"/>
  <c r="K16" i="127"/>
  <c r="J16" i="127"/>
  <c r="K8" i="127"/>
  <c r="J8" i="127"/>
  <c r="C42" i="127"/>
  <c r="M3" i="127"/>
  <c r="AZ49" i="124"/>
  <c r="AX49" i="124"/>
  <c r="AW49" i="124"/>
  <c r="AV49" i="124"/>
  <c r="AT49" i="124"/>
  <c r="AS49" i="124"/>
  <c r="AR49" i="124"/>
  <c r="AQ49" i="124"/>
  <c r="CX49" i="124" s="1"/>
  <c r="AP49" i="124"/>
  <c r="AU49" i="124" s="1"/>
  <c r="AZ48" i="124"/>
  <c r="AX48" i="124"/>
  <c r="AW48" i="124"/>
  <c r="AV48" i="124"/>
  <c r="AT48" i="124"/>
  <c r="AS48" i="124"/>
  <c r="AR48" i="124"/>
  <c r="AQ48" i="124"/>
  <c r="CX48" i="124" s="1"/>
  <c r="AP48" i="124"/>
  <c r="AZ46" i="124"/>
  <c r="AX46" i="124"/>
  <c r="AW46" i="124"/>
  <c r="AV46" i="124"/>
  <c r="AT46" i="124"/>
  <c r="AS46" i="124"/>
  <c r="AR46" i="124"/>
  <c r="AQ46" i="124"/>
  <c r="CX46" i="124" s="1"/>
  <c r="AP46" i="124"/>
  <c r="AZ45" i="124"/>
  <c r="AX45" i="124"/>
  <c r="AW45" i="124"/>
  <c r="AV45" i="124"/>
  <c r="AT45" i="124"/>
  <c r="AS45" i="124"/>
  <c r="AR45" i="124"/>
  <c r="AQ45" i="124"/>
  <c r="CX45" i="124" s="1"/>
  <c r="AP45" i="124"/>
  <c r="AZ43" i="124"/>
  <c r="AX43" i="124"/>
  <c r="AW43" i="124"/>
  <c r="AV43" i="124"/>
  <c r="AT43" i="124"/>
  <c r="AS43" i="124"/>
  <c r="AR43" i="124"/>
  <c r="AQ43" i="124"/>
  <c r="CX43" i="124" s="1"/>
  <c r="AP43" i="124"/>
  <c r="AZ42" i="124"/>
  <c r="AX42" i="124"/>
  <c r="AW42" i="124"/>
  <c r="AV42" i="124"/>
  <c r="AT42" i="124"/>
  <c r="AS42" i="124"/>
  <c r="AR42" i="124"/>
  <c r="AQ42" i="124"/>
  <c r="CX42" i="124" s="1"/>
  <c r="AP42" i="124"/>
  <c r="AZ40" i="124"/>
  <c r="AX40" i="124"/>
  <c r="T126" i="124" s="1"/>
  <c r="AW40" i="124"/>
  <c r="S126" i="124" s="1"/>
  <c r="AV40" i="124"/>
  <c r="R126" i="124" s="1"/>
  <c r="AT40" i="124"/>
  <c r="AS40" i="124"/>
  <c r="AR40" i="124"/>
  <c r="AQ40" i="124"/>
  <c r="AP40" i="124"/>
  <c r="M126" i="124" s="1"/>
  <c r="BW50" i="124"/>
  <c r="AJ223" i="121" s="1"/>
  <c r="BU50" i="124"/>
  <c r="AI223" i="121" s="1"/>
  <c r="BT50" i="124"/>
  <c r="AH223" i="121" s="1"/>
  <c r="BS50" i="124"/>
  <c r="AG223" i="121" s="1"/>
  <c r="BQ50" i="124"/>
  <c r="AF223" i="121" s="1"/>
  <c r="BP50" i="124"/>
  <c r="AE223" i="121" s="1"/>
  <c r="BO50" i="124"/>
  <c r="AD223" i="121" s="1"/>
  <c r="BN50" i="124"/>
  <c r="AC223" i="121" s="1"/>
  <c r="BM50" i="124"/>
  <c r="AB223" i="121" s="1"/>
  <c r="BV49" i="124"/>
  <c r="BR49" i="124"/>
  <c r="BV48" i="124"/>
  <c r="BR48" i="124"/>
  <c r="BW47" i="124"/>
  <c r="AJ222" i="121" s="1"/>
  <c r="BU47" i="124"/>
  <c r="AI222" i="121" s="1"/>
  <c r="BT47" i="124"/>
  <c r="AH222" i="121" s="1"/>
  <c r="BS47" i="124"/>
  <c r="AG222" i="121" s="1"/>
  <c r="BQ47" i="124"/>
  <c r="AF222" i="121" s="1"/>
  <c r="BP47" i="124"/>
  <c r="AE222" i="121" s="1"/>
  <c r="BO47" i="124"/>
  <c r="AD222" i="121" s="1"/>
  <c r="BN47" i="124"/>
  <c r="AC222" i="121" s="1"/>
  <c r="BM47" i="124"/>
  <c r="AB222" i="121" s="1"/>
  <c r="BV46" i="124"/>
  <c r="BR46" i="124"/>
  <c r="BV45" i="124"/>
  <c r="BR45" i="124"/>
  <c r="BW44" i="124"/>
  <c r="BU44" i="124"/>
  <c r="BT44" i="124"/>
  <c r="BS44" i="124"/>
  <c r="BQ44" i="124"/>
  <c r="BP44" i="124"/>
  <c r="BO44" i="124"/>
  <c r="BN44" i="124"/>
  <c r="BM44" i="124"/>
  <c r="BV43" i="124"/>
  <c r="BR43" i="124"/>
  <c r="BV42" i="124"/>
  <c r="BR42" i="124"/>
  <c r="BW41" i="124"/>
  <c r="BU41" i="124"/>
  <c r="BT41" i="124"/>
  <c r="BS41" i="124"/>
  <c r="BQ41" i="124"/>
  <c r="BP41" i="124"/>
  <c r="BO41" i="124"/>
  <c r="BN41" i="124"/>
  <c r="BM41" i="124"/>
  <c r="BV40" i="124"/>
  <c r="BR40" i="124"/>
  <c r="C241" i="121"/>
  <c r="J25" i="112"/>
  <c r="H25" i="112"/>
  <c r="G25" i="112"/>
  <c r="F25" i="112"/>
  <c r="C25" i="112"/>
  <c r="B98" i="125"/>
  <c r="B8" i="123"/>
  <c r="D8" i="123"/>
  <c r="B9" i="123"/>
  <c r="D9" i="123"/>
  <c r="I111" i="141"/>
  <c r="I107" i="141"/>
  <c r="I104" i="141"/>
  <c r="E52" i="125"/>
  <c r="B52" i="125"/>
  <c r="C7" i="125"/>
  <c r="C6" i="125"/>
  <c r="C5" i="125"/>
  <c r="B95" i="125"/>
  <c r="B76" i="125"/>
  <c r="B96" i="125"/>
  <c r="B94" i="125"/>
  <c r="B93" i="125"/>
  <c r="B92" i="125"/>
  <c r="B91" i="125"/>
  <c r="B90" i="125"/>
  <c r="B89" i="125"/>
  <c r="B88" i="125"/>
  <c r="B77" i="125"/>
  <c r="B75" i="125"/>
  <c r="B74" i="125"/>
  <c r="B73" i="125"/>
  <c r="B72" i="125"/>
  <c r="B71" i="125"/>
  <c r="B70" i="125"/>
  <c r="B69" i="125"/>
  <c r="B102" i="125"/>
  <c r="B101" i="125"/>
  <c r="B100" i="125"/>
  <c r="B99" i="125"/>
  <c r="B82" i="125"/>
  <c r="B81" i="125"/>
  <c r="B80" i="125"/>
  <c r="B79" i="125"/>
  <c r="BY51" i="124"/>
  <c r="BZ51" i="124"/>
  <c r="CA51" i="124"/>
  <c r="CP51" i="124" s="1"/>
  <c r="AP142" i="124" s="1"/>
  <c r="CB51" i="124"/>
  <c r="CC51" i="124"/>
  <c r="CD51" i="124"/>
  <c r="CE54" i="124"/>
  <c r="CE53" i="124"/>
  <c r="C7" i="124"/>
  <c r="D7" i="124" s="1"/>
  <c r="CK14" i="124"/>
  <c r="CD20" i="124"/>
  <c r="CI38" i="124"/>
  <c r="G92" i="125" s="1"/>
  <c r="CI43" i="124"/>
  <c r="CI60" i="124"/>
  <c r="CF58" i="124"/>
  <c r="AB138" i="124" s="1"/>
  <c r="CC55" i="124"/>
  <c r="CE43" i="124"/>
  <c r="CC58" i="124"/>
  <c r="CI40" i="124"/>
  <c r="G94" i="125" s="1"/>
  <c r="CE33" i="124"/>
  <c r="CF55" i="124"/>
  <c r="CI59" i="124"/>
  <c r="CE37" i="124"/>
  <c r="BY44" i="124"/>
  <c r="CI45" i="124"/>
  <c r="CE38" i="124"/>
  <c r="CC17" i="124"/>
  <c r="BZ44" i="124"/>
  <c r="X134" i="124" s="1"/>
  <c r="BY58" i="124"/>
  <c r="CI46" i="124"/>
  <c r="BZ41" i="124"/>
  <c r="CH44" i="124"/>
  <c r="AE134" i="124" s="1"/>
  <c r="CE56" i="124"/>
  <c r="CE62" i="124"/>
  <c r="CD17" i="124"/>
  <c r="CI18" i="124"/>
  <c r="CI37" i="124"/>
  <c r="AL67" i="124"/>
  <c r="N224" i="121" s="1"/>
  <c r="G91" i="125"/>
  <c r="G93" i="125"/>
  <c r="C5" i="112"/>
  <c r="C6" i="112"/>
  <c r="B67" i="124"/>
  <c r="C224" i="121" s="1"/>
  <c r="CD50" i="124"/>
  <c r="CD47" i="124"/>
  <c r="CC50" i="124"/>
  <c r="CC47" i="124"/>
  <c r="CB50" i="124"/>
  <c r="CB47" i="124"/>
  <c r="CA50" i="124"/>
  <c r="CA47" i="124"/>
  <c r="BZ50" i="124"/>
  <c r="BZ47" i="124"/>
  <c r="BY50" i="124"/>
  <c r="BY47" i="124"/>
  <c r="CH50" i="124"/>
  <c r="CH47" i="124"/>
  <c r="CG50" i="124"/>
  <c r="CG47" i="124"/>
  <c r="CF50" i="124"/>
  <c r="CF47" i="124"/>
  <c r="D5" i="123"/>
  <c r="I28" i="112"/>
  <c r="O28" i="112" s="1"/>
  <c r="R241" i="121" s="1"/>
  <c r="E28" i="112"/>
  <c r="M28" i="112" s="1"/>
  <c r="P241" i="121" s="1"/>
  <c r="D25" i="112"/>
  <c r="F46" i="107"/>
  <c r="F56" i="107" s="1"/>
  <c r="G51" i="107"/>
  <c r="K289" i="121" s="1"/>
  <c r="F51" i="107"/>
  <c r="J289" i="121" s="1"/>
  <c r="G49" i="107"/>
  <c r="K288" i="121" s="1"/>
  <c r="F49" i="107"/>
  <c r="J288" i="121" s="1"/>
  <c r="K287" i="121"/>
  <c r="J287" i="121"/>
  <c r="C289" i="121"/>
  <c r="C288" i="121"/>
  <c r="F43" i="107"/>
  <c r="F40" i="107"/>
  <c r="F36" i="107"/>
  <c r="F31" i="107"/>
  <c r="F29" i="107" s="1"/>
  <c r="E63" i="125"/>
  <c r="E49" i="125"/>
  <c r="H79" i="124"/>
  <c r="H78" i="124"/>
  <c r="H77" i="124" s="1"/>
  <c r="AZ36" i="124"/>
  <c r="H71" i="125" s="1"/>
  <c r="H17" i="125" s="1"/>
  <c r="AX36" i="124"/>
  <c r="AW36" i="124"/>
  <c r="AV36" i="124"/>
  <c r="J165" i="107"/>
  <c r="J164" i="107"/>
  <c r="J162" i="107"/>
  <c r="J161" i="107"/>
  <c r="J159" i="107"/>
  <c r="J158" i="107"/>
  <c r="I16" i="107"/>
  <c r="H19" i="107" s="1"/>
  <c r="H16" i="107"/>
  <c r="H15" i="107"/>
  <c r="BA44" i="124"/>
  <c r="BR39" i="124"/>
  <c r="BR38" i="124"/>
  <c r="BR37" i="124"/>
  <c r="AU37" i="124" s="1"/>
  <c r="BR36" i="124"/>
  <c r="BR34" i="124"/>
  <c r="BR33" i="124"/>
  <c r="BR31" i="124"/>
  <c r="BR30" i="124"/>
  <c r="BR28" i="124"/>
  <c r="BR27" i="124"/>
  <c r="BR25" i="124"/>
  <c r="BR24" i="124"/>
  <c r="BR22" i="124"/>
  <c r="BR21" i="124"/>
  <c r="BR19" i="124"/>
  <c r="BR18" i="124"/>
  <c r="BF60" i="124"/>
  <c r="BF59" i="124"/>
  <c r="BF49" i="124"/>
  <c r="BF48" i="124"/>
  <c r="BF46" i="124"/>
  <c r="BF45" i="124"/>
  <c r="BF43" i="124"/>
  <c r="BF42" i="124"/>
  <c r="BF40" i="124"/>
  <c r="BF38" i="124"/>
  <c r="BF36" i="124"/>
  <c r="BF33" i="124"/>
  <c r="BF30" i="124"/>
  <c r="BF27" i="124"/>
  <c r="BF24" i="124"/>
  <c r="BF21" i="124"/>
  <c r="BF19" i="124"/>
  <c r="Y58" i="124"/>
  <c r="Y44" i="124"/>
  <c r="Y41" i="124"/>
  <c r="Y20" i="124"/>
  <c r="Y17" i="124"/>
  <c r="C144" i="121"/>
  <c r="AV33" i="124"/>
  <c r="AZ33" i="124"/>
  <c r="AX33" i="124"/>
  <c r="AW33" i="124"/>
  <c r="AZ30" i="124"/>
  <c r="AX30" i="124"/>
  <c r="AW30" i="124"/>
  <c r="AV30" i="124"/>
  <c r="AZ27" i="124"/>
  <c r="AX27" i="124"/>
  <c r="AW27" i="124"/>
  <c r="AV27" i="124"/>
  <c r="AZ24" i="124"/>
  <c r="AX24" i="124"/>
  <c r="AW24" i="124"/>
  <c r="AV24" i="124"/>
  <c r="AV22" i="124"/>
  <c r="AZ21" i="124"/>
  <c r="AX21" i="124"/>
  <c r="AW21" i="124"/>
  <c r="AV21" i="124"/>
  <c r="AV18" i="124"/>
  <c r="B144" i="123"/>
  <c r="C164" i="121" s="1"/>
  <c r="AH40" i="123"/>
  <c r="AG40" i="123"/>
  <c r="AF40" i="123"/>
  <c r="AE40" i="123"/>
  <c r="AD40" i="123"/>
  <c r="Z40" i="123"/>
  <c r="Y40" i="123"/>
  <c r="Y39" i="123" s="1"/>
  <c r="X40" i="123"/>
  <c r="X39" i="123" s="1"/>
  <c r="V40" i="123"/>
  <c r="U40" i="123"/>
  <c r="T40" i="123"/>
  <c r="S40" i="123"/>
  <c r="R40" i="123"/>
  <c r="Q40" i="123"/>
  <c r="N40" i="123"/>
  <c r="L40" i="123"/>
  <c r="K40" i="123"/>
  <c r="J40" i="123"/>
  <c r="H40" i="123"/>
  <c r="G40" i="123"/>
  <c r="F40" i="123"/>
  <c r="E40" i="123"/>
  <c r="D40" i="123"/>
  <c r="D39" i="123" s="1"/>
  <c r="C40" i="123"/>
  <c r="F168" i="121"/>
  <c r="D168" i="121"/>
  <c r="G284" i="30"/>
  <c r="L59" i="121" s="1"/>
  <c r="F284" i="30"/>
  <c r="K59" i="121" s="1"/>
  <c r="J59" i="121"/>
  <c r="G214" i="121"/>
  <c r="F214" i="121"/>
  <c r="E214" i="121"/>
  <c r="D214" i="121"/>
  <c r="AA49" i="123"/>
  <c r="W49" i="123"/>
  <c r="M49" i="123"/>
  <c r="I49" i="123"/>
  <c r="AA44" i="123"/>
  <c r="W44" i="123"/>
  <c r="M44" i="123"/>
  <c r="I44" i="123"/>
  <c r="AH46" i="123"/>
  <c r="AG46" i="123"/>
  <c r="AF46" i="123"/>
  <c r="AE46" i="123"/>
  <c r="AD46" i="123"/>
  <c r="Z46" i="123"/>
  <c r="Y46" i="123"/>
  <c r="X46" i="123"/>
  <c r="V46" i="123"/>
  <c r="U46" i="123"/>
  <c r="T46" i="123"/>
  <c r="S46" i="123"/>
  <c r="R46" i="123"/>
  <c r="Q46" i="123"/>
  <c r="N46" i="123"/>
  <c r="L46" i="123"/>
  <c r="K46" i="123"/>
  <c r="J46" i="123"/>
  <c r="H46" i="123"/>
  <c r="H39" i="123" s="1"/>
  <c r="G46" i="123"/>
  <c r="F46" i="123"/>
  <c r="E46" i="123"/>
  <c r="D46" i="123"/>
  <c r="C46" i="123"/>
  <c r="I22" i="141"/>
  <c r="L35" i="121" s="1"/>
  <c r="C8" i="124"/>
  <c r="D8" i="124" s="1"/>
  <c r="C6" i="124"/>
  <c r="D6" i="124" s="1"/>
  <c r="C5" i="124"/>
  <c r="D5" i="124" s="1"/>
  <c r="D10" i="123"/>
  <c r="D7" i="123"/>
  <c r="D6" i="123"/>
  <c r="AF33" i="123" s="1"/>
  <c r="E95" i="122"/>
  <c r="E98" i="122"/>
  <c r="G98" i="122" s="1"/>
  <c r="M279" i="121" s="1"/>
  <c r="E97" i="122"/>
  <c r="E96" i="122"/>
  <c r="W20" i="123"/>
  <c r="AC16" i="123"/>
  <c r="C64" i="121" s="1"/>
  <c r="C37" i="121"/>
  <c r="I27" i="141"/>
  <c r="L37" i="121" s="1"/>
  <c r="N37" i="127"/>
  <c r="S295" i="121" s="1"/>
  <c r="M37" i="127"/>
  <c r="R295" i="121" s="1"/>
  <c r="L37" i="127"/>
  <c r="Q295" i="121" s="1"/>
  <c r="K37" i="127"/>
  <c r="P295" i="121" s="1"/>
  <c r="J37" i="127"/>
  <c r="O295" i="121" s="1"/>
  <c r="I37" i="127"/>
  <c r="N295" i="121" s="1"/>
  <c r="H37" i="127"/>
  <c r="M295" i="121" s="1"/>
  <c r="G37" i="127"/>
  <c r="L295" i="121" s="1"/>
  <c r="F37" i="127"/>
  <c r="K295" i="121" s="1"/>
  <c r="E37" i="127"/>
  <c r="J295" i="121" s="1"/>
  <c r="S292" i="121"/>
  <c r="R292" i="121"/>
  <c r="Q292" i="121"/>
  <c r="P292" i="121"/>
  <c r="O292" i="121"/>
  <c r="N292" i="121"/>
  <c r="M292" i="121"/>
  <c r="L292" i="121"/>
  <c r="K292" i="121"/>
  <c r="J292" i="121"/>
  <c r="D15" i="126"/>
  <c r="D21" i="173" s="1"/>
  <c r="D23" i="173" s="1"/>
  <c r="Q47" i="112"/>
  <c r="T251" i="121" s="1"/>
  <c r="Q45" i="112"/>
  <c r="T249" i="121" s="1"/>
  <c r="P47" i="112"/>
  <c r="S251" i="121" s="1"/>
  <c r="P45" i="112"/>
  <c r="S249" i="121" s="1"/>
  <c r="BK17" i="124"/>
  <c r="BI17" i="124"/>
  <c r="BH17" i="124"/>
  <c r="BG17" i="124"/>
  <c r="BE17" i="124"/>
  <c r="BD17" i="124"/>
  <c r="BC17" i="124"/>
  <c r="BB17" i="124"/>
  <c r="BA17" i="124"/>
  <c r="F35" i="127"/>
  <c r="E35" i="127"/>
  <c r="E42" i="127" s="1"/>
  <c r="D16" i="92"/>
  <c r="B48" i="125"/>
  <c r="I221" i="121"/>
  <c r="J221" i="121"/>
  <c r="J226" i="121"/>
  <c r="K221" i="121"/>
  <c r="L226" i="121"/>
  <c r="T214" i="121"/>
  <c r="S214" i="121"/>
  <c r="U214" i="121"/>
  <c r="K214" i="121"/>
  <c r="J214" i="121"/>
  <c r="I214" i="121"/>
  <c r="L63" i="124"/>
  <c r="L62" i="124"/>
  <c r="L61" i="124"/>
  <c r="L57" i="124"/>
  <c r="I18" i="124"/>
  <c r="I19" i="124"/>
  <c r="I21" i="124"/>
  <c r="I24" i="124"/>
  <c r="I27" i="124"/>
  <c r="I30" i="124"/>
  <c r="I33" i="124"/>
  <c r="I36" i="124"/>
  <c r="I37" i="124"/>
  <c r="I38" i="124"/>
  <c r="H211" i="124" s="1"/>
  <c r="I39" i="124"/>
  <c r="H207" i="124" s="1"/>
  <c r="I40" i="124"/>
  <c r="H126" i="124" s="1"/>
  <c r="I45" i="124"/>
  <c r="I48" i="124"/>
  <c r="I42" i="124"/>
  <c r="I43" i="124"/>
  <c r="I55" i="124"/>
  <c r="I59" i="124"/>
  <c r="I60" i="124"/>
  <c r="I64" i="124"/>
  <c r="J227" i="121" s="1"/>
  <c r="I49" i="124"/>
  <c r="I46" i="124"/>
  <c r="I34" i="124"/>
  <c r="I31" i="124"/>
  <c r="I28" i="124"/>
  <c r="I25" i="124"/>
  <c r="I22" i="124"/>
  <c r="J18" i="124"/>
  <c r="J19" i="124"/>
  <c r="J21" i="124"/>
  <c r="J24" i="124"/>
  <c r="J27" i="124"/>
  <c r="J30" i="124"/>
  <c r="J33" i="124"/>
  <c r="J36" i="124"/>
  <c r="J37" i="124"/>
  <c r="J38" i="124"/>
  <c r="I211" i="124" s="1"/>
  <c r="J39" i="124"/>
  <c r="I207" i="124" s="1"/>
  <c r="J40" i="124"/>
  <c r="I126" i="124" s="1"/>
  <c r="J45" i="124"/>
  <c r="J48" i="124"/>
  <c r="J42" i="124"/>
  <c r="J43" i="124"/>
  <c r="J55" i="124"/>
  <c r="J59" i="124"/>
  <c r="J60" i="124"/>
  <c r="J64" i="124"/>
  <c r="K227" i="121" s="1"/>
  <c r="J49" i="124"/>
  <c r="J46" i="124"/>
  <c r="J34" i="124"/>
  <c r="J31" i="124"/>
  <c r="J28" i="124"/>
  <c r="J25" i="124"/>
  <c r="J22" i="124"/>
  <c r="K18" i="124"/>
  <c r="K19" i="124"/>
  <c r="K21" i="124"/>
  <c r="K24" i="124"/>
  <c r="K27" i="124"/>
  <c r="K30" i="124"/>
  <c r="K33" i="124"/>
  <c r="K36" i="124"/>
  <c r="K37" i="124"/>
  <c r="K38" i="124"/>
  <c r="J211" i="124" s="1"/>
  <c r="K39" i="124"/>
  <c r="J207" i="124" s="1"/>
  <c r="K45" i="124"/>
  <c r="K48" i="124"/>
  <c r="K42" i="124"/>
  <c r="K43" i="124"/>
  <c r="K55" i="124"/>
  <c r="K59" i="124"/>
  <c r="K60" i="124"/>
  <c r="K64" i="124"/>
  <c r="L227" i="121" s="1"/>
  <c r="K49" i="124"/>
  <c r="K46" i="124"/>
  <c r="K34" i="124"/>
  <c r="K31" i="124"/>
  <c r="K28" i="124"/>
  <c r="K25" i="124"/>
  <c r="K22" i="124"/>
  <c r="W60" i="124"/>
  <c r="W59" i="124"/>
  <c r="W49" i="124"/>
  <c r="W48" i="124"/>
  <c r="W46" i="124"/>
  <c r="W45" i="124"/>
  <c r="W43" i="124"/>
  <c r="L43" i="124" s="1"/>
  <c r="W42" i="124"/>
  <c r="W40" i="124"/>
  <c r="L40" i="124" s="1"/>
  <c r="W39" i="124"/>
  <c r="W38" i="124"/>
  <c r="W37" i="124"/>
  <c r="W36" i="124"/>
  <c r="W33" i="124"/>
  <c r="W30" i="124"/>
  <c r="W27" i="124"/>
  <c r="W24" i="124"/>
  <c r="W21" i="124"/>
  <c r="W19" i="124"/>
  <c r="W18" i="124"/>
  <c r="T17" i="124"/>
  <c r="T20" i="124"/>
  <c r="T44" i="124"/>
  <c r="T41" i="124"/>
  <c r="T58" i="124"/>
  <c r="T50" i="124"/>
  <c r="T47" i="124"/>
  <c r="U17" i="124"/>
  <c r="U20" i="124"/>
  <c r="U44" i="124"/>
  <c r="U41" i="124"/>
  <c r="U58" i="124"/>
  <c r="U50" i="124"/>
  <c r="U47" i="124"/>
  <c r="V17" i="124"/>
  <c r="V20" i="124"/>
  <c r="V44" i="124"/>
  <c r="V41" i="124"/>
  <c r="V58" i="124"/>
  <c r="V50" i="124"/>
  <c r="V47" i="124"/>
  <c r="AI59" i="124"/>
  <c r="AI39" i="124"/>
  <c r="AI38" i="124"/>
  <c r="AI37" i="124"/>
  <c r="AI36" i="124"/>
  <c r="AI34" i="124"/>
  <c r="AI33" i="124"/>
  <c r="AI31" i="124"/>
  <c r="AI30" i="124"/>
  <c r="AI28" i="124"/>
  <c r="AI27" i="124"/>
  <c r="AI25" i="124"/>
  <c r="AI24" i="124"/>
  <c r="AI22" i="124"/>
  <c r="AI21" i="124"/>
  <c r="AI19" i="124"/>
  <c r="AI18" i="124"/>
  <c r="AF17" i="124"/>
  <c r="AF20" i="124"/>
  <c r="AF58" i="124"/>
  <c r="AF35" i="124"/>
  <c r="AF32" i="124"/>
  <c r="AF29" i="124"/>
  <c r="AF26" i="124"/>
  <c r="AF23" i="124"/>
  <c r="AG17" i="124"/>
  <c r="AG20" i="124"/>
  <c r="AG58" i="124"/>
  <c r="AG35" i="124"/>
  <c r="AG32" i="124"/>
  <c r="AG29" i="124"/>
  <c r="AG26" i="124"/>
  <c r="AG23" i="124"/>
  <c r="AH17" i="124"/>
  <c r="AH20" i="124"/>
  <c r="AH58" i="124"/>
  <c r="AH35" i="124"/>
  <c r="AH32" i="124"/>
  <c r="AH29" i="124"/>
  <c r="AH26" i="124"/>
  <c r="AH23" i="124"/>
  <c r="AY63" i="124"/>
  <c r="AY62" i="124"/>
  <c r="AY61" i="124"/>
  <c r="G81" i="125" s="1"/>
  <c r="AY57" i="124"/>
  <c r="AY56" i="124"/>
  <c r="AV19" i="124"/>
  <c r="AV37" i="124"/>
  <c r="AV38" i="124"/>
  <c r="AV39" i="124"/>
  <c r="R207" i="124" s="1"/>
  <c r="AV55" i="124"/>
  <c r="AV59" i="124"/>
  <c r="AV64" i="124"/>
  <c r="AV34" i="124"/>
  <c r="AV31" i="124"/>
  <c r="AV28" i="124"/>
  <c r="AV25" i="124"/>
  <c r="AW18" i="124"/>
  <c r="AW19" i="124"/>
  <c r="AW37" i="124"/>
  <c r="AW38" i="124"/>
  <c r="AW39" i="124"/>
  <c r="S207" i="124" s="1"/>
  <c r="AW55" i="124"/>
  <c r="AW59" i="124"/>
  <c r="AW64" i="124"/>
  <c r="AW34" i="124"/>
  <c r="AW31" i="124"/>
  <c r="AW28" i="124"/>
  <c r="AW25" i="124"/>
  <c r="AW22" i="124"/>
  <c r="AX18" i="124"/>
  <c r="AX19" i="124"/>
  <c r="AX37" i="124"/>
  <c r="AX38" i="124"/>
  <c r="AX39" i="124"/>
  <c r="T207" i="124" s="1"/>
  <c r="AX55" i="124"/>
  <c r="AX59" i="124"/>
  <c r="AX64" i="124"/>
  <c r="AX34" i="124"/>
  <c r="AX31" i="124"/>
  <c r="AX28" i="124"/>
  <c r="AX25" i="124"/>
  <c r="AX22" i="124"/>
  <c r="BJ60" i="124"/>
  <c r="BJ59" i="124"/>
  <c r="BJ49" i="124"/>
  <c r="BJ48" i="124"/>
  <c r="AY48" i="124"/>
  <c r="BJ46" i="124"/>
  <c r="AY46" i="124" s="1"/>
  <c r="BJ45" i="124"/>
  <c r="AY45" i="124" s="1"/>
  <c r="BJ43" i="124"/>
  <c r="AY43" i="124" s="1"/>
  <c r="BJ42" i="124"/>
  <c r="BJ40" i="124"/>
  <c r="AY40" i="124" s="1"/>
  <c r="BJ38" i="124"/>
  <c r="BJ36" i="124"/>
  <c r="BJ33" i="124"/>
  <c r="BJ30" i="124"/>
  <c r="BJ27" i="124"/>
  <c r="BJ24" i="124"/>
  <c r="BJ21" i="124"/>
  <c r="BJ19" i="124"/>
  <c r="BG20" i="124"/>
  <c r="BG44" i="124"/>
  <c r="AV44" i="124" s="1"/>
  <c r="R134" i="124" s="1"/>
  <c r="BG41" i="124"/>
  <c r="BG58" i="124"/>
  <c r="BG50" i="124"/>
  <c r="W223" i="121" s="1"/>
  <c r="BG47" i="124"/>
  <c r="W222" i="121" s="1"/>
  <c r="BH20" i="124"/>
  <c r="BH44" i="124"/>
  <c r="AW44" i="124" s="1"/>
  <c r="S134" i="124" s="1"/>
  <c r="BH41" i="124"/>
  <c r="BH58" i="124"/>
  <c r="BH50" i="124"/>
  <c r="X223" i="121" s="1"/>
  <c r="BH47" i="124"/>
  <c r="X222" i="121" s="1"/>
  <c r="BI20" i="124"/>
  <c r="BI44" i="124"/>
  <c r="AX44" i="124" s="1"/>
  <c r="T134" i="124" s="1"/>
  <c r="BI41" i="124"/>
  <c r="BI58" i="124"/>
  <c r="BI50" i="124"/>
  <c r="Y223" i="121" s="1"/>
  <c r="BI47" i="124"/>
  <c r="Y222" i="121" s="1"/>
  <c r="BV39" i="124"/>
  <c r="AY39" i="124" s="1"/>
  <c r="BV38" i="124"/>
  <c r="BV37" i="124"/>
  <c r="BV36" i="124"/>
  <c r="BV34" i="124"/>
  <c r="BV33" i="124"/>
  <c r="BV31" i="124"/>
  <c r="BV30" i="124"/>
  <c r="BV28" i="124"/>
  <c r="AY28" i="124" s="1"/>
  <c r="CS28" i="124" s="1"/>
  <c r="F180" i="121" s="1"/>
  <c r="BV27" i="124"/>
  <c r="BV25" i="124"/>
  <c r="BV24" i="124"/>
  <c r="BV22" i="124"/>
  <c r="BV21" i="124"/>
  <c r="BV19" i="124"/>
  <c r="BV18" i="124"/>
  <c r="BS17" i="124"/>
  <c r="BS20" i="124"/>
  <c r="BS35" i="124"/>
  <c r="BS32" i="124"/>
  <c r="BS29" i="124"/>
  <c r="BS26" i="124"/>
  <c r="BS23" i="124"/>
  <c r="BT17" i="124"/>
  <c r="BT20" i="124"/>
  <c r="BT35" i="124"/>
  <c r="BT32" i="124"/>
  <c r="BT29" i="124"/>
  <c r="BT26" i="124"/>
  <c r="BT23" i="124"/>
  <c r="BU17" i="124"/>
  <c r="BU20" i="124"/>
  <c r="BU35" i="124"/>
  <c r="U219" i="121" s="1"/>
  <c r="BU32" i="124"/>
  <c r="BU29" i="124"/>
  <c r="BU26" i="124"/>
  <c r="BU23" i="124"/>
  <c r="AA142" i="123"/>
  <c r="G63" i="125" s="1"/>
  <c r="AA141" i="123"/>
  <c r="G62" i="125" s="1"/>
  <c r="AA139" i="123"/>
  <c r="AA138" i="123"/>
  <c r="G61" i="125" s="1"/>
  <c r="AA137" i="123"/>
  <c r="AA136" i="123"/>
  <c r="AA134" i="123"/>
  <c r="AA130" i="123" s="1"/>
  <c r="G59" i="125" s="1"/>
  <c r="J59" i="125" s="1"/>
  <c r="P59" i="125" s="1"/>
  <c r="Z59" i="125" s="1"/>
  <c r="AA133" i="123"/>
  <c r="AA132" i="123"/>
  <c r="AA131" i="123"/>
  <c r="AA129" i="123"/>
  <c r="AA128" i="123"/>
  <c r="AA127" i="123"/>
  <c r="AA126" i="123"/>
  <c r="AA125" i="123"/>
  <c r="AA122" i="123" s="1"/>
  <c r="G58" i="125" s="1"/>
  <c r="J58" i="125" s="1"/>
  <c r="AA124" i="123"/>
  <c r="AA123" i="123"/>
  <c r="AA121" i="123"/>
  <c r="AA120" i="123"/>
  <c r="AA119" i="123"/>
  <c r="AA117" i="123"/>
  <c r="AA116" i="123"/>
  <c r="AA115" i="123"/>
  <c r="AA112" i="123"/>
  <c r="AA111" i="123"/>
  <c r="AA110" i="123"/>
  <c r="AA108" i="123"/>
  <c r="AA107" i="123"/>
  <c r="AA106" i="123"/>
  <c r="AA105" i="123"/>
  <c r="AA104" i="123"/>
  <c r="AA103" i="123"/>
  <c r="AA102" i="123"/>
  <c r="AA98" i="123"/>
  <c r="AA97" i="123"/>
  <c r="AA96" i="123"/>
  <c r="AA94" i="123"/>
  <c r="AA93" i="123"/>
  <c r="AA91" i="123"/>
  <c r="G52" i="125" s="1"/>
  <c r="AA90" i="123"/>
  <c r="AA89" i="123"/>
  <c r="H263" i="123" s="1"/>
  <c r="AA88" i="123"/>
  <c r="H262" i="123" s="1"/>
  <c r="AA86" i="123"/>
  <c r="AA85" i="123"/>
  <c r="AA84" i="123"/>
  <c r="AA83" i="123"/>
  <c r="AA82" i="123"/>
  <c r="AA81" i="123" s="1"/>
  <c r="AA80" i="123"/>
  <c r="AA78" i="123"/>
  <c r="AA77" i="123"/>
  <c r="AA76" i="123"/>
  <c r="AA74" i="123"/>
  <c r="AA73" i="123"/>
  <c r="AA72" i="123"/>
  <c r="AA71" i="123"/>
  <c r="AA70" i="123"/>
  <c r="AA69" i="123"/>
  <c r="AA65" i="123"/>
  <c r="AA64" i="123"/>
  <c r="AA63" i="123"/>
  <c r="AA62" i="123"/>
  <c r="AA61" i="123"/>
  <c r="AA60" i="123"/>
  <c r="AA59" i="123"/>
  <c r="AA57" i="123"/>
  <c r="AA56" i="123"/>
  <c r="AA55" i="123"/>
  <c r="AA54" i="123"/>
  <c r="AA53" i="123"/>
  <c r="AA50" i="123"/>
  <c r="AA48" i="123"/>
  <c r="AA47" i="123"/>
  <c r="AA45" i="123"/>
  <c r="AA43" i="123"/>
  <c r="AA42" i="123"/>
  <c r="AA41" i="123"/>
  <c r="AA38" i="123"/>
  <c r="AA37" i="123"/>
  <c r="AA36" i="123"/>
  <c r="AA35" i="123"/>
  <c r="AA34" i="123"/>
  <c r="AA32" i="123"/>
  <c r="AA31" i="123"/>
  <c r="AA30" i="123"/>
  <c r="AA29" i="123"/>
  <c r="AA28" i="123"/>
  <c r="AA25" i="123"/>
  <c r="AA23" i="123"/>
  <c r="AA22" i="123"/>
  <c r="AA21" i="123"/>
  <c r="AA20" i="123"/>
  <c r="AA19" i="123" s="1"/>
  <c r="Z19" i="123"/>
  <c r="Z58" i="123"/>
  <c r="Z81" i="123"/>
  <c r="T241" i="123" s="1"/>
  <c r="Z87" i="123"/>
  <c r="Z92" i="123"/>
  <c r="Z95" i="123"/>
  <c r="T201" i="123" s="1"/>
  <c r="Z122" i="123"/>
  <c r="T214" i="123" s="1"/>
  <c r="Z130" i="123"/>
  <c r="T218" i="123" s="1"/>
  <c r="Z135" i="123"/>
  <c r="Z140" i="123"/>
  <c r="T163" i="121" s="1"/>
  <c r="Y19" i="123"/>
  <c r="Y58" i="123"/>
  <c r="Y81" i="123"/>
  <c r="S241" i="123" s="1"/>
  <c r="Y87" i="123"/>
  <c r="Y92" i="123"/>
  <c r="Y95" i="123"/>
  <c r="S201" i="123" s="1"/>
  <c r="Y122" i="123"/>
  <c r="S214" i="123" s="1"/>
  <c r="Y130" i="123"/>
  <c r="S218" i="123" s="1"/>
  <c r="Y135" i="123"/>
  <c r="Y140" i="123"/>
  <c r="S163" i="121" s="1"/>
  <c r="X19" i="123"/>
  <c r="X58" i="123"/>
  <c r="X81" i="123"/>
  <c r="R241" i="123" s="1"/>
  <c r="X87" i="123"/>
  <c r="X92" i="123"/>
  <c r="X95" i="123"/>
  <c r="R201" i="123" s="1"/>
  <c r="X122" i="123"/>
  <c r="R214" i="123" s="1"/>
  <c r="X130" i="123"/>
  <c r="R218" i="123" s="1"/>
  <c r="X135" i="123"/>
  <c r="X140" i="123"/>
  <c r="R163" i="121" s="1"/>
  <c r="L140" i="123"/>
  <c r="K163" i="121" s="1"/>
  <c r="K140" i="123"/>
  <c r="J163" i="121" s="1"/>
  <c r="J140" i="123"/>
  <c r="I163" i="121" s="1"/>
  <c r="M142" i="123"/>
  <c r="D63" i="125" s="1"/>
  <c r="M141" i="123"/>
  <c r="D62" i="125" s="1"/>
  <c r="M139" i="123"/>
  <c r="M138" i="123"/>
  <c r="D61" i="125" s="1"/>
  <c r="M137" i="123"/>
  <c r="M136" i="123"/>
  <c r="M134" i="123"/>
  <c r="M133" i="123"/>
  <c r="M132" i="123"/>
  <c r="M131" i="123"/>
  <c r="M129" i="123"/>
  <c r="M128" i="123"/>
  <c r="M127" i="123"/>
  <c r="M126" i="123"/>
  <c r="M125" i="123"/>
  <c r="M124" i="123"/>
  <c r="M123" i="123"/>
  <c r="M121" i="123"/>
  <c r="M120" i="123"/>
  <c r="M119" i="123"/>
  <c r="M117" i="123"/>
  <c r="M116" i="123"/>
  <c r="M115" i="123"/>
  <c r="M112" i="123"/>
  <c r="M111" i="123"/>
  <c r="M110" i="123"/>
  <c r="M108" i="123"/>
  <c r="M107" i="123"/>
  <c r="M106" i="123"/>
  <c r="M105" i="123"/>
  <c r="M104" i="123"/>
  <c r="M103" i="123"/>
  <c r="M102" i="123"/>
  <c r="M98" i="123"/>
  <c r="M97" i="123"/>
  <c r="M96" i="123"/>
  <c r="J95" i="123"/>
  <c r="I201" i="123" s="1"/>
  <c r="K95" i="123"/>
  <c r="J201" i="123" s="1"/>
  <c r="L95" i="123"/>
  <c r="K201" i="123" s="1"/>
  <c r="M94" i="123"/>
  <c r="M93" i="123"/>
  <c r="M91" i="123"/>
  <c r="D52" i="125" s="1"/>
  <c r="M90" i="123"/>
  <c r="M89" i="123"/>
  <c r="E263" i="123" s="1"/>
  <c r="M88" i="123"/>
  <c r="E262" i="123" s="1"/>
  <c r="E261" i="123" s="1"/>
  <c r="M86" i="123"/>
  <c r="M85" i="123"/>
  <c r="M84" i="123"/>
  <c r="M83" i="123"/>
  <c r="M82" i="123"/>
  <c r="M80" i="123"/>
  <c r="M78" i="123"/>
  <c r="M77" i="123"/>
  <c r="M76" i="123"/>
  <c r="M74" i="123"/>
  <c r="M73" i="123"/>
  <c r="M72" i="123"/>
  <c r="M71" i="123"/>
  <c r="M70" i="123"/>
  <c r="M69" i="123"/>
  <c r="M65" i="123"/>
  <c r="M64" i="123"/>
  <c r="M63" i="123"/>
  <c r="M62" i="123"/>
  <c r="M61" i="123"/>
  <c r="M60" i="123"/>
  <c r="M59" i="123"/>
  <c r="M57" i="123"/>
  <c r="M56" i="123"/>
  <c r="M55" i="123"/>
  <c r="M54" i="123"/>
  <c r="M53" i="123"/>
  <c r="M50" i="123"/>
  <c r="M48" i="123"/>
  <c r="M47" i="123"/>
  <c r="M45" i="123"/>
  <c r="M43" i="123"/>
  <c r="M42" i="123"/>
  <c r="M41" i="123"/>
  <c r="M38" i="123"/>
  <c r="M34" i="123"/>
  <c r="M35" i="123"/>
  <c r="M36" i="123"/>
  <c r="M37" i="123"/>
  <c r="M28" i="123"/>
  <c r="M29" i="123"/>
  <c r="M30" i="123"/>
  <c r="M31" i="123"/>
  <c r="M32" i="123"/>
  <c r="M25" i="123"/>
  <c r="M23" i="123"/>
  <c r="M22" i="123"/>
  <c r="M21" i="123"/>
  <c r="L19" i="123"/>
  <c r="L58" i="123"/>
  <c r="L81" i="123"/>
  <c r="K241" i="123" s="1"/>
  <c r="L87" i="123"/>
  <c r="L92" i="123"/>
  <c r="L122" i="123"/>
  <c r="K214" i="123" s="1"/>
  <c r="L130" i="123"/>
  <c r="K218" i="123" s="1"/>
  <c r="L135" i="123"/>
  <c r="K222" i="123" s="1"/>
  <c r="M20" i="123"/>
  <c r="J19" i="123"/>
  <c r="J58" i="123"/>
  <c r="J81" i="123"/>
  <c r="I241" i="123" s="1"/>
  <c r="J87" i="123"/>
  <c r="J92" i="123"/>
  <c r="J122" i="123"/>
  <c r="I214" i="123" s="1"/>
  <c r="J130" i="123"/>
  <c r="I218" i="123" s="1"/>
  <c r="J135" i="123"/>
  <c r="I222" i="123" s="1"/>
  <c r="K19" i="123"/>
  <c r="K58" i="123"/>
  <c r="K81" i="123"/>
  <c r="J241" i="123" s="1"/>
  <c r="K87" i="123"/>
  <c r="K92" i="123"/>
  <c r="K122" i="123"/>
  <c r="J214" i="123" s="1"/>
  <c r="K130" i="123"/>
  <c r="J218" i="123" s="1"/>
  <c r="K135" i="123"/>
  <c r="J222" i="123" s="1"/>
  <c r="AE19" i="123"/>
  <c r="CQ17" i="124"/>
  <c r="AH81" i="123"/>
  <c r="CQ20" i="124"/>
  <c r="AH19" i="123"/>
  <c r="AH58" i="123"/>
  <c r="AH95" i="123"/>
  <c r="CQ44" i="124"/>
  <c r="CQ41" i="124"/>
  <c r="AQ130" i="124" s="1"/>
  <c r="AH87" i="123"/>
  <c r="AH92" i="123"/>
  <c r="CQ55" i="124"/>
  <c r="AH122" i="123"/>
  <c r="AH130" i="123"/>
  <c r="AH135" i="123"/>
  <c r="O309" i="123" s="1"/>
  <c r="O285" i="123" s="1"/>
  <c r="CQ58" i="124"/>
  <c r="C245" i="121"/>
  <c r="E26" i="112"/>
  <c r="E27" i="112"/>
  <c r="M27" i="112" s="1"/>
  <c r="P240" i="121" s="1"/>
  <c r="E29" i="112"/>
  <c r="M29" i="112" s="1"/>
  <c r="P242" i="121" s="1"/>
  <c r="F13" i="112"/>
  <c r="E44" i="112"/>
  <c r="E52" i="112" s="1"/>
  <c r="H255" i="121" s="1"/>
  <c r="I44" i="112"/>
  <c r="J44" i="112"/>
  <c r="C7" i="112"/>
  <c r="AP18" i="124"/>
  <c r="AQ18" i="124"/>
  <c r="CX18" i="124" s="1"/>
  <c r="AT18" i="124"/>
  <c r="AP19" i="124"/>
  <c r="AQ19" i="124"/>
  <c r="CX19" i="124" s="1"/>
  <c r="AT19" i="124"/>
  <c r="AP21" i="124"/>
  <c r="AQ21" i="124"/>
  <c r="CX21" i="124" s="1"/>
  <c r="AT21" i="124"/>
  <c r="AP24" i="124"/>
  <c r="AQ24" i="124"/>
  <c r="CX24" i="124" s="1"/>
  <c r="AT24" i="124"/>
  <c r="AP27" i="124"/>
  <c r="AQ27" i="124"/>
  <c r="CX27" i="124" s="1"/>
  <c r="AT27" i="124"/>
  <c r="AP30" i="124"/>
  <c r="AQ30" i="124"/>
  <c r="CX30" i="124" s="1"/>
  <c r="AT30" i="124"/>
  <c r="AP33" i="124"/>
  <c r="AQ33" i="124"/>
  <c r="CX33" i="124" s="1"/>
  <c r="AT33" i="124"/>
  <c r="AP36" i="124"/>
  <c r="AQ36" i="124"/>
  <c r="AT36" i="124"/>
  <c r="AP38" i="124"/>
  <c r="M211" i="124" s="1"/>
  <c r="AQ38" i="124"/>
  <c r="AT38" i="124"/>
  <c r="O211" i="124" s="1"/>
  <c r="AP39" i="124"/>
  <c r="M207" i="124" s="1"/>
  <c r="AQ39" i="124"/>
  <c r="AT39" i="124"/>
  <c r="O207" i="124" s="1"/>
  <c r="AU56" i="124"/>
  <c r="CR56" i="124" s="1"/>
  <c r="D205" i="121" s="1"/>
  <c r="AU57" i="124"/>
  <c r="AP59" i="124"/>
  <c r="AQ59" i="124"/>
  <c r="CX59" i="124" s="1"/>
  <c r="AT59" i="124"/>
  <c r="AU62" i="124"/>
  <c r="CR62" i="124" s="1"/>
  <c r="D211" i="121" s="1"/>
  <c r="AU61" i="124"/>
  <c r="CO17" i="124"/>
  <c r="J167" i="124" s="1"/>
  <c r="CO20" i="124"/>
  <c r="CO44" i="124"/>
  <c r="CO41" i="124"/>
  <c r="AO130" i="124" s="1"/>
  <c r="CO55" i="124"/>
  <c r="CO58" i="124"/>
  <c r="M18" i="124"/>
  <c r="M19" i="124"/>
  <c r="M21" i="124"/>
  <c r="M24" i="124"/>
  <c r="M27" i="124"/>
  <c r="M30" i="124"/>
  <c r="M33" i="124"/>
  <c r="M36" i="124"/>
  <c r="M37" i="124"/>
  <c r="M38" i="124"/>
  <c r="L211" i="124" s="1"/>
  <c r="M39" i="124"/>
  <c r="L207" i="124" s="1"/>
  <c r="M40" i="124"/>
  <c r="L126" i="124" s="1"/>
  <c r="M45" i="124"/>
  <c r="M48" i="124"/>
  <c r="M42" i="124"/>
  <c r="M43" i="124"/>
  <c r="M55" i="124"/>
  <c r="M59" i="124"/>
  <c r="M60" i="124"/>
  <c r="AZ18" i="124"/>
  <c r="AZ19" i="124"/>
  <c r="AZ37" i="124"/>
  <c r="H72" i="125"/>
  <c r="H20" i="125" s="1"/>
  <c r="AZ38" i="124"/>
  <c r="AZ39" i="124"/>
  <c r="AZ55" i="124"/>
  <c r="H79" i="125"/>
  <c r="H29" i="125" s="1"/>
  <c r="AZ59" i="124"/>
  <c r="H34" i="125"/>
  <c r="C18" i="124"/>
  <c r="D18" i="124"/>
  <c r="D17" i="124" s="1"/>
  <c r="G18" i="124"/>
  <c r="C19" i="124"/>
  <c r="D19" i="124"/>
  <c r="G19" i="124"/>
  <c r="C21" i="124"/>
  <c r="D21" i="124"/>
  <c r="G21" i="124"/>
  <c r="C24" i="124"/>
  <c r="D24" i="124"/>
  <c r="G24" i="124"/>
  <c r="C27" i="124"/>
  <c r="D27" i="124"/>
  <c r="G27" i="124"/>
  <c r="C30" i="124"/>
  <c r="D30" i="124"/>
  <c r="G30" i="124"/>
  <c r="C33" i="124"/>
  <c r="D33" i="124"/>
  <c r="G33" i="124"/>
  <c r="C36" i="124"/>
  <c r="D36" i="124"/>
  <c r="G36" i="124"/>
  <c r="C37" i="124"/>
  <c r="D37" i="124"/>
  <c r="G37" i="124"/>
  <c r="C38" i="124"/>
  <c r="C211" i="124" s="1"/>
  <c r="D38" i="124"/>
  <c r="D211" i="124" s="1"/>
  <c r="G38" i="124"/>
  <c r="E211" i="124" s="1"/>
  <c r="C39" i="124"/>
  <c r="C207" i="124" s="1"/>
  <c r="D39" i="124"/>
  <c r="D207" i="124" s="1"/>
  <c r="G39" i="124"/>
  <c r="E207" i="124" s="1"/>
  <c r="C40" i="124"/>
  <c r="C126" i="124" s="1"/>
  <c r="D40" i="124"/>
  <c r="D126" i="124" s="1"/>
  <c r="G40" i="124"/>
  <c r="E126" i="124" s="1"/>
  <c r="C45" i="124"/>
  <c r="D45" i="124"/>
  <c r="G45" i="124"/>
  <c r="C48" i="124"/>
  <c r="D48" i="124"/>
  <c r="G48" i="124"/>
  <c r="G44" i="124" s="1"/>
  <c r="E134" i="124" s="1"/>
  <c r="C42" i="124"/>
  <c r="D42" i="124"/>
  <c r="G42" i="124"/>
  <c r="C43" i="124"/>
  <c r="D43" i="124"/>
  <c r="G43" i="124"/>
  <c r="H57" i="124"/>
  <c r="C59" i="124"/>
  <c r="D59" i="124"/>
  <c r="G59" i="124"/>
  <c r="C60" i="124"/>
  <c r="D60" i="124"/>
  <c r="G60" i="124"/>
  <c r="H62" i="124"/>
  <c r="H61" i="124"/>
  <c r="M46" i="124"/>
  <c r="M49" i="124"/>
  <c r="C46" i="124"/>
  <c r="D46" i="124"/>
  <c r="G46" i="124"/>
  <c r="C49" i="124"/>
  <c r="D49" i="124"/>
  <c r="G49" i="124"/>
  <c r="W21" i="123"/>
  <c r="W22" i="123"/>
  <c r="W23" i="123"/>
  <c r="W25" i="123"/>
  <c r="W28" i="123"/>
  <c r="W29" i="123"/>
  <c r="W30" i="123"/>
  <c r="W31" i="123"/>
  <c r="W32" i="123"/>
  <c r="W34" i="123"/>
  <c r="W35" i="123"/>
  <c r="W36" i="123"/>
  <c r="W37" i="123"/>
  <c r="W38" i="123"/>
  <c r="W41" i="123"/>
  <c r="W42" i="123"/>
  <c r="W43" i="123"/>
  <c r="W45" i="123"/>
  <c r="W47" i="123"/>
  <c r="W48" i="123"/>
  <c r="W50" i="123"/>
  <c r="W53" i="123"/>
  <c r="W54" i="123"/>
  <c r="W55" i="123"/>
  <c r="W56" i="123"/>
  <c r="W57" i="123"/>
  <c r="W59" i="123"/>
  <c r="W60" i="123"/>
  <c r="W61" i="123"/>
  <c r="W62" i="123"/>
  <c r="W63" i="123"/>
  <c r="W64" i="123"/>
  <c r="W65" i="123"/>
  <c r="W78" i="123"/>
  <c r="W80" i="123"/>
  <c r="W82" i="123"/>
  <c r="W83" i="123"/>
  <c r="W84" i="123"/>
  <c r="W85" i="123"/>
  <c r="W86" i="123"/>
  <c r="W88" i="123"/>
  <c r="F262" i="123" s="1"/>
  <c r="F261" i="123" s="1"/>
  <c r="W89" i="123"/>
  <c r="F263" i="123" s="1"/>
  <c r="W90" i="123"/>
  <c r="W91" i="123"/>
  <c r="F52" i="125"/>
  <c r="W93" i="123"/>
  <c r="W94" i="123"/>
  <c r="W96" i="123"/>
  <c r="W97" i="123"/>
  <c r="W98" i="123"/>
  <c r="W102" i="123"/>
  <c r="W103" i="123"/>
  <c r="W104" i="123"/>
  <c r="W105" i="123"/>
  <c r="AB105" i="123" s="1"/>
  <c r="AC105" i="123" s="1"/>
  <c r="D139" i="121" s="1"/>
  <c r="W106" i="123"/>
  <c r="W107" i="123"/>
  <c r="W108" i="123"/>
  <c r="W110" i="123"/>
  <c r="W111" i="123"/>
  <c r="W112" i="123"/>
  <c r="W115" i="123"/>
  <c r="W116" i="123"/>
  <c r="W117" i="123"/>
  <c r="W119" i="123"/>
  <c r="W120" i="123"/>
  <c r="W121" i="123"/>
  <c r="W123" i="123"/>
  <c r="W124" i="123"/>
  <c r="W125" i="123"/>
  <c r="W126" i="123"/>
  <c r="W127" i="123"/>
  <c r="W128" i="123"/>
  <c r="W129" i="123"/>
  <c r="W131" i="123"/>
  <c r="AB131" i="123" s="1"/>
  <c r="AC131" i="123" s="1"/>
  <c r="D154" i="121" s="1"/>
  <c r="W132" i="123"/>
  <c r="W133" i="123"/>
  <c r="W134" i="123"/>
  <c r="W136" i="123"/>
  <c r="W137" i="123"/>
  <c r="W138" i="123"/>
  <c r="W141" i="123"/>
  <c r="W142" i="123"/>
  <c r="F63" i="125" s="1"/>
  <c r="AF19" i="123"/>
  <c r="AF58" i="123"/>
  <c r="AF81" i="123"/>
  <c r="AF87" i="123"/>
  <c r="AF92" i="123"/>
  <c r="AF95" i="123"/>
  <c r="AF122" i="123"/>
  <c r="AF130" i="123"/>
  <c r="AF135" i="123"/>
  <c r="M309" i="123" s="1"/>
  <c r="I69" i="123"/>
  <c r="I70" i="123"/>
  <c r="I71" i="123"/>
  <c r="I72" i="123"/>
  <c r="I73" i="123"/>
  <c r="I74" i="123"/>
  <c r="I20" i="123"/>
  <c r="I21" i="123"/>
  <c r="I22" i="123"/>
  <c r="I23" i="123"/>
  <c r="I25" i="123"/>
  <c r="I28" i="123"/>
  <c r="I29" i="123"/>
  <c r="I30" i="123"/>
  <c r="I31" i="123"/>
  <c r="I32" i="123"/>
  <c r="I34" i="123"/>
  <c r="I35" i="123"/>
  <c r="I36" i="123"/>
  <c r="I37" i="123"/>
  <c r="I38" i="123"/>
  <c r="I41" i="123"/>
  <c r="I40" i="123" s="1"/>
  <c r="I42" i="123"/>
  <c r="I43" i="123"/>
  <c r="I45" i="123"/>
  <c r="I47" i="123"/>
  <c r="I48" i="123"/>
  <c r="I50" i="123"/>
  <c r="I53" i="123"/>
  <c r="I54" i="123"/>
  <c r="I55" i="123"/>
  <c r="I56" i="123"/>
  <c r="I57" i="123"/>
  <c r="I59" i="123"/>
  <c r="I60" i="123"/>
  <c r="I61" i="123"/>
  <c r="I62" i="123"/>
  <c r="I63" i="123"/>
  <c r="I64" i="123"/>
  <c r="I65" i="123"/>
  <c r="I78" i="123"/>
  <c r="I80" i="123"/>
  <c r="I82" i="123"/>
  <c r="I83" i="123"/>
  <c r="I84" i="123"/>
  <c r="I85" i="123"/>
  <c r="I86" i="123"/>
  <c r="I88" i="123"/>
  <c r="D262" i="123" s="1"/>
  <c r="I89" i="123"/>
  <c r="D263" i="123" s="1"/>
  <c r="I90" i="123"/>
  <c r="I91" i="123"/>
  <c r="C52" i="125" s="1"/>
  <c r="C28" i="125" s="1"/>
  <c r="I93" i="123"/>
  <c r="I94" i="123"/>
  <c r="I96" i="123"/>
  <c r="I97" i="123"/>
  <c r="I98" i="123"/>
  <c r="I102" i="123"/>
  <c r="I103" i="123"/>
  <c r="I104" i="123"/>
  <c r="I105" i="123"/>
  <c r="I106" i="123"/>
  <c r="I107" i="123"/>
  <c r="I108" i="123"/>
  <c r="I110" i="123"/>
  <c r="I111" i="123"/>
  <c r="I112" i="123"/>
  <c r="I115" i="123"/>
  <c r="I116" i="123"/>
  <c r="I117" i="123"/>
  <c r="I119" i="123"/>
  <c r="I120" i="123"/>
  <c r="I121" i="123"/>
  <c r="I123" i="123"/>
  <c r="I124" i="123"/>
  <c r="I125" i="123"/>
  <c r="I126" i="123"/>
  <c r="I127" i="123"/>
  <c r="I128" i="123"/>
  <c r="I129" i="123"/>
  <c r="I131" i="123"/>
  <c r="I132" i="123"/>
  <c r="I133" i="123"/>
  <c r="I134" i="123"/>
  <c r="I136" i="123"/>
  <c r="I137" i="123"/>
  <c r="I138" i="123"/>
  <c r="C61" i="125" s="1"/>
  <c r="I141" i="123"/>
  <c r="C62" i="125" s="1"/>
  <c r="I142" i="123"/>
  <c r="C63" i="125" s="1"/>
  <c r="E60" i="127"/>
  <c r="J304" i="121" s="1"/>
  <c r="N53" i="127"/>
  <c r="S301" i="121" s="1"/>
  <c r="M53" i="127"/>
  <c r="R301" i="121" s="1"/>
  <c r="L53" i="127"/>
  <c r="Q301" i="121" s="1"/>
  <c r="K53" i="127"/>
  <c r="P301" i="121" s="1"/>
  <c r="J53" i="127"/>
  <c r="O301" i="121" s="1"/>
  <c r="I53" i="127"/>
  <c r="N301" i="121" s="1"/>
  <c r="H53" i="127"/>
  <c r="M301" i="121" s="1"/>
  <c r="G53" i="127"/>
  <c r="L301" i="121" s="1"/>
  <c r="F53" i="127"/>
  <c r="K301" i="121" s="1"/>
  <c r="E53" i="127"/>
  <c r="J301" i="121" s="1"/>
  <c r="E44" i="127"/>
  <c r="J298" i="121" s="1"/>
  <c r="N8" i="127"/>
  <c r="S293" i="121" s="1"/>
  <c r="M8" i="127"/>
  <c r="R293" i="121" s="1"/>
  <c r="L8" i="127"/>
  <c r="Q293" i="121" s="1"/>
  <c r="P293" i="121"/>
  <c r="O293" i="121"/>
  <c r="AH140" i="123"/>
  <c r="Y163" i="121" s="1"/>
  <c r="AG140" i="123"/>
  <c r="X163" i="121" s="1"/>
  <c r="AF140" i="123"/>
  <c r="W163" i="121" s="1"/>
  <c r="AE140" i="123"/>
  <c r="V163" i="121" s="1"/>
  <c r="AD140" i="123"/>
  <c r="U163" i="121" s="1"/>
  <c r="W139" i="123"/>
  <c r="V140" i="123"/>
  <c r="P163" i="121" s="1"/>
  <c r="U140" i="123"/>
  <c r="T140" i="123"/>
  <c r="O163" i="121" s="1"/>
  <c r="S140" i="123"/>
  <c r="N163" i="121" s="1"/>
  <c r="R140" i="123"/>
  <c r="M163" i="121" s="1"/>
  <c r="Q140" i="123"/>
  <c r="H140" i="123"/>
  <c r="G163" i="121" s="1"/>
  <c r="G140" i="123"/>
  <c r="F140" i="123"/>
  <c r="F163" i="121" s="1"/>
  <c r="E140" i="123"/>
  <c r="E163" i="121"/>
  <c r="D140" i="123"/>
  <c r="D163" i="121" s="1"/>
  <c r="C140" i="123"/>
  <c r="E123" i="56"/>
  <c r="K21" i="121" s="1"/>
  <c r="D123" i="56"/>
  <c r="J21" i="121" s="1"/>
  <c r="E116" i="56"/>
  <c r="D116" i="56"/>
  <c r="J20" i="121" s="1"/>
  <c r="C70" i="1"/>
  <c r="J5" i="121" s="1"/>
  <c r="C65" i="1"/>
  <c r="J4" i="121" s="1"/>
  <c r="S279" i="30"/>
  <c r="J28" i="121"/>
  <c r="C42" i="121"/>
  <c r="C40" i="121"/>
  <c r="C39" i="121"/>
  <c r="C35" i="121"/>
  <c r="C34" i="121"/>
  <c r="N28" i="121"/>
  <c r="M28" i="121"/>
  <c r="L28" i="121"/>
  <c r="C33" i="121"/>
  <c r="C32" i="121"/>
  <c r="K148" i="141"/>
  <c r="N44" i="121" s="1"/>
  <c r="K131" i="141"/>
  <c r="N43" i="121" s="1"/>
  <c r="L36" i="121"/>
  <c r="J35" i="141"/>
  <c r="M39" i="121" s="1"/>
  <c r="C36" i="121"/>
  <c r="G21" i="141"/>
  <c r="J34" i="121" s="1"/>
  <c r="I21" i="141"/>
  <c r="L34" i="121" s="1"/>
  <c r="J38" i="141"/>
  <c r="M40" i="121" s="1"/>
  <c r="H21" i="141"/>
  <c r="K34" i="121" s="1"/>
  <c r="J63" i="141"/>
  <c r="M42" i="121" s="1"/>
  <c r="K63" i="141"/>
  <c r="N42" i="121" s="1"/>
  <c r="I63" i="141"/>
  <c r="L42" i="121" s="1"/>
  <c r="K62" i="141"/>
  <c r="I106" i="141" s="1"/>
  <c r="J62" i="141"/>
  <c r="I58" i="141"/>
  <c r="I54" i="141"/>
  <c r="L41" i="121" s="1"/>
  <c r="C16" i="92"/>
  <c r="C54" i="141"/>
  <c r="C41" i="121" s="1"/>
  <c r="J20" i="141"/>
  <c r="M33" i="121" s="1"/>
  <c r="J19" i="141"/>
  <c r="M32" i="121" s="1"/>
  <c r="J13" i="141"/>
  <c r="M31" i="121" s="1"/>
  <c r="J12" i="141"/>
  <c r="M30" i="121" s="1"/>
  <c r="K8" i="141"/>
  <c r="N29" i="121" s="1"/>
  <c r="M60" i="112"/>
  <c r="M59" i="112"/>
  <c r="M58" i="112"/>
  <c r="F19" i="112"/>
  <c r="I20" i="112"/>
  <c r="I21" i="112"/>
  <c r="O21" i="112" s="1"/>
  <c r="R234" i="121" s="1"/>
  <c r="I22" i="112"/>
  <c r="P22" i="112" s="1"/>
  <c r="S235" i="121" s="1"/>
  <c r="I23" i="112"/>
  <c r="N23" i="112" s="1"/>
  <c r="Q236" i="121" s="1"/>
  <c r="I26" i="112"/>
  <c r="I27" i="112"/>
  <c r="N27" i="112" s="1"/>
  <c r="Q240" i="121" s="1"/>
  <c r="I29" i="112"/>
  <c r="I30" i="112"/>
  <c r="N30" i="112" s="1"/>
  <c r="Q243" i="121" s="1"/>
  <c r="K21" i="112"/>
  <c r="K23" i="112"/>
  <c r="K27" i="112"/>
  <c r="K29" i="112"/>
  <c r="K30" i="112"/>
  <c r="J19" i="112"/>
  <c r="C19" i="112"/>
  <c r="C31" i="112" s="1"/>
  <c r="D19" i="112"/>
  <c r="D31" i="112" s="1"/>
  <c r="E21" i="112"/>
  <c r="E22" i="112"/>
  <c r="E23" i="112"/>
  <c r="M23" i="112" s="1"/>
  <c r="P236" i="121" s="1"/>
  <c r="E30" i="112"/>
  <c r="G19" i="112"/>
  <c r="G31" i="112" s="1"/>
  <c r="H19" i="112"/>
  <c r="H31" i="112" s="1"/>
  <c r="Z58" i="124"/>
  <c r="AA58" i="124"/>
  <c r="AD58" i="124"/>
  <c r="R50" i="124"/>
  <c r="H223" i="121" s="1"/>
  <c r="Q50" i="124"/>
  <c r="P50" i="124"/>
  <c r="F223" i="121" s="1"/>
  <c r="O50" i="124"/>
  <c r="N50" i="124"/>
  <c r="AO50" i="124"/>
  <c r="Q223" i="121" s="1"/>
  <c r="AN50" i="124"/>
  <c r="AM50" i="124"/>
  <c r="AL50" i="124"/>
  <c r="Y50" i="124"/>
  <c r="X50" i="124"/>
  <c r="L223" i="121" s="1"/>
  <c r="AG130" i="123"/>
  <c r="AE130" i="123"/>
  <c r="AD130" i="123"/>
  <c r="V130" i="123"/>
  <c r="O218" i="123" s="1"/>
  <c r="U130" i="123"/>
  <c r="T130" i="123"/>
  <c r="S130" i="123"/>
  <c r="N218" i="123" s="1"/>
  <c r="R130" i="123"/>
  <c r="M218" i="123" s="1"/>
  <c r="Q130" i="123"/>
  <c r="D97" i="56"/>
  <c r="D99" i="56"/>
  <c r="D100" i="56"/>
  <c r="D102" i="56"/>
  <c r="D110" i="125"/>
  <c r="N19" i="123"/>
  <c r="N58" i="123"/>
  <c r="N81" i="123"/>
  <c r="N87" i="123"/>
  <c r="E51" i="125" s="1"/>
  <c r="N92" i="123"/>
  <c r="E53" i="125" s="1"/>
  <c r="N95" i="123"/>
  <c r="N122" i="123"/>
  <c r="E58" i="125" s="1"/>
  <c r="N130" i="123"/>
  <c r="E59" i="125" s="1"/>
  <c r="N135" i="123"/>
  <c r="B61" i="125"/>
  <c r="S48" i="124"/>
  <c r="S49" i="124"/>
  <c r="S59" i="124"/>
  <c r="G55" i="124"/>
  <c r="F36" i="124"/>
  <c r="F37" i="124"/>
  <c r="F38" i="124"/>
  <c r="F39" i="124"/>
  <c r="F18" i="124"/>
  <c r="F19" i="124"/>
  <c r="F21" i="124"/>
  <c r="F24" i="124"/>
  <c r="F27" i="124"/>
  <c r="F30" i="124"/>
  <c r="F33" i="124"/>
  <c r="F40" i="124"/>
  <c r="F45" i="124"/>
  <c r="F48" i="124"/>
  <c r="F42" i="124"/>
  <c r="F43" i="124"/>
  <c r="F55" i="124"/>
  <c r="F59" i="124"/>
  <c r="F60" i="124"/>
  <c r="E48" i="124"/>
  <c r="E49" i="124"/>
  <c r="E18" i="124"/>
  <c r="E19" i="124"/>
  <c r="E36" i="124"/>
  <c r="E37" i="124"/>
  <c r="E38" i="124"/>
  <c r="E39" i="124"/>
  <c r="E45" i="124"/>
  <c r="E42" i="124"/>
  <c r="E43" i="124"/>
  <c r="E21" i="124"/>
  <c r="E24" i="124"/>
  <c r="E27" i="124"/>
  <c r="E30" i="124"/>
  <c r="E33" i="124"/>
  <c r="E40" i="124"/>
  <c r="E55" i="124"/>
  <c r="E59" i="124"/>
  <c r="E60" i="124"/>
  <c r="D55" i="124"/>
  <c r="C55" i="124"/>
  <c r="AO55" i="124"/>
  <c r="AO66" i="124"/>
  <c r="AN55" i="124"/>
  <c r="AN66" i="124"/>
  <c r="AM55" i="124"/>
  <c r="AM66" i="124"/>
  <c r="AL55" i="124"/>
  <c r="AL66" i="124"/>
  <c r="AU63" i="124"/>
  <c r="AP34" i="124"/>
  <c r="AQ34" i="124"/>
  <c r="AT34" i="124"/>
  <c r="AP31" i="124"/>
  <c r="AQ31" i="124"/>
  <c r="AT31" i="124"/>
  <c r="AP28" i="124"/>
  <c r="AQ28" i="124"/>
  <c r="AT28" i="124"/>
  <c r="AP25" i="124"/>
  <c r="AQ25" i="124"/>
  <c r="AT25" i="124"/>
  <c r="AP22" i="124"/>
  <c r="AQ22" i="124"/>
  <c r="AT22" i="124"/>
  <c r="I139" i="123"/>
  <c r="I77" i="123"/>
  <c r="I76" i="123"/>
  <c r="AG81" i="123"/>
  <c r="AR18" i="124"/>
  <c r="AR19" i="124"/>
  <c r="AR21" i="124"/>
  <c r="AR24" i="124"/>
  <c r="AR27" i="124"/>
  <c r="AR30" i="124"/>
  <c r="AR33" i="124"/>
  <c r="AR36" i="124"/>
  <c r="AR38" i="124"/>
  <c r="AR39" i="124"/>
  <c r="AR59" i="124"/>
  <c r="F97" i="56"/>
  <c r="F99" i="56"/>
  <c r="F100" i="56"/>
  <c r="F102" i="56"/>
  <c r="D120" i="125"/>
  <c r="D129" i="125"/>
  <c r="C59" i="1"/>
  <c r="C62" i="1"/>
  <c r="C67" i="1"/>
  <c r="B60" i="125"/>
  <c r="B59" i="125"/>
  <c r="B58" i="125"/>
  <c r="B57" i="125"/>
  <c r="B56" i="125"/>
  <c r="B54" i="125"/>
  <c r="B53" i="125"/>
  <c r="B51" i="125"/>
  <c r="B50" i="125"/>
  <c r="B47" i="125"/>
  <c r="B46" i="125"/>
  <c r="B45" i="125"/>
  <c r="B155" i="123"/>
  <c r="C165" i="121" s="1"/>
  <c r="B80" i="124"/>
  <c r="C228" i="121" s="1"/>
  <c r="CQ50" i="124"/>
  <c r="AO223" i="121" s="1"/>
  <c r="CQ47" i="124"/>
  <c r="AO222" i="121" s="1"/>
  <c r="CP50" i="124"/>
  <c r="AN223" i="121" s="1"/>
  <c r="CO50" i="124"/>
  <c r="AM223" i="121" s="1"/>
  <c r="CP47" i="124"/>
  <c r="AN222" i="121" s="1"/>
  <c r="CO47" i="124"/>
  <c r="AM222" i="121" s="1"/>
  <c r="CL50" i="124"/>
  <c r="AL223" i="121" s="1"/>
  <c r="CL47" i="124"/>
  <c r="AL222" i="121" s="1"/>
  <c r="BK50" i="124"/>
  <c r="Z223" i="121" s="1"/>
  <c r="BK47" i="124"/>
  <c r="Z222" i="121" s="1"/>
  <c r="BE50" i="124"/>
  <c r="V223" i="121" s="1"/>
  <c r="BD50" i="124"/>
  <c r="U223" i="121" s="1"/>
  <c r="BC50" i="124"/>
  <c r="T223" i="121" s="1"/>
  <c r="BB50" i="124"/>
  <c r="BA50" i="124"/>
  <c r="BE47" i="124"/>
  <c r="BD47" i="124"/>
  <c r="BC47" i="124"/>
  <c r="BB47" i="124"/>
  <c r="BA47" i="124"/>
  <c r="V221" i="121"/>
  <c r="U221" i="121"/>
  <c r="T221" i="121"/>
  <c r="S221" i="121"/>
  <c r="R221" i="121"/>
  <c r="AO47" i="124"/>
  <c r="AN47" i="124"/>
  <c r="P222" i="121" s="1"/>
  <c r="AM47" i="124"/>
  <c r="Q221" i="121"/>
  <c r="P221" i="121"/>
  <c r="O221" i="121"/>
  <c r="AL47" i="124"/>
  <c r="N222" i="121" s="1"/>
  <c r="N221" i="121"/>
  <c r="M221" i="121"/>
  <c r="L221" i="121"/>
  <c r="H221" i="121"/>
  <c r="G221" i="121"/>
  <c r="F221" i="121"/>
  <c r="E221" i="121"/>
  <c r="D221" i="121"/>
  <c r="CQ35" i="124"/>
  <c r="Z219" i="121" s="1"/>
  <c r="CQ32" i="124"/>
  <c r="Z218" i="121" s="1"/>
  <c r="CQ29" i="124"/>
  <c r="Z217" i="121" s="1"/>
  <c r="CQ26" i="124"/>
  <c r="Z216" i="121" s="1"/>
  <c r="CQ23" i="124"/>
  <c r="Z215" i="121" s="1"/>
  <c r="CP35" i="124"/>
  <c r="Y219" i="121" s="1"/>
  <c r="CP32" i="124"/>
  <c r="Y218" i="121" s="1"/>
  <c r="CP29" i="124"/>
  <c r="Y217" i="121" s="1"/>
  <c r="CP26" i="124"/>
  <c r="Y216" i="121" s="1"/>
  <c r="CP23" i="124"/>
  <c r="Y215" i="121" s="1"/>
  <c r="CO35" i="124"/>
  <c r="X219" i="121" s="1"/>
  <c r="CL35" i="124"/>
  <c r="W219" i="121" s="1"/>
  <c r="BW35" i="124"/>
  <c r="BQ35" i="124"/>
  <c r="R219" i="121" s="1"/>
  <c r="BP35" i="124"/>
  <c r="BO35" i="124"/>
  <c r="BN35" i="124"/>
  <c r="BM35" i="124"/>
  <c r="CO32" i="124"/>
  <c r="X218" i="121" s="1"/>
  <c r="CL32" i="124"/>
  <c r="W218" i="121" s="1"/>
  <c r="BW32" i="124"/>
  <c r="BQ32" i="124"/>
  <c r="R218" i="121" s="1"/>
  <c r="BP32" i="124"/>
  <c r="BO32" i="124"/>
  <c r="BN32" i="124"/>
  <c r="BM32" i="124"/>
  <c r="CO29" i="124"/>
  <c r="X217" i="121" s="1"/>
  <c r="CL29" i="124"/>
  <c r="W217" i="121" s="1"/>
  <c r="BW29" i="124"/>
  <c r="BQ29" i="124"/>
  <c r="BP29" i="124"/>
  <c r="BO29" i="124"/>
  <c r="BN29" i="124"/>
  <c r="O217" i="121" s="1"/>
  <c r="BM29" i="124"/>
  <c r="CO26" i="124"/>
  <c r="X216" i="121" s="1"/>
  <c r="CL26" i="124"/>
  <c r="W216" i="121" s="1"/>
  <c r="BW26" i="124"/>
  <c r="BQ26" i="124"/>
  <c r="R216" i="121" s="1"/>
  <c r="BP26" i="124"/>
  <c r="BO26" i="124"/>
  <c r="BN26" i="124"/>
  <c r="O216" i="121" s="1"/>
  <c r="BM26" i="124"/>
  <c r="CO23" i="124"/>
  <c r="X215" i="121" s="1"/>
  <c r="CL23" i="124"/>
  <c r="W215" i="121" s="1"/>
  <c r="BW23" i="124"/>
  <c r="BQ23" i="124"/>
  <c r="BP23" i="124"/>
  <c r="BO23" i="124"/>
  <c r="BN23" i="124"/>
  <c r="O215" i="121" s="1"/>
  <c r="BM23" i="124"/>
  <c r="V214" i="121"/>
  <c r="R214" i="121"/>
  <c r="Q214" i="121"/>
  <c r="P214" i="121"/>
  <c r="O214" i="121"/>
  <c r="N214" i="121"/>
  <c r="N47" i="124"/>
  <c r="D222" i="121" s="1"/>
  <c r="O47" i="124"/>
  <c r="E222" i="121" s="1"/>
  <c r="P47" i="124"/>
  <c r="F222" i="121" s="1"/>
  <c r="Q47" i="124"/>
  <c r="R47" i="124"/>
  <c r="X47" i="124"/>
  <c r="L222" i="121" s="1"/>
  <c r="D226" i="121"/>
  <c r="E226" i="121"/>
  <c r="F226" i="121"/>
  <c r="G226" i="121"/>
  <c r="H226" i="121"/>
  <c r="I226" i="121"/>
  <c r="C64" i="124"/>
  <c r="D227" i="121" s="1"/>
  <c r="D64" i="124"/>
  <c r="E227" i="121" s="1"/>
  <c r="E64" i="124"/>
  <c r="F227" i="121" s="1"/>
  <c r="F64" i="124"/>
  <c r="G227" i="121" s="1"/>
  <c r="G64" i="124"/>
  <c r="H227" i="121" s="1"/>
  <c r="G230" i="121"/>
  <c r="H230" i="121"/>
  <c r="I230" i="121"/>
  <c r="J230" i="121"/>
  <c r="K230" i="121"/>
  <c r="L230" i="121"/>
  <c r="M230" i="121"/>
  <c r="AZ34" i="124"/>
  <c r="AR34" i="124"/>
  <c r="AZ31" i="124"/>
  <c r="AR31" i="124"/>
  <c r="AZ28" i="124"/>
  <c r="AR28" i="124"/>
  <c r="AZ25" i="124"/>
  <c r="AR25" i="124"/>
  <c r="AZ22" i="124"/>
  <c r="AR22" i="124"/>
  <c r="F167" i="121"/>
  <c r="D167" i="121"/>
  <c r="C212" i="121"/>
  <c r="C211" i="121"/>
  <c r="C210" i="121"/>
  <c r="C209" i="121"/>
  <c r="C208" i="121"/>
  <c r="C207" i="121"/>
  <c r="C206" i="121"/>
  <c r="C205" i="121"/>
  <c r="C204" i="121"/>
  <c r="C203" i="121"/>
  <c r="B50" i="124"/>
  <c r="C223" i="121" s="1"/>
  <c r="C201" i="121"/>
  <c r="C200" i="121"/>
  <c r="B47" i="124"/>
  <c r="C199" i="121" s="1"/>
  <c r="C198" i="121"/>
  <c r="C197" i="121"/>
  <c r="C196" i="121"/>
  <c r="C195" i="121"/>
  <c r="C194" i="121"/>
  <c r="C193" i="121"/>
  <c r="C192" i="121"/>
  <c r="C191" i="121"/>
  <c r="C190" i="121"/>
  <c r="C189" i="121"/>
  <c r="C188" i="121"/>
  <c r="B35" i="124"/>
  <c r="C187" i="121" s="1"/>
  <c r="C186" i="121"/>
  <c r="C185" i="121"/>
  <c r="B32" i="124"/>
  <c r="C184" i="121" s="1"/>
  <c r="C183" i="121"/>
  <c r="C182" i="121"/>
  <c r="B29" i="124"/>
  <c r="C181" i="121" s="1"/>
  <c r="C180" i="121"/>
  <c r="C179" i="121"/>
  <c r="B26" i="124"/>
  <c r="C216" i="121" s="1"/>
  <c r="C177" i="121"/>
  <c r="C176" i="121"/>
  <c r="B23" i="124"/>
  <c r="C175" i="121" s="1"/>
  <c r="C174" i="121"/>
  <c r="C173" i="121"/>
  <c r="C172" i="121"/>
  <c r="C171" i="121"/>
  <c r="C170" i="121"/>
  <c r="C169" i="121"/>
  <c r="AK35" i="124"/>
  <c r="AJ35" i="124"/>
  <c r="L219" i="121" s="1"/>
  <c r="AD35" i="124"/>
  <c r="AC35" i="124"/>
  <c r="AB35" i="124"/>
  <c r="AA35" i="124"/>
  <c r="Z35" i="124"/>
  <c r="AK32" i="124"/>
  <c r="AJ32" i="124"/>
  <c r="AD32" i="124"/>
  <c r="AC32" i="124"/>
  <c r="AB32" i="124"/>
  <c r="AA32" i="124"/>
  <c r="Z32" i="124"/>
  <c r="AK29" i="124"/>
  <c r="AJ29" i="124"/>
  <c r="AD29" i="124"/>
  <c r="AC29" i="124"/>
  <c r="AB29" i="124"/>
  <c r="AA29" i="124"/>
  <c r="Z29" i="124"/>
  <c r="AK26" i="124"/>
  <c r="AJ26" i="124"/>
  <c r="AD26" i="124"/>
  <c r="AC26" i="124"/>
  <c r="G216" i="121" s="1"/>
  <c r="AB26" i="124"/>
  <c r="AA26" i="124"/>
  <c r="Z26" i="124"/>
  <c r="AK23" i="124"/>
  <c r="AJ23" i="124"/>
  <c r="AD23" i="124"/>
  <c r="AC23" i="124"/>
  <c r="AB23" i="124"/>
  <c r="AA23" i="124"/>
  <c r="Z23" i="124"/>
  <c r="Y47" i="124"/>
  <c r="M222" i="121" s="1"/>
  <c r="M214" i="121"/>
  <c r="L214" i="121"/>
  <c r="H214" i="121"/>
  <c r="K226" i="121"/>
  <c r="B64" i="124"/>
  <c r="C227" i="121" s="1"/>
  <c r="J152" i="123"/>
  <c r="I152" i="123"/>
  <c r="H153" i="123"/>
  <c r="H154" i="123"/>
  <c r="F152" i="123"/>
  <c r="H87" i="123"/>
  <c r="G87" i="123"/>
  <c r="E152" i="123"/>
  <c r="F87" i="123"/>
  <c r="D152" i="123"/>
  <c r="D87" i="123"/>
  <c r="C152" i="123"/>
  <c r="C155" i="123" s="1"/>
  <c r="C87" i="123"/>
  <c r="W77" i="123"/>
  <c r="W76" i="123"/>
  <c r="W74" i="123"/>
  <c r="AB74" i="123" s="1"/>
  <c r="AC74" i="123" s="1"/>
  <c r="D112" i="121" s="1"/>
  <c r="W73" i="123"/>
  <c r="W72" i="123"/>
  <c r="W71" i="123"/>
  <c r="W70" i="123"/>
  <c r="AB70" i="123" s="1"/>
  <c r="AC70" i="123" s="1"/>
  <c r="D108" i="121" s="1"/>
  <c r="W69" i="123"/>
  <c r="B140" i="123"/>
  <c r="C163" i="121" s="1"/>
  <c r="C160" i="121"/>
  <c r="C159" i="121"/>
  <c r="C158" i="121"/>
  <c r="C157" i="121"/>
  <c r="C156" i="121"/>
  <c r="C155" i="121"/>
  <c r="C154" i="121"/>
  <c r="C153" i="121"/>
  <c r="C152" i="121"/>
  <c r="C151" i="121"/>
  <c r="C150" i="121"/>
  <c r="C149" i="121"/>
  <c r="C148" i="121"/>
  <c r="C147" i="121"/>
  <c r="C146" i="121"/>
  <c r="C145" i="121"/>
  <c r="C143" i="121"/>
  <c r="C142" i="121"/>
  <c r="C141" i="121"/>
  <c r="C140" i="121"/>
  <c r="C139"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C93" i="121"/>
  <c r="C92" i="121"/>
  <c r="C91" i="121"/>
  <c r="C90" i="121"/>
  <c r="C89" i="121"/>
  <c r="C88" i="121"/>
  <c r="C87" i="121"/>
  <c r="C86" i="121"/>
  <c r="C85" i="121"/>
  <c r="C84" i="121"/>
  <c r="C83" i="121"/>
  <c r="C82" i="121"/>
  <c r="C81" i="121"/>
  <c r="C80" i="121"/>
  <c r="C79" i="121"/>
  <c r="C78" i="121"/>
  <c r="C77" i="121"/>
  <c r="C76" i="121"/>
  <c r="C75" i="121"/>
  <c r="C74" i="121"/>
  <c r="C73" i="121"/>
  <c r="C72" i="121"/>
  <c r="C71" i="121"/>
  <c r="C70" i="121"/>
  <c r="C69" i="121"/>
  <c r="C68" i="121"/>
  <c r="C67" i="121"/>
  <c r="C66" i="121"/>
  <c r="C65" i="121"/>
  <c r="D63" i="121"/>
  <c r="Q230" i="121"/>
  <c r="P230" i="121"/>
  <c r="C31" i="121"/>
  <c r="K28" i="121"/>
  <c r="K23" i="121"/>
  <c r="J23" i="121"/>
  <c r="K19" i="121"/>
  <c r="J19" i="121"/>
  <c r="J3" i="121"/>
  <c r="D1" i="141"/>
  <c r="C44" i="121"/>
  <c r="C131" i="141"/>
  <c r="C43" i="121" s="1"/>
  <c r="C30" i="121"/>
  <c r="K142" i="141"/>
  <c r="K140" i="141" s="1"/>
  <c r="K127" i="141"/>
  <c r="K135" i="141"/>
  <c r="K118" i="141"/>
  <c r="I11" i="141"/>
  <c r="H11" i="141"/>
  <c r="C253" i="121"/>
  <c r="C252" i="121"/>
  <c r="C251" i="121"/>
  <c r="C250" i="121"/>
  <c r="C249" i="121"/>
  <c r="C248" i="121"/>
  <c r="C243" i="121"/>
  <c r="C242" i="121"/>
  <c r="C240" i="121"/>
  <c r="C239" i="121"/>
  <c r="C238" i="121"/>
  <c r="C237" i="121"/>
  <c r="C236" i="121"/>
  <c r="C235" i="121"/>
  <c r="C234" i="121"/>
  <c r="C233" i="121"/>
  <c r="C232" i="121"/>
  <c r="Q231" i="121"/>
  <c r="P231" i="121"/>
  <c r="O49" i="112"/>
  <c r="R253" i="121" s="1"/>
  <c r="I24" i="112"/>
  <c r="O24" i="112" s="1"/>
  <c r="R237" i="121" s="1"/>
  <c r="K49" i="112"/>
  <c r="K48" i="112"/>
  <c r="K46" i="112"/>
  <c r="K24" i="112"/>
  <c r="E41" i="56"/>
  <c r="D41" i="56"/>
  <c r="N16" i="127"/>
  <c r="M16" i="127"/>
  <c r="L16" i="127"/>
  <c r="B40" i="127"/>
  <c r="C297" i="121" s="1"/>
  <c r="F62" i="127"/>
  <c r="K306" i="121" s="1"/>
  <c r="F34" i="127"/>
  <c r="K294" i="121" s="1"/>
  <c r="E34" i="127"/>
  <c r="J294" i="121" s="1"/>
  <c r="E55" i="127"/>
  <c r="J302" i="121" s="1"/>
  <c r="N62" i="127"/>
  <c r="S306" i="121" s="1"/>
  <c r="M62" i="127"/>
  <c r="R306" i="121" s="1"/>
  <c r="L62" i="127"/>
  <c r="Q306" i="121" s="1"/>
  <c r="K62" i="127"/>
  <c r="P306" i="121" s="1"/>
  <c r="J62" i="127"/>
  <c r="O306" i="121" s="1"/>
  <c r="I62" i="127"/>
  <c r="N306" i="121" s="1"/>
  <c r="H62" i="127"/>
  <c r="M306" i="121" s="1"/>
  <c r="G62" i="127"/>
  <c r="L306" i="121" s="1"/>
  <c r="E62" i="127"/>
  <c r="J306" i="121" s="1"/>
  <c r="E39" i="127"/>
  <c r="J296" i="121" s="1"/>
  <c r="N51" i="127"/>
  <c r="N58" i="127" s="1"/>
  <c r="M51" i="127"/>
  <c r="M58" i="127" s="1"/>
  <c r="L51" i="127"/>
  <c r="L58" i="127" s="1"/>
  <c r="K51" i="127"/>
  <c r="K58" i="127" s="1"/>
  <c r="J51" i="127"/>
  <c r="J58" i="127" s="1"/>
  <c r="I51" i="127"/>
  <c r="H51" i="127"/>
  <c r="H58" i="127" s="1"/>
  <c r="G51" i="127"/>
  <c r="G58" i="127" s="1"/>
  <c r="F51" i="127"/>
  <c r="F58" i="127" s="1"/>
  <c r="E51" i="127"/>
  <c r="N35" i="127"/>
  <c r="N42" i="127" s="1"/>
  <c r="M35" i="127"/>
  <c r="L35" i="127"/>
  <c r="L42" i="127" s="1"/>
  <c r="K35" i="127"/>
  <c r="K42" i="127" s="1"/>
  <c r="J35" i="127"/>
  <c r="I35" i="127"/>
  <c r="H35" i="127"/>
  <c r="G35" i="127"/>
  <c r="N50" i="127"/>
  <c r="S300" i="121" s="1"/>
  <c r="M50" i="127"/>
  <c r="R300" i="121" s="1"/>
  <c r="L50" i="127"/>
  <c r="Q300" i="121" s="1"/>
  <c r="K50" i="127"/>
  <c r="P300" i="121" s="1"/>
  <c r="J50" i="127"/>
  <c r="O300" i="121" s="1"/>
  <c r="I50" i="127"/>
  <c r="N300" i="121" s="1"/>
  <c r="H50" i="127"/>
  <c r="M300" i="121" s="1"/>
  <c r="G50" i="127"/>
  <c r="L300" i="121" s="1"/>
  <c r="F50" i="127"/>
  <c r="K300" i="121" s="1"/>
  <c r="E50" i="127"/>
  <c r="J300" i="121" s="1"/>
  <c r="B61" i="127"/>
  <c r="C305" i="121" s="1"/>
  <c r="B60" i="127"/>
  <c r="C304" i="121" s="1"/>
  <c r="B56" i="127"/>
  <c r="C303" i="121" s="1"/>
  <c r="B55" i="127"/>
  <c r="C302" i="121" s="1"/>
  <c r="B45" i="127"/>
  <c r="C299" i="121" s="1"/>
  <c r="B44" i="127"/>
  <c r="C298" i="121" s="1"/>
  <c r="B39" i="127"/>
  <c r="C296" i="121" s="1"/>
  <c r="B8" i="127"/>
  <c r="C293" i="121" s="1"/>
  <c r="N34" i="127"/>
  <c r="S294" i="121" s="1"/>
  <c r="M34" i="127"/>
  <c r="R294" i="121" s="1"/>
  <c r="L34" i="127"/>
  <c r="Q294" i="121" s="1"/>
  <c r="K34" i="127"/>
  <c r="P294" i="121" s="1"/>
  <c r="J34" i="127"/>
  <c r="O294" i="121" s="1"/>
  <c r="I34" i="127"/>
  <c r="N294" i="121" s="1"/>
  <c r="H34" i="127"/>
  <c r="M294" i="121" s="1"/>
  <c r="G34" i="127"/>
  <c r="L294" i="121" s="1"/>
  <c r="B62" i="127"/>
  <c r="C306" i="121" s="1"/>
  <c r="B53" i="127"/>
  <c r="C301" i="121" s="1"/>
  <c r="B50" i="127"/>
  <c r="C300" i="121" s="1"/>
  <c r="B37" i="127"/>
  <c r="C295" i="121" s="1"/>
  <c r="B34" i="127"/>
  <c r="C294" i="121" s="1"/>
  <c r="E1" i="127"/>
  <c r="C1" i="126"/>
  <c r="B7" i="125"/>
  <c r="B6" i="125"/>
  <c r="B5" i="125"/>
  <c r="B8" i="124"/>
  <c r="B6" i="124"/>
  <c r="B5" i="124"/>
  <c r="CL41" i="124"/>
  <c r="CL44" i="124"/>
  <c r="CP41" i="124"/>
  <c r="AP130" i="124" s="1"/>
  <c r="CM55" i="124"/>
  <c r="CN55" i="124"/>
  <c r="CQ64" i="124"/>
  <c r="CP64" i="124"/>
  <c r="CO64" i="124"/>
  <c r="CL64" i="124"/>
  <c r="AT64" i="124"/>
  <c r="AS64" i="124"/>
  <c r="AR64" i="124"/>
  <c r="AQ64" i="124"/>
  <c r="AP64" i="124"/>
  <c r="AN64" i="124"/>
  <c r="AL64" i="124"/>
  <c r="B10" i="123"/>
  <c r="B7" i="123"/>
  <c r="B6" i="123"/>
  <c r="B5" i="123"/>
  <c r="C1" i="122"/>
  <c r="E1" i="125"/>
  <c r="C1" i="124"/>
  <c r="E1" i="123"/>
  <c r="B23" i="107"/>
  <c r="B64" i="125"/>
  <c r="B63" i="125"/>
  <c r="B62" i="125"/>
  <c r="B55" i="125"/>
  <c r="B49" i="125"/>
  <c r="H63" i="124"/>
  <c r="S60" i="124"/>
  <c r="AS59" i="124"/>
  <c r="AE59" i="124"/>
  <c r="CP58" i="124"/>
  <c r="CN58" i="124"/>
  <c r="CM58" i="124"/>
  <c r="CL58" i="124"/>
  <c r="BK58" i="124"/>
  <c r="BK65" i="124" s="1"/>
  <c r="BE58" i="124"/>
  <c r="BD58" i="124"/>
  <c r="BC58" i="124"/>
  <c r="BB58" i="124"/>
  <c r="BA58" i="124"/>
  <c r="AK58" i="124"/>
  <c r="AJ58" i="124"/>
  <c r="AC58" i="124"/>
  <c r="AB58" i="124"/>
  <c r="X58" i="124"/>
  <c r="R58" i="124"/>
  <c r="Q58" i="124"/>
  <c r="P58" i="124"/>
  <c r="O58" i="124"/>
  <c r="N58" i="124"/>
  <c r="CP55" i="124"/>
  <c r="CL55" i="124"/>
  <c r="AT55" i="124"/>
  <c r="AS55" i="124"/>
  <c r="AR55" i="124"/>
  <c r="AQ55" i="124"/>
  <c r="AP55" i="124"/>
  <c r="F49" i="124"/>
  <c r="S46" i="124"/>
  <c r="F46" i="124"/>
  <c r="E46" i="124"/>
  <c r="S45" i="124"/>
  <c r="S44" i="124" s="1"/>
  <c r="CP44" i="124"/>
  <c r="CN44" i="124"/>
  <c r="CM44" i="124"/>
  <c r="BK44" i="124"/>
  <c r="AZ44" i="124" s="1"/>
  <c r="BE44" i="124"/>
  <c r="AT44" i="124" s="1"/>
  <c r="O134" i="124" s="1"/>
  <c r="BD44" i="124"/>
  <c r="BC44" i="124"/>
  <c r="AR44" i="124" s="1"/>
  <c r="BB44" i="124"/>
  <c r="AQ44" i="124" s="1"/>
  <c r="N134" i="124" s="1"/>
  <c r="X44" i="124"/>
  <c r="R44" i="124"/>
  <c r="Q44" i="124"/>
  <c r="P44" i="124"/>
  <c r="O44" i="124"/>
  <c r="N44" i="124"/>
  <c r="S43" i="124"/>
  <c r="S42" i="124"/>
  <c r="CN41" i="124"/>
  <c r="CM41" i="124"/>
  <c r="BK41" i="124"/>
  <c r="AZ41" i="124" s="1"/>
  <c r="BE41" i="124"/>
  <c r="AT41" i="124" s="1"/>
  <c r="O130" i="124" s="1"/>
  <c r="BD41" i="124"/>
  <c r="AS41" i="124" s="1"/>
  <c r="BC41" i="124"/>
  <c r="AR41" i="124" s="1"/>
  <c r="BB41" i="124"/>
  <c r="AQ41" i="124" s="1"/>
  <c r="N130" i="124" s="1"/>
  <c r="BA41" i="124"/>
  <c r="AP41" i="124" s="1"/>
  <c r="M130" i="124" s="1"/>
  <c r="X41" i="124"/>
  <c r="R41" i="124"/>
  <c r="Q41" i="124"/>
  <c r="P41" i="124"/>
  <c r="O41" i="124"/>
  <c r="N41" i="124"/>
  <c r="S40" i="124"/>
  <c r="AS39" i="124"/>
  <c r="AE39" i="124"/>
  <c r="S39" i="124"/>
  <c r="AS38" i="124"/>
  <c r="AE38" i="124"/>
  <c r="S38" i="124"/>
  <c r="AT37" i="124"/>
  <c r="AS37" i="124"/>
  <c r="AR37" i="124"/>
  <c r="AQ37" i="124"/>
  <c r="CX37" i="124" s="1"/>
  <c r="AP37" i="124"/>
  <c r="AE37" i="124"/>
  <c r="S37" i="124"/>
  <c r="AS36" i="124"/>
  <c r="AE36" i="124"/>
  <c r="S36" i="124"/>
  <c r="AS34" i="124"/>
  <c r="AE34" i="124"/>
  <c r="M34" i="124"/>
  <c r="G34" i="124"/>
  <c r="F34" i="124"/>
  <c r="E34" i="124"/>
  <c r="D34" i="124"/>
  <c r="C34" i="124"/>
  <c r="AS33" i="124"/>
  <c r="AE33" i="124"/>
  <c r="S33" i="124"/>
  <c r="AS31" i="124"/>
  <c r="AE31" i="124"/>
  <c r="M31" i="124"/>
  <c r="G31" i="124"/>
  <c r="F31" i="124"/>
  <c r="E31" i="124"/>
  <c r="D31" i="124"/>
  <c r="C31" i="124"/>
  <c r="AS30" i="124"/>
  <c r="AE30" i="124"/>
  <c r="S30" i="124"/>
  <c r="S20" i="124" s="1"/>
  <c r="AS28" i="124"/>
  <c r="AE28" i="124"/>
  <c r="M28" i="124"/>
  <c r="G28" i="124"/>
  <c r="F28" i="124"/>
  <c r="E28" i="124"/>
  <c r="D28" i="124"/>
  <c r="C28" i="124"/>
  <c r="H28" i="124" s="1"/>
  <c r="AS27" i="124"/>
  <c r="AE27" i="124"/>
  <c r="S27" i="124"/>
  <c r="AS25" i="124"/>
  <c r="AE25" i="124"/>
  <c r="M25" i="124"/>
  <c r="G25" i="124"/>
  <c r="F25" i="124"/>
  <c r="E25" i="124"/>
  <c r="D25" i="124"/>
  <c r="C25" i="124"/>
  <c r="AS24" i="124"/>
  <c r="AS20" i="124" s="1"/>
  <c r="AE24" i="124"/>
  <c r="S24" i="124"/>
  <c r="AS22" i="124"/>
  <c r="AE22" i="124"/>
  <c r="M22" i="124"/>
  <c r="G22" i="124"/>
  <c r="F22" i="124"/>
  <c r="E22" i="124"/>
  <c r="D22" i="124"/>
  <c r="C22" i="124"/>
  <c r="AS21" i="124"/>
  <c r="AE21" i="124"/>
  <c r="S21" i="124"/>
  <c r="CP20" i="124"/>
  <c r="CN20" i="124"/>
  <c r="CM20" i="124"/>
  <c r="CL20" i="124"/>
  <c r="BW20" i="124"/>
  <c r="BQ20" i="124"/>
  <c r="BP20" i="124"/>
  <c r="BO20" i="124"/>
  <c r="BN20" i="124"/>
  <c r="BN17" i="124"/>
  <c r="BM20" i="124"/>
  <c r="BK20" i="124"/>
  <c r="BE20" i="124"/>
  <c r="BD20" i="124"/>
  <c r="BC20" i="124"/>
  <c r="BB20" i="124"/>
  <c r="BA20" i="124"/>
  <c r="AK20" i="124"/>
  <c r="AJ20" i="124"/>
  <c r="AD20" i="124"/>
  <c r="AC20" i="124"/>
  <c r="AB20" i="124"/>
  <c r="AA20" i="124"/>
  <c r="Z20" i="124"/>
  <c r="X20" i="124"/>
  <c r="R20" i="124"/>
  <c r="Q20" i="124"/>
  <c r="P20" i="124"/>
  <c r="O20" i="124"/>
  <c r="N20" i="124"/>
  <c r="AS19" i="124"/>
  <c r="AE19" i="124"/>
  <c r="S19" i="124"/>
  <c r="AS18" i="124"/>
  <c r="AE18" i="124"/>
  <c r="S18" i="124"/>
  <c r="CP17" i="124"/>
  <c r="CN17" i="124"/>
  <c r="CM17" i="124"/>
  <c r="CL17" i="124"/>
  <c r="BW17" i="124"/>
  <c r="BQ17" i="124"/>
  <c r="BP17" i="124"/>
  <c r="BO17" i="124"/>
  <c r="BM17" i="124"/>
  <c r="AK17" i="124"/>
  <c r="AJ17" i="124"/>
  <c r="AD17" i="124"/>
  <c r="AC17" i="124"/>
  <c r="AB17" i="124"/>
  <c r="AA17" i="124"/>
  <c r="AA65" i="124" s="1"/>
  <c r="Z17" i="124"/>
  <c r="X17" i="124"/>
  <c r="R17" i="124"/>
  <c r="Q17" i="124"/>
  <c r="P17" i="124"/>
  <c r="O17" i="124"/>
  <c r="N17" i="124"/>
  <c r="AG135" i="123"/>
  <c r="N309" i="123" s="1"/>
  <c r="N285" i="123" s="1"/>
  <c r="AE135" i="123"/>
  <c r="AD135" i="123"/>
  <c r="V135" i="123"/>
  <c r="U135" i="123"/>
  <c r="T135" i="123"/>
  <c r="S135" i="123"/>
  <c r="R135" i="123"/>
  <c r="Q135" i="123"/>
  <c r="H135" i="123"/>
  <c r="F222" i="123" s="1"/>
  <c r="G135" i="123"/>
  <c r="F135" i="123"/>
  <c r="E135" i="123"/>
  <c r="E222" i="123" s="1"/>
  <c r="D135" i="123"/>
  <c r="D222" i="123" s="1"/>
  <c r="C135" i="123"/>
  <c r="H130" i="123"/>
  <c r="F218" i="123" s="1"/>
  <c r="G130" i="123"/>
  <c r="F130" i="123"/>
  <c r="E130" i="123"/>
  <c r="E218" i="123" s="1"/>
  <c r="D130" i="123"/>
  <c r="D218" i="123" s="1"/>
  <c r="C130" i="123"/>
  <c r="AG122" i="123"/>
  <c r="AE122" i="123"/>
  <c r="AD122" i="123"/>
  <c r="V122" i="123"/>
  <c r="O214" i="123" s="1"/>
  <c r="U122" i="123"/>
  <c r="T122" i="123"/>
  <c r="S122" i="123"/>
  <c r="N214" i="123" s="1"/>
  <c r="R122" i="123"/>
  <c r="M214" i="123" s="1"/>
  <c r="Q122" i="123"/>
  <c r="H122" i="123"/>
  <c r="F214" i="123" s="1"/>
  <c r="G122" i="123"/>
  <c r="F122" i="123"/>
  <c r="E122" i="123"/>
  <c r="E214" i="123" s="1"/>
  <c r="D122" i="123"/>
  <c r="D214" i="123" s="1"/>
  <c r="H214" i="123" s="1"/>
  <c r="C122" i="123"/>
  <c r="AG95" i="123"/>
  <c r="AE95" i="123"/>
  <c r="AD95" i="123"/>
  <c r="V95" i="123"/>
  <c r="O201" i="123" s="1"/>
  <c r="U95" i="123"/>
  <c r="T95" i="123"/>
  <c r="S95" i="123"/>
  <c r="N201" i="123" s="1"/>
  <c r="R95" i="123"/>
  <c r="M201" i="123" s="1"/>
  <c r="Q95" i="123"/>
  <c r="H95" i="123"/>
  <c r="F201" i="123" s="1"/>
  <c r="G95" i="123"/>
  <c r="F95" i="123"/>
  <c r="E95" i="123"/>
  <c r="E201" i="123" s="1"/>
  <c r="D95" i="123"/>
  <c r="D201" i="123" s="1"/>
  <c r="C95" i="123"/>
  <c r="AG92" i="123"/>
  <c r="AE92" i="123"/>
  <c r="AD92" i="123"/>
  <c r="V92" i="123"/>
  <c r="U92" i="123"/>
  <c r="T92" i="123"/>
  <c r="S92" i="123"/>
  <c r="R92" i="123"/>
  <c r="Q92" i="123"/>
  <c r="H92" i="123"/>
  <c r="G92" i="123"/>
  <c r="F92" i="123"/>
  <c r="E92" i="123"/>
  <c r="D92" i="123"/>
  <c r="C92" i="123"/>
  <c r="AG87" i="123"/>
  <c r="AE87" i="123"/>
  <c r="AD87" i="123"/>
  <c r="V87" i="123"/>
  <c r="U87" i="123"/>
  <c r="T87" i="123"/>
  <c r="S87" i="123"/>
  <c r="R87" i="123"/>
  <c r="Q87" i="123"/>
  <c r="E87" i="123"/>
  <c r="AE81" i="123"/>
  <c r="AD81" i="123"/>
  <c r="V81" i="123"/>
  <c r="O241" i="123" s="1"/>
  <c r="U81" i="123"/>
  <c r="T81" i="123"/>
  <c r="S81" i="123"/>
  <c r="N241" i="123" s="1"/>
  <c r="R81" i="123"/>
  <c r="M241" i="123" s="1"/>
  <c r="Q81" i="123"/>
  <c r="H81" i="123"/>
  <c r="F241" i="123" s="1"/>
  <c r="G81" i="123"/>
  <c r="F81" i="123"/>
  <c r="E81" i="123"/>
  <c r="E241" i="123" s="1"/>
  <c r="D81" i="123"/>
  <c r="D241" i="123" s="1"/>
  <c r="C81" i="123"/>
  <c r="AG58" i="123"/>
  <c r="AE58" i="123"/>
  <c r="AD58" i="123"/>
  <c r="V58" i="123"/>
  <c r="U58" i="123"/>
  <c r="T58" i="123"/>
  <c r="S58" i="123"/>
  <c r="R58" i="123"/>
  <c r="Q58" i="123"/>
  <c r="H58" i="123"/>
  <c r="G58" i="123"/>
  <c r="F58" i="123"/>
  <c r="E58" i="123"/>
  <c r="D58" i="123"/>
  <c r="C58" i="123"/>
  <c r="AG19" i="123"/>
  <c r="AD19" i="123"/>
  <c r="V19" i="123"/>
  <c r="U19" i="123"/>
  <c r="T19" i="123"/>
  <c r="S19" i="123"/>
  <c r="R19" i="123"/>
  <c r="H19" i="123"/>
  <c r="G19" i="123"/>
  <c r="F19" i="123"/>
  <c r="E19" i="123"/>
  <c r="D19" i="123"/>
  <c r="C19" i="123"/>
  <c r="D31" i="92"/>
  <c r="C31" i="92"/>
  <c r="D21" i="92"/>
  <c r="C21" i="92"/>
  <c r="C258" i="121"/>
  <c r="C257" i="121"/>
  <c r="C256" i="121"/>
  <c r="C254" i="121"/>
  <c r="K24" i="121"/>
  <c r="J24" i="121"/>
  <c r="K20" i="121"/>
  <c r="C5" i="121"/>
  <c r="C4" i="121"/>
  <c r="C5" i="92"/>
  <c r="C9" i="92" s="1"/>
  <c r="C1" i="92"/>
  <c r="O48" i="112"/>
  <c r="R252" i="121" s="1"/>
  <c r="O47" i="112"/>
  <c r="R251" i="121" s="1"/>
  <c r="O46" i="112"/>
  <c r="R250" i="121" s="1"/>
  <c r="O45" i="112"/>
  <c r="R249" i="121" s="1"/>
  <c r="N49" i="112"/>
  <c r="Q253" i="121" s="1"/>
  <c r="N48" i="112"/>
  <c r="Q252" i="121" s="1"/>
  <c r="N47" i="112"/>
  <c r="Q251" i="121" s="1"/>
  <c r="N46" i="112"/>
  <c r="Q250" i="121" s="1"/>
  <c r="N45" i="112"/>
  <c r="Q249" i="121" s="1"/>
  <c r="G43" i="107"/>
  <c r="G40" i="107"/>
  <c r="G36" i="107"/>
  <c r="G31" i="107"/>
  <c r="G29" i="107"/>
  <c r="N44" i="112"/>
  <c r="Q248" i="121" s="1"/>
  <c r="E102" i="56"/>
  <c r="E104" i="56" s="1"/>
  <c r="E100" i="56"/>
  <c r="E99" i="56"/>
  <c r="E97" i="56"/>
  <c r="G131" i="107"/>
  <c r="C8" i="112"/>
  <c r="I61" i="112"/>
  <c r="C60" i="112"/>
  <c r="C59" i="112"/>
  <c r="C58" i="112"/>
  <c r="E24" i="112"/>
  <c r="M24" i="112" s="1"/>
  <c r="P237" i="121" s="1"/>
  <c r="J61" i="112"/>
  <c r="J64" i="112" s="1"/>
  <c r="M258" i="121" s="1"/>
  <c r="E61" i="112"/>
  <c r="F61" i="112"/>
  <c r="D61" i="112"/>
  <c r="H1" i="115"/>
  <c r="E19" i="107"/>
  <c r="E18" i="107"/>
  <c r="E17" i="107"/>
  <c r="E16" i="107"/>
  <c r="B20" i="107"/>
  <c r="B19" i="107"/>
  <c r="B18" i="107"/>
  <c r="B17" i="107"/>
  <c r="B16" i="107"/>
  <c r="B730" i="115"/>
  <c r="B729" i="115"/>
  <c r="B728" i="115"/>
  <c r="B727" i="115"/>
  <c r="B726" i="115"/>
  <c r="B725" i="115"/>
  <c r="B724" i="115"/>
  <c r="B723" i="115"/>
  <c r="B722" i="115"/>
  <c r="B721" i="115"/>
  <c r="B720" i="115"/>
  <c r="B719" i="115"/>
  <c r="B718" i="115"/>
  <c r="B717" i="115"/>
  <c r="B716" i="115"/>
  <c r="B715" i="115"/>
  <c r="B714" i="115"/>
  <c r="B713" i="115"/>
  <c r="B712" i="115"/>
  <c r="B711" i="115"/>
  <c r="B710" i="115"/>
  <c r="B709" i="115"/>
  <c r="B708" i="115"/>
  <c r="B707" i="115"/>
  <c r="B706" i="115"/>
  <c r="B705" i="115"/>
  <c r="B704" i="115"/>
  <c r="B703" i="115"/>
  <c r="B702" i="115"/>
  <c r="B701" i="115"/>
  <c r="B700" i="115"/>
  <c r="B699" i="115"/>
  <c r="B698" i="115"/>
  <c r="B697" i="115"/>
  <c r="B696" i="115"/>
  <c r="B695" i="115"/>
  <c r="B694" i="115"/>
  <c r="B693" i="115"/>
  <c r="B692" i="115"/>
  <c r="B691" i="115"/>
  <c r="B690" i="115"/>
  <c r="B689" i="115"/>
  <c r="B688" i="115"/>
  <c r="B687" i="115"/>
  <c r="B686" i="115"/>
  <c r="B685" i="115"/>
  <c r="B684" i="115"/>
  <c r="B683" i="115"/>
  <c r="B682" i="115"/>
  <c r="B681" i="115"/>
  <c r="B680" i="115"/>
  <c r="B679" i="115"/>
  <c r="B678" i="115"/>
  <c r="B677" i="115"/>
  <c r="B676" i="115"/>
  <c r="B675" i="115"/>
  <c r="B674" i="115"/>
  <c r="B673" i="115"/>
  <c r="B672" i="115"/>
  <c r="B671" i="115"/>
  <c r="B670" i="115"/>
  <c r="B669" i="115"/>
  <c r="B668" i="115"/>
  <c r="B667" i="115"/>
  <c r="B666" i="115"/>
  <c r="B665" i="115"/>
  <c r="B664" i="115"/>
  <c r="B663" i="115"/>
  <c r="B662" i="115"/>
  <c r="B661" i="115"/>
  <c r="B660" i="115"/>
  <c r="B659" i="115"/>
  <c r="B658" i="115"/>
  <c r="B657" i="115"/>
  <c r="B656" i="115"/>
  <c r="B655" i="115"/>
  <c r="B654" i="115"/>
  <c r="B653" i="115"/>
  <c r="B652" i="115"/>
  <c r="B651" i="115"/>
  <c r="B650" i="115"/>
  <c r="B649" i="115"/>
  <c r="B648" i="115"/>
  <c r="B647" i="115"/>
  <c r="B646" i="115"/>
  <c r="B645" i="115"/>
  <c r="B644" i="115"/>
  <c r="B643" i="115"/>
  <c r="B642" i="115"/>
  <c r="B641" i="115"/>
  <c r="B640" i="115"/>
  <c r="B639" i="115"/>
  <c r="B638" i="115"/>
  <c r="B637" i="115"/>
  <c r="B636" i="115"/>
  <c r="B635" i="115"/>
  <c r="B634" i="115"/>
  <c r="B633" i="115"/>
  <c r="B632" i="115"/>
  <c r="B631" i="115"/>
  <c r="ER630" i="115"/>
  <c r="EQ630" i="115"/>
  <c r="EP630" i="115"/>
  <c r="EO630" i="115"/>
  <c r="EN630" i="115"/>
  <c r="EM630" i="115"/>
  <c r="EL630" i="115"/>
  <c r="EK630" i="115"/>
  <c r="EJ630" i="115"/>
  <c r="EI630" i="115"/>
  <c r="EH630" i="115"/>
  <c r="EG630" i="115"/>
  <c r="EF630" i="115"/>
  <c r="EE630" i="115"/>
  <c r="ED630" i="115"/>
  <c r="EC630" i="115"/>
  <c r="EB630" i="115"/>
  <c r="EA630" i="115"/>
  <c r="DZ630" i="115"/>
  <c r="DY630" i="115"/>
  <c r="DX630" i="115"/>
  <c r="DW630" i="115"/>
  <c r="DV630" i="115"/>
  <c r="DU630" i="115"/>
  <c r="DT630" i="115"/>
  <c r="DS630" i="115"/>
  <c r="DR630" i="115"/>
  <c r="DQ630" i="115"/>
  <c r="DP630" i="115"/>
  <c r="DO630" i="115"/>
  <c r="DN630" i="115"/>
  <c r="DM630" i="115"/>
  <c r="DL630" i="115"/>
  <c r="DK630" i="115"/>
  <c r="DJ630" i="115"/>
  <c r="DI630" i="115"/>
  <c r="DH630" i="115"/>
  <c r="DG630" i="115"/>
  <c r="DF630" i="115"/>
  <c r="DE630" i="115"/>
  <c r="DD630" i="115"/>
  <c r="DC630" i="115"/>
  <c r="DB630" i="115"/>
  <c r="DA630" i="115"/>
  <c r="CZ630" i="115"/>
  <c r="CY630" i="115"/>
  <c r="CX630" i="115"/>
  <c r="CW630" i="115"/>
  <c r="CV630" i="115"/>
  <c r="CU630" i="115"/>
  <c r="CT630" i="115"/>
  <c r="CS630" i="115"/>
  <c r="CR630" i="115"/>
  <c r="CQ630" i="115"/>
  <c r="CP630" i="115"/>
  <c r="CO630" i="115"/>
  <c r="CN630" i="115"/>
  <c r="CM630" i="115"/>
  <c r="CL630" i="115"/>
  <c r="CK630" i="115"/>
  <c r="CJ630" i="115"/>
  <c r="CI630" i="115"/>
  <c r="CH630" i="115"/>
  <c r="CG630" i="115"/>
  <c r="CF630" i="115"/>
  <c r="CE630" i="115"/>
  <c r="CD630" i="115"/>
  <c r="CC630" i="115"/>
  <c r="CB630" i="115"/>
  <c r="CA630" i="115"/>
  <c r="BZ630" i="115"/>
  <c r="BY630" i="115"/>
  <c r="BX630" i="115"/>
  <c r="BW630" i="115"/>
  <c r="BV630" i="115"/>
  <c r="BU630" i="115"/>
  <c r="BT630" i="115"/>
  <c r="BS630" i="115"/>
  <c r="BR630" i="115"/>
  <c r="BQ630" i="115"/>
  <c r="BP630" i="115"/>
  <c r="BO630" i="115"/>
  <c r="BN630" i="115"/>
  <c r="BM630" i="115"/>
  <c r="BL630" i="115"/>
  <c r="BK630" i="115"/>
  <c r="BJ630" i="115"/>
  <c r="BI630" i="115"/>
  <c r="BH630" i="115"/>
  <c r="BG630" i="115"/>
  <c r="BF630" i="115"/>
  <c r="BE630" i="115"/>
  <c r="BD630" i="115"/>
  <c r="BC630" i="115"/>
  <c r="BB630" i="115"/>
  <c r="BA630" i="115"/>
  <c r="AZ630" i="115"/>
  <c r="AY630" i="115"/>
  <c r="AX630" i="115"/>
  <c r="AW630" i="115"/>
  <c r="AV630" i="115"/>
  <c r="AU630" i="115"/>
  <c r="AT630" i="115"/>
  <c r="AS630" i="115"/>
  <c r="AR630" i="115"/>
  <c r="AQ630" i="115"/>
  <c r="AP630" i="115"/>
  <c r="AO630" i="115"/>
  <c r="AN630" i="115"/>
  <c r="AM630" i="115"/>
  <c r="AL630" i="115"/>
  <c r="AK630" i="115"/>
  <c r="AJ630" i="115"/>
  <c r="AI630" i="115"/>
  <c r="AH630" i="115"/>
  <c r="AG630" i="115"/>
  <c r="AF630" i="115"/>
  <c r="AE630" i="115"/>
  <c r="AD630" i="115"/>
  <c r="AC630" i="115"/>
  <c r="AB630" i="115"/>
  <c r="AA630" i="115"/>
  <c r="Z630" i="115"/>
  <c r="Y630" i="115"/>
  <c r="X630" i="115"/>
  <c r="W630" i="115"/>
  <c r="V630" i="115"/>
  <c r="U630" i="115"/>
  <c r="T630" i="115"/>
  <c r="S630" i="115"/>
  <c r="R630" i="115"/>
  <c r="Q630" i="115"/>
  <c r="P630" i="115"/>
  <c r="O630" i="115"/>
  <c r="N630" i="115"/>
  <c r="M630" i="115"/>
  <c r="L630" i="115"/>
  <c r="K630" i="115"/>
  <c r="J630" i="115"/>
  <c r="I630" i="115"/>
  <c r="B528" i="115"/>
  <c r="ER527" i="115"/>
  <c r="EQ527" i="115"/>
  <c r="EP527" i="115"/>
  <c r="EO527" i="115"/>
  <c r="EN527" i="115"/>
  <c r="EM527" i="115"/>
  <c r="EL527" i="115"/>
  <c r="EK527" i="115"/>
  <c r="EJ527" i="115"/>
  <c r="EI527" i="115"/>
  <c r="EH527" i="115"/>
  <c r="EG527" i="115"/>
  <c r="EF527" i="115"/>
  <c r="EE527" i="115"/>
  <c r="ED527" i="115"/>
  <c r="EC527" i="115"/>
  <c r="EB527" i="115"/>
  <c r="EA527" i="115"/>
  <c r="DZ527" i="115"/>
  <c r="DY527" i="115"/>
  <c r="DX527" i="115"/>
  <c r="DW527" i="115"/>
  <c r="DV527" i="115"/>
  <c r="DU527" i="115"/>
  <c r="DT527" i="115"/>
  <c r="DS527" i="115"/>
  <c r="DR527" i="115"/>
  <c r="DQ527" i="115"/>
  <c r="DP527" i="115"/>
  <c r="DO527" i="115"/>
  <c r="DN527" i="115"/>
  <c r="DM527" i="115"/>
  <c r="DL527" i="115"/>
  <c r="DK527" i="115"/>
  <c r="DJ527" i="115"/>
  <c r="DI527" i="115"/>
  <c r="DH527" i="115"/>
  <c r="DG527" i="115"/>
  <c r="DF527" i="115"/>
  <c r="DE527" i="115"/>
  <c r="DD527" i="115"/>
  <c r="DC527" i="115"/>
  <c r="DB527" i="115"/>
  <c r="DA527" i="115"/>
  <c r="CZ527" i="115"/>
  <c r="CY527" i="115"/>
  <c r="CX527" i="115"/>
  <c r="CW527" i="115"/>
  <c r="CV527" i="115"/>
  <c r="CU527" i="115"/>
  <c r="CT527" i="115"/>
  <c r="CS527" i="115"/>
  <c r="CR527" i="115"/>
  <c r="CQ527" i="115"/>
  <c r="CP527" i="115"/>
  <c r="CO527" i="115"/>
  <c r="CN527" i="115"/>
  <c r="CM527" i="115"/>
  <c r="CL527" i="115"/>
  <c r="CK527" i="115"/>
  <c r="CJ527" i="115"/>
  <c r="CI527" i="115"/>
  <c r="CH527" i="115"/>
  <c r="CG527" i="115"/>
  <c r="CF527" i="115"/>
  <c r="CE527" i="115"/>
  <c r="CD527" i="115"/>
  <c r="CC527" i="115"/>
  <c r="CB527" i="115"/>
  <c r="CA527" i="115"/>
  <c r="BZ527" i="115"/>
  <c r="BY527" i="115"/>
  <c r="BX527" i="115"/>
  <c r="BW527" i="115"/>
  <c r="BV527" i="115"/>
  <c r="BU527" i="115"/>
  <c r="BT527" i="115"/>
  <c r="BS527" i="115"/>
  <c r="BR527" i="115"/>
  <c r="BQ527" i="115"/>
  <c r="BP527" i="115"/>
  <c r="BO527" i="115"/>
  <c r="BN527" i="115"/>
  <c r="BM527" i="115"/>
  <c r="BL527" i="115"/>
  <c r="BK527" i="115"/>
  <c r="BJ527" i="115"/>
  <c r="BI527" i="115"/>
  <c r="BH527" i="115"/>
  <c r="BG527" i="115"/>
  <c r="BF527" i="115"/>
  <c r="BE527" i="115"/>
  <c r="BD527" i="115"/>
  <c r="BC527" i="115"/>
  <c r="BB527" i="115"/>
  <c r="BA527" i="115"/>
  <c r="AZ527" i="115"/>
  <c r="AY527" i="115"/>
  <c r="AX527" i="115"/>
  <c r="AW527" i="115"/>
  <c r="AV527" i="115"/>
  <c r="AU527" i="115"/>
  <c r="AT527" i="115"/>
  <c r="AS527" i="115"/>
  <c r="AR527" i="115"/>
  <c r="AQ527" i="115"/>
  <c r="AP527" i="115"/>
  <c r="AO527" i="115"/>
  <c r="AN527" i="115"/>
  <c r="AM527" i="115"/>
  <c r="AL527" i="115"/>
  <c r="AK527" i="115"/>
  <c r="AJ527" i="115"/>
  <c r="AI527" i="115"/>
  <c r="AH527" i="115"/>
  <c r="AG527" i="115"/>
  <c r="AF527" i="115"/>
  <c r="AE527" i="115"/>
  <c r="AD527" i="115"/>
  <c r="AC527" i="115"/>
  <c r="AB527" i="115"/>
  <c r="AA527" i="115"/>
  <c r="Z527" i="115"/>
  <c r="Y527" i="115"/>
  <c r="X527" i="115"/>
  <c r="W527" i="115"/>
  <c r="V527" i="115"/>
  <c r="U527" i="115"/>
  <c r="T527" i="115"/>
  <c r="S527" i="115"/>
  <c r="R527" i="115"/>
  <c r="Q527" i="115"/>
  <c r="P527" i="115"/>
  <c r="O527" i="115"/>
  <c r="N527" i="115"/>
  <c r="M527" i="115"/>
  <c r="L527" i="115"/>
  <c r="K527" i="115"/>
  <c r="J527" i="115"/>
  <c r="I527" i="115"/>
  <c r="B524" i="115"/>
  <c r="B523" i="115"/>
  <c r="B522" i="115"/>
  <c r="B521" i="115"/>
  <c r="B520" i="115"/>
  <c r="B519" i="115"/>
  <c r="B518" i="115"/>
  <c r="B517" i="115"/>
  <c r="B516" i="115"/>
  <c r="B515" i="115"/>
  <c r="B514" i="115"/>
  <c r="B513" i="115"/>
  <c r="B512" i="115"/>
  <c r="B511" i="115"/>
  <c r="B510" i="115"/>
  <c r="B509" i="115"/>
  <c r="B508" i="115"/>
  <c r="B507" i="115"/>
  <c r="B506" i="115"/>
  <c r="B505" i="115"/>
  <c r="B504" i="115"/>
  <c r="B503" i="115"/>
  <c r="B502" i="115"/>
  <c r="B501" i="115"/>
  <c r="B500" i="115"/>
  <c r="B499" i="115"/>
  <c r="B498" i="115"/>
  <c r="B497" i="115"/>
  <c r="B496" i="115"/>
  <c r="B495" i="115"/>
  <c r="B494" i="115"/>
  <c r="B493" i="115"/>
  <c r="B492" i="115"/>
  <c r="B491" i="115"/>
  <c r="B490" i="115"/>
  <c r="B489" i="115"/>
  <c r="B488" i="115"/>
  <c r="B487" i="115"/>
  <c r="B486" i="115"/>
  <c r="B485" i="115"/>
  <c r="B484" i="115"/>
  <c r="B483" i="115"/>
  <c r="B482" i="115"/>
  <c r="B481" i="115"/>
  <c r="B480" i="115"/>
  <c r="B479" i="115"/>
  <c r="B478" i="115"/>
  <c r="B477" i="115"/>
  <c r="B476" i="115"/>
  <c r="B475" i="115"/>
  <c r="B474" i="115"/>
  <c r="B473" i="115"/>
  <c r="B472" i="115"/>
  <c r="B471" i="115"/>
  <c r="B470" i="115"/>
  <c r="B469" i="115"/>
  <c r="B468" i="115"/>
  <c r="B467" i="115"/>
  <c r="B466" i="115"/>
  <c r="B465" i="115"/>
  <c r="B464" i="115"/>
  <c r="B463" i="115"/>
  <c r="B462" i="115"/>
  <c r="B461" i="115"/>
  <c r="B460" i="115"/>
  <c r="B459" i="115"/>
  <c r="B458" i="115"/>
  <c r="B457" i="115"/>
  <c r="B456" i="115"/>
  <c r="B455" i="115"/>
  <c r="B454" i="115"/>
  <c r="B453" i="115"/>
  <c r="B452" i="115"/>
  <c r="B451" i="115"/>
  <c r="B450" i="115"/>
  <c r="B449" i="115"/>
  <c r="B448" i="115"/>
  <c r="B447" i="115"/>
  <c r="B446" i="115"/>
  <c r="B445" i="115"/>
  <c r="B444" i="115"/>
  <c r="B443" i="115"/>
  <c r="B442" i="115"/>
  <c r="B441" i="115"/>
  <c r="B440" i="115"/>
  <c r="B439" i="115"/>
  <c r="B438" i="115"/>
  <c r="B437" i="115"/>
  <c r="B436" i="115"/>
  <c r="B435" i="115"/>
  <c r="B434" i="115"/>
  <c r="B433" i="115"/>
  <c r="B432" i="115"/>
  <c r="B431" i="115"/>
  <c r="B430" i="115"/>
  <c r="B429" i="115"/>
  <c r="B428" i="115"/>
  <c r="B427" i="115"/>
  <c r="B426" i="115"/>
  <c r="B425" i="115"/>
  <c r="ER424" i="115"/>
  <c r="EQ424" i="115"/>
  <c r="EP424" i="115"/>
  <c r="EO424" i="115"/>
  <c r="EN424" i="115"/>
  <c r="EM424" i="115"/>
  <c r="EL424" i="115"/>
  <c r="EK424" i="115"/>
  <c r="EJ424" i="115"/>
  <c r="EI424" i="115"/>
  <c r="EH424" i="115"/>
  <c r="EG424" i="115"/>
  <c r="EF424" i="115"/>
  <c r="EE424" i="115"/>
  <c r="ED424" i="115"/>
  <c r="EC424" i="115"/>
  <c r="EB424" i="115"/>
  <c r="EA424" i="115"/>
  <c r="DZ424" i="115"/>
  <c r="DY424" i="115"/>
  <c r="DX424" i="115"/>
  <c r="DW424" i="115"/>
  <c r="DV424" i="115"/>
  <c r="DU424" i="115"/>
  <c r="DT424" i="115"/>
  <c r="DS424" i="115"/>
  <c r="DR424" i="115"/>
  <c r="DQ424" i="115"/>
  <c r="DP424" i="115"/>
  <c r="DO424" i="115"/>
  <c r="DN424" i="115"/>
  <c r="DM424" i="115"/>
  <c r="DL424" i="115"/>
  <c r="DK424" i="115"/>
  <c r="DJ424" i="115"/>
  <c r="DI424" i="115"/>
  <c r="DH424" i="115"/>
  <c r="DG424" i="115"/>
  <c r="DF424" i="115"/>
  <c r="DE424" i="115"/>
  <c r="DD424" i="115"/>
  <c r="DC424" i="115"/>
  <c r="DB424" i="115"/>
  <c r="DA424" i="115"/>
  <c r="CZ424" i="115"/>
  <c r="CY424" i="115"/>
  <c r="CX424" i="115"/>
  <c r="CW424" i="115"/>
  <c r="CV424" i="115"/>
  <c r="CU424" i="115"/>
  <c r="CT424" i="115"/>
  <c r="CS424" i="115"/>
  <c r="CR424" i="115"/>
  <c r="CQ424" i="115"/>
  <c r="CP424" i="115"/>
  <c r="CO424" i="115"/>
  <c r="CN424" i="115"/>
  <c r="CM424" i="115"/>
  <c r="CL424" i="115"/>
  <c r="CK424" i="115"/>
  <c r="CJ424" i="115"/>
  <c r="CI424" i="115"/>
  <c r="CH424" i="115"/>
  <c r="CG424" i="115"/>
  <c r="CF424" i="115"/>
  <c r="CE424" i="115"/>
  <c r="CD424" i="115"/>
  <c r="CC424" i="115"/>
  <c r="CB424" i="115"/>
  <c r="CA424" i="115"/>
  <c r="BZ424" i="115"/>
  <c r="BY424" i="115"/>
  <c r="BX424" i="115"/>
  <c r="BW424" i="115"/>
  <c r="BV424" i="115"/>
  <c r="BU424" i="115"/>
  <c r="BT424" i="115"/>
  <c r="BS424" i="115"/>
  <c r="BR424" i="115"/>
  <c r="BQ424" i="115"/>
  <c r="BP424" i="115"/>
  <c r="BO424" i="115"/>
  <c r="BN424" i="115"/>
  <c r="BM424" i="115"/>
  <c r="BL424" i="115"/>
  <c r="BK424" i="115"/>
  <c r="BJ424" i="115"/>
  <c r="BI424" i="115"/>
  <c r="BH424" i="115"/>
  <c r="BG424" i="115"/>
  <c r="BF424" i="115"/>
  <c r="BE424" i="115"/>
  <c r="BD424" i="115"/>
  <c r="BC424" i="115"/>
  <c r="BB424" i="115"/>
  <c r="BA424" i="115"/>
  <c r="AZ424" i="115"/>
  <c r="AY424" i="115"/>
  <c r="AX424" i="115"/>
  <c r="AW424" i="115"/>
  <c r="AV424" i="115"/>
  <c r="AU424" i="115"/>
  <c r="AT424" i="115"/>
  <c r="AS424" i="115"/>
  <c r="AR424" i="115"/>
  <c r="AQ424" i="115"/>
  <c r="AP424" i="115"/>
  <c r="AO424" i="115"/>
  <c r="AN424" i="115"/>
  <c r="AM424" i="115"/>
  <c r="AL424" i="115"/>
  <c r="AK424" i="115"/>
  <c r="AJ424" i="115"/>
  <c r="AI424" i="115"/>
  <c r="AH424" i="115"/>
  <c r="AG424" i="115"/>
  <c r="AF424" i="115"/>
  <c r="AE424" i="115"/>
  <c r="AD424" i="115"/>
  <c r="AC424" i="115"/>
  <c r="AB424" i="115"/>
  <c r="AA424" i="115"/>
  <c r="Z424" i="115"/>
  <c r="Y424" i="115"/>
  <c r="X424" i="115"/>
  <c r="W424" i="115"/>
  <c r="V424" i="115"/>
  <c r="U424" i="115"/>
  <c r="T424" i="115"/>
  <c r="S424" i="115"/>
  <c r="R424" i="115"/>
  <c r="Q424" i="115"/>
  <c r="P424" i="115"/>
  <c r="O424" i="115"/>
  <c r="N424" i="115"/>
  <c r="M424" i="115"/>
  <c r="L424" i="115"/>
  <c r="K424" i="115"/>
  <c r="J424" i="115"/>
  <c r="I424" i="115"/>
  <c r="B419" i="115"/>
  <c r="B418" i="115"/>
  <c r="B417" i="115"/>
  <c r="B416" i="115"/>
  <c r="B415" i="115"/>
  <c r="B414" i="115"/>
  <c r="B413" i="115"/>
  <c r="B412" i="115"/>
  <c r="B411" i="115"/>
  <c r="B410" i="115"/>
  <c r="B409" i="115"/>
  <c r="B408" i="115"/>
  <c r="B407" i="115"/>
  <c r="B406" i="115"/>
  <c r="B405" i="115"/>
  <c r="B404" i="115"/>
  <c r="B403" i="115"/>
  <c r="B402" i="115"/>
  <c r="B401" i="115"/>
  <c r="B400" i="115"/>
  <c r="B399" i="115"/>
  <c r="B398" i="115"/>
  <c r="B397" i="115"/>
  <c r="B396" i="115"/>
  <c r="B395" i="115"/>
  <c r="B394" i="115"/>
  <c r="B393" i="115"/>
  <c r="B392" i="115"/>
  <c r="B391" i="115"/>
  <c r="B390" i="115"/>
  <c r="B389" i="115"/>
  <c r="B388" i="115"/>
  <c r="B387" i="115"/>
  <c r="B386" i="115"/>
  <c r="B385" i="115"/>
  <c r="B384" i="115"/>
  <c r="B383" i="115"/>
  <c r="B382" i="115"/>
  <c r="B381" i="115"/>
  <c r="B380" i="115"/>
  <c r="B379" i="115"/>
  <c r="B378" i="115"/>
  <c r="B377" i="115"/>
  <c r="B376" i="115"/>
  <c r="B375" i="115"/>
  <c r="B374" i="115"/>
  <c r="B373" i="115"/>
  <c r="B372" i="115"/>
  <c r="B371" i="115"/>
  <c r="B370" i="115"/>
  <c r="B369" i="115"/>
  <c r="B368" i="115"/>
  <c r="B367" i="115"/>
  <c r="B366" i="115"/>
  <c r="B365" i="115"/>
  <c r="B364" i="115"/>
  <c r="B363" i="115"/>
  <c r="B362" i="115"/>
  <c r="B361" i="115"/>
  <c r="B360" i="115"/>
  <c r="B359" i="115"/>
  <c r="B358" i="115"/>
  <c r="B357" i="115"/>
  <c r="B356" i="115"/>
  <c r="B355" i="115"/>
  <c r="B354" i="115"/>
  <c r="B353" i="115"/>
  <c r="B352" i="115"/>
  <c r="B351" i="115"/>
  <c r="B350" i="115"/>
  <c r="B349" i="115"/>
  <c r="B348" i="115"/>
  <c r="B347" i="115"/>
  <c r="B346" i="115"/>
  <c r="B345" i="115"/>
  <c r="B344" i="115"/>
  <c r="B343" i="115"/>
  <c r="B342" i="115"/>
  <c r="B341" i="115"/>
  <c r="B340" i="115"/>
  <c r="B339" i="115"/>
  <c r="B338" i="115"/>
  <c r="B337" i="115"/>
  <c r="B336" i="115"/>
  <c r="B335" i="115"/>
  <c r="B334" i="115"/>
  <c r="B333" i="115"/>
  <c r="B332" i="115"/>
  <c r="B331" i="115"/>
  <c r="B330" i="115"/>
  <c r="B329" i="115"/>
  <c r="B328" i="115"/>
  <c r="B327" i="115"/>
  <c r="B326" i="115"/>
  <c r="B325" i="115"/>
  <c r="B324" i="115"/>
  <c r="B323" i="115"/>
  <c r="B322" i="115"/>
  <c r="B321" i="115"/>
  <c r="B320" i="115"/>
  <c r="ER319" i="115"/>
  <c r="EQ319" i="115"/>
  <c r="EP319" i="115"/>
  <c r="EO319" i="115"/>
  <c r="EN319" i="115"/>
  <c r="EM319" i="115"/>
  <c r="EL319" i="115"/>
  <c r="EK319" i="115"/>
  <c r="EJ319" i="115"/>
  <c r="EI319" i="115"/>
  <c r="EH319" i="115"/>
  <c r="EG319" i="115"/>
  <c r="EF319" i="115"/>
  <c r="EE319" i="115"/>
  <c r="ED319" i="115"/>
  <c r="EC319" i="115"/>
  <c r="EB319" i="115"/>
  <c r="EA319" i="115"/>
  <c r="DZ319" i="115"/>
  <c r="DY319" i="115"/>
  <c r="DX319" i="115"/>
  <c r="DW319" i="115"/>
  <c r="DV319" i="115"/>
  <c r="DU319" i="115"/>
  <c r="DT319" i="115"/>
  <c r="DS319" i="115"/>
  <c r="DR319" i="115"/>
  <c r="DQ319" i="115"/>
  <c r="DP319" i="115"/>
  <c r="DO319" i="115"/>
  <c r="DN319" i="115"/>
  <c r="DM319" i="115"/>
  <c r="DL319" i="115"/>
  <c r="DK319" i="115"/>
  <c r="DJ319" i="115"/>
  <c r="DI319" i="115"/>
  <c r="DH319" i="115"/>
  <c r="DG319" i="115"/>
  <c r="DF319" i="115"/>
  <c r="DE319" i="115"/>
  <c r="DD319" i="115"/>
  <c r="DC319" i="115"/>
  <c r="DB319" i="115"/>
  <c r="DA319" i="115"/>
  <c r="CZ319" i="115"/>
  <c r="CY319" i="115"/>
  <c r="CX319" i="115"/>
  <c r="CW319" i="115"/>
  <c r="CV319" i="115"/>
  <c r="CU319" i="115"/>
  <c r="CT319" i="115"/>
  <c r="CS319" i="115"/>
  <c r="CR319" i="115"/>
  <c r="CQ319" i="115"/>
  <c r="CP319" i="115"/>
  <c r="CO319" i="115"/>
  <c r="CN319" i="115"/>
  <c r="CM319" i="115"/>
  <c r="CL319" i="115"/>
  <c r="CK319" i="115"/>
  <c r="CJ319" i="115"/>
  <c r="CI319" i="115"/>
  <c r="CH319" i="115"/>
  <c r="CG319" i="115"/>
  <c r="CF319" i="115"/>
  <c r="CE319" i="115"/>
  <c r="CD319" i="115"/>
  <c r="CC319" i="115"/>
  <c r="CB319" i="115"/>
  <c r="CA319" i="115"/>
  <c r="BZ319" i="115"/>
  <c r="BY319" i="115"/>
  <c r="BX319" i="115"/>
  <c r="BW319" i="115"/>
  <c r="BV319" i="115"/>
  <c r="BU319" i="115"/>
  <c r="BT319" i="115"/>
  <c r="BS319" i="115"/>
  <c r="BR319" i="115"/>
  <c r="BQ319" i="115"/>
  <c r="BP319" i="115"/>
  <c r="BO319" i="115"/>
  <c r="BN319" i="115"/>
  <c r="BM319" i="115"/>
  <c r="BL319" i="115"/>
  <c r="BK319" i="115"/>
  <c r="BJ319" i="115"/>
  <c r="BI319" i="115"/>
  <c r="BH319" i="115"/>
  <c r="BG319" i="115"/>
  <c r="BF319" i="115"/>
  <c r="BE319" i="115"/>
  <c r="BD319" i="115"/>
  <c r="BC319" i="115"/>
  <c r="BB319" i="115"/>
  <c r="BA319" i="115"/>
  <c r="AZ319" i="115"/>
  <c r="AY319" i="115"/>
  <c r="AX319" i="115"/>
  <c r="AW319" i="115"/>
  <c r="AV319" i="115"/>
  <c r="AU319" i="115"/>
  <c r="AT319" i="115"/>
  <c r="AS319" i="115"/>
  <c r="AR319" i="115"/>
  <c r="AQ319" i="115"/>
  <c r="AP319" i="115"/>
  <c r="AO319" i="115"/>
  <c r="AN319" i="115"/>
  <c r="AM319" i="115"/>
  <c r="AL319" i="115"/>
  <c r="AK319" i="115"/>
  <c r="AJ319" i="115"/>
  <c r="AI319" i="115"/>
  <c r="AH319" i="115"/>
  <c r="AG319" i="115"/>
  <c r="AF319" i="115"/>
  <c r="AE319" i="115"/>
  <c r="AD319" i="115"/>
  <c r="AC319" i="115"/>
  <c r="AB319" i="115"/>
  <c r="AA319" i="115"/>
  <c r="Z319" i="115"/>
  <c r="Y319" i="115"/>
  <c r="X319" i="115"/>
  <c r="W319" i="115"/>
  <c r="V319" i="115"/>
  <c r="U319" i="115"/>
  <c r="T319" i="115"/>
  <c r="S319" i="115"/>
  <c r="R319" i="115"/>
  <c r="Q319" i="115"/>
  <c r="P319" i="115"/>
  <c r="O319" i="115"/>
  <c r="N319" i="115"/>
  <c r="M319" i="115"/>
  <c r="L319" i="115"/>
  <c r="K319" i="115"/>
  <c r="J319" i="115"/>
  <c r="I319" i="115"/>
  <c r="B316" i="115"/>
  <c r="B315" i="115"/>
  <c r="B314" i="115"/>
  <c r="B313" i="115"/>
  <c r="B312" i="115"/>
  <c r="B311" i="115"/>
  <c r="B310" i="115"/>
  <c r="B309" i="115"/>
  <c r="B308" i="115"/>
  <c r="B307" i="115"/>
  <c r="B306" i="115"/>
  <c r="B305" i="115"/>
  <c r="B304" i="115"/>
  <c r="B303" i="115"/>
  <c r="B302" i="115"/>
  <c r="B301" i="115"/>
  <c r="B300" i="115"/>
  <c r="B299" i="115"/>
  <c r="B298" i="115"/>
  <c r="B297" i="115"/>
  <c r="B296" i="115"/>
  <c r="B295" i="115"/>
  <c r="B294" i="115"/>
  <c r="B293" i="115"/>
  <c r="B292" i="115"/>
  <c r="B291" i="115"/>
  <c r="B290" i="115"/>
  <c r="B289" i="115"/>
  <c r="B288" i="115"/>
  <c r="B287" i="115"/>
  <c r="B286" i="115"/>
  <c r="B285" i="115"/>
  <c r="B284" i="115"/>
  <c r="B283" i="115"/>
  <c r="B282" i="115"/>
  <c r="B281" i="115"/>
  <c r="B280" i="115"/>
  <c r="B279" i="115"/>
  <c r="B278" i="115"/>
  <c r="B277" i="115"/>
  <c r="B276" i="115"/>
  <c r="B275" i="115"/>
  <c r="B274" i="115"/>
  <c r="B273" i="115"/>
  <c r="B272" i="115"/>
  <c r="B271" i="115"/>
  <c r="B270" i="115"/>
  <c r="B269" i="115"/>
  <c r="B268" i="115"/>
  <c r="B267" i="115"/>
  <c r="B266" i="115"/>
  <c r="B265" i="115"/>
  <c r="B264" i="115"/>
  <c r="B263" i="115"/>
  <c r="B262" i="115"/>
  <c r="B261" i="115"/>
  <c r="B260" i="115"/>
  <c r="B259" i="115"/>
  <c r="B258" i="115"/>
  <c r="B257" i="115"/>
  <c r="B256" i="115"/>
  <c r="B255" i="115"/>
  <c r="B254" i="115"/>
  <c r="B253" i="115"/>
  <c r="B252" i="115"/>
  <c r="B251" i="115"/>
  <c r="B250" i="115"/>
  <c r="B249" i="115"/>
  <c r="B248" i="115"/>
  <c r="B247" i="115"/>
  <c r="B246" i="115"/>
  <c r="B245" i="115"/>
  <c r="B244" i="115"/>
  <c r="B243" i="115"/>
  <c r="B242" i="115"/>
  <c r="B241" i="115"/>
  <c r="B240" i="115"/>
  <c r="B239" i="115"/>
  <c r="B238" i="115"/>
  <c r="B237" i="115"/>
  <c r="B236" i="115"/>
  <c r="B235" i="115"/>
  <c r="B234" i="115"/>
  <c r="B233" i="115"/>
  <c r="B232" i="115"/>
  <c r="B231" i="115"/>
  <c r="B230" i="115"/>
  <c r="B229" i="115"/>
  <c r="B228" i="115"/>
  <c r="B227" i="115"/>
  <c r="B226" i="115"/>
  <c r="B225" i="115"/>
  <c r="B224" i="115"/>
  <c r="B223" i="115"/>
  <c r="B222" i="115"/>
  <c r="B221" i="115"/>
  <c r="B220" i="115"/>
  <c r="B219" i="115"/>
  <c r="B218" i="115"/>
  <c r="B217" i="115"/>
  <c r="ER216" i="115"/>
  <c r="EQ216" i="115"/>
  <c r="EP216" i="115"/>
  <c r="EO216" i="115"/>
  <c r="EN216" i="115"/>
  <c r="EM216" i="115"/>
  <c r="EL216" i="115"/>
  <c r="EK216" i="115"/>
  <c r="EJ216" i="115"/>
  <c r="EI216" i="115"/>
  <c r="EH216" i="115"/>
  <c r="EG216" i="115"/>
  <c r="EF216" i="115"/>
  <c r="EE216" i="115"/>
  <c r="ED216" i="115"/>
  <c r="EC216" i="115"/>
  <c r="EB216" i="115"/>
  <c r="EA216" i="115"/>
  <c r="DZ216" i="115"/>
  <c r="DY216" i="115"/>
  <c r="DX216" i="115"/>
  <c r="DW216" i="115"/>
  <c r="DV216" i="115"/>
  <c r="DU216" i="115"/>
  <c r="DT216" i="115"/>
  <c r="DS216" i="115"/>
  <c r="DR216" i="115"/>
  <c r="DQ216" i="115"/>
  <c r="DP216" i="115"/>
  <c r="DO216" i="115"/>
  <c r="DN216" i="115"/>
  <c r="DM216" i="115"/>
  <c r="DL216" i="115"/>
  <c r="DK216" i="115"/>
  <c r="DJ216" i="115"/>
  <c r="DI216" i="115"/>
  <c r="DH216" i="115"/>
  <c r="DG216" i="115"/>
  <c r="DF216" i="115"/>
  <c r="DE216" i="115"/>
  <c r="DD216" i="115"/>
  <c r="DC216" i="115"/>
  <c r="DB216" i="115"/>
  <c r="DA216" i="115"/>
  <c r="CZ216" i="115"/>
  <c r="CY216" i="115"/>
  <c r="CX216" i="115"/>
  <c r="CW216" i="115"/>
  <c r="CV216" i="115"/>
  <c r="CU216" i="115"/>
  <c r="CT216" i="115"/>
  <c r="CS216" i="115"/>
  <c r="CR216" i="115"/>
  <c r="CQ216" i="115"/>
  <c r="CP216" i="115"/>
  <c r="CO216" i="115"/>
  <c r="CN216" i="115"/>
  <c r="CM216" i="115"/>
  <c r="CL216" i="115"/>
  <c r="CK216" i="115"/>
  <c r="CJ216" i="115"/>
  <c r="CI216" i="115"/>
  <c r="CH216" i="115"/>
  <c r="CG216" i="115"/>
  <c r="CF216" i="115"/>
  <c r="CE216" i="115"/>
  <c r="CD216" i="115"/>
  <c r="CC216" i="115"/>
  <c r="CB216" i="115"/>
  <c r="CA216" i="115"/>
  <c r="BZ216" i="115"/>
  <c r="BY216" i="115"/>
  <c r="BX216" i="115"/>
  <c r="BW216" i="115"/>
  <c r="BV216" i="115"/>
  <c r="BU216" i="115"/>
  <c r="BT216" i="115"/>
  <c r="BS216" i="115"/>
  <c r="BR216" i="115"/>
  <c r="BQ216" i="115"/>
  <c r="BP216" i="115"/>
  <c r="BO216" i="115"/>
  <c r="BN216" i="115"/>
  <c r="BM216" i="115"/>
  <c r="BL216" i="115"/>
  <c r="BK216" i="115"/>
  <c r="BJ216" i="115"/>
  <c r="BI216" i="115"/>
  <c r="BH216" i="115"/>
  <c r="BG216" i="115"/>
  <c r="BF216" i="115"/>
  <c r="BE216" i="115"/>
  <c r="BD216" i="115"/>
  <c r="BC216" i="115"/>
  <c r="BB216" i="115"/>
  <c r="BA216" i="115"/>
  <c r="AZ216" i="115"/>
  <c r="AY216" i="115"/>
  <c r="AX216" i="115"/>
  <c r="AW216" i="115"/>
  <c r="AV216" i="115"/>
  <c r="AU216" i="115"/>
  <c r="AT216" i="115"/>
  <c r="AS216" i="115"/>
  <c r="AR216" i="115"/>
  <c r="AQ216" i="115"/>
  <c r="AP216" i="115"/>
  <c r="AO216" i="115"/>
  <c r="AN216" i="115"/>
  <c r="AM216" i="115"/>
  <c r="AL216" i="115"/>
  <c r="AK216" i="115"/>
  <c r="AJ216" i="115"/>
  <c r="AI216" i="115"/>
  <c r="AH216" i="115"/>
  <c r="AG216" i="115"/>
  <c r="AF216" i="115"/>
  <c r="AE216" i="115"/>
  <c r="AD216" i="115"/>
  <c r="AC216" i="115"/>
  <c r="AB216" i="115"/>
  <c r="AA216" i="115"/>
  <c r="Z216" i="115"/>
  <c r="Y216" i="115"/>
  <c r="X216" i="115"/>
  <c r="W216" i="115"/>
  <c r="V216" i="115"/>
  <c r="U216" i="115"/>
  <c r="T216" i="115"/>
  <c r="S216" i="115"/>
  <c r="R216" i="115"/>
  <c r="Q216" i="115"/>
  <c r="P216" i="115"/>
  <c r="O216" i="115"/>
  <c r="N216" i="115"/>
  <c r="M216" i="115"/>
  <c r="L216" i="115"/>
  <c r="K216" i="115"/>
  <c r="J216" i="115"/>
  <c r="I216" i="115"/>
  <c r="B213" i="115"/>
  <c r="B212" i="115"/>
  <c r="B211" i="115"/>
  <c r="B210" i="115"/>
  <c r="B209" i="115"/>
  <c r="B208" i="115"/>
  <c r="B207" i="115"/>
  <c r="B621" i="115" s="1"/>
  <c r="B206" i="115"/>
  <c r="B205" i="115"/>
  <c r="B204" i="115"/>
  <c r="B203" i="115"/>
  <c r="B617" i="115" s="1"/>
  <c r="B202" i="115"/>
  <c r="B201" i="115"/>
  <c r="B200" i="115"/>
  <c r="B614" i="115" s="1"/>
  <c r="B199" i="115"/>
  <c r="B198" i="115"/>
  <c r="B197" i="115"/>
  <c r="B196" i="115"/>
  <c r="B195" i="115"/>
  <c r="B194" i="115"/>
  <c r="B193" i="115"/>
  <c r="B192" i="115"/>
  <c r="B606" i="115" s="1"/>
  <c r="B191" i="115"/>
  <c r="B190" i="115"/>
  <c r="B604" i="115" s="1"/>
  <c r="B189" i="115"/>
  <c r="B188" i="115"/>
  <c r="B187" i="115"/>
  <c r="B186" i="115"/>
  <c r="B185" i="115"/>
  <c r="B184" i="115"/>
  <c r="B598" i="115" s="1"/>
  <c r="B183" i="115"/>
  <c r="B182" i="115"/>
  <c r="B181" i="115"/>
  <c r="B180" i="115"/>
  <c r="B179" i="115"/>
  <c r="B593" i="115" s="1"/>
  <c r="B178" i="115"/>
  <c r="B177" i="115"/>
  <c r="B176" i="115"/>
  <c r="B175" i="115"/>
  <c r="B589" i="115" s="1"/>
  <c r="B174" i="115"/>
  <c r="B588" i="115" s="1"/>
  <c r="B173" i="115"/>
  <c r="B172" i="115"/>
  <c r="B171" i="115"/>
  <c r="B585" i="115" s="1"/>
  <c r="B170" i="115"/>
  <c r="B169" i="115"/>
  <c r="B168" i="115"/>
  <c r="B582" i="115" s="1"/>
  <c r="B167" i="115"/>
  <c r="B581" i="115" s="1"/>
  <c r="B166" i="115"/>
  <c r="B165" i="115"/>
  <c r="B164" i="115"/>
  <c r="B163" i="115"/>
  <c r="B577" i="115" s="1"/>
  <c r="B162" i="115"/>
  <c r="B161" i="115"/>
  <c r="B160" i="115"/>
  <c r="B574" i="115" s="1"/>
  <c r="B159" i="115"/>
  <c r="B573" i="115" s="1"/>
  <c r="B158" i="115"/>
  <c r="B157" i="115"/>
  <c r="B156" i="115"/>
  <c r="B155" i="115"/>
  <c r="B154" i="115"/>
  <c r="B153" i="115"/>
  <c r="B152" i="115"/>
  <c r="B566" i="115" s="1"/>
  <c r="B151" i="115"/>
  <c r="B150" i="115"/>
  <c r="B564" i="115" s="1"/>
  <c r="B149" i="115"/>
  <c r="B148" i="115"/>
  <c r="B147" i="115"/>
  <c r="B561" i="115" s="1"/>
  <c r="B146" i="115"/>
  <c r="B145" i="115"/>
  <c r="B144" i="115"/>
  <c r="B558" i="115" s="1"/>
  <c r="B143" i="115"/>
  <c r="B142" i="115"/>
  <c r="B141" i="115"/>
  <c r="B140" i="115"/>
  <c r="B139" i="115"/>
  <c r="B553" i="115" s="1"/>
  <c r="B138" i="115"/>
  <c r="B137" i="115"/>
  <c r="B136" i="115"/>
  <c r="B550" i="115" s="1"/>
  <c r="B135" i="115"/>
  <c r="B549" i="115" s="1"/>
  <c r="B134" i="115"/>
  <c r="B133" i="115"/>
  <c r="B132" i="115"/>
  <c r="B131" i="115"/>
  <c r="B130" i="115"/>
  <c r="B129" i="115"/>
  <c r="B128" i="115"/>
  <c r="B127" i="115"/>
  <c r="B541" i="115" s="1"/>
  <c r="B126" i="115"/>
  <c r="B540" i="115" s="1"/>
  <c r="B125" i="115"/>
  <c r="B124" i="115"/>
  <c r="B123" i="115"/>
  <c r="B537" i="115" s="1"/>
  <c r="B122" i="115"/>
  <c r="B121" i="115"/>
  <c r="B120" i="115"/>
  <c r="B534" i="115" s="1"/>
  <c r="B119" i="115"/>
  <c r="B533" i="115" s="1"/>
  <c r="B118" i="115"/>
  <c r="B532" i="115" s="1"/>
  <c r="B117" i="115"/>
  <c r="B116" i="115"/>
  <c r="B115" i="115"/>
  <c r="B114" i="115"/>
  <c r="ER113" i="115"/>
  <c r="EQ113" i="115"/>
  <c r="EP113" i="115"/>
  <c r="EO113" i="115"/>
  <c r="EN113" i="115"/>
  <c r="EM113" i="115"/>
  <c r="EL113" i="115"/>
  <c r="EK113" i="115"/>
  <c r="EJ113" i="115"/>
  <c r="EI113" i="115"/>
  <c r="EH113" i="115"/>
  <c r="EG113" i="115"/>
  <c r="EF113" i="115"/>
  <c r="EE113" i="115"/>
  <c r="ED113" i="115"/>
  <c r="EC113" i="115"/>
  <c r="EB113" i="115"/>
  <c r="EA113" i="115"/>
  <c r="DZ113" i="115"/>
  <c r="DY113" i="115"/>
  <c r="DX113" i="115"/>
  <c r="DW113" i="115"/>
  <c r="DV113" i="115"/>
  <c r="DU113" i="115"/>
  <c r="DT113" i="115"/>
  <c r="DS113" i="115"/>
  <c r="DR113" i="115"/>
  <c r="DQ113" i="115"/>
  <c r="DP113" i="115"/>
  <c r="DO113" i="115"/>
  <c r="DN113" i="115"/>
  <c r="DM113" i="115"/>
  <c r="DL113" i="115"/>
  <c r="DK113" i="115"/>
  <c r="DJ113" i="115"/>
  <c r="DI113" i="115"/>
  <c r="DH113" i="115"/>
  <c r="DG113" i="115"/>
  <c r="DF113" i="115"/>
  <c r="DE113" i="115"/>
  <c r="DD113" i="115"/>
  <c r="DC113" i="115"/>
  <c r="DB113" i="115"/>
  <c r="DA113" i="115"/>
  <c r="CZ113" i="115"/>
  <c r="CY113" i="115"/>
  <c r="CX113" i="115"/>
  <c r="CW113" i="115"/>
  <c r="CV113" i="115"/>
  <c r="CU113" i="115"/>
  <c r="CT113" i="115"/>
  <c r="CS113" i="115"/>
  <c r="CR113" i="115"/>
  <c r="CQ113" i="115"/>
  <c r="CP113" i="115"/>
  <c r="CO113" i="115"/>
  <c r="CN113" i="115"/>
  <c r="CM113" i="115"/>
  <c r="CL113" i="115"/>
  <c r="CK113" i="115"/>
  <c r="CJ113" i="115"/>
  <c r="CI113" i="115"/>
  <c r="CH113" i="115"/>
  <c r="CG113" i="115"/>
  <c r="CF113" i="115"/>
  <c r="CE113" i="115"/>
  <c r="CD113" i="115"/>
  <c r="CC113" i="115"/>
  <c r="CB113" i="115"/>
  <c r="CA113" i="115"/>
  <c r="BZ113" i="115"/>
  <c r="BY113" i="115"/>
  <c r="BX113" i="115"/>
  <c r="BW113" i="115"/>
  <c r="BV113" i="115"/>
  <c r="BU113" i="115"/>
  <c r="BT113" i="115"/>
  <c r="BS113" i="115"/>
  <c r="BR113" i="115"/>
  <c r="BQ113" i="115"/>
  <c r="BP113"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ER10" i="115"/>
  <c r="EQ10" i="115"/>
  <c r="EP10" i="115"/>
  <c r="EO10" i="115"/>
  <c r="EN10" i="115"/>
  <c r="EM10" i="115"/>
  <c r="EL10" i="115"/>
  <c r="EK10" i="115"/>
  <c r="EJ10" i="115"/>
  <c r="EI10" i="115"/>
  <c r="EH10" i="115"/>
  <c r="EG10" i="115"/>
  <c r="EF10" i="115"/>
  <c r="EE10" i="115"/>
  <c r="ED10" i="115"/>
  <c r="EC10" i="115"/>
  <c r="EB10" i="115"/>
  <c r="EA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DA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BA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D15" i="107"/>
  <c r="C123" i="56"/>
  <c r="C21" i="121" s="1"/>
  <c r="C116" i="56"/>
  <c r="C20" i="121" s="1"/>
  <c r="M20" i="112"/>
  <c r="P233" i="121" s="1"/>
  <c r="E1" i="112"/>
  <c r="E1" i="107"/>
  <c r="L61" i="112"/>
  <c r="K61" i="112"/>
  <c r="H61" i="112"/>
  <c r="G61" i="112"/>
  <c r="G62" i="112" s="1"/>
  <c r="J256" i="121" s="1"/>
  <c r="B372" i="107"/>
  <c r="B371" i="107"/>
  <c r="B370" i="107"/>
  <c r="B369" i="107"/>
  <c r="B368" i="107"/>
  <c r="B367" i="107"/>
  <c r="B366" i="107"/>
  <c r="B365" i="107"/>
  <c r="B364" i="107"/>
  <c r="B363" i="107"/>
  <c r="B362" i="107"/>
  <c r="B361" i="107"/>
  <c r="B360" i="107"/>
  <c r="B359" i="107"/>
  <c r="B358" i="107"/>
  <c r="B357" i="107"/>
  <c r="B356" i="107"/>
  <c r="B355" i="107"/>
  <c r="B354" i="107"/>
  <c r="B353" i="107"/>
  <c r="B352" i="107"/>
  <c r="B351" i="107"/>
  <c r="B350" i="107"/>
  <c r="B349" i="107"/>
  <c r="B348" i="107"/>
  <c r="B347" i="107"/>
  <c r="B346" i="107"/>
  <c r="B345" i="107"/>
  <c r="B344" i="107"/>
  <c r="B343" i="107"/>
  <c r="B342" i="107"/>
  <c r="B341" i="107"/>
  <c r="B340" i="107"/>
  <c r="B339" i="107"/>
  <c r="B338" i="107"/>
  <c r="B337" i="107"/>
  <c r="B336" i="107"/>
  <c r="B335" i="107"/>
  <c r="B334" i="107"/>
  <c r="B333" i="107"/>
  <c r="B332" i="107"/>
  <c r="B331" i="107"/>
  <c r="B330" i="107"/>
  <c r="B329" i="107"/>
  <c r="B328" i="107"/>
  <c r="B327" i="107"/>
  <c r="B326" i="107"/>
  <c r="B325" i="107"/>
  <c r="B324" i="107"/>
  <c r="B323" i="107"/>
  <c r="B322" i="107"/>
  <c r="B321" i="107"/>
  <c r="B320" i="107"/>
  <c r="B319" i="107"/>
  <c r="B318" i="107"/>
  <c r="B317" i="107"/>
  <c r="B316" i="107"/>
  <c r="B315" i="107"/>
  <c r="B314" i="107"/>
  <c r="B313" i="107"/>
  <c r="B312" i="107"/>
  <c r="B311" i="107"/>
  <c r="B310" i="107"/>
  <c r="B309" i="107"/>
  <c r="B308" i="107"/>
  <c r="B307" i="107"/>
  <c r="B306" i="107"/>
  <c r="B305" i="107"/>
  <c r="B304" i="107"/>
  <c r="B303" i="107"/>
  <c r="B302" i="107"/>
  <c r="B301" i="107"/>
  <c r="B300" i="107"/>
  <c r="B299" i="107"/>
  <c r="B298" i="107"/>
  <c r="B297" i="107"/>
  <c r="B296" i="107"/>
  <c r="B295" i="107"/>
  <c r="B294" i="107"/>
  <c r="B293" i="107"/>
  <c r="B292" i="107"/>
  <c r="B291" i="107"/>
  <c r="B290" i="107"/>
  <c r="B289" i="107"/>
  <c r="B288" i="107"/>
  <c r="B287" i="107"/>
  <c r="B286" i="107"/>
  <c r="B285" i="107"/>
  <c r="B284" i="107"/>
  <c r="B283" i="107"/>
  <c r="B282" i="107"/>
  <c r="B281" i="107"/>
  <c r="B280" i="107"/>
  <c r="B279" i="107"/>
  <c r="B278" i="107"/>
  <c r="B277" i="107"/>
  <c r="B276" i="107"/>
  <c r="B275" i="107"/>
  <c r="B274" i="107"/>
  <c r="B273" i="107"/>
  <c r="D1" i="103"/>
  <c r="B16" i="92"/>
  <c r="C24" i="121" s="1"/>
  <c r="D5" i="92"/>
  <c r="D9" i="92" s="1"/>
  <c r="E31" i="56"/>
  <c r="E33" i="56" s="1"/>
  <c r="E53" i="56" s="1"/>
  <c r="E55" i="56" s="1"/>
  <c r="E59" i="56" s="1"/>
  <c r="D23" i="56"/>
  <c r="D90" i="56" s="1"/>
  <c r="D92" i="56" s="1"/>
  <c r="D68" i="1" s="1"/>
  <c r="E72" i="56"/>
  <c r="E63" i="1" s="1"/>
  <c r="F50" i="56"/>
  <c r="F49" i="56"/>
  <c r="F48" i="56"/>
  <c r="F47" i="56"/>
  <c r="C1" i="30"/>
  <c r="D1" i="56"/>
  <c r="F3" i="56"/>
  <c r="E3" i="56"/>
  <c r="D3" i="56"/>
  <c r="F81" i="56"/>
  <c r="F62" i="56"/>
  <c r="D72" i="56"/>
  <c r="D63" i="1" s="1"/>
  <c r="B284" i="30"/>
  <c r="C59" i="121" s="1"/>
  <c r="M43" i="30"/>
  <c r="L44" i="30"/>
  <c r="K44" i="30"/>
  <c r="L43" i="30"/>
  <c r="K43" i="30"/>
  <c r="K42" i="30"/>
  <c r="N42" i="30" s="1"/>
  <c r="L41" i="30"/>
  <c r="K41" i="30"/>
  <c r="L40" i="30"/>
  <c r="K40" i="30"/>
  <c r="N40" i="30" s="1"/>
  <c r="L33" i="30"/>
  <c r="K33" i="30"/>
  <c r="L27" i="30"/>
  <c r="K27" i="30"/>
  <c r="N27" i="30" s="1"/>
  <c r="L23" i="30"/>
  <c r="K23" i="30"/>
  <c r="L17" i="30"/>
  <c r="K17" i="30"/>
  <c r="L13" i="30"/>
  <c r="K13" i="30"/>
  <c r="L36" i="30"/>
  <c r="K36" i="30"/>
  <c r="L32" i="30"/>
  <c r="K32" i="30"/>
  <c r="L31" i="30"/>
  <c r="L30" i="30" s="1"/>
  <c r="K31" i="30"/>
  <c r="L26" i="30"/>
  <c r="K26" i="30"/>
  <c r="M26" i="30"/>
  <c r="L22" i="30"/>
  <c r="N22" i="30" s="1"/>
  <c r="K22" i="30"/>
  <c r="L21" i="30"/>
  <c r="K21" i="30"/>
  <c r="K20" i="30" s="1"/>
  <c r="L16" i="30"/>
  <c r="K16" i="30"/>
  <c r="L12" i="30"/>
  <c r="K12" i="30"/>
  <c r="L11" i="30"/>
  <c r="N11" i="30" s="1"/>
  <c r="K11" i="30"/>
  <c r="M11" i="30"/>
  <c r="N37" i="30"/>
  <c r="D31" i="56"/>
  <c r="D33" i="56" s="1"/>
  <c r="D53" i="56" s="1"/>
  <c r="D55" i="56" s="1"/>
  <c r="D59" i="56" s="1"/>
  <c r="D7" i="1"/>
  <c r="S301" i="30"/>
  <c r="S300" i="30"/>
  <c r="S298" i="30"/>
  <c r="S296" i="30"/>
  <c r="S294" i="30"/>
  <c r="B8" i="30"/>
  <c r="C56" i="121" s="1"/>
  <c r="M9" i="30"/>
  <c r="N9" i="30" s="1"/>
  <c r="S292" i="30"/>
  <c r="M44" i="30"/>
  <c r="M41" i="30"/>
  <c r="M40" i="30"/>
  <c r="M33" i="30"/>
  <c r="M27" i="30"/>
  <c r="M23" i="30"/>
  <c r="M17" i="30"/>
  <c r="M13" i="30"/>
  <c r="M36" i="30"/>
  <c r="M35" i="30"/>
  <c r="N35" i="30" s="1"/>
  <c r="M32" i="30"/>
  <c r="M31" i="30"/>
  <c r="M22" i="30"/>
  <c r="M21" i="30"/>
  <c r="M16" i="30"/>
  <c r="M12" i="30"/>
  <c r="N7" i="30"/>
  <c r="B56" i="1"/>
  <c r="C1" i="1"/>
  <c r="C77" i="124"/>
  <c r="G77" i="124"/>
  <c r="I77" i="124"/>
  <c r="F41" i="124"/>
  <c r="H33" i="125"/>
  <c r="D77" i="124"/>
  <c r="D80" i="124" s="1"/>
  <c r="E228" i="121" s="1"/>
  <c r="J77" i="124"/>
  <c r="F77" i="124"/>
  <c r="F80" i="124" s="1"/>
  <c r="G228" i="121" s="1"/>
  <c r="S278" i="30"/>
  <c r="Q52" i="125"/>
  <c r="L52" i="125"/>
  <c r="U52" i="125" s="1"/>
  <c r="J62" i="125"/>
  <c r="E6" i="123"/>
  <c r="E7" i="123"/>
  <c r="E60" i="1"/>
  <c r="F81" i="125"/>
  <c r="F82" i="125"/>
  <c r="F72" i="125"/>
  <c r="J37" i="112"/>
  <c r="M246" i="121" s="1"/>
  <c r="F37" i="112"/>
  <c r="I246" i="121" s="1"/>
  <c r="J63" i="125"/>
  <c r="P63" i="125" s="1"/>
  <c r="Z63" i="125" s="1"/>
  <c r="F28" i="125"/>
  <c r="L28" i="125" s="1"/>
  <c r="I52" i="125"/>
  <c r="O52" i="125" s="1"/>
  <c r="Y52" i="125" s="1"/>
  <c r="F44" i="112"/>
  <c r="F52" i="112" s="1"/>
  <c r="I255" i="121" s="1"/>
  <c r="N24" i="112"/>
  <c r="Q237" i="121" s="1"/>
  <c r="E50" i="112"/>
  <c r="H254" i="121" s="1"/>
  <c r="N29" i="112"/>
  <c r="Q242" i="121" s="1"/>
  <c r="B619" i="115"/>
  <c r="B531" i="115"/>
  <c r="B567" i="115"/>
  <c r="B547" i="115"/>
  <c r="B595" i="115"/>
  <c r="B623" i="115"/>
  <c r="B571" i="115"/>
  <c r="B555" i="115"/>
  <c r="B586" i="115"/>
  <c r="B587" i="115"/>
  <c r="B607" i="115"/>
  <c r="B529" i="115"/>
  <c r="B548" i="115"/>
  <c r="B608" i="115"/>
  <c r="B530" i="115"/>
  <c r="B609" i="115"/>
  <c r="B569" i="115"/>
  <c r="B590" i="115"/>
  <c r="B611" i="115"/>
  <c r="B610" i="115"/>
  <c r="B551" i="115"/>
  <c r="B570" i="115"/>
  <c r="B591" i="115"/>
  <c r="B612" i="115"/>
  <c r="B568" i="115"/>
  <c r="B613" i="115"/>
  <c r="B552" i="115"/>
  <c r="B592" i="115"/>
  <c r="B572" i="115"/>
  <c r="B615" i="115"/>
  <c r="B535" i="115"/>
  <c r="B554" i="115"/>
  <c r="B594" i="115"/>
  <c r="B616" i="115"/>
  <c r="B536" i="115"/>
  <c r="B575" i="115"/>
  <c r="B618" i="115"/>
  <c r="B576" i="115"/>
  <c r="B596" i="115"/>
  <c r="B556" i="115"/>
  <c r="B538" i="115"/>
  <c r="B557" i="115"/>
  <c r="B597" i="115"/>
  <c r="B539" i="115"/>
  <c r="B578" i="115"/>
  <c r="B620" i="115"/>
  <c r="B559" i="115"/>
  <c r="B579" i="115"/>
  <c r="B599" i="115"/>
  <c r="B622" i="115"/>
  <c r="B580" i="115"/>
  <c r="B560" i="115"/>
  <c r="B600" i="115"/>
  <c r="B601" i="115"/>
  <c r="B542" i="115"/>
  <c r="B562" i="115"/>
  <c r="B602" i="115"/>
  <c r="B543" i="115"/>
  <c r="B563" i="115"/>
  <c r="B603" i="115"/>
  <c r="B624" i="115"/>
  <c r="B544" i="115"/>
  <c r="B625" i="115"/>
  <c r="B583" i="115"/>
  <c r="B545" i="115"/>
  <c r="B584" i="115"/>
  <c r="B626" i="115"/>
  <c r="B546" i="115"/>
  <c r="B565" i="115"/>
  <c r="B605" i="115"/>
  <c r="B627" i="115"/>
  <c r="Q20" i="112"/>
  <c r="T233" i="121" s="1"/>
  <c r="R20" i="112"/>
  <c r="U233" i="121" s="1"/>
  <c r="S20" i="112"/>
  <c r="V233" i="121" s="1"/>
  <c r="G82" i="125"/>
  <c r="D62" i="112"/>
  <c r="G256" i="121" s="1"/>
  <c r="L66" i="127"/>
  <c r="L69" i="127" s="1"/>
  <c r="M66" i="127"/>
  <c r="M69" i="127" s="1"/>
  <c r="BO65" i="124"/>
  <c r="O44" i="112"/>
  <c r="R248" i="121" s="1"/>
  <c r="R26" i="112"/>
  <c r="U239" i="121" s="1"/>
  <c r="S26" i="112"/>
  <c r="V239" i="121" s="1"/>
  <c r="Q26" i="112"/>
  <c r="T239" i="121" s="1"/>
  <c r="P26" i="112"/>
  <c r="S239" i="121" s="1"/>
  <c r="O22" i="112"/>
  <c r="R235" i="121" s="1"/>
  <c r="N22" i="112"/>
  <c r="Q235" i="121" s="1"/>
  <c r="R21" i="112"/>
  <c r="U234" i="121" s="1"/>
  <c r="N66" i="127"/>
  <c r="N69" i="127" s="1"/>
  <c r="G126" i="107"/>
  <c r="E19" i="112"/>
  <c r="M19" i="112" s="1"/>
  <c r="P232" i="121" s="1"/>
  <c r="M30" i="112"/>
  <c r="P243" i="121" s="1"/>
  <c r="M22" i="112"/>
  <c r="P235" i="121" s="1"/>
  <c r="O30" i="112"/>
  <c r="R243" i="121" s="1"/>
  <c r="N20" i="112"/>
  <c r="Q233" i="121" s="1"/>
  <c r="O20" i="112"/>
  <c r="R233" i="121" s="1"/>
  <c r="K44" i="112"/>
  <c r="I7" i="112" s="1"/>
  <c r="K19" i="112"/>
  <c r="K37" i="112" s="1"/>
  <c r="N246" i="121" s="1"/>
  <c r="I19" i="112"/>
  <c r="N19" i="112" s="1"/>
  <c r="Q232" i="121" s="1"/>
  <c r="BW65" i="124"/>
  <c r="P20" i="112"/>
  <c r="S233" i="121" s="1"/>
  <c r="Q22" i="112"/>
  <c r="T235" i="121" s="1"/>
  <c r="M26" i="112"/>
  <c r="P239" i="121" s="1"/>
  <c r="E25" i="112"/>
  <c r="M25" i="112" s="1"/>
  <c r="P238" i="121" s="1"/>
  <c r="K270" i="121"/>
  <c r="E99" i="122"/>
  <c r="AY60" i="124"/>
  <c r="CS60" i="124" s="1"/>
  <c r="F209" i="121" s="1"/>
  <c r="M42" i="127"/>
  <c r="G42" i="127"/>
  <c r="H42" i="127"/>
  <c r="F42" i="127"/>
  <c r="J42" i="127"/>
  <c r="I42" i="127"/>
  <c r="L75" i="127"/>
  <c r="T39" i="123"/>
  <c r="AF39" i="123"/>
  <c r="AB121" i="123"/>
  <c r="AB88" i="123"/>
  <c r="AB65" i="123"/>
  <c r="AB56" i="123"/>
  <c r="AB43" i="123"/>
  <c r="AB32" i="123"/>
  <c r="AC32" i="123" s="1"/>
  <c r="D72" i="121" s="1"/>
  <c r="J222" i="121"/>
  <c r="J215" i="121"/>
  <c r="F219" i="121"/>
  <c r="K215" i="121"/>
  <c r="U218" i="121"/>
  <c r="D216" i="121"/>
  <c r="L36" i="124"/>
  <c r="L25" i="124"/>
  <c r="R222" i="121"/>
  <c r="F215" i="121"/>
  <c r="BJ17" i="124"/>
  <c r="K219" i="121"/>
  <c r="O219" i="121"/>
  <c r="G219" i="121"/>
  <c r="AY34" i="124"/>
  <c r="CS34" i="124" s="1"/>
  <c r="F186" i="121" s="1"/>
  <c r="L218" i="121"/>
  <c r="S217" i="121"/>
  <c r="F218" i="121"/>
  <c r="M219" i="121"/>
  <c r="S222" i="121"/>
  <c r="H217" i="121"/>
  <c r="V215" i="121"/>
  <c r="I223" i="121"/>
  <c r="E217" i="121"/>
  <c r="AX58" i="124"/>
  <c r="T138" i="124" s="1"/>
  <c r="E215" i="121"/>
  <c r="I219" i="121"/>
  <c r="J219" i="121"/>
  <c r="AP58" i="124"/>
  <c r="W58" i="124"/>
  <c r="D58" i="124"/>
  <c r="D138" i="124" s="1"/>
  <c r="AW58" i="124"/>
  <c r="S138" i="124" s="1"/>
  <c r="J223" i="121"/>
  <c r="H216" i="121"/>
  <c r="I216" i="121"/>
  <c r="Q217" i="121"/>
  <c r="AU55" i="124"/>
  <c r="J216" i="121"/>
  <c r="G215" i="121"/>
  <c r="AV17" i="124"/>
  <c r="I222" i="121"/>
  <c r="I217" i="121"/>
  <c r="AE17" i="124"/>
  <c r="M218" i="121"/>
  <c r="L24" i="124"/>
  <c r="G217" i="121"/>
  <c r="L217" i="121"/>
  <c r="G223" i="121"/>
  <c r="Q222" i="121"/>
  <c r="H222" i="121"/>
  <c r="AU25" i="124"/>
  <c r="CR25" i="124" s="1"/>
  <c r="Q218" i="121"/>
  <c r="U217" i="121"/>
  <c r="E44" i="124"/>
  <c r="Q215" i="121"/>
  <c r="T215" i="121"/>
  <c r="Q216" i="121"/>
  <c r="H34" i="124"/>
  <c r="V222" i="121"/>
  <c r="P219" i="121"/>
  <c r="Q219" i="121"/>
  <c r="T217" i="121"/>
  <c r="R223" i="121"/>
  <c r="R217" i="121"/>
  <c r="D223" i="121"/>
  <c r="J41" i="124"/>
  <c r="I130" i="124" s="1"/>
  <c r="M41" i="124"/>
  <c r="L130" i="124" s="1"/>
  <c r="H215" i="121"/>
  <c r="F217" i="121"/>
  <c r="R215" i="121"/>
  <c r="O222" i="121"/>
  <c r="F44" i="124"/>
  <c r="AZ58" i="124"/>
  <c r="V138" i="124" s="1"/>
  <c r="AQ58" i="124"/>
  <c r="L34" i="124"/>
  <c r="J17" i="124"/>
  <c r="C44" i="124"/>
  <c r="C134" i="124" s="1"/>
  <c r="D215" i="121"/>
  <c r="M223" i="121"/>
  <c r="AY31" i="124"/>
  <c r="CS31" i="124" s="1"/>
  <c r="F183" i="121" s="1"/>
  <c r="P215" i="121"/>
  <c r="P216" i="121"/>
  <c r="P217" i="121"/>
  <c r="P218" i="121"/>
  <c r="E223" i="121"/>
  <c r="H49" i="124"/>
  <c r="G17" i="124"/>
  <c r="AU21" i="124"/>
  <c r="T218" i="121"/>
  <c r="S218" i="121"/>
  <c r="AY22" i="124"/>
  <c r="CS22" i="124" s="1"/>
  <c r="F174" i="121" s="1"/>
  <c r="L31" i="124"/>
  <c r="K222" i="121"/>
  <c r="L60" i="124"/>
  <c r="I58" i="124"/>
  <c r="H138" i="124" s="1"/>
  <c r="G222" i="121"/>
  <c r="N215" i="121"/>
  <c r="N217" i="121"/>
  <c r="N219" i="121"/>
  <c r="U222" i="121"/>
  <c r="K218" i="121"/>
  <c r="L22" i="124"/>
  <c r="G41" i="124"/>
  <c r="E130" i="124" s="1"/>
  <c r="T222" i="121"/>
  <c r="S223" i="121"/>
  <c r="P223" i="121"/>
  <c r="AU39" i="124"/>
  <c r="U215" i="121"/>
  <c r="T219" i="121"/>
  <c r="S215" i="121"/>
  <c r="S219" i="121"/>
  <c r="AY18" i="124"/>
  <c r="BJ20" i="124"/>
  <c r="AY33" i="124"/>
  <c r="K217" i="121"/>
  <c r="J217" i="121"/>
  <c r="L33" i="124"/>
  <c r="K223" i="121"/>
  <c r="L18" i="124"/>
  <c r="L27" i="124"/>
  <c r="L42" i="124"/>
  <c r="K41" i="124"/>
  <c r="J130" i="124" s="1"/>
  <c r="BF17" i="124"/>
  <c r="H31" i="124"/>
  <c r="E216" i="121"/>
  <c r="M217" i="121"/>
  <c r="G218" i="121"/>
  <c r="N216" i="121"/>
  <c r="F17" i="124"/>
  <c r="J218" i="121"/>
  <c r="L28" i="124"/>
  <c r="K44" i="124"/>
  <c r="J134" i="124" s="1"/>
  <c r="BF44" i="124"/>
  <c r="AZ17" i="124"/>
  <c r="H69" i="125" s="1"/>
  <c r="H15" i="125" s="1"/>
  <c r="L38" i="124"/>
  <c r="L49" i="124"/>
  <c r="I218" i="121"/>
  <c r="N218" i="121"/>
  <c r="H219" i="121"/>
  <c r="L215" i="121"/>
  <c r="F216" i="121"/>
  <c r="M216" i="121"/>
  <c r="D218" i="121"/>
  <c r="H218" i="121"/>
  <c r="E219" i="121"/>
  <c r="AY25" i="124"/>
  <c r="CS25" i="124" s="1"/>
  <c r="F177" i="121" s="1"/>
  <c r="O218" i="121"/>
  <c r="N223" i="121"/>
  <c r="L39" i="124"/>
  <c r="L48" i="124"/>
  <c r="BV17" i="124"/>
  <c r="AY21" i="124"/>
  <c r="AU34" i="124"/>
  <c r="CR34" i="124" s="1"/>
  <c r="D186" i="121" s="1"/>
  <c r="AT58" i="124"/>
  <c r="AU36" i="124"/>
  <c r="AU27" i="124"/>
  <c r="AQ20" i="124"/>
  <c r="AT17" i="124"/>
  <c r="I44" i="124"/>
  <c r="H134" i="124" s="1"/>
  <c r="L55" i="124"/>
  <c r="BJ44" i="124"/>
  <c r="AH65" i="124"/>
  <c r="AF65" i="124"/>
  <c r="W17" i="124"/>
  <c r="AB77" i="123"/>
  <c r="AC77" i="123" s="1"/>
  <c r="D115" i="121" s="1"/>
  <c r="F49" i="125"/>
  <c r="I49" i="125" s="1"/>
  <c r="E45" i="125"/>
  <c r="D49" i="125"/>
  <c r="C49" i="125"/>
  <c r="F39" i="123"/>
  <c r="R39" i="123"/>
  <c r="AD39" i="123"/>
  <c r="E17" i="124"/>
  <c r="F58" i="124"/>
  <c r="L19" i="124"/>
  <c r="AY19" i="124"/>
  <c r="BJ58" i="124"/>
  <c r="AC65" i="124"/>
  <c r="AB65" i="124"/>
  <c r="M44" i="124"/>
  <c r="L134" i="124" s="1"/>
  <c r="M17" i="124"/>
  <c r="BF41" i="124"/>
  <c r="BR17" i="124"/>
  <c r="BR20" i="124"/>
  <c r="H38" i="124"/>
  <c r="H30" i="124"/>
  <c r="H27" i="124"/>
  <c r="H19" i="124"/>
  <c r="W20" i="124"/>
  <c r="H36" i="124"/>
  <c r="AY24" i="124"/>
  <c r="C215" i="121"/>
  <c r="H43" i="124"/>
  <c r="S17" i="124"/>
  <c r="E58" i="124"/>
  <c r="AU18" i="124"/>
  <c r="E58" i="127"/>
  <c r="D112" i="125"/>
  <c r="AE20" i="124"/>
  <c r="AS58" i="124"/>
  <c r="M215" i="121"/>
  <c r="D217" i="121"/>
  <c r="E218" i="121"/>
  <c r="F20" i="124"/>
  <c r="H46" i="124"/>
  <c r="U216" i="121"/>
  <c r="T216" i="121"/>
  <c r="S216" i="121"/>
  <c r="AX17" i="124"/>
  <c r="L59" i="124"/>
  <c r="L58" i="124" s="1"/>
  <c r="AI58" i="124"/>
  <c r="L37" i="124"/>
  <c r="L46" i="124"/>
  <c r="V216" i="121"/>
  <c r="V217" i="121"/>
  <c r="V218" i="121"/>
  <c r="V219" i="121"/>
  <c r="E20" i="124"/>
  <c r="S58" i="124"/>
  <c r="O223" i="121"/>
  <c r="AE58" i="124"/>
  <c r="Z65" i="124"/>
  <c r="G20" i="124"/>
  <c r="E155" i="124" s="1"/>
  <c r="K216" i="121"/>
  <c r="AG65" i="124"/>
  <c r="AD65" i="124"/>
  <c r="M58" i="124"/>
  <c r="L138" i="124" s="1"/>
  <c r="E41" i="124"/>
  <c r="AU30" i="124"/>
  <c r="AT20" i="124"/>
  <c r="AY30" i="124"/>
  <c r="D41" i="124"/>
  <c r="D130" i="124" s="1"/>
  <c r="H60" i="124"/>
  <c r="H45" i="124"/>
  <c r="I215" i="121"/>
  <c r="H22" i="124"/>
  <c r="L216" i="121"/>
  <c r="D219" i="121"/>
  <c r="AY37" i="124"/>
  <c r="G72" i="125" s="1"/>
  <c r="C218" i="121"/>
  <c r="C222" i="121"/>
  <c r="C219" i="121"/>
  <c r="C202" i="121"/>
  <c r="C217" i="121"/>
  <c r="C178" i="121"/>
  <c r="N26" i="112"/>
  <c r="Q239" i="121" s="1"/>
  <c r="O23" i="112"/>
  <c r="R236" i="121" s="1"/>
  <c r="O26" i="112"/>
  <c r="R239" i="121" s="1"/>
  <c r="H62" i="112"/>
  <c r="K256" i="121" s="1"/>
  <c r="E62" i="112"/>
  <c r="H256" i="121" s="1"/>
  <c r="C58" i="1"/>
  <c r="D104" i="56"/>
  <c r="H33" i="123"/>
  <c r="C27" i="123"/>
  <c r="D52" i="123"/>
  <c r="D51" i="123" s="1"/>
  <c r="J68" i="123"/>
  <c r="J67" i="123" s="1"/>
  <c r="I46" i="123"/>
  <c r="AA68" i="123"/>
  <c r="AA67" i="123" s="1"/>
  <c r="AD52" i="123"/>
  <c r="AD33" i="123"/>
  <c r="AG27" i="123"/>
  <c r="AB127" i="123"/>
  <c r="AB142" i="123"/>
  <c r="AB111" i="123"/>
  <c r="AB102" i="123"/>
  <c r="AC102" i="123" s="1"/>
  <c r="D136" i="121" s="1"/>
  <c r="AB89" i="123"/>
  <c r="AC89" i="123" s="1"/>
  <c r="D127" i="121" s="1"/>
  <c r="AB34" i="123"/>
  <c r="AC34" i="123" s="1"/>
  <c r="D74" i="121" s="1"/>
  <c r="W52" i="123"/>
  <c r="AG33" i="123"/>
  <c r="R52" i="123"/>
  <c r="R51" i="123" s="1"/>
  <c r="J39" i="123"/>
  <c r="AG39" i="123"/>
  <c r="N33" i="123"/>
  <c r="V33" i="123"/>
  <c r="G27" i="123"/>
  <c r="R68" i="123"/>
  <c r="R67" i="123" s="1"/>
  <c r="R66" i="123" s="1"/>
  <c r="H52" i="123"/>
  <c r="H51" i="123" s="1"/>
  <c r="X33" i="123"/>
  <c r="X27" i="123"/>
  <c r="AH33" i="123"/>
  <c r="E79" i="123"/>
  <c r="E240" i="123" s="1"/>
  <c r="M52" i="123"/>
  <c r="G52" i="123"/>
  <c r="L68" i="123"/>
  <c r="J27" i="123"/>
  <c r="X68" i="123"/>
  <c r="Y68" i="123"/>
  <c r="Y67" i="123" s="1"/>
  <c r="AH79" i="123"/>
  <c r="C109" i="123"/>
  <c r="T68" i="123"/>
  <c r="T67" i="123" s="1"/>
  <c r="H27" i="123"/>
  <c r="H26" i="123" s="1"/>
  <c r="N27" i="123"/>
  <c r="Q68" i="123"/>
  <c r="Q67" i="123" s="1"/>
  <c r="Q66" i="123" s="1"/>
  <c r="F79" i="123"/>
  <c r="N39" i="123"/>
  <c r="AH75" i="123"/>
  <c r="T27" i="123"/>
  <c r="U68" i="123"/>
  <c r="F68" i="123"/>
  <c r="F67" i="123" s="1"/>
  <c r="M92" i="123"/>
  <c r="D53" i="125" s="1"/>
  <c r="W87" i="123"/>
  <c r="AB29" i="123"/>
  <c r="AB117" i="123"/>
  <c r="AB120" i="123"/>
  <c r="K39" i="123"/>
  <c r="I135" i="123"/>
  <c r="C60" i="125" s="1"/>
  <c r="AB119" i="123"/>
  <c r="AB85" i="123"/>
  <c r="AC85" i="123" s="1"/>
  <c r="D123" i="121" s="1"/>
  <c r="AB63" i="123"/>
  <c r="AB54" i="123"/>
  <c r="AB41" i="123"/>
  <c r="AC41" i="123" s="1"/>
  <c r="D81" i="121" s="1"/>
  <c r="Q39" i="123"/>
  <c r="AB137" i="123"/>
  <c r="AC137" i="123" s="1"/>
  <c r="D160" i="121" s="1"/>
  <c r="AB106" i="123"/>
  <c r="AC106" i="123" s="1"/>
  <c r="D140" i="121" s="1"/>
  <c r="AB84" i="123"/>
  <c r="U79" i="123"/>
  <c r="AF79" i="123"/>
  <c r="AB48" i="123"/>
  <c r="AC48" i="123" s="1"/>
  <c r="D87" i="121" s="1"/>
  <c r="S39" i="123"/>
  <c r="AB73" i="123"/>
  <c r="AC73" i="123" s="1"/>
  <c r="D111" i="121" s="1"/>
  <c r="AB37" i="123"/>
  <c r="AB61" i="123"/>
  <c r="AC61" i="123" s="1"/>
  <c r="D99" i="121" s="1"/>
  <c r="AA92" i="123"/>
  <c r="G53" i="125" s="1"/>
  <c r="J53" i="125" s="1"/>
  <c r="P53" i="125" s="1"/>
  <c r="Z53" i="125" s="1"/>
  <c r="AA135" i="123"/>
  <c r="G60" i="125" s="1"/>
  <c r="J60" i="125" s="1"/>
  <c r="I81" i="123"/>
  <c r="I79" i="123" s="1"/>
  <c r="C50" i="125" s="1"/>
  <c r="AB62" i="123"/>
  <c r="AB53" i="123"/>
  <c r="AF52" i="123"/>
  <c r="AF51" i="123" s="1"/>
  <c r="Y52" i="123"/>
  <c r="T52" i="123"/>
  <c r="T51" i="123" s="1"/>
  <c r="V68" i="123"/>
  <c r="AD68" i="123"/>
  <c r="AD67" i="123" s="1"/>
  <c r="AD66" i="123" s="1"/>
  <c r="AB64" i="123"/>
  <c r="AB116" i="123"/>
  <c r="Z52" i="123"/>
  <c r="Z51" i="123" s="1"/>
  <c r="AB98" i="123"/>
  <c r="AC98" i="123" s="1"/>
  <c r="D132" i="121" s="1"/>
  <c r="AH27" i="123"/>
  <c r="AG79" i="123"/>
  <c r="F75" i="123"/>
  <c r="AE33" i="123"/>
  <c r="C75" i="123"/>
  <c r="L79" i="123"/>
  <c r="K240" i="123" s="1"/>
  <c r="H79" i="123"/>
  <c r="F240" i="123" s="1"/>
  <c r="AB112" i="123"/>
  <c r="AB28" i="123"/>
  <c r="AC28" i="123" s="1"/>
  <c r="D68" i="121" s="1"/>
  <c r="W135" i="123"/>
  <c r="F60" i="125" s="1"/>
  <c r="AB38" i="123"/>
  <c r="AC38" i="123" s="1"/>
  <c r="D78" i="121" s="1"/>
  <c r="V52" i="123"/>
  <c r="V51" i="123" s="1"/>
  <c r="K52" i="123"/>
  <c r="K51" i="123" s="1"/>
  <c r="F52" i="123"/>
  <c r="F51" i="123" s="1"/>
  <c r="U27" i="123"/>
  <c r="Q27" i="123"/>
  <c r="L75" i="123"/>
  <c r="R33" i="123"/>
  <c r="D27" i="123"/>
  <c r="S68" i="123"/>
  <c r="S67" i="123" s="1"/>
  <c r="S66" i="123" s="1"/>
  <c r="G39" i="123"/>
  <c r="AE39" i="123"/>
  <c r="S79" i="123"/>
  <c r="N240" i="123" s="1"/>
  <c r="N79" i="123"/>
  <c r="E50" i="125" s="1"/>
  <c r="AB49" i="123"/>
  <c r="AC49" i="123" s="1"/>
  <c r="D88" i="121" s="1"/>
  <c r="E118" i="123"/>
  <c r="AB71" i="123"/>
  <c r="AC71" i="123" s="1"/>
  <c r="D109" i="121" s="1"/>
  <c r="W122" i="123"/>
  <c r="T296" i="123" s="1"/>
  <c r="Z118" i="123"/>
  <c r="AB136" i="123"/>
  <c r="AC136" i="123" s="1"/>
  <c r="D159" i="121" s="1"/>
  <c r="AB72" i="123"/>
  <c r="AC72" i="123" s="1"/>
  <c r="D110" i="121" s="1"/>
  <c r="AB55" i="123"/>
  <c r="AC55" i="123" s="1"/>
  <c r="D93" i="121" s="1"/>
  <c r="C39" i="123"/>
  <c r="V109" i="123"/>
  <c r="F109" i="123"/>
  <c r="AB50" i="123"/>
  <c r="W81" i="123"/>
  <c r="W19" i="123"/>
  <c r="F45" i="125" s="1"/>
  <c r="I45" i="125" s="1"/>
  <c r="R109" i="123"/>
  <c r="AB126" i="123"/>
  <c r="AC126" i="123" s="1"/>
  <c r="D149" i="121" s="1"/>
  <c r="W46" i="123"/>
  <c r="AB57" i="123"/>
  <c r="AC57" i="123" s="1"/>
  <c r="D95" i="121" s="1"/>
  <c r="AB69" i="123"/>
  <c r="AC69" i="123" s="1"/>
  <c r="D107" i="121" s="1"/>
  <c r="AB132" i="123"/>
  <c r="AC132" i="123" s="1"/>
  <c r="D155" i="121" s="1"/>
  <c r="J118" i="123"/>
  <c r="H118" i="123"/>
  <c r="I19" i="123"/>
  <c r="C45" i="125" s="1"/>
  <c r="AB107" i="123"/>
  <c r="AC107" i="123" s="1"/>
  <c r="D141" i="121" s="1"/>
  <c r="AB47" i="123"/>
  <c r="AB59" i="123"/>
  <c r="AC59" i="123" s="1"/>
  <c r="D97" i="121" s="1"/>
  <c r="AB90" i="123"/>
  <c r="AC90" i="123" s="1"/>
  <c r="D128" i="121" s="1"/>
  <c r="AB103" i="123"/>
  <c r="F62" i="125"/>
  <c r="AB141" i="123"/>
  <c r="C101" i="123"/>
  <c r="Q109" i="123"/>
  <c r="AB80" i="123"/>
  <c r="AD114" i="123"/>
  <c r="K118" i="123"/>
  <c r="K113" i="123" s="1"/>
  <c r="AH109" i="123"/>
  <c r="I130" i="123"/>
  <c r="C59" i="125" s="1"/>
  <c r="E101" i="123"/>
  <c r="S114" i="123"/>
  <c r="T118" i="123"/>
  <c r="AB123" i="123"/>
  <c r="AC123" i="123" s="1"/>
  <c r="D146" i="121" s="1"/>
  <c r="F61" i="125"/>
  <c r="L61" i="125" s="1"/>
  <c r="U61" i="125" s="1"/>
  <c r="W140" i="123"/>
  <c r="Q163" i="121" s="1"/>
  <c r="AB23" i="123"/>
  <c r="AB138" i="123"/>
  <c r="AG118" i="123"/>
  <c r="AE118" i="123"/>
  <c r="AE113" i="123" s="1"/>
  <c r="V118" i="123"/>
  <c r="AA95" i="123"/>
  <c r="G54" i="125" s="1"/>
  <c r="U114" i="123"/>
  <c r="M114" i="123"/>
  <c r="X109" i="123"/>
  <c r="C118" i="123"/>
  <c r="C113" i="123" s="1"/>
  <c r="C99" i="123" s="1"/>
  <c r="R118" i="123"/>
  <c r="G118" i="123"/>
  <c r="S109" i="123"/>
  <c r="F118" i="123"/>
  <c r="AD118" i="123"/>
  <c r="G109" i="123"/>
  <c r="AG109" i="123"/>
  <c r="Z109" i="123"/>
  <c r="F114" i="123"/>
  <c r="L101" i="123"/>
  <c r="E114" i="123"/>
  <c r="E113" i="123" s="1"/>
  <c r="E210" i="123" s="1"/>
  <c r="M118" i="123"/>
  <c r="N118" i="123"/>
  <c r="T109" i="123"/>
  <c r="T100" i="123" s="1"/>
  <c r="AA118" i="123"/>
  <c r="D118" i="123"/>
  <c r="H109" i="123"/>
  <c r="N109" i="123"/>
  <c r="D114" i="123"/>
  <c r="M101" i="123"/>
  <c r="X114" i="123"/>
  <c r="AG101" i="123"/>
  <c r="AG100" i="123" s="1"/>
  <c r="AH118" i="123"/>
  <c r="L109" i="123"/>
  <c r="U118" i="123"/>
  <c r="AE109" i="123"/>
  <c r="X118" i="123"/>
  <c r="Q118" i="123"/>
  <c r="AF109" i="123"/>
  <c r="U109" i="123"/>
  <c r="I109" i="123"/>
  <c r="D109" i="123"/>
  <c r="T114" i="123"/>
  <c r="Y118" i="123"/>
  <c r="L118" i="123"/>
  <c r="K109" i="123"/>
  <c r="AF118" i="123"/>
  <c r="J109" i="123"/>
  <c r="Y109" i="123"/>
  <c r="J114" i="123"/>
  <c r="J113" i="123" s="1"/>
  <c r="I210" i="123" s="1"/>
  <c r="E109" i="123"/>
  <c r="AD109" i="123"/>
  <c r="AA109" i="123"/>
  <c r="AA58" i="123"/>
  <c r="M19" i="123"/>
  <c r="D45" i="125" s="1"/>
  <c r="M58" i="123"/>
  <c r="AA87" i="123"/>
  <c r="G51" i="125" s="1"/>
  <c r="J51" i="125" s="1"/>
  <c r="P51" i="125" s="1"/>
  <c r="Z51" i="125" s="1"/>
  <c r="W95" i="123"/>
  <c r="F54" i="125" s="1"/>
  <c r="F26" i="125" s="1"/>
  <c r="I118" i="123"/>
  <c r="W109" i="123"/>
  <c r="AB96" i="123"/>
  <c r="AC96" i="123" s="1"/>
  <c r="D130" i="121" s="1"/>
  <c r="AB30" i="123"/>
  <c r="AC30" i="123" s="1"/>
  <c r="D70" i="121" s="1"/>
  <c r="V39" i="123"/>
  <c r="AH39" i="123"/>
  <c r="M81" i="123"/>
  <c r="M79" i="123" s="1"/>
  <c r="D50" i="125" s="1"/>
  <c r="AB128" i="123"/>
  <c r="AC128" i="123" s="1"/>
  <c r="D151" i="121" s="1"/>
  <c r="AA46" i="123"/>
  <c r="AB22" i="123"/>
  <c r="M122" i="123"/>
  <c r="G49" i="125"/>
  <c r="J49" i="125" s="1"/>
  <c r="AB78" i="123"/>
  <c r="AC78" i="123" s="1"/>
  <c r="D116" i="121" s="1"/>
  <c r="AB83" i="123"/>
  <c r="AC83" i="123" s="1"/>
  <c r="D121" i="121" s="1"/>
  <c r="E54" i="125"/>
  <c r="AB124" i="123"/>
  <c r="AC124" i="123" s="1"/>
  <c r="D147" i="121" s="1"/>
  <c r="AB94" i="123"/>
  <c r="W58" i="123"/>
  <c r="AB110" i="123"/>
  <c r="I63" i="125"/>
  <c r="S63" i="125" s="1"/>
  <c r="AB133" i="123"/>
  <c r="AC133" i="123" s="1"/>
  <c r="D156" i="121" s="1"/>
  <c r="W118" i="123"/>
  <c r="AB118" i="123" s="1"/>
  <c r="Y79" i="123"/>
  <c r="S240" i="123" s="1"/>
  <c r="AE68" i="123"/>
  <c r="Y33" i="123"/>
  <c r="W27" i="123"/>
  <c r="Z75" i="123"/>
  <c r="X75" i="123"/>
  <c r="F33" i="123"/>
  <c r="C33" i="123"/>
  <c r="C26" i="123" s="1"/>
  <c r="C24" i="123" s="1"/>
  <c r="C79" i="123"/>
  <c r="D68" i="123"/>
  <c r="Q79" i="123"/>
  <c r="V75" i="123"/>
  <c r="AG75" i="123"/>
  <c r="V67" i="123"/>
  <c r="U33" i="123"/>
  <c r="S27" i="123"/>
  <c r="J33" i="123"/>
  <c r="L33" i="123"/>
  <c r="T75" i="123"/>
  <c r="AD27" i="123"/>
  <c r="AD26" i="123" s="1"/>
  <c r="AD24" i="123" s="1"/>
  <c r="Y75" i="123"/>
  <c r="N52" i="123"/>
  <c r="N51" i="123" s="1"/>
  <c r="E47" i="125" s="1"/>
  <c r="Q33" i="123"/>
  <c r="K27" i="123"/>
  <c r="N75" i="123"/>
  <c r="AF68" i="123"/>
  <c r="AF67" i="123" s="1"/>
  <c r="AF66" i="123" s="1"/>
  <c r="Y27" i="123"/>
  <c r="M75" i="123"/>
  <c r="D33" i="123"/>
  <c r="AD79" i="123"/>
  <c r="I68" i="123"/>
  <c r="I67" i="123" s="1"/>
  <c r="I66" i="123" s="1"/>
  <c r="C48" i="125" s="1"/>
  <c r="K75" i="123"/>
  <c r="N68" i="123"/>
  <c r="N67" i="123" s="1"/>
  <c r="E33" i="123"/>
  <c r="X79" i="123"/>
  <c r="R240" i="123" s="1"/>
  <c r="AE67" i="123"/>
  <c r="AE66" i="123" s="1"/>
  <c r="R79" i="123"/>
  <c r="M240" i="123" s="1"/>
  <c r="V79" i="123"/>
  <c r="O240" i="123" s="1"/>
  <c r="S33" i="123"/>
  <c r="F27" i="123"/>
  <c r="G33" i="123"/>
  <c r="E60" i="125"/>
  <c r="I58" i="123"/>
  <c r="I95" i="123"/>
  <c r="C54" i="125" s="1"/>
  <c r="AB21" i="123"/>
  <c r="AF101" i="123"/>
  <c r="Q114" i="123"/>
  <c r="Q113" i="123" s="1"/>
  <c r="H101" i="123"/>
  <c r="H100" i="123" s="1"/>
  <c r="F206" i="123" s="1"/>
  <c r="AH101" i="123"/>
  <c r="AF114" i="123"/>
  <c r="AF113" i="123" s="1"/>
  <c r="X101" i="123"/>
  <c r="W101" i="123"/>
  <c r="K114" i="123"/>
  <c r="D101" i="123"/>
  <c r="AD101" i="123"/>
  <c r="AA114" i="123"/>
  <c r="T101" i="123"/>
  <c r="S101" i="123"/>
  <c r="S100" i="123" s="1"/>
  <c r="C114" i="123"/>
  <c r="AG114" i="123"/>
  <c r="AG113" i="123" s="1"/>
  <c r="Y101" i="123"/>
  <c r="W114" i="123"/>
  <c r="N101" i="123"/>
  <c r="S118" i="123"/>
  <c r="S113" i="123" s="1"/>
  <c r="N210" i="123" s="1"/>
  <c r="R114" i="123"/>
  <c r="AH114" i="123"/>
  <c r="V101" i="123"/>
  <c r="V100" i="123" s="1"/>
  <c r="N114" i="123"/>
  <c r="N113" i="123" s="1"/>
  <c r="E57" i="125" s="1"/>
  <c r="K101" i="123"/>
  <c r="I114" i="123"/>
  <c r="I113" i="123" s="1"/>
  <c r="C57" i="125" s="1"/>
  <c r="G101" i="123"/>
  <c r="G100" i="123" s="1"/>
  <c r="R101" i="123"/>
  <c r="R100" i="123" s="1"/>
  <c r="M206" i="123" s="1"/>
  <c r="H114" i="123"/>
  <c r="AB35" i="123"/>
  <c r="AC35" i="123" s="1"/>
  <c r="D75" i="121" s="1"/>
  <c r="F101" i="123"/>
  <c r="Q101" i="123"/>
  <c r="Q100" i="123" s="1"/>
  <c r="Q99" i="123" s="1"/>
  <c r="Z101" i="123"/>
  <c r="Z114" i="123"/>
  <c r="L39" i="123"/>
  <c r="AB139" i="123"/>
  <c r="J101" i="123"/>
  <c r="U101" i="123"/>
  <c r="AE101" i="123"/>
  <c r="D6" i="125"/>
  <c r="D7" i="125"/>
  <c r="N17" i="30"/>
  <c r="N44" i="30"/>
  <c r="N31" i="30"/>
  <c r="N32" i="30"/>
  <c r="N23" i="30"/>
  <c r="N13" i="30"/>
  <c r="N12" i="30"/>
  <c r="N26" i="30"/>
  <c r="N43" i="30"/>
  <c r="V114" i="123"/>
  <c r="G114" i="123"/>
  <c r="Y114" i="123"/>
  <c r="I101" i="123"/>
  <c r="I100" i="123" s="1"/>
  <c r="C56" i="125" s="1"/>
  <c r="AA101" i="123"/>
  <c r="L114" i="123"/>
  <c r="L113" i="123" s="1"/>
  <c r="K210" i="123" s="1"/>
  <c r="AE114" i="123"/>
  <c r="R82" i="125"/>
  <c r="L49" i="125"/>
  <c r="U49" i="125" s="1"/>
  <c r="F71" i="125"/>
  <c r="F74" i="125"/>
  <c r="AC84" i="123"/>
  <c r="D122" i="121" s="1"/>
  <c r="AC64" i="123"/>
  <c r="D102" i="121" s="1"/>
  <c r="AC127" i="123"/>
  <c r="D150" i="121" s="1"/>
  <c r="AC29" i="123"/>
  <c r="D69" i="121" s="1"/>
  <c r="AC103" i="123"/>
  <c r="D137" i="121" s="1"/>
  <c r="AC54" i="123"/>
  <c r="D92" i="121" s="1"/>
  <c r="AC63" i="123"/>
  <c r="D101" i="121" s="1"/>
  <c r="AC47" i="123"/>
  <c r="D86" i="121" s="1"/>
  <c r="AC110" i="123"/>
  <c r="D144" i="121" s="1"/>
  <c r="AC53" i="123"/>
  <c r="D91" i="121" s="1"/>
  <c r="AC62" i="123"/>
  <c r="D100" i="121" s="1"/>
  <c r="AC43" i="123"/>
  <c r="D83" i="121" s="1"/>
  <c r="AC37" i="123"/>
  <c r="D77" i="121" s="1"/>
  <c r="AC56" i="123"/>
  <c r="D94" i="121" s="1"/>
  <c r="AC65" i="123"/>
  <c r="D103" i="121" s="1"/>
  <c r="AC88" i="123"/>
  <c r="D126" i="121" s="1"/>
  <c r="I37" i="112"/>
  <c r="L246" i="121" s="1"/>
  <c r="E37" i="112"/>
  <c r="H246" i="121" s="1"/>
  <c r="F79" i="125"/>
  <c r="D177" i="121"/>
  <c r="D58" i="125"/>
  <c r="E31" i="112"/>
  <c r="E33" i="112" s="1"/>
  <c r="H244" i="121" s="1"/>
  <c r="W113" i="123"/>
  <c r="C100" i="123"/>
  <c r="AD113" i="123"/>
  <c r="AH100" i="123"/>
  <c r="H113" i="123"/>
  <c r="F210" i="123" s="1"/>
  <c r="N100" i="123"/>
  <c r="F113" i="123"/>
  <c r="I62" i="125"/>
  <c r="S62" i="125" s="1"/>
  <c r="AD100" i="123"/>
  <c r="AD99" i="123" s="1"/>
  <c r="G113" i="123"/>
  <c r="E332" i="115" l="1"/>
  <c r="E622" i="115"/>
  <c r="C36" i="125"/>
  <c r="M51" i="123"/>
  <c r="D47" i="125" s="1"/>
  <c r="AB44" i="123"/>
  <c r="AC44" i="123" s="1"/>
  <c r="D84" i="121" s="1"/>
  <c r="U39" i="123"/>
  <c r="N172" i="30"/>
  <c r="S172" i="30" s="1"/>
  <c r="N190" i="30"/>
  <c r="S190" i="30" s="1"/>
  <c r="N269" i="30"/>
  <c r="AG99" i="123"/>
  <c r="Z100" i="123"/>
  <c r="D26" i="123"/>
  <c r="D24" i="123" s="1"/>
  <c r="T113" i="123"/>
  <c r="X113" i="123"/>
  <c r="R210" i="123" s="1"/>
  <c r="V210" i="123" s="1"/>
  <c r="U113" i="123"/>
  <c r="E100" i="123"/>
  <c r="E206" i="123" s="1"/>
  <c r="AU38" i="124"/>
  <c r="M109" i="123"/>
  <c r="M100" i="123" s="1"/>
  <c r="D56" i="125" s="1"/>
  <c r="M135" i="123"/>
  <c r="D60" i="125" s="1"/>
  <c r="AY55" i="124"/>
  <c r="G79" i="125" s="1"/>
  <c r="V65" i="124"/>
  <c r="U65" i="124"/>
  <c r="L30" i="124"/>
  <c r="K58" i="124"/>
  <c r="J138" i="124" s="1"/>
  <c r="K17" i="124"/>
  <c r="J20" i="124"/>
  <c r="I155" i="124" s="1"/>
  <c r="I41" i="124"/>
  <c r="H130" i="124" s="1"/>
  <c r="I20" i="124"/>
  <c r="H155" i="124" s="1"/>
  <c r="F349" i="167"/>
  <c r="J10" i="167" s="1"/>
  <c r="L10" i="167" s="1"/>
  <c r="H29" i="30"/>
  <c r="H15" i="30"/>
  <c r="N64" i="30"/>
  <c r="N128" i="30"/>
  <c r="N129" i="30"/>
  <c r="L20" i="30"/>
  <c r="P218" i="123"/>
  <c r="BF58" i="124"/>
  <c r="N270" i="30"/>
  <c r="S270" i="30" s="1"/>
  <c r="I28" i="125"/>
  <c r="D113" i="123"/>
  <c r="D210" i="123" s="1"/>
  <c r="X100" i="123"/>
  <c r="R206" i="123" s="1"/>
  <c r="V113" i="123"/>
  <c r="O210" i="123" s="1"/>
  <c r="P210" i="123" s="1"/>
  <c r="G51" i="123"/>
  <c r="AD51" i="123"/>
  <c r="BE65" i="124"/>
  <c r="N41" i="30"/>
  <c r="AB25" i="123"/>
  <c r="AB31" i="123"/>
  <c r="AC31" i="123" s="1"/>
  <c r="D71" i="121" s="1"/>
  <c r="AB36" i="123"/>
  <c r="AC36" i="123" s="1"/>
  <c r="D76" i="121" s="1"/>
  <c r="AB42" i="123"/>
  <c r="AC42" i="123" s="1"/>
  <c r="D82" i="121" s="1"/>
  <c r="AB60" i="123"/>
  <c r="AC60" i="123" s="1"/>
  <c r="D98" i="121" s="1"/>
  <c r="AB86" i="123"/>
  <c r="AC86" i="123" s="1"/>
  <c r="D124" i="121" s="1"/>
  <c r="X51" i="122"/>
  <c r="N217" i="30"/>
  <c r="S217" i="30" s="1"/>
  <c r="F108" i="167"/>
  <c r="J5" i="167" s="1"/>
  <c r="F196" i="167"/>
  <c r="C80" i="124"/>
  <c r="D228" i="121" s="1"/>
  <c r="C554" i="115"/>
  <c r="C596" i="115"/>
  <c r="N71" i="30"/>
  <c r="S71" i="30" s="1"/>
  <c r="G32" i="125"/>
  <c r="J61" i="125"/>
  <c r="J32" i="125" s="1"/>
  <c r="N116" i="30"/>
  <c r="S116" i="30" s="1"/>
  <c r="N124" i="30"/>
  <c r="I61" i="125"/>
  <c r="I32" i="125" s="1"/>
  <c r="R61" i="125"/>
  <c r="R113" i="123"/>
  <c r="M210" i="123" s="1"/>
  <c r="Y100" i="123"/>
  <c r="S206" i="123" s="1"/>
  <c r="G26" i="123"/>
  <c r="G24" i="123" s="1"/>
  <c r="AB109" i="123"/>
  <c r="Y113" i="123"/>
  <c r="S210" i="123" s="1"/>
  <c r="N36" i="30"/>
  <c r="F104" i="56"/>
  <c r="AB45" i="123"/>
  <c r="AI17" i="124"/>
  <c r="W44" i="124"/>
  <c r="I17" i="124"/>
  <c r="E5" i="123"/>
  <c r="AU45" i="124"/>
  <c r="R13" i="122"/>
  <c r="G61" i="107"/>
  <c r="G60" i="107" s="1"/>
  <c r="G127" i="107" s="1"/>
  <c r="G7" i="107" s="1"/>
  <c r="K60" i="107"/>
  <c r="K127" i="107" s="1"/>
  <c r="G8" i="107" s="1"/>
  <c r="U22" i="122"/>
  <c r="U28" i="122"/>
  <c r="Q22" i="122"/>
  <c r="Q45" i="122"/>
  <c r="AB25" i="122"/>
  <c r="S61" i="107"/>
  <c r="S60" i="107" s="1"/>
  <c r="N253" i="30"/>
  <c r="S253" i="30" s="1"/>
  <c r="N271" i="30"/>
  <c r="S271" i="30" s="1"/>
  <c r="M108" i="170"/>
  <c r="H99" i="170"/>
  <c r="D103" i="170"/>
  <c r="H59" i="124"/>
  <c r="G126" i="124"/>
  <c r="AU24" i="124"/>
  <c r="M27" i="123"/>
  <c r="M33" i="123"/>
  <c r="M40" i="123"/>
  <c r="M68" i="123"/>
  <c r="Q60" i="125"/>
  <c r="Q63" i="125"/>
  <c r="M46" i="123"/>
  <c r="F254" i="167"/>
  <c r="J9" i="167" s="1"/>
  <c r="L9" i="167" s="1"/>
  <c r="Z22" i="122"/>
  <c r="X28" i="122"/>
  <c r="W45" i="122"/>
  <c r="O48" i="122"/>
  <c r="AA22" i="122"/>
  <c r="N215" i="30"/>
  <c r="N10" i="30"/>
  <c r="AA100" i="123"/>
  <c r="G56" i="125" s="1"/>
  <c r="J56" i="125" s="1"/>
  <c r="P56" i="125" s="1"/>
  <c r="Z56" i="125" s="1"/>
  <c r="K100" i="123"/>
  <c r="J206" i="123" s="1"/>
  <c r="AB46" i="123"/>
  <c r="Z113" i="123"/>
  <c r="T210" i="123" s="1"/>
  <c r="N26" i="123"/>
  <c r="N24" i="123" s="1"/>
  <c r="M30" i="30"/>
  <c r="N30" i="30" s="1"/>
  <c r="N29" i="30" s="1"/>
  <c r="N33" i="30"/>
  <c r="I8" i="112"/>
  <c r="H152" i="123"/>
  <c r="I122" i="123"/>
  <c r="C58" i="125" s="1"/>
  <c r="Q58" i="125" s="1"/>
  <c r="I92" i="123"/>
  <c r="C53" i="125" s="1"/>
  <c r="M130" i="123"/>
  <c r="D59" i="125" s="1"/>
  <c r="P264" i="123"/>
  <c r="O264" i="123"/>
  <c r="E39" i="123"/>
  <c r="J31" i="112"/>
  <c r="G36" i="125" s="1"/>
  <c r="E106" i="122"/>
  <c r="K283" i="121" s="1"/>
  <c r="Y22" i="122"/>
  <c r="C42" i="122"/>
  <c r="E42" i="122"/>
  <c r="U48" i="122"/>
  <c r="AB32" i="122"/>
  <c r="O60" i="107"/>
  <c r="N179" i="30"/>
  <c r="N272" i="30"/>
  <c r="S272" i="30" s="1"/>
  <c r="D95" i="170"/>
  <c r="L103" i="170"/>
  <c r="Z11" i="164"/>
  <c r="AB76" i="123"/>
  <c r="AC76" i="123" s="1"/>
  <c r="D114" i="121" s="1"/>
  <c r="R52" i="125"/>
  <c r="X52" i="125" s="1"/>
  <c r="AB97" i="123"/>
  <c r="AC97" i="123" s="1"/>
  <c r="D131" i="121" s="1"/>
  <c r="AB104" i="123"/>
  <c r="AC104" i="123" s="1"/>
  <c r="D138" i="121" s="1"/>
  <c r="AB108" i="123"/>
  <c r="AB115" i="123"/>
  <c r="AB129" i="123"/>
  <c r="AC129" i="123" s="1"/>
  <c r="D152" i="121" s="1"/>
  <c r="F31" i="112"/>
  <c r="N218" i="30"/>
  <c r="S218" i="30" s="1"/>
  <c r="H19" i="30"/>
  <c r="E67" i="115"/>
  <c r="F48" i="115"/>
  <c r="F645" i="115"/>
  <c r="E124" i="115"/>
  <c r="F696" i="115"/>
  <c r="E138" i="115"/>
  <c r="C154" i="115"/>
  <c r="E44" i="115"/>
  <c r="D330" i="115"/>
  <c r="D414" i="115"/>
  <c r="D129" i="115"/>
  <c r="E502" i="115"/>
  <c r="F39" i="115"/>
  <c r="F678" i="115"/>
  <c r="F67" i="115"/>
  <c r="G692" i="115"/>
  <c r="F519" i="115"/>
  <c r="N108" i="170"/>
  <c r="J108" i="170"/>
  <c r="H103" i="170"/>
  <c r="C108" i="170"/>
  <c r="N52" i="170"/>
  <c r="J52" i="170"/>
  <c r="F20" i="170"/>
  <c r="J20" i="170"/>
  <c r="N20" i="170"/>
  <c r="I20" i="170"/>
  <c r="F33" i="112"/>
  <c r="I244" i="121" s="1"/>
  <c r="F34" i="112"/>
  <c r="I245" i="121" s="1"/>
  <c r="I62" i="112"/>
  <c r="L256" i="121" s="1"/>
  <c r="D36" i="125"/>
  <c r="M36" i="125" s="1"/>
  <c r="S27" i="112"/>
  <c r="V240" i="121" s="1"/>
  <c r="O27" i="112"/>
  <c r="R240" i="121" s="1"/>
  <c r="R27" i="112"/>
  <c r="U240" i="121" s="1"/>
  <c r="S21" i="112"/>
  <c r="V234" i="121" s="1"/>
  <c r="O19" i="112"/>
  <c r="R232" i="121" s="1"/>
  <c r="N21" i="112"/>
  <c r="Q234" i="121" s="1"/>
  <c r="AB134" i="123"/>
  <c r="AC134" i="123" s="1"/>
  <c r="D157" i="121" s="1"/>
  <c r="AB125" i="123"/>
  <c r="AC125" i="123" s="1"/>
  <c r="D148" i="121" s="1"/>
  <c r="M58" i="125"/>
  <c r="V58" i="125" s="1"/>
  <c r="AB122" i="123"/>
  <c r="V214" i="123"/>
  <c r="AG214" i="123" s="1"/>
  <c r="T206" i="123"/>
  <c r="Z99" i="123"/>
  <c r="T205" i="123" s="1"/>
  <c r="K288" i="123" s="1"/>
  <c r="K287" i="123" s="1"/>
  <c r="K286" i="123" s="1"/>
  <c r="Y99" i="123"/>
  <c r="S205" i="123" s="1"/>
  <c r="G26" i="125"/>
  <c r="J54" i="125"/>
  <c r="P54" i="125" s="1"/>
  <c r="Z54" i="125" s="1"/>
  <c r="AB95" i="123"/>
  <c r="AB93" i="123"/>
  <c r="AB91" i="123"/>
  <c r="J52" i="125"/>
  <c r="J28" i="125" s="1"/>
  <c r="AB82" i="123"/>
  <c r="AC82" i="123" s="1"/>
  <c r="D120" i="121" s="1"/>
  <c r="S49" i="125"/>
  <c r="Y51" i="123"/>
  <c r="AB58" i="123"/>
  <c r="Z39" i="123"/>
  <c r="AA40" i="123"/>
  <c r="AA39" i="123" s="1"/>
  <c r="Y26" i="123"/>
  <c r="Y24" i="123" s="1"/>
  <c r="G45" i="125"/>
  <c r="J45" i="125" s="1"/>
  <c r="P45" i="125" s="1"/>
  <c r="Z45" i="125" s="1"/>
  <c r="AB19" i="123"/>
  <c r="AB20" i="123"/>
  <c r="R63" i="125"/>
  <c r="L60" i="125"/>
  <c r="U60" i="125" s="1"/>
  <c r="I60" i="125"/>
  <c r="AB135" i="123"/>
  <c r="W130" i="123"/>
  <c r="P214" i="123"/>
  <c r="F58" i="125"/>
  <c r="T99" i="123"/>
  <c r="N206" i="123"/>
  <c r="S99" i="123"/>
  <c r="N205" i="123" s="1"/>
  <c r="R99" i="123"/>
  <c r="M205" i="123" s="1"/>
  <c r="R54" i="125"/>
  <c r="I54" i="125"/>
  <c r="W92" i="123"/>
  <c r="P241" i="123"/>
  <c r="W40" i="123"/>
  <c r="S26" i="123"/>
  <c r="S24" i="123" s="1"/>
  <c r="O45" i="125"/>
  <c r="Y45" i="125" s="1"/>
  <c r="L45" i="125"/>
  <c r="U45" i="125" s="1"/>
  <c r="F27" i="115"/>
  <c r="F45" i="115"/>
  <c r="F19" i="115"/>
  <c r="D142" i="115"/>
  <c r="F35" i="115"/>
  <c r="F85" i="115"/>
  <c r="F70" i="115"/>
  <c r="F108" i="115"/>
  <c r="F90" i="115"/>
  <c r="F75" i="115"/>
  <c r="N99" i="123"/>
  <c r="E55" i="125" s="1"/>
  <c r="E56" i="125"/>
  <c r="J155" i="123"/>
  <c r="I165" i="121" s="1"/>
  <c r="L222" i="123"/>
  <c r="M113" i="123"/>
  <c r="D57" i="125" s="1"/>
  <c r="Q57" i="125" s="1"/>
  <c r="J100" i="123"/>
  <c r="M95" i="123"/>
  <c r="D54" i="125" s="1"/>
  <c r="M87" i="123"/>
  <c r="D51" i="125" s="1"/>
  <c r="M39" i="123"/>
  <c r="J26" i="123"/>
  <c r="J24" i="123" s="1"/>
  <c r="M26" i="123"/>
  <c r="M24" i="123" s="1"/>
  <c r="D46" i="125" s="1"/>
  <c r="X63" i="125"/>
  <c r="H222" i="123"/>
  <c r="E99" i="123"/>
  <c r="E205" i="123" s="1"/>
  <c r="H210" i="123"/>
  <c r="G99" i="123"/>
  <c r="D100" i="123"/>
  <c r="C26" i="125"/>
  <c r="L26" i="125" s="1"/>
  <c r="L54" i="125"/>
  <c r="U54" i="125" s="1"/>
  <c r="I87" i="123"/>
  <c r="C51" i="125" s="1"/>
  <c r="Q51" i="125" s="1"/>
  <c r="F155" i="123"/>
  <c r="F165" i="121" s="1"/>
  <c r="H24" i="123"/>
  <c r="F26" i="123"/>
  <c r="F24" i="123" s="1"/>
  <c r="L112" i="141"/>
  <c r="J112" i="141"/>
  <c r="D25" i="92"/>
  <c r="C25" i="92"/>
  <c r="F53" i="56"/>
  <c r="F55" i="56" s="1"/>
  <c r="F59" i="56" s="1"/>
  <c r="F64" i="56" s="1"/>
  <c r="E122" i="125" s="1"/>
  <c r="D60" i="1"/>
  <c r="E90" i="56"/>
  <c r="E92" i="56" s="1"/>
  <c r="E105" i="56" s="1"/>
  <c r="C66" i="1"/>
  <c r="AT11" i="164" s="1"/>
  <c r="S127" i="107"/>
  <c r="G10" i="107" s="1"/>
  <c r="G95" i="122"/>
  <c r="M276" i="121" s="1"/>
  <c r="G93" i="122"/>
  <c r="M274" i="121" s="1"/>
  <c r="G96" i="122"/>
  <c r="M277" i="121" s="1"/>
  <c r="G94" i="122"/>
  <c r="M275" i="121" s="1"/>
  <c r="G97" i="122"/>
  <c r="M278" i="121" s="1"/>
  <c r="C266" i="121"/>
  <c r="P5" i="122"/>
  <c r="Y21" i="122"/>
  <c r="Y51" i="122" s="1"/>
  <c r="E31" i="122"/>
  <c r="C116" i="122" s="1"/>
  <c r="R41" i="122"/>
  <c r="W41" i="122"/>
  <c r="E21" i="122"/>
  <c r="AB21" i="122"/>
  <c r="P6" i="122"/>
  <c r="F31" i="122"/>
  <c r="D116" i="122" s="1"/>
  <c r="Q31" i="122"/>
  <c r="Q51" i="122" s="1"/>
  <c r="AB31" i="122"/>
  <c r="R31" i="122"/>
  <c r="W31" i="122"/>
  <c r="W51" i="122" s="1"/>
  <c r="AA31" i="122"/>
  <c r="O62" i="125"/>
  <c r="Y62" i="125" s="1"/>
  <c r="O49" i="125"/>
  <c r="Y49" i="125" s="1"/>
  <c r="O61" i="125"/>
  <c r="Y61" i="125" s="1"/>
  <c r="O28" i="125"/>
  <c r="M49" i="125"/>
  <c r="V49" i="125" s="1"/>
  <c r="CI58" i="124"/>
  <c r="G100" i="125" s="1"/>
  <c r="G28" i="122"/>
  <c r="E38" i="122"/>
  <c r="V28" i="122"/>
  <c r="W28" i="122"/>
  <c r="R22" i="122"/>
  <c r="G22" i="122"/>
  <c r="E25" i="122"/>
  <c r="X42" i="122"/>
  <c r="AB42" i="122"/>
  <c r="AD38" i="122"/>
  <c r="O60" i="125"/>
  <c r="Y60" i="125" s="1"/>
  <c r="P58" i="125"/>
  <c r="Z58" i="125" s="1"/>
  <c r="S61" i="125"/>
  <c r="AA61" i="125" s="1"/>
  <c r="M59" i="125"/>
  <c r="V59" i="125" s="1"/>
  <c r="F32" i="125"/>
  <c r="O32" i="125" s="1"/>
  <c r="Q53" i="125"/>
  <c r="Q49" i="125"/>
  <c r="R49" i="125"/>
  <c r="AA49" i="125" s="1"/>
  <c r="M63" i="125"/>
  <c r="V63" i="125" s="1"/>
  <c r="CS43" i="124"/>
  <c r="F195" i="121" s="1"/>
  <c r="CI39" i="124"/>
  <c r="CA17" i="124"/>
  <c r="X45" i="122"/>
  <c r="Q38" i="122"/>
  <c r="O22" i="122"/>
  <c r="F32" i="122"/>
  <c r="D42" i="122"/>
  <c r="R42" i="122"/>
  <c r="Q48" i="122"/>
  <c r="AC48" i="122"/>
  <c r="AC45" i="122"/>
  <c r="E40" i="127"/>
  <c r="J297" i="121" s="1"/>
  <c r="L70" i="127"/>
  <c r="L84" i="127" s="1"/>
  <c r="E56" i="127"/>
  <c r="J303" i="121" s="1"/>
  <c r="C74" i="122"/>
  <c r="S45" i="125"/>
  <c r="D99" i="123"/>
  <c r="D205" i="123" s="1"/>
  <c r="D206" i="123"/>
  <c r="H206" i="123" s="1"/>
  <c r="X26" i="123"/>
  <c r="X24" i="123" s="1"/>
  <c r="O63" i="125"/>
  <c r="Y63" i="125" s="1"/>
  <c r="G28" i="125"/>
  <c r="M53" i="125"/>
  <c r="V53" i="125" s="1"/>
  <c r="AG26" i="123"/>
  <c r="AG24" i="123" s="1"/>
  <c r="AA63" i="125"/>
  <c r="M62" i="125"/>
  <c r="V62" i="125" s="1"/>
  <c r="Q62" i="125"/>
  <c r="H99" i="123"/>
  <c r="F205" i="123" s="1"/>
  <c r="S54" i="125"/>
  <c r="AA54" i="125" s="1"/>
  <c r="Q59" i="125"/>
  <c r="O206" i="123"/>
  <c r="P206" i="123" s="1"/>
  <c r="M60" i="125"/>
  <c r="V60" i="125" s="1"/>
  <c r="R60" i="125"/>
  <c r="K99" i="123"/>
  <c r="J205" i="123" s="1"/>
  <c r="J210" i="123"/>
  <c r="L210" i="123" s="1"/>
  <c r="Q45" i="125"/>
  <c r="Q50" i="125"/>
  <c r="D32" i="125"/>
  <c r="M32" i="125" s="1"/>
  <c r="M61" i="125"/>
  <c r="V61" i="125" s="1"/>
  <c r="N25" i="30"/>
  <c r="U100" i="123"/>
  <c r="U99" i="123" s="1"/>
  <c r="F100" i="123"/>
  <c r="F99" i="123" s="1"/>
  <c r="V206" i="123"/>
  <c r="AD143" i="123"/>
  <c r="AH113" i="123"/>
  <c r="AA113" i="123"/>
  <c r="T291" i="123" s="1"/>
  <c r="AH26" i="123"/>
  <c r="AH24" i="123" s="1"/>
  <c r="K30" i="30"/>
  <c r="C61" i="112"/>
  <c r="C62" i="112" s="1"/>
  <c r="F256" i="121" s="1"/>
  <c r="H201" i="123"/>
  <c r="AP159" i="124"/>
  <c r="AP134" i="124"/>
  <c r="M75" i="127"/>
  <c r="M76" i="127"/>
  <c r="AO134" i="124"/>
  <c r="AQ118" i="124"/>
  <c r="AQ153" i="124"/>
  <c r="L214" i="123"/>
  <c r="U134" i="124"/>
  <c r="AJ118" i="123"/>
  <c r="AJ101" i="123"/>
  <c r="AI118" i="123"/>
  <c r="AK114" i="123"/>
  <c r="AI101" i="123"/>
  <c r="AJ114" i="123"/>
  <c r="AJ113" i="123" s="1"/>
  <c r="AK109" i="123"/>
  <c r="AK118" i="123"/>
  <c r="AI114" i="123"/>
  <c r="AJ109" i="123"/>
  <c r="AK101" i="123"/>
  <c r="AK100" i="123" s="1"/>
  <c r="AI109" i="123"/>
  <c r="BF20" i="124"/>
  <c r="N28" i="112"/>
  <c r="Q241" i="121" s="1"/>
  <c r="CF17" i="124"/>
  <c r="AB118" i="124" s="1"/>
  <c r="CE46" i="124"/>
  <c r="CJ46" i="124" s="1"/>
  <c r="CH41" i="124"/>
  <c r="CB55" i="124"/>
  <c r="BZ20" i="124"/>
  <c r="X142" i="124" s="1"/>
  <c r="CC44" i="124"/>
  <c r="CI56" i="124"/>
  <c r="CS56" i="124" s="1"/>
  <c r="F205" i="121" s="1"/>
  <c r="CF41" i="124"/>
  <c r="CE19" i="124"/>
  <c r="CG41" i="124"/>
  <c r="CI30" i="124"/>
  <c r="CS30" i="124" s="1"/>
  <c r="F182" i="121" s="1"/>
  <c r="CC41" i="124"/>
  <c r="CE36" i="124"/>
  <c r="F90" i="125" s="1"/>
  <c r="CG44" i="124"/>
  <c r="AD134" i="124" s="1"/>
  <c r="CE27" i="124"/>
  <c r="CW27" i="124" s="1"/>
  <c r="CB58" i="124"/>
  <c r="BY17" i="124"/>
  <c r="CI24" i="124"/>
  <c r="BY20" i="124"/>
  <c r="CD58" i="124"/>
  <c r="Z138" i="124" s="1"/>
  <c r="CA20" i="124"/>
  <c r="CX20" i="124" s="1"/>
  <c r="CE49" i="124"/>
  <c r="BZ55" i="124"/>
  <c r="CB17" i="124"/>
  <c r="CI61" i="124"/>
  <c r="CB41" i="124"/>
  <c r="CI48" i="124"/>
  <c r="CS48" i="124" s="1"/>
  <c r="F200" i="121" s="1"/>
  <c r="L3" i="127"/>
  <c r="M28" i="127"/>
  <c r="L44" i="112"/>
  <c r="E102" i="122"/>
  <c r="K280" i="121" s="1"/>
  <c r="N97" i="30"/>
  <c r="S97" i="30" s="1"/>
  <c r="N125" i="30"/>
  <c r="S125" i="30" s="1"/>
  <c r="N180" i="30"/>
  <c r="S180" i="30" s="1"/>
  <c r="N182" i="30"/>
  <c r="S182" i="30" s="1"/>
  <c r="N254" i="30"/>
  <c r="S254" i="30" s="1"/>
  <c r="N119" i="30"/>
  <c r="N120" i="30"/>
  <c r="N137" i="30"/>
  <c r="N155" i="30"/>
  <c r="CR36" i="124"/>
  <c r="D188" i="121" s="1"/>
  <c r="H241" i="123"/>
  <c r="O65" i="124"/>
  <c r="E155" i="123"/>
  <c r="E165" i="121" s="1"/>
  <c r="C41" i="124"/>
  <c r="C130" i="124" s="1"/>
  <c r="AU59" i="124"/>
  <c r="V201" i="123"/>
  <c r="S222" i="123"/>
  <c r="J309" i="123"/>
  <c r="J285" i="123" s="1"/>
  <c r="V241" i="123"/>
  <c r="AG241" i="123" s="1"/>
  <c r="H261" i="123"/>
  <c r="AW17" i="124"/>
  <c r="S118" i="124" s="1"/>
  <c r="H17" i="107"/>
  <c r="CA44" i="124"/>
  <c r="CI33" i="124"/>
  <c r="CJ33" i="124" s="1"/>
  <c r="CI36" i="124"/>
  <c r="G90" i="125" s="1"/>
  <c r="CE61" i="124"/>
  <c r="F101" i="125" s="1"/>
  <c r="C101" i="125" s="1"/>
  <c r="CE60" i="124"/>
  <c r="CJ60" i="124" s="1"/>
  <c r="CH20" i="124"/>
  <c r="AE155" i="124" s="1"/>
  <c r="CG20" i="124"/>
  <c r="CG17" i="124"/>
  <c r="CB44" i="124"/>
  <c r="CI19" i="124"/>
  <c r="CS19" i="124" s="1"/>
  <c r="F171" i="121" s="1"/>
  <c r="V126" i="124"/>
  <c r="H75" i="125"/>
  <c r="H22" i="125" s="1"/>
  <c r="N21" i="30"/>
  <c r="M63" i="112"/>
  <c r="Q257" i="121" s="1"/>
  <c r="P201" i="123"/>
  <c r="M222" i="123"/>
  <c r="D309" i="123"/>
  <c r="D285" i="123" s="1"/>
  <c r="F309" i="123"/>
  <c r="F285" i="123" s="1"/>
  <c r="O222" i="123"/>
  <c r="H155" i="123"/>
  <c r="G165" i="121" s="1"/>
  <c r="AO153" i="124"/>
  <c r="AO118" i="124"/>
  <c r="AQ134" i="124"/>
  <c r="R222" i="123"/>
  <c r="I309" i="123"/>
  <c r="L41" i="124"/>
  <c r="E45" i="127"/>
  <c r="J299" i="121" s="1"/>
  <c r="AE100" i="123"/>
  <c r="AE99" i="123" s="1"/>
  <c r="AB114" i="123"/>
  <c r="AF100" i="123"/>
  <c r="AB130" i="123"/>
  <c r="L100" i="123"/>
  <c r="Q26" i="123"/>
  <c r="Q24" i="123" s="1"/>
  <c r="W51" i="123"/>
  <c r="I39" i="123"/>
  <c r="D105" i="56"/>
  <c r="H218" i="123"/>
  <c r="N222" i="123"/>
  <c r="E309" i="123"/>
  <c r="AP153" i="124"/>
  <c r="AP161" i="124" s="1"/>
  <c r="AP118" i="124"/>
  <c r="AP146" i="124" s="1"/>
  <c r="S41" i="124"/>
  <c r="P65" i="124"/>
  <c r="K126" i="141"/>
  <c r="K122" i="141" s="1"/>
  <c r="K117" i="141" s="1"/>
  <c r="D155" i="123"/>
  <c r="D165" i="121" s="1"/>
  <c r="I155" i="123"/>
  <c r="H165" i="121" s="1"/>
  <c r="AU28" i="124"/>
  <c r="CR28" i="124" s="1"/>
  <c r="D180" i="121" s="1"/>
  <c r="K25" i="112"/>
  <c r="K31" i="112" s="1"/>
  <c r="J36" i="125" s="1"/>
  <c r="P36" i="125" s="1"/>
  <c r="M61" i="112"/>
  <c r="L63" i="125"/>
  <c r="U63" i="125" s="1"/>
  <c r="D261" i="123"/>
  <c r="P309" i="123"/>
  <c r="M285" i="123"/>
  <c r="P285" i="123" s="1"/>
  <c r="D44" i="124"/>
  <c r="D134" i="124" s="1"/>
  <c r="H37" i="124"/>
  <c r="AR130" i="124"/>
  <c r="CR61" i="124"/>
  <c r="D210" i="121" s="1"/>
  <c r="L218" i="123"/>
  <c r="L241" i="123"/>
  <c r="L201" i="123"/>
  <c r="V218" i="123"/>
  <c r="T222" i="123"/>
  <c r="K309" i="123"/>
  <c r="P62" i="125"/>
  <c r="Z62" i="125" s="1"/>
  <c r="AR45" i="173"/>
  <c r="AR33" i="173"/>
  <c r="AR36" i="173"/>
  <c r="AR43" i="173"/>
  <c r="AR42" i="173"/>
  <c r="AR34" i="173"/>
  <c r="AR40" i="173"/>
  <c r="AR38" i="173"/>
  <c r="AR35" i="173"/>
  <c r="AR41" i="173"/>
  <c r="AR44" i="173"/>
  <c r="AR39" i="173"/>
  <c r="AR37" i="173"/>
  <c r="Y65" i="124"/>
  <c r="N79" i="30"/>
  <c r="S79" i="30" s="1"/>
  <c r="N134" i="30"/>
  <c r="S134" i="30" s="1"/>
  <c r="N138" i="30"/>
  <c r="N156" i="30"/>
  <c r="F71" i="167"/>
  <c r="J4" i="167" s="1"/>
  <c r="H7" i="167"/>
  <c r="M37" i="125"/>
  <c r="G52" i="115"/>
  <c r="G727" i="115"/>
  <c r="N78" i="30"/>
  <c r="N89" i="30"/>
  <c r="S89" i="30" s="1"/>
  <c r="N136" i="30"/>
  <c r="S136" i="30" s="1"/>
  <c r="N154" i="30"/>
  <c r="S154" i="30" s="1"/>
  <c r="N297" i="30"/>
  <c r="N305" i="30" s="1"/>
  <c r="F89" i="170"/>
  <c r="L99" i="170"/>
  <c r="CJ53" i="124"/>
  <c r="CK53" i="124" s="1"/>
  <c r="AR58" i="124"/>
  <c r="I189" i="124"/>
  <c r="AA21" i="122"/>
  <c r="AD31" i="122"/>
  <c r="N55" i="30"/>
  <c r="S55" i="30" s="1"/>
  <c r="N62" i="30"/>
  <c r="S62" i="30" s="1"/>
  <c r="N73" i="30"/>
  <c r="S73" i="30" s="1"/>
  <c r="N87" i="30"/>
  <c r="N98" i="30"/>
  <c r="S98" i="30" s="1"/>
  <c r="N118" i="30"/>
  <c r="S118" i="30" s="1"/>
  <c r="N127" i="30"/>
  <c r="S127" i="30" s="1"/>
  <c r="N153" i="30"/>
  <c r="S153" i="30" s="1"/>
  <c r="N191" i="30"/>
  <c r="S191" i="30" s="1"/>
  <c r="N224" i="30"/>
  <c r="G20" i="170"/>
  <c r="K52" i="170"/>
  <c r="N63" i="30"/>
  <c r="S63" i="30" s="1"/>
  <c r="N72" i="30"/>
  <c r="S72" i="30" s="1"/>
  <c r="N81" i="30"/>
  <c r="S81" i="30" s="1"/>
  <c r="N88" i="30"/>
  <c r="S88" i="30" s="1"/>
  <c r="N133" i="30"/>
  <c r="N135" i="30"/>
  <c r="S135" i="30" s="1"/>
  <c r="N171" i="30"/>
  <c r="S171" i="30" s="1"/>
  <c r="N173" i="30"/>
  <c r="S173" i="30" s="1"/>
  <c r="N277" i="30"/>
  <c r="S277" i="30" s="1"/>
  <c r="N281" i="30"/>
  <c r="S281" i="30" s="1"/>
  <c r="N283" i="30"/>
  <c r="S283" i="30" s="1"/>
  <c r="D20" i="170"/>
  <c r="H20" i="170"/>
  <c r="F52" i="170"/>
  <c r="F108" i="170"/>
  <c r="J70" i="127"/>
  <c r="H10" i="30"/>
  <c r="H25" i="30"/>
  <c r="H69" i="30"/>
  <c r="H77" i="30"/>
  <c r="H95" i="30"/>
  <c r="H114" i="30"/>
  <c r="H150" i="30"/>
  <c r="H160" i="30"/>
  <c r="H178" i="30"/>
  <c r="H187" i="30"/>
  <c r="H214" i="30"/>
  <c r="H223" i="30"/>
  <c r="H250" i="30"/>
  <c r="N83" i="30"/>
  <c r="N92" i="30"/>
  <c r="N101" i="30"/>
  <c r="N164" i="30"/>
  <c r="S164" i="30" s="1"/>
  <c r="N174" i="30"/>
  <c r="N184" i="30"/>
  <c r="N229" i="30"/>
  <c r="BR44" i="124"/>
  <c r="AY59" i="124"/>
  <c r="CS59" i="124" s="1"/>
  <c r="F208" i="121" s="1"/>
  <c r="H51" i="124"/>
  <c r="C98" i="125" s="1"/>
  <c r="C27" i="125" s="1"/>
  <c r="C189" i="124"/>
  <c r="N192" i="124"/>
  <c r="O192" i="124"/>
  <c r="L25" i="112"/>
  <c r="R9" i="122"/>
  <c r="F152" i="167"/>
  <c r="J6" i="167" s="1"/>
  <c r="F200" i="167"/>
  <c r="L37" i="125"/>
  <c r="L272" i="121"/>
  <c r="V43" i="173"/>
  <c r="G36" i="115"/>
  <c r="G679" i="115"/>
  <c r="AD35" i="122"/>
  <c r="O127" i="107"/>
  <c r="G9" i="107" s="1"/>
  <c r="AB41" i="122"/>
  <c r="AD21" i="122"/>
  <c r="AD51" i="122" s="1"/>
  <c r="N80" i="30"/>
  <c r="S80" i="30" s="1"/>
  <c r="N90" i="30"/>
  <c r="S90" i="30" s="1"/>
  <c r="N117" i="30"/>
  <c r="S117" i="30" s="1"/>
  <c r="N152" i="30"/>
  <c r="S152" i="30" s="1"/>
  <c r="N226" i="30"/>
  <c r="S226" i="30" s="1"/>
  <c r="N252" i="30"/>
  <c r="S252" i="30" s="1"/>
  <c r="N285" i="30"/>
  <c r="S285" i="30" s="1"/>
  <c r="E20" i="170"/>
  <c r="M20" i="170"/>
  <c r="C52" i="170"/>
  <c r="E52" i="170"/>
  <c r="H59" i="30"/>
  <c r="I58" i="127"/>
  <c r="E61" i="127" s="1"/>
  <c r="J305" i="121" s="1"/>
  <c r="N76" i="127"/>
  <c r="L76" i="127"/>
  <c r="N75" i="127"/>
  <c r="L73" i="127"/>
  <c r="L71" i="127"/>
  <c r="N71" i="127"/>
  <c r="N70" i="127"/>
  <c r="N84" i="127" s="1"/>
  <c r="N73" i="127"/>
  <c r="M70" i="127"/>
  <c r="M84" i="127" s="1"/>
  <c r="M71" i="127"/>
  <c r="M73" i="127"/>
  <c r="G37" i="115"/>
  <c r="G88" i="115"/>
  <c r="G107" i="115"/>
  <c r="G520" i="115"/>
  <c r="G44" i="115"/>
  <c r="G95" i="115"/>
  <c r="J80" i="124"/>
  <c r="K228" i="121" s="1"/>
  <c r="G80" i="124"/>
  <c r="H228" i="121" s="1"/>
  <c r="CY54" i="124"/>
  <c r="CV54" i="124"/>
  <c r="CI51" i="124"/>
  <c r="CY51" i="124" s="1"/>
  <c r="CY65" i="124" s="1"/>
  <c r="CQ54" i="124"/>
  <c r="G190" i="124"/>
  <c r="CV52" i="124"/>
  <c r="M190" i="124" s="1"/>
  <c r="CY52" i="124"/>
  <c r="CQ53" i="124"/>
  <c r="J191" i="124" s="1"/>
  <c r="J189" i="124" s="1"/>
  <c r="CY53" i="124"/>
  <c r="G191" i="124"/>
  <c r="CV53" i="124"/>
  <c r="M191" i="124" s="1"/>
  <c r="CW54" i="124"/>
  <c r="CT54" i="124"/>
  <c r="CO54" i="124"/>
  <c r="CO53" i="124"/>
  <c r="H191" i="124" s="1"/>
  <c r="K191" i="124" s="1"/>
  <c r="E191" i="124"/>
  <c r="CT53" i="124"/>
  <c r="CW53" i="124"/>
  <c r="CX51" i="124"/>
  <c r="CU51" i="124"/>
  <c r="CU65" i="124" s="1"/>
  <c r="E190" i="124"/>
  <c r="E189" i="124" s="1"/>
  <c r="CT52" i="124"/>
  <c r="CW52" i="124"/>
  <c r="D189" i="124"/>
  <c r="C37" i="115"/>
  <c r="F65" i="115"/>
  <c r="F95" i="115"/>
  <c r="F49" i="115"/>
  <c r="E149" i="115"/>
  <c r="C191" i="115"/>
  <c r="E191" i="115"/>
  <c r="C129" i="115"/>
  <c r="D343" i="115"/>
  <c r="C563" i="115"/>
  <c r="D566" i="115"/>
  <c r="E537" i="115"/>
  <c r="C106" i="115"/>
  <c r="F46" i="115"/>
  <c r="F86" i="115"/>
  <c r="F104" i="115"/>
  <c r="E175" i="115"/>
  <c r="C184" i="115"/>
  <c r="C143" i="115"/>
  <c r="E187" i="115"/>
  <c r="C162" i="115"/>
  <c r="E391" i="115"/>
  <c r="D608" i="115"/>
  <c r="E337" i="115"/>
  <c r="D130" i="115"/>
  <c r="C126" i="115"/>
  <c r="E92" i="115"/>
  <c r="C194" i="115"/>
  <c r="C193" i="115"/>
  <c r="C116" i="115"/>
  <c r="E141" i="115"/>
  <c r="D187" i="115"/>
  <c r="E533" i="115"/>
  <c r="C185" i="115"/>
  <c r="C171" i="115"/>
  <c r="C149" i="115"/>
  <c r="C206" i="115"/>
  <c r="D200" i="115"/>
  <c r="C190" i="115"/>
  <c r="D174" i="115"/>
  <c r="E33" i="115"/>
  <c r="F40" i="115"/>
  <c r="F78" i="115"/>
  <c r="D205" i="115"/>
  <c r="D209" i="115"/>
  <c r="D169" i="115"/>
  <c r="D155" i="115"/>
  <c r="E323" i="115"/>
  <c r="E456" i="115"/>
  <c r="D617" i="115"/>
  <c r="D172" i="115"/>
  <c r="C157" i="115"/>
  <c r="C199" i="115"/>
  <c r="D127" i="115"/>
  <c r="D87" i="115"/>
  <c r="D102" i="115"/>
  <c r="C22" i="115"/>
  <c r="E34" i="115"/>
  <c r="E436" i="115"/>
  <c r="C426" i="115"/>
  <c r="C66" i="115"/>
  <c r="D48" i="115"/>
  <c r="E54" i="115"/>
  <c r="E482" i="115"/>
  <c r="E474" i="115"/>
  <c r="E441" i="115"/>
  <c r="C43" i="115"/>
  <c r="D107" i="115"/>
  <c r="D499" i="115"/>
  <c r="C16" i="115"/>
  <c r="D26" i="115"/>
  <c r="C446" i="115"/>
  <c r="G360" i="115"/>
  <c r="D99" i="115"/>
  <c r="E13" i="115"/>
  <c r="CS24" i="124"/>
  <c r="F176" i="121" s="1"/>
  <c r="AZ20" i="124"/>
  <c r="V142" i="124" s="1"/>
  <c r="H74" i="125"/>
  <c r="H19" i="125" s="1"/>
  <c r="V207" i="124"/>
  <c r="CS45" i="124"/>
  <c r="F197" i="121" s="1"/>
  <c r="CS46" i="124"/>
  <c r="F198" i="121" s="1"/>
  <c r="BX65" i="124"/>
  <c r="W134" i="124"/>
  <c r="W138" i="124"/>
  <c r="AV58" i="124"/>
  <c r="R138" i="124" s="1"/>
  <c r="BV58" i="124"/>
  <c r="R72" i="125"/>
  <c r="G20" i="125"/>
  <c r="CS37" i="124"/>
  <c r="F189" i="121" s="1"/>
  <c r="CW37" i="124"/>
  <c r="BM65" i="124"/>
  <c r="AS17" i="124"/>
  <c r="AR17" i="124"/>
  <c r="AP17" i="124"/>
  <c r="M153" i="124" s="1"/>
  <c r="BV20" i="124"/>
  <c r="AY27" i="124"/>
  <c r="AV20" i="124"/>
  <c r="R142" i="124" s="1"/>
  <c r="BU65" i="124"/>
  <c r="BS65" i="124"/>
  <c r="BV44" i="124"/>
  <c r="AV41" i="124"/>
  <c r="R130" i="124" s="1"/>
  <c r="AW41" i="124"/>
  <c r="S130" i="124" s="1"/>
  <c r="BT65" i="124"/>
  <c r="AX41" i="124"/>
  <c r="T130" i="124" s="1"/>
  <c r="AY42" i="124"/>
  <c r="BV41" i="124"/>
  <c r="G74" i="125"/>
  <c r="R74" i="125" s="1"/>
  <c r="CS39" i="124"/>
  <c r="F191" i="121" s="1"/>
  <c r="U207" i="124"/>
  <c r="AY38" i="124"/>
  <c r="CS38" i="124" s="1"/>
  <c r="F190" i="121" s="1"/>
  <c r="AY36" i="124"/>
  <c r="G71" i="125" s="1"/>
  <c r="BR58" i="124"/>
  <c r="CX47" i="124"/>
  <c r="AS44" i="124"/>
  <c r="AS65" i="124" s="1"/>
  <c r="BP65" i="124"/>
  <c r="BR41" i="124"/>
  <c r="BR65" i="124" s="1"/>
  <c r="CR38" i="124"/>
  <c r="D190" i="121" s="1"/>
  <c r="F73" i="125"/>
  <c r="N207" i="124"/>
  <c r="P207" i="124" s="1"/>
  <c r="CX39" i="124"/>
  <c r="J90" i="125"/>
  <c r="I90" i="125"/>
  <c r="AU33" i="124"/>
  <c r="AU31" i="124"/>
  <c r="CR31" i="124" s="1"/>
  <c r="D183" i="121" s="1"/>
  <c r="BQ65" i="124"/>
  <c r="BN65" i="124"/>
  <c r="AU22" i="124"/>
  <c r="CR22" i="124" s="1"/>
  <c r="D174" i="121" s="1"/>
  <c r="H80" i="125"/>
  <c r="H31" i="125" s="1"/>
  <c r="H78" i="125"/>
  <c r="H25" i="125" s="1"/>
  <c r="H77" i="125"/>
  <c r="H24" i="125" s="1"/>
  <c r="V134" i="124"/>
  <c r="BL65" i="124"/>
  <c r="W130" i="124"/>
  <c r="W159" i="124"/>
  <c r="H76" i="125"/>
  <c r="H23" i="125" s="1"/>
  <c r="V130" i="124"/>
  <c r="V122" i="124"/>
  <c r="V157" i="124"/>
  <c r="AZ65" i="124"/>
  <c r="H73" i="125"/>
  <c r="H18" i="125" s="1"/>
  <c r="V211" i="124"/>
  <c r="V159" i="124"/>
  <c r="H70" i="125"/>
  <c r="W155" i="124"/>
  <c r="W142" i="124"/>
  <c r="W153" i="124"/>
  <c r="W118" i="124"/>
  <c r="V153" i="124"/>
  <c r="V118" i="124"/>
  <c r="U138" i="124"/>
  <c r="AX138" i="124" s="1"/>
  <c r="G75" i="125"/>
  <c r="G22" i="125" s="1"/>
  <c r="CS40" i="124"/>
  <c r="F192" i="121" s="1"/>
  <c r="U126" i="124"/>
  <c r="BG65" i="124"/>
  <c r="AV134" i="124"/>
  <c r="AX134" i="124"/>
  <c r="BH65" i="124"/>
  <c r="R122" i="124"/>
  <c r="R157" i="124"/>
  <c r="S122" i="124"/>
  <c r="S157" i="124"/>
  <c r="T122" i="124"/>
  <c r="T157" i="124"/>
  <c r="BI65" i="124"/>
  <c r="BJ41" i="124"/>
  <c r="G73" i="125"/>
  <c r="T211" i="124"/>
  <c r="R211" i="124"/>
  <c r="S211" i="124"/>
  <c r="AX20" i="124"/>
  <c r="T142" i="124" s="1"/>
  <c r="AW20" i="124"/>
  <c r="S142" i="124" s="1"/>
  <c r="AY20" i="124"/>
  <c r="G70" i="125" s="1"/>
  <c r="AY17" i="124"/>
  <c r="G69" i="125" s="1"/>
  <c r="R118" i="124"/>
  <c r="R153" i="124"/>
  <c r="T153" i="124"/>
  <c r="T118" i="124"/>
  <c r="CX38" i="124"/>
  <c r="N211" i="124"/>
  <c r="P211" i="124" s="1"/>
  <c r="CW38" i="124"/>
  <c r="CX50" i="124"/>
  <c r="CW49" i="124"/>
  <c r="AP44" i="124"/>
  <c r="M134" i="124" s="1"/>
  <c r="P134" i="124" s="1"/>
  <c r="AU46" i="124"/>
  <c r="CW46" i="124" s="1"/>
  <c r="AU41" i="124"/>
  <c r="F76" i="125" s="1"/>
  <c r="BA65" i="124"/>
  <c r="AU43" i="124"/>
  <c r="CW43" i="124" s="1"/>
  <c r="P130" i="124"/>
  <c r="AU40" i="124"/>
  <c r="F75" i="125" s="1"/>
  <c r="O126" i="124"/>
  <c r="N126" i="124"/>
  <c r="CX40" i="124"/>
  <c r="M122" i="124"/>
  <c r="M157" i="124"/>
  <c r="C71" i="125"/>
  <c r="E71" i="125"/>
  <c r="D71" i="125"/>
  <c r="O122" i="124"/>
  <c r="O157" i="124"/>
  <c r="N122" i="124"/>
  <c r="N157" i="124"/>
  <c r="CX36" i="124"/>
  <c r="CR33" i="124"/>
  <c r="D185" i="121" s="1"/>
  <c r="AU20" i="124"/>
  <c r="F70" i="125" s="1"/>
  <c r="CW33" i="124"/>
  <c r="AR20" i="124"/>
  <c r="AR65" i="124" s="1"/>
  <c r="BD65" i="124"/>
  <c r="AP20" i="124"/>
  <c r="M142" i="124" s="1"/>
  <c r="BB65" i="124"/>
  <c r="BC65" i="124"/>
  <c r="N155" i="124"/>
  <c r="N142" i="124"/>
  <c r="O155" i="124"/>
  <c r="O142" i="124"/>
  <c r="BF65" i="124"/>
  <c r="AU19" i="124"/>
  <c r="CW19" i="124" s="1"/>
  <c r="O118" i="124"/>
  <c r="O153" i="124"/>
  <c r="AT65" i="124"/>
  <c r="AQ17" i="124"/>
  <c r="CX17" i="124" s="1"/>
  <c r="D101" i="115"/>
  <c r="D74" i="115"/>
  <c r="D69" i="115"/>
  <c r="D62" i="115"/>
  <c r="D481" i="115"/>
  <c r="G539" i="115"/>
  <c r="D65" i="115"/>
  <c r="D96" i="115"/>
  <c r="D50" i="115"/>
  <c r="D23" i="115"/>
  <c r="C448" i="115"/>
  <c r="C53" i="115"/>
  <c r="D57" i="115"/>
  <c r="C14" i="115"/>
  <c r="C74" i="115"/>
  <c r="D67" i="115"/>
  <c r="C41" i="115"/>
  <c r="D58" i="115"/>
  <c r="D82" i="115"/>
  <c r="D33" i="115"/>
  <c r="D486" i="115"/>
  <c r="D442" i="115"/>
  <c r="D31" i="115"/>
  <c r="D16" i="115"/>
  <c r="D13" i="115"/>
  <c r="C105" i="115"/>
  <c r="D56" i="115"/>
  <c r="D446" i="115"/>
  <c r="C508" i="115"/>
  <c r="E108" i="115"/>
  <c r="E68" i="115"/>
  <c r="E97" i="115"/>
  <c r="E454" i="115"/>
  <c r="E37" i="115"/>
  <c r="E95" i="115"/>
  <c r="E105" i="115"/>
  <c r="E472" i="115"/>
  <c r="E61" i="115"/>
  <c r="E73" i="115"/>
  <c r="E106" i="115"/>
  <c r="G557" i="115"/>
  <c r="E16" i="115"/>
  <c r="E101" i="115"/>
  <c r="E32" i="115"/>
  <c r="F322" i="115"/>
  <c r="E88" i="115"/>
  <c r="E103" i="115"/>
  <c r="G411" i="115"/>
  <c r="E484" i="115"/>
  <c r="E477" i="115"/>
  <c r="E467" i="115"/>
  <c r="CW61" i="124"/>
  <c r="CW62" i="124"/>
  <c r="E81" i="125"/>
  <c r="N81" i="125" s="1"/>
  <c r="W81" i="125" s="1"/>
  <c r="J81" i="125"/>
  <c r="I101" i="125"/>
  <c r="C81" i="125"/>
  <c r="E101" i="125"/>
  <c r="E33" i="125" s="1"/>
  <c r="N33" i="125" s="1"/>
  <c r="R81" i="125"/>
  <c r="J101" i="125"/>
  <c r="J58" i="124"/>
  <c r="I138" i="124" s="1"/>
  <c r="K138" i="124" s="1"/>
  <c r="M20" i="124"/>
  <c r="L155" i="124" s="1"/>
  <c r="E90" i="125"/>
  <c r="X65" i="124"/>
  <c r="L159" i="124"/>
  <c r="L45" i="124"/>
  <c r="J44" i="124"/>
  <c r="I134" i="124" s="1"/>
  <c r="K134" i="124" s="1"/>
  <c r="W41" i="124"/>
  <c r="W65" i="124" s="1"/>
  <c r="K130" i="124"/>
  <c r="D90" i="125"/>
  <c r="K126" i="124"/>
  <c r="K211" i="124"/>
  <c r="T65" i="124"/>
  <c r="L21" i="124"/>
  <c r="L20" i="124" s="1"/>
  <c r="G58" i="124"/>
  <c r="E138" i="124" s="1"/>
  <c r="G130" i="124"/>
  <c r="R65" i="124"/>
  <c r="H58" i="124"/>
  <c r="H48" i="124"/>
  <c r="H44" i="124" s="1"/>
  <c r="G134" i="124"/>
  <c r="N65" i="124"/>
  <c r="H42" i="124"/>
  <c r="H41" i="124" s="1"/>
  <c r="H40" i="124"/>
  <c r="C17" i="124"/>
  <c r="C153" i="124" s="1"/>
  <c r="CM65" i="124"/>
  <c r="CL65" i="124"/>
  <c r="CN65" i="124"/>
  <c r="AE130" i="124"/>
  <c r="AD130" i="124"/>
  <c r="AB130" i="124"/>
  <c r="R90" i="125"/>
  <c r="AD155" i="124"/>
  <c r="AD153" i="124"/>
  <c r="AD118" i="124"/>
  <c r="CS18" i="124"/>
  <c r="F170" i="121" s="1"/>
  <c r="AB153" i="124"/>
  <c r="CJ56" i="124"/>
  <c r="CW56" i="124"/>
  <c r="Y134" i="124"/>
  <c r="CX44" i="124"/>
  <c r="X130" i="124"/>
  <c r="CJ43" i="124"/>
  <c r="CJ36" i="124"/>
  <c r="X155" i="124"/>
  <c r="Z155" i="124"/>
  <c r="Z153" i="124"/>
  <c r="Z118" i="124"/>
  <c r="Y153" i="124"/>
  <c r="Y118" i="124"/>
  <c r="N138" i="124"/>
  <c r="N159" i="124"/>
  <c r="M138" i="124"/>
  <c r="O138" i="124"/>
  <c r="O159" i="124"/>
  <c r="AU60" i="124"/>
  <c r="L69" i="124"/>
  <c r="L68" i="124"/>
  <c r="C58" i="124"/>
  <c r="C138" i="124" s="1"/>
  <c r="N71" i="125"/>
  <c r="W71" i="125" s="1"/>
  <c r="E17" i="125"/>
  <c r="N17" i="125" s="1"/>
  <c r="L122" i="124"/>
  <c r="L157" i="124"/>
  <c r="AJ65" i="124"/>
  <c r="AK65" i="124"/>
  <c r="L153" i="124"/>
  <c r="L118" i="124"/>
  <c r="K20" i="124"/>
  <c r="J155" i="124" s="1"/>
  <c r="K155" i="124" s="1"/>
  <c r="AI20" i="124"/>
  <c r="AI65" i="124" s="1"/>
  <c r="H25" i="124"/>
  <c r="C20" i="124"/>
  <c r="C155" i="124" s="1"/>
  <c r="C118" i="124"/>
  <c r="H21" i="124"/>
  <c r="AE65" i="124"/>
  <c r="H39" i="124"/>
  <c r="E157" i="124"/>
  <c r="E122" i="124"/>
  <c r="G211" i="124"/>
  <c r="L71" i="125"/>
  <c r="U71" i="125" s="1"/>
  <c r="D157" i="124"/>
  <c r="D122" i="124"/>
  <c r="C157" i="124"/>
  <c r="C122" i="124"/>
  <c r="J159" i="124"/>
  <c r="J157" i="124"/>
  <c r="J122" i="124"/>
  <c r="I142" i="124"/>
  <c r="I122" i="124"/>
  <c r="I157" i="124"/>
  <c r="K207" i="124"/>
  <c r="H159" i="124"/>
  <c r="H142" i="124"/>
  <c r="I65" i="124"/>
  <c r="I66" i="124" s="1"/>
  <c r="H122" i="124"/>
  <c r="H157" i="124"/>
  <c r="I153" i="124"/>
  <c r="I118" i="124"/>
  <c r="J118" i="124"/>
  <c r="J153" i="124"/>
  <c r="L17" i="124"/>
  <c r="H153" i="124"/>
  <c r="H118" i="124"/>
  <c r="E118" i="124"/>
  <c r="E153" i="124"/>
  <c r="D153" i="124"/>
  <c r="D118" i="124"/>
  <c r="H18" i="124"/>
  <c r="H17" i="124" s="1"/>
  <c r="S65" i="124"/>
  <c r="G207" i="124"/>
  <c r="H33" i="124"/>
  <c r="D20" i="124"/>
  <c r="D155" i="124" s="1"/>
  <c r="Q65" i="124"/>
  <c r="F65" i="124"/>
  <c r="F66" i="124" s="1"/>
  <c r="H24" i="124"/>
  <c r="H69" i="124"/>
  <c r="H68" i="124"/>
  <c r="D159" i="124"/>
  <c r="E142" i="124"/>
  <c r="C142" i="124"/>
  <c r="H55" i="124"/>
  <c r="G599" i="115"/>
  <c r="G607" i="115"/>
  <c r="G358" i="115"/>
  <c r="G571" i="115"/>
  <c r="G351" i="115"/>
  <c r="G546" i="115"/>
  <c r="G540" i="115"/>
  <c r="G581" i="115"/>
  <c r="G603" i="115"/>
  <c r="G620" i="115"/>
  <c r="G562" i="115"/>
  <c r="G604" i="115"/>
  <c r="G572" i="115"/>
  <c r="G580" i="115"/>
  <c r="K3" i="127"/>
  <c r="L28" i="127"/>
  <c r="G77" i="115"/>
  <c r="G71" i="115"/>
  <c r="G81" i="115"/>
  <c r="G24" i="115"/>
  <c r="G22" i="115"/>
  <c r="G32" i="115"/>
  <c r="G94" i="115"/>
  <c r="G72" i="115"/>
  <c r="G149" i="115"/>
  <c r="G83" i="115"/>
  <c r="G78" i="115"/>
  <c r="G60" i="115"/>
  <c r="G41" i="115"/>
  <c r="G110" i="115"/>
  <c r="G89" i="115"/>
  <c r="G63" i="115"/>
  <c r="G42" i="115"/>
  <c r="G43" i="115"/>
  <c r="G96" i="115"/>
  <c r="G45" i="115"/>
  <c r="G91" i="115"/>
  <c r="G25" i="115"/>
  <c r="G70" i="115"/>
  <c r="F88" i="115"/>
  <c r="C65" i="115"/>
  <c r="D97" i="115"/>
  <c r="D37" i="115"/>
  <c r="D194" i="115"/>
  <c r="D138" i="115"/>
  <c r="E143" i="115"/>
  <c r="D199" i="115"/>
  <c r="F411" i="115"/>
  <c r="C518" i="115"/>
  <c r="D591" i="115"/>
  <c r="E595" i="115"/>
  <c r="C44" i="115"/>
  <c r="C29" i="115"/>
  <c r="D59" i="115"/>
  <c r="D46" i="115"/>
  <c r="F99" i="115"/>
  <c r="E118" i="115"/>
  <c r="D122" i="115"/>
  <c r="C174" i="115"/>
  <c r="C165" i="115"/>
  <c r="E396" i="115"/>
  <c r="D517" i="115"/>
  <c r="C428" i="115"/>
  <c r="G595" i="115"/>
  <c r="D565" i="115"/>
  <c r="D79" i="115"/>
  <c r="D64" i="115"/>
  <c r="C104" i="115"/>
  <c r="C93" i="115"/>
  <c r="F62" i="115"/>
  <c r="E161" i="115"/>
  <c r="C182" i="115"/>
  <c r="C134" i="115"/>
  <c r="E134" i="115"/>
  <c r="D493" i="115"/>
  <c r="D450" i="115"/>
  <c r="F505" i="115"/>
  <c r="D43" i="115"/>
  <c r="C28" i="115"/>
  <c r="D105" i="115"/>
  <c r="D110" i="115"/>
  <c r="D184" i="115"/>
  <c r="C204" i="115"/>
  <c r="E165" i="115"/>
  <c r="C187" i="115"/>
  <c r="D427" i="115"/>
  <c r="D595" i="115"/>
  <c r="D30" i="115"/>
  <c r="D15" i="115"/>
  <c r="C24" i="115"/>
  <c r="D25" i="115"/>
  <c r="F97" i="115"/>
  <c r="F106" i="115"/>
  <c r="C172" i="115"/>
  <c r="D154" i="115"/>
  <c r="D141" i="115"/>
  <c r="G415" i="115"/>
  <c r="C492" i="115"/>
  <c r="D562" i="115"/>
  <c r="G567" i="115"/>
  <c r="E585" i="115"/>
  <c r="D18" i="115"/>
  <c r="C51" i="115"/>
  <c r="C92" i="115"/>
  <c r="D49" i="115"/>
  <c r="C148" i="115"/>
  <c r="C189" i="115"/>
  <c r="G344" i="115"/>
  <c r="C495" i="115"/>
  <c r="C468" i="115"/>
  <c r="C624" i="115"/>
  <c r="C581" i="115"/>
  <c r="C102" i="115"/>
  <c r="C57" i="115"/>
  <c r="C26" i="115"/>
  <c r="D32" i="115"/>
  <c r="F13" i="115"/>
  <c r="F66" i="115"/>
  <c r="D147" i="115"/>
  <c r="C213" i="115"/>
  <c r="D211" i="115"/>
  <c r="G414" i="115"/>
  <c r="C471" i="115"/>
  <c r="D465" i="115"/>
  <c r="E610" i="115"/>
  <c r="D592" i="115"/>
  <c r="C67" i="115"/>
  <c r="C30" i="115"/>
  <c r="D88" i="115"/>
  <c r="D39" i="115"/>
  <c r="C12" i="115"/>
  <c r="D20" i="115"/>
  <c r="C110" i="115"/>
  <c r="C21" i="115"/>
  <c r="D95" i="115"/>
  <c r="D93" i="115"/>
  <c r="E39" i="115"/>
  <c r="E93" i="115"/>
  <c r="E47" i="115"/>
  <c r="F12" i="115"/>
  <c r="F33" i="115"/>
  <c r="F93" i="115"/>
  <c r="F25" i="115"/>
  <c r="F22" i="115"/>
  <c r="G62" i="115"/>
  <c r="G75" i="115"/>
  <c r="G27" i="115"/>
  <c r="G68" i="115"/>
  <c r="G101" i="115"/>
  <c r="D140" i="115"/>
  <c r="D159" i="115"/>
  <c r="C120" i="115"/>
  <c r="C402" i="115"/>
  <c r="C477" i="115"/>
  <c r="D455" i="115"/>
  <c r="F523" i="115"/>
  <c r="F496" i="115"/>
  <c r="D513" i="115"/>
  <c r="C430" i="115"/>
  <c r="G624" i="115"/>
  <c r="C594" i="115"/>
  <c r="G561" i="115"/>
  <c r="G660" i="115"/>
  <c r="E447" i="115"/>
  <c r="C55" i="115"/>
  <c r="C18" i="115"/>
  <c r="D76" i="115"/>
  <c r="D27" i="115"/>
  <c r="D80" i="115"/>
  <c r="C61" i="115"/>
  <c r="D71" i="115"/>
  <c r="C62" i="115"/>
  <c r="D60" i="115"/>
  <c r="C73" i="115"/>
  <c r="E63" i="115"/>
  <c r="E70" i="115"/>
  <c r="E24" i="115"/>
  <c r="F36" i="115"/>
  <c r="F58" i="115"/>
  <c r="F94" i="115"/>
  <c r="F73" i="115"/>
  <c r="F72" i="115"/>
  <c r="G86" i="115"/>
  <c r="G28" i="115"/>
  <c r="G100" i="115"/>
  <c r="G21" i="115"/>
  <c r="G79" i="115"/>
  <c r="C453" i="115"/>
  <c r="C498" i="115"/>
  <c r="F499" i="115"/>
  <c r="F472" i="115"/>
  <c r="D453" i="115"/>
  <c r="E497" i="115"/>
  <c r="F486" i="115"/>
  <c r="C68" i="115"/>
  <c r="C31" i="115"/>
  <c r="D89" i="115"/>
  <c r="D40" i="115"/>
  <c r="C99" i="115"/>
  <c r="D12" i="115"/>
  <c r="D38" i="115"/>
  <c r="C94" i="115"/>
  <c r="C85" i="115"/>
  <c r="D22" i="115"/>
  <c r="C72" i="115"/>
  <c r="E40" i="115"/>
  <c r="E48" i="115"/>
  <c r="E51" i="115"/>
  <c r="F64" i="115"/>
  <c r="F37" i="115"/>
  <c r="F96" i="115"/>
  <c r="F28" i="115"/>
  <c r="F76" i="115"/>
  <c r="G15" i="115"/>
  <c r="G30" i="115"/>
  <c r="G80" i="115"/>
  <c r="G26" i="115"/>
  <c r="G57" i="115"/>
  <c r="D148" i="115"/>
  <c r="D193" i="115"/>
  <c r="C151" i="115"/>
  <c r="C153" i="115"/>
  <c r="G475" i="115"/>
  <c r="G521" i="115"/>
  <c r="G472" i="115"/>
  <c r="C505" i="115"/>
  <c r="C427" i="115"/>
  <c r="D520" i="115"/>
  <c r="E471" i="115"/>
  <c r="C621" i="115"/>
  <c r="D593" i="115"/>
  <c r="G605" i="115"/>
  <c r="E511" i="115"/>
  <c r="G430" i="115"/>
  <c r="C56" i="115"/>
  <c r="C19" i="115"/>
  <c r="D77" i="115"/>
  <c r="D28" i="115"/>
  <c r="C63" i="115"/>
  <c r="D35" i="115"/>
  <c r="D61" i="115"/>
  <c r="C50" i="115"/>
  <c r="D85" i="115"/>
  <c r="C69" i="115"/>
  <c r="D73" i="115"/>
  <c r="E64" i="115"/>
  <c r="E25" i="115"/>
  <c r="E77" i="115"/>
  <c r="F17" i="115"/>
  <c r="F61" i="115"/>
  <c r="F26" i="115"/>
  <c r="F100" i="115"/>
  <c r="F54" i="115"/>
  <c r="G39" i="115"/>
  <c r="G55" i="115"/>
  <c r="G33" i="115"/>
  <c r="G99" i="115"/>
  <c r="G82" i="115"/>
  <c r="F480" i="115"/>
  <c r="G497" i="115"/>
  <c r="C461" i="115"/>
  <c r="C481" i="115"/>
  <c r="D485" i="115"/>
  <c r="D496" i="115"/>
  <c r="D428" i="115"/>
  <c r="G652" i="115"/>
  <c r="E439" i="115"/>
  <c r="E437" i="115"/>
  <c r="G449" i="115"/>
  <c r="G519" i="115"/>
  <c r="C457" i="115"/>
  <c r="G517" i="115"/>
  <c r="E523" i="115"/>
  <c r="C488" i="115"/>
  <c r="C32" i="115"/>
  <c r="D90" i="115"/>
  <c r="D41" i="115"/>
  <c r="C100" i="115"/>
  <c r="C39" i="115"/>
  <c r="C81" i="115"/>
  <c r="D44" i="115"/>
  <c r="C96" i="115"/>
  <c r="D108" i="115"/>
  <c r="D86" i="115"/>
  <c r="E35" i="115"/>
  <c r="E17" i="115"/>
  <c r="E50" i="115"/>
  <c r="E31" i="115"/>
  <c r="F42" i="115"/>
  <c r="F109" i="115"/>
  <c r="F52" i="115"/>
  <c r="F32" i="115"/>
  <c r="F81" i="115"/>
  <c r="G40" i="115"/>
  <c r="G34" i="115"/>
  <c r="G61" i="115"/>
  <c r="G53" i="115"/>
  <c r="G522" i="115"/>
  <c r="F454" i="115"/>
  <c r="G471" i="115"/>
  <c r="C433" i="115"/>
  <c r="E479" i="115"/>
  <c r="E451" i="115"/>
  <c r="C452" i="115"/>
  <c r="E517" i="115"/>
  <c r="F516" i="115"/>
  <c r="C20" i="115"/>
  <c r="D78" i="115"/>
  <c r="D29" i="115"/>
  <c r="C64" i="115"/>
  <c r="C27" i="115"/>
  <c r="C98" i="115"/>
  <c r="C45" i="115"/>
  <c r="D11" i="115"/>
  <c r="C109" i="115"/>
  <c r="C47" i="115"/>
  <c r="E12" i="115"/>
  <c r="E65" i="115"/>
  <c r="E98" i="115"/>
  <c r="E79" i="115"/>
  <c r="F43" i="115"/>
  <c r="F110" i="115"/>
  <c r="F101" i="115"/>
  <c r="F57" i="115"/>
  <c r="F82" i="115"/>
  <c r="G64" i="115"/>
  <c r="G108" i="115"/>
  <c r="G85" i="115"/>
  <c r="G31" i="115"/>
  <c r="G498" i="115"/>
  <c r="E483" i="115"/>
  <c r="F500" i="115"/>
  <c r="G444" i="115"/>
  <c r="D516" i="115"/>
  <c r="D466" i="115"/>
  <c r="C486" i="115"/>
  <c r="F631" i="115"/>
  <c r="D103" i="115"/>
  <c r="D66" i="115"/>
  <c r="D17" i="115"/>
  <c r="C52" i="115"/>
  <c r="C15" i="115"/>
  <c r="C13" i="115"/>
  <c r="C107" i="115"/>
  <c r="D36" i="115"/>
  <c r="D24" i="115"/>
  <c r="D92" i="115"/>
  <c r="E36" i="115"/>
  <c r="E42" i="115"/>
  <c r="E27" i="115"/>
  <c r="E56" i="115"/>
  <c r="F44" i="115"/>
  <c r="F63" i="115"/>
  <c r="F102" i="115"/>
  <c r="F105" i="115"/>
  <c r="G35" i="115"/>
  <c r="G17" i="115"/>
  <c r="G18" i="115"/>
  <c r="G87" i="115"/>
  <c r="G104" i="115"/>
  <c r="C137" i="115"/>
  <c r="D183" i="115"/>
  <c r="C192" i="115"/>
  <c r="E395" i="115"/>
  <c r="G474" i="115"/>
  <c r="E435" i="115"/>
  <c r="F476" i="115"/>
  <c r="F449" i="115"/>
  <c r="D504" i="115"/>
  <c r="G514" i="115"/>
  <c r="C485" i="115"/>
  <c r="G549" i="115"/>
  <c r="D563" i="115"/>
  <c r="F685" i="115"/>
  <c r="G437" i="115"/>
  <c r="D91" i="115"/>
  <c r="D42" i="115"/>
  <c r="C101" i="115"/>
  <c r="C40" i="115"/>
  <c r="C34" i="115"/>
  <c r="C59" i="115"/>
  <c r="D68" i="115"/>
  <c r="C82" i="115"/>
  <c r="D70" i="115"/>
  <c r="C71" i="115"/>
  <c r="E84" i="115"/>
  <c r="E43" i="115"/>
  <c r="E52" i="115"/>
  <c r="E104" i="115"/>
  <c r="F69" i="115"/>
  <c r="F87" i="115"/>
  <c r="F38" i="115"/>
  <c r="F34" i="115"/>
  <c r="G59" i="115"/>
  <c r="G66" i="115"/>
  <c r="G69" i="115"/>
  <c r="G16" i="115"/>
  <c r="G105" i="115"/>
  <c r="F431" i="115"/>
  <c r="D506" i="115"/>
  <c r="E505" i="115"/>
  <c r="F425" i="115"/>
  <c r="G468" i="115"/>
  <c r="D439" i="115"/>
  <c r="C496" i="115"/>
  <c r="G564" i="115"/>
  <c r="G636" i="115"/>
  <c r="E489" i="115"/>
  <c r="D19" i="115"/>
  <c r="C54" i="115"/>
  <c r="C17" i="115"/>
  <c r="D75" i="115"/>
  <c r="C80" i="115"/>
  <c r="D14" i="115"/>
  <c r="D47" i="115"/>
  <c r="C38" i="115"/>
  <c r="C95" i="115"/>
  <c r="D45" i="115"/>
  <c r="E109" i="115"/>
  <c r="E21" i="115"/>
  <c r="E82" i="115"/>
  <c r="F83" i="115"/>
  <c r="F29" i="115"/>
  <c r="F20" i="115"/>
  <c r="F23" i="115"/>
  <c r="F91" i="115"/>
  <c r="G84" i="115"/>
  <c r="G97" i="115"/>
  <c r="G49" i="115"/>
  <c r="G19" i="115"/>
  <c r="G51" i="115"/>
  <c r="G286" i="115"/>
  <c r="D376" i="115"/>
  <c r="C447" i="115"/>
  <c r="C434" i="115"/>
  <c r="G518" i="115"/>
  <c r="C456" i="115"/>
  <c r="E476" i="115"/>
  <c r="C514" i="115"/>
  <c r="D367" i="115"/>
  <c r="F482" i="115"/>
  <c r="C103" i="115"/>
  <c r="C42" i="115"/>
  <c r="D100" i="115"/>
  <c r="D63" i="115"/>
  <c r="C97" i="115"/>
  <c r="C83" i="115"/>
  <c r="C48" i="115"/>
  <c r="D83" i="115"/>
  <c r="C33" i="115"/>
  <c r="C25" i="115"/>
  <c r="E62" i="115"/>
  <c r="E45" i="115"/>
  <c r="E20" i="115"/>
  <c r="F107" i="115"/>
  <c r="F80" i="115"/>
  <c r="F92" i="115"/>
  <c r="F24" i="115"/>
  <c r="F21" i="115"/>
  <c r="G109" i="115"/>
  <c r="G98" i="115"/>
  <c r="G50" i="115"/>
  <c r="G67" i="115"/>
  <c r="G76" i="115"/>
  <c r="C177" i="115"/>
  <c r="D139" i="115"/>
  <c r="G264" i="115"/>
  <c r="C413" i="115"/>
  <c r="E495" i="115"/>
  <c r="D515" i="115"/>
  <c r="G494" i="115"/>
  <c r="G515" i="115"/>
  <c r="C431" i="115"/>
  <c r="C454" i="115"/>
  <c r="C586" i="115"/>
  <c r="G563" i="115"/>
  <c r="G585" i="115"/>
  <c r="F468" i="115"/>
  <c r="E464" i="115"/>
  <c r="G417" i="115"/>
  <c r="G337" i="115"/>
  <c r="G345" i="115"/>
  <c r="G382" i="115"/>
  <c r="E364" i="115"/>
  <c r="G348" i="115"/>
  <c r="G413" i="115"/>
  <c r="E347" i="115"/>
  <c r="G491" i="115"/>
  <c r="G530" i="115"/>
  <c r="G440" i="115"/>
  <c r="G454" i="115"/>
  <c r="G365" i="115"/>
  <c r="E371" i="115"/>
  <c r="G453" i="115"/>
  <c r="E416" i="115"/>
  <c r="G341" i="115"/>
  <c r="G387" i="115"/>
  <c r="E399" i="115"/>
  <c r="G600" i="115"/>
  <c r="G352" i="115"/>
  <c r="G363" i="115"/>
  <c r="E328" i="115"/>
  <c r="G528" i="115"/>
  <c r="G566" i="115"/>
  <c r="G323" i="115"/>
  <c r="E389" i="115"/>
  <c r="G362" i="115"/>
  <c r="E354" i="115"/>
  <c r="G541" i="115"/>
  <c r="G586" i="115"/>
  <c r="G404" i="115"/>
  <c r="G379" i="115"/>
  <c r="G409" i="115"/>
  <c r="E402" i="115"/>
  <c r="E386" i="115"/>
  <c r="G102" i="115"/>
  <c r="G103" i="115"/>
  <c r="G48" i="115"/>
  <c r="G54" i="115"/>
  <c r="F242" i="115"/>
  <c r="G385" i="115"/>
  <c r="E331" i="115"/>
  <c r="G450" i="115"/>
  <c r="G447" i="115"/>
  <c r="G551" i="115"/>
  <c r="G569" i="115"/>
  <c r="F506" i="115"/>
  <c r="G394" i="115"/>
  <c r="G361" i="115"/>
  <c r="E403" i="115"/>
  <c r="G609" i="115"/>
  <c r="F513" i="115"/>
  <c r="G452" i="115"/>
  <c r="E60" i="115"/>
  <c r="E87" i="115"/>
  <c r="E91" i="115"/>
  <c r="E72" i="115"/>
  <c r="E81" i="115"/>
  <c r="E102" i="115"/>
  <c r="F208" i="115"/>
  <c r="E162" i="115"/>
  <c r="G308" i="115"/>
  <c r="F372" i="115"/>
  <c r="E377" i="115"/>
  <c r="C389" i="115"/>
  <c r="E508" i="115"/>
  <c r="E507" i="115"/>
  <c r="G492" i="115"/>
  <c r="E478" i="115"/>
  <c r="E455" i="115"/>
  <c r="F607" i="115"/>
  <c r="E607" i="115"/>
  <c r="F638" i="115"/>
  <c r="F691" i="115"/>
  <c r="G512" i="115"/>
  <c r="F207" i="115"/>
  <c r="F188" i="115"/>
  <c r="F300" i="115"/>
  <c r="D389" i="115"/>
  <c r="E460" i="115"/>
  <c r="E459" i="115"/>
  <c r="E449" i="115"/>
  <c r="E430" i="115"/>
  <c r="F647" i="115"/>
  <c r="F664" i="115"/>
  <c r="E512" i="115"/>
  <c r="E490" i="115"/>
  <c r="F296" i="115"/>
  <c r="F247" i="115"/>
  <c r="E85" i="115"/>
  <c r="E41" i="115"/>
  <c r="E69" i="115"/>
  <c r="E75" i="115"/>
  <c r="E49" i="115"/>
  <c r="E58" i="115"/>
  <c r="F181" i="115"/>
  <c r="F271" i="115"/>
  <c r="F417" i="115"/>
  <c r="C381" i="115"/>
  <c r="E506" i="115"/>
  <c r="E425" i="115"/>
  <c r="F676" i="115"/>
  <c r="G728" i="115"/>
  <c r="E438" i="115"/>
  <c r="G678" i="115"/>
  <c r="C385" i="115"/>
  <c r="F166" i="115"/>
  <c r="F249" i="115"/>
  <c r="E14" i="115"/>
  <c r="E89" i="115"/>
  <c r="E22" i="115"/>
  <c r="E100" i="115"/>
  <c r="E26" i="115"/>
  <c r="E29" i="115"/>
  <c r="E194" i="115"/>
  <c r="E120" i="115"/>
  <c r="F256" i="115"/>
  <c r="E374" i="115"/>
  <c r="C343" i="115"/>
  <c r="E485" i="115"/>
  <c r="E520" i="115"/>
  <c r="E458" i="115"/>
  <c r="E524" i="115"/>
  <c r="E450" i="115"/>
  <c r="F707" i="115"/>
  <c r="F517" i="115"/>
  <c r="E516" i="115"/>
  <c r="G476" i="115"/>
  <c r="E388" i="115"/>
  <c r="E38" i="115"/>
  <c r="E18" i="115"/>
  <c r="E46" i="115"/>
  <c r="E53" i="115"/>
  <c r="E74" i="115"/>
  <c r="E80" i="115"/>
  <c r="E173" i="115"/>
  <c r="E184" i="115"/>
  <c r="F251" i="115"/>
  <c r="E348" i="115"/>
  <c r="D337" i="115"/>
  <c r="E461" i="115"/>
  <c r="E500" i="115"/>
  <c r="F634" i="115"/>
  <c r="E463" i="115"/>
  <c r="E486" i="115"/>
  <c r="E59" i="115"/>
  <c r="E86" i="115"/>
  <c r="E66" i="115"/>
  <c r="E94" i="115"/>
  <c r="E30" i="115"/>
  <c r="E99" i="115"/>
  <c r="E117" i="115"/>
  <c r="F327" i="115"/>
  <c r="F415" i="115"/>
  <c r="E327" i="115"/>
  <c r="E357" i="115"/>
  <c r="E481" i="115"/>
  <c r="G709" i="115"/>
  <c r="G695" i="115"/>
  <c r="E468" i="115"/>
  <c r="E466" i="115"/>
  <c r="E368" i="115"/>
  <c r="E83" i="115"/>
  <c r="E110" i="115"/>
  <c r="E90" i="115"/>
  <c r="E23" i="115"/>
  <c r="E78" i="115"/>
  <c r="E28" i="115"/>
  <c r="F116" i="115"/>
  <c r="E351" i="115"/>
  <c r="C357" i="115"/>
  <c r="E457" i="115"/>
  <c r="E499" i="115"/>
  <c r="F674" i="115"/>
  <c r="E509" i="115"/>
  <c r="E469" i="115"/>
  <c r="E107" i="115"/>
  <c r="E15" i="115"/>
  <c r="E19" i="115"/>
  <c r="E71" i="115"/>
  <c r="E55" i="115"/>
  <c r="E166" i="115"/>
  <c r="G241" i="115"/>
  <c r="E375" i="115"/>
  <c r="C374" i="115"/>
  <c r="E501" i="115"/>
  <c r="G469" i="115"/>
  <c r="E427" i="115"/>
  <c r="E522" i="115"/>
  <c r="E602" i="115"/>
  <c r="F722" i="115"/>
  <c r="E518" i="115"/>
  <c r="E493" i="115"/>
  <c r="E418" i="115"/>
  <c r="G291" i="115"/>
  <c r="C400" i="115"/>
  <c r="E453" i="115"/>
  <c r="E503" i="115"/>
  <c r="E498" i="115"/>
  <c r="F660" i="115"/>
  <c r="E515" i="115"/>
  <c r="F176" i="115"/>
  <c r="F177" i="115"/>
  <c r="F152" i="115"/>
  <c r="F137" i="115"/>
  <c r="C252" i="115"/>
  <c r="F544" i="115"/>
  <c r="E192" i="115"/>
  <c r="E144" i="115"/>
  <c r="E189" i="115"/>
  <c r="E146" i="115"/>
  <c r="E136" i="115"/>
  <c r="G309" i="115"/>
  <c r="E583" i="115"/>
  <c r="E530" i="115"/>
  <c r="G720" i="115"/>
  <c r="G673" i="115"/>
  <c r="G645" i="115"/>
  <c r="E197" i="115"/>
  <c r="E167" i="115"/>
  <c r="E195" i="115"/>
  <c r="E121" i="115"/>
  <c r="G315" i="115"/>
  <c r="E298" i="115"/>
  <c r="E535" i="115"/>
  <c r="G719" i="115"/>
  <c r="G637" i="115"/>
  <c r="G669" i="115"/>
  <c r="E593" i="115"/>
  <c r="E154" i="115"/>
  <c r="E163" i="115"/>
  <c r="E145" i="115"/>
  <c r="E589" i="115"/>
  <c r="E605" i="115"/>
  <c r="G683" i="115"/>
  <c r="G631" i="115"/>
  <c r="E567" i="115"/>
  <c r="E594" i="115"/>
  <c r="E130" i="115"/>
  <c r="E190" i="115"/>
  <c r="E135" i="115"/>
  <c r="G238" i="115"/>
  <c r="E586" i="115"/>
  <c r="E604" i="115"/>
  <c r="E581" i="115"/>
  <c r="E627" i="115"/>
  <c r="E625" i="115"/>
  <c r="E598" i="115"/>
  <c r="G715" i="115"/>
  <c r="G703" i="115"/>
  <c r="E571" i="115"/>
  <c r="E614" i="115"/>
  <c r="E590" i="115"/>
  <c r="E562" i="115"/>
  <c r="E580" i="115"/>
  <c r="E603" i="115"/>
  <c r="E601" i="115"/>
  <c r="E550" i="115"/>
  <c r="E566" i="115"/>
  <c r="E542" i="115"/>
  <c r="E176" i="115"/>
  <c r="E160" i="115"/>
  <c r="G312" i="115"/>
  <c r="E612" i="115"/>
  <c r="E538" i="115"/>
  <c r="E556" i="115"/>
  <c r="E579" i="115"/>
  <c r="E577" i="115"/>
  <c r="G632" i="115"/>
  <c r="E545" i="115"/>
  <c r="E613" i="115"/>
  <c r="E153" i="115"/>
  <c r="E172" i="115"/>
  <c r="E147" i="115"/>
  <c r="E137" i="115"/>
  <c r="E142" i="115"/>
  <c r="E164" i="115"/>
  <c r="E139" i="115"/>
  <c r="G288" i="115"/>
  <c r="D417" i="115"/>
  <c r="E504" i="115"/>
  <c r="E448" i="115"/>
  <c r="E588" i="115"/>
  <c r="D573" i="115"/>
  <c r="E532" i="115"/>
  <c r="E606" i="115"/>
  <c r="E555" i="115"/>
  <c r="E529" i="115"/>
  <c r="D567" i="115"/>
  <c r="G688" i="115"/>
  <c r="G642" i="115"/>
  <c r="G672" i="115"/>
  <c r="G656" i="115"/>
  <c r="E570" i="115"/>
  <c r="G654" i="115"/>
  <c r="E615" i="115"/>
  <c r="E564" i="115"/>
  <c r="E624" i="115"/>
  <c r="E582" i="115"/>
  <c r="E531" i="115"/>
  <c r="E561" i="115"/>
  <c r="E127" i="115"/>
  <c r="E209" i="115"/>
  <c r="G311" i="115"/>
  <c r="E540" i="115"/>
  <c r="E576" i="115"/>
  <c r="E558" i="115"/>
  <c r="E600" i="115"/>
  <c r="F717" i="115"/>
  <c r="C680" i="115"/>
  <c r="G635" i="115"/>
  <c r="G729" i="115"/>
  <c r="E152" i="115"/>
  <c r="E510" i="115"/>
  <c r="F659" i="115"/>
  <c r="E171" i="115"/>
  <c r="E169" i="115"/>
  <c r="E140" i="115"/>
  <c r="E186" i="115"/>
  <c r="G287" i="115"/>
  <c r="E528" i="115"/>
  <c r="E534" i="115"/>
  <c r="E553" i="115"/>
  <c r="E552" i="115"/>
  <c r="G676" i="115"/>
  <c r="G634" i="115"/>
  <c r="G691" i="115"/>
  <c r="F408" i="115"/>
  <c r="E609" i="115"/>
  <c r="E174" i="115"/>
  <c r="E211" i="115"/>
  <c r="E114" i="115"/>
  <c r="E208" i="115"/>
  <c r="G292" i="115"/>
  <c r="E608" i="115"/>
  <c r="E623" i="115"/>
  <c r="E620" i="115"/>
  <c r="G723" i="115"/>
  <c r="G640" i="115"/>
  <c r="G702" i="115"/>
  <c r="G682" i="115"/>
  <c r="E177" i="115"/>
  <c r="G697" i="115"/>
  <c r="E618" i="115"/>
  <c r="E132" i="115"/>
  <c r="E150" i="115"/>
  <c r="E122" i="115"/>
  <c r="E168" i="115"/>
  <c r="E205" i="115"/>
  <c r="E207" i="115"/>
  <c r="G244" i="115"/>
  <c r="F324" i="115"/>
  <c r="C387" i="115"/>
  <c r="E428" i="115"/>
  <c r="G625" i="115"/>
  <c r="E584" i="115"/>
  <c r="E575" i="115"/>
  <c r="G619" i="115"/>
  <c r="C567" i="115"/>
  <c r="E599" i="115"/>
  <c r="E596" i="115"/>
  <c r="G650" i="115"/>
  <c r="G710" i="115"/>
  <c r="G641" i="115"/>
  <c r="G730" i="115"/>
  <c r="G662" i="115"/>
  <c r="E547" i="115"/>
  <c r="E128" i="115"/>
  <c r="E199" i="115"/>
  <c r="E126" i="115"/>
  <c r="E181" i="115"/>
  <c r="E185" i="115"/>
  <c r="E159" i="115"/>
  <c r="G242" i="115"/>
  <c r="C411" i="115"/>
  <c r="E519" i="115"/>
  <c r="E611" i="115"/>
  <c r="E560" i="115"/>
  <c r="G621" i="115"/>
  <c r="G570" i="115"/>
  <c r="G544" i="115"/>
  <c r="C617" i="115"/>
  <c r="E572" i="115"/>
  <c r="G721" i="115"/>
  <c r="G638" i="115"/>
  <c r="G713" i="115"/>
  <c r="G699" i="115"/>
  <c r="G661" i="115"/>
  <c r="E494" i="115"/>
  <c r="E544" i="115"/>
  <c r="G301" i="115"/>
  <c r="E592" i="115"/>
  <c r="E488" i="115"/>
  <c r="E193" i="115"/>
  <c r="E157" i="115"/>
  <c r="G218" i="115"/>
  <c r="F323" i="115"/>
  <c r="E587" i="115"/>
  <c r="E536" i="115"/>
  <c r="E549" i="115"/>
  <c r="E626" i="115"/>
  <c r="E597" i="115"/>
  <c r="E548" i="115"/>
  <c r="G649" i="115"/>
  <c r="G668" i="115"/>
  <c r="G696" i="115"/>
  <c r="E568" i="115"/>
  <c r="G231" i="115"/>
  <c r="E591" i="115"/>
  <c r="C91" i="115"/>
  <c r="C90" i="115"/>
  <c r="C89" i="115"/>
  <c r="C88" i="115"/>
  <c r="C87" i="115"/>
  <c r="C35" i="115"/>
  <c r="C60" i="115"/>
  <c r="C23" i="115"/>
  <c r="C36" i="115"/>
  <c r="C46" i="115"/>
  <c r="D21" i="115"/>
  <c r="C70" i="115"/>
  <c r="F60" i="115"/>
  <c r="F77" i="115"/>
  <c r="F41" i="115"/>
  <c r="F56" i="115"/>
  <c r="F31" i="115"/>
  <c r="F50" i="115"/>
  <c r="G14" i="115"/>
  <c r="G46" i="115"/>
  <c r="G20" i="115"/>
  <c r="G106" i="115"/>
  <c r="G93" i="115"/>
  <c r="G73" i="115"/>
  <c r="E123" i="115"/>
  <c r="E148" i="115"/>
  <c r="D173" i="115"/>
  <c r="E212" i="115"/>
  <c r="E133" i="115"/>
  <c r="E115" i="115"/>
  <c r="C203" i="115"/>
  <c r="E188" i="115"/>
  <c r="E158" i="115"/>
  <c r="G310" i="115"/>
  <c r="F290" i="115"/>
  <c r="G391" i="115"/>
  <c r="G339" i="115"/>
  <c r="E419" i="115"/>
  <c r="E355" i="115"/>
  <c r="D387" i="115"/>
  <c r="D471" i="115"/>
  <c r="D452" i="115"/>
  <c r="F453" i="115"/>
  <c r="D441" i="115"/>
  <c r="F522" i="115"/>
  <c r="C487" i="115"/>
  <c r="D484" i="115"/>
  <c r="E565" i="115"/>
  <c r="E563" i="115"/>
  <c r="D613" i="115"/>
  <c r="D618" i="115"/>
  <c r="E557" i="115"/>
  <c r="E578" i="115"/>
  <c r="E551" i="115"/>
  <c r="E621" i="115"/>
  <c r="G690" i="115"/>
  <c r="G684" i="115"/>
  <c r="G675" i="115"/>
  <c r="F662" i="115"/>
  <c r="G646" i="115"/>
  <c r="G666" i="115"/>
  <c r="E390" i="115"/>
  <c r="F727" i="115"/>
  <c r="G433" i="115"/>
  <c r="E616" i="115"/>
  <c r="E179" i="115"/>
  <c r="E382" i="115"/>
  <c r="E415" i="115"/>
  <c r="C79" i="115"/>
  <c r="C78" i="115"/>
  <c r="C77" i="115"/>
  <c r="C76" i="115"/>
  <c r="C75" i="115"/>
  <c r="C58" i="115"/>
  <c r="D104" i="115"/>
  <c r="C108" i="115"/>
  <c r="D98" i="115"/>
  <c r="C86" i="115"/>
  <c r="D106" i="115"/>
  <c r="D109" i="115"/>
  <c r="F84" i="115"/>
  <c r="F30" i="115"/>
  <c r="F18" i="115"/>
  <c r="F14" i="115"/>
  <c r="F103" i="115"/>
  <c r="F51" i="115"/>
  <c r="G38" i="115"/>
  <c r="G23" i="115"/>
  <c r="G92" i="115"/>
  <c r="G13" i="115"/>
  <c r="G47" i="115"/>
  <c r="G74" i="115"/>
  <c r="E170" i="115"/>
  <c r="E198" i="115"/>
  <c r="D207" i="115"/>
  <c r="E196" i="115"/>
  <c r="D203" i="115"/>
  <c r="C200" i="115"/>
  <c r="E210" i="115"/>
  <c r="C119" i="115"/>
  <c r="E116" i="115"/>
  <c r="D164" i="115"/>
  <c r="G262" i="115"/>
  <c r="F269" i="115"/>
  <c r="G368" i="115"/>
  <c r="G386" i="115"/>
  <c r="E325" i="115"/>
  <c r="E379" i="115"/>
  <c r="C376" i="115"/>
  <c r="D435" i="115"/>
  <c r="C524" i="115"/>
  <c r="D474" i="115"/>
  <c r="F450" i="115"/>
  <c r="C503" i="115"/>
  <c r="D508" i="115"/>
  <c r="C520" i="115"/>
  <c r="E541" i="115"/>
  <c r="E539" i="115"/>
  <c r="C528" i="115"/>
  <c r="D594" i="115"/>
  <c r="C595" i="115"/>
  <c r="C591" i="115"/>
  <c r="E554" i="115"/>
  <c r="C556" i="115"/>
  <c r="E573" i="115"/>
  <c r="G653" i="115"/>
  <c r="G648" i="115"/>
  <c r="G639" i="115"/>
  <c r="F686" i="115"/>
  <c r="G694" i="115"/>
  <c r="G700" i="115"/>
  <c r="E178" i="115"/>
  <c r="G659" i="115"/>
  <c r="E543" i="115"/>
  <c r="E204" i="115"/>
  <c r="F229" i="115"/>
  <c r="F515" i="115"/>
  <c r="E336" i="115"/>
  <c r="C438" i="115"/>
  <c r="C443" i="115"/>
  <c r="C587" i="115"/>
  <c r="C610" i="115"/>
  <c r="D552" i="115"/>
  <c r="C532" i="115"/>
  <c r="F719" i="115"/>
  <c r="F677" i="115"/>
  <c r="F704" i="115"/>
  <c r="F710" i="115"/>
  <c r="G718" i="115"/>
  <c r="G664" i="115"/>
  <c r="G257" i="115"/>
  <c r="E203" i="115"/>
  <c r="F276" i="115"/>
  <c r="D404" i="115"/>
  <c r="F310" i="115"/>
  <c r="F264" i="115"/>
  <c r="F507" i="115"/>
  <c r="G316" i="115"/>
  <c r="F492" i="115"/>
  <c r="C509" i="115"/>
  <c r="D571" i="115"/>
  <c r="C570" i="115"/>
  <c r="D589" i="115"/>
  <c r="G651" i="115"/>
  <c r="G677" i="115"/>
  <c r="F670" i="115"/>
  <c r="G689" i="115"/>
  <c r="G704" i="115"/>
  <c r="F504" i="115"/>
  <c r="G698" i="115"/>
  <c r="F330" i="115"/>
  <c r="F692" i="115"/>
  <c r="F383" i="115"/>
  <c r="D55" i="115"/>
  <c r="D54" i="115"/>
  <c r="D53" i="115"/>
  <c r="D52" i="115"/>
  <c r="D51" i="115"/>
  <c r="D34" i="115"/>
  <c r="D81" i="115"/>
  <c r="D84" i="115"/>
  <c r="D94" i="115"/>
  <c r="C84" i="115"/>
  <c r="D72" i="115"/>
  <c r="C49" i="115"/>
  <c r="F59" i="115"/>
  <c r="F47" i="115"/>
  <c r="F15" i="115"/>
  <c r="F98" i="115"/>
  <c r="F74" i="115"/>
  <c r="F68" i="115"/>
  <c r="G12" i="115"/>
  <c r="G65" i="115"/>
  <c r="G56" i="115"/>
  <c r="G29" i="115"/>
  <c r="G90" i="115"/>
  <c r="G58" i="115"/>
  <c r="E151" i="115"/>
  <c r="C166" i="115"/>
  <c r="E125" i="115"/>
  <c r="D133" i="115"/>
  <c r="E119" i="115"/>
  <c r="E182" i="115"/>
  <c r="D144" i="115"/>
  <c r="E213" i="115"/>
  <c r="E183" i="115"/>
  <c r="E206" i="115"/>
  <c r="G268" i="115"/>
  <c r="G240" i="115"/>
  <c r="G370" i="115"/>
  <c r="G340" i="115"/>
  <c r="E407" i="115"/>
  <c r="E353" i="115"/>
  <c r="D394" i="115"/>
  <c r="G451" i="115"/>
  <c r="C507" i="115"/>
  <c r="D491" i="115"/>
  <c r="C445" i="115"/>
  <c r="C523" i="115"/>
  <c r="C460" i="115"/>
  <c r="D460" i="115"/>
  <c r="D461" i="115"/>
  <c r="D538" i="115"/>
  <c r="D597" i="115"/>
  <c r="E559" i="115"/>
  <c r="C557" i="115"/>
  <c r="E574" i="115"/>
  <c r="F643" i="115"/>
  <c r="F706" i="115"/>
  <c r="F698" i="115"/>
  <c r="G644" i="115"/>
  <c r="G705" i="115"/>
  <c r="F233" i="115"/>
  <c r="F689" i="115"/>
  <c r="E385" i="115"/>
  <c r="E617" i="115"/>
  <c r="E569" i="115"/>
  <c r="E156" i="115"/>
  <c r="F362" i="115"/>
  <c r="G459" i="115"/>
  <c r="D355" i="115"/>
  <c r="D323" i="115"/>
  <c r="F658" i="115"/>
  <c r="E408" i="115"/>
  <c r="F407" i="115"/>
  <c r="E417" i="115"/>
  <c r="G192" i="115"/>
  <c r="G140" i="115"/>
  <c r="G150" i="115"/>
  <c r="G132" i="115"/>
  <c r="G181" i="115"/>
  <c r="G126" i="115"/>
  <c r="F313" i="115"/>
  <c r="F223" i="115"/>
  <c r="F252" i="115"/>
  <c r="F237" i="115"/>
  <c r="F279" i="115"/>
  <c r="G207" i="115"/>
  <c r="G163" i="115"/>
  <c r="G208" i="115"/>
  <c r="G131" i="115"/>
  <c r="F291" i="115"/>
  <c r="F295" i="115"/>
  <c r="G194" i="115"/>
  <c r="G186" i="115"/>
  <c r="G155" i="115"/>
  <c r="G193" i="115"/>
  <c r="G138" i="115"/>
  <c r="G203" i="115"/>
  <c r="G136" i="115"/>
  <c r="F246" i="115"/>
  <c r="F273" i="115"/>
  <c r="G161" i="115"/>
  <c r="G115" i="115"/>
  <c r="G189" i="115"/>
  <c r="G182" i="115"/>
  <c r="G212" i="115"/>
  <c r="G183" i="115"/>
  <c r="F301" i="115"/>
  <c r="F294" i="115"/>
  <c r="F262" i="115"/>
  <c r="G160" i="115"/>
  <c r="G152" i="115"/>
  <c r="G165" i="115"/>
  <c r="G188" i="115"/>
  <c r="G202" i="115"/>
  <c r="F259" i="115"/>
  <c r="F224" i="115"/>
  <c r="F257" i="115"/>
  <c r="G191" i="115"/>
  <c r="G123" i="115"/>
  <c r="G141" i="115"/>
  <c r="G164" i="115"/>
  <c r="G201" i="115"/>
  <c r="F258" i="115"/>
  <c r="F248" i="115"/>
  <c r="F298" i="115"/>
  <c r="G171" i="115"/>
  <c r="E129" i="115"/>
  <c r="E200" i="115"/>
  <c r="G153" i="115"/>
  <c r="G134" i="115"/>
  <c r="G116" i="115"/>
  <c r="G206" i="115"/>
  <c r="F241" i="115"/>
  <c r="F217" i="115"/>
  <c r="C235" i="115"/>
  <c r="F304" i="115"/>
  <c r="F302" i="115"/>
  <c r="G211" i="115"/>
  <c r="G198" i="115"/>
  <c r="F219" i="115"/>
  <c r="F314" i="115"/>
  <c r="F288" i="115"/>
  <c r="F280" i="115"/>
  <c r="F261" i="115"/>
  <c r="G162" i="115"/>
  <c r="G176" i="115"/>
  <c r="G179" i="115"/>
  <c r="F220" i="115"/>
  <c r="F267" i="115"/>
  <c r="F286" i="115"/>
  <c r="F281" i="115"/>
  <c r="F307" i="115"/>
  <c r="F278" i="115"/>
  <c r="G127" i="115"/>
  <c r="G157" i="115"/>
  <c r="G174" i="115"/>
  <c r="F244" i="115"/>
  <c r="F315" i="115"/>
  <c r="F253" i="115"/>
  <c r="F305" i="115"/>
  <c r="E180" i="115"/>
  <c r="G146" i="115"/>
  <c r="G205" i="115"/>
  <c r="F292" i="115"/>
  <c r="F293" i="115"/>
  <c r="F254" i="115"/>
  <c r="E155" i="115"/>
  <c r="G142" i="115"/>
  <c r="G185" i="115"/>
  <c r="G199" i="115"/>
  <c r="G173" i="115"/>
  <c r="F316" i="115"/>
  <c r="F270" i="115"/>
  <c r="F285" i="115"/>
  <c r="F414" i="115"/>
  <c r="C403" i="115"/>
  <c r="D418" i="115"/>
  <c r="C417" i="115"/>
  <c r="C398" i="115"/>
  <c r="D411" i="115"/>
  <c r="D412" i="115"/>
  <c r="C330" i="115"/>
  <c r="C597" i="115"/>
  <c r="D528" i="115"/>
  <c r="C559" i="115"/>
  <c r="D604" i="115"/>
  <c r="C572" i="115"/>
  <c r="C541" i="115"/>
  <c r="C603" i="115"/>
  <c r="C614" i="115"/>
  <c r="D529" i="115"/>
  <c r="F339" i="115"/>
  <c r="C416" i="115"/>
  <c r="F240" i="115"/>
  <c r="F400" i="115"/>
  <c r="F361" i="115"/>
  <c r="F328" i="115"/>
  <c r="F263" i="115"/>
  <c r="F227" i="115"/>
  <c r="C205" i="115"/>
  <c r="D136" i="115"/>
  <c r="C136" i="115"/>
  <c r="C135" i="115"/>
  <c r="C145" i="115"/>
  <c r="D192" i="115"/>
  <c r="C188" i="115"/>
  <c r="C181" i="115"/>
  <c r="C167" i="115"/>
  <c r="C144" i="115"/>
  <c r="C178" i="115"/>
  <c r="D115" i="115"/>
  <c r="C211" i="115"/>
  <c r="F397" i="115"/>
  <c r="F416" i="115"/>
  <c r="F390" i="115"/>
  <c r="D381" i="115"/>
  <c r="D396" i="115"/>
  <c r="C395" i="115"/>
  <c r="C410" i="115"/>
  <c r="D410" i="115"/>
  <c r="C329" i="115"/>
  <c r="C342" i="115"/>
  <c r="D622" i="115"/>
  <c r="C585" i="115"/>
  <c r="D580" i="115"/>
  <c r="C560" i="115"/>
  <c r="D625" i="115"/>
  <c r="D568" i="115"/>
  <c r="C579" i="115"/>
  <c r="C602" i="115"/>
  <c r="F644" i="115"/>
  <c r="F649" i="115"/>
  <c r="F231" i="115"/>
  <c r="F728" i="115"/>
  <c r="C361" i="115"/>
  <c r="F353" i="115"/>
  <c r="F308" i="115"/>
  <c r="G510" i="115"/>
  <c r="F385" i="115"/>
  <c r="G502" i="115"/>
  <c r="G228" i="115"/>
  <c r="C183" i="115"/>
  <c r="D124" i="115"/>
  <c r="C124" i="115"/>
  <c r="C159" i="115"/>
  <c r="D156" i="115"/>
  <c r="C130" i="115"/>
  <c r="C164" i="115"/>
  <c r="C133" i="115"/>
  <c r="C131" i="115"/>
  <c r="C142" i="115"/>
  <c r="D197" i="115"/>
  <c r="C163" i="115"/>
  <c r="F265" i="115"/>
  <c r="F218" i="115"/>
  <c r="F297" i="115"/>
  <c r="F373" i="115"/>
  <c r="F418" i="115"/>
  <c r="F392" i="115"/>
  <c r="F366" i="115"/>
  <c r="D360" i="115"/>
  <c r="C380" i="115"/>
  <c r="D374" i="115"/>
  <c r="C339" i="115"/>
  <c r="C328" i="115"/>
  <c r="C341" i="115"/>
  <c r="C354" i="115"/>
  <c r="G427" i="115"/>
  <c r="C429" i="115"/>
  <c r="D434" i="115"/>
  <c r="D479" i="115"/>
  <c r="G470" i="115"/>
  <c r="C463" i="115"/>
  <c r="D444" i="115"/>
  <c r="C479" i="115"/>
  <c r="C450" i="115"/>
  <c r="D610" i="115"/>
  <c r="C573" i="115"/>
  <c r="D556" i="115"/>
  <c r="C548" i="115"/>
  <c r="C565" i="115"/>
  <c r="C616" i="115"/>
  <c r="C592" i="115"/>
  <c r="C543" i="115"/>
  <c r="C578" i="115"/>
  <c r="G722" i="115"/>
  <c r="G647" i="115"/>
  <c r="F669" i="115"/>
  <c r="F697" i="115"/>
  <c r="G707" i="115"/>
  <c r="G693" i="115"/>
  <c r="G633" i="115"/>
  <c r="D393" i="115"/>
  <c r="E513" i="115"/>
  <c r="F282" i="115"/>
  <c r="G701" i="115"/>
  <c r="E470" i="115"/>
  <c r="E514" i="115"/>
  <c r="F235" i="115"/>
  <c r="F465" i="115"/>
  <c r="G464" i="115"/>
  <c r="F337" i="115"/>
  <c r="G500" i="115"/>
  <c r="G283" i="115"/>
  <c r="C147" i="115"/>
  <c r="D132" i="115"/>
  <c r="C150" i="115"/>
  <c r="D182" i="115"/>
  <c r="D210" i="115"/>
  <c r="D120" i="115"/>
  <c r="C152" i="115"/>
  <c r="D191" i="115"/>
  <c r="C118" i="115"/>
  <c r="C132" i="115"/>
  <c r="D213" i="115"/>
  <c r="D161" i="115"/>
  <c r="C127" i="115"/>
  <c r="F289" i="115"/>
  <c r="F266" i="115"/>
  <c r="F349" i="115"/>
  <c r="F394" i="115"/>
  <c r="F368" i="115"/>
  <c r="F342" i="115"/>
  <c r="C344" i="115"/>
  <c r="C418" i="115"/>
  <c r="D336" i="115"/>
  <c r="C351" i="115"/>
  <c r="C340" i="115"/>
  <c r="C353" i="115"/>
  <c r="C366" i="115"/>
  <c r="C451" i="115"/>
  <c r="D467" i="115"/>
  <c r="G446" i="115"/>
  <c r="C439" i="115"/>
  <c r="D432" i="115"/>
  <c r="C455" i="115"/>
  <c r="D502" i="115"/>
  <c r="C449" i="115"/>
  <c r="D464" i="115"/>
  <c r="D598" i="115"/>
  <c r="C561" i="115"/>
  <c r="C536" i="115"/>
  <c r="C604" i="115"/>
  <c r="D627" i="115"/>
  <c r="D554" i="115"/>
  <c r="C566" i="115"/>
  <c r="G725" i="115"/>
  <c r="G686" i="115"/>
  <c r="F712" i="115"/>
  <c r="G711" i="115"/>
  <c r="F650" i="115"/>
  <c r="G671" i="115"/>
  <c r="G717" i="115"/>
  <c r="G657" i="115"/>
  <c r="F463" i="115"/>
  <c r="G293" i="115"/>
  <c r="E442" i="115"/>
  <c r="F236" i="115"/>
  <c r="E491" i="115"/>
  <c r="E487" i="115"/>
  <c r="E443" i="115"/>
  <c r="F683" i="115"/>
  <c r="F309" i="115"/>
  <c r="G143" i="115"/>
  <c r="G270" i="115"/>
  <c r="F334" i="115"/>
  <c r="G477" i="115"/>
  <c r="G503" i="115"/>
  <c r="C123" i="115"/>
  <c r="D134" i="115"/>
  <c r="D186" i="115"/>
  <c r="D206" i="115"/>
  <c r="D189" i="115"/>
  <c r="C140" i="115"/>
  <c r="D170" i="115"/>
  <c r="D131" i="115"/>
  <c r="D165" i="115"/>
  <c r="D125" i="115"/>
  <c r="C186" i="115"/>
  <c r="F375" i="115"/>
  <c r="F325" i="115"/>
  <c r="F370" i="115"/>
  <c r="F344" i="115"/>
  <c r="C323" i="115"/>
  <c r="D379" i="115"/>
  <c r="C320" i="115"/>
  <c r="C363" i="115"/>
  <c r="C352" i="115"/>
  <c r="C365" i="115"/>
  <c r="C378" i="115"/>
  <c r="C611" i="115"/>
  <c r="D586" i="115"/>
  <c r="D621" i="115"/>
  <c r="C549" i="115"/>
  <c r="D619" i="115"/>
  <c r="C618" i="115"/>
  <c r="C605" i="115"/>
  <c r="C580" i="115"/>
  <c r="C626" i="115"/>
  <c r="D615" i="115"/>
  <c r="C600" i="115"/>
  <c r="C542" i="115"/>
  <c r="F359" i="115"/>
  <c r="F357" i="115"/>
  <c r="C180" i="115"/>
  <c r="D162" i="115"/>
  <c r="D158" i="115"/>
  <c r="C128" i="115"/>
  <c r="D180" i="115"/>
  <c r="D190" i="115"/>
  <c r="D117" i="115"/>
  <c r="D153" i="115"/>
  <c r="C138" i="115"/>
  <c r="F351" i="115"/>
  <c r="F396" i="115"/>
  <c r="F346" i="115"/>
  <c r="F320" i="115"/>
  <c r="D397" i="115"/>
  <c r="D358" i="115"/>
  <c r="D416" i="115"/>
  <c r="C375" i="115"/>
  <c r="C364" i="115"/>
  <c r="C377" i="115"/>
  <c r="C390" i="115"/>
  <c r="C599" i="115"/>
  <c r="D574" i="115"/>
  <c r="C622" i="115"/>
  <c r="D609" i="115"/>
  <c r="C537" i="115"/>
  <c r="D620" i="115"/>
  <c r="C577" i="115"/>
  <c r="D607" i="115"/>
  <c r="D532" i="115"/>
  <c r="C606" i="115"/>
  <c r="C593" i="115"/>
  <c r="C568" i="115"/>
  <c r="C590" i="115"/>
  <c r="D603" i="115"/>
  <c r="C530" i="115"/>
  <c r="F232" i="115"/>
  <c r="F299" i="115"/>
  <c r="F376" i="115"/>
  <c r="C408" i="115"/>
  <c r="F195" i="115"/>
  <c r="G457" i="115"/>
  <c r="D146" i="115"/>
  <c r="D179" i="115"/>
  <c r="D195" i="115"/>
  <c r="D114" i="115"/>
  <c r="C156" i="115"/>
  <c r="C117" i="115"/>
  <c r="C155" i="115"/>
  <c r="D177" i="115"/>
  <c r="D201" i="115"/>
  <c r="C198" i="115"/>
  <c r="F226" i="115"/>
  <c r="F243" i="115"/>
  <c r="F221" i="115"/>
  <c r="F348" i="115"/>
  <c r="C360" i="115"/>
  <c r="C321" i="115"/>
  <c r="D373" i="115"/>
  <c r="C399" i="115"/>
  <c r="C388" i="115"/>
  <c r="C401" i="115"/>
  <c r="C414" i="115"/>
  <c r="D507" i="115"/>
  <c r="C483" i="115"/>
  <c r="G473" i="115"/>
  <c r="E434" i="115"/>
  <c r="G496" i="115"/>
  <c r="E433" i="115"/>
  <c r="E480" i="115"/>
  <c r="C516" i="115"/>
  <c r="G493" i="115"/>
  <c r="C441" i="115"/>
  <c r="E475" i="115"/>
  <c r="C522" i="115"/>
  <c r="E426" i="115"/>
  <c r="D462" i="115"/>
  <c r="C575" i="115"/>
  <c r="D550" i="115"/>
  <c r="C598" i="115"/>
  <c r="D585" i="115"/>
  <c r="C588" i="115"/>
  <c r="D596" i="115"/>
  <c r="D606" i="115"/>
  <c r="C619" i="115"/>
  <c r="D583" i="115"/>
  <c r="C582" i="115"/>
  <c r="D605" i="115"/>
  <c r="C569" i="115"/>
  <c r="C544" i="115"/>
  <c r="D611" i="115"/>
  <c r="D579" i="115"/>
  <c r="D541" i="115"/>
  <c r="F682" i="115"/>
  <c r="G685" i="115"/>
  <c r="G643" i="115"/>
  <c r="F668" i="115"/>
  <c r="F636" i="115"/>
  <c r="G667" i="115"/>
  <c r="G726" i="115"/>
  <c r="G658" i="115"/>
  <c r="E446" i="115"/>
  <c r="F693" i="115"/>
  <c r="C325" i="115"/>
  <c r="F364" i="115"/>
  <c r="D383" i="115"/>
  <c r="E202" i="115"/>
  <c r="G272" i="115"/>
  <c r="F688" i="115"/>
  <c r="F657" i="115"/>
  <c r="C334" i="115"/>
  <c r="F356" i="115"/>
  <c r="F277" i="115"/>
  <c r="G147" i="115"/>
  <c r="G432" i="115"/>
  <c r="G467" i="115"/>
  <c r="C197" i="115"/>
  <c r="D171" i="115"/>
  <c r="C158" i="115"/>
  <c r="D185" i="115"/>
  <c r="C195" i="115"/>
  <c r="C168" i="115"/>
  <c r="C175" i="115"/>
  <c r="C169" i="115"/>
  <c r="C179" i="115"/>
  <c r="C201" i="115"/>
  <c r="D198" i="115"/>
  <c r="G284" i="115"/>
  <c r="F287" i="115"/>
  <c r="F245" i="115"/>
  <c r="F222" i="115"/>
  <c r="F255" i="115"/>
  <c r="F398" i="115"/>
  <c r="F393" i="115"/>
  <c r="F391" i="115"/>
  <c r="D322" i="115"/>
  <c r="D395" i="115"/>
  <c r="C336" i="115"/>
  <c r="D327" i="115"/>
  <c r="C412" i="115"/>
  <c r="D329" i="115"/>
  <c r="D342" i="115"/>
  <c r="D447" i="115"/>
  <c r="C459" i="115"/>
  <c r="G425" i="115"/>
  <c r="C506" i="115"/>
  <c r="G448" i="115"/>
  <c r="D505" i="115"/>
  <c r="E432" i="115"/>
  <c r="C480" i="115"/>
  <c r="G445" i="115"/>
  <c r="C472" i="115"/>
  <c r="E521" i="115"/>
  <c r="D436" i="115"/>
  <c r="C502" i="115"/>
  <c r="D437" i="115"/>
  <c r="C551" i="115"/>
  <c r="D577" i="115"/>
  <c r="C574" i="115"/>
  <c r="D561" i="115"/>
  <c r="D624" i="115"/>
  <c r="D572" i="115"/>
  <c r="D582" i="115"/>
  <c r="C571" i="115"/>
  <c r="D559" i="115"/>
  <c r="D602" i="115"/>
  <c r="C558" i="115"/>
  <c r="D581" i="115"/>
  <c r="C545" i="115"/>
  <c r="C615" i="115"/>
  <c r="D600" i="115"/>
  <c r="D555" i="115"/>
  <c r="G724" i="115"/>
  <c r="F714" i="115"/>
  <c r="G714" i="115"/>
  <c r="G674" i="115"/>
  <c r="F637" i="115"/>
  <c r="G665" i="115"/>
  <c r="G655" i="115"/>
  <c r="G706" i="115"/>
  <c r="F306" i="115"/>
  <c r="E444" i="115"/>
  <c r="F720" i="115"/>
  <c r="E440" i="115"/>
  <c r="E462" i="115"/>
  <c r="F380" i="115"/>
  <c r="C373" i="115"/>
  <c r="G533" i="115"/>
  <c r="G278" i="115"/>
  <c r="E131" i="115"/>
  <c r="G439" i="115"/>
  <c r="F234" i="115"/>
  <c r="F387" i="115"/>
  <c r="G120" i="115"/>
  <c r="F374" i="115"/>
  <c r="F419" i="115"/>
  <c r="F369" i="115"/>
  <c r="F367" i="115"/>
  <c r="C419" i="115"/>
  <c r="C379" i="115"/>
  <c r="C326" i="115"/>
  <c r="D339" i="115"/>
  <c r="D328" i="115"/>
  <c r="D341" i="115"/>
  <c r="D354" i="115"/>
  <c r="C539" i="115"/>
  <c r="C589" i="115"/>
  <c r="C562" i="115"/>
  <c r="D549" i="115"/>
  <c r="D612" i="115"/>
  <c r="D560" i="115"/>
  <c r="D570" i="115"/>
  <c r="C547" i="115"/>
  <c r="D547" i="115"/>
  <c r="C576" i="115"/>
  <c r="C546" i="115"/>
  <c r="D569" i="115"/>
  <c r="C533" i="115"/>
  <c r="C555" i="115"/>
  <c r="C612" i="115"/>
  <c r="D543" i="115"/>
  <c r="C391" i="115"/>
  <c r="F399" i="115"/>
  <c r="C173" i="115"/>
  <c r="C146" i="115"/>
  <c r="D208" i="115"/>
  <c r="C208" i="115"/>
  <c r="D135" i="115"/>
  <c r="D149" i="115"/>
  <c r="D145" i="115"/>
  <c r="D143" i="115"/>
  <c r="C170" i="115"/>
  <c r="C139" i="115"/>
  <c r="D204" i="115"/>
  <c r="C141" i="115"/>
  <c r="D202" i="115"/>
  <c r="D150" i="115"/>
  <c r="F350" i="115"/>
  <c r="F395" i="115"/>
  <c r="F345" i="115"/>
  <c r="F343" i="115"/>
  <c r="C397" i="115"/>
  <c r="C358" i="115"/>
  <c r="C338" i="115"/>
  <c r="D351" i="115"/>
  <c r="D340" i="115"/>
  <c r="D353" i="115"/>
  <c r="D366" i="115"/>
  <c r="D599" i="115"/>
  <c r="C550" i="115"/>
  <c r="D537" i="115"/>
  <c r="D588" i="115"/>
  <c r="D548" i="115"/>
  <c r="D558" i="115"/>
  <c r="C535" i="115"/>
  <c r="D535" i="115"/>
  <c r="D623" i="115"/>
  <c r="C534" i="115"/>
  <c r="D557" i="115"/>
  <c r="C531" i="115"/>
  <c r="C564" i="115"/>
  <c r="D531" i="115"/>
  <c r="D626" i="115"/>
  <c r="C601" i="115"/>
  <c r="F250" i="115"/>
  <c r="F311" i="115"/>
  <c r="F412" i="115"/>
  <c r="F228" i="115"/>
  <c r="C161" i="115"/>
  <c r="D196" i="115"/>
  <c r="C196" i="115"/>
  <c r="D123" i="115"/>
  <c r="D181" i="115"/>
  <c r="C122" i="115"/>
  <c r="D167" i="115"/>
  <c r="C115" i="115"/>
  <c r="D168" i="115"/>
  <c r="D188" i="115"/>
  <c r="D178" i="115"/>
  <c r="D176" i="115"/>
  <c r="C176" i="115"/>
  <c r="D126" i="115"/>
  <c r="F326" i="115"/>
  <c r="F371" i="115"/>
  <c r="F321" i="115"/>
  <c r="D380" i="115"/>
  <c r="C337" i="115"/>
  <c r="C350" i="115"/>
  <c r="D363" i="115"/>
  <c r="D352" i="115"/>
  <c r="D365" i="115"/>
  <c r="D378" i="115"/>
  <c r="D575" i="115"/>
  <c r="C538" i="115"/>
  <c r="D576" i="115"/>
  <c r="D536" i="115"/>
  <c r="D546" i="115"/>
  <c r="C620" i="115"/>
  <c r="C613" i="115"/>
  <c r="D587" i="115"/>
  <c r="D545" i="115"/>
  <c r="D590" i="115"/>
  <c r="C540" i="115"/>
  <c r="D614" i="115"/>
  <c r="C529" i="115"/>
  <c r="F303" i="115"/>
  <c r="F239" i="115"/>
  <c r="G480" i="115"/>
  <c r="F283" i="115"/>
  <c r="F338" i="115"/>
  <c r="D119" i="115"/>
  <c r="C210" i="115"/>
  <c r="D166" i="115"/>
  <c r="D128" i="115"/>
  <c r="D118" i="115"/>
  <c r="D116" i="115"/>
  <c r="D175" i="115"/>
  <c r="F347" i="115"/>
  <c r="D359" i="115"/>
  <c r="D320" i="115"/>
  <c r="C362" i="115"/>
  <c r="D375" i="115"/>
  <c r="D364" i="115"/>
  <c r="D377" i="115"/>
  <c r="D390" i="115"/>
  <c r="D539" i="115"/>
  <c r="D564" i="115"/>
  <c r="C608" i="115"/>
  <c r="C583" i="115"/>
  <c r="D551" i="115"/>
  <c r="D533" i="115"/>
  <c r="D616" i="115"/>
  <c r="C553" i="115"/>
  <c r="D578" i="115"/>
  <c r="D601" i="115"/>
  <c r="C359" i="115"/>
  <c r="D350" i="115"/>
  <c r="F358" i="115"/>
  <c r="F378" i="115"/>
  <c r="C125" i="115"/>
  <c r="D157" i="115"/>
  <c r="D212" i="115"/>
  <c r="D160" i="115"/>
  <c r="C160" i="115"/>
  <c r="C207" i="115"/>
  <c r="C121" i="115"/>
  <c r="C212" i="115"/>
  <c r="D121" i="115"/>
  <c r="C114" i="115"/>
  <c r="D163" i="115"/>
  <c r="C202" i="115"/>
  <c r="D151" i="115"/>
  <c r="D152" i="115"/>
  <c r="D137" i="115"/>
  <c r="F268" i="115"/>
  <c r="F272" i="115"/>
  <c r="F225" i="115"/>
  <c r="F284" i="115"/>
  <c r="C322" i="115"/>
  <c r="C386" i="115"/>
  <c r="D399" i="115"/>
  <c r="D388" i="115"/>
  <c r="D413" i="115"/>
  <c r="G499" i="115"/>
  <c r="G426" i="115"/>
  <c r="C489" i="115"/>
  <c r="D518" i="115"/>
  <c r="E429" i="115"/>
  <c r="G495" i="115"/>
  <c r="D510" i="115"/>
  <c r="G516" i="115"/>
  <c r="E473" i="115"/>
  <c r="E431" i="115"/>
  <c r="E452" i="115"/>
  <c r="D472" i="115"/>
  <c r="C500" i="115"/>
  <c r="E496" i="115"/>
  <c r="C484" i="115"/>
  <c r="C552" i="115"/>
  <c r="C609" i="115"/>
  <c r="D540" i="115"/>
  <c r="C607" i="115"/>
  <c r="C584" i="115"/>
  <c r="F625" i="115"/>
  <c r="D534" i="115"/>
  <c r="D542" i="115"/>
  <c r="F548" i="115"/>
  <c r="D544" i="115"/>
  <c r="C625" i="115"/>
  <c r="C627" i="115"/>
  <c r="D530" i="115"/>
  <c r="D553" i="115"/>
  <c r="G687" i="115"/>
  <c r="F641" i="115"/>
  <c r="G712" i="115"/>
  <c r="F646" i="115"/>
  <c r="G708" i="115"/>
  <c r="G716" i="115"/>
  <c r="G680" i="115"/>
  <c r="G663" i="115"/>
  <c r="E445" i="115"/>
  <c r="F652" i="115"/>
  <c r="F230" i="115"/>
  <c r="D386" i="115"/>
  <c r="F729" i="115"/>
  <c r="F260" i="115"/>
  <c r="F312" i="115"/>
  <c r="F238" i="115"/>
  <c r="E465" i="115"/>
  <c r="F434" i="115"/>
  <c r="F466" i="115"/>
  <c r="F274" i="115"/>
  <c r="F438" i="115"/>
  <c r="F484" i="115"/>
  <c r="E261" i="115"/>
  <c r="E393" i="115"/>
  <c r="E663" i="115"/>
  <c r="F440" i="115"/>
  <c r="E343" i="115"/>
  <c r="F363" i="115"/>
  <c r="G465" i="115"/>
  <c r="F413" i="115"/>
  <c r="F514" i="115"/>
  <c r="G145" i="115"/>
  <c r="G487" i="115"/>
  <c r="G407" i="115"/>
  <c r="F406" i="115"/>
  <c r="G259" i="115"/>
  <c r="G506" i="115"/>
  <c r="G296" i="115"/>
  <c r="G434" i="115"/>
  <c r="G428" i="115"/>
  <c r="F341" i="115"/>
  <c r="F401" i="115"/>
  <c r="G484" i="115"/>
  <c r="G374" i="115"/>
  <c r="G255" i="115"/>
  <c r="G505" i="115"/>
  <c r="E250" i="115"/>
  <c r="G402" i="115"/>
  <c r="G462" i="115"/>
  <c r="G328" i="115"/>
  <c r="F460" i="115"/>
  <c r="E383" i="115"/>
  <c r="F509" i="115"/>
  <c r="F333" i="115"/>
  <c r="G482" i="115"/>
  <c r="G371" i="115"/>
  <c r="G249" i="115"/>
  <c r="G488" i="115"/>
  <c r="E228" i="115"/>
  <c r="G398" i="115"/>
  <c r="G524" i="115"/>
  <c r="F404" i="115"/>
  <c r="F483" i="115"/>
  <c r="G479" i="115"/>
  <c r="G279" i="115"/>
  <c r="F354" i="115"/>
  <c r="G466" i="115"/>
  <c r="G330" i="115"/>
  <c r="G250" i="115"/>
  <c r="G460" i="115"/>
  <c r="E252" i="115"/>
  <c r="E719" i="115"/>
  <c r="G461" i="115"/>
  <c r="G325" i="115"/>
  <c r="G456" i="115"/>
  <c r="E284" i="115"/>
  <c r="E291" i="115"/>
  <c r="E649" i="115"/>
  <c r="G347" i="115"/>
  <c r="E242" i="115"/>
  <c r="E266" i="115"/>
  <c r="G463" i="115"/>
  <c r="G401" i="115"/>
  <c r="G403" i="115"/>
  <c r="G513" i="115"/>
  <c r="G455" i="115"/>
  <c r="E410" i="115"/>
  <c r="G458" i="115"/>
  <c r="G375" i="115"/>
  <c r="E665" i="115"/>
  <c r="E664" i="115"/>
  <c r="E641" i="115"/>
  <c r="F489" i="115"/>
  <c r="E362" i="115"/>
  <c r="G306" i="115"/>
  <c r="G252" i="115"/>
  <c r="G485" i="115"/>
  <c r="E370" i="115"/>
  <c r="F512" i="115"/>
  <c r="G442" i="115"/>
  <c r="E334" i="115"/>
  <c r="G435" i="115"/>
  <c r="E723" i="115"/>
  <c r="E255" i="115"/>
  <c r="G302" i="115"/>
  <c r="G245" i="115"/>
  <c r="G523" i="115"/>
  <c r="G508" i="115"/>
  <c r="F444" i="115"/>
  <c r="G507" i="115"/>
  <c r="G438" i="115"/>
  <c r="G408" i="115"/>
  <c r="E699" i="115"/>
  <c r="E673" i="115"/>
  <c r="G355" i="115"/>
  <c r="E701" i="115"/>
  <c r="G504" i="115"/>
  <c r="G436" i="115"/>
  <c r="G356" i="115"/>
  <c r="E233" i="115"/>
  <c r="G670" i="115"/>
  <c r="F470" i="115"/>
  <c r="E392" i="115"/>
  <c r="E709" i="115"/>
  <c r="C382" i="115"/>
  <c r="D338" i="115"/>
  <c r="G395" i="115"/>
  <c r="E695" i="115"/>
  <c r="G511" i="115"/>
  <c r="F459" i="115"/>
  <c r="F437" i="115"/>
  <c r="G489" i="115"/>
  <c r="G419" i="115"/>
  <c r="F377" i="115"/>
  <c r="E333" i="115"/>
  <c r="C294" i="115"/>
  <c r="E224" i="115"/>
  <c r="E227" i="115"/>
  <c r="E282" i="115"/>
  <c r="E312" i="115"/>
  <c r="D287" i="115"/>
  <c r="E267" i="115"/>
  <c r="E713" i="115"/>
  <c r="E678" i="115"/>
  <c r="E636" i="115"/>
  <c r="E647" i="115"/>
  <c r="E288" i="115"/>
  <c r="E670" i="115"/>
  <c r="E661" i="115"/>
  <c r="E272" i="115"/>
  <c r="E275" i="115"/>
  <c r="E240" i="115"/>
  <c r="E308" i="115"/>
  <c r="C237" i="115"/>
  <c r="E234" i="115"/>
  <c r="E689" i="115"/>
  <c r="E654" i="115"/>
  <c r="D714" i="115"/>
  <c r="E683" i="115"/>
  <c r="D385" i="115"/>
  <c r="D384" i="115"/>
  <c r="E710" i="115"/>
  <c r="C407" i="115"/>
  <c r="D406" i="115"/>
  <c r="E303" i="115"/>
  <c r="E251" i="115"/>
  <c r="E276" i="115"/>
  <c r="E306" i="115"/>
  <c r="E258" i="115"/>
  <c r="E728" i="115"/>
  <c r="E675" i="115"/>
  <c r="C663" i="115"/>
  <c r="C367" i="115"/>
  <c r="E685" i="115"/>
  <c r="E286" i="115"/>
  <c r="E245" i="115"/>
  <c r="D361" i="115"/>
  <c r="E658" i="115"/>
  <c r="E697" i="115"/>
  <c r="D403" i="115"/>
  <c r="E682" i="115"/>
  <c r="D245" i="115"/>
  <c r="E313" i="115"/>
  <c r="E219" i="115"/>
  <c r="E299" i="115"/>
  <c r="E300" i="115"/>
  <c r="E314" i="115"/>
  <c r="E264" i="115"/>
  <c r="E265" i="115"/>
  <c r="E692" i="115"/>
  <c r="E704" i="115"/>
  <c r="E651" i="115"/>
  <c r="D633" i="115"/>
  <c r="C394" i="115"/>
  <c r="C333" i="115"/>
  <c r="E730" i="115"/>
  <c r="E721" i="115"/>
  <c r="E724" i="115"/>
  <c r="D415" i="115"/>
  <c r="E700" i="115"/>
  <c r="E652" i="115"/>
  <c r="C368" i="115"/>
  <c r="C688" i="115"/>
  <c r="D243" i="115"/>
  <c r="E280" i="115"/>
  <c r="E225" i="115"/>
  <c r="E229" i="115"/>
  <c r="E230" i="115"/>
  <c r="E281" i="115"/>
  <c r="E311" i="115"/>
  <c r="E231" i="115"/>
  <c r="E218" i="115"/>
  <c r="E668" i="115"/>
  <c r="E680" i="115"/>
  <c r="D695" i="115"/>
  <c r="E687" i="115"/>
  <c r="E674" i="115"/>
  <c r="E650" i="115"/>
  <c r="E671" i="115"/>
  <c r="E708" i="115"/>
  <c r="E705" i="115"/>
  <c r="E657" i="115"/>
  <c r="E696" i="115"/>
  <c r="D670" i="115"/>
  <c r="E238" i="115"/>
  <c r="E249" i="115"/>
  <c r="E253" i="115"/>
  <c r="E254" i="115"/>
  <c r="E239" i="115"/>
  <c r="E269" i="115"/>
  <c r="E304" i="115"/>
  <c r="E263" i="115"/>
  <c r="E644" i="115"/>
  <c r="E656" i="115"/>
  <c r="D719" i="115"/>
  <c r="D679" i="115"/>
  <c r="D333" i="115"/>
  <c r="E635" i="115"/>
  <c r="E639" i="115"/>
  <c r="E686" i="115"/>
  <c r="C356" i="115"/>
  <c r="C384" i="115"/>
  <c r="C349" i="115"/>
  <c r="E662" i="115"/>
  <c r="C347" i="115"/>
  <c r="C372" i="115"/>
  <c r="E659" i="115"/>
  <c r="D407" i="115"/>
  <c r="E648" i="115"/>
  <c r="C355" i="115"/>
  <c r="D382" i="115"/>
  <c r="D650" i="115"/>
  <c r="C632" i="115"/>
  <c r="D270" i="115"/>
  <c r="E273" i="115"/>
  <c r="E277" i="115"/>
  <c r="E278" i="115"/>
  <c r="E236" i="115"/>
  <c r="E262" i="115"/>
  <c r="E290" i="115"/>
  <c r="E715" i="115"/>
  <c r="E632" i="115"/>
  <c r="D700" i="115"/>
  <c r="C645" i="115"/>
  <c r="E676" i="115"/>
  <c r="E722" i="115"/>
  <c r="D325" i="115"/>
  <c r="D349" i="115"/>
  <c r="D345" i="115"/>
  <c r="D408" i="115"/>
  <c r="C345" i="115"/>
  <c r="D371" i="115"/>
  <c r="D347" i="115"/>
  <c r="E307" i="115"/>
  <c r="E297" i="115"/>
  <c r="E301" i="115"/>
  <c r="E302" i="115"/>
  <c r="E220" i="115"/>
  <c r="E257" i="115"/>
  <c r="E691" i="115"/>
  <c r="E727" i="115"/>
  <c r="D663" i="115"/>
  <c r="D724" i="115"/>
  <c r="C704" i="115"/>
  <c r="E684" i="115"/>
  <c r="D391" i="115"/>
  <c r="E711" i="115"/>
  <c r="E716" i="115"/>
  <c r="D321" i="115"/>
  <c r="C370" i="115"/>
  <c r="D267" i="115"/>
  <c r="D372" i="115"/>
  <c r="D344" i="115"/>
  <c r="C405" i="115"/>
  <c r="D283" i="115"/>
  <c r="E232" i="115"/>
  <c r="E222" i="115"/>
  <c r="E223" i="115"/>
  <c r="E279" i="115"/>
  <c r="E293" i="115"/>
  <c r="E289" i="115"/>
  <c r="E667" i="115"/>
  <c r="E703" i="115"/>
  <c r="C631" i="115"/>
  <c r="D701" i="115"/>
  <c r="E634" i="115"/>
  <c r="E640" i="115"/>
  <c r="E244" i="115"/>
  <c r="C404" i="115"/>
  <c r="C406" i="115"/>
  <c r="D346" i="115"/>
  <c r="E698" i="115"/>
  <c r="D368" i="115"/>
  <c r="C393" i="115"/>
  <c r="E646" i="115"/>
  <c r="E246" i="115"/>
  <c r="E271" i="115"/>
  <c r="E283" i="115"/>
  <c r="E237" i="115"/>
  <c r="E310" i="115"/>
  <c r="E305" i="115"/>
  <c r="E256" i="115"/>
  <c r="E643" i="115"/>
  <c r="E679" i="115"/>
  <c r="D725" i="115"/>
  <c r="E694" i="115"/>
  <c r="E693" i="115"/>
  <c r="C331" i="115"/>
  <c r="E677" i="115"/>
  <c r="C346" i="115"/>
  <c r="D369" i="115"/>
  <c r="C371" i="115"/>
  <c r="E653" i="115"/>
  <c r="D334" i="115"/>
  <c r="D362" i="115"/>
  <c r="C383" i="115"/>
  <c r="C276" i="115"/>
  <c r="E270" i="115"/>
  <c r="E248" i="115"/>
  <c r="E241" i="115"/>
  <c r="C270" i="115"/>
  <c r="E268" i="115"/>
  <c r="E221" i="115"/>
  <c r="E714" i="115"/>
  <c r="E655" i="115"/>
  <c r="C719" i="115"/>
  <c r="C717" i="115"/>
  <c r="E638" i="115"/>
  <c r="E637" i="115"/>
  <c r="E712" i="115"/>
  <c r="E725" i="115"/>
  <c r="E718" i="115"/>
  <c r="D370" i="115"/>
  <c r="D332" i="115"/>
  <c r="D409" i="115"/>
  <c r="E294" i="115"/>
  <c r="E296" i="115"/>
  <c r="E260" i="115"/>
  <c r="E235" i="115"/>
  <c r="E292" i="115"/>
  <c r="E690" i="115"/>
  <c r="E631" i="115"/>
  <c r="D685" i="115"/>
  <c r="C683" i="115"/>
  <c r="E645" i="115"/>
  <c r="E672" i="115"/>
  <c r="E669" i="115"/>
  <c r="E287" i="115"/>
  <c r="D405" i="115"/>
  <c r="D392" i="115"/>
  <c r="E285" i="115"/>
  <c r="E247" i="115"/>
  <c r="E226" i="115"/>
  <c r="E259" i="115"/>
  <c r="D285" i="115"/>
  <c r="E217" i="115"/>
  <c r="E666" i="115"/>
  <c r="E726" i="115"/>
  <c r="C659" i="115"/>
  <c r="C392" i="115"/>
  <c r="E681" i="115"/>
  <c r="D356" i="115"/>
  <c r="C324" i="115"/>
  <c r="E706" i="115"/>
  <c r="D335" i="115"/>
  <c r="C369" i="115"/>
  <c r="C332" i="115"/>
  <c r="E633" i="115"/>
  <c r="E243" i="115"/>
  <c r="E295" i="115"/>
  <c r="E274" i="115"/>
  <c r="E315" i="115"/>
  <c r="C272" i="115"/>
  <c r="E309" i="115"/>
  <c r="D419" i="115"/>
  <c r="C396" i="115"/>
  <c r="D357" i="115"/>
  <c r="C327" i="115"/>
  <c r="D398" i="115"/>
  <c r="D400" i="115"/>
  <c r="D401" i="115"/>
  <c r="D402" i="115"/>
  <c r="E642" i="115"/>
  <c r="E702" i="115"/>
  <c r="E688" i="115"/>
  <c r="D331" i="115"/>
  <c r="E717" i="115"/>
  <c r="D326" i="115"/>
  <c r="E720" i="115"/>
  <c r="D348" i="115"/>
  <c r="E707" i="115"/>
  <c r="E660" i="115"/>
  <c r="C258" i="115"/>
  <c r="F212" i="115"/>
  <c r="F134" i="115"/>
  <c r="F159" i="115"/>
  <c r="D307" i="115"/>
  <c r="C219" i="115"/>
  <c r="D217" i="115"/>
  <c r="D297" i="115"/>
  <c r="D299" i="115"/>
  <c r="C264" i="115"/>
  <c r="F535" i="115"/>
  <c r="F569" i="115"/>
  <c r="C703" i="115"/>
  <c r="C634" i="115"/>
  <c r="D699" i="115"/>
  <c r="C710" i="115"/>
  <c r="C647" i="115"/>
  <c r="D646" i="115"/>
  <c r="D707" i="115"/>
  <c r="D712" i="115"/>
  <c r="D713" i="115"/>
  <c r="C697" i="115"/>
  <c r="C662" i="115"/>
  <c r="C657" i="115"/>
  <c r="D301" i="115"/>
  <c r="D674" i="115"/>
  <c r="D244" i="115"/>
  <c r="F161" i="115"/>
  <c r="F140" i="115"/>
  <c r="F213" i="115"/>
  <c r="F184" i="115"/>
  <c r="D277" i="115"/>
  <c r="C234" i="115"/>
  <c r="D306" i="115"/>
  <c r="D224" i="115"/>
  <c r="C261" i="115"/>
  <c r="C288" i="115"/>
  <c r="F560" i="115"/>
  <c r="F601" i="115"/>
  <c r="D668" i="115"/>
  <c r="C667" i="115"/>
  <c r="C715" i="115"/>
  <c r="D645" i="115"/>
  <c r="C636" i="115"/>
  <c r="C641" i="115"/>
  <c r="C642" i="115"/>
  <c r="D662" i="115"/>
  <c r="C728" i="115"/>
  <c r="D295" i="115"/>
  <c r="D258" i="115"/>
  <c r="D221" i="115"/>
  <c r="F151" i="115"/>
  <c r="D721" i="115"/>
  <c r="D655" i="115"/>
  <c r="F199" i="115"/>
  <c r="F175" i="115"/>
  <c r="F206" i="115"/>
  <c r="F189" i="115"/>
  <c r="F130" i="115"/>
  <c r="F203" i="115"/>
  <c r="D256" i="115"/>
  <c r="D271" i="115"/>
  <c r="C217" i="115"/>
  <c r="D260" i="115"/>
  <c r="D237" i="115"/>
  <c r="F536" i="115"/>
  <c r="F577" i="115"/>
  <c r="C651" i="115"/>
  <c r="D649" i="115"/>
  <c r="D657" i="115"/>
  <c r="C648" i="115"/>
  <c r="C653" i="115"/>
  <c r="C654" i="115"/>
  <c r="C646" i="115"/>
  <c r="C257" i="115"/>
  <c r="F540" i="115"/>
  <c r="F585" i="115"/>
  <c r="C686" i="115"/>
  <c r="F171" i="115"/>
  <c r="C656" i="115"/>
  <c r="C652" i="115"/>
  <c r="C723" i="115"/>
  <c r="F163" i="115"/>
  <c r="F133" i="115"/>
  <c r="F136" i="115"/>
  <c r="F165" i="115"/>
  <c r="F155" i="115"/>
  <c r="F201" i="115"/>
  <c r="D240" i="115"/>
  <c r="D284" i="115"/>
  <c r="C250" i="115"/>
  <c r="F553" i="115"/>
  <c r="D634" i="115"/>
  <c r="D632" i="115"/>
  <c r="D669" i="115"/>
  <c r="C660" i="115"/>
  <c r="C665" i="115"/>
  <c r="C666" i="115"/>
  <c r="C676" i="115"/>
  <c r="D728" i="115"/>
  <c r="C709" i="115"/>
  <c r="F590" i="115"/>
  <c r="D228" i="115"/>
  <c r="F586" i="115"/>
  <c r="D229" i="115"/>
  <c r="C724" i="115"/>
  <c r="C279" i="115"/>
  <c r="D642" i="115"/>
  <c r="C706" i="115"/>
  <c r="F187" i="115"/>
  <c r="C254" i="115"/>
  <c r="D308" i="115"/>
  <c r="C274" i="115"/>
  <c r="F602" i="115"/>
  <c r="C643" i="115"/>
  <c r="C718" i="115"/>
  <c r="D681" i="115"/>
  <c r="C672" i="115"/>
  <c r="C677" i="115"/>
  <c r="C678" i="115"/>
  <c r="D660" i="115"/>
  <c r="C711" i="115"/>
  <c r="D672" i="115"/>
  <c r="D259" i="115"/>
  <c r="F610" i="115"/>
  <c r="D673" i="115"/>
  <c r="F127" i="115"/>
  <c r="D639" i="115"/>
  <c r="D691" i="115"/>
  <c r="F193" i="115"/>
  <c r="F142" i="115"/>
  <c r="F164" i="115"/>
  <c r="F117" i="115"/>
  <c r="F158" i="115"/>
  <c r="D220" i="115"/>
  <c r="F169" i="115"/>
  <c r="F211" i="115"/>
  <c r="F132" i="115"/>
  <c r="F180" i="115"/>
  <c r="C308" i="115"/>
  <c r="C225" i="115"/>
  <c r="C298" i="115"/>
  <c r="F606" i="115"/>
  <c r="F554" i="115"/>
  <c r="F622" i="115"/>
  <c r="C700" i="115"/>
  <c r="C716" i="115"/>
  <c r="D693" i="115"/>
  <c r="C684" i="115"/>
  <c r="C689" i="115"/>
  <c r="C690" i="115"/>
  <c r="C693" i="115"/>
  <c r="D694" i="115"/>
  <c r="C635" i="115"/>
  <c r="C241" i="115"/>
  <c r="F123" i="115"/>
  <c r="F196" i="115"/>
  <c r="F149" i="115"/>
  <c r="F150" i="115"/>
  <c r="D638" i="115"/>
  <c r="G223" i="115"/>
  <c r="C687" i="115"/>
  <c r="F118" i="115"/>
  <c r="F145" i="115"/>
  <c r="F204" i="115"/>
  <c r="F115" i="115"/>
  <c r="F183" i="115"/>
  <c r="F129" i="115"/>
  <c r="D276" i="115"/>
  <c r="C292" i="115"/>
  <c r="C249" i="115"/>
  <c r="D226" i="115"/>
  <c r="F582" i="115"/>
  <c r="F581" i="115"/>
  <c r="F530" i="115"/>
  <c r="F574" i="115"/>
  <c r="F619" i="115"/>
  <c r="D684" i="115"/>
  <c r="D698" i="115"/>
  <c r="D705" i="115"/>
  <c r="C696" i="115"/>
  <c r="C701" i="115"/>
  <c r="C702" i="115"/>
  <c r="C727" i="115"/>
  <c r="D678" i="115"/>
  <c r="D708" i="115"/>
  <c r="C267" i="115"/>
  <c r="D223" i="115"/>
  <c r="D687" i="115"/>
  <c r="D637" i="115"/>
  <c r="G247" i="115"/>
  <c r="D656" i="115"/>
  <c r="D302" i="115"/>
  <c r="F121" i="115"/>
  <c r="F139" i="115"/>
  <c r="F160" i="115"/>
  <c r="F135" i="115"/>
  <c r="F205" i="115"/>
  <c r="D235" i="115"/>
  <c r="D254" i="115"/>
  <c r="C286" i="115"/>
  <c r="D250" i="115"/>
  <c r="F533" i="115"/>
  <c r="F600" i="115"/>
  <c r="F550" i="115"/>
  <c r="F618" i="115"/>
  <c r="D667" i="115"/>
  <c r="C682" i="115"/>
  <c r="D727" i="115"/>
  <c r="D717" i="115"/>
  <c r="C708" i="115"/>
  <c r="C713" i="115"/>
  <c r="C714" i="115"/>
  <c r="C729" i="115"/>
  <c r="C661" i="115"/>
  <c r="C671" i="115"/>
  <c r="C247" i="115"/>
  <c r="F611" i="115"/>
  <c r="F174" i="115"/>
  <c r="D723" i="115"/>
  <c r="C278" i="115"/>
  <c r="F126" i="115"/>
  <c r="F609" i="115"/>
  <c r="D651" i="115"/>
  <c r="F170" i="115"/>
  <c r="F192" i="115"/>
  <c r="F186" i="115"/>
  <c r="F191" i="115"/>
  <c r="F157" i="115"/>
  <c r="C277" i="115"/>
  <c r="D219" i="115"/>
  <c r="D234" i="115"/>
  <c r="C305" i="115"/>
  <c r="C306" i="115"/>
  <c r="C310" i="115"/>
  <c r="D274" i="115"/>
  <c r="F595" i="115"/>
  <c r="F528" i="115"/>
  <c r="C650" i="115"/>
  <c r="C664" i="115"/>
  <c r="D729" i="115"/>
  <c r="C720" i="115"/>
  <c r="C725" i="115"/>
  <c r="C726" i="115"/>
  <c r="D711" i="115"/>
  <c r="C644" i="115"/>
  <c r="D706" i="115"/>
  <c r="F197" i="115"/>
  <c r="F147" i="115"/>
  <c r="C673" i="115"/>
  <c r="F128" i="115"/>
  <c r="D726" i="115"/>
  <c r="F565" i="115"/>
  <c r="G254" i="115"/>
  <c r="C639" i="115"/>
  <c r="C721" i="115"/>
  <c r="F146" i="115"/>
  <c r="F138" i="115"/>
  <c r="F168" i="115"/>
  <c r="F119" i="115"/>
  <c r="F141" i="115"/>
  <c r="F167" i="115"/>
  <c r="F154" i="115"/>
  <c r="F202" i="115"/>
  <c r="C256" i="115"/>
  <c r="D218" i="115"/>
  <c r="C289" i="115"/>
  <c r="C290" i="115"/>
  <c r="D286" i="115"/>
  <c r="C263" i="115"/>
  <c r="F627" i="115"/>
  <c r="F591" i="115"/>
  <c r="C633" i="115"/>
  <c r="D716" i="115"/>
  <c r="D648" i="115"/>
  <c r="D635" i="115"/>
  <c r="D640" i="115"/>
  <c r="D641" i="115"/>
  <c r="C695" i="115"/>
  <c r="D710" i="115"/>
  <c r="C670" i="115"/>
  <c r="F148" i="115"/>
  <c r="C265" i="115"/>
  <c r="C675" i="115"/>
  <c r="C722" i="115"/>
  <c r="F541" i="115"/>
  <c r="C637" i="115"/>
  <c r="D690" i="115"/>
  <c r="F122" i="115"/>
  <c r="F153" i="115"/>
  <c r="F144" i="115"/>
  <c r="F143" i="115"/>
  <c r="F162" i="115"/>
  <c r="F182" i="115"/>
  <c r="C271" i="115"/>
  <c r="D231" i="115"/>
  <c r="C269" i="115"/>
  <c r="C287" i="115"/>
  <c r="C275" i="115"/>
  <c r="F603" i="115"/>
  <c r="F571" i="115"/>
  <c r="F543" i="115"/>
  <c r="D718" i="115"/>
  <c r="C699" i="115"/>
  <c r="D631" i="115"/>
  <c r="D647" i="115"/>
  <c r="D652" i="115"/>
  <c r="D653" i="115"/>
  <c r="C679" i="115"/>
  <c r="D643" i="115"/>
  <c r="C705" i="115"/>
  <c r="F588" i="115"/>
  <c r="F172" i="115"/>
  <c r="C223" i="115"/>
  <c r="D686" i="115"/>
  <c r="F125" i="115"/>
  <c r="C707" i="115"/>
  <c r="G295" i="115"/>
  <c r="F564" i="115"/>
  <c r="D654" i="115"/>
  <c r="D252" i="115"/>
  <c r="D239" i="115"/>
  <c r="D227" i="115"/>
  <c r="F531" i="115"/>
  <c r="F623" i="115"/>
  <c r="D702" i="115"/>
  <c r="D682" i="115"/>
  <c r="D715" i="115"/>
  <c r="D659" i="115"/>
  <c r="D664" i="115"/>
  <c r="D665" i="115"/>
  <c r="C730" i="115"/>
  <c r="D661" i="115"/>
  <c r="D675" i="115"/>
  <c r="D658" i="115"/>
  <c r="F194" i="115"/>
  <c r="D257" i="115"/>
  <c r="D636" i="115"/>
  <c r="F124" i="115"/>
  <c r="D703" i="115"/>
  <c r="F542" i="115"/>
  <c r="C638" i="115"/>
  <c r="F210" i="115"/>
  <c r="F185" i="115"/>
  <c r="F179" i="115"/>
  <c r="F178" i="115"/>
  <c r="D232" i="115"/>
  <c r="D251" i="115"/>
  <c r="C228" i="115"/>
  <c r="F604" i="115"/>
  <c r="F599" i="115"/>
  <c r="F621" i="115"/>
  <c r="F620" i="115"/>
  <c r="C685" i="115"/>
  <c r="D666" i="115"/>
  <c r="C698" i="115"/>
  <c r="D697" i="115"/>
  <c r="D671" i="115"/>
  <c r="D676" i="115"/>
  <c r="D677" i="115"/>
  <c r="C712" i="115"/>
  <c r="D644" i="115"/>
  <c r="D709" i="115"/>
  <c r="D704" i="115"/>
  <c r="C221" i="115"/>
  <c r="D282" i="115"/>
  <c r="D722" i="115"/>
  <c r="D720" i="115"/>
  <c r="C692" i="115"/>
  <c r="D294" i="115"/>
  <c r="F532" i="115"/>
  <c r="F566" i="115"/>
  <c r="F209" i="115"/>
  <c r="F120" i="115"/>
  <c r="F200" i="115"/>
  <c r="F114" i="115"/>
  <c r="F190" i="115"/>
  <c r="F131" i="115"/>
  <c r="F156" i="115"/>
  <c r="D248" i="115"/>
  <c r="D275" i="115"/>
  <c r="C240" i="115"/>
  <c r="F549" i="115"/>
  <c r="F572" i="115"/>
  <c r="F592" i="115"/>
  <c r="C668" i="115"/>
  <c r="C649" i="115"/>
  <c r="C681" i="115"/>
  <c r="D680" i="115"/>
  <c r="D683" i="115"/>
  <c r="D688" i="115"/>
  <c r="D689" i="115"/>
  <c r="D696" i="115"/>
  <c r="C694" i="115"/>
  <c r="C658" i="115"/>
  <c r="D315" i="115"/>
  <c r="F173" i="115"/>
  <c r="C669" i="115"/>
  <c r="C655" i="115"/>
  <c r="C691" i="115"/>
  <c r="M236" i="123"/>
  <c r="M193" i="123"/>
  <c r="N236" i="123"/>
  <c r="N193" i="123"/>
  <c r="D253" i="123"/>
  <c r="F47" i="125"/>
  <c r="F253" i="123"/>
  <c r="F226" i="123"/>
  <c r="E46" i="125"/>
  <c r="S253" i="123"/>
  <c r="S226" i="123"/>
  <c r="N66" i="123"/>
  <c r="E48" i="125" s="1"/>
  <c r="Z68" i="123"/>
  <c r="Z67" i="123" s="1"/>
  <c r="Z66" i="123" s="1"/>
  <c r="D75" i="123"/>
  <c r="X52" i="123"/>
  <c r="X51" i="123" s="1"/>
  <c r="Z79" i="123"/>
  <c r="T240" i="123" s="1"/>
  <c r="V240" i="123" s="1"/>
  <c r="V66" i="123"/>
  <c r="AA66" i="123"/>
  <c r="G48" i="125" s="1"/>
  <c r="H68" i="123"/>
  <c r="H67" i="123" s="1"/>
  <c r="J66" i="123"/>
  <c r="L67" i="123"/>
  <c r="L66" i="123" s="1"/>
  <c r="W33" i="123"/>
  <c r="W26" i="123" s="1"/>
  <c r="I75" i="123"/>
  <c r="E27" i="123"/>
  <c r="E26" i="123" s="1"/>
  <c r="AE52" i="123"/>
  <c r="AE51" i="123" s="1"/>
  <c r="U26" i="123"/>
  <c r="U24" i="123" s="1"/>
  <c r="P240" i="123"/>
  <c r="AE27" i="123"/>
  <c r="AE26" i="123" s="1"/>
  <c r="AE24" i="123" s="1"/>
  <c r="M67" i="123"/>
  <c r="M66" i="123" s="1"/>
  <c r="AE75" i="123"/>
  <c r="AA52" i="123"/>
  <c r="AH68" i="123"/>
  <c r="AH67" i="123" s="1"/>
  <c r="AH66" i="123" s="1"/>
  <c r="R27" i="123"/>
  <c r="R26" i="123" s="1"/>
  <c r="R24" i="123" s="1"/>
  <c r="AE79" i="123"/>
  <c r="Q75" i="123"/>
  <c r="L27" i="123"/>
  <c r="L26" i="123" s="1"/>
  <c r="L24" i="123" s="1"/>
  <c r="T66" i="123"/>
  <c r="F66" i="123"/>
  <c r="F143" i="123" s="1"/>
  <c r="I27" i="123"/>
  <c r="D67" i="123"/>
  <c r="D66" i="123" s="1"/>
  <c r="J75" i="123"/>
  <c r="H75" i="123"/>
  <c r="U75" i="123"/>
  <c r="G75" i="123"/>
  <c r="W68" i="123"/>
  <c r="AB68" i="123" s="1"/>
  <c r="AH52" i="123"/>
  <c r="AH51" i="123" s="1"/>
  <c r="T79" i="123"/>
  <c r="S52" i="123"/>
  <c r="S51" i="123" s="1"/>
  <c r="N253" i="123" s="1"/>
  <c r="Y66" i="123"/>
  <c r="AI33" i="123"/>
  <c r="AJ27" i="123"/>
  <c r="AK75" i="123"/>
  <c r="AK33" i="123"/>
  <c r="AJ52" i="123"/>
  <c r="AJ51" i="123" s="1"/>
  <c r="AI52" i="123"/>
  <c r="AI51" i="123" s="1"/>
  <c r="AI75" i="123"/>
  <c r="AJ33" i="123"/>
  <c r="AK68" i="123"/>
  <c r="AK67" i="123" s="1"/>
  <c r="AK66" i="123" s="1"/>
  <c r="AJ68" i="123"/>
  <c r="AJ67" i="123" s="1"/>
  <c r="AI68" i="123"/>
  <c r="AI67" i="123" s="1"/>
  <c r="AK27" i="123"/>
  <c r="AK26" i="123" s="1"/>
  <c r="AK24" i="123" s="1"/>
  <c r="AK52" i="123"/>
  <c r="AK51" i="123" s="1"/>
  <c r="AI27" i="123"/>
  <c r="AJ75" i="123"/>
  <c r="D79" i="123"/>
  <c r="D240" i="123" s="1"/>
  <c r="H240" i="123" s="1"/>
  <c r="U67" i="123"/>
  <c r="U66" i="123" s="1"/>
  <c r="C68" i="123"/>
  <c r="C67" i="123" s="1"/>
  <c r="C66" i="123" s="1"/>
  <c r="AA75" i="123"/>
  <c r="AF27" i="123"/>
  <c r="AF26" i="123" s="1"/>
  <c r="AF24" i="123" s="1"/>
  <c r="AD75" i="123"/>
  <c r="AG52" i="123"/>
  <c r="AG51" i="123" s="1"/>
  <c r="E75" i="123"/>
  <c r="AG68" i="123"/>
  <c r="AG67" i="123" s="1"/>
  <c r="AG66" i="123" s="1"/>
  <c r="C52" i="123"/>
  <c r="C51" i="123" s="1"/>
  <c r="Z33" i="123"/>
  <c r="V27" i="123"/>
  <c r="V26" i="123" s="1"/>
  <c r="V24" i="123" s="1"/>
  <c r="AA33" i="123"/>
  <c r="AA26" i="123" s="1"/>
  <c r="Z27" i="123"/>
  <c r="E68" i="123"/>
  <c r="E67" i="123" s="1"/>
  <c r="E66" i="123" s="1"/>
  <c r="T33" i="123"/>
  <c r="T26" i="123" s="1"/>
  <c r="T24" i="123" s="1"/>
  <c r="J79" i="123"/>
  <c r="I240" i="123" s="1"/>
  <c r="J52" i="123"/>
  <c r="J51" i="123" s="1"/>
  <c r="K79" i="123"/>
  <c r="J240" i="123" s="1"/>
  <c r="I33" i="123"/>
  <c r="S75" i="123"/>
  <c r="L52" i="123"/>
  <c r="L51" i="123" s="1"/>
  <c r="I52" i="123"/>
  <c r="I51" i="123" s="1"/>
  <c r="C47" i="125" s="1"/>
  <c r="K68" i="123"/>
  <c r="K67" i="123" s="1"/>
  <c r="K66" i="123" s="1"/>
  <c r="X67" i="123"/>
  <c r="X66" i="123" s="1"/>
  <c r="Q52" i="123"/>
  <c r="Q51" i="123" s="1"/>
  <c r="Q143" i="123" s="1"/>
  <c r="R75" i="123"/>
  <c r="G79" i="123"/>
  <c r="AA79" i="123"/>
  <c r="G50" i="125" s="1"/>
  <c r="AF75" i="123"/>
  <c r="U52" i="123"/>
  <c r="U51" i="123" s="1"/>
  <c r="W75" i="123"/>
  <c r="AB75" i="123" s="1"/>
  <c r="E52" i="123"/>
  <c r="E51" i="123" s="1"/>
  <c r="G68" i="123"/>
  <c r="G67" i="123" s="1"/>
  <c r="AA27" i="123"/>
  <c r="AB27" i="123" s="1"/>
  <c r="K33" i="123"/>
  <c r="K26" i="123" s="1"/>
  <c r="K24" i="123" s="1"/>
  <c r="E11" i="115"/>
  <c r="E57" i="115"/>
  <c r="E96" i="115"/>
  <c r="G118" i="115"/>
  <c r="G121" i="115"/>
  <c r="G168" i="115"/>
  <c r="G128" i="115"/>
  <c r="G184" i="115"/>
  <c r="G169" i="115"/>
  <c r="G177" i="115"/>
  <c r="G180" i="115"/>
  <c r="G135" i="115"/>
  <c r="G158" i="115"/>
  <c r="G195" i="115"/>
  <c r="G172" i="115"/>
  <c r="G204" i="115"/>
  <c r="G200" i="115"/>
  <c r="G114" i="115"/>
  <c r="G119" i="115"/>
  <c r="G166" i="115"/>
  <c r="G148" i="115"/>
  <c r="G175" i="115"/>
  <c r="G159" i="115"/>
  <c r="G210" i="115"/>
  <c r="G139" i="115"/>
  <c r="G125" i="115"/>
  <c r="G190" i="115"/>
  <c r="G213" i="115"/>
  <c r="G196" i="115"/>
  <c r="G154" i="115"/>
  <c r="G137" i="115"/>
  <c r="G156" i="115"/>
  <c r="G122" i="115"/>
  <c r="G167" i="115"/>
  <c r="G197" i="115"/>
  <c r="G133" i="115"/>
  <c r="G209" i="115"/>
  <c r="G129" i="115"/>
  <c r="G187" i="115"/>
  <c r="G117" i="115"/>
  <c r="G124" i="115"/>
  <c r="G144" i="115"/>
  <c r="G151" i="115"/>
  <c r="G130" i="115"/>
  <c r="G178" i="115"/>
  <c r="D281" i="115"/>
  <c r="D279" i="115"/>
  <c r="D222" i="115"/>
  <c r="C296" i="115"/>
  <c r="C303" i="115"/>
  <c r="C295" i="115"/>
  <c r="C316" i="115"/>
  <c r="C222" i="115"/>
  <c r="D263" i="115"/>
  <c r="C226" i="115"/>
  <c r="D310" i="115"/>
  <c r="C284" i="115"/>
  <c r="D233" i="115"/>
  <c r="D255" i="115"/>
  <c r="C314" i="115"/>
  <c r="C259" i="115"/>
  <c r="C302" i="115"/>
  <c r="D305" i="115"/>
  <c r="C311" i="115"/>
  <c r="C309" i="115"/>
  <c r="D262" i="115"/>
  <c r="C260" i="115"/>
  <c r="D247" i="115"/>
  <c r="C291" i="115"/>
  <c r="C293" i="115"/>
  <c r="C220" i="115"/>
  <c r="C243" i="115"/>
  <c r="D278" i="115"/>
  <c r="C230" i="115"/>
  <c r="D303" i="115"/>
  <c r="C299" i="115"/>
  <c r="C285" i="115"/>
  <c r="D238" i="115"/>
  <c r="D309" i="115"/>
  <c r="C268" i="115"/>
  <c r="C307" i="115"/>
  <c r="C313" i="115"/>
  <c r="C236" i="115"/>
  <c r="C281" i="115"/>
  <c r="D265" i="115"/>
  <c r="C224" i="115"/>
  <c r="D266" i="115"/>
  <c r="D242" i="115"/>
  <c r="C301" i="115"/>
  <c r="C232" i="115"/>
  <c r="C251" i="115"/>
  <c r="D296" i="115"/>
  <c r="C262" i="115"/>
  <c r="D273" i="115"/>
  <c r="C233" i="115"/>
  <c r="C255" i="115"/>
  <c r="D288" i="115"/>
  <c r="D293" i="115"/>
  <c r="C283" i="115"/>
  <c r="C304" i="115"/>
  <c r="C266" i="115"/>
  <c r="C315" i="115"/>
  <c r="C280" i="115"/>
  <c r="D264" i="115"/>
  <c r="C248" i="115"/>
  <c r="C239" i="115"/>
  <c r="D272" i="115"/>
  <c r="C238" i="115"/>
  <c r="D261" i="115"/>
  <c r="C253" i="115"/>
  <c r="D292" i="115"/>
  <c r="D304" i="115"/>
  <c r="D313" i="115"/>
  <c r="C231" i="115"/>
  <c r="D280" i="115"/>
  <c r="D314" i="115"/>
  <c r="C229" i="115"/>
  <c r="D268" i="115"/>
  <c r="C312" i="115"/>
  <c r="C227" i="115"/>
  <c r="D236" i="115"/>
  <c r="C297" i="115"/>
  <c r="D249" i="115"/>
  <c r="D269" i="115"/>
  <c r="D253" i="115"/>
  <c r="C218" i="115"/>
  <c r="D312" i="115"/>
  <c r="C242" i="115"/>
  <c r="D300" i="115"/>
  <c r="D289" i="115"/>
  <c r="C300" i="115"/>
  <c r="D298" i="115"/>
  <c r="D311" i="115"/>
  <c r="C273" i="115"/>
  <c r="D225" i="115"/>
  <c r="D290" i="115"/>
  <c r="D291" i="115"/>
  <c r="C282" i="115"/>
  <c r="G235" i="115"/>
  <c r="G273" i="115"/>
  <c r="G248" i="115"/>
  <c r="G225" i="115"/>
  <c r="G226" i="115"/>
  <c r="G251" i="115"/>
  <c r="G305" i="115"/>
  <c r="G236" i="115"/>
  <c r="G217" i="115"/>
  <c r="G304" i="115"/>
  <c r="G232" i="115"/>
  <c r="G230" i="115"/>
  <c r="G237" i="115"/>
  <c r="G265" i="115"/>
  <c r="G299" i="115"/>
  <c r="G234" i="115"/>
  <c r="G256" i="115"/>
  <c r="G285" i="115"/>
  <c r="G313" i="115"/>
  <c r="G281" i="115"/>
  <c r="G274" i="115"/>
  <c r="G260" i="115"/>
  <c r="G289" i="115"/>
  <c r="G266" i="115"/>
  <c r="G277" i="115"/>
  <c r="G280" i="115"/>
  <c r="G271" i="115"/>
  <c r="G303" i="115"/>
  <c r="G261" i="115"/>
  <c r="G219" i="115"/>
  <c r="G290" i="115"/>
  <c r="G275" i="115"/>
  <c r="G294" i="115"/>
  <c r="G239" i="115"/>
  <c r="G243" i="115"/>
  <c r="G314" i="115"/>
  <c r="G224" i="115"/>
  <c r="G269" i="115"/>
  <c r="G300" i="115"/>
  <c r="G221" i="115"/>
  <c r="G263" i="115"/>
  <c r="G267" i="115"/>
  <c r="G220" i="115"/>
  <c r="G258" i="115"/>
  <c r="G229" i="115"/>
  <c r="D316" i="115"/>
  <c r="D241" i="115"/>
  <c r="G346" i="115"/>
  <c r="G367" i="115"/>
  <c r="G390" i="115"/>
  <c r="E349" i="115"/>
  <c r="E352" i="115"/>
  <c r="E356" i="115"/>
  <c r="F456" i="115"/>
  <c r="C435" i="115"/>
  <c r="C510" i="115"/>
  <c r="D494" i="115"/>
  <c r="C494" i="115"/>
  <c r="D443" i="115"/>
  <c r="D469" i="115"/>
  <c r="F475" i="115"/>
  <c r="C444" i="115"/>
  <c r="C425" i="115"/>
  <c r="D492" i="115"/>
  <c r="F471" i="115"/>
  <c r="D448" i="115"/>
  <c r="C465" i="115"/>
  <c r="C476" i="115"/>
  <c r="C497" i="115"/>
  <c r="G579" i="115"/>
  <c r="G626" i="115"/>
  <c r="G601" i="115"/>
  <c r="G622" i="115"/>
  <c r="G589" i="115"/>
  <c r="F529" i="115"/>
  <c r="G613" i="115"/>
  <c r="F642" i="115"/>
  <c r="F640" i="115"/>
  <c r="F651" i="115"/>
  <c r="F639" i="115"/>
  <c r="F464" i="115"/>
  <c r="F701" i="115"/>
  <c r="F494" i="115"/>
  <c r="F331" i="115"/>
  <c r="F724" i="115"/>
  <c r="E412" i="115"/>
  <c r="G582" i="115"/>
  <c r="E345" i="115"/>
  <c r="G336" i="115"/>
  <c r="F537" i="115"/>
  <c r="E394" i="115"/>
  <c r="E384" i="115"/>
  <c r="F511" i="115"/>
  <c r="F445" i="115"/>
  <c r="F433" i="115"/>
  <c r="G397" i="115"/>
  <c r="E387" i="115"/>
  <c r="G486" i="115"/>
  <c r="G349" i="115"/>
  <c r="F16" i="115"/>
  <c r="F79" i="115"/>
  <c r="F89" i="115"/>
  <c r="F55" i="115"/>
  <c r="F53" i="115"/>
  <c r="F71" i="115"/>
  <c r="G322" i="115"/>
  <c r="G343" i="115"/>
  <c r="G366" i="115"/>
  <c r="G412" i="115"/>
  <c r="E373" i="115"/>
  <c r="E376" i="115"/>
  <c r="E380" i="115"/>
  <c r="F432" i="115"/>
  <c r="F503" i="115"/>
  <c r="C501" i="115"/>
  <c r="D482" i="115"/>
  <c r="C482" i="115"/>
  <c r="D431" i="115"/>
  <c r="D457" i="115"/>
  <c r="F451" i="115"/>
  <c r="F521" i="115"/>
  <c r="C432" i="115"/>
  <c r="D480" i="115"/>
  <c r="F447" i="115"/>
  <c r="F495" i="115"/>
  <c r="D511" i="115"/>
  <c r="D523" i="115"/>
  <c r="D497" i="115"/>
  <c r="G555" i="115"/>
  <c r="G602" i="115"/>
  <c r="G577" i="115"/>
  <c r="G598" i="115"/>
  <c r="F570" i="115"/>
  <c r="G542" i="115"/>
  <c r="G616" i="115"/>
  <c r="F594" i="115"/>
  <c r="F675" i="115"/>
  <c r="F663" i="115"/>
  <c r="F508" i="115"/>
  <c r="G381" i="115"/>
  <c r="F648" i="115"/>
  <c r="F457" i="115"/>
  <c r="F365" i="115"/>
  <c r="F726" i="115"/>
  <c r="E361" i="115"/>
  <c r="G584" i="115"/>
  <c r="F389" i="115"/>
  <c r="E321" i="115"/>
  <c r="F355" i="115"/>
  <c r="F443" i="115"/>
  <c r="E367" i="115"/>
  <c r="F384" i="115"/>
  <c r="G383" i="115"/>
  <c r="E360" i="115"/>
  <c r="G326" i="115"/>
  <c r="G416" i="115"/>
  <c r="G342" i="115"/>
  <c r="G388" i="115"/>
  <c r="E397" i="115"/>
  <c r="E400" i="115"/>
  <c r="E404" i="115"/>
  <c r="F479" i="115"/>
  <c r="D470" i="115"/>
  <c r="C470" i="115"/>
  <c r="D477" i="115"/>
  <c r="D445" i="115"/>
  <c r="F427" i="115"/>
  <c r="F497" i="115"/>
  <c r="D468" i="115"/>
  <c r="D490" i="115"/>
  <c r="D475" i="115"/>
  <c r="D487" i="115"/>
  <c r="D473" i="115"/>
  <c r="G531" i="115"/>
  <c r="G578" i="115"/>
  <c r="G553" i="115"/>
  <c r="G574" i="115"/>
  <c r="F546" i="115"/>
  <c r="G592" i="115"/>
  <c r="G565" i="115"/>
  <c r="G612" i="115"/>
  <c r="F715" i="115"/>
  <c r="F703" i="115"/>
  <c r="F702" i="115"/>
  <c r="F699" i="115"/>
  <c r="F687" i="115"/>
  <c r="F435" i="115"/>
  <c r="G332" i="115"/>
  <c r="C436" i="115"/>
  <c r="F409" i="115"/>
  <c r="F488" i="115"/>
  <c r="G606" i="115"/>
  <c r="F352" i="115"/>
  <c r="F467" i="115"/>
  <c r="F382" i="115"/>
  <c r="F510" i="115"/>
  <c r="F491" i="115"/>
  <c r="G378" i="115"/>
  <c r="E346" i="115"/>
  <c r="E365" i="115"/>
  <c r="G392" i="115"/>
  <c r="G364" i="115"/>
  <c r="G410" i="115"/>
  <c r="G406" i="115"/>
  <c r="E326" i="115"/>
  <c r="E329" i="115"/>
  <c r="F455" i="115"/>
  <c r="D500" i="115"/>
  <c r="D458" i="115"/>
  <c r="C458" i="115"/>
  <c r="D498" i="115"/>
  <c r="F524" i="115"/>
  <c r="D433" i="115"/>
  <c r="F473" i="115"/>
  <c r="F520" i="115"/>
  <c r="D456" i="115"/>
  <c r="D454" i="115"/>
  <c r="D451" i="115"/>
  <c r="D463" i="115"/>
  <c r="D449" i="115"/>
  <c r="F584" i="115"/>
  <c r="G554" i="115"/>
  <c r="G529" i="115"/>
  <c r="G550" i="115"/>
  <c r="G594" i="115"/>
  <c r="G568" i="115"/>
  <c r="F616" i="115"/>
  <c r="G588" i="115"/>
  <c r="G610" i="115"/>
  <c r="F679" i="115"/>
  <c r="F667" i="115"/>
  <c r="F666" i="115"/>
  <c r="F723" i="115"/>
  <c r="F711" i="115"/>
  <c r="F469" i="115"/>
  <c r="F386" i="115"/>
  <c r="G372" i="115"/>
  <c r="F336" i="115"/>
  <c r="G534" i="115"/>
  <c r="F441" i="115"/>
  <c r="G627" i="115"/>
  <c r="E406" i="115"/>
  <c r="G400" i="115"/>
  <c r="F462" i="115"/>
  <c r="G536" i="115"/>
  <c r="F439" i="115"/>
  <c r="F614" i="115"/>
  <c r="G376" i="115"/>
  <c r="E341" i="115"/>
  <c r="E335" i="115"/>
  <c r="G393" i="115"/>
  <c r="G320" i="115"/>
  <c r="G338" i="115"/>
  <c r="G334" i="115"/>
  <c r="E398" i="115"/>
  <c r="E401" i="115"/>
  <c r="D495" i="115"/>
  <c r="C440" i="115"/>
  <c r="F502" i="115"/>
  <c r="F501" i="115"/>
  <c r="F452" i="115"/>
  <c r="F448" i="115"/>
  <c r="F498" i="115"/>
  <c r="D501" i="115"/>
  <c r="D430" i="115"/>
  <c r="C473" i="115"/>
  <c r="C478" i="115"/>
  <c r="D512" i="115"/>
  <c r="D438" i="115"/>
  <c r="F583" i="115"/>
  <c r="F580" i="115"/>
  <c r="F558" i="115"/>
  <c r="G576" i="115"/>
  <c r="F579" i="115"/>
  <c r="G597" i="115"/>
  <c r="F551" i="115"/>
  <c r="G547" i="115"/>
  <c r="G617" i="115"/>
  <c r="F597" i="115"/>
  <c r="G615" i="115"/>
  <c r="F617" i="115"/>
  <c r="G538" i="115"/>
  <c r="G583" i="115"/>
  <c r="F716" i="115"/>
  <c r="F672" i="115"/>
  <c r="F632" i="115"/>
  <c r="F694" i="115"/>
  <c r="F684" i="115"/>
  <c r="E340" i="115"/>
  <c r="F653" i="115"/>
  <c r="G353" i="115"/>
  <c r="E369" i="115"/>
  <c r="F725" i="115"/>
  <c r="F587" i="115"/>
  <c r="G354" i="115"/>
  <c r="F379" i="115"/>
  <c r="E405" i="115"/>
  <c r="F461" i="115"/>
  <c r="F518" i="115"/>
  <c r="F446" i="115"/>
  <c r="F388" i="115"/>
  <c r="F403" i="115"/>
  <c r="E366" i="115"/>
  <c r="F563" i="115"/>
  <c r="G357" i="115"/>
  <c r="G377" i="115"/>
  <c r="F562" i="115"/>
  <c r="G369" i="115"/>
  <c r="E324" i="115"/>
  <c r="E330" i="115"/>
  <c r="E359" i="115"/>
  <c r="D483" i="115"/>
  <c r="C474" i="115"/>
  <c r="F478" i="115"/>
  <c r="F477" i="115"/>
  <c r="F428" i="115"/>
  <c r="C499" i="115"/>
  <c r="C517" i="115"/>
  <c r="F474" i="115"/>
  <c r="D514" i="115"/>
  <c r="C515" i="115"/>
  <c r="D489" i="115"/>
  <c r="C490" i="115"/>
  <c r="C466" i="115"/>
  <c r="D488" i="115"/>
  <c r="C462" i="115"/>
  <c r="F559" i="115"/>
  <c r="F556" i="115"/>
  <c r="F534" i="115"/>
  <c r="G552" i="115"/>
  <c r="F555" i="115"/>
  <c r="G590" i="115"/>
  <c r="G573" i="115"/>
  <c r="F624" i="115"/>
  <c r="G593" i="115"/>
  <c r="F573" i="115"/>
  <c r="G591" i="115"/>
  <c r="F593" i="115"/>
  <c r="G611" i="115"/>
  <c r="F615" i="115"/>
  <c r="G559" i="115"/>
  <c r="F680" i="115"/>
  <c r="F635" i="115"/>
  <c r="F705" i="115"/>
  <c r="F718" i="115"/>
  <c r="F708" i="115"/>
  <c r="F665" i="115"/>
  <c r="F655" i="115"/>
  <c r="G399" i="115"/>
  <c r="E338" i="115"/>
  <c r="F589" i="115"/>
  <c r="F405" i="115"/>
  <c r="G532" i="115"/>
  <c r="F485" i="115"/>
  <c r="E322" i="115"/>
  <c r="F458" i="115"/>
  <c r="G556" i="115"/>
  <c r="F410" i="115"/>
  <c r="F332" i="115"/>
  <c r="F335" i="115"/>
  <c r="F493" i="115"/>
  <c r="F561" i="115"/>
  <c r="G350" i="115"/>
  <c r="G373" i="115"/>
  <c r="G321" i="115"/>
  <c r="G389" i="115"/>
  <c r="E363" i="115"/>
  <c r="E372" i="115"/>
  <c r="E378" i="115"/>
  <c r="D459" i="115"/>
  <c r="C519" i="115"/>
  <c r="C513" i="115"/>
  <c r="F430" i="115"/>
  <c r="F429" i="115"/>
  <c r="D478" i="115"/>
  <c r="D426" i="115"/>
  <c r="C493" i="115"/>
  <c r="D524" i="115"/>
  <c r="F426" i="115"/>
  <c r="C491" i="115"/>
  <c r="D429" i="115"/>
  <c r="D522" i="115"/>
  <c r="D476" i="115"/>
  <c r="C442" i="115"/>
  <c r="D440" i="115"/>
  <c r="D509" i="115"/>
  <c r="F605" i="115"/>
  <c r="G623" i="115"/>
  <c r="G618" i="115"/>
  <c r="F547" i="115"/>
  <c r="F626" i="115"/>
  <c r="G596" i="115"/>
  <c r="F576" i="115"/>
  <c r="G545" i="115"/>
  <c r="G543" i="115"/>
  <c r="G614" i="115"/>
  <c r="F545" i="115"/>
  <c r="F568" i="115"/>
  <c r="F567" i="115"/>
  <c r="F671" i="115"/>
  <c r="F633" i="115"/>
  <c r="F673" i="115"/>
  <c r="F661" i="115"/>
  <c r="F654" i="115"/>
  <c r="G560" i="115"/>
  <c r="G359" i="115"/>
  <c r="E339" i="115"/>
  <c r="F608" i="115"/>
  <c r="E413" i="115"/>
  <c r="F487" i="115"/>
  <c r="F436" i="115"/>
  <c r="F360" i="115"/>
  <c r="G558" i="115"/>
  <c r="F340" i="115"/>
  <c r="E381" i="115"/>
  <c r="F329" i="115"/>
  <c r="F402" i="115"/>
  <c r="F538" i="115"/>
  <c r="G333" i="115"/>
  <c r="G535" i="115"/>
  <c r="G329" i="115"/>
  <c r="D503" i="115"/>
  <c r="C511" i="115"/>
  <c r="C469" i="115"/>
  <c r="C504" i="115"/>
  <c r="C475" i="115"/>
  <c r="D521" i="115"/>
  <c r="C467" i="115"/>
  <c r="C437" i="115"/>
  <c r="C521" i="115"/>
  <c r="C464" i="115"/>
  <c r="C512" i="115"/>
  <c r="D425" i="115"/>
  <c r="F557" i="115"/>
  <c r="G575" i="115"/>
  <c r="F575" i="115"/>
  <c r="F578" i="115"/>
  <c r="F552" i="115"/>
  <c r="G548" i="115"/>
  <c r="F598" i="115"/>
  <c r="F596" i="115"/>
  <c r="G587" i="115"/>
  <c r="F681" i="115"/>
  <c r="F713" i="115"/>
  <c r="F721" i="115"/>
  <c r="F709" i="115"/>
  <c r="F700" i="115"/>
  <c r="F690" i="115"/>
  <c r="G418" i="115"/>
  <c r="E344" i="115"/>
  <c r="F442" i="115"/>
  <c r="F695" i="115"/>
  <c r="G396" i="115"/>
  <c r="F481" i="115"/>
  <c r="E320" i="115"/>
  <c r="G327" i="115"/>
  <c r="G608" i="115"/>
  <c r="F656" i="115"/>
  <c r="S60" i="125"/>
  <c r="AA60" i="125" s="1"/>
  <c r="P60" i="125"/>
  <c r="Z60" i="125" s="1"/>
  <c r="P90" i="125"/>
  <c r="Z90" i="125" s="1"/>
  <c r="S90" i="125"/>
  <c r="AA90" i="125" s="1"/>
  <c r="R79" i="125"/>
  <c r="W79" i="123"/>
  <c r="AB81" i="123"/>
  <c r="CR27" i="124"/>
  <c r="D179" i="121" s="1"/>
  <c r="L62" i="125"/>
  <c r="U62" i="125" s="1"/>
  <c r="F33" i="125"/>
  <c r="F51" i="125"/>
  <c r="I51" i="125" s="1"/>
  <c r="S51" i="125" s="1"/>
  <c r="AB87" i="123"/>
  <c r="AB101" i="123"/>
  <c r="W100" i="123"/>
  <c r="E65" i="124"/>
  <c r="E66" i="124" s="1"/>
  <c r="AY44" i="124"/>
  <c r="F57" i="125"/>
  <c r="I57" i="125" s="1"/>
  <c r="M51" i="125"/>
  <c r="R62" i="125"/>
  <c r="L44" i="124"/>
  <c r="P61" i="125"/>
  <c r="Z61" i="125" s="1"/>
  <c r="F62" i="112"/>
  <c r="I256" i="121" s="1"/>
  <c r="M21" i="112"/>
  <c r="P234" i="121" s="1"/>
  <c r="CP65" i="124"/>
  <c r="D28" i="125"/>
  <c r="M28" i="125" s="1"/>
  <c r="M52" i="125"/>
  <c r="P49" i="125"/>
  <c r="Z49" i="125" s="1"/>
  <c r="P32" i="125"/>
  <c r="E68" i="1"/>
  <c r="H8" i="30" s="1"/>
  <c r="M56" i="121" s="1"/>
  <c r="N6" i="30"/>
  <c r="I25" i="112"/>
  <c r="O29" i="112"/>
  <c r="R242" i="121" s="1"/>
  <c r="N16" i="30"/>
  <c r="N15" i="30" s="1"/>
  <c r="C32" i="125"/>
  <c r="L32" i="125" s="1"/>
  <c r="Q61" i="125"/>
  <c r="X61" i="125" s="1"/>
  <c r="M20" i="30"/>
  <c r="N20" i="30" s="1"/>
  <c r="CR37" i="124"/>
  <c r="D189" i="121" s="1"/>
  <c r="CR46" i="124"/>
  <c r="D198" i="121" s="1"/>
  <c r="F78" i="125"/>
  <c r="L51" i="124"/>
  <c r="CJ38" i="124"/>
  <c r="F92" i="125"/>
  <c r="CJ52" i="124"/>
  <c r="CK52" i="124" s="1"/>
  <c r="CO52" i="124"/>
  <c r="H190" i="124" s="1"/>
  <c r="CE51" i="124"/>
  <c r="AY49" i="124"/>
  <c r="F102" i="125"/>
  <c r="CI47" i="124"/>
  <c r="CI44" i="124"/>
  <c r="G96" i="125" s="1"/>
  <c r="CR60" i="124"/>
  <c r="D209" i="121" s="1"/>
  <c r="R10" i="122"/>
  <c r="E86" i="122"/>
  <c r="K271" i="121" s="1"/>
  <c r="L31" i="112"/>
  <c r="L4" i="167"/>
  <c r="D5" i="125"/>
  <c r="G302" i="167"/>
  <c r="G286" i="167"/>
  <c r="G305" i="167"/>
  <c r="G289" i="167"/>
  <c r="G316" i="167"/>
  <c r="G300" i="167"/>
  <c r="G284" i="167"/>
  <c r="G303" i="167"/>
  <c r="G287" i="167"/>
  <c r="G314" i="167"/>
  <c r="G298" i="167"/>
  <c r="G282" i="167"/>
  <c r="G301" i="167"/>
  <c r="G285" i="167"/>
  <c r="G312" i="167"/>
  <c r="G296" i="167"/>
  <c r="G315" i="167"/>
  <c r="G299" i="167"/>
  <c r="G283" i="167"/>
  <c r="G310" i="167"/>
  <c r="G294" i="167"/>
  <c r="G313" i="167"/>
  <c r="G297" i="167"/>
  <c r="G281" i="167"/>
  <c r="G308" i="167"/>
  <c r="G292" i="167"/>
  <c r="G311" i="167"/>
  <c r="G295" i="167"/>
  <c r="G306" i="167"/>
  <c r="G290" i="167"/>
  <c r="G309" i="167"/>
  <c r="G293" i="167"/>
  <c r="G304" i="167"/>
  <c r="G288" i="167"/>
  <c r="G307" i="167"/>
  <c r="G291" i="167"/>
  <c r="F97" i="125"/>
  <c r="K28" i="127"/>
  <c r="J3" i="127"/>
  <c r="CR49" i="124"/>
  <c r="D201" i="121" s="1"/>
  <c r="F91" i="125"/>
  <c r="CJ37" i="124"/>
  <c r="K282" i="121"/>
  <c r="K281" i="121"/>
  <c r="G7" i="167"/>
  <c r="I4" i="167" s="1"/>
  <c r="L273" i="121"/>
  <c r="G276" i="115"/>
  <c r="G253" i="115"/>
  <c r="G246" i="115"/>
  <c r="G222" i="115"/>
  <c r="G282" i="115"/>
  <c r="F192" i="167"/>
  <c r="F191" i="167" s="1"/>
  <c r="J7" i="167" s="1"/>
  <c r="L5" i="167" s="1"/>
  <c r="C409" i="115"/>
  <c r="C415" i="115"/>
  <c r="CI63" i="124"/>
  <c r="CS63" i="124" s="1"/>
  <c r="F212" i="121" s="1"/>
  <c r="CC20" i="124"/>
  <c r="CC65" i="124" s="1"/>
  <c r="CH55" i="124"/>
  <c r="CH58" i="124"/>
  <c r="AE138" i="124" s="1"/>
  <c r="CF44" i="124"/>
  <c r="AB134" i="124" s="1"/>
  <c r="AF134" i="124" s="1"/>
  <c r="CI57" i="124"/>
  <c r="CI55" i="124" s="1"/>
  <c r="CH17" i="124"/>
  <c r="CI21" i="124"/>
  <c r="CE42" i="124"/>
  <c r="CG55" i="124"/>
  <c r="AD142" i="124" s="1"/>
  <c r="CE63" i="124"/>
  <c r="CJ54" i="124"/>
  <c r="CK54" i="124" s="1"/>
  <c r="AU48" i="124"/>
  <c r="E342" i="115"/>
  <c r="E409" i="115"/>
  <c r="E414" i="115"/>
  <c r="E411" i="115"/>
  <c r="G443" i="115"/>
  <c r="G441" i="115"/>
  <c r="G509" i="115"/>
  <c r="G483" i="115"/>
  <c r="G478" i="115"/>
  <c r="G431" i="115"/>
  <c r="G501" i="115"/>
  <c r="G429" i="115"/>
  <c r="G490" i="115"/>
  <c r="AU42" i="124"/>
  <c r="S54" i="30"/>
  <c r="N53" i="30"/>
  <c r="S269" i="30"/>
  <c r="N268" i="30"/>
  <c r="C246" i="115"/>
  <c r="C244" i="115"/>
  <c r="C245" i="115"/>
  <c r="D230" i="115"/>
  <c r="AD45" i="122"/>
  <c r="AB22" i="122"/>
  <c r="AA28" i="122"/>
  <c r="AD22" i="122"/>
  <c r="AA35" i="122"/>
  <c r="T22" i="122"/>
  <c r="R38" i="122"/>
  <c r="Y25" i="122"/>
  <c r="O42" i="122"/>
  <c r="T28" i="122"/>
  <c r="X25" i="122"/>
  <c r="Z28" i="122"/>
  <c r="X22" i="122"/>
  <c r="F48" i="122"/>
  <c r="R28" i="122"/>
  <c r="X38" i="122"/>
  <c r="D48" i="122"/>
  <c r="F35" i="122"/>
  <c r="AD32" i="122"/>
  <c r="AC38" i="122"/>
  <c r="AD42" i="122"/>
  <c r="AD48" i="122"/>
  <c r="AC22" i="122"/>
  <c r="V25" i="122"/>
  <c r="P28" i="122"/>
  <c r="U42" i="122"/>
  <c r="R25" i="122"/>
  <c r="G25" i="122"/>
  <c r="W25" i="122"/>
  <c r="F42" i="122"/>
  <c r="D28" i="122"/>
  <c r="Q25" i="122"/>
  <c r="Q28" i="122"/>
  <c r="F38" i="122"/>
  <c r="S28" i="122"/>
  <c r="V45" i="122"/>
  <c r="AB38" i="122"/>
  <c r="AA45" i="122"/>
  <c r="AB48" i="122"/>
  <c r="AC42" i="122"/>
  <c r="X48" i="122"/>
  <c r="H22" i="122"/>
  <c r="D45" i="122"/>
  <c r="P22" i="122"/>
  <c r="E22" i="122"/>
  <c r="E35" i="122"/>
  <c r="R48" i="122"/>
  <c r="P25" i="122"/>
  <c r="Q32" i="122"/>
  <c r="D22" i="122"/>
  <c r="D25" i="122"/>
  <c r="H28" i="122"/>
  <c r="W35" i="122"/>
  <c r="O45" i="122"/>
  <c r="AD25" i="122"/>
  <c r="AA32" i="122"/>
  <c r="AB35" i="122"/>
  <c r="AA48" i="122"/>
  <c r="X32" i="122"/>
  <c r="E48" i="122"/>
  <c r="W42" i="122"/>
  <c r="P42" i="122"/>
  <c r="O25" i="122"/>
  <c r="V42" i="122"/>
  <c r="Q42" i="122"/>
  <c r="X35" i="122"/>
  <c r="P48" i="122"/>
  <c r="H25" i="122"/>
  <c r="C25" i="122"/>
  <c r="E45" i="122"/>
  <c r="F45" i="122"/>
  <c r="C45" i="122"/>
  <c r="AB28" i="122"/>
  <c r="AC25" i="122"/>
  <c r="AD28" i="122"/>
  <c r="AA42" i="122"/>
  <c r="Z25" i="122"/>
  <c r="C48" i="122"/>
  <c r="W32" i="122"/>
  <c r="T25" i="122"/>
  <c r="C22" i="122"/>
  <c r="R32" i="122"/>
  <c r="U25" i="122"/>
  <c r="R35" i="122"/>
  <c r="S25" i="122"/>
  <c r="W38" i="122"/>
  <c r="P45" i="122"/>
  <c r="F22" i="122"/>
  <c r="F28" i="122"/>
  <c r="E28" i="122"/>
  <c r="S87" i="30"/>
  <c r="S224" i="30"/>
  <c r="G233" i="115"/>
  <c r="G331" i="115"/>
  <c r="G335" i="115"/>
  <c r="G380" i="115"/>
  <c r="G384" i="115"/>
  <c r="G324" i="115"/>
  <c r="F539" i="115"/>
  <c r="F612" i="115"/>
  <c r="N96" i="30"/>
  <c r="S124" i="30"/>
  <c r="N123" i="30"/>
  <c r="N132" i="30"/>
  <c r="S133" i="30"/>
  <c r="S170" i="30"/>
  <c r="BZ58" i="124"/>
  <c r="X138" i="124" s="1"/>
  <c r="CE39" i="124"/>
  <c r="CE48" i="124"/>
  <c r="CA41" i="124"/>
  <c r="CG58" i="124"/>
  <c r="AD138" i="124" s="1"/>
  <c r="CI42" i="124"/>
  <c r="CI41" i="124" s="1"/>
  <c r="BZ17" i="124"/>
  <c r="CD55" i="124"/>
  <c r="Z142" i="124" s="1"/>
  <c r="CE30" i="124"/>
  <c r="CW30" i="124" s="1"/>
  <c r="CD41" i="124"/>
  <c r="CE57" i="124"/>
  <c r="CE40" i="124"/>
  <c r="CE59" i="124"/>
  <c r="CR59" i="124" s="1"/>
  <c r="D208" i="121" s="1"/>
  <c r="BY41" i="124"/>
  <c r="BY65" i="124" s="1"/>
  <c r="L65" i="127"/>
  <c r="H65" i="127"/>
  <c r="L37" i="112"/>
  <c r="O246" i="121" s="1"/>
  <c r="C348" i="115"/>
  <c r="G298" i="115"/>
  <c r="W22" i="122"/>
  <c r="U45" i="122"/>
  <c r="C28" i="122"/>
  <c r="V48" i="122"/>
  <c r="S22" i="122"/>
  <c r="AA25" i="122"/>
  <c r="AA38" i="122"/>
  <c r="AA51" i="122"/>
  <c r="N241" i="30"/>
  <c r="S242" i="30"/>
  <c r="CA55" i="124"/>
  <c r="CX55" i="124" s="1"/>
  <c r="CE21" i="124"/>
  <c r="CI62" i="124"/>
  <c r="CJ62" i="124" s="1"/>
  <c r="CB20" i="124"/>
  <c r="CB65" i="124" s="1"/>
  <c r="BY55" i="124"/>
  <c r="CI27" i="124"/>
  <c r="CS27" i="124" s="1"/>
  <c r="F179" i="121" s="1"/>
  <c r="CE45" i="124"/>
  <c r="CW45" i="124" s="1"/>
  <c r="CD44" i="124"/>
  <c r="Z134" i="124" s="1"/>
  <c r="CE18" i="124"/>
  <c r="CW18" i="124" s="1"/>
  <c r="CF20" i="124"/>
  <c r="CA58" i="124"/>
  <c r="Y138" i="124" s="1"/>
  <c r="CI49" i="124"/>
  <c r="CE24" i="124"/>
  <c r="M65" i="127"/>
  <c r="I65" i="127"/>
  <c r="D324" i="115"/>
  <c r="G227" i="115"/>
  <c r="G307" i="115"/>
  <c r="V22" i="122"/>
  <c r="O28" i="122"/>
  <c r="Q35" i="122"/>
  <c r="F25" i="122"/>
  <c r="W48" i="122"/>
  <c r="AC28" i="122"/>
  <c r="AC32" i="122"/>
  <c r="S78" i="30"/>
  <c r="S215" i="30"/>
  <c r="N227" i="30"/>
  <c r="S227" i="30" s="1"/>
  <c r="Q5" i="122"/>
  <c r="G21" i="122"/>
  <c r="P21" i="122"/>
  <c r="AC41" i="122"/>
  <c r="AC51" i="122" s="1"/>
  <c r="N196" i="30"/>
  <c r="H123" i="30"/>
  <c r="N162" i="30"/>
  <c r="S162" i="30" s="1"/>
  <c r="C674" i="115"/>
  <c r="S21" i="122"/>
  <c r="S51" i="122" s="1"/>
  <c r="V21" i="122"/>
  <c r="N259" i="30"/>
  <c r="S179" i="30"/>
  <c r="N161" i="30"/>
  <c r="G108" i="170"/>
  <c r="J71" i="127"/>
  <c r="H196" i="30"/>
  <c r="N193" i="30"/>
  <c r="N181" i="30"/>
  <c r="S181" i="30" s="1"/>
  <c r="H95" i="170"/>
  <c r="H108" i="170" s="1"/>
  <c r="I108" i="170"/>
  <c r="C640" i="115"/>
  <c r="O21" i="122"/>
  <c r="D52" i="170"/>
  <c r="N220" i="30"/>
  <c r="N214" i="30" s="1"/>
  <c r="N280" i="30"/>
  <c r="S280" i="30" s="1"/>
  <c r="N70" i="30"/>
  <c r="N115" i="30"/>
  <c r="N151" i="30"/>
  <c r="N251" i="30"/>
  <c r="D99" i="170"/>
  <c r="D108" i="170" s="1"/>
  <c r="N65" i="30"/>
  <c r="N166" i="30"/>
  <c r="N175" i="30"/>
  <c r="N169" i="30" s="1"/>
  <c r="N183" i="30"/>
  <c r="N192" i="30"/>
  <c r="H21" i="122"/>
  <c r="O5" i="122"/>
  <c r="L52" i="170"/>
  <c r="I89" i="170"/>
  <c r="K108" i="170"/>
  <c r="H46" i="30"/>
  <c r="N228" i="30"/>
  <c r="N60" i="30"/>
  <c r="N99" i="30"/>
  <c r="S99" i="30" s="1"/>
  <c r="N189" i="30"/>
  <c r="S189" i="30" s="1"/>
  <c r="H70" i="127"/>
  <c r="H71" i="127"/>
  <c r="H86" i="30"/>
  <c r="H76" i="30" s="1"/>
  <c r="H132" i="30"/>
  <c r="H241" i="30"/>
  <c r="D692" i="115"/>
  <c r="G52" i="170"/>
  <c r="C89" i="170"/>
  <c r="I70" i="127"/>
  <c r="I71" i="127"/>
  <c r="H169" i="30"/>
  <c r="H268" i="30"/>
  <c r="N82" i="30"/>
  <c r="N77" i="30" s="1"/>
  <c r="N91" i="30"/>
  <c r="N86" i="30" s="1"/>
  <c r="N100" i="30"/>
  <c r="N165" i="30"/>
  <c r="N256" i="30"/>
  <c r="L95" i="170"/>
  <c r="L108" i="170" s="1"/>
  <c r="E108" i="170"/>
  <c r="AA24" i="123" l="1"/>
  <c r="E24" i="123"/>
  <c r="M56" i="125"/>
  <c r="V56" i="125" s="1"/>
  <c r="Q56" i="125"/>
  <c r="M159" i="124"/>
  <c r="Y155" i="124"/>
  <c r="M90" i="125"/>
  <c r="V90" i="125" s="1"/>
  <c r="CS36" i="124"/>
  <c r="F188" i="121" s="1"/>
  <c r="V99" i="123"/>
  <c r="O205" i="123" s="1"/>
  <c r="CW36" i="124"/>
  <c r="M118" i="124"/>
  <c r="S153" i="124"/>
  <c r="K285" i="123"/>
  <c r="CS33" i="124"/>
  <c r="F185" i="121" s="1"/>
  <c r="I99" i="123"/>
  <c r="C55" i="125" s="1"/>
  <c r="C30" i="125" s="1"/>
  <c r="X60" i="125"/>
  <c r="S52" i="125"/>
  <c r="AA52" i="125" s="1"/>
  <c r="L58" i="125"/>
  <c r="U58" i="125" s="1"/>
  <c r="AY58" i="124"/>
  <c r="G80" i="125" s="1"/>
  <c r="O90" i="125"/>
  <c r="Y90" i="125" s="1"/>
  <c r="P52" i="125"/>
  <c r="Z52" i="125" s="1"/>
  <c r="J26" i="125"/>
  <c r="P26" i="125" s="1"/>
  <c r="X99" i="123"/>
  <c r="R205" i="123" s="1"/>
  <c r="I288" i="123" s="1"/>
  <c r="G111" i="125"/>
  <c r="M111" i="125" s="1"/>
  <c r="J111" i="125"/>
  <c r="H80" i="124"/>
  <c r="I228" i="121" s="1"/>
  <c r="J48" i="125"/>
  <c r="AF130" i="124"/>
  <c r="AI26" i="123"/>
  <c r="AI24" i="123" s="1"/>
  <c r="F59" i="125"/>
  <c r="T304" i="123"/>
  <c r="H159" i="30"/>
  <c r="L142" i="124"/>
  <c r="L146" i="124" s="1"/>
  <c r="M65" i="124"/>
  <c r="M66" i="124" s="1"/>
  <c r="U157" i="124"/>
  <c r="AR134" i="124"/>
  <c r="AF138" i="124"/>
  <c r="C65" i="124"/>
  <c r="C66" i="124" s="1"/>
  <c r="P126" i="124"/>
  <c r="L288" i="123"/>
  <c r="I287" i="123"/>
  <c r="V41" i="122"/>
  <c r="V51" i="122" s="1"/>
  <c r="D118" i="122" s="1"/>
  <c r="U41" i="122"/>
  <c r="U51" i="122" s="1"/>
  <c r="C118" i="122" s="1"/>
  <c r="P41" i="122"/>
  <c r="P51" i="122" s="1"/>
  <c r="O41" i="122"/>
  <c r="O51" i="122" s="1"/>
  <c r="C117" i="122" s="1"/>
  <c r="C41" i="122"/>
  <c r="C114" i="122" s="1"/>
  <c r="D41" i="122"/>
  <c r="D51" i="122" s="1"/>
  <c r="F51" i="122"/>
  <c r="V205" i="123"/>
  <c r="AG205" i="123" s="1"/>
  <c r="AI214" i="123"/>
  <c r="J50" i="125"/>
  <c r="P50" i="125" s="1"/>
  <c r="Z50" i="125" s="1"/>
  <c r="X143" i="123"/>
  <c r="R253" i="123"/>
  <c r="M45" i="125"/>
  <c r="V45" i="125" s="1"/>
  <c r="R45" i="125"/>
  <c r="G18" i="125"/>
  <c r="X45" i="125"/>
  <c r="AA45" i="125"/>
  <c r="P222" i="123"/>
  <c r="R58" i="125"/>
  <c r="X58" i="125" s="1"/>
  <c r="I58" i="125"/>
  <c r="P205" i="123"/>
  <c r="O54" i="125"/>
  <c r="Y54" i="125" s="1"/>
  <c r="I26" i="125"/>
  <c r="O26" i="125" s="1"/>
  <c r="AB92" i="123"/>
  <c r="F53" i="125"/>
  <c r="N226" i="123"/>
  <c r="I47" i="125"/>
  <c r="W39" i="123"/>
  <c r="AB39" i="123" s="1"/>
  <c r="AB40" i="123"/>
  <c r="M99" i="123"/>
  <c r="D55" i="125" s="1"/>
  <c r="I206" i="123"/>
  <c r="J99" i="123"/>
  <c r="I205" i="123" s="1"/>
  <c r="M54" i="125"/>
  <c r="V54" i="125" s="1"/>
  <c r="D26" i="125"/>
  <c r="M26" i="125" s="1"/>
  <c r="Q54" i="125"/>
  <c r="X54" i="125" s="1"/>
  <c r="I226" i="123"/>
  <c r="AB51" i="122"/>
  <c r="R51" i="122"/>
  <c r="E51" i="122"/>
  <c r="CJ19" i="124"/>
  <c r="P28" i="125"/>
  <c r="AE142" i="124"/>
  <c r="X49" i="125"/>
  <c r="G31" i="125"/>
  <c r="G74" i="122"/>
  <c r="J262" i="121"/>
  <c r="L101" i="125"/>
  <c r="U101" i="125" s="1"/>
  <c r="AA138" i="124"/>
  <c r="CW42" i="124"/>
  <c r="F13" i="167"/>
  <c r="F14" i="167" s="1"/>
  <c r="E64" i="125"/>
  <c r="BV65" i="124"/>
  <c r="CV51" i="124"/>
  <c r="CV65" i="124" s="1"/>
  <c r="K206" i="123"/>
  <c r="L206" i="123" s="1"/>
  <c r="L99" i="123"/>
  <c r="K205" i="123" s="1"/>
  <c r="L205" i="123" s="1"/>
  <c r="L309" i="123"/>
  <c r="AR118" i="124"/>
  <c r="CJ61" i="124"/>
  <c r="CS61" i="124"/>
  <c r="F210" i="121" s="1"/>
  <c r="G101" i="125"/>
  <c r="I71" i="125"/>
  <c r="C90" i="125"/>
  <c r="J71" i="125"/>
  <c r="J17" i="125" s="1"/>
  <c r="AK113" i="123"/>
  <c r="G57" i="125"/>
  <c r="AA99" i="123"/>
  <c r="G55" i="125" s="1"/>
  <c r="M55" i="125" s="1"/>
  <c r="V55" i="125" s="1"/>
  <c r="AB113" i="123"/>
  <c r="N223" i="30"/>
  <c r="Z26" i="123"/>
  <c r="Z24" i="123" s="1"/>
  <c r="AE143" i="123"/>
  <c r="S143" i="123"/>
  <c r="N143" i="123"/>
  <c r="N144" i="123" s="1"/>
  <c r="L164" i="121" s="1"/>
  <c r="E146" i="124"/>
  <c r="AI218" i="123"/>
  <c r="AG218" i="123"/>
  <c r="V222" i="123"/>
  <c r="AR153" i="124"/>
  <c r="AG201" i="123"/>
  <c r="AI201" i="123"/>
  <c r="AK99" i="123"/>
  <c r="J57" i="125"/>
  <c r="S57" i="125" s="1"/>
  <c r="AH99" i="123"/>
  <c r="F17" i="125"/>
  <c r="H113" i="30"/>
  <c r="C143" i="123"/>
  <c r="P101" i="125"/>
  <c r="Z101" i="125" s="1"/>
  <c r="D69" i="1"/>
  <c r="D106" i="56"/>
  <c r="D67" i="1" s="1"/>
  <c r="D80" i="56"/>
  <c r="D81" i="56" s="1"/>
  <c r="AF99" i="123"/>
  <c r="AJ100" i="123"/>
  <c r="AJ99" i="123" s="1"/>
  <c r="D226" i="123"/>
  <c r="C159" i="124"/>
  <c r="H309" i="123"/>
  <c r="E285" i="123"/>
  <c r="H285" i="123" s="1"/>
  <c r="D81" i="125"/>
  <c r="D101" i="125"/>
  <c r="M101" i="125" s="1"/>
  <c r="V101" i="125" s="1"/>
  <c r="I81" i="125"/>
  <c r="O81" i="125" s="1"/>
  <c r="Y81" i="125" s="1"/>
  <c r="AI113" i="123"/>
  <c r="AI100" i="123"/>
  <c r="AG206" i="123"/>
  <c r="AI206" i="123"/>
  <c r="AG210" i="123"/>
  <c r="AI210" i="123"/>
  <c r="H205" i="123"/>
  <c r="L83" i="127"/>
  <c r="L78" i="127"/>
  <c r="L81" i="127" s="1"/>
  <c r="L106" i="127" s="1"/>
  <c r="L79" i="127"/>
  <c r="L82" i="127" s="1"/>
  <c r="M83" i="127"/>
  <c r="M78" i="127"/>
  <c r="M81" i="127" s="1"/>
  <c r="M106" i="127" s="1"/>
  <c r="M79" i="127"/>
  <c r="M82" i="127" s="1"/>
  <c r="N79" i="127"/>
  <c r="N82" i="127" s="1"/>
  <c r="N83" i="127"/>
  <c r="N78" i="127"/>
  <c r="N81" i="127" s="1"/>
  <c r="N106" i="127" s="1"/>
  <c r="CQ51" i="124"/>
  <c r="G98" i="125"/>
  <c r="M189" i="124"/>
  <c r="G189" i="124"/>
  <c r="CT51" i="124"/>
  <c r="CT65" i="124" s="1"/>
  <c r="CW51" i="124"/>
  <c r="H189" i="124"/>
  <c r="K189" i="124" s="1"/>
  <c r="K190" i="124"/>
  <c r="V155" i="124"/>
  <c r="V161" i="124" s="1"/>
  <c r="H21" i="125"/>
  <c r="CS58" i="124"/>
  <c r="F207" i="121" s="1"/>
  <c r="AV138" i="124"/>
  <c r="R155" i="124"/>
  <c r="T155" i="124"/>
  <c r="AX65" i="124"/>
  <c r="T159" i="124"/>
  <c r="S159" i="124"/>
  <c r="U130" i="124"/>
  <c r="AX130" i="124" s="1"/>
  <c r="AY41" i="124"/>
  <c r="G76" i="125" s="1"/>
  <c r="R76" i="125" s="1"/>
  <c r="AV65" i="124"/>
  <c r="R159" i="124"/>
  <c r="U122" i="124"/>
  <c r="AV122" i="124" s="1"/>
  <c r="CR43" i="124"/>
  <c r="D195" i="121" s="1"/>
  <c r="CW40" i="124"/>
  <c r="P157" i="124"/>
  <c r="Q71" i="125"/>
  <c r="W161" i="124"/>
  <c r="W146" i="124"/>
  <c r="V146" i="124"/>
  <c r="H16" i="125"/>
  <c r="H14" i="125" s="1"/>
  <c r="H35" i="125" s="1"/>
  <c r="H40" i="125" s="1"/>
  <c r="H109" i="125" s="1"/>
  <c r="H83" i="125"/>
  <c r="AV126" i="124"/>
  <c r="AX126" i="124"/>
  <c r="AV157" i="124"/>
  <c r="AX157" i="124"/>
  <c r="G17" i="125"/>
  <c r="P17" i="125" s="1"/>
  <c r="R71" i="125"/>
  <c r="BJ65" i="124"/>
  <c r="U211" i="124"/>
  <c r="R73" i="125"/>
  <c r="R70" i="125"/>
  <c r="S155" i="124"/>
  <c r="U155" i="124" s="1"/>
  <c r="AW65" i="124"/>
  <c r="S146" i="124"/>
  <c r="U142" i="124"/>
  <c r="T146" i="124"/>
  <c r="U153" i="124"/>
  <c r="U118" i="124"/>
  <c r="R146" i="124"/>
  <c r="CW48" i="124"/>
  <c r="CW50" i="124" s="1"/>
  <c r="AU44" i="124"/>
  <c r="F77" i="125" s="1"/>
  <c r="CW47" i="124"/>
  <c r="M71" i="125"/>
  <c r="V71" i="125" s="1"/>
  <c r="Q90" i="125"/>
  <c r="X90" i="125" s="1"/>
  <c r="P122" i="124"/>
  <c r="AP65" i="124"/>
  <c r="P142" i="124"/>
  <c r="M155" i="124"/>
  <c r="M161" i="124" s="1"/>
  <c r="M146" i="124"/>
  <c r="CR19" i="124"/>
  <c r="D171" i="121" s="1"/>
  <c r="AU17" i="124"/>
  <c r="F69" i="125" s="1"/>
  <c r="R69" i="125" s="1"/>
  <c r="N118" i="124"/>
  <c r="N146" i="124" s="1"/>
  <c r="N153" i="124"/>
  <c r="P153" i="124" s="1"/>
  <c r="AQ65" i="124"/>
  <c r="C33" i="125"/>
  <c r="L33" i="125" s="1"/>
  <c r="L81" i="125"/>
  <c r="U81" i="125" s="1"/>
  <c r="Q81" i="125"/>
  <c r="X81" i="125" s="1"/>
  <c r="J33" i="125"/>
  <c r="P81" i="125"/>
  <c r="Z81" i="125" s="1"/>
  <c r="S101" i="125"/>
  <c r="O101" i="125"/>
  <c r="Y101" i="125" s="1"/>
  <c r="I33" i="125"/>
  <c r="G65" i="124"/>
  <c r="G66" i="124" s="1"/>
  <c r="L161" i="124"/>
  <c r="D17" i="125"/>
  <c r="J65" i="124"/>
  <c r="J66" i="124" s="1"/>
  <c r="I159" i="124"/>
  <c r="K159" i="124" s="1"/>
  <c r="K157" i="124"/>
  <c r="K65" i="124"/>
  <c r="K66" i="124" s="1"/>
  <c r="E159" i="124"/>
  <c r="E161" i="124" s="1"/>
  <c r="G138" i="124"/>
  <c r="G153" i="124"/>
  <c r="AY138" i="124"/>
  <c r="BA138" i="124"/>
  <c r="AE159" i="124"/>
  <c r="CG65" i="124"/>
  <c r="AD159" i="124"/>
  <c r="AD161" i="124" s="1"/>
  <c r="AB159" i="124"/>
  <c r="AY134" i="124"/>
  <c r="BA134" i="124"/>
  <c r="AY130" i="124"/>
  <c r="BA130" i="124"/>
  <c r="AD146" i="124"/>
  <c r="AB155" i="124"/>
  <c r="AF155" i="124" s="1"/>
  <c r="AB142" i="124"/>
  <c r="AF142" i="124" s="1"/>
  <c r="CF65" i="124"/>
  <c r="CI17" i="124"/>
  <c r="G88" i="125" s="1"/>
  <c r="AE118" i="124"/>
  <c r="AE146" i="124" s="1"/>
  <c r="AE153" i="124"/>
  <c r="AF153" i="124" s="1"/>
  <c r="X159" i="124"/>
  <c r="CX58" i="124"/>
  <c r="CR63" i="124"/>
  <c r="D212" i="121" s="1"/>
  <c r="CW63" i="124"/>
  <c r="CW64" i="124" s="1"/>
  <c r="CW59" i="124"/>
  <c r="CJ57" i="124"/>
  <c r="CW57" i="124"/>
  <c r="Y142" i="124"/>
  <c r="AA134" i="124"/>
  <c r="CX41" i="124"/>
  <c r="CX65" i="124" s="1"/>
  <c r="Y159" i="124"/>
  <c r="Y161" i="124" s="1"/>
  <c r="Y130" i="124"/>
  <c r="Z159" i="124"/>
  <c r="Z130" i="124"/>
  <c r="Z146" i="124" s="1"/>
  <c r="CR39" i="124"/>
  <c r="D191" i="121" s="1"/>
  <c r="CW39" i="124"/>
  <c r="CR24" i="124"/>
  <c r="D176" i="121" s="1"/>
  <c r="CW24" i="124"/>
  <c r="AA155" i="124"/>
  <c r="CR21" i="124"/>
  <c r="D173" i="121" s="1"/>
  <c r="CW21" i="124"/>
  <c r="BZ65" i="124"/>
  <c r="X153" i="124"/>
  <c r="X118" i="124"/>
  <c r="CW60" i="124"/>
  <c r="AU58" i="124"/>
  <c r="P159" i="124"/>
  <c r="O161" i="124"/>
  <c r="P138" i="124"/>
  <c r="O146" i="124"/>
  <c r="J142" i="124"/>
  <c r="J146" i="124" s="1"/>
  <c r="J161" i="124"/>
  <c r="G155" i="124"/>
  <c r="H20" i="124"/>
  <c r="H65" i="124" s="1"/>
  <c r="H66" i="124" s="1"/>
  <c r="G118" i="124"/>
  <c r="G157" i="124"/>
  <c r="G122" i="124"/>
  <c r="K122" i="124"/>
  <c r="I146" i="124"/>
  <c r="K118" i="124"/>
  <c r="H146" i="124"/>
  <c r="K153" i="124"/>
  <c r="H161" i="124"/>
  <c r="D142" i="124"/>
  <c r="D146" i="124" s="1"/>
  <c r="D161" i="124"/>
  <c r="D65" i="124"/>
  <c r="D66" i="124" s="1"/>
  <c r="C161" i="124"/>
  <c r="C146" i="124"/>
  <c r="E236" i="123"/>
  <c r="E193" i="123"/>
  <c r="D48" i="125"/>
  <c r="D64" i="125" s="1"/>
  <c r="M143" i="123"/>
  <c r="K193" i="123"/>
  <c r="K236" i="123"/>
  <c r="E143" i="123"/>
  <c r="J236" i="123"/>
  <c r="J193" i="123"/>
  <c r="J253" i="123"/>
  <c r="J226" i="123"/>
  <c r="P48" i="125"/>
  <c r="Z48" i="125" s="1"/>
  <c r="AH143" i="123"/>
  <c r="J143" i="123"/>
  <c r="AK143" i="123"/>
  <c r="S236" i="123"/>
  <c r="S255" i="123" s="1"/>
  <c r="S193" i="123"/>
  <c r="S230" i="123" s="1"/>
  <c r="R143" i="123"/>
  <c r="M253" i="123"/>
  <c r="M255" i="123" s="1"/>
  <c r="M226" i="123"/>
  <c r="M230" i="123" s="1"/>
  <c r="I193" i="123"/>
  <c r="I236" i="123"/>
  <c r="AB52" i="123"/>
  <c r="AA51" i="123"/>
  <c r="Y143" i="123"/>
  <c r="AG143" i="123"/>
  <c r="O193" i="123"/>
  <c r="O236" i="123"/>
  <c r="L240" i="123"/>
  <c r="AI66" i="123"/>
  <c r="G66" i="123"/>
  <c r="G143" i="123" s="1"/>
  <c r="AI240" i="123"/>
  <c r="AG240" i="123"/>
  <c r="T143" i="123"/>
  <c r="H66" i="123"/>
  <c r="T226" i="123"/>
  <c r="T253" i="123"/>
  <c r="V253" i="123" s="1"/>
  <c r="Z143" i="123"/>
  <c r="U143" i="123"/>
  <c r="D193" i="123"/>
  <c r="D236" i="123"/>
  <c r="W67" i="123"/>
  <c r="R226" i="123"/>
  <c r="N230" i="123"/>
  <c r="D143" i="123"/>
  <c r="I26" i="123"/>
  <c r="I24" i="123" s="1"/>
  <c r="T236" i="123"/>
  <c r="T193" i="123"/>
  <c r="N255" i="123"/>
  <c r="AJ26" i="123"/>
  <c r="AJ24" i="123" s="1"/>
  <c r="K143" i="123"/>
  <c r="R193" i="123"/>
  <c r="R236" i="123"/>
  <c r="V143" i="123"/>
  <c r="O226" i="123"/>
  <c r="O253" i="123"/>
  <c r="AJ66" i="123"/>
  <c r="E253" i="123"/>
  <c r="H253" i="123" s="1"/>
  <c r="E226" i="123"/>
  <c r="M50" i="125"/>
  <c r="V50" i="125" s="1"/>
  <c r="AF143" i="123"/>
  <c r="K226" i="123"/>
  <c r="K253" i="123"/>
  <c r="L47" i="125"/>
  <c r="U47" i="125" s="1"/>
  <c r="Q47" i="125"/>
  <c r="AB33" i="123"/>
  <c r="I253" i="123"/>
  <c r="H288" i="30"/>
  <c r="H308" i="30" s="1"/>
  <c r="H311" i="30" s="1"/>
  <c r="S251" i="30"/>
  <c r="N250" i="30"/>
  <c r="D115" i="122"/>
  <c r="H51" i="122"/>
  <c r="CD65" i="124"/>
  <c r="G95" i="125"/>
  <c r="CS41" i="124"/>
  <c r="F193" i="121" s="1"/>
  <c r="CI20" i="124"/>
  <c r="CS21" i="124"/>
  <c r="F173" i="121" s="1"/>
  <c r="CJ27" i="124"/>
  <c r="O57" i="125"/>
  <c r="Y57" i="125" s="1"/>
  <c r="R57" i="125"/>
  <c r="AB26" i="123"/>
  <c r="L57" i="125"/>
  <c r="U57" i="125" s="1"/>
  <c r="D30" i="125"/>
  <c r="R91" i="125"/>
  <c r="E72" i="125"/>
  <c r="J91" i="125"/>
  <c r="P91" i="125" s="1"/>
  <c r="Z91" i="125" s="1"/>
  <c r="I72" i="125"/>
  <c r="C72" i="125"/>
  <c r="F20" i="125"/>
  <c r="C91" i="125"/>
  <c r="I91" i="125"/>
  <c r="O91" i="125" s="1"/>
  <c r="Y91" i="125" s="1"/>
  <c r="D72" i="125"/>
  <c r="E91" i="125"/>
  <c r="J72" i="125"/>
  <c r="D91" i="125"/>
  <c r="M91" i="125" s="1"/>
  <c r="V91" i="125" s="1"/>
  <c r="G46" i="125"/>
  <c r="J46" i="125" s="1"/>
  <c r="S60" i="30"/>
  <c r="N59" i="30"/>
  <c r="N114" i="30"/>
  <c r="N113" i="30" s="1"/>
  <c r="S115" i="30"/>
  <c r="CJ45" i="124"/>
  <c r="CE44" i="124"/>
  <c r="CE58" i="124"/>
  <c r="CJ59" i="124"/>
  <c r="CH65" i="124"/>
  <c r="R92" i="125"/>
  <c r="D92" i="125"/>
  <c r="M92" i="125" s="1"/>
  <c r="V92" i="125" s="1"/>
  <c r="F18" i="125"/>
  <c r="I92" i="125"/>
  <c r="I73" i="125"/>
  <c r="E73" i="125"/>
  <c r="E92" i="125"/>
  <c r="C92" i="125"/>
  <c r="C73" i="125"/>
  <c r="D73" i="125"/>
  <c r="J92" i="125"/>
  <c r="P92" i="125" s="1"/>
  <c r="Z92" i="125" s="1"/>
  <c r="J73" i="125"/>
  <c r="CS57" i="124"/>
  <c r="F206" i="121" s="1"/>
  <c r="L65" i="124"/>
  <c r="L66" i="124" s="1"/>
  <c r="CJ42" i="124"/>
  <c r="CE41" i="124"/>
  <c r="CW41" i="124" s="1"/>
  <c r="N150" i="30"/>
  <c r="S151" i="30"/>
  <c r="J79" i="127"/>
  <c r="J82" i="127" s="1"/>
  <c r="J83" i="127"/>
  <c r="J78" i="127"/>
  <c r="J81" i="127" s="1"/>
  <c r="S70" i="30"/>
  <c r="N69" i="30"/>
  <c r="N160" i="30"/>
  <c r="S161" i="30"/>
  <c r="N187" i="30"/>
  <c r="CJ40" i="124"/>
  <c r="F94" i="125"/>
  <c r="E75" i="125" s="1"/>
  <c r="CA65" i="124"/>
  <c r="G99" i="125"/>
  <c r="CS55" i="124"/>
  <c r="F204" i="121" s="1"/>
  <c r="F98" i="125"/>
  <c r="F27" i="125" s="1"/>
  <c r="CO51" i="124"/>
  <c r="CJ51" i="124"/>
  <c r="CJ18" i="124"/>
  <c r="CE17" i="124"/>
  <c r="CW17" i="124" s="1"/>
  <c r="CJ24" i="124"/>
  <c r="CJ48" i="124"/>
  <c r="CE50" i="124"/>
  <c r="N178" i="30"/>
  <c r="CR48" i="124"/>
  <c r="D200" i="121" s="1"/>
  <c r="CE55" i="124"/>
  <c r="CW55" i="124" s="1"/>
  <c r="I82" i="125"/>
  <c r="D82" i="125"/>
  <c r="C82" i="125"/>
  <c r="C102" i="125"/>
  <c r="J82" i="125"/>
  <c r="E82" i="125"/>
  <c r="J102" i="125"/>
  <c r="E102" i="125"/>
  <c r="I102" i="125"/>
  <c r="O102" i="125" s="1"/>
  <c r="Y102" i="125" s="1"/>
  <c r="D102" i="125"/>
  <c r="F34" i="125"/>
  <c r="CR57" i="124"/>
  <c r="D206" i="121" s="1"/>
  <c r="D98" i="125"/>
  <c r="I80" i="124"/>
  <c r="J228" i="121" s="1"/>
  <c r="I31" i="112"/>
  <c r="I5" i="112" s="1"/>
  <c r="O25" i="112"/>
  <c r="R238" i="121" s="1"/>
  <c r="N25" i="112"/>
  <c r="Q238" i="121" s="1"/>
  <c r="I83" i="127"/>
  <c r="I79" i="127"/>
  <c r="I82" i="127" s="1"/>
  <c r="I78" i="127"/>
  <c r="I81" i="127" s="1"/>
  <c r="G97" i="125"/>
  <c r="R97" i="125" s="1"/>
  <c r="CI50" i="124"/>
  <c r="J28" i="127"/>
  <c r="I3" i="127"/>
  <c r="CS49" i="124"/>
  <c r="F201" i="121" s="1"/>
  <c r="G78" i="125"/>
  <c r="E94" i="125"/>
  <c r="R75" i="125"/>
  <c r="J78" i="125"/>
  <c r="I97" i="125"/>
  <c r="J97" i="125"/>
  <c r="I78" i="125"/>
  <c r="E78" i="125"/>
  <c r="E97" i="125"/>
  <c r="C78" i="125"/>
  <c r="C97" i="125"/>
  <c r="D78" i="125"/>
  <c r="D97" i="125"/>
  <c r="F25" i="125"/>
  <c r="N46" i="30"/>
  <c r="CS44" i="124"/>
  <c r="F196" i="121" s="1"/>
  <c r="AY65" i="124"/>
  <c r="G77" i="125"/>
  <c r="AB79" i="123"/>
  <c r="F50" i="125"/>
  <c r="I50" i="125" s="1"/>
  <c r="S50" i="125" s="1"/>
  <c r="CJ30" i="124"/>
  <c r="CR42" i="124"/>
  <c r="D194" i="121" s="1"/>
  <c r="CJ63" i="124"/>
  <c r="CR45" i="124"/>
  <c r="D197" i="121" s="1"/>
  <c r="CR40" i="124"/>
  <c r="D192" i="121" s="1"/>
  <c r="E106" i="56"/>
  <c r="E67" i="1" s="1"/>
  <c r="E69" i="1"/>
  <c r="E80" i="56"/>
  <c r="E81" i="56" s="1"/>
  <c r="CR18" i="124"/>
  <c r="D170" i="121" s="1"/>
  <c r="X62" i="125"/>
  <c r="AA62" i="125"/>
  <c r="R51" i="125"/>
  <c r="O51" i="125"/>
  <c r="Y51" i="125" s="1"/>
  <c r="L51" i="125"/>
  <c r="U51" i="125" s="1"/>
  <c r="F93" i="125"/>
  <c r="CJ39" i="124"/>
  <c r="N95" i="30"/>
  <c r="N76" i="30" s="1"/>
  <c r="S96" i="30"/>
  <c r="H83" i="127"/>
  <c r="H79" i="127"/>
  <c r="H82" i="127" s="1"/>
  <c r="H78" i="127"/>
  <c r="H81" i="127" s="1"/>
  <c r="G102" i="125"/>
  <c r="R102" i="125" s="1"/>
  <c r="CS62" i="124"/>
  <c r="F211" i="121" s="1"/>
  <c r="C115" i="122"/>
  <c r="G51" i="122"/>
  <c r="CJ21" i="124"/>
  <c r="CE20" i="124"/>
  <c r="CW20" i="124" s="1"/>
  <c r="CE47" i="124"/>
  <c r="CR30" i="124"/>
  <c r="D182" i="121" s="1"/>
  <c r="CJ49" i="124"/>
  <c r="CS42" i="124"/>
  <c r="F194" i="121" s="1"/>
  <c r="W99" i="123"/>
  <c r="AB100" i="123"/>
  <c r="F56" i="125"/>
  <c r="I56" i="125" s="1"/>
  <c r="S56" i="125" s="1"/>
  <c r="O33" i="125"/>
  <c r="Q55" i="125"/>
  <c r="W24" i="123" l="1"/>
  <c r="C51" i="122"/>
  <c r="P111" i="125"/>
  <c r="AF118" i="124"/>
  <c r="I59" i="125"/>
  <c r="S59" i="125" s="1"/>
  <c r="R59" i="125"/>
  <c r="L59" i="125"/>
  <c r="U59" i="125" s="1"/>
  <c r="O59" i="125"/>
  <c r="Y59" i="125" s="1"/>
  <c r="I286" i="123"/>
  <c r="L287" i="123"/>
  <c r="D117" i="122"/>
  <c r="C122" i="122" s="1"/>
  <c r="G110" i="125" s="1"/>
  <c r="M110" i="125" s="1"/>
  <c r="D114" i="122"/>
  <c r="AA143" i="123"/>
  <c r="J55" i="125"/>
  <c r="J30" i="125" s="1"/>
  <c r="V226" i="123"/>
  <c r="S58" i="125"/>
  <c r="AA58" i="125" s="1"/>
  <c r="O58" i="125"/>
  <c r="Y58" i="125" s="1"/>
  <c r="I53" i="125"/>
  <c r="S53" i="125" s="1"/>
  <c r="R53" i="125"/>
  <c r="L53" i="125"/>
  <c r="U53" i="125" s="1"/>
  <c r="O47" i="125"/>
  <c r="Y47" i="125" s="1"/>
  <c r="O255" i="123"/>
  <c r="P253" i="123"/>
  <c r="L143" i="123"/>
  <c r="H226" i="123"/>
  <c r="AA130" i="124"/>
  <c r="Y146" i="124"/>
  <c r="D122" i="122"/>
  <c r="J110" i="125" s="1"/>
  <c r="M263" i="121"/>
  <c r="CS17" i="124"/>
  <c r="F169" i="121" s="1"/>
  <c r="AJ143" i="123"/>
  <c r="O230" i="123"/>
  <c r="R230" i="123"/>
  <c r="L226" i="123"/>
  <c r="S81" i="125"/>
  <c r="AA81" i="125" s="1"/>
  <c r="P57" i="125"/>
  <c r="Z57" i="125" s="1"/>
  <c r="M57" i="125"/>
  <c r="V57" i="125" s="1"/>
  <c r="O71" i="125"/>
  <c r="Y71" i="125" s="1"/>
  <c r="I17" i="125"/>
  <c r="O17" i="125" s="1"/>
  <c r="S71" i="125"/>
  <c r="AA71" i="125" s="1"/>
  <c r="P71" i="125"/>
  <c r="Z71" i="125" s="1"/>
  <c r="AI99" i="123"/>
  <c r="AI143" i="123" s="1"/>
  <c r="M81" i="125"/>
  <c r="V81" i="125" s="1"/>
  <c r="D33" i="125"/>
  <c r="AI222" i="123"/>
  <c r="AG222" i="123"/>
  <c r="R101" i="125"/>
  <c r="AA101" i="125" s="1"/>
  <c r="G33" i="125"/>
  <c r="P33" i="125" s="1"/>
  <c r="P226" i="123"/>
  <c r="AV130" i="124"/>
  <c r="AX122" i="124"/>
  <c r="CQ65" i="124"/>
  <c r="AQ142" i="124"/>
  <c r="AQ146" i="124" s="1"/>
  <c r="AQ159" i="124"/>
  <c r="AQ161" i="124" s="1"/>
  <c r="CO65" i="124"/>
  <c r="AO142" i="124"/>
  <c r="AO159" i="124"/>
  <c r="L253" i="123"/>
  <c r="D82" i="56"/>
  <c r="D60" i="56" s="1"/>
  <c r="D65" i="56" s="1"/>
  <c r="G30" i="125"/>
  <c r="P30" i="125" s="1"/>
  <c r="L90" i="125"/>
  <c r="U90" i="125" s="1"/>
  <c r="C17" i="125"/>
  <c r="L17" i="125" s="1"/>
  <c r="Q101" i="125"/>
  <c r="J112" i="125"/>
  <c r="G112" i="125"/>
  <c r="M112" i="125" s="1"/>
  <c r="J98" i="125"/>
  <c r="J27" i="125" s="1"/>
  <c r="G27" i="125"/>
  <c r="AE161" i="124"/>
  <c r="AF159" i="124"/>
  <c r="AF161" i="124" s="1"/>
  <c r="AY161" i="124" s="1"/>
  <c r="I161" i="124"/>
  <c r="P118" i="124"/>
  <c r="T161" i="124"/>
  <c r="U159" i="124"/>
  <c r="U161" i="124" s="1"/>
  <c r="AV161" i="124" s="1"/>
  <c r="R161" i="124"/>
  <c r="CW44" i="124"/>
  <c r="X71" i="125"/>
  <c r="M17" i="125"/>
  <c r="AX155" i="124"/>
  <c r="AV155" i="124"/>
  <c r="S161" i="124"/>
  <c r="AX118" i="124"/>
  <c r="AV118" i="124"/>
  <c r="U146" i="124"/>
  <c r="AV146" i="124" s="1"/>
  <c r="AX153" i="124"/>
  <c r="AV153" i="124"/>
  <c r="P155" i="124"/>
  <c r="P161" i="124" s="1"/>
  <c r="P146" i="124"/>
  <c r="N161" i="124"/>
  <c r="G159" i="124"/>
  <c r="G161" i="124" s="1"/>
  <c r="K161" i="124"/>
  <c r="K142" i="124"/>
  <c r="K146" i="124" s="1"/>
  <c r="AB161" i="124"/>
  <c r="AY155" i="124"/>
  <c r="BA155" i="124"/>
  <c r="AB146" i="124"/>
  <c r="BA153" i="124"/>
  <c r="AY153" i="124"/>
  <c r="AF146" i="124"/>
  <c r="AY146" i="124" s="1"/>
  <c r="AY118" i="124"/>
  <c r="BA118" i="124"/>
  <c r="AA142" i="124"/>
  <c r="AA159" i="124"/>
  <c r="S97" i="125"/>
  <c r="AA97" i="125" s="1"/>
  <c r="Z161" i="124"/>
  <c r="J25" i="125"/>
  <c r="F22" i="125"/>
  <c r="I94" i="125"/>
  <c r="O94" i="125" s="1"/>
  <c r="Y94" i="125" s="1"/>
  <c r="J75" i="125"/>
  <c r="P75" i="125" s="1"/>
  <c r="Z75" i="125" s="1"/>
  <c r="D75" i="125"/>
  <c r="M75" i="125" s="1"/>
  <c r="V75" i="125" s="1"/>
  <c r="J94" i="125"/>
  <c r="P94" i="125" s="1"/>
  <c r="Z94" i="125" s="1"/>
  <c r="I75" i="125"/>
  <c r="O75" i="125" s="1"/>
  <c r="Y75" i="125" s="1"/>
  <c r="S92" i="125"/>
  <c r="AA92" i="125" s="1"/>
  <c r="C94" i="125"/>
  <c r="D94" i="125"/>
  <c r="M94" i="125" s="1"/>
  <c r="V94" i="125" s="1"/>
  <c r="O92" i="125"/>
  <c r="Y92" i="125" s="1"/>
  <c r="C75" i="125"/>
  <c r="L75" i="125" s="1"/>
  <c r="U75" i="125" s="1"/>
  <c r="X146" i="124"/>
  <c r="AA118" i="124"/>
  <c r="AA153" i="124"/>
  <c r="X161" i="124"/>
  <c r="CW58" i="124"/>
  <c r="AU65" i="124"/>
  <c r="F80" i="125"/>
  <c r="G142" i="124"/>
  <c r="G146" i="124" s="1"/>
  <c r="V236" i="123"/>
  <c r="R255" i="123"/>
  <c r="F193" i="123"/>
  <c r="F230" i="123" s="1"/>
  <c r="F236" i="123"/>
  <c r="F255" i="123" s="1"/>
  <c r="H143" i="123"/>
  <c r="C279" i="123" s="1"/>
  <c r="J230" i="123"/>
  <c r="V193" i="123"/>
  <c r="T230" i="123"/>
  <c r="I230" i="123"/>
  <c r="L193" i="123"/>
  <c r="L230" i="123" s="1"/>
  <c r="K230" i="123"/>
  <c r="J255" i="123"/>
  <c r="C46" i="125"/>
  <c r="I143" i="123"/>
  <c r="AB67" i="123"/>
  <c r="W66" i="123"/>
  <c r="W143" i="123" s="1"/>
  <c r="AB143" i="123" s="1"/>
  <c r="M48" i="125"/>
  <c r="V48" i="125" s="1"/>
  <c r="Q48" i="125"/>
  <c r="G47" i="125"/>
  <c r="G64" i="125" s="1"/>
  <c r="AB51" i="123"/>
  <c r="L236" i="123"/>
  <c r="I255" i="123"/>
  <c r="T255" i="123"/>
  <c r="K255" i="123"/>
  <c r="D255" i="123"/>
  <c r="E230" i="123"/>
  <c r="P193" i="123"/>
  <c r="P236" i="123"/>
  <c r="P255" i="123" s="1"/>
  <c r="D230" i="123"/>
  <c r="E255" i="123"/>
  <c r="CJ44" i="124"/>
  <c r="F96" i="125"/>
  <c r="CR44" i="124"/>
  <c r="D196" i="121" s="1"/>
  <c r="H3" i="127"/>
  <c r="I28" i="127"/>
  <c r="Q98" i="125"/>
  <c r="M98" i="125"/>
  <c r="V98" i="125" s="1"/>
  <c r="D27" i="125"/>
  <c r="N82" i="125"/>
  <c r="W82" i="125" s="1"/>
  <c r="E34" i="125"/>
  <c r="N34" i="125" s="1"/>
  <c r="N159" i="30"/>
  <c r="N288" i="30" s="1"/>
  <c r="N308" i="30" s="1"/>
  <c r="N311" i="30" s="1"/>
  <c r="N315" i="30" s="1"/>
  <c r="Q72" i="125"/>
  <c r="X72" i="125" s="1"/>
  <c r="L72" i="125"/>
  <c r="U72" i="125" s="1"/>
  <c r="C20" i="125"/>
  <c r="L20" i="125" s="1"/>
  <c r="R93" i="125"/>
  <c r="D74" i="125"/>
  <c r="I74" i="125"/>
  <c r="E74" i="125"/>
  <c r="C74" i="125"/>
  <c r="J74" i="125"/>
  <c r="D93" i="125"/>
  <c r="M93" i="125" s="1"/>
  <c r="V93" i="125" s="1"/>
  <c r="C93" i="125"/>
  <c r="E93" i="125"/>
  <c r="J93" i="125"/>
  <c r="P93" i="125" s="1"/>
  <c r="Z93" i="125" s="1"/>
  <c r="I93" i="125"/>
  <c r="P82" i="125"/>
  <c r="Z82" i="125" s="1"/>
  <c r="J34" i="125"/>
  <c r="N73" i="125"/>
  <c r="W73" i="125" s="1"/>
  <c r="E18" i="125"/>
  <c r="N18" i="125" s="1"/>
  <c r="J20" i="125"/>
  <c r="P20" i="125" s="1"/>
  <c r="P72" i="125"/>
  <c r="Z72" i="125" s="1"/>
  <c r="O72" i="125"/>
  <c r="Y72" i="125" s="1"/>
  <c r="I20" i="125"/>
  <c r="O20" i="125" s="1"/>
  <c r="S72" i="125"/>
  <c r="AA72" i="125" s="1"/>
  <c r="AB24" i="123"/>
  <c r="F46" i="125"/>
  <c r="I46" i="125" s="1"/>
  <c r="S46" i="125" s="1"/>
  <c r="P46" i="125"/>
  <c r="Z46" i="125" s="1"/>
  <c r="M46" i="125"/>
  <c r="CE65" i="124"/>
  <c r="CJ17" i="124"/>
  <c r="F88" i="125"/>
  <c r="CR17" i="124"/>
  <c r="D169" i="121" s="1"/>
  <c r="N78" i="125"/>
  <c r="W78" i="125" s="1"/>
  <c r="E25" i="125"/>
  <c r="N25" i="125" s="1"/>
  <c r="Q102" i="125"/>
  <c r="X102" i="125" s="1"/>
  <c r="L102" i="125"/>
  <c r="U102" i="125" s="1"/>
  <c r="G29" i="125"/>
  <c r="O73" i="125"/>
  <c r="Y73" i="125" s="1"/>
  <c r="S73" i="125"/>
  <c r="AA73" i="125" s="1"/>
  <c r="I18" i="125"/>
  <c r="O18" i="125" s="1"/>
  <c r="G89" i="125"/>
  <c r="G103" i="125" s="1"/>
  <c r="CS20" i="124"/>
  <c r="F172" i="121" s="1"/>
  <c r="AA51" i="125"/>
  <c r="X51" i="125"/>
  <c r="G24" i="125"/>
  <c r="R77" i="125"/>
  <c r="G83" i="125"/>
  <c r="L27" i="125"/>
  <c r="U27" i="125" s="1"/>
  <c r="L97" i="125"/>
  <c r="U97" i="125" s="1"/>
  <c r="Q97" i="125"/>
  <c r="X97" i="125" s="1"/>
  <c r="F89" i="125"/>
  <c r="F16" i="125" s="1"/>
  <c r="CJ20" i="124"/>
  <c r="CR20" i="124"/>
  <c r="D172" i="121" s="1"/>
  <c r="E82" i="56"/>
  <c r="E60" i="56" s="1"/>
  <c r="E65" i="56" s="1"/>
  <c r="S78" i="125"/>
  <c r="I25" i="125"/>
  <c r="O25" i="125" s="1"/>
  <c r="C34" i="125"/>
  <c r="L34" i="125" s="1"/>
  <c r="Q82" i="125"/>
  <c r="X82" i="125" s="1"/>
  <c r="L82" i="125"/>
  <c r="U82" i="125" s="1"/>
  <c r="O97" i="125"/>
  <c r="Y97" i="125" s="1"/>
  <c r="P73" i="125"/>
  <c r="Z73" i="125" s="1"/>
  <c r="J18" i="125"/>
  <c r="P18" i="125" s="1"/>
  <c r="D20" i="125"/>
  <c r="M20" i="125" s="1"/>
  <c r="M72" i="125"/>
  <c r="V72" i="125" s="1"/>
  <c r="N72" i="125"/>
  <c r="W72" i="125" s="1"/>
  <c r="E20" i="125"/>
  <c r="N20" i="125" s="1"/>
  <c r="CI65" i="124"/>
  <c r="P78" i="125"/>
  <c r="Z78" i="125" s="1"/>
  <c r="G25" i="125"/>
  <c r="C18" i="125"/>
  <c r="L18" i="125" s="1"/>
  <c r="L73" i="125"/>
  <c r="U73" i="125" s="1"/>
  <c r="Q73" i="125"/>
  <c r="X73" i="125" s="1"/>
  <c r="L91" i="125"/>
  <c r="U91" i="125" s="1"/>
  <c r="Q91" i="125"/>
  <c r="X91" i="125" s="1"/>
  <c r="N75" i="125"/>
  <c r="W75" i="125" s="1"/>
  <c r="E22" i="125"/>
  <c r="CJ55" i="124"/>
  <c r="F99" i="125"/>
  <c r="CR55" i="124"/>
  <c r="D204" i="121" s="1"/>
  <c r="L92" i="125"/>
  <c r="U92" i="125" s="1"/>
  <c r="Q92" i="125"/>
  <c r="X92" i="125" s="1"/>
  <c r="L78" i="125"/>
  <c r="U78" i="125" s="1"/>
  <c r="Q78" i="125"/>
  <c r="C25" i="125"/>
  <c r="L25" i="125" s="1"/>
  <c r="R56" i="125"/>
  <c r="O56" i="125"/>
  <c r="Y56" i="125" s="1"/>
  <c r="L56" i="125"/>
  <c r="U56" i="125" s="1"/>
  <c r="P97" i="125"/>
  <c r="Z97" i="125" s="1"/>
  <c r="R50" i="125"/>
  <c r="L50" i="125"/>
  <c r="U50" i="125" s="1"/>
  <c r="O50" i="125"/>
  <c r="Y50" i="125" s="1"/>
  <c r="M97" i="125"/>
  <c r="V97" i="125" s="1"/>
  <c r="O78" i="125"/>
  <c r="Y78" i="125" s="1"/>
  <c r="M102" i="125"/>
  <c r="V102" i="125" s="1"/>
  <c r="M82" i="125"/>
  <c r="V82" i="125" s="1"/>
  <c r="D34" i="125"/>
  <c r="I98" i="125"/>
  <c r="O98" i="125" s="1"/>
  <c r="Y98" i="125" s="1"/>
  <c r="L98" i="125"/>
  <c r="U98" i="125" s="1"/>
  <c r="R98" i="125"/>
  <c r="R94" i="125"/>
  <c r="F95" i="125"/>
  <c r="CJ41" i="124"/>
  <c r="CR41" i="124"/>
  <c r="D193" i="121" s="1"/>
  <c r="S91" i="125"/>
  <c r="AA91" i="125" s="1"/>
  <c r="G23" i="125"/>
  <c r="G15" i="125"/>
  <c r="M78" i="125"/>
  <c r="V78" i="125" s="1"/>
  <c r="D25" i="125"/>
  <c r="I36" i="125"/>
  <c r="F36" i="125"/>
  <c r="P102" i="125"/>
  <c r="Z102" i="125" s="1"/>
  <c r="G34" i="125"/>
  <c r="AB99" i="123"/>
  <c r="F55" i="125"/>
  <c r="I55" i="125" s="1"/>
  <c r="R78" i="125"/>
  <c r="S102" i="125"/>
  <c r="AA102" i="125" s="1"/>
  <c r="S82" i="125"/>
  <c r="AA82" i="125" s="1"/>
  <c r="I34" i="125"/>
  <c r="O34" i="125" s="1"/>
  <c r="O82" i="125"/>
  <c r="Y82" i="125" s="1"/>
  <c r="M73" i="125"/>
  <c r="V73" i="125" s="1"/>
  <c r="D18" i="125"/>
  <c r="M18" i="125" s="1"/>
  <c r="F100" i="125"/>
  <c r="CJ58" i="124"/>
  <c r="CR58" i="124"/>
  <c r="D207" i="121" s="1"/>
  <c r="AA57" i="125"/>
  <c r="X57" i="125"/>
  <c r="L255" i="123" l="1"/>
  <c r="X59" i="125"/>
  <c r="AA59" i="125"/>
  <c r="L286" i="123"/>
  <c r="T286" i="123" s="1"/>
  <c r="I285" i="123"/>
  <c r="L285" i="123" s="1"/>
  <c r="T285" i="123" s="1"/>
  <c r="P55" i="125"/>
  <c r="Z55" i="125" s="1"/>
  <c r="M27" i="125"/>
  <c r="V27" i="125" s="1"/>
  <c r="G19" i="125"/>
  <c r="J47" i="125"/>
  <c r="J19" i="125" s="1"/>
  <c r="I30" i="125"/>
  <c r="S55" i="125"/>
  <c r="X53" i="125"/>
  <c r="AA53" i="125"/>
  <c r="O53" i="125"/>
  <c r="Y53" i="125" s="1"/>
  <c r="P230" i="123"/>
  <c r="CW65" i="124"/>
  <c r="X101" i="125"/>
  <c r="P110" i="125"/>
  <c r="D64" i="56"/>
  <c r="D61" i="1" s="1"/>
  <c r="D59" i="1"/>
  <c r="AR159" i="124"/>
  <c r="AR161" i="124" s="1"/>
  <c r="AO161" i="124"/>
  <c r="D83" i="56"/>
  <c r="D62" i="1" s="1"/>
  <c r="D64" i="1"/>
  <c r="AR142" i="124"/>
  <c r="AR146" i="124" s="1"/>
  <c r="AO146" i="124"/>
  <c r="M33" i="125"/>
  <c r="H236" i="123"/>
  <c r="H255" i="123" s="1"/>
  <c r="AA146" i="124"/>
  <c r="M30" i="125"/>
  <c r="P27" i="125"/>
  <c r="P98" i="125"/>
  <c r="Z98" i="125" s="1"/>
  <c r="AA161" i="124"/>
  <c r="I22" i="125"/>
  <c r="O22" i="125" s="1"/>
  <c r="P25" i="125"/>
  <c r="X78" i="125"/>
  <c r="J22" i="125"/>
  <c r="P22" i="125" s="1"/>
  <c r="P34" i="125"/>
  <c r="Q94" i="125"/>
  <c r="X94" i="125" s="1"/>
  <c r="Q75" i="125"/>
  <c r="X75" i="125" s="1"/>
  <c r="C22" i="125"/>
  <c r="L22" i="125" s="1"/>
  <c r="L94" i="125"/>
  <c r="U94" i="125" s="1"/>
  <c r="M34" i="125"/>
  <c r="M25" i="125"/>
  <c r="D22" i="125"/>
  <c r="M22" i="125" s="1"/>
  <c r="S93" i="125"/>
  <c r="AA93" i="125" s="1"/>
  <c r="S75" i="125"/>
  <c r="AA75" i="125" s="1"/>
  <c r="S94" i="125"/>
  <c r="AA94" i="125" s="1"/>
  <c r="R80" i="125"/>
  <c r="F83" i="125"/>
  <c r="R83" i="125" s="1"/>
  <c r="Q46" i="125"/>
  <c r="C64" i="125"/>
  <c r="Q64" i="125" s="1"/>
  <c r="P47" i="125"/>
  <c r="Z47" i="125" s="1"/>
  <c r="M47" i="125"/>
  <c r="R47" i="125"/>
  <c r="AI236" i="123"/>
  <c r="AG236" i="123"/>
  <c r="V255" i="123"/>
  <c r="AG255" i="123" s="1"/>
  <c r="AG193" i="123"/>
  <c r="AI193" i="123"/>
  <c r="V230" i="123"/>
  <c r="AG230" i="123" s="1"/>
  <c r="M64" i="125"/>
  <c r="V64" i="125" s="1"/>
  <c r="H193" i="123"/>
  <c r="H230" i="123" s="1"/>
  <c r="F48" i="125"/>
  <c r="AB66" i="123"/>
  <c r="E64" i="56"/>
  <c r="E61" i="1" s="1"/>
  <c r="E59" i="1"/>
  <c r="O36" i="125"/>
  <c r="L36" i="125"/>
  <c r="N22" i="125"/>
  <c r="F19" i="125"/>
  <c r="R46" i="125"/>
  <c r="O46" i="125"/>
  <c r="Y46" i="125" s="1"/>
  <c r="L46" i="125"/>
  <c r="U46" i="125" s="1"/>
  <c r="S74" i="125"/>
  <c r="AA74" i="125" s="1"/>
  <c r="O74" i="125"/>
  <c r="Y74" i="125" s="1"/>
  <c r="I19" i="125"/>
  <c r="O93" i="125"/>
  <c r="Y93" i="125" s="1"/>
  <c r="R88" i="125"/>
  <c r="F103" i="125"/>
  <c r="C69" i="125"/>
  <c r="C88" i="125"/>
  <c r="I69" i="125"/>
  <c r="J88" i="125"/>
  <c r="E88" i="125"/>
  <c r="D69" i="125"/>
  <c r="I88" i="125"/>
  <c r="E69" i="125"/>
  <c r="D88" i="125"/>
  <c r="J69" i="125"/>
  <c r="M74" i="125"/>
  <c r="V74" i="125" s="1"/>
  <c r="D19" i="125"/>
  <c r="M19" i="125" s="1"/>
  <c r="G3" i="127"/>
  <c r="H28" i="127"/>
  <c r="S98" i="125"/>
  <c r="AA98" i="125" s="1"/>
  <c r="I27" i="125"/>
  <c r="O27" i="125" s="1"/>
  <c r="L93" i="125"/>
  <c r="U93" i="125" s="1"/>
  <c r="Q93" i="125"/>
  <c r="X93" i="125" s="1"/>
  <c r="E83" i="56"/>
  <c r="E62" i="1" s="1"/>
  <c r="E64" i="1"/>
  <c r="R100" i="125"/>
  <c r="E100" i="125"/>
  <c r="C80" i="125"/>
  <c r="J100" i="125"/>
  <c r="P100" i="125" s="1"/>
  <c r="Z100" i="125" s="1"/>
  <c r="J80" i="125"/>
  <c r="D80" i="125"/>
  <c r="I80" i="125"/>
  <c r="E80" i="125"/>
  <c r="I100" i="125"/>
  <c r="C100" i="125"/>
  <c r="D100" i="125"/>
  <c r="M100" i="125" s="1"/>
  <c r="V100" i="125" s="1"/>
  <c r="F31" i="125"/>
  <c r="R55" i="125"/>
  <c r="F30" i="125"/>
  <c r="O55" i="125"/>
  <c r="Y55" i="125" s="1"/>
  <c r="L55" i="125"/>
  <c r="U55" i="125" s="1"/>
  <c r="V51" i="125"/>
  <c r="V46" i="125"/>
  <c r="P74" i="125"/>
  <c r="Z74" i="125" s="1"/>
  <c r="R96" i="125"/>
  <c r="E96" i="125"/>
  <c r="J96" i="125"/>
  <c r="P96" i="125" s="1"/>
  <c r="Z96" i="125" s="1"/>
  <c r="C96" i="125"/>
  <c r="D96" i="125"/>
  <c r="M96" i="125" s="1"/>
  <c r="V96" i="125" s="1"/>
  <c r="D77" i="125"/>
  <c r="J77" i="125"/>
  <c r="C77" i="125"/>
  <c r="I96" i="125"/>
  <c r="O96" i="125" s="1"/>
  <c r="Y96" i="125" s="1"/>
  <c r="I77" i="125"/>
  <c r="F24" i="125"/>
  <c r="E77" i="125"/>
  <c r="G21" i="125"/>
  <c r="R95" i="125"/>
  <c r="C76" i="125"/>
  <c r="J76" i="125"/>
  <c r="I76" i="125"/>
  <c r="E95" i="125"/>
  <c r="D76" i="125"/>
  <c r="I95" i="125"/>
  <c r="E76" i="125"/>
  <c r="J95" i="125"/>
  <c r="P95" i="125" s="1"/>
  <c r="Z95" i="125" s="1"/>
  <c r="D95" i="125"/>
  <c r="M95" i="125" s="1"/>
  <c r="V95" i="125" s="1"/>
  <c r="C95" i="125"/>
  <c r="F23" i="125"/>
  <c r="AA56" i="125"/>
  <c r="X56" i="125"/>
  <c r="G16" i="125"/>
  <c r="G14" i="125" s="1"/>
  <c r="L74" i="125"/>
  <c r="U74" i="125" s="1"/>
  <c r="Q74" i="125"/>
  <c r="X74" i="125" s="1"/>
  <c r="C19" i="125"/>
  <c r="X98" i="125"/>
  <c r="AA50" i="125"/>
  <c r="X50" i="125"/>
  <c r="AA78" i="125"/>
  <c r="R99" i="125"/>
  <c r="E99" i="125"/>
  <c r="I79" i="125"/>
  <c r="C79" i="125"/>
  <c r="I99" i="125"/>
  <c r="J79" i="125"/>
  <c r="D79" i="125"/>
  <c r="D99" i="125"/>
  <c r="M99" i="125" s="1"/>
  <c r="V99" i="125" s="1"/>
  <c r="J99" i="125"/>
  <c r="P99" i="125" s="1"/>
  <c r="Z99" i="125" s="1"/>
  <c r="C99" i="125"/>
  <c r="F29" i="125"/>
  <c r="E79" i="125"/>
  <c r="R89" i="125"/>
  <c r="E70" i="125"/>
  <c r="D89" i="125"/>
  <c r="M89" i="125" s="1"/>
  <c r="V89" i="125" s="1"/>
  <c r="C89" i="125"/>
  <c r="I70" i="125"/>
  <c r="J89" i="125"/>
  <c r="P89" i="125" s="1"/>
  <c r="Z89" i="125" s="1"/>
  <c r="C70" i="125"/>
  <c r="E89" i="125"/>
  <c r="I89" i="125"/>
  <c r="D70" i="125"/>
  <c r="J70" i="125"/>
  <c r="N74" i="125"/>
  <c r="W74" i="125" s="1"/>
  <c r="E19" i="125"/>
  <c r="N19" i="125" s="1"/>
  <c r="P19" i="125" l="1"/>
  <c r="J64" i="125"/>
  <c r="P64" i="125" s="1"/>
  <c r="Z64" i="125" s="1"/>
  <c r="S47" i="125"/>
  <c r="F64" i="125"/>
  <c r="L64" i="125" s="1"/>
  <c r="U64" i="125" s="1"/>
  <c r="I48" i="125"/>
  <c r="O48" i="125" s="1"/>
  <c r="Y48" i="125" s="1"/>
  <c r="L19" i="125"/>
  <c r="D148" i="125"/>
  <c r="D58" i="1"/>
  <c r="D66" i="1"/>
  <c r="D139" i="125"/>
  <c r="S89" i="125"/>
  <c r="S95" i="125"/>
  <c r="AA95" i="125" s="1"/>
  <c r="O89" i="125"/>
  <c r="Y89" i="125" s="1"/>
  <c r="AA47" i="125"/>
  <c r="X47" i="125"/>
  <c r="R48" i="125"/>
  <c r="F15" i="125"/>
  <c r="F14" i="125" s="1"/>
  <c r="L48" i="125"/>
  <c r="U48" i="125" s="1"/>
  <c r="V47" i="125"/>
  <c r="V52" i="125"/>
  <c r="E23" i="125"/>
  <c r="N23" i="125" s="1"/>
  <c r="N76" i="125"/>
  <c r="W76" i="125" s="1"/>
  <c r="Q80" i="125"/>
  <c r="X80" i="125" s="1"/>
  <c r="L80" i="125"/>
  <c r="U80" i="125" s="1"/>
  <c r="C31" i="125"/>
  <c r="L31" i="125" s="1"/>
  <c r="J83" i="125"/>
  <c r="P83" i="125" s="1"/>
  <c r="Z83" i="125" s="1"/>
  <c r="P69" i="125"/>
  <c r="Z69" i="125" s="1"/>
  <c r="J15" i="125"/>
  <c r="I83" i="125"/>
  <c r="S69" i="125"/>
  <c r="AA69" i="125" s="1"/>
  <c r="O69" i="125"/>
  <c r="Y69" i="125" s="1"/>
  <c r="S70" i="125"/>
  <c r="AA70" i="125" s="1"/>
  <c r="O70" i="125"/>
  <c r="I16" i="125"/>
  <c r="O16" i="125" s="1"/>
  <c r="J24" i="125"/>
  <c r="P77" i="125"/>
  <c r="Z77" i="125" s="1"/>
  <c r="Q89" i="125"/>
  <c r="X89" i="125" s="1"/>
  <c r="L89" i="125"/>
  <c r="U89" i="125" s="1"/>
  <c r="M76" i="125"/>
  <c r="V76" i="125" s="1"/>
  <c r="D23" i="125"/>
  <c r="M23" i="125" s="1"/>
  <c r="N77" i="125"/>
  <c r="W77" i="125" s="1"/>
  <c r="E24" i="125"/>
  <c r="S100" i="125"/>
  <c r="AA100" i="125" s="1"/>
  <c r="O100" i="125"/>
  <c r="Y100" i="125" s="1"/>
  <c r="N69" i="125"/>
  <c r="W69" i="125" s="1"/>
  <c r="E83" i="125"/>
  <c r="N83" i="125" s="1"/>
  <c r="W83" i="125" s="1"/>
  <c r="E15" i="125"/>
  <c r="C83" i="125"/>
  <c r="L69" i="125"/>
  <c r="U69" i="125" s="1"/>
  <c r="Q69" i="125"/>
  <c r="X69" i="125" s="1"/>
  <c r="C15" i="125"/>
  <c r="S79" i="125"/>
  <c r="AA79" i="125" s="1"/>
  <c r="O79" i="125"/>
  <c r="Y79" i="125" s="1"/>
  <c r="I29" i="125"/>
  <c r="O29" i="125" s="1"/>
  <c r="J16" i="125"/>
  <c r="P16" i="125" s="1"/>
  <c r="P70" i="125"/>
  <c r="Z70" i="125" s="1"/>
  <c r="M88" i="125"/>
  <c r="V88" i="125" s="1"/>
  <c r="D103" i="125"/>
  <c r="M103" i="125" s="1"/>
  <c r="V103" i="125" s="1"/>
  <c r="D16" i="125"/>
  <c r="M16" i="125" s="1"/>
  <c r="M70" i="125"/>
  <c r="V70" i="125" s="1"/>
  <c r="M79" i="125"/>
  <c r="V79" i="125" s="1"/>
  <c r="D29" i="125"/>
  <c r="M29" i="125" s="1"/>
  <c r="Q95" i="125"/>
  <c r="X95" i="125" s="1"/>
  <c r="L95" i="125"/>
  <c r="U95" i="125" s="1"/>
  <c r="I23" i="125"/>
  <c r="O23" i="125" s="1"/>
  <c r="S76" i="125"/>
  <c r="AA76" i="125" s="1"/>
  <c r="O76" i="125"/>
  <c r="Y76" i="125" s="1"/>
  <c r="L96" i="125"/>
  <c r="U96" i="125" s="1"/>
  <c r="Q96" i="125"/>
  <c r="X96" i="125" s="1"/>
  <c r="O30" i="125"/>
  <c r="L30" i="125"/>
  <c r="N80" i="125"/>
  <c r="W80" i="125" s="1"/>
  <c r="E31" i="125"/>
  <c r="N31" i="125" s="1"/>
  <c r="S88" i="125"/>
  <c r="AA88" i="125" s="1"/>
  <c r="I103" i="125"/>
  <c r="O103" i="125" s="1"/>
  <c r="Y103" i="125" s="1"/>
  <c r="R103" i="125"/>
  <c r="L88" i="125"/>
  <c r="U88" i="125" s="1"/>
  <c r="Q88" i="125"/>
  <c r="X88" i="125" s="1"/>
  <c r="C103" i="125"/>
  <c r="AA89" i="125"/>
  <c r="O95" i="125"/>
  <c r="Y95" i="125" s="1"/>
  <c r="J23" i="125"/>
  <c r="P23" i="125" s="1"/>
  <c r="P76" i="125"/>
  <c r="Z76" i="125" s="1"/>
  <c r="F21" i="125"/>
  <c r="AA55" i="125"/>
  <c r="X55" i="125"/>
  <c r="S80" i="125"/>
  <c r="AA80" i="125" s="1"/>
  <c r="O80" i="125"/>
  <c r="Y80" i="125" s="1"/>
  <c r="I31" i="125"/>
  <c r="O31" i="125" s="1"/>
  <c r="O88" i="125"/>
  <c r="Y88" i="125" s="1"/>
  <c r="Q100" i="125"/>
  <c r="X100" i="125" s="1"/>
  <c r="L100" i="125"/>
  <c r="U100" i="125" s="1"/>
  <c r="N70" i="125"/>
  <c r="W70" i="125" s="1"/>
  <c r="E16" i="125"/>
  <c r="N16" i="125" s="1"/>
  <c r="Q76" i="125"/>
  <c r="X76" i="125" s="1"/>
  <c r="L76" i="125"/>
  <c r="U76" i="125" s="1"/>
  <c r="C23" i="125"/>
  <c r="L23" i="125" s="1"/>
  <c r="O77" i="125"/>
  <c r="Y77" i="125" s="1"/>
  <c r="S77" i="125"/>
  <c r="AA77" i="125" s="1"/>
  <c r="I24" i="125"/>
  <c r="O24" i="125" s="1"/>
  <c r="D31" i="125"/>
  <c r="M31" i="125" s="1"/>
  <c r="M80" i="125"/>
  <c r="V80" i="125" s="1"/>
  <c r="F3" i="127"/>
  <c r="G28" i="127"/>
  <c r="D83" i="125"/>
  <c r="M83" i="125" s="1"/>
  <c r="V83" i="125" s="1"/>
  <c r="M69" i="125"/>
  <c r="V69" i="125" s="1"/>
  <c r="D15" i="125"/>
  <c r="AA46" i="125"/>
  <c r="X46" i="125"/>
  <c r="E66" i="1"/>
  <c r="E58" i="1"/>
  <c r="C24" i="125"/>
  <c r="Q77" i="125"/>
  <c r="X77" i="125" s="1"/>
  <c r="L77" i="125"/>
  <c r="U77" i="125" s="1"/>
  <c r="G35" i="125"/>
  <c r="J103" i="125"/>
  <c r="P103" i="125" s="1"/>
  <c r="Z103" i="125" s="1"/>
  <c r="P88" i="125"/>
  <c r="Z88" i="125" s="1"/>
  <c r="L99" i="125"/>
  <c r="U99" i="125" s="1"/>
  <c r="Q99" i="125"/>
  <c r="X99" i="125" s="1"/>
  <c r="M77" i="125"/>
  <c r="V77" i="125" s="1"/>
  <c r="D24" i="125"/>
  <c r="J29" i="125"/>
  <c r="P29" i="125" s="1"/>
  <c r="P79" i="125"/>
  <c r="Z79" i="125" s="1"/>
  <c r="C16" i="125"/>
  <c r="L16" i="125" s="1"/>
  <c r="Q70" i="125"/>
  <c r="X70" i="125" s="1"/>
  <c r="L70" i="125"/>
  <c r="U70" i="125" s="1"/>
  <c r="E29" i="125"/>
  <c r="N29" i="125" s="1"/>
  <c r="N79" i="125"/>
  <c r="W79" i="125" s="1"/>
  <c r="S99" i="125"/>
  <c r="AA99" i="125" s="1"/>
  <c r="O99" i="125"/>
  <c r="Y99" i="125" s="1"/>
  <c r="C29" i="125"/>
  <c r="L29" i="125" s="1"/>
  <c r="Q79" i="125"/>
  <c r="X79" i="125" s="1"/>
  <c r="L79" i="125"/>
  <c r="U79" i="125" s="1"/>
  <c r="S96" i="125"/>
  <c r="AA96" i="125" s="1"/>
  <c r="J31" i="125"/>
  <c r="P31" i="125" s="1"/>
  <c r="P80" i="125"/>
  <c r="Z80" i="125" s="1"/>
  <c r="E103" i="125"/>
  <c r="O19" i="125"/>
  <c r="I15" i="125" l="1"/>
  <c r="R64" i="125"/>
  <c r="X64" i="125" s="1"/>
  <c r="S48" i="125"/>
  <c r="AA48" i="125" s="1"/>
  <c r="I64" i="125"/>
  <c r="D140" i="125"/>
  <c r="J113" i="141"/>
  <c r="L113" i="141"/>
  <c r="D149" i="125"/>
  <c r="D141" i="125"/>
  <c r="D150" i="125"/>
  <c r="F35" i="125"/>
  <c r="F40" i="125" s="1"/>
  <c r="X48" i="125"/>
  <c r="G40" i="125"/>
  <c r="E14" i="125"/>
  <c r="N15" i="125"/>
  <c r="I14" i="125"/>
  <c r="O15" i="125"/>
  <c r="M24" i="125"/>
  <c r="D21" i="125"/>
  <c r="M21" i="125" s="1"/>
  <c r="Q83" i="125"/>
  <c r="X83" i="125" s="1"/>
  <c r="L83" i="125"/>
  <c r="U83" i="125" s="1"/>
  <c r="Q103" i="125"/>
  <c r="X103" i="125" s="1"/>
  <c r="L103" i="125"/>
  <c r="U103" i="125" s="1"/>
  <c r="S103" i="125"/>
  <c r="AA103" i="125" s="1"/>
  <c r="N24" i="125"/>
  <c r="E21" i="125"/>
  <c r="N21" i="125" s="1"/>
  <c r="I21" i="125"/>
  <c r="O21" i="125" s="1"/>
  <c r="E3" i="127"/>
  <c r="F28" i="127"/>
  <c r="S83" i="125"/>
  <c r="AA83" i="125" s="1"/>
  <c r="O83" i="125"/>
  <c r="Y83" i="125" s="1"/>
  <c r="M15" i="125"/>
  <c r="D14" i="125"/>
  <c r="L24" i="125"/>
  <c r="C21" i="125"/>
  <c r="L21" i="125" s="1"/>
  <c r="L15" i="125"/>
  <c r="C14" i="125"/>
  <c r="P24" i="125"/>
  <c r="J21" i="125"/>
  <c r="P21" i="125" s="1"/>
  <c r="J14" i="125"/>
  <c r="P15" i="125"/>
  <c r="S64" i="125" l="1"/>
  <c r="AA64" i="125" s="1"/>
  <c r="O64" i="125"/>
  <c r="Y64" i="125" s="1"/>
  <c r="E28" i="127"/>
  <c r="D3" i="127"/>
  <c r="J35" i="125"/>
  <c r="P14" i="125"/>
  <c r="I35" i="125"/>
  <c r="O14" i="125"/>
  <c r="M14" i="125"/>
  <c r="D35" i="125"/>
  <c r="E35" i="125"/>
  <c r="N14" i="125"/>
  <c r="C35" i="125"/>
  <c r="L14" i="125"/>
  <c r="F109" i="125"/>
  <c r="G109" i="125"/>
  <c r="D40" i="125" l="1"/>
  <c r="M35" i="125"/>
  <c r="I40" i="125"/>
  <c r="O35" i="125"/>
  <c r="J40" i="125"/>
  <c r="P35" i="125"/>
  <c r="C40" i="125"/>
  <c r="L35" i="125"/>
  <c r="C3" i="127"/>
  <c r="C28" i="127" s="1"/>
  <c r="D28" i="127"/>
  <c r="G115" i="125"/>
  <c r="N35" i="125"/>
  <c r="E40" i="125"/>
  <c r="E109" i="125" s="1"/>
  <c r="N109" i="125" s="1"/>
  <c r="C109" i="125" l="1"/>
  <c r="L109" i="125" s="1"/>
  <c r="L40" i="125"/>
  <c r="G130" i="125"/>
  <c r="J109" i="125"/>
  <c r="P40" i="125"/>
  <c r="I109" i="125"/>
  <c r="O109" i="125" s="1"/>
  <c r="O40" i="125"/>
  <c r="C27" i="127"/>
  <c r="D109" i="125"/>
  <c r="M40" i="125"/>
  <c r="G136" i="125" l="1"/>
  <c r="G137" i="125"/>
  <c r="G138" i="125"/>
  <c r="D115" i="125"/>
  <c r="M109" i="125"/>
  <c r="J115" i="125"/>
  <c r="P109" i="125"/>
  <c r="J130" i="125" l="1"/>
  <c r="G132" i="125" s="1"/>
  <c r="P115" i="125"/>
  <c r="M115" i="125"/>
  <c r="E130" i="125"/>
  <c r="D130" i="125"/>
  <c r="C130" i="125"/>
  <c r="C138" i="125" l="1"/>
  <c r="C137" i="125"/>
  <c r="C136" i="125"/>
  <c r="D131" i="125"/>
  <c r="D144" i="125"/>
  <c r="D136" i="125"/>
  <c r="D138" i="125"/>
  <c r="D137" i="125"/>
  <c r="E136" i="125"/>
  <c r="E137" i="125"/>
  <c r="E138" i="125"/>
  <c r="G139" i="125"/>
  <c r="G140" i="125"/>
  <c r="G141" i="125"/>
  <c r="G131" i="125"/>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<sst xmlns="http://schemas.openxmlformats.org/spreadsheetml/2006/main" count="9016" uniqueCount="3608">
  <si>
    <t>Supervisory information</t>
  </si>
  <si>
    <t>A. General bank data</t>
  </si>
  <si>
    <t>Country code</t>
  </si>
  <si>
    <t>Region code</t>
  </si>
  <si>
    <t>Bank number</t>
  </si>
  <si>
    <t>Not used</t>
  </si>
  <si>
    <t>Bank is a single legal entity</t>
  </si>
  <si>
    <t>No</t>
  </si>
  <si>
    <t>Bank is a subsidiary of a banking group</t>
  </si>
  <si>
    <t>Bank is a subsidiary with a non-EU parent (EU only)</t>
  </si>
  <si>
    <t>Bank type</t>
  </si>
  <si>
    <t>Joint stock company</t>
  </si>
  <si>
    <t>Bank group</t>
  </si>
  <si>
    <t>Bank type (numeric)</t>
  </si>
  <si>
    <t>Conversion rate (in euros/reporting currency)</t>
  </si>
  <si>
    <t>Submission date (yyyy-mm-dd)</t>
  </si>
  <si>
    <t>B. Data usage flags</t>
  </si>
  <si>
    <t>Use capital data</t>
  </si>
  <si>
    <t>Yes</t>
  </si>
  <si>
    <t>Comparable to the previous period</t>
  </si>
  <si>
    <t>Use TLAC holdings data</t>
  </si>
  <si>
    <t>Use TLAC data</t>
  </si>
  <si>
    <t>Use leverage ratio data</t>
  </si>
  <si>
    <t>Use leverage ratio business model data (panel F)</t>
  </si>
  <si>
    <t>Use leverage ratio additional data</t>
  </si>
  <si>
    <t>Use NSFR data</t>
  </si>
  <si>
    <t>Use credit risk (SA) data</t>
  </si>
  <si>
    <t>Use credit risk (IRB) data</t>
  </si>
  <si>
    <t>Use securitisation data</t>
  </si>
  <si>
    <t>Use CCR data</t>
  </si>
  <si>
    <t>Use CVA data</t>
  </si>
  <si>
    <t>Use TB data</t>
  </si>
  <si>
    <t>Use TB data on questions panel</t>
  </si>
  <si>
    <t>Use TB risk class data</t>
  </si>
  <si>
    <t>Use TB IMA Backtesting-P&amp;L data</t>
  </si>
  <si>
    <t>Use operational risk data</t>
  </si>
  <si>
    <t>Use crypto assets data</t>
  </si>
  <si>
    <t>Use sovereign exposures data</t>
  </si>
  <si>
    <t>Checks</t>
  </si>
  <si>
    <t>A. General Info worksheet</t>
  </si>
  <si>
    <t>Panel</t>
  </si>
  <si>
    <t>Check</t>
  </si>
  <si>
    <t>B</t>
  </si>
  <si>
    <t>C</t>
  </si>
  <si>
    <t>B. Capital and TLAC</t>
  </si>
  <si>
    <t>B.1 DefCap worksheet</t>
  </si>
  <si>
    <t>E</t>
  </si>
  <si>
    <t>B.2 TLAC worksheet</t>
  </si>
  <si>
    <t>C. Leverage ratio</t>
  </si>
  <si>
    <t>C.1 Leverage ratio worksheet</t>
  </si>
  <si>
    <t>A</t>
  </si>
  <si>
    <t>H</t>
  </si>
  <si>
    <t>C.2 Leverage ratio additional worksheet</t>
  </si>
  <si>
    <t>A1</t>
  </si>
  <si>
    <t>A2</t>
  </si>
  <si>
    <t>D. NSFR</t>
  </si>
  <si>
    <t>&lt; 6 m</t>
  </si>
  <si>
    <t>≥ 6m to &lt; 1y</t>
  </si>
  <si>
    <t>≥1 y</t>
  </si>
  <si>
    <t>Total</t>
  </si>
  <si>
    <t>B1</t>
  </si>
  <si>
    <t>E. Credit risk worksheets</t>
  </si>
  <si>
    <t>E.1 Credit risk (SA)</t>
  </si>
  <si>
    <t>E.2 Credit risk (IRB)</t>
  </si>
  <si>
    <t>E.3 Securitisations</t>
  </si>
  <si>
    <t>A3</t>
  </si>
  <si>
    <t>F. CCR and CVA</t>
  </si>
  <si>
    <t>B 1</t>
  </si>
  <si>
    <t>B2</t>
  </si>
  <si>
    <t>B3a</t>
  </si>
  <si>
    <t>B3b</t>
  </si>
  <si>
    <t>B3c1</t>
  </si>
  <si>
    <t>B3c2</t>
  </si>
  <si>
    <t>B3c3</t>
  </si>
  <si>
    <t>G. TB worksheet</t>
  </si>
  <si>
    <t>H. OpRisk worksheet</t>
  </si>
  <si>
    <t>E1</t>
  </si>
  <si>
    <t>General information (to be completed by all banks)</t>
  </si>
  <si>
    <t>A.1 Reporting data</t>
  </si>
  <si>
    <t>Reporting date (yyyy-mm-dd)</t>
  </si>
  <si>
    <r>
      <t xml:space="preserve">Reporting currency </t>
    </r>
    <r>
      <rPr>
        <b/>
        <sz val="10"/>
        <rFont val="Segoe UI"/>
        <family val="2"/>
      </rPr>
      <t>for this survey</t>
    </r>
    <r>
      <rPr>
        <sz val="10"/>
        <rFont val="Segoe UI"/>
        <family val="2"/>
      </rPr>
      <t xml:space="preserve"> </t>
    </r>
    <r>
      <rPr>
        <sz val="10"/>
        <rFont val="Segoe UI"/>
        <family val="2"/>
      </rPr>
      <t>(ISO code)</t>
    </r>
  </si>
  <si>
    <r>
      <t xml:space="preserve">Reporting currency </t>
    </r>
    <r>
      <rPr>
        <b/>
        <sz val="10"/>
        <rFont val="Segoe UI"/>
        <family val="2"/>
      </rPr>
      <t xml:space="preserve">used in the bank's financial statements </t>
    </r>
    <r>
      <rPr>
        <sz val="10"/>
        <rFont val="Segoe UI"/>
        <family val="2"/>
      </rPr>
      <t>(ISO code)</t>
    </r>
  </si>
  <si>
    <t>Unit (1, 1000, 1000000)</t>
  </si>
  <si>
    <t>Accounting standard</t>
  </si>
  <si>
    <t>A.2 Approaches for credit risk</t>
  </si>
  <si>
    <r>
      <t xml:space="preserve">A.2.a General, under the </t>
    </r>
    <r>
      <rPr>
        <b/>
        <sz val="13"/>
        <color rgb="FFAA322F"/>
        <rFont val="Segoe UI"/>
        <family val="2"/>
      </rPr>
      <t>current</t>
    </r>
    <r>
      <rPr>
        <b/>
        <sz val="13"/>
        <rFont val="Segoe UI"/>
        <family val="2"/>
      </rPr>
      <t xml:space="preserve"> framework</t>
    </r>
  </si>
  <si>
    <t>Standardised approach</t>
  </si>
  <si>
    <t>FIRB approach</t>
  </si>
  <si>
    <t>AIRB approach</t>
  </si>
  <si>
    <t>Guaranteed IRB exposures for which LGD adjustment has been applied and where guarantor asset class is subject to partial use of the standardised approach</t>
  </si>
  <si>
    <t>Slotting approach for specialised lending</t>
  </si>
  <si>
    <t>A.2.b Counterparty credit risk</t>
  </si>
  <si>
    <t>Current framework</t>
  </si>
  <si>
    <t>Revised framework</t>
  </si>
  <si>
    <t>National version</t>
  </si>
  <si>
    <t>Approaches used for calculating derivative exposures</t>
  </si>
  <si>
    <t>Internal Model Method</t>
  </si>
  <si>
    <t>Current Exposure Method</t>
  </si>
  <si>
    <t>Standardised Method</t>
  </si>
  <si>
    <t>SA-CCR</t>
  </si>
  <si>
    <t>Approaches used for calculating SFT exposures</t>
  </si>
  <si>
    <t>Repo-VaR</t>
  </si>
  <si>
    <t>Collateral Comprehensive Approach with own estimates of haircuts (CA(OE))</t>
  </si>
  <si>
    <t>Collateral Comprehensive Approach with supervisory haircuts (CA(SH))</t>
  </si>
  <si>
    <t>Use of cross-product netting</t>
  </si>
  <si>
    <t>A.2.c Credit risk mitigation</t>
  </si>
  <si>
    <t>Simple approach for financial collateral</t>
  </si>
  <si>
    <t>Comprehensive approach for financial collateral</t>
  </si>
  <si>
    <t>if yes: own estimates of haircuts</t>
  </si>
  <si>
    <t>if yes: repo VaR</t>
  </si>
  <si>
    <t>if yes: carve-out for repo style transactions</t>
  </si>
  <si>
    <t>Is CRM applied before or after CCF?</t>
  </si>
  <si>
    <t>A.3 Approaches for CVA</t>
  </si>
  <si>
    <t>Advanced CVA</t>
  </si>
  <si>
    <t>Standardised CVA</t>
  </si>
  <si>
    <t>Reduced BA-CVA</t>
  </si>
  <si>
    <t>Full BA-CVA</t>
  </si>
  <si>
    <t>SA-CVA</t>
  </si>
  <si>
    <t>A.4 Securitisation</t>
  </si>
  <si>
    <t>Has the bank implemented the revised securitisation framework?</t>
  </si>
  <si>
    <t>A.5 Approaches for market risk</t>
  </si>
  <si>
    <t>Revised market risk framework definition of TB-BB boundary</t>
  </si>
  <si>
    <t>Standardised measurement method</t>
  </si>
  <si>
    <t>Internal models approach</t>
  </si>
  <si>
    <t>Effective regulatory multiplier for VaR</t>
  </si>
  <si>
    <t>Effective regulatory multiplier for stressed VaR</t>
  </si>
  <si>
    <t>A.6 Accounting information</t>
  </si>
  <si>
    <t>Accounting total assets</t>
  </si>
  <si>
    <t>B. Current capital applying…</t>
  </si>
  <si>
    <t>National rules as at reporting date</t>
  </si>
  <si>
    <t>2022 national impl.</t>
  </si>
  <si>
    <t>2022 Basel III pure</t>
  </si>
  <si>
    <t>Total capital</t>
  </si>
  <si>
    <t>Total Common Equity Tier 1 capital</t>
  </si>
  <si>
    <t>Prior to regulatory adjustments</t>
  </si>
  <si>
    <t>Regulatory adjustments</t>
  </si>
  <si>
    <t>Additional Tier 1 capital</t>
  </si>
  <si>
    <t>Check: Tier 1 adjustments should be ≤ additional Tier 1 prior to adjustments</t>
  </si>
  <si>
    <t>Tier 1 capital</t>
  </si>
  <si>
    <t>Tier 2 capital</t>
  </si>
  <si>
    <t xml:space="preserve">Prior to regulatory adjustments </t>
  </si>
  <si>
    <t>Check: Tier 2 adjustments should be ≤ additional Tier 2 prior to adjustments</t>
  </si>
  <si>
    <t>Tier 3 capital</t>
  </si>
  <si>
    <t>C. Capital distribution data</t>
  </si>
  <si>
    <r>
      <t xml:space="preserve">Amount for the </t>
    </r>
    <r>
      <rPr>
        <b/>
        <sz val="10"/>
        <color rgb="FFAA322F"/>
        <rFont val="Segoe UI"/>
        <family val="2"/>
      </rPr>
      <t>6-</t>
    </r>
    <r>
      <rPr>
        <b/>
        <sz val="10"/>
        <rFont val="Segoe UI"/>
        <family val="2"/>
      </rPr>
      <t>months period ending on the reporting date</t>
    </r>
  </si>
  <si>
    <r>
      <t xml:space="preserve">Amount for the </t>
    </r>
    <r>
      <rPr>
        <b/>
        <sz val="10"/>
        <color rgb="FFAA322F"/>
        <rFont val="Segoe UI"/>
        <family val="2"/>
      </rPr>
      <t>12-</t>
    </r>
    <r>
      <rPr>
        <b/>
        <sz val="10"/>
        <rFont val="Segoe UI"/>
        <family val="2"/>
      </rPr>
      <t>months period ending on the reporting date</t>
    </r>
  </si>
  <si>
    <t>Check: 12m ≥ 6m</t>
  </si>
  <si>
    <t>Income</t>
  </si>
  <si>
    <t>Profit after tax</t>
  </si>
  <si>
    <t>Profit after tax prior to the deduction of relevant (ie expensed) distributions below</t>
  </si>
  <si>
    <t>Distributions</t>
  </si>
  <si>
    <t>Dividends on CET1 instruments</t>
  </si>
  <si>
    <t>Other coupon/dividend payments on Tier 1 instruments; of which:</t>
  </si>
  <si>
    <t>Considered as expenses</t>
  </si>
  <si>
    <t>Common stock share buybacks</t>
  </si>
  <si>
    <t>Other Tier 1 buyback or repayment (gross)</t>
  </si>
  <si>
    <t>Discretionary staff compensation/bonuses</t>
  </si>
  <si>
    <t>Tier 2 buyback or repayment (gross)</t>
  </si>
  <si>
    <t>Capital raised (gross)</t>
  </si>
  <si>
    <t>CET1</t>
  </si>
  <si>
    <t>Additional Tier 1</t>
  </si>
  <si>
    <t>Tier 2</t>
  </si>
  <si>
    <t>Requirements</t>
  </si>
  <si>
    <t>Memo box</t>
  </si>
  <si>
    <t>Approaches to credit risk</t>
  </si>
  <si>
    <t>Yes/No</t>
  </si>
  <si>
    <t>Comment</t>
  </si>
  <si>
    <t>A. Credit risk requirements (including counterparty credit risk and non-trading credit risk)</t>
  </si>
  <si>
    <t>A.1 Total</t>
  </si>
  <si>
    <t>Asset classes</t>
  </si>
  <si>
    <t xml:space="preserve"> Current (applying national rules at the reporting date)</t>
  </si>
  <si>
    <t>Revised</t>
  </si>
  <si>
    <t>Non-modelling approaches</t>
  </si>
  <si>
    <t>Indicators</t>
  </si>
  <si>
    <t>Revised vs current</t>
  </si>
  <si>
    <t>Non modelling approach vs revised</t>
  </si>
  <si>
    <t>Exposures
 (post-CCF, post-CRM)</t>
  </si>
  <si>
    <t>RWA</t>
  </si>
  <si>
    <t>EL amounts</t>
  </si>
  <si>
    <t>Changes in Exposures</t>
  </si>
  <si>
    <t xml:space="preserve">Changes in RWA </t>
  </si>
  <si>
    <t>Changes in EL amounts</t>
  </si>
  <si>
    <t>Changes in exposures</t>
  </si>
  <si>
    <t>Total corporate; of which:</t>
  </si>
  <si>
    <t>General corporate (not including SMEs, specialised lending and eligible purchased receivables)</t>
  </si>
  <si>
    <t>Specialised lending</t>
  </si>
  <si>
    <t xml:space="preserve">SMEs </t>
  </si>
  <si>
    <t>Sovereign</t>
  </si>
  <si>
    <t>Bank and covered bonds</t>
  </si>
  <si>
    <t>Financial institutions treated as corporates (IRB)</t>
  </si>
  <si>
    <t>Retail; of which:</t>
  </si>
  <si>
    <t>Residential mortgages (IRB)</t>
  </si>
  <si>
    <t>Qualifying revolving retail exposures (IRB)</t>
  </si>
  <si>
    <t>Other retail (IRB); of which:</t>
  </si>
  <si>
    <t>SMEs treated as retail (IRB)</t>
  </si>
  <si>
    <t>Retail exposures under SA</t>
  </si>
  <si>
    <t>Equity exposures</t>
  </si>
  <si>
    <t>Subordinated debt and capital instruments other than equity (SA)</t>
  </si>
  <si>
    <t>Equity investment in funds</t>
  </si>
  <si>
    <t>Exposures secured by real estate (SA)</t>
  </si>
  <si>
    <t>Eligible purchased receivables (IRB)</t>
  </si>
  <si>
    <t>Defaulted exposures (SA)</t>
  </si>
  <si>
    <t>Failed trades and non-DVP transactions</t>
  </si>
  <si>
    <t>Other assets</t>
  </si>
  <si>
    <t xml:space="preserve">Total </t>
  </si>
  <si>
    <t>Securitisations</t>
  </si>
  <si>
    <t>Capital charge for CCP exposures; of which:</t>
  </si>
  <si>
    <t>Trade exposures</t>
  </si>
  <si>
    <t>Default fund exposures</t>
  </si>
  <si>
    <t>Total credit risk</t>
  </si>
  <si>
    <t>A.2 Standardised approach exposures remaining on standardised approach</t>
  </si>
  <si>
    <t>SA exposures</t>
  </si>
  <si>
    <t>Revised vs current
(current SA exposures)</t>
  </si>
  <si>
    <t>Non modelling approach vs revised
(current SA exposures)</t>
  </si>
  <si>
    <t>Implicit risk weight</t>
  </si>
  <si>
    <t>Output floors vs revised</t>
  </si>
  <si>
    <t>Exposures
 (post-CCF post-CRM)</t>
  </si>
  <si>
    <t>Default</t>
  </si>
  <si>
    <t>Differences in EAD</t>
  </si>
  <si>
    <t>Differences in RWA</t>
  </si>
  <si>
    <t>Current</t>
  </si>
  <si>
    <t>Output floor</t>
  </si>
  <si>
    <t>Differences in implicit RW</t>
  </si>
  <si>
    <t>A.3 Credit risk requirements: IRB exposures remaining on IRB</t>
  </si>
  <si>
    <t>Total IRB exposures</t>
  </si>
  <si>
    <t>Revised vs current (current IRB exposures)</t>
  </si>
  <si>
    <t>EAD
 (post-CCF post-CRM)</t>
  </si>
  <si>
    <t>Differences in EL amounts</t>
  </si>
  <si>
    <t>SMEs treated as retail</t>
  </si>
  <si>
    <t>Total IRB approach remaining on IRB</t>
  </si>
  <si>
    <t>A.4 Credit risk requirements: IRB exposures moving to the standardised approach</t>
  </si>
  <si>
    <t>Total IRB approach moving to the standardised approach</t>
  </si>
  <si>
    <t>B. All risk types</t>
  </si>
  <si>
    <t>Risk type</t>
  </si>
  <si>
    <t>Credit risk</t>
  </si>
  <si>
    <t>CVA capital requirements (risk-weighted asset equivalent)</t>
  </si>
  <si>
    <t>Market risk</t>
  </si>
  <si>
    <t>Operational risk</t>
  </si>
  <si>
    <t>Settlement risk</t>
  </si>
  <si>
    <t>Other Pillar 1 requirements</t>
  </si>
  <si>
    <t>Total RWA at the reporting date before application of the transitional/output floor</t>
  </si>
  <si>
    <t>C. RWA effects from Basel III definition of capital and other national phase-in arrangements</t>
  </si>
  <si>
    <t>RWA current 
(applying national rules at the reporting date)</t>
  </si>
  <si>
    <t>RWA 
initial Basel III 2022</t>
  </si>
  <si>
    <t>national implementation</t>
  </si>
  <si>
    <t>pure</t>
  </si>
  <si>
    <t>Data to be provided</t>
  </si>
  <si>
    <t>RWA impact of applying future definition of capital rules</t>
  </si>
  <si>
    <t>Incremental RWA impact of applying 2022 Basel III pure rather than national implementation</t>
  </si>
  <si>
    <t>RWA impact of national phase-in arrangements for CVA if any</t>
  </si>
  <si>
    <t>RWA impact of any other national phase-in arrangements</t>
  </si>
  <si>
    <t>D. Total risk-weighted assets and capital ratios</t>
  </si>
  <si>
    <t>RWA
final Basel III</t>
  </si>
  <si>
    <t>RWA
final Basel III non-modelling approaches</t>
  </si>
  <si>
    <r>
      <t xml:space="preserve">Total risk-weighted assets </t>
    </r>
    <r>
      <rPr>
        <b/>
        <sz val="10"/>
        <rFont val="Segoe UI"/>
        <family val="2"/>
      </rPr>
      <t>before</t>
    </r>
    <r>
      <rPr>
        <sz val="10"/>
        <rFont val="Segoe UI"/>
        <family val="2"/>
      </rPr>
      <t xml:space="preserve"> application of the transitional floors</t>
    </r>
  </si>
  <si>
    <t>Floor impact</t>
  </si>
  <si>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</si>
  <si>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Capital ratios (actual capital, rules as of the relevant date)</t>
  </si>
  <si>
    <t>[%] current
(applying national rules at the reporting date)</t>
  </si>
  <si>
    <t>[%]
initial Basel III 2022</t>
  </si>
  <si>
    <t>[%]
final Basel III</t>
  </si>
  <si>
    <t>CET1 (Basel II/III banks: before application of the transitional floor)</t>
  </si>
  <si>
    <t>Tier 1 (Basel II/III banks: before application of the transitional floor)</t>
  </si>
  <si>
    <t>Total (Basel II/III banks: before application of the transitional floor)</t>
  </si>
  <si>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</si>
  <si>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</si>
  <si>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</si>
  <si>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 Reconciliation with regulatory reporting</t>
  </si>
  <si>
    <t>RWA not covered in this exercise</t>
  </si>
  <si>
    <r>
      <t xml:space="preserve">Total risk-weighted assets </t>
    </r>
    <r>
      <rPr>
        <b/>
        <sz val="10"/>
        <rFont val="Segoe UI"/>
        <family val="2"/>
      </rPr>
      <t>before</t>
    </r>
    <r>
      <rPr>
        <sz val="10"/>
        <rFont val="Segoe UI"/>
        <family val="2"/>
      </rPr>
      <t xml:space="preserve"> application of the transitional floors </t>
    </r>
    <r>
      <rPr>
        <b/>
        <sz val="10"/>
        <rFont val="Segoe UI"/>
        <family val="2"/>
      </rPr>
      <t>as in regulatory reporting</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</si>
  <si>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as in regulatory reporting</t>
    </r>
  </si>
  <si>
    <t>CET1 (Basel II/III banks: after application of the transitional floor)</t>
  </si>
  <si>
    <t>Tier 1 (Basel II/III banks: after application of the transitional floor)</t>
  </si>
  <si>
    <t>Total (Basel II/III banks: after application of the transitional floor)</t>
  </si>
  <si>
    <t>Definition of capital</t>
  </si>
  <si>
    <t>Data to be provided in the relevant column</t>
  </si>
  <si>
    <t>A. Provisions and expected losses</t>
  </si>
  <si>
    <t>Basel Framework reference</t>
  </si>
  <si>
    <t>Item</t>
  </si>
  <si>
    <t>2022 national implementation</t>
  </si>
  <si>
    <t>For IRB portfolios</t>
  </si>
  <si>
    <t>CAP30.13</t>
  </si>
  <si>
    <t>Total gross provisions eligible for inclusion in the adjustment to capital in respect of the difference between expected loss and provisions (non-defaulted assets if national rules require separate treatment, otherwise combined)</t>
  </si>
  <si>
    <t>Total expected loss eligible for inclusion in the adjustment to capital in respect of the difference between expected loss and provisions (non-defaulted assets if national rules require separate treatment, otherwise combined)</t>
  </si>
  <si>
    <t>National</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</si>
  <si>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</si>
  <si>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</si>
  <si>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t>Shortfall of provisions to expected losses to be deducted from Common Equity Tier 1 capital (gross of any tax adjustment)</t>
  </si>
  <si>
    <t>CAP10.19</t>
  </si>
  <si>
    <t>Cap for inclusion of excess provisions in Tier 2 capital (0.6% of credit risk-weighted assets)</t>
  </si>
  <si>
    <t>Excess of provisions to expected losses related to IRB portfolios to be included in Tier 2 capital</t>
  </si>
  <si>
    <t>For standardised approach portfolios</t>
  </si>
  <si>
    <t>CAP10.18</t>
  </si>
  <si>
    <t>Total gross provisions eligible for inclusion in Tier 2 capital</t>
  </si>
  <si>
    <t>Cap for inclusion of provisions in Tier 2 capital (1.25% of credit risk-weighted assets)</t>
  </si>
  <si>
    <t>Total provisions related to standardised approach to be included in Tier 2 capital</t>
  </si>
  <si>
    <t>For portfolios subject to Basel I</t>
  </si>
  <si>
    <t>Total provisions related to Basel I portfolios to be included in Tier 2 capital</t>
  </si>
  <si>
    <t>Total amount with respect to provisions to be included in Tier 2 capital</t>
  </si>
  <si>
    <t>B. Common Equity Tier 1 capital</t>
  </si>
  <si>
    <t>B.1 Eligible Common Equity Tier 1 capital held</t>
  </si>
  <si>
    <t>CAP10.6–8</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</si>
  <si>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</si>
  <si>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</si>
  <si>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</si>
  <si>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Common Equity Tier 1 capital attributable to parent company common shareholders</t>
  </si>
  <si>
    <t>CAP10.20–25</t>
  </si>
  <si>
    <t>Total minority interest given recognition in Common Equity Tier 1 capital</t>
  </si>
  <si>
    <t xml:space="preserve">Total group Common Equity Tier 1 capital prior to regulatory adjustments </t>
  </si>
  <si>
    <t>B.2 Regulatory adjustments to Common Equity Tier 1 capital</t>
  </si>
  <si>
    <t>RWA impact pure</t>
  </si>
  <si>
    <t>CAP30.7–8</t>
  </si>
  <si>
    <t>Deduction for goodwill net of related tax liability</t>
  </si>
  <si>
    <t>Deduction for intangibles (excluding goodwill and mortgage servicing rights) net of related tax liability</t>
  </si>
  <si>
    <t>CAP30.9</t>
  </si>
  <si>
    <t>Deduction for deferred tax assets arising from carryforwards of unused tax losses, unused tax credits and all other (net of pro rata share of any DTLs)</t>
  </si>
  <si>
    <t>CAP30.21</t>
  </si>
  <si>
    <t>Deduction for investments in own shares (excluding amounts already derecognised under the relevant accounting standards)</t>
  </si>
  <si>
    <t>Deduction for reciprocal cross holdings of common equity</t>
  </si>
  <si>
    <t>Deduction for shortfall of provisions to expected losses (gross of any tax adjustment)</t>
  </si>
  <si>
    <t>CAP30.11–12</t>
  </si>
  <si>
    <t>Cash flow hedge reserve to be deducted from (or added to if negative) Common Equity Tier 1 capital</t>
  </si>
  <si>
    <t>CAP30.15</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</si>
  <si>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</si>
  <si>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CAP30.16–17</t>
  </si>
  <si>
    <t>Deduction for defined benefit pension fund assets</t>
  </si>
  <si>
    <t>CAP30.14</t>
  </si>
  <si>
    <t>Deduction for securitisation gain on sale (expected future margin income) as set out in CAP30.14</t>
  </si>
  <si>
    <t>CAP50.14</t>
  </si>
  <si>
    <t>Deductions for prudent valuation</t>
  </si>
  <si>
    <t>EU</t>
  </si>
  <si>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</si>
  <si>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</si>
  <si>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</si>
  <si>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</si>
  <si>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r>
      <t xml:space="preserve">Transitional regulatory adjustments to CET1 due to the introduction of ECL provisioning, reflecting the accounting treatment </t>
    </r>
    <r>
      <rPr>
        <b/>
        <sz val="10"/>
        <rFont val="Segoe UI"/>
        <family val="2"/>
      </rPr>
      <t>at the reporting date</t>
    </r>
  </si>
  <si>
    <t>Total Common Equity Tier 1 capital after the regulatory adjustments above</t>
  </si>
  <si>
    <t>CAP30.22–28</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</si>
  <si>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five working days or less)</t>
    </r>
  </si>
  <si>
    <t>CAP30.29–31</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</si>
  <si>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</si>
  <si>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CAP30.32</t>
  </si>
  <si>
    <t>Deduction for mortgage servicing rights</t>
  </si>
  <si>
    <t>Deduction for deferred tax assets due to temporary differences (amount above 10% threshold)</t>
  </si>
  <si>
    <t xml:space="preserve">Total Common Equity Tier 1 capital after the regulatory adjustments above </t>
  </si>
  <si>
    <t>Regulatory adjustments to be applied to Common Equity Tier 1 due to insufficient Additional Tier 1 to cover deductions</t>
  </si>
  <si>
    <t>Aggregate of items subject to the 15% limit (significant investments in financial institutions, mortgage servicing rights and DTAs that arise from temporary differences)</t>
  </si>
  <si>
    <t>Deduction for qualifying holdings outside the financial sector which can alternatively be subject to a 1,250% risk weight</t>
  </si>
  <si>
    <t>Other CET1 deductions</t>
  </si>
  <si>
    <t>Total regulatory adjustments to Common Equity Tier 1 capital</t>
  </si>
  <si>
    <t>Common Equity Tier 1 capital net of regulatory adjustments</t>
  </si>
  <si>
    <t>C. Additional Tier 1 capital</t>
  </si>
  <si>
    <t>C.1 Eligible additional Tier 1 capital held</t>
  </si>
  <si>
    <t>CAP10.11, CAP10.13</t>
  </si>
  <si>
    <t>Additional Tier 1 instruments issued by parent company of group (and any related surplus), including any compliant capital issued via SPVs as determined by CAP10.26</t>
  </si>
  <si>
    <t>Instruments that meet the additional Tier 1 criteria issued by subsidiaries to third parties that are given recognition in group Additional Tier 1 capital</t>
  </si>
  <si>
    <t>Total additional Tier 1 capital prior to regulatory adjustments</t>
  </si>
  <si>
    <t>C.2 Regulatory adjustments to additional Tier 1 capital</t>
  </si>
  <si>
    <t>CAP30.18–20</t>
  </si>
  <si>
    <t>Deduction for investments in own additional Tier 1 capital (excluding amounts already derecognised under the relevant accounting standards)</t>
  </si>
  <si>
    <t>Deduction for reciprocal cross holdings of additional Tier 1 capital</t>
  </si>
  <si>
    <t>Other deductions from additional Tier 1 capital</t>
  </si>
  <si>
    <t>Tier 2 regulatory adjustments which have to be deducted from Additional Tier 1 capital</t>
  </si>
  <si>
    <t>Total regulatory adjustments to Additional Tier 1 capital; of which</t>
  </si>
  <si>
    <t>Regulatory adjustments actually made to Additional Tier 1 capital</t>
  </si>
  <si>
    <t>Additional Tier 1 capital net of regulatory adjustments</t>
  </si>
  <si>
    <t>D. Tier 2 capital</t>
  </si>
  <si>
    <t>D.1 Eligible Tier 2 capital held</t>
  </si>
  <si>
    <t>CAP10.16–17</t>
  </si>
  <si>
    <t>Tier 2 capital instruments issued by parent company of group (and any related surplus), including any compliant capital issued via SPVs as determined by CAP10.26</t>
  </si>
  <si>
    <t>Instruments that meet the Tier 2 criteria issued by subsidiaries to third parties that are given recognition in Tier 2 capital</t>
  </si>
  <si>
    <t>Provisions included in Tier 2 capital</t>
  </si>
  <si>
    <t>Other items</t>
  </si>
  <si>
    <t>Total Tier 2 capital prior to regulatory adjustments</t>
  </si>
  <si>
    <t>D.2 Regulatory adjustments to Tier 2 capital</t>
  </si>
  <si>
    <t>Deduction for investments in own Tier 2 capital (excluding amounts already derecognised under the relevant accounting standards)</t>
  </si>
  <si>
    <t>Deduction for reciprocal cross holdings of Tier 2 capital</t>
  </si>
  <si>
    <t>Deduction for reciprocal cross holdings of other TLAC liabilities</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</si>
  <si>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</si>
  <si>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CAP30.22, CAP30.25–28</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</si>
  <si>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CAP30.23)</t>
  </si>
  <si>
    <t>CAP30.23–24</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</si>
  <si>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CAP30.23</t>
  </si>
  <si>
    <t>Deduction for significant investments in the other TLAC liabilities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</si>
  <si>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Other deductions from Tier 2 capital</t>
  </si>
  <si>
    <t>Total regulatory adjustments to Tier 2 capital; of which</t>
  </si>
  <si>
    <t>Regulatory adjustments actually made to Tier 2 capital</t>
  </si>
  <si>
    <t>Tier 2 capital net of regulatory adjustments</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</si>
  <si>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</si>
  <si>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Amount (not deducted)</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</si>
  <si>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</si>
  <si>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</si>
  <si>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</si>
  <si>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Holdings of other TLAC liabilities subject to risk weighting treatment</t>
  </si>
  <si>
    <t>CAP30.23(1)</t>
  </si>
  <si>
    <t>of which: holdings designated under CAP30.23(1)</t>
  </si>
  <si>
    <t>RWA (for amount not deducted)</t>
  </si>
  <si>
    <t>TLAC holdings</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</si>
  <si>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CAP10.23)</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</si>
  <si>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CAP10.23</t>
  </si>
  <si>
    <t>TLAC</t>
  </si>
  <si>
    <t>A. Adjustments to regulatory capital for TLAC calculation purposes</t>
  </si>
  <si>
    <t>National implementation</t>
  </si>
  <si>
    <t>Pure</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</si>
  <si>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</si>
  <si>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</si>
  <si>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</si>
  <si>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</si>
  <si>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</si>
  <si>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</si>
  <si>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</si>
  <si>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</si>
  <si>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</si>
  <si>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</si>
  <si>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External TLAC instruments issued by funding vehicles prior to 1 January 2022</t>
  </si>
  <si>
    <t>Eligible ex ante commitments to recapitalise a G-SIB in resolution</t>
  </si>
  <si>
    <t xml:space="preserve">Deduction for investments in own other TLAC liabilities (excluding amounts already derecognised under the relevant accounting standards) </t>
  </si>
  <si>
    <t>Other TLAC adjustments</t>
  </si>
  <si>
    <t>Non-regulatory capital TLAC (excluding adjustments arising from regulatory capital)</t>
  </si>
  <si>
    <t>C. Total</t>
  </si>
  <si>
    <t>Total non-regulatory capital TLAC</t>
  </si>
  <si>
    <t>D. TLAC raised (gross) in the six months period ending on the reporting date</t>
  </si>
  <si>
    <t>Issued up to three months before the reporting date</t>
  </si>
  <si>
    <t>Issued more than three but less than six months before the end of the reporting date</t>
  </si>
  <si>
    <t>Leverage ratio</t>
  </si>
  <si>
    <t>A. On-balance sheet items</t>
  </si>
  <si>
    <r>
      <t xml:space="preserve">Amounts should be net of specific provisions and valuations adjustments. </t>
    </r>
    <r>
      <rPr>
        <b/>
        <sz val="10"/>
        <rFont val="Segoe UI"/>
        <family val="2"/>
      </rPr>
      <t>All data are as at the reporting date.</t>
    </r>
  </si>
  <si>
    <t>LEV standard (as of 1 Jan 2023 unless otherwise noted)</t>
  </si>
  <si>
    <t>Exposure</t>
  </si>
  <si>
    <t xml:space="preserve">Accounting balance sheet value </t>
  </si>
  <si>
    <t>Gross value (assuming no netting or CRM)</t>
  </si>
  <si>
    <t>Check: accounting ≤ gross value</t>
  </si>
  <si>
    <t>Modified 
SA-CCR</t>
  </si>
  <si>
    <t>Derivatives: replacement costs</t>
  </si>
  <si>
    <t>LEV30.26</t>
  </si>
  <si>
    <t>Exempted leg of derivatives for which the bank provides clearing services within a multi-level client structure: replacement cost (RC); of which:</t>
  </si>
  <si>
    <t>LEV30.29</t>
  </si>
  <si>
    <t>Associated with entities affiliated with the bank outside the scope of regulatory consolidation for which the bank acts as a clearing member</t>
  </si>
  <si>
    <t>Check: total ≥ amounts associated with affiliated entities</t>
  </si>
  <si>
    <t>Replacement cost (RC) for all derivative transactions</t>
  </si>
  <si>
    <t>of which: RC for client cleared derivatives only</t>
  </si>
  <si>
    <t>LEV30.37, LEV30.40−43</t>
  </si>
  <si>
    <t>Securities financing transactions</t>
  </si>
  <si>
    <t>LEV30.42−43</t>
  </si>
  <si>
    <t>SFT agent transactions eligible for the exceptional treatment</t>
  </si>
  <si>
    <t>LEV30.37, LEV30.40−41</t>
  </si>
  <si>
    <t>Other SFTs</t>
  </si>
  <si>
    <t>LEV30.9</t>
  </si>
  <si>
    <t>On-balance sheet specific provisions and valuation adjustments under the 2014 LR framework</t>
  </si>
  <si>
    <t>Deduction of eligible general provisions and general loan loss reserves from on-balance sheet exposures</t>
  </si>
  <si>
    <t>LEV30.3</t>
  </si>
  <si>
    <t>Deduction of eligible prudential value adjustments (PVAs)</t>
  </si>
  <si>
    <t>LEV30.10</t>
  </si>
  <si>
    <t>Trade date accounting: amount of gross cash receivables less offsetting</t>
  </si>
  <si>
    <t>LEV30.12</t>
  </si>
  <si>
    <t>Cash pooling transactions; of which:</t>
  </si>
  <si>
    <t>Cash pooling transactions that meet the criteria of LEV30.12</t>
  </si>
  <si>
    <t>Check: total ≥ of which amount</t>
  </si>
  <si>
    <t>Check: gross value ≥ exposure value ≥ net value</t>
  </si>
  <si>
    <t>Securitised assets meeting SRT criteria</t>
  </si>
  <si>
    <t>Total central bank reserves; of which:</t>
  </si>
  <si>
    <t>LEV30.7</t>
  </si>
  <si>
    <t>Central bank reserves eligible for deduction from revised LR exposure measure</t>
  </si>
  <si>
    <t>B. Derivatives and off-balance sheet items</t>
  </si>
  <si>
    <t>Potential future exposure
(current exposure method; assume no netting or CRM)</t>
  </si>
  <si>
    <t>Notional amount</t>
  </si>
  <si>
    <t>Check: SA-CCR ≤ modified CCR</t>
  </si>
  <si>
    <t>LEV30.14-21, LEV30.28</t>
  </si>
  <si>
    <t>Derivatives</t>
  </si>
  <si>
    <t>Exempted CCP leg of client-cleared trade exposures (potential future exposure)</t>
  </si>
  <si>
    <t>LEV30.16(3)</t>
  </si>
  <si>
    <t>Potential future exposure: with maturity factor unchanged and without collateral; of which:</t>
  </si>
  <si>
    <t>PFE of centrally cleared client trades</t>
  </si>
  <si>
    <t>Exempted leg of derivatives for which the bank provides clearing services within a multi-level client structure: potential future exposure (PFE); of which:</t>
  </si>
  <si>
    <t>LEV30.46</t>
  </si>
  <si>
    <t>Off-balance sheet items under the 2014 LR framework</t>
  </si>
  <si>
    <t>LEV30.53</t>
  </si>
  <si>
    <t>Off-balance sheet items with a 10% CCF under the 2014 LR framework; of which:</t>
  </si>
  <si>
    <t>Unconditionally cancellable credit cards commitments</t>
  </si>
  <si>
    <t xml:space="preserve">Other unconditionally cancellable commitments </t>
  </si>
  <si>
    <t>Off-balance sheet securitisation exposures under the 2014 LR framework</t>
  </si>
  <si>
    <t>Reported unsettled financial asset purchases as OBS items with a 100% CCF under the 2014 LR framework?</t>
  </si>
  <si>
    <t>Off-balance sheet items under the revised LR framework</t>
  </si>
  <si>
    <t>LEV30.54</t>
  </si>
  <si>
    <t>Off-balance sheet items with a 10% CCF</t>
  </si>
  <si>
    <t>Off-balance sheet items with a 20% CCF</t>
  </si>
  <si>
    <t>LEV30.52</t>
  </si>
  <si>
    <t>Off-balance sheet items with a 40% CCF</t>
  </si>
  <si>
    <t>LEV30.50-51</t>
  </si>
  <si>
    <r>
      <t>Off-balance sheet items with a 50</t>
    </r>
    <r>
      <rPr>
        <sz val="10"/>
        <rFont val="Segoe UI"/>
        <family val="2"/>
      </rPr>
      <t>% CCF</t>
    </r>
  </si>
  <si>
    <t>LEV30.49</t>
  </si>
  <si>
    <t>Off-balance sheet items with a 100% CCF</t>
  </si>
  <si>
    <t>LEV30.56</t>
  </si>
  <si>
    <t>Off-balance sheet securitisation exposures</t>
  </si>
  <si>
    <t>LEV30.48</t>
  </si>
  <si>
    <t>Deduction of eligible specific and general provisions from off-balance sheet items</t>
  </si>
  <si>
    <t>Banks using settlement date accounting: amount of gross commitments to pay for unsettled purchases less cash to be received for unsettled sales</t>
  </si>
  <si>
    <t>C. Adjusted notional exposures for written credit derivatives</t>
  </si>
  <si>
    <t xml:space="preserve">Capped notional amount </t>
  </si>
  <si>
    <t>Capped notional amount (same reference name, non-exempted)</t>
  </si>
  <si>
    <t>Capped notional amount (meeting all criteria of para 45 of the revised LR framework, non-exempted)</t>
  </si>
  <si>
    <t>LEV30.30-35</t>
  </si>
  <si>
    <t>Credit derivatives</t>
  </si>
  <si>
    <t>Credit derivatives (protection sold); of which:</t>
  </si>
  <si>
    <t>Exempted legs associated with client-cleared trades or the provision of clearing services in a multi-level client services structure</t>
  </si>
  <si>
    <t>Credit derivatives (protection bought)</t>
  </si>
  <si>
    <t>Credit derivatives (protection sold less protection bought)</t>
  </si>
  <si>
    <t>Check: credit derivatives are consistently filled-in (see reporting instructions for more details)</t>
  </si>
  <si>
    <t>D. Additional information</t>
  </si>
  <si>
    <t>Basel framework reference</t>
  </si>
  <si>
    <t>Exposure value</t>
  </si>
  <si>
    <t>1) Exclusions from total exposures that are only reflected in total exposure and not in the individual line items</t>
  </si>
  <si>
    <t>Amount excluded due to Covid-19</t>
  </si>
  <si>
    <r>
      <t xml:space="preserve">Other amounts excluded (that are </t>
    </r>
    <r>
      <rPr>
        <b/>
        <sz val="10"/>
        <rFont val="Segoe UI"/>
        <family val="2"/>
      </rPr>
      <t>not</t>
    </r>
    <r>
      <rPr>
        <sz val="10"/>
        <rFont val="Segoe UI"/>
        <family val="2"/>
      </rPr>
      <t xml:space="preserve"> related to Covid-19)</t>
    </r>
  </si>
  <si>
    <t>2) Regulatory adjustments related to the asset side</t>
  </si>
  <si>
    <t>CAP30.11-12</t>
  </si>
  <si>
    <t>Cash flow hedge reserve to be deducted from (or added to if negative) Common Equity Tier 1 capital related to the asset side</t>
  </si>
  <si>
    <t>Deductions for prudent valuation related to the asset side</t>
  </si>
  <si>
    <t>E. Memo: calculation of revised leverage ratio</t>
  </si>
  <si>
    <t>Amount under the 2014 framework</t>
  </si>
  <si>
    <t>Change</t>
  </si>
  <si>
    <t>2017 framework pre-exclusions</t>
  </si>
  <si>
    <t>Exclusions</t>
  </si>
  <si>
    <t>2017 framework post-exclusions</t>
  </si>
  <si>
    <t>Derivatives counterparty credit risk exposure</t>
  </si>
  <si>
    <t>Derivatives, potential future exposure (current exposure method; apply regulatory netting)</t>
  </si>
  <si>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</si>
  <si>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</si>
  <si>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</si>
  <si>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</si>
  <si>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</si>
  <si>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Leverage ratio exposure measure post regulatory adjustments</t>
  </si>
  <si>
    <t>Leverage ratio (approx)</t>
  </si>
  <si>
    <t>F. Business model categorisation under the 2014 LR framework</t>
  </si>
  <si>
    <t>Total on- and off-balance sheet exposures. Amounts shown should be the LR exposure measure values.</t>
  </si>
  <si>
    <t xml:space="preserve">Amount </t>
  </si>
  <si>
    <t>Total exposures; of which:</t>
  </si>
  <si>
    <t>Total trading book exposures; of which:</t>
  </si>
  <si>
    <t>SFTs</t>
  </si>
  <si>
    <t>Other trading book exposures</t>
  </si>
  <si>
    <t>Total banking book exposures; of which:</t>
  </si>
  <si>
    <t>Investments in covered bonds</t>
  </si>
  <si>
    <t xml:space="preserve">Other banking book exposures; of which: </t>
  </si>
  <si>
    <t>Sovereigns; of which:</t>
  </si>
  <si>
    <t>Public sector entities (PSEs); of which:</t>
  </si>
  <si>
    <t>PSEs guaranteed by central government</t>
  </si>
  <si>
    <r>
      <t xml:space="preserve">PSEs </t>
    </r>
    <r>
      <rPr>
        <b/>
        <sz val="10"/>
        <rFont val="Segoe UI"/>
        <family val="2"/>
      </rPr>
      <t>not</t>
    </r>
    <r>
      <rPr>
        <sz val="10"/>
        <rFont val="Segoe UI"/>
        <family val="2"/>
      </rPr>
      <t xml:space="preserve"> guaranteed by central government but treated as a sovereign under CRE30.18 (2019 version)</t>
    </r>
  </si>
  <si>
    <t>MDBs</t>
  </si>
  <si>
    <t>Other sovereign exposures</t>
  </si>
  <si>
    <t>Banks</t>
  </si>
  <si>
    <t>Retail exposures; of which:</t>
  </si>
  <si>
    <t>Residential real estate exposures</t>
  </si>
  <si>
    <t>SME exposures</t>
  </si>
  <si>
    <t>Qualifying revolving retail exposures</t>
  </si>
  <si>
    <t>Other retail exposures</t>
  </si>
  <si>
    <t>Corporate; of which:</t>
  </si>
  <si>
    <t>Financial</t>
  </si>
  <si>
    <t>Non-financial; of which:</t>
  </si>
  <si>
    <t>Commercial real estate</t>
  </si>
  <si>
    <t>Other corporate non-financial</t>
  </si>
  <si>
    <t>Other exposures (eg equity and other non-credit obligation assets); of which:</t>
  </si>
  <si>
    <t>Securitisation exposures</t>
  </si>
  <si>
    <t>Check: securitisation exposures should be lower than or equal total other exposures</t>
  </si>
  <si>
    <t>Exposure amounts resulting from the additional treatment for credit derivatives</t>
  </si>
  <si>
    <t>Memo item: Trade finance exposures</t>
  </si>
  <si>
    <t>Memo item: Client clearing derivative exposures</t>
  </si>
  <si>
    <t>Memo item: Client clearing SFT exposures</t>
  </si>
  <si>
    <t>Leverage ratio additional</t>
  </si>
  <si>
    <t>G. Calculation of averaged leverage ratio exposures</t>
  </si>
  <si>
    <t>1. Based on month-end data</t>
  </si>
  <si>
    <t>Average</t>
    <phoneticPr fontId="34"/>
  </si>
  <si>
    <t>Median</t>
  </si>
  <si>
    <t>Max</t>
    <phoneticPr fontId="34"/>
  </si>
  <si>
    <t>Min</t>
    <phoneticPr fontId="34"/>
  </si>
  <si>
    <t>Quarter-end</t>
  </si>
  <si>
    <t>Standard deviation</t>
  </si>
  <si>
    <t>Does the bank use estimations to calculate the exposure of the LR component?</t>
  </si>
  <si>
    <t>Would the production of daily average values for these exposure items be operationally feasible within the next 12 months?</t>
  </si>
  <si>
    <t>Specify the key challenges and any impediments to the implementation of a monthly averaging methodology</t>
  </si>
  <si>
    <t>Check: Average should be between the min and the max</t>
  </si>
  <si>
    <t>Check: Median should be between the min and the max</t>
  </si>
  <si>
    <t>Check: Quarter-end value should be between the min and the max</t>
  </si>
  <si>
    <t>Check: Reconciliation with Leverage ratio worksheet</t>
  </si>
  <si>
    <t>SFTs - adjusted gross assets (ie receivables)</t>
  </si>
  <si>
    <t>Derivatives replacement cost</t>
  </si>
  <si>
    <t>Central bank reserves included on-balance sheet</t>
  </si>
  <si>
    <t>Specify the key challenges and any impediments to the implementation of a daily averaging methodology</t>
  </si>
  <si>
    <t>Check: max of daily data should not be lower than max of monthly data</t>
  </si>
  <si>
    <t>Check: min of daily data should not be higher than min of monthly data</t>
  </si>
  <si>
    <t>NSFR</t>
  </si>
  <si>
    <t>A. Available stable funding</t>
  </si>
  <si>
    <t>Basel Framework NSF</t>
  </si>
  <si>
    <t>Amount</t>
  </si>
  <si>
    <t>Calculated ASF</t>
  </si>
  <si>
    <t>ASF factor</t>
  </si>
  <si>
    <t>&lt; 6 months</t>
  </si>
  <si>
    <t>≥ 6 months to &lt; 1 year</t>
  </si>
  <si>
    <t>≥1 year</t>
  </si>
  <si>
    <t>≥ 1 year</t>
  </si>
  <si>
    <t>Total ASF</t>
  </si>
  <si>
    <t>Capital; of which:</t>
  </si>
  <si>
    <t>Tier 1 and Tier 2 capital (Basel III 2022), before the application of capital deductions and excluding the proportion of Tier 2 instruments with residual maturity of less than one year</t>
  </si>
  <si>
    <t>30.10(1)</t>
  </si>
  <si>
    <t>Capital instruments not included above with an effective residual maturity of one year or more</t>
  </si>
  <si>
    <t>30.10(2)</t>
  </si>
  <si>
    <t>Funding from retail and small business customers; of which:</t>
  </si>
  <si>
    <t>Unsecured "Stable" (as defined in the LCR) demand and/or term deposits</t>
  </si>
  <si>
    <t>30.10(3), 30.11</t>
  </si>
  <si>
    <t>Unsecured "Less stable" (as defined in the LCR) demand and/or term deposits</t>
  </si>
  <si>
    <t>30.10(3), 30.12</t>
  </si>
  <si>
    <t>Secured borrowings and liabilities (including secured term deposits)</t>
  </si>
  <si>
    <t>Funding from non-financial corporates; of which:</t>
  </si>
  <si>
    <t>Unsecured funding</t>
  </si>
  <si>
    <t>30.10(3), 30.13(1)</t>
  </si>
  <si>
    <t>Funding from central banks; of which</t>
  </si>
  <si>
    <t>Unsecured funding; of which:</t>
  </si>
  <si>
    <t>30.10(3), 30.13(2), 30.13(4), 30.14(1)</t>
  </si>
  <si>
    <t>Operational deposit (as defined in the LCR)</t>
  </si>
  <si>
    <t>Other unsecured funding</t>
  </si>
  <si>
    <t>Funding from sovereigns/PSEs/MDBs/NDBs; of which:</t>
  </si>
  <si>
    <t>30.10(3), 30.13(3)</t>
  </si>
  <si>
    <t>Funding from other legal entities (including financial corporates and financial institutions); of which:</t>
  </si>
  <si>
    <t>Deposits from members of the same cooperative network of banks subject to national discretion as defined in NSF30.14 FN7</t>
  </si>
  <si>
    <t>30.14FN7, 30.10(3)</t>
  </si>
  <si>
    <t>Other deposits from members of a cooperative network of banks</t>
  </si>
  <si>
    <t xml:space="preserve">NSFR derivative liabilities (derivative liabilities less total collateral posted as variation margin on derivative liabilities) </t>
  </si>
  <si>
    <t>30.8, 30.9, 30.9FN2</t>
  </si>
  <si>
    <t>Total initial margin received</t>
  </si>
  <si>
    <t>Other liability and equity categories</t>
  </si>
  <si>
    <t>Deferred tax liabilities (DTLs)</t>
  </si>
  <si>
    <t>30.14(2)</t>
  </si>
  <si>
    <t>Minority interest</t>
  </si>
  <si>
    <t>Trade date payables</t>
  </si>
  <si>
    <t>30.14(4)</t>
  </si>
  <si>
    <t>Interdependent liabilities</t>
  </si>
  <si>
    <t>All other liabilities and equity categories not included above</t>
  </si>
  <si>
    <t>30.10(3), 30.13(4), 30.14(1), 30.14(2)</t>
  </si>
  <si>
    <t>B. Required stable funding</t>
  </si>
  <si>
    <t>B.1 On balance-sheet items</t>
  </si>
  <si>
    <t>RSF</t>
  </si>
  <si>
    <t>RSF factor</t>
  </si>
  <si>
    <t>Total RSF</t>
  </si>
  <si>
    <t>RSF from central bank assets; of which:</t>
  </si>
  <si>
    <t>Coins and banknotes</t>
  </si>
  <si>
    <t>30.25(1)</t>
  </si>
  <si>
    <t>Total central bank reserves</t>
  </si>
  <si>
    <t>30.25(2)</t>
  </si>
  <si>
    <t xml:space="preserve">Of which are required central bank reserves </t>
  </si>
  <si>
    <t>See 30.25FN14</t>
  </si>
  <si>
    <t>Of which item less than total</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</si>
  <si>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</si>
  <si>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Unencumbered</t>
  </si>
  <si>
    <t>Remaining period of encumbrance &lt; 6 months</t>
  </si>
  <si>
    <t>Remaining period of encumbrance ≥ 6 months to &lt; 1 year</t>
  </si>
  <si>
    <t>Remaining period of encumbrance ≥ 1 year</t>
  </si>
  <si>
    <t>Encumbered for exceptional CB liquidity operations, ≥ 6 months to &lt; 1 year</t>
  </si>
  <si>
    <t>Encumbered for exceptional CB liquidity operations, ≥ 1 year</t>
  </si>
  <si>
    <t>Deposits held at other banks which are members of the same cooperative network of banks and which are subject to national discretion according to NSF30.14FN7</t>
  </si>
  <si>
    <t>30.14FN7, 30.32(3)</t>
  </si>
  <si>
    <t>Other deposits at other banks which are members of the same cooperative network of banks; of which:</t>
  </si>
  <si>
    <t>Loans to financial institutions, of which:</t>
  </si>
  <si>
    <t>Loans to financial institutions secured by Level 1 collateral and where the bank has the ability to freely rehypothecate the received collateral for the life of the loan; of which:</t>
  </si>
  <si>
    <t>30.20, 30.27, 30.29(3), 30.32(1), 30.32(3)</t>
  </si>
  <si>
    <t>All other secured loans to financial institutions, of which:</t>
  </si>
  <si>
    <t>30.20, 30.28(2), 30.29(3), 30.32(1), 30.32(3)</t>
  </si>
  <si>
    <t>Unsecured loans to financial institutions, of which:</t>
  </si>
  <si>
    <t>Securities eligible as HQLA; of which:</t>
  </si>
  <si>
    <t>Securities eligible as Level 1 HQLA for the LCR, of which:</t>
  </si>
  <si>
    <t>30.20, 30.26, 30.29(2), 30.32(1)</t>
  </si>
  <si>
    <t>Securities eligible for Level 2A HQLA for the LCR, of which:</t>
  </si>
  <si>
    <t>30.20, 30.28(1), 30.29(2), 30.32(1)</t>
  </si>
  <si>
    <t xml:space="preserve">Securities eligible for Level 2B HQLA for the LCR, of which: </t>
  </si>
  <si>
    <t>30.20, 30.29(1), 30.29(2), 30.32(1)</t>
  </si>
  <si>
    <t>Deposits held at financial institutions for operational purposes; of which:</t>
  </si>
  <si>
    <t>30.20, 30.29(4), 30.32(1)</t>
  </si>
  <si>
    <t>Loans, of which:</t>
  </si>
  <si>
    <t>Loans to non-financial corporate clients; of which:</t>
  </si>
  <si>
    <t>30.20, 30.29(5), 30.32(1)</t>
  </si>
  <si>
    <t>Loans to central banks with a residual maturity of less than one year; of which:</t>
  </si>
  <si>
    <t>30.20, 30.25(3), 30.29(3), 30.32(1)</t>
  </si>
  <si>
    <t>Loans to sovereigns, PSEs, MDBs and NDBs with a residual maturity of less than one year; of which:</t>
  </si>
  <si>
    <t>30.20, 30.29(5), 30.30, 30.32(1)</t>
  </si>
  <si>
    <t>Residential mortgages of any maturity that would qualify for the 35% or lower risk weight under the Basel II standardised approach for credit risk; of which:</t>
  </si>
  <si>
    <t>30.20, 30.29(5), 30.30(1), 30.32(1)</t>
  </si>
  <si>
    <t>Other loans, excluding loans to financial institutions, with a residual maturity of one year or greater that would qualify for the 35% or lower risk weight under the standardised approach for credit risk; of which:</t>
  </si>
  <si>
    <t>30.20, 30.30(2), 30.32(1)</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</si>
  <si>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</si>
  <si>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standardised approach for credit risk; of which:</t>
  </si>
  <si>
    <t>30.20, 30.29(5), 30.31(2), 30.31FN17, 30.32(1)</t>
  </si>
  <si>
    <t>Non-HQLA exchange traded equities; of which:</t>
  </si>
  <si>
    <t>30.20, 30.31(3), 30.32(1)</t>
  </si>
  <si>
    <t>Non-HQLA securities not in default; of which:</t>
  </si>
  <si>
    <t>30.20, 30.29(5), 30.31(3), 30.32(1)</t>
  </si>
  <si>
    <t>Physical traded commodities including gold; of which:</t>
  </si>
  <si>
    <t>30.20, 30.31(4), 30.32(1)</t>
  </si>
  <si>
    <t xml:space="preserve">Other short-term unsecured instruments and transactions with a residual maturity of less than one year, of which: </t>
  </si>
  <si>
    <t>Defaulted securities and non-performing loans</t>
  </si>
  <si>
    <t>30.31FN17, 30.32(3)</t>
  </si>
  <si>
    <t>NSFR derivative assets (derivative assets less cash collateral received as variation margin on derivative assets)</t>
  </si>
  <si>
    <t>30.24, 30.24FN13</t>
  </si>
  <si>
    <t>Required stable funding associated with derivative liabilities</t>
  </si>
  <si>
    <t>30.32(5)</t>
  </si>
  <si>
    <t>Required stable funding associated with initial margin posted and cash or other assets provided to contribute to the default fund of a CCP</t>
  </si>
  <si>
    <t>30.31(1)</t>
  </si>
  <si>
    <t>Items deducted from regulatory capital</t>
  </si>
  <si>
    <t>30.32(3)</t>
  </si>
  <si>
    <t>Trade date receivables</t>
  </si>
  <si>
    <t>30.25(4)</t>
  </si>
  <si>
    <t>Interdependent assets</t>
  </si>
  <si>
    <t>All other assets not included in above categories that qualify for 100% treatment</t>
  </si>
  <si>
    <t>Total from on balance-sheet items</t>
  </si>
  <si>
    <t>B.2 Off balance-sheet items</t>
  </si>
  <si>
    <t>Calculated total RSF</t>
  </si>
  <si>
    <t xml:space="preserve">RSF 
factor </t>
  </si>
  <si>
    <t>Irrevocable or conditionally revocable liquidity facilities</t>
  </si>
  <si>
    <t>30.34, 99.3</t>
  </si>
  <si>
    <t>Irrevocable or conditionally revocable credit facilities</t>
  </si>
  <si>
    <t>Unconditionally revocable liquidity facilities</t>
  </si>
  <si>
    <t>Unconditionally revocable credit facilities</t>
  </si>
  <si>
    <t>Trade finance-related obligations (including guarantees and letters of credit)</t>
  </si>
  <si>
    <t>Guarantees and letters of credit unrelated to trade finance obligations</t>
  </si>
  <si>
    <t xml:space="preserve">Non-contractual obligations, such as: </t>
  </si>
  <si>
    <t>Debt-buy back requests (incl related conduits)</t>
  </si>
  <si>
    <t>Structured products</t>
  </si>
  <si>
    <t>Managed funds</t>
  </si>
  <si>
    <t>Other non-contractual obligations</t>
  </si>
  <si>
    <t>All other off balance-sheet obligations not included in the above categories</t>
  </si>
  <si>
    <t>B.3 Total RSF</t>
  </si>
  <si>
    <t>Sum of panels B.1 and B.2</t>
  </si>
  <si>
    <t>C. NSFR</t>
  </si>
  <si>
    <t>Net stable funding ratio</t>
  </si>
  <si>
    <t>Credit risk (SA)</t>
  </si>
  <si>
    <t>Memo box: current approaches to credit risk</t>
  </si>
  <si>
    <t>A. Exposures currently subject to the standardised approach for credit risk (including counterparty credit risk)</t>
  </si>
  <si>
    <t>A.1 General</t>
  </si>
  <si>
    <t>Amounts applying national rules at the reporting date</t>
  </si>
  <si>
    <t>Amounts applying revised rules for SA and for CCR exposures</t>
  </si>
  <si>
    <r>
      <t>EU-specific:</t>
    </r>
    <r>
      <rPr>
        <b/>
        <sz val="10"/>
        <rFont val="Segoe UI"/>
        <family val="2"/>
      </rPr>
      <t xml:space="preserve"> transitional SA-CCR application for credit risk output floor</t>
    </r>
  </si>
  <si>
    <t>Exposures post substitution</t>
  </si>
  <si>
    <t>Defaulted exposures</t>
  </si>
  <si>
    <t>Provisions</t>
  </si>
  <si>
    <t>Average risk weight</t>
  </si>
  <si>
    <t>CCR exposures evaluated under previous non-internal method (CEM, SM, OEM) (if applicable)</t>
  </si>
  <si>
    <r>
      <t xml:space="preserve">Full non-modelling approach
</t>
    </r>
    <r>
      <rPr>
        <b/>
        <sz val="10"/>
        <color rgb="FFAA322F"/>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</si>
  <si>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</si>
  <si>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t>On-balance sheet exposures (post-CRM)</t>
  </si>
  <si>
    <t>CCR</t>
  </si>
  <si>
    <t>Off-balance sheet exposures (post-CCF post-CRM)</t>
  </si>
  <si>
    <t>On-balance sheet exposures</t>
  </si>
  <si>
    <t>Off-balance sheet exposures</t>
  </si>
  <si>
    <t>Specific provisions</t>
  </si>
  <si>
    <t>General provisions</t>
  </si>
  <si>
    <t>Exposures 
(post-CCF, post-CRM)</t>
  </si>
  <si>
    <t>Exposures
(post-CCF, post-CRM)</t>
  </si>
  <si>
    <t>of which: CCR internal models</t>
  </si>
  <si>
    <t>Difference in RWA</t>
  </si>
  <si>
    <t>of which: CCR</t>
  </si>
  <si>
    <t>Sovereigns, PSEs, MDBs; of which:</t>
  </si>
  <si>
    <t>sovereigns</t>
  </si>
  <si>
    <t>PSEs treated as sovereigns as per CRE20.12</t>
  </si>
  <si>
    <t>other PSEs</t>
  </si>
  <si>
    <t>Banks (excluding covered bonds); of which:</t>
  </si>
  <si>
    <t xml:space="preserve">Claims on banks belonging to the same institutional protection scheme </t>
  </si>
  <si>
    <t>ECRA - jurisdictions where ratings are allowed; of which:</t>
  </si>
  <si>
    <t>ECRA (long term); of which:</t>
  </si>
  <si>
    <t xml:space="preserve">AAA to AA- </t>
  </si>
  <si>
    <t>A+ to A-</t>
  </si>
  <si>
    <t>BBB+ to BBB-</t>
  </si>
  <si>
    <t>BB+ to B-</t>
  </si>
  <si>
    <t>below B-</t>
  </si>
  <si>
    <t>ECRA (short term); of which:</t>
  </si>
  <si>
    <t>SCRA; of which:</t>
  </si>
  <si>
    <t>SCRA (long term)</t>
  </si>
  <si>
    <t>Grade A (30% risk weight)</t>
  </si>
  <si>
    <t>Grade A (40% risk weight)</t>
  </si>
  <si>
    <t>Grade B</t>
  </si>
  <si>
    <t>Grade C</t>
  </si>
  <si>
    <t>Cannot yet be assigned</t>
  </si>
  <si>
    <t>SCRA (short term)</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</si>
  <si>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</si>
  <si>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</si>
  <si>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</si>
  <si>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</si>
  <si>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</si>
  <si>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</si>
  <si>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</si>
  <si>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</si>
  <si>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</si>
  <si>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</si>
  <si>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</si>
  <si>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</si>
  <si>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</si>
  <si>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</si>
  <si>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BB+ to BB-</t>
  </si>
  <si>
    <t>below BB-</t>
  </si>
  <si>
    <t xml:space="preserve">unrated corporate exposures </t>
  </si>
  <si>
    <t>Corporates (excluding SMEs) - rating not allowed; of which:</t>
  </si>
  <si>
    <t>investment grade</t>
  </si>
  <si>
    <t>not investment grade</t>
  </si>
  <si>
    <t>Corporate SME exposures</t>
  </si>
  <si>
    <t>Specialised lending; of which:</t>
  </si>
  <si>
    <t>rated (only for jurisdictions where rating is allowed)</t>
  </si>
  <si>
    <t>project finance; of which:</t>
  </si>
  <si>
    <t>pre-operational phase</t>
  </si>
  <si>
    <t>operational phase</t>
  </si>
  <si>
    <t>operational phase (high quality)</t>
  </si>
  <si>
    <t>object finance</t>
  </si>
  <si>
    <t>commodity finance</t>
  </si>
  <si>
    <t>Equity exposures; of which:</t>
  </si>
  <si>
    <t>speculative unlisted</t>
  </si>
  <si>
    <t>exposures to certain legislative programs</t>
  </si>
  <si>
    <t>others</t>
  </si>
  <si>
    <t>Subordinated debt, capital instruments other than equity and other TLAC liabilities not deducted from capital</t>
  </si>
  <si>
    <t>Equity investment in funds; of which:</t>
  </si>
  <si>
    <t>equity investment in funds (mandate-based approach)</t>
  </si>
  <si>
    <t>equity investment in funds (fall back approach)</t>
  </si>
  <si>
    <t>regulatory retail: transactors</t>
  </si>
  <si>
    <t>regulatory retail: non-transactors</t>
  </si>
  <si>
    <t>other retail</t>
  </si>
  <si>
    <t>Exposures secured by real estate; of which:</t>
  </si>
  <si>
    <t>general residential real estate; of which:</t>
  </si>
  <si>
    <t>whole loan approach; of which:</t>
  </si>
  <si>
    <t>LTV ≤ 50%</t>
  </si>
  <si>
    <t>50% &lt;LTV ≤ 60%</t>
  </si>
  <si>
    <t>60% &lt;LTV ≤ 80%</t>
  </si>
  <si>
    <t>80% &lt;LTV ≤ 90%</t>
  </si>
  <si>
    <t>90% &lt;LTV ≤ 100%</t>
  </si>
  <si>
    <t>LTV &gt; 100%</t>
  </si>
  <si>
    <t>Requirements not met</t>
  </si>
  <si>
    <t>loan splitting approach; of which:</t>
  </si>
  <si>
    <t>exposures ≤ 55% of property value</t>
  </si>
  <si>
    <t>exposures &gt; 55% of property value</t>
  </si>
  <si>
    <t>general commercial real estate; of which:</t>
  </si>
  <si>
    <r>
      <t xml:space="preserve">LTV </t>
    </r>
    <r>
      <rPr>
        <sz val="10"/>
        <color indexed="8"/>
        <rFont val="Segoe UI"/>
        <family val="2"/>
      </rPr>
      <t>≤ 60%</t>
    </r>
  </si>
  <si>
    <t>LTV &gt; 60%</t>
  </si>
  <si>
    <t>income producing residential real estate; of which:</t>
  </si>
  <si>
    <t>income producing commercial real estate; of which:</t>
  </si>
  <si>
    <t>LTV ≤ 60%</t>
  </si>
  <si>
    <t>60% &lt; LTV ≤ 80%</t>
  </si>
  <si>
    <t>LTV &gt; 80%</t>
  </si>
  <si>
    <t>land acquisition, development and construction; of which:</t>
  </si>
  <si>
    <t>150% risk weight</t>
  </si>
  <si>
    <t>100% risk weight</t>
  </si>
  <si>
    <t>Defaulted exposures; of which:</t>
  </si>
  <si>
    <t>below 20% provisioning rate</t>
  </si>
  <si>
    <t>Total standardised approach</t>
  </si>
  <si>
    <t>Memo item: SA exposures reported in the banking book in regulatory reporting but no longer included above due to the application of the revised market risk framework definition of TB-BB boundary</t>
  </si>
  <si>
    <t>Memo item: SA exposures reported in the trading book in regulatory reporting that are included above due to the application of the revised market risk framework definition of TB-BB boundary</t>
  </si>
  <si>
    <t>A.2 Memo item: Equity exposures under the current treatment</t>
  </si>
  <si>
    <t>Current credit risk framework</t>
  </si>
  <si>
    <t>On-balance sheet exposures
 (post-CRM)</t>
  </si>
  <si>
    <t>Off-balance sheet exposures
 (post-CCF, post-CRM)</t>
  </si>
  <si>
    <t>Equity exposures under the standardised approach; of which:</t>
  </si>
  <si>
    <t>non-grandfathered</t>
  </si>
  <si>
    <t>grandfathered</t>
  </si>
  <si>
    <t>Credit risk (IRB)</t>
  </si>
  <si>
    <t>Memo box: approaches to credit risk</t>
  </si>
  <si>
    <t>Migration to standardised approach</t>
  </si>
  <si>
    <t>Amounts applying the revised framework</t>
  </si>
  <si>
    <t>Exposures subject to SA-CCR</t>
  </si>
  <si>
    <r>
      <rPr>
        <b/>
        <sz val="10"/>
        <color rgb="FFAA322F"/>
        <rFont val="Segoe UI"/>
        <family val="2"/>
      </rPr>
      <t xml:space="preserve">EU-specific: </t>
    </r>
    <r>
      <rPr>
        <b/>
        <sz val="10"/>
        <color theme="1"/>
        <rFont val="Segoe UI"/>
        <family val="2"/>
      </rPr>
      <t>transitional SA-CCR application for credit risk output floor</t>
    </r>
  </si>
  <si>
    <r>
      <rPr>
        <b/>
        <sz val="10"/>
        <color rgb="FFAA322F"/>
        <rFont val="Segoe UI"/>
        <family val="2"/>
      </rPr>
      <t>EU-specific:</t>
    </r>
    <r>
      <rPr>
        <b/>
        <sz val="10"/>
        <color theme="1"/>
        <rFont val="Segoe UI"/>
        <family val="2"/>
      </rPr>
      <t xml:space="preserve"> keeping revised CCR approaches (incl. IMM) for credit risk output floor</t>
    </r>
  </si>
  <si>
    <t>AIRB exposures</t>
  </si>
  <si>
    <t>FIRB/SSCA exposures</t>
  </si>
  <si>
    <t>Amounts moving to the standardised approach due to substitution and for equity exposures</t>
  </si>
  <si>
    <t>Full non-modelling approach</t>
  </si>
  <si>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</si>
  <si>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r>
      <t xml:space="preserve">Partly non-modelling approach 
Keeping revised CCR approaches (incl. IMM) 
and CR-SA for RWA calculation
</t>
    </r>
    <r>
      <rPr>
        <b/>
        <sz val="10"/>
        <color rgb="FFAA322F"/>
        <rFont val="Segoe UI"/>
        <family val="2"/>
      </rPr>
      <t>Leave empty if IMM not applied</t>
    </r>
  </si>
  <si>
    <t>EAD
 (post-CCF, post-CRM)</t>
  </si>
  <si>
    <t>EL amounts
(total)</t>
  </si>
  <si>
    <t>On-balance sheet exposures post-CRM</t>
  </si>
  <si>
    <t>Off-balance sheet exposures post-CCF post-CRM</t>
  </si>
  <si>
    <t>of which: for defaulted assets</t>
  </si>
  <si>
    <t>Non-defaulted exposures</t>
  </si>
  <si>
    <t>Difference in EL amount</t>
  </si>
  <si>
    <t>EAD</t>
  </si>
  <si>
    <t>RWA+EL</t>
  </si>
  <si>
    <t xml:space="preserve">RWA </t>
  </si>
  <si>
    <t>of which: internal models</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</si>
  <si>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</si>
  <si>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</si>
  <si>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</si>
  <si>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 xml:space="preserve"> </t>
  </si>
  <si>
    <t>Project finance; of which:</t>
  </si>
  <si>
    <t>supervisory slotting approach</t>
  </si>
  <si>
    <t>Object finance; of which:</t>
  </si>
  <si>
    <t>Commodities finance; of which:</t>
  </si>
  <si>
    <t>Income-producing real estate; of which:</t>
  </si>
  <si>
    <t>High-volatility commercial real estate; of which:</t>
  </si>
  <si>
    <t>SME treated as corporate</t>
  </si>
  <si>
    <t>Financial institutions treated as corporates</t>
  </si>
  <si>
    <t>Sovereigns</t>
  </si>
  <si>
    <t>Retail residential mortgages</t>
  </si>
  <si>
    <t>Qualifying revolving retail exposures; of which:</t>
  </si>
  <si>
    <t>transactors</t>
  </si>
  <si>
    <t>revolvers</t>
  </si>
  <si>
    <t>Other retail; of which:</t>
  </si>
  <si>
    <t>unsecured; of which:</t>
  </si>
  <si>
    <t>SME treated as retail</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</si>
  <si>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</si>
  <si>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</si>
  <si>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</si>
  <si>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</si>
  <si>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</si>
  <si>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</si>
  <si>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</si>
  <si>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</si>
  <si>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Total IRB approach; of which:</t>
  </si>
  <si>
    <t>IRB exposures which remain subject to IRB</t>
  </si>
  <si>
    <t>Memo item: IRB exposures reported in the banking book in regulatory reporting but no longer included above due to the application of the revised market risk framework definition of TB-BB boundary</t>
  </si>
  <si>
    <t>Memo item: IRB exposures reported in the trading book in regulatory reporting that are included above due to the application of the revised market risk framework definition of TB-BB boundary</t>
  </si>
  <si>
    <t>B. Memo item: Equity exposures under the current treatment</t>
  </si>
  <si>
    <t>Equity exposures under IRB approach; of which:</t>
  </si>
  <si>
    <t>Non-grandfathered</t>
  </si>
  <si>
    <t>Grandfathered</t>
  </si>
  <si>
    <t>Securitisation</t>
  </si>
  <si>
    <t>Memo box: securitisation</t>
  </si>
  <si>
    <t>Consistency check</t>
  </si>
  <si>
    <t xml:space="preserve">The flag in the "Supervisory information" worksheet is set to </t>
  </si>
  <si>
    <t>Empty cells in panel A2</t>
  </si>
  <si>
    <t>Country is already applying revised securitisation framework</t>
  </si>
  <si>
    <t>Deduction for securitisation gain on sale</t>
  </si>
  <si>
    <t>Empty cells in panel A3</t>
  </si>
  <si>
    <t>Deductions (for EU)</t>
  </si>
  <si>
    <t>Empty cells in panel B</t>
  </si>
  <si>
    <t>A. Securitisation exposures</t>
  </si>
  <si>
    <t>A.1 Current securitisation requirements (full portfolio)</t>
  </si>
  <si>
    <t>Total; of which:</t>
  </si>
  <si>
    <t>standardised approach</t>
  </si>
  <si>
    <t>IRB approaches</t>
  </si>
  <si>
    <t>A.2 Information on approaches</t>
  </si>
  <si>
    <t>Final standards</t>
  </si>
  <si>
    <t>RWA under SEC-SA</t>
  </si>
  <si>
    <t>Final standard</t>
  </si>
  <si>
    <t>Exposures (post CRM post CCF post substitution and net of provisions)</t>
  </si>
  <si>
    <t>of which: overlapping exposures</t>
  </si>
  <si>
    <t>Exposure amounts</t>
  </si>
  <si>
    <t>Corresponding RWA under the SEC-ERBA/
SEC-SA</t>
  </si>
  <si>
    <t>Corresponding RWA under SEC-SA only</t>
  </si>
  <si>
    <t>Check
RW above floor</t>
  </si>
  <si>
    <t>Check
RW≤1,250% 
(= for other assets)</t>
  </si>
  <si>
    <t>Check
RWA within range</t>
  </si>
  <si>
    <t>Check
RWA under final standards not equal to floor</t>
  </si>
  <si>
    <t>Non-STC securitisations; of which:</t>
  </si>
  <si>
    <t>internal ratings-based approach (SEC-IRBA)</t>
  </si>
  <si>
    <t>external ratings-based approach (SEC-ERBA)</t>
  </si>
  <si>
    <t>internal assessment approach (IAA)</t>
  </si>
  <si>
    <t>standardised approach (SEC-SA); of which:</t>
  </si>
  <si>
    <t>resecuritisation exposures</t>
  </si>
  <si>
    <t>STC securitisations; of which:</t>
  </si>
  <si>
    <t>standardised approach (SEC-SA)</t>
  </si>
  <si>
    <t>Others (1250% RW)</t>
  </si>
  <si>
    <t>of which: subject to the final standards</t>
  </si>
  <si>
    <t>Check: of which items should be less than the total</t>
  </si>
  <si>
    <t>Check: total RWA should not be higher than total reported in panel A1</t>
  </si>
  <si>
    <t>Of the non-STC securitisations: NPL securitisations; of which:</t>
  </si>
  <si>
    <t>NPL securitisations subject to CRE45.5</t>
  </si>
  <si>
    <t>Memo item: securitisation exposures reported in the banking book in regulatory reporting but no longer included above due to the application of the revised market risk framework definition of TB-BB boundary</t>
  </si>
  <si>
    <t>Memo item: securitisation exposures reported in the trading book in regulatory reporting that are included above due to the application of the revised market risk framework definition of TB-BB boundary</t>
  </si>
  <si>
    <t>A.3 EU: Information on deductions</t>
  </si>
  <si>
    <t xml:space="preserve">Securitisation exposures currently deducted: </t>
  </si>
  <si>
    <t>of which: internal ratings-based approach (SEC-IRBA)</t>
  </si>
  <si>
    <t>of which: external ratings-based approach (SEC-ERBA)</t>
  </si>
  <si>
    <t>of which: internal assessment approach (IAA)</t>
  </si>
  <si>
    <t>of which: standardised approach (SEC-SA)</t>
  </si>
  <si>
    <t>of which: Others (risk-weighted 1250%)</t>
  </si>
  <si>
    <t>Check: deductions reported in panel A3 less or equal than deductions reported in the Memo box</t>
  </si>
  <si>
    <t>B. Bank role</t>
  </si>
  <si>
    <t>Exposure post-CCF and post-CRM and net of provisions; of which:</t>
  </si>
  <si>
    <t>Deductions</t>
  </si>
  <si>
    <t>Total deductions</t>
  </si>
  <si>
    <t>risk-weighted 1250%</t>
  </si>
  <si>
    <t>SEC-IRBA</t>
  </si>
  <si>
    <t>SEC-ERBA</t>
  </si>
  <si>
    <t>IAA</t>
  </si>
  <si>
    <t>SEC-SA</t>
  </si>
  <si>
    <t>for securitisation gain on sale</t>
  </si>
  <si>
    <t>from Tier 1</t>
  </si>
  <si>
    <t>50/50 from 
Tier 1 and 
Tier 2</t>
  </si>
  <si>
    <t>Originator</t>
  </si>
  <si>
    <t>Investor</t>
  </si>
  <si>
    <t>Sponsor</t>
  </si>
  <si>
    <t>Check: "Total" panel A2 = "Total" panel B</t>
  </si>
  <si>
    <t>Check: "Deductions" in panel A3 = "Deductions" panel B</t>
  </si>
  <si>
    <t>Check: "Deduction for securitisation gain on sale"</t>
  </si>
  <si>
    <t>CCR and CVA</t>
  </si>
  <si>
    <t>Memo box CCR and CVA</t>
  </si>
  <si>
    <t>Effective flags</t>
  </si>
  <si>
    <t>Approaches for counterparty credit risk</t>
  </si>
  <si>
    <t>Derivative exposures</t>
  </si>
  <si>
    <t>SFT exposures</t>
  </si>
  <si>
    <t>Cross-product netting</t>
  </si>
  <si>
    <t>SA</t>
  </si>
  <si>
    <t>IRB</t>
  </si>
  <si>
    <t>IMM</t>
  </si>
  <si>
    <t>Other internal models (CA(OE), RepoVaR); of which:</t>
  </si>
  <si>
    <t>Non-internal models methods (SA-CCR/CEM/SM, CA(SH)); of which:</t>
  </si>
  <si>
    <t>Approaches for CVA</t>
  </si>
  <si>
    <t>Current approaches</t>
  </si>
  <si>
    <t>Panels to be filled under revised approaches</t>
  </si>
  <si>
    <t>Revised approaches</t>
  </si>
  <si>
    <t>A-CVA</t>
  </si>
  <si>
    <t>S-CVA</t>
  </si>
  <si>
    <t>B3c1, B3c4</t>
  </si>
  <si>
    <t>A. Exposures subject to counterparty credit risk</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</si>
  <si>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</si>
  <si>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</si>
  <si>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</si>
  <si>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r>
      <rPr>
        <b/>
        <sz val="10"/>
        <color rgb="FFFF0000"/>
        <rFont val="Segoe UI"/>
        <family val="2"/>
      </rPr>
      <t>EU banks only:</t>
    </r>
    <r>
      <rPr>
        <b/>
        <sz val="10"/>
        <color theme="1"/>
        <rFont val="Segoe UI"/>
        <family val="2"/>
      </rPr>
      <t xml:space="preserve">
Revised credit risk framework applying the revised rules to determine CCR exposures 
(internal models and standardised approaches)</t>
    </r>
  </si>
  <si>
    <r>
      <rPr>
        <b/>
        <sz val="10"/>
        <color rgb="FFFF0000"/>
        <rFont val="Segoe UI"/>
        <family val="2"/>
      </rPr>
      <t>EU banks only:</t>
    </r>
    <r>
      <rPr>
        <b/>
        <sz val="10"/>
        <color theme="1"/>
        <rFont val="Segoe UI"/>
        <family val="2"/>
      </rPr>
      <t xml:space="preserve">
CR SA approaches of revised credit risk framework using CCR SA approaches only for all transactions 
(SA-CCR, CA(SH))</t>
    </r>
  </si>
  <si>
    <t xml:space="preserve">Derivative exposures </t>
  </si>
  <si>
    <t xml:space="preserve">SFT exposures – Minimum Haircut Floor not applied </t>
  </si>
  <si>
    <t>Exposures</t>
  </si>
  <si>
    <t>Under IMM; of which:</t>
  </si>
  <si>
    <t>overcollateralised; of which:</t>
  </si>
  <si>
    <t>amounts using IRB to calculate RWA</t>
  </si>
  <si>
    <t>amounts using CR-SA to calculate RWA</t>
  </si>
  <si>
    <t>collateralised; of which:</t>
  </si>
  <si>
    <t>uncollateralised; of which:</t>
  </si>
  <si>
    <t>Under other internal models (CA(OE), RepoVaR); of which:</t>
  </si>
  <si>
    <t>Under non-internal models methods (SA-CCR/CEM/SM, CA(SH)); of which:</t>
  </si>
  <si>
    <t>All netting sets subject to CVA capital requirements and whose CCR capital requirement is calculated under the IRB approach, assuming the current treatment of the maturity adjustment factor</t>
  </si>
  <si>
    <t>All netting sets subject to CVA capital requirements and whose CCR capital requirement is calculated under the IRB approach, assuming cap of the maturity adjustment factor at 1 year is applied to all eligible netting sets</t>
  </si>
  <si>
    <t xml:space="preserve">Centrally cleared business; of which: </t>
  </si>
  <si>
    <t>own house trades</t>
  </si>
  <si>
    <t>client trades for which acting as clearing member</t>
  </si>
  <si>
    <t>Remarks</t>
  </si>
  <si>
    <t>Number of transactions that are subject to counterparty credit risk capital requirements as reported above</t>
  </si>
  <si>
    <t>Number of transactions that are subject to central clearing (house trades and client trades) as reported above</t>
  </si>
  <si>
    <t>For IMM banks only: Please provide your current level of alpha as used to determine exposures and RWA above</t>
  </si>
  <si>
    <t>For IRB banks only: Do you plan to apply the discretion of MAR50.12 to cap the maturity adjustment factor at 1year in the IRB formula for netting sets that are subject to the revised CVA capital requirements? If your answer is “Yes, for some eligible netting sets”, please provide further explanations regarding the reasons in either in the “Remarks” or a supplementary document.</t>
  </si>
  <si>
    <t>B. Credit valuation adjustments</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</si>
  <si>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</si>
  <si>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B.1 Size of the derivatives business</t>
  </si>
  <si>
    <t>Total non-centrally cleared derivatives notional amount</t>
  </si>
  <si>
    <t>Intention to use CCR capital requirement</t>
  </si>
  <si>
    <t>Possibility to use CCR capital requirement</t>
  </si>
  <si>
    <t>Calculation using CCR capital requirement</t>
  </si>
  <si>
    <t>B.2 Capital requirement under the current framework</t>
  </si>
  <si>
    <t>Capital requirement</t>
  </si>
  <si>
    <t>Of which:
derivatives only</t>
  </si>
  <si>
    <t>Advanced approach</t>
  </si>
  <si>
    <t>B.3 Capital requirement under the final Basel III framework</t>
  </si>
  <si>
    <t>B.3.a Capital requirement under the reduced BA-CVA approach</t>
  </si>
  <si>
    <t>Filled in consistent with flag settings</t>
  </si>
  <si>
    <t>K_Reduced (assuming hedges are not recognised)</t>
  </si>
  <si>
    <t>B.3.b Capital requirement under the full BA-CVA approach</t>
  </si>
  <si>
    <t>Check: K_reduced and K_hedged in panel 3b should be larger than 0 and not equal</t>
  </si>
  <si>
    <t>K_Hedged (assuming recognition of all eligible hedges)</t>
  </si>
  <si>
    <t>K_Full</t>
  </si>
  <si>
    <t>B.3.c Capital requirement under the SA-CVA approach</t>
  </si>
  <si>
    <t>B.3.c.1 Capital requirement for netting sets under the SA-CVA approach</t>
  </si>
  <si>
    <t>Delta risks</t>
  </si>
  <si>
    <t>Vega risks</t>
  </si>
  <si>
    <t>Total; of which:
derivatives only</t>
  </si>
  <si>
    <t>Interest rates</t>
  </si>
  <si>
    <t>Foreign exchange</t>
  </si>
  <si>
    <t>Counterparty credit spread</t>
  </si>
  <si>
    <t>Reference credit spread</t>
  </si>
  <si>
    <t>Equity</t>
  </si>
  <si>
    <t>Commodity</t>
  </si>
  <si>
    <t>B.3.c.2 Capital requirements for netting sets carved out that use the reduced BA-CVA approach</t>
  </si>
  <si>
    <t>B.3.c.3 Capital requirement for netting sets carved out that use the full BA-CVA approach</t>
  </si>
  <si>
    <t>Check: K_reduced and K_hedged in panel 3c3 should be larger than 0 and not equal</t>
  </si>
  <si>
    <t>B.3.c.4 Capital requirements of SA-CVA netting sets only re-calculated under BA-CVA</t>
  </si>
  <si>
    <t>B.3.d Capital requirement for counterparty credit risk</t>
  </si>
  <si>
    <t>Exposure amount</t>
  </si>
  <si>
    <t>Capital requirement (post multiplier)</t>
  </si>
  <si>
    <t>Current: Standardised approaches (CEM, SM, SA-CCR, CA(SA))</t>
  </si>
  <si>
    <t>Current: IMM</t>
  </si>
  <si>
    <t>Current: Other internal model approaches (Repo-VaR, CA(OE))</t>
  </si>
  <si>
    <t>Final: All approaches (SA-CCR, CA(SA), IMM, Repo-VaR)</t>
  </si>
  <si>
    <t>Final: internal models replaced by SA-CCR or CA(SH)</t>
  </si>
  <si>
    <t>B.3.e Overall capital requirement for CVA</t>
  </si>
  <si>
    <t>B.4 Questions</t>
  </si>
  <si>
    <t>Question</t>
  </si>
  <si>
    <t>Answer</t>
  </si>
  <si>
    <t>Q1. Do you include hedges that are eligible under the revised CVA framework already in the SA-CVA, respectively full BA-CVA calculation for the QIS purpose?</t>
  </si>
  <si>
    <t>Q2. If yes (answer 1 or 2) to Q-1, have you already excluded all these positions from revised market risk capital requirement calculation for the QIS purpose?</t>
  </si>
  <si>
    <t>Q3. If answer 3 (not yet) to Q-1, have you still included these positions (ie those that are not recognised yet in the revised CVA capital requirements) in the revised market risk capital requirement for the QIS purpose?</t>
  </si>
  <si>
    <t>Q4. If yes (answer 1 or 2) to Q-3, please provide the percentage of your revised market risk capital requirements (MR) that corresponds to these positions.</t>
  </si>
  <si>
    <t>Trading book</t>
  </si>
  <si>
    <t>A. Summary</t>
  </si>
  <si>
    <t>A.1 Minimum capital requirements</t>
  </si>
  <si>
    <t>Data available</t>
  </si>
  <si>
    <r>
      <t xml:space="preserve">B.1 Current market risk capital requirement (assuming </t>
    </r>
    <r>
      <rPr>
        <sz val="10"/>
        <color rgb="FFAA322F"/>
        <rFont val="Segoe UI"/>
        <family val="2"/>
      </rPr>
      <t>current</t>
    </r>
    <r>
      <rPr>
        <sz val="10"/>
        <rFont val="Segoe UI"/>
        <family val="2"/>
      </rPr>
      <t xml:space="preserve"> model approval status)</t>
    </r>
  </si>
  <si>
    <t>B.2 Revised market risk capital requirement, assuming…</t>
  </si>
  <si>
    <t>Current most reliable</t>
  </si>
  <si>
    <t>Current model approval status, all trading desks are in the BT and PLA test green zone</t>
  </si>
  <si>
    <t>Current model approval status, reflecting the consequences of failing BT and PLA test</t>
  </si>
  <si>
    <t>Intended model approval status, all trading desks are in the BT and PLA test green zone</t>
  </si>
  <si>
    <t>Intended model approval status, reflecting the consequences of failing BT and PLA test</t>
  </si>
  <si>
    <t>Revised market risk capital requirement (assuming SA for the global portfolio)</t>
  </si>
  <si>
    <t>A.2 IMA Backtesting P&amp;L</t>
  </si>
  <si>
    <t>Reported data</t>
  </si>
  <si>
    <t>Reporting dates</t>
  </si>
  <si>
    <t>Approach</t>
  </si>
  <si>
    <t>Number of desks</t>
  </si>
  <si>
    <t>SMM</t>
  </si>
  <si>
    <t>IMA</t>
  </si>
  <si>
    <t>B. Overall minimum capital requirements (8% RWA)</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</si>
  <si>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</si>
  <si>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r>
      <t xml:space="preserve">B.1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</si>
  <si>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</si>
  <si>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Capital requirement (regulatory reporting scope)</t>
  </si>
  <si>
    <t>Capital requirement (QIS scope)</t>
  </si>
  <si>
    <t>a. Standardised approach (SA), of which</t>
  </si>
  <si>
    <t>Interest rate risk, of which</t>
  </si>
  <si>
    <t>Total general interest rate risk</t>
  </si>
  <si>
    <t>Total specific interest rate risk, of which</t>
  </si>
  <si>
    <t>Non-securitisation instruments</t>
  </si>
  <si>
    <t>Securitisation instruments</t>
  </si>
  <si>
    <t>Correlation trading portfolio</t>
  </si>
  <si>
    <t>Additional requirements for option risks for debt instruments 
(non-delta risks)</t>
  </si>
  <si>
    <t>Equity position risk, of which</t>
  </si>
  <si>
    <t>Total general equity risk</t>
  </si>
  <si>
    <t>Total specific equity risk</t>
  </si>
  <si>
    <t>Additional requirements for option risks for equity instruments 
(non-delta risks)</t>
  </si>
  <si>
    <t>Foreign exchange risk, of which</t>
  </si>
  <si>
    <t>Total general foreign exchange risk</t>
  </si>
  <si>
    <t>Additional requirements for option risks for FX instruments 
(non-delta risks)</t>
  </si>
  <si>
    <t>Commodity risk, of which</t>
  </si>
  <si>
    <t>Total general commodity risk</t>
  </si>
  <si>
    <t>Additional requirements for option risks for commodity instruments 
(non-delta risks)</t>
  </si>
  <si>
    <t>b. Internal models approach (IMA), of which:</t>
  </si>
  <si>
    <r>
      <t xml:space="preserve">Internal models approach (VaR and SVaR-based measures), </t>
    </r>
    <r>
      <rPr>
        <b/>
        <sz val="10"/>
        <color theme="1"/>
        <rFont val="Segoe UI"/>
        <family val="2"/>
      </rPr>
      <t>actual capital requirement</t>
    </r>
  </si>
  <si>
    <r>
      <t>Current 10-day 99% value-at-risk (</t>
    </r>
    <r>
      <rPr>
        <b/>
        <sz val="10"/>
        <rFont val="Segoe UI"/>
        <family val="2"/>
      </rPr>
      <t>without</t>
    </r>
    <r>
      <rPr>
        <sz val="10"/>
        <color theme="1"/>
        <rFont val="Segoe UI"/>
        <family val="2"/>
      </rPr>
      <t xml:space="preserve"> applying the multiplier)</t>
    </r>
  </si>
  <si>
    <t>Check: positive VaR capital requirement requires VaR which is positive but smaller than the capital requirement</t>
  </si>
  <si>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</si>
  <si>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</si>
  <si>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Incremental risk charge</t>
  </si>
  <si>
    <t xml:space="preserve">Comprehensive risk measure </t>
  </si>
  <si>
    <t>Risks not in VaR</t>
  </si>
  <si>
    <t>c. Other</t>
  </si>
  <si>
    <t>Total capital requirement for market risk</t>
  </si>
  <si>
    <r>
      <t xml:space="preserve">B.2 Revised market risk capital requirement 
   </t>
    </r>
    <r>
      <rPr>
        <b/>
        <sz val="10"/>
        <color rgb="FFC00000"/>
        <rFont val="Segoe UI"/>
        <family val="2"/>
      </rPr>
      <t xml:space="preserve">No multiplier should be applied. </t>
    </r>
    <r>
      <rPr>
        <b/>
        <sz val="10"/>
        <rFont val="Segoe UI"/>
        <family val="2"/>
      </rPr>
      <t>Cells may be left blank only if you are unable to provide/calculate a measure. A zero should only be used if the calculation results in a null exposure.</t>
    </r>
  </si>
  <si>
    <t>Assuming current model approval status, assuming all trading desks are in the BT and PLA test green zone</t>
  </si>
  <si>
    <r>
      <t xml:space="preserve">Assuming current model approval status, </t>
    </r>
    <r>
      <rPr>
        <b/>
        <sz val="10"/>
        <color rgb="FFC00000"/>
        <rFont val="Segoe UI"/>
        <family val="2"/>
      </rPr>
      <t>reflecting the consequences of failing BT and PLA test</t>
    </r>
  </si>
  <si>
    <r>
      <t xml:space="preserve">Assuming </t>
    </r>
    <r>
      <rPr>
        <b/>
        <sz val="10"/>
        <color rgb="FFAA322F"/>
        <rFont val="Segoe UI"/>
        <family val="2"/>
      </rPr>
      <t>intended</t>
    </r>
    <r>
      <rPr>
        <b/>
        <sz val="10"/>
        <rFont val="Segoe UI"/>
        <family val="2"/>
      </rPr>
      <t xml:space="preserve"> model approval status, assuming all trading desks are in the BT and PLA test green zone</t>
    </r>
  </si>
  <si>
    <r>
      <t xml:space="preserve">Assuming </t>
    </r>
    <r>
      <rPr>
        <b/>
        <sz val="10"/>
        <color rgb="FFAA322F"/>
        <rFont val="Segoe UI"/>
        <family val="2"/>
      </rPr>
      <t>intended</t>
    </r>
    <r>
      <rPr>
        <b/>
        <sz val="10"/>
        <rFont val="Segoe UI"/>
        <family val="2"/>
      </rPr>
      <t xml:space="preserve"> model approval status,</t>
    </r>
    <r>
      <rPr>
        <b/>
        <sz val="10"/>
        <color rgb="FFAA322F"/>
        <rFont val="Segoe UI"/>
        <family val="2"/>
      </rPr>
      <t xml:space="preserve"> reflecting the consequences of failing BT and PLA test</t>
    </r>
  </si>
  <si>
    <t>∑(SES_k^2)</t>
  </si>
  <si>
    <t>∑(ISES_i ^2)</t>
  </si>
  <si>
    <t>a. Revised SA (inclusive of securitisations); of which:</t>
  </si>
  <si>
    <t>SBM capital requirement</t>
  </si>
  <si>
    <t>Delta</t>
  </si>
  <si>
    <t>General interest rate risk</t>
  </si>
  <si>
    <t>Credit spread risk</t>
  </si>
  <si>
    <t>Equity risk</t>
  </si>
  <si>
    <t>Commodity risk</t>
  </si>
  <si>
    <t>Foreign exchange risk</t>
  </si>
  <si>
    <t>Vega</t>
  </si>
  <si>
    <t>Curvature</t>
  </si>
  <si>
    <r>
      <t xml:space="preserve">Residual risk for </t>
    </r>
    <r>
      <rPr>
        <b/>
        <sz val="10"/>
        <rFont val="Segoe UI"/>
        <family val="2"/>
      </rPr>
      <t>prepayment</t>
    </r>
  </si>
  <si>
    <r>
      <t>Residual risk add-on (</t>
    </r>
    <r>
      <rPr>
        <b/>
        <sz val="10"/>
        <rFont val="Segoe UI"/>
        <family val="2"/>
      </rPr>
      <t>excluding prepayment</t>
    </r>
    <r>
      <rPr>
        <sz val="10"/>
        <rFont val="Segoe UI"/>
        <family val="2"/>
      </rPr>
      <t>)</t>
    </r>
  </si>
  <si>
    <t>Gap risk</t>
  </si>
  <si>
    <t>Correlation risk</t>
  </si>
  <si>
    <t>Behavioural risk</t>
  </si>
  <si>
    <t>Risk from an exotic underlying</t>
  </si>
  <si>
    <t>Default risk capital requirement</t>
  </si>
  <si>
    <t>b. Revised IMA, expected shortfall (exclusive of securitisations); of which:</t>
  </si>
  <si>
    <t>IMCC</t>
  </si>
  <si>
    <r>
      <t xml:space="preserve">At the trading book level (inclusive of </t>
    </r>
    <r>
      <rPr>
        <b/>
        <sz val="10"/>
        <color theme="1"/>
        <rFont val="Segoe UI"/>
        <family val="2"/>
      </rPr>
      <t>full diversification effects</t>
    </r>
    <r>
      <rPr>
        <sz val="10"/>
        <color theme="1"/>
        <rFont val="Segoe UI"/>
        <family val="2"/>
      </rPr>
      <t>)</t>
    </r>
  </si>
  <si>
    <t>At the risk class level:</t>
  </si>
  <si>
    <r>
      <t>Interest rate risk IMCC(C</t>
    </r>
    <r>
      <rPr>
        <vertAlign val="subscript"/>
        <sz val="10"/>
        <rFont val="Segoe UI"/>
        <family val="2"/>
      </rPr>
      <t>i</t>
    </r>
    <r>
      <rPr>
        <sz val="10"/>
        <rFont val="Segoe UI"/>
        <family val="2"/>
      </rPr>
      <t>)</t>
    </r>
  </si>
  <si>
    <t>10-day ES R, S: risk factors with liquidity horizon ≥ 10 days</t>
  </si>
  <si>
    <t>10-day ES R, S: risk factors with liquidity horizon ≥ 20 days</t>
  </si>
  <si>
    <t>10-day ES R, S: risk factors with liquidity horizon ≥ 40 days</t>
  </si>
  <si>
    <t>10-day ES R, S: risk factors with liquidity horizon ≥ 60 days</t>
  </si>
  <si>
    <t>Credit spread risk IMCC(Ci)</t>
  </si>
  <si>
    <t>10-day ES R, S: risk factors with liquidity horizon ≥ 120 days</t>
  </si>
  <si>
    <t>Equity risk IMCC(Ci)</t>
  </si>
  <si>
    <t>Commodity risk IMCC(Ci)</t>
  </si>
  <si>
    <t>Foreign exchange risk IMCC(Ci)</t>
  </si>
  <si>
    <t>SES; of which:</t>
  </si>
  <si>
    <t>Interest rate non-modellable risk factors</t>
  </si>
  <si>
    <t>Credit spread non-modellable risk factors (columns G and H for non-idiosyncratic SES)</t>
  </si>
  <si>
    <t>Equity non-modellable risk factors (columns G and H for non-idiosyncratic SES)</t>
  </si>
  <si>
    <t>Commodity non-modellable risk factors</t>
  </si>
  <si>
    <t>Foreign exchange non-modellable risk factors</t>
  </si>
  <si>
    <t>Internal models approach, default risk capital requirement</t>
  </si>
  <si>
    <t>c. Capital surcharge for amber desks</t>
  </si>
  <si>
    <t>d. Revised SA for all desks</t>
  </si>
  <si>
    <t>e. Revised SA for green (and amber) desks</t>
  </si>
  <si>
    <r>
      <t xml:space="preserve">B.3 Revised market risk framework </t>
    </r>
    <r>
      <rPr>
        <b/>
        <sz val="13"/>
        <rFont val="Arial"/>
        <family val="2"/>
      </rPr>
      <t>–</t>
    </r>
    <r>
      <rPr>
        <b/>
        <sz val="13"/>
        <rFont val="Segoe UI"/>
        <family val="2"/>
      </rPr>
      <t xml:space="preserve"> modelled desks analysis
</t>
    </r>
    <r>
      <rPr>
        <b/>
        <sz val="10"/>
        <color rgb="FFAA322F"/>
        <rFont val="Segoe UI"/>
        <family val="2"/>
      </rPr>
      <t xml:space="preserve">Applicable to IMA banks only. No multiplier should be applied. </t>
    </r>
    <r>
      <rPr>
        <b/>
        <sz val="10"/>
        <rFont val="Segoe UI"/>
        <family val="2"/>
      </rPr>
      <t xml:space="preserve">Cells may be left blank only if you are not able to provide/calculate a measure. A </t>
    </r>
    <r>
      <rPr>
        <b/>
        <sz val="10"/>
        <color rgb="FFAA322F"/>
        <rFont val="Segoe UI"/>
        <family val="2"/>
      </rPr>
      <t>zero</t>
    </r>
    <r>
      <rPr>
        <b/>
        <sz val="10"/>
        <rFont val="Segoe UI"/>
        <family val="2"/>
      </rPr>
      <t xml:space="preserve"> should only be used if the calculation results in a null exposure.</t>
    </r>
  </si>
  <si>
    <r>
      <t xml:space="preserve">a. IMA for modelled desks </t>
    </r>
    <r>
      <rPr>
        <b/>
        <sz val="10"/>
        <rFont val="Arial"/>
        <family val="2"/>
      </rPr>
      <t>–</t>
    </r>
    <r>
      <rPr>
        <b/>
        <sz val="10"/>
        <rFont val="Segoe UI"/>
        <family val="2"/>
      </rPr>
      <t xml:space="preserve"> applicable to IMA banks only</t>
    </r>
  </si>
  <si>
    <t>b. SA for modelled desks – applicable to IMA banks only</t>
  </si>
  <si>
    <t>SBM (delta, vega and curvature); of which:</t>
  </si>
  <si>
    <r>
      <t xml:space="preserve">Residual risk add-on Total (inclusive of </t>
    </r>
    <r>
      <rPr>
        <b/>
        <sz val="10"/>
        <color theme="1"/>
        <rFont val="Segoe UI"/>
        <family val="2"/>
      </rPr>
      <t>prepayment and other risks</t>
    </r>
    <r>
      <rPr>
        <sz val="10"/>
        <color theme="1"/>
        <rFont val="Segoe UI"/>
        <family val="2"/>
      </rPr>
      <t>)</t>
    </r>
  </si>
  <si>
    <t>Standardised approach, default risk capital requirement</t>
  </si>
  <si>
    <t>B.4 Securitisations (inclusive of hedges which, themselves, are not securitisations)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</si>
  <si>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</si>
  <si>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 Non-CTP</t>
  </si>
  <si>
    <t>Total current market risk capital requirement</t>
  </si>
  <si>
    <t>Total revised market risk capital requirement</t>
  </si>
  <si>
    <t>b. Non-CTP, STC</t>
  </si>
  <si>
    <t xml:space="preserve"> c. CTP</t>
  </si>
  <si>
    <t>Total current market risk capital requirement (inclusive of CRM)</t>
  </si>
  <si>
    <t>C. Trading desks</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</si>
  <si>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column G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I.</t>
    </r>
  </si>
  <si>
    <t>Desk number</t>
  </si>
  <si>
    <t>Unique desk ID</t>
  </si>
  <si>
    <t>Description 
(name internally used)</t>
  </si>
  <si>
    <t>Description 
(regulatory trading desk name)</t>
  </si>
  <si>
    <t>Current internal models permission</t>
  </si>
  <si>
    <t>Intended/forthcoming internal models permission</t>
  </si>
  <si>
    <t>Trading desk-level SA SbM + RRAO</t>
  </si>
  <si>
    <t>Trading desk-level
SA DRC requirement</t>
  </si>
  <si>
    <t>Trading desk-level IMCC requirement</t>
  </si>
  <si>
    <t>Trading desk-level
NMRF requirement</t>
  </si>
  <si>
    <t>Trading desk-level
 IMA DRC requirement</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</si>
  <si>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</si>
  <si>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</si>
  <si>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</si>
  <si>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</si>
  <si>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</si>
  <si>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</si>
  <si>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</si>
  <si>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</si>
  <si>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</si>
  <si>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</si>
  <si>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</si>
  <si>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</si>
  <si>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</si>
  <si>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</si>
  <si>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</si>
  <si>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</si>
  <si>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</si>
  <si>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</si>
  <si>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</si>
  <si>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</si>
  <si>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</si>
  <si>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</si>
  <si>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</si>
  <si>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</si>
  <si>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</si>
  <si>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</si>
  <si>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</si>
  <si>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</si>
  <si>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</si>
  <si>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</si>
  <si>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</si>
  <si>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</si>
  <si>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</si>
  <si>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</si>
  <si>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</si>
  <si>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</si>
  <si>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</si>
  <si>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</si>
  <si>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</si>
  <si>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</si>
  <si>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</si>
  <si>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</si>
  <si>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</si>
  <si>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</si>
  <si>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</si>
  <si>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</si>
  <si>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</si>
  <si>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</si>
  <si>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</si>
  <si>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</si>
  <si>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</si>
  <si>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</si>
  <si>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</si>
  <si>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</si>
  <si>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</si>
  <si>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</si>
  <si>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</si>
  <si>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</si>
  <si>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</si>
  <si>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</si>
  <si>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</si>
  <si>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</si>
  <si>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</si>
  <si>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</si>
  <si>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</si>
  <si>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</si>
  <si>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</si>
  <si>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</si>
  <si>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</si>
  <si>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</si>
  <si>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</si>
  <si>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</si>
  <si>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</si>
  <si>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</si>
  <si>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</si>
  <si>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</si>
  <si>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</si>
  <si>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</si>
  <si>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</si>
  <si>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</si>
  <si>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</si>
  <si>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</si>
  <si>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</si>
  <si>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</si>
  <si>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</si>
  <si>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</si>
  <si>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</si>
  <si>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</si>
  <si>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</si>
  <si>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</si>
  <si>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</si>
  <si>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</si>
  <si>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</si>
  <si>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</si>
  <si>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</si>
  <si>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</si>
  <si>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</si>
  <si>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</si>
  <si>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</si>
  <si>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</si>
  <si>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D. Questions</t>
  </si>
  <si>
    <t>Below questions to be answered using drop downs in Column C. Please provide any supplementary qualitative commentary in Column D</t>
  </si>
  <si>
    <r>
      <rPr>
        <b/>
        <sz val="10"/>
        <rFont val="Segoe UI"/>
        <family val="2"/>
      </rPr>
      <t>Default risk capital requirement (DRC)</t>
    </r>
    <r>
      <rPr>
        <sz val="10"/>
        <rFont val="Segoe UI"/>
        <family val="2"/>
      </rPr>
      <t xml:space="preserve">
For the purpose of this QIS, is your bank able to calculate and report the default risk capital (DRC) requirement under the January 2019 market risk framework standardised approach (SA)?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(eg proxy use).</t>
    </r>
  </si>
  <si>
    <t>If you selected “2: No” in Q-1, what did your bank report for SA DRC in this QIS?
• 1: Used a proxy. (Please describe the methodology in a supplementary qualitative document.)
• 2: Reported zero because the relevant default risk does not exist or is deemed immaterial for the portfolio.
• 3: Did not report a figure (ie left the cell blank)</t>
  </si>
  <si>
    <t>For the purpose of this QIS, is your bank able to calculate and report the DRC under the January 2019 market risk framework internal models approach (IMA)?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 3: Not applicable. Bank does not use IMA</t>
  </si>
  <si>
    <t>If you selected “2: No” in Q-3, what did your bank report for IMA DRC in this QIS?
• 1: Used a proxy. (Please describe the methodology in a supplementary qualitative document.)
• 2: Reported zero because the relevant default risk does not exist or is deemed immaterial for the portfolio.
• 3: Did not report a figure (ie left the cell blank).</t>
  </si>
  <si>
    <r>
      <rPr>
        <b/>
        <sz val="10"/>
        <rFont val="Segoe UI"/>
        <family val="2"/>
      </rPr>
      <t>Residual risk add-on (RRAO)</t>
    </r>
    <r>
      <rPr>
        <sz val="10"/>
        <rFont val="Segoe UI"/>
        <family val="2"/>
      </rPr>
      <t xml:space="preserve">
For the purpose of this QIS, is your bank able to calculate the residual risk add-on (RRAO) under the January 2019 market risk framework Standardised Approach (SA)?
• 1: Yes, bank is able to calculate RRAO for every risk type (gap risk, correlation risk, etc) consistent with the January 2019 market risk framework and reported accordingly.
• 2: No, bank is able to calculate the notional amount of products subject to RRAO, but unable to allocate the share of total RRAO to each risk type.
• 3: No, bank is unable to calculate the notional amount of products subject to RRAO</t>
    </r>
  </si>
  <si>
    <t>If you selected “2: No” in Q-5, how did your bank report the figure for the residual risk add-on in this QIS?
• 1: Assumed that all residual risks are with exotic underlying and applied a 1.0% multiplier to the notional.
• 2: Assumed that no residual risks are with exotic underlying and applied a 0.1% multiplier to the notional.
• 3: Reported zero because there is no residual risk (ie the notional amount is zero).
• 4: Did not report a figure (ie left the cell blank).</t>
  </si>
  <si>
    <t>For the purpose of this QIS, is your bank able to calculate all components of the SBM capital requirement (Delta, Vega and Curvature) using full revaluation methodology?
• 1: Yes, bank is able to calculate capital requirement of all components precisely.
• 2: No, bank is unable to calculate one or more sub-components for all or some positions or the calculation relies on approximations (eg Taylor expansion).
Note: If your answer is “2: No”, please list risk classes affected and corresponding methodology in a supplementary qualitative document.)</t>
  </si>
  <si>
    <t>For the purpose of this QIS, does the ES value reported include only eligible risk factors (ie risk factors deemed non-modellable are excluded from the calculation)?
• 1: Yes, only those risk factors that are modellable per January 2019 market risk framework are included in the ES calculation.
• 2: No, all risk factors currently included in the firm’s VaR model are also included in the ES calculation regardless of eligibility per MAR31.12 to MAR31.26. (Please describe in a supplementary qualitative document.)</t>
  </si>
  <si>
    <t>For the purpose of this QIS, is your bank able to calculate ES for FX allowing for triangulation of non-liquid currency pairs?
• 1: Yes, bank calculated ES directly using the shorter liquidity horizon (LH) where relevant.
• 2: No. (eg scaled down ES for FX status quo due to technical limitations) (Please describe the methodology in a supplementary qualitative document.)</t>
  </si>
  <si>
    <t>For the purpose of this QIS, is your bank able to apply the liquidity horizon adjustment defined in MAR33.4 (8) of the January 2019 market risk framework?
• 1: Yes, bank is able to apply a liquidity horizon adjustment consistent with the January 2019 market risk framework and reported accordingly.
• 2: No, bank assumed a constant 10-day liquidity horizon for all risk factors.
• 3: No, bank made other assumptions. (Please describe in a supplementary qualitative document.)</t>
  </si>
  <si>
    <t>For the purpose of this QIS, is your bank able to calculate the stressed Expected Shortfall using a reduced set of risk factors (ESR,S)?
• 1: Yes, bank is able to calculate ESR,S consistent with the January 2019 market risk framework and reported accordingly.
• 2: No, bank made other assumptions (eg full set of risk factors is used directly). (Please describe in a supplementary qualitative document.)</t>
  </si>
  <si>
    <t>For the purpose of this QIS, is your bank able to calculate the current Expected Shortfall using a full set of risk factors (ESF,C)?
• 1: Yes, bank is able to calculate ESF,C consistent with the January 2019 market risk framework and reported accordingly.
• 2: No, bank made other assumptions. (Please describe in a supplementary qualitative document.)
• 3: Not applicable. Bank calculated stressed Expected Shortfall directly using the full set of risk factors.</t>
  </si>
  <si>
    <t>For the purpose of this QIS, is your bank able to calculate the current Expected Shortfall using a reduced set of risk factors (ESR,C)?
• 1: Yes, bank is able to calculate ESR,C consistent with the January 2019 market risk framework and reported accordingly.
• 2: No, bank made other assumptions. (Please describe in a supplementary qualitative document.)
• 3: Not applicable (ie bank calculated stressed Expected Shortfall directly using the full set of risk factors).</t>
  </si>
  <si>
    <t>For the purpose of this QIS, is the stressed period used different from the current period (ie ESR,S ≠ ESR,C)?
• 1: Yes.
• 2: No. (Please describe in a supplementary qualitative document.)</t>
  </si>
  <si>
    <t>For the purpose of this QIS, is the stressed period used to calculate stressed Expected Shortfall different from the period of significant financial stress used to calibrate SVaR?
• 1: Yes.
• 2: No.</t>
  </si>
  <si>
    <t>For the purpose of this QIS, is your bank able to calculate the capital requirement for non-modellable risk factors (NMRF) in the IMA?
• 1: Yes, bank is able to calculate the SES for every NMRF consistent with the January 2019 market risk framework standard and reported accordingly.
• 2: No, bank is unable to calculate the SES for every NMRF per the January 2019 market risk framework standard.
• 3: Not applicable, because all risk factors are modellable as a result of the risk factor eligibility test (ie reported zero for all risk factors).
• 4: No, because the bank is unable to perform the risk factor eligibility test.</t>
  </si>
  <si>
    <t>If you selected “2: No” in Q-16, were you able to provide complete figures?
• 1: Yes, bank provided complete figures.
• 2: No, bank did not report a complete figure and left some or all cells blank. (Please describe the nature of the challenge in a supplementary qualitative document.)</t>
  </si>
  <si>
    <t>If you selected “2: No” in Q-16, how did your bank report the figure for SES in this QIS?
• 1: Used proxy methodology broadly based on the ES/Var/RNiV methodology.
• 2: Other methodologies. (Please describe in a supplementary qualitative document.)</t>
  </si>
  <si>
    <t>If you selected “2: No” in Q-16, to your best estimation, what would be the expected change in the total NMRF capital requirement was calculated consistent with January 2019 market risk framework standards? 
• 1: Generally unchanged.
• 2: Increase. (Please explain and, where possible, provide a quantitative estimate.)
• 3: Decrease. (Please explain and, where possible, provide a quantitative estimate.)</t>
  </si>
  <si>
    <t>How confident is your bank regarding the accuracy of the SES figures reported in this QIS?
• 1: Very confident. (Figures provided are indicative of the actual expected capital requirement.)
• 2: Reasonably confident (subject to some uncertainty).
• 3: Minimally confident (subject to significant uncertainty).
Note: If your answer is either “2: Reasonably confident” or “3: Minimally confident”, please describe the source of uncertainty in a supplementary document)</t>
  </si>
  <si>
    <t>Please select the modellability criteria applied to available price data in order to determine the scope of NMRF in this QIS.
• 1: Per January 2019 market risk framework text, (i) at least 24 observations per year with no 90-day period in which fewer than four real price observations are available or (ii) a minimum of 100 real price observations in the previous 12 months.
• 2: Assessing only whether at least 24 observations per year are available.
• 3: Other. (Please describe in a supplementary qualitative document.)</t>
  </si>
  <si>
    <t>Please select the price data used for modellability checks.
• 1: Own price data only.
• 2: Own price data and assumed benefit of data pooling.
• 3: Other. (Please describe in a supplementary qualitative document.)</t>
  </si>
  <si>
    <t>Is the granularity of risk factors used to determine the scope of NMRF the same as the granularity of pricing model used to calculate the ES?
• 1: Yes, consistent granularity is used for all risk factors.
• 2: No. (Please describe in a supplementary qualitative document.)</t>
  </si>
  <si>
    <t>Please select the methodology used to identify the Liquidity Horizon for each NMRF.
• 1: Consistent with the SES methodology (ie the greater of the LH specified in MAR33.12 and 20 days).
• 2: Applied supervisory LH specified in MAR33.12.
• 3: Other. (Please describe in a supplementary qualitative document.)</t>
  </si>
  <si>
    <t>Please select the stress scenario applied to NMRFs.
• 1: Consistent with the SES methodology (ie common 12-month stress period for risk factors in the same risk class) 
• 2: One stress scenario selected for all NMRFs.
• 3: Different stress scenarios selected per NMRF.
• 4: Other. (Please describe in a supplementary qualitative document.)</t>
  </si>
  <si>
    <t>Please select the correlation assumption applied in aggregating the NMRF capital requirement.
• 1: Consistent with the SES methodology in accordance to MAR33.17.
• 2: Other. (Please describe in a supplementary qualitative document.)</t>
  </si>
  <si>
    <t>For the purpose of this QIS, for modellable desks in panel B3, is the combined set of products in scope for NMRF and ES identical to the set of products in scope for SBM?
• 1: Yes.
• 2: No (eg there are risks that are captured by the NMRF framework but are absent from the SBM calculation of a corresponding risk class).
Note: If your answer is “2: No”, please describe the source of misalignment in a supplementary document.</t>
  </si>
  <si>
    <t>Please leave blank</t>
  </si>
  <si>
    <t>General Interest Rate Risk NMRF. For information purposes only, please provide the share of GIRR risk factors in the current portfolio that are, per January 2019 market risk framework, considered as NMRF relative to all GIRR risk factors under the IMA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</si>
  <si>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Credit Spread Risk NMRF. For information purposes only, please provide the share of CSR risk factors in the current portfolio that are, per January 2019 market risk framework, considered as NMRF relative to all CSR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</si>
  <si>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 xml:space="preserve">Equity Risk NMRF. For information purposes only, please provide the share of Equity risk factors in the current portfolio that are, per January 2019 market risk framework, considered as NMRF relative to all Equity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 </t>
  </si>
  <si>
    <t>Commodity Risk NMRF. For information purposes only, please provide the share of Commodity risk factors in the current portfolio that are, per January 2019 market risk framework, considered as NMRF relative to all Commodity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</si>
  <si>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Foreign Exchange Risk NMRF. For information purposes only, please provide the share of FX risk factors in the current portfolio that are, per January 2019 market risk framework, considered as NMRF relative to all FX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</si>
  <si>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r>
      <rPr>
        <b/>
        <sz val="10"/>
        <rFont val="Segoe UI"/>
        <family val="2"/>
      </rPr>
      <t>TB IMA Backtesting-P&amp;L</t>
    </r>
    <r>
      <rPr>
        <sz val="10"/>
        <rFont val="Segoe UI"/>
        <family val="2"/>
      </rPr>
      <t xml:space="preserve">
For the purpose of this QIS, is your bank able to calculate the 99% VaR for all trading desks in scope for the IMA?
• 1: Yes, bank is able to calculate the 99% VaR and reported accordingly.
• 2: No. (Please explain the nature of the challenge in a supplementary qualitative document.)</t>
    </r>
  </si>
  <si>
    <t>For the purpose of this QIS, is your bank able to calculate the 97.5% VaR for all trading desks in scope for the IMA?
• 1: Yes, bank is able to calculate the 97.5% VaR and reported accordingly.
• 2: No. (Please describe the nature of the challenge in a supplementary qualitative document.</t>
  </si>
  <si>
    <t>For the purpose of this QIS, is your bank able to calculate the 97.5% ES for all trading desks in scope for the IMA?
• 1: Yes, bank is able to calculate the 97.5% ES and reported accordingly.
• 2: No. (Please describe the nature of the challenge in a supplementary qualitative document.)</t>
  </si>
  <si>
    <t>For the purpose of this QIS, is your bank able to calculate p-values for all trading desks in scope for the IMA?
• 1: Yes, bank is able to calculate p-values consistent with the January 2019 market risk framework and reported accordingly.
• 2: Yes, bank is able to calculate p-values, but calculation reported deviates from the January 2019 market risk framework. (Please describe the nature of the deviation in a supplementary qualitative document.)
• 3: No, bank is unable to calculate p-values. (Please describe the nature of the challenge in a supplementary qualitative document.)</t>
  </si>
  <si>
    <t>For the purpose of this QIS, is your bank able to calculate Actual P&amp;L (APL) for all trading desks in scope for the IMA?
• 1: Yes, bank is able to calculate APL consistent with the January 2019 market risk framework and reported accordingly.
• 2: Yes, bank is able to calculate APL, but calculation reported deviates from the January 2019 market risk framework. (Please describe the nature of the deviation in a supplementary qualitative document.)
• 3: No, bank is unable to calculate APL. (Please describe the nature of the challenge in a supplementary qualitative document.</t>
  </si>
  <si>
    <t>For the purpose of this QIS, is your bank able to calculate Hypothetical P&amp;L (HPL) for all trading desks in scope for the IMA?
• 1: Yes, bank is able to calculate HPL consistent with the January 2019 market risk framework and reported accordingly.
• 2: Yes, bank is able to calculate HPL, but calculation reported deviates from the January 2019 market risk framework. (Please describe the nature of the deviation in a supplementary qualitative document.)
• 3: No, bank is unable to calculate HPL. (Please describe the nature of the challenge in a supplementary qualitative document.)</t>
  </si>
  <si>
    <t>For the purpose of this QIS with regard to TB IMA Backtesting-P&amp;L, is your bank able to calculate risk-theoretical P&amp;L (RTPL) for any trading desks in scope for the IMA?
• 1: Yes, bank is able to calculate RTPL consistent with the January 2019 market risk framework and reported accordingly.
• 2: Yes, bank is able to calculate RTPL, but calculation reported deviates from the January 2019 market risk framework standard. (Please describe the nature of the deviation in a supplementary qualitative document.)
• 3: No, bank is unable to calculate RTPL. (Please describe the nature of the challenge in a supplementary qualitative document.)</t>
  </si>
  <si>
    <t xml:space="preserve">Are data inputs for the bank’s risk management model and front-office pricing model identical? (ie do you use identical data for the purposes of calculating RTPL and HPL?)
• 1: Yes, they are identical for all desks. 
• 2: No, they are identical for some desks, but not all.
• 3: No, they are not identical for any desks. 
• 4: Not Applicable (Unable to calculate RTPL and/or HPL) </t>
  </si>
  <si>
    <t>For the purpose of this QIS, in case when the risk models and the front office pricing models use different input data (see MAR32.31), did your bank align risk theoretical P&amp;L (RTPL) input data for risk factors with the data used in hypothetical P&amp;L (HPL)?
• 1: Yes, the RTPL input data for risk factors were adjusted to be aligned with the HPL input data consistent with MAR32 of the January 2019 market risk framework standard. 
• 2: No, the bank used different, unaligned input data for RTPL and HPL. 
• 3: Not applicable, because there is no difference between the RTPL and HPL input data.</t>
  </si>
  <si>
    <t>Are the valuation engines in the bank’s risk management model and front-office pricing models identical? (ie do you use identical models for the purposes of calculating RTPL and HPL?)
• 1: Yes, they are identical for all desks.
• 2: No, they are identical for some desks, but not all. 
• 3: No, they are not identical for any desks. 
• 4: Not Applicable. (Unable to calculate RTPL and/or HPL</t>
  </si>
  <si>
    <t>Are the risk factors for the bank’s risk management model and front-office pricing model identical? (ie do you use an identical set of risk factors for the purposes of calculating RTPL and HPL?)
• 1: Yes, they are identical for all desks.
• 2: No, they are identical for some desks, but not all.
• 3: No, they are not identical for any desks. 
• 4: Not Applicable. (Unable to calculate RTPL and/or HPL)</t>
  </si>
  <si>
    <r>
      <rPr>
        <b/>
        <sz val="10"/>
        <rFont val="Segoe UI"/>
        <family val="2"/>
      </rPr>
      <t>Equity investments in funds</t>
    </r>
    <r>
      <rPr>
        <sz val="10"/>
        <rFont val="Segoe UI"/>
        <family val="2"/>
      </rPr>
      <t xml:space="preserve">
What percentage (by gross market value) of your overall trading book risk exposure consists of equity investments in funds or products whose payoffs are linked to these investments?
• 1: No equity investments in funds.
• 2: Between 0% and 5%.
• 3: Between 5% and 10%.
• 4: Between 10% and 20%.
• 5: Between 20% and 30%.
• 6: Between 30% and 40%.
• 7: Greater than 40%.</t>
    </r>
  </si>
  <si>
    <t>What percentage (by gross market value) of your equity investments in funds or products whose payoffs are linked to these investments falls under the Internal Models Approach?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</si>
  <si>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weekly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</si>
  <si>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monthly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</si>
  <si>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quarterly basis?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</si>
  <si>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revised Internal Models Approach?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</si>
  <si>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is placed in the “Other sector” bucket following MAR21.36(3)?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</si>
  <si>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MAR21.36(2)?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</si>
  <si>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MAR21.35(1)?
• 1: Not applicable (no equity investments in funds).
• 2: Exactly 0%.
• 3: Greater than 0% up to 20%.
• 4: Between 20% and 40%.
• 5: Between 40% and 60%.
• 6: Between 60% and 80%.
• 7: Between 80% and 100%.</t>
  </si>
  <si>
    <t>Trading book: SA risk class-level</t>
  </si>
  <si>
    <t>Summary tables</t>
  </si>
  <si>
    <t>Risk class</t>
  </si>
  <si>
    <t>Medium correlations</t>
  </si>
  <si>
    <t>High correlations</t>
  </si>
  <si>
    <t>Low correlations</t>
  </si>
  <si>
    <t>Selected correlation scenario</t>
  </si>
  <si>
    <t>SbM capital requirement under the selected scenario</t>
  </si>
  <si>
    <t>SbM capital requirements in TB worksheet, panel B2</t>
  </si>
  <si>
    <t xml:space="preserve">Check: 
Consistency with TB worksheet </t>
  </si>
  <si>
    <t>Recalculated SA capital requirement using components in TB and TB risk class</t>
  </si>
  <si>
    <t>Check: Consistency of global portfolio SA capital requirements</t>
  </si>
  <si>
    <t>Sign conventions</t>
  </si>
  <si>
    <t>Report quantities with their real sign: positive numbers as positive, negative numbers as negative.</t>
  </si>
  <si>
    <r>
      <t xml:space="preserve">Please note that if you see any </t>
    </r>
    <r>
      <rPr>
        <b/>
        <sz val="10"/>
        <rFont val="Segoe UI"/>
        <family val="2"/>
      </rPr>
      <t>blue cells,</t>
    </r>
    <r>
      <rPr>
        <sz val="10"/>
        <rFont val="Segoe UI"/>
        <family val="2"/>
      </rPr>
      <t xml:space="preserve"> you filled in one or two of the correlation scenario Kbs for the currency but not all three. Please fill in data for all three so that no </t>
    </r>
    <r>
      <rPr>
        <b/>
        <sz val="10"/>
        <rFont val="Segoe UI"/>
        <family val="2"/>
      </rPr>
      <t>blue cells</t>
    </r>
    <r>
      <rPr>
        <sz val="10"/>
        <rFont val="Segoe UI"/>
        <family val="2"/>
      </rPr>
      <t xml:space="preserve"> remain.</t>
    </r>
  </si>
  <si>
    <t>A. General interest rate risk</t>
  </si>
  <si>
    <t>Definition</t>
  </si>
  <si>
    <t>Was preferential risk weight applied to eligible currencies?</t>
  </si>
  <si>
    <t>Currency</t>
  </si>
  <si>
    <t>Delta risks
Kb</t>
  </si>
  <si>
    <t>Vega risks
Kb</t>
  </si>
  <si>
    <t>Curvature risks
Kb</t>
  </si>
  <si>
    <t>MediumCorr</t>
  </si>
  <si>
    <t>HighCorr</t>
  </si>
  <si>
    <t>LowCorr</t>
  </si>
  <si>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</si>
  <si>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</si>
  <si>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</si>
  <si>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</si>
  <si>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</si>
  <si>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</si>
  <si>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</si>
  <si>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</si>
  <si>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</si>
  <si>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</si>
  <si>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</si>
  <si>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</si>
  <si>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</si>
  <si>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</si>
  <si>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</si>
  <si>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</si>
  <si>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</si>
  <si>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</si>
  <si>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</si>
  <si>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</si>
  <si>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</si>
  <si>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</si>
  <si>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</si>
  <si>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</si>
  <si>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</si>
  <si>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</si>
  <si>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</si>
  <si>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</si>
  <si>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</si>
  <si>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</si>
  <si>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</si>
  <si>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</si>
  <si>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</si>
  <si>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</si>
  <si>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OTHER 1</t>
  </si>
  <si>
    <t>OTHER 2</t>
  </si>
  <si>
    <t>OTHER 3</t>
  </si>
  <si>
    <t>OTHER 4</t>
  </si>
  <si>
    <t>OTHER 5</t>
  </si>
  <si>
    <t>OTHER 6</t>
  </si>
  <si>
    <t>OTHER 7</t>
  </si>
  <si>
    <t>OTHER 8</t>
  </si>
  <si>
    <t>OTHER 9</t>
  </si>
  <si>
    <t>OTHER 10</t>
  </si>
  <si>
    <t>Total GIRR risk</t>
  </si>
  <si>
    <t>B. Credit spread risk: non-securitisations</t>
  </si>
  <si>
    <t>Bucket no</t>
  </si>
  <si>
    <t>Credit quality</t>
  </si>
  <si>
    <t>Sector</t>
  </si>
  <si>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</si>
  <si>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</si>
  <si>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</si>
  <si>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</si>
  <si>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</si>
  <si>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</si>
  <si>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</si>
  <si>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</si>
  <si>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</si>
  <si>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</si>
  <si>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</si>
  <si>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</si>
  <si>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</si>
  <si>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t>IG indices</t>
  </si>
  <si>
    <t>HY Indices</t>
  </si>
  <si>
    <t>Total CSR non-securitisations</t>
  </si>
  <si>
    <t>C. Credit spread risk: securitisations (non-CTP)</t>
  </si>
  <si>
    <t>Senior investment grade (IG)</t>
  </si>
  <si>
    <t>RMBS – Prime</t>
  </si>
  <si>
    <t>RMBS – Mid-Prime</t>
  </si>
  <si>
    <t>RMBS – Sub-Prime</t>
  </si>
  <si>
    <t>CMBS</t>
  </si>
  <si>
    <t>ABS – Student loans</t>
  </si>
  <si>
    <t>ABS – Credit cards</t>
  </si>
  <si>
    <t>ABS – Auto</t>
  </si>
  <si>
    <t>CLO non-correlation trading portfolio</t>
  </si>
  <si>
    <t>Non-senior Investment grade (IG)</t>
  </si>
  <si>
    <t>High yield (HY) &amp; non-rated (NR)</t>
  </si>
  <si>
    <t>Total CSR securitisations (non-CTP)</t>
  </si>
  <si>
    <t>D. Credit spread risk: securitisations (CTP)</t>
  </si>
  <si>
    <t>Current CTP and CRM capital requirements</t>
  </si>
  <si>
    <t>Panel D to be filled in?</t>
  </si>
  <si>
    <t>Total CSR securitisations (CTP)</t>
  </si>
  <si>
    <t>E. Equity risk</t>
  </si>
  <si>
    <t>Size</t>
  </si>
  <si>
    <t>Region</t>
  </si>
  <si>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</si>
  <si>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</si>
  <si>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</si>
  <si>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</si>
  <si>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</si>
  <si>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</si>
  <si>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</si>
  <si>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</si>
  <si>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</si>
  <si>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</si>
  <si>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t>Other sector; of which:</t>
  </si>
  <si>
    <t>involve equity investments in funds</t>
  </si>
  <si>
    <t>Large mkt cap, adv economy equity indices</t>
  </si>
  <si>
    <t>Other equity indices</t>
  </si>
  <si>
    <t>Total equity risk</t>
  </si>
  <si>
    <t>F. Commodity risk</t>
  </si>
  <si>
    <t>Coal</t>
  </si>
  <si>
    <t>Crude oil</t>
  </si>
  <si>
    <t>Electricity</t>
  </si>
  <si>
    <t>Freight</t>
  </si>
  <si>
    <t>Metals</t>
  </si>
  <si>
    <t>Natural gas</t>
  </si>
  <si>
    <t>Precious metals (incl gold)</t>
  </si>
  <si>
    <t>Grains &amp; oilseed</t>
  </si>
  <si>
    <t>Livestock &amp; dairy</t>
  </si>
  <si>
    <t>Softs and other agriculturals</t>
  </si>
  <si>
    <t>Other commodity</t>
  </si>
  <si>
    <t>Total commodity risk</t>
  </si>
  <si>
    <t>G. Foreign exchange risk</t>
  </si>
  <si>
    <t>Definition</t>
    <phoneticPr fontId="38"/>
  </si>
  <si>
    <t>Reporting currency</t>
  </si>
  <si>
    <t>Was preferential risk weight applied to eligible currency pairs?</t>
  </si>
  <si>
    <t>Reporting or base currency used</t>
  </si>
  <si>
    <t>Base currency (when the bank opts to use the base currency, ISO code)</t>
  </si>
  <si>
    <t>1.5 scalar applied to eligible curvature sensitivities?</t>
  </si>
  <si>
    <t>Curvature risks</t>
  </si>
  <si>
    <t>∑WS</t>
  </si>
  <si>
    <t>Is triangulation via liquid pairs applicable?</t>
  </si>
  <si>
    <t>Currency pair</t>
  </si>
  <si>
    <t>Kb</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</si>
  <si>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</si>
  <si>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</si>
  <si>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</si>
  <si>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</si>
  <si>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</si>
  <si>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</si>
  <si>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</si>
  <si>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</si>
  <si>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</si>
  <si>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</si>
  <si>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</si>
  <si>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</si>
  <si>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</si>
  <si>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</si>
  <si>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</si>
  <si>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</si>
  <si>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</si>
  <si>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</si>
  <si>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</si>
  <si>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</si>
  <si>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</si>
  <si>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ILLIQUID</t>
  </si>
  <si>
    <t>EUR / JPY</t>
  </si>
  <si>
    <t>ARS</t>
  </si>
  <si>
    <t>EUR / GBP</t>
  </si>
  <si>
    <t>BGN</t>
  </si>
  <si>
    <t>EUR / CHF</t>
  </si>
  <si>
    <t>EUR / ZAR</t>
  </si>
  <si>
    <t>EUR / LIQUID</t>
  </si>
  <si>
    <t>EUR / ILLIQUID</t>
  </si>
  <si>
    <t>JPY / AUD</t>
  </si>
  <si>
    <t>JPY / LIQUID</t>
  </si>
  <si>
    <t>KWD</t>
  </si>
  <si>
    <t>JPY / ILLIQUID</t>
  </si>
  <si>
    <t>CROSS LIQUID</t>
  </si>
  <si>
    <t>PHP</t>
  </si>
  <si>
    <t>CROSS ILLIQUID</t>
  </si>
  <si>
    <t>OTHER 11</t>
  </si>
  <si>
    <t>OTHER 12</t>
  </si>
  <si>
    <t>OTHER 13</t>
  </si>
  <si>
    <t>OTHER 14</t>
  </si>
  <si>
    <t>OTHER 15</t>
  </si>
  <si>
    <t>OTHER 16</t>
  </si>
  <si>
    <t>OTHER 17</t>
  </si>
  <si>
    <t>OTHER 18</t>
  </si>
  <si>
    <t>OTHER 19</t>
  </si>
  <si>
    <t>OTHER 20</t>
  </si>
  <si>
    <t>OTHER 21</t>
  </si>
  <si>
    <t>OTHER 22</t>
  </si>
  <si>
    <t>OTHER 23</t>
  </si>
  <si>
    <t>OTHER 24</t>
  </si>
  <si>
    <t>OTHER 25</t>
  </si>
  <si>
    <t>OTHER 26</t>
  </si>
  <si>
    <t>OTHER 27</t>
  </si>
  <si>
    <t>OTHER 28</t>
  </si>
  <si>
    <t>OTHER 29</t>
  </si>
  <si>
    <t>OTHER 30</t>
  </si>
  <si>
    <t>Total FX risk</t>
  </si>
  <si>
    <t>H. Default risk capital (DRC) requirement</t>
  </si>
  <si>
    <t>SA portfolio DRC from TB</t>
  </si>
  <si>
    <t>Check: Consistency TB and TB risk class</t>
  </si>
  <si>
    <t xml:space="preserve">Non-securitisation </t>
  </si>
  <si>
    <t xml:space="preserve">Corporates </t>
  </si>
  <si>
    <t>Local governments and municipalities</t>
  </si>
  <si>
    <t>Securitisation (non-CTP)</t>
  </si>
  <si>
    <t>Securitisation (CTP)</t>
  </si>
  <si>
    <t>H.1 DRC: non-securitisation exposures</t>
  </si>
  <si>
    <t>Has this national discretion choice been reflected in the calculations for the panel below?</t>
  </si>
  <si>
    <t>Credit quality category</t>
  </si>
  <si>
    <t>Net long JTD</t>
  </si>
  <si>
    <t>Net short JTD</t>
  </si>
  <si>
    <t>AAA</t>
  </si>
  <si>
    <t>AA</t>
  </si>
  <si>
    <t>BBB</t>
  </si>
  <si>
    <t>BB</t>
  </si>
  <si>
    <t>CCC</t>
  </si>
  <si>
    <t>Unrated</t>
  </si>
  <si>
    <t>Defaulted</t>
  </si>
  <si>
    <t>I. Memo panel equity investments in funds</t>
  </si>
  <si>
    <t>Reported above using the mandate-based approach</t>
  </si>
  <si>
    <t>Reported above using the index-based approach</t>
  </si>
  <si>
    <t>Reported above using the simplified standardised approach</t>
  </si>
  <si>
    <t>Capital requirement if the simplified standardised approach was used for all exposures</t>
  </si>
  <si>
    <t>Trading book revised internal models approach: Backtesting and P&amp;L</t>
  </si>
  <si>
    <r>
      <t>This worksheet gathers desk-level and firm-wide (ie top of the house) risk measures and backtesting data. Please note that trading desk information reflected in all panels are pulled from panel C in the ‘TB’ worksheet. As such it captures all desks regardless of modellability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</si>
  <si>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Intended/ forthcoming int. models permission</t>
  </si>
  <si>
    <t>T</t>
  </si>
  <si>
    <t>Date</t>
  </si>
  <si>
    <t>A. Risk measures</t>
  </si>
  <si>
    <t>A.1 1-day 99% VaR</t>
  </si>
  <si>
    <t>Firm-wide</t>
  </si>
  <si>
    <t>A.2 1-day 97.5% VaR</t>
  </si>
  <si>
    <t>A.3 1-day 97.5% ES</t>
  </si>
  <si>
    <t>A.4 P values</t>
  </si>
  <si>
    <t>B. P&amp;L</t>
  </si>
  <si>
    <t>B.1 Actual P&amp;L</t>
  </si>
  <si>
    <t>B.2 Hypothetical P&amp;L</t>
  </si>
  <si>
    <t>B.3 Risk-theoretical P&amp;L</t>
  </si>
  <si>
    <t>Cryptoassets</t>
  </si>
  <si>
    <t>Does your bank have cryptoassets or cryptoliabilities or provide cryptoasset custodial services?</t>
  </si>
  <si>
    <t>Worksheet to be filled in</t>
  </si>
  <si>
    <t>A. Cryptoassets exposures and activities</t>
  </si>
  <si>
    <t>Cryptoasset identifier</t>
  </si>
  <si>
    <t>Underlying cryptoasset or traditional asset (report the ticker or other identifier)</t>
  </si>
  <si>
    <t>Type of instrument</t>
  </si>
  <si>
    <t>Activity</t>
  </si>
  <si>
    <t>Classification conditions</t>
  </si>
  <si>
    <t>Credit risk exposures (including derivatives)</t>
  </si>
  <si>
    <t>Market risk exposures (including derivatives)</t>
  </si>
  <si>
    <t>CVA</t>
  </si>
  <si>
    <t>Infrastructure risk RWA add-on</t>
  </si>
  <si>
    <t>Group 2 exposure limit</t>
  </si>
  <si>
    <t>Cryptoasset liabilities</t>
  </si>
  <si>
    <t>Liquidity risk</t>
  </si>
  <si>
    <t>Accounting classification (amounts)</t>
  </si>
  <si>
    <t>Details on hedges</t>
  </si>
  <si>
    <t>Exposures that do not give rise to credit, market or liquidity risk requirements</t>
  </si>
  <si>
    <t>Cryptoasset ticker or other identifier
(use one row for each distinct activity in column H)</t>
  </si>
  <si>
    <t>If "other" is selected in column B, include cryptoasset ticker or identifier here</t>
  </si>
  <si>
    <t>Full name of the cryptoasset instrument or any other relevant information for its identification</t>
  </si>
  <si>
    <t>If "other" is selected in column F, include type of instrument here</t>
  </si>
  <si>
    <t>Does this activity result in the bank having cryptoasset exposures covered under the scope of the prudential treatment of cryptoassets?</t>
  </si>
  <si>
    <t>Additional information
(if needed)</t>
  </si>
  <si>
    <t>Condition 1</t>
  </si>
  <si>
    <t>If stablecoin</t>
  </si>
  <si>
    <t>Condition 2</t>
  </si>
  <si>
    <t>Condition 3</t>
  </si>
  <si>
    <t>Condition 4</t>
  </si>
  <si>
    <t>Is the cryptoasset based on a permissioned or permissionless network?</t>
  </si>
  <si>
    <t>Group allocation</t>
  </si>
  <si>
    <t>If relevant, explain why the cryptoasset has failed the classification conditions.</t>
  </si>
  <si>
    <t>Exposures (post-CCF, post-CRM)</t>
  </si>
  <si>
    <t>Current asset class classification</t>
  </si>
  <si>
    <t>Market value</t>
  </si>
  <si>
    <t>Current RWA</t>
  </si>
  <si>
    <t>RWA under cryptoasset framework</t>
  </si>
  <si>
    <t>Market risk approach</t>
  </si>
  <si>
    <t>RWA under the proposal</t>
  </si>
  <si>
    <t>Add-on percentage of exposures</t>
  </si>
  <si>
    <t>Additional RWA amount</t>
  </si>
  <si>
    <t>Aggregated exposures to Group 2 cryptoassets for the purpose of the Group 2 exposure limit</t>
  </si>
  <si>
    <t>Value on balance sheet</t>
  </si>
  <si>
    <t>HQLA treatment</t>
  </si>
  <si>
    <t>Crypto liabilities</t>
  </si>
  <si>
    <t>Available for sale</t>
  </si>
  <si>
    <t>Held-to-maturity</t>
  </si>
  <si>
    <t>Mark-to-market</t>
  </si>
  <si>
    <t>Intangible</t>
  </si>
  <si>
    <t>Provide a description on the type of hedging instruments used (eg futures, options etc)</t>
  </si>
  <si>
    <t>Does it pass the redemption test?</t>
  </si>
  <si>
    <t>Does it pass the supervision/ regulation test?</t>
  </si>
  <si>
    <t>Frequency of available information on value of reserve assets</t>
  </si>
  <si>
    <t>Assets under custody</t>
  </si>
  <si>
    <t>Any other cryptoasset exposure amounts not reported in columns U to AV or BG</t>
  </si>
  <si>
    <t>Long</t>
  </si>
  <si>
    <t>Short</t>
  </si>
  <si>
    <t>Amount used for calculating RWA</t>
  </si>
  <si>
    <t>Amount deducted from capital</t>
  </si>
  <si>
    <t>LCR cash inflows rate applied</t>
  </si>
  <si>
    <t>NSFR RSF factor applied</t>
  </si>
  <si>
    <t>LCR runoff rate applied</t>
  </si>
  <si>
    <t>NSFR ASF factor applied</t>
  </si>
  <si>
    <t>Sovereign exposures</t>
  </si>
  <si>
    <t>A. Direct and indirect sovereign exposures in the banking and trading book</t>
  </si>
  <si>
    <t>Direct exposures in the banking book</t>
  </si>
  <si>
    <t>Indirect exposures
in the banking book</t>
  </si>
  <si>
    <t xml:space="preserve">Trading book exposures </t>
  </si>
  <si>
    <t>Indirect exposures
in the trading book</t>
  </si>
  <si>
    <t>Indirect exposures through collateral subject to zero haircut</t>
  </si>
  <si>
    <t>Treated under SA (only)</t>
  </si>
  <si>
    <t>Treated under IRB (only)</t>
  </si>
  <si>
    <t>prior to CCF/CRM</t>
  </si>
  <si>
    <t>after CCF/CRM</t>
  </si>
  <si>
    <t>protected by these entities</t>
  </si>
  <si>
    <t>collateralised by instruments issued by these entities</t>
  </si>
  <si>
    <t>not subject to zero DRC</t>
  </si>
  <si>
    <t>subject to zero DRC</t>
  </si>
  <si>
    <t>Sovereigns and their central governments; of which:</t>
  </si>
  <si>
    <t>where the legal entity has the same domesticity of the consolidated group and that of the issuer and the exposure is denominated in the currency of the issuer</t>
  </si>
  <si>
    <t>where the legal entity has the same domesticity of the issuer but a different one to that of the consolidated group and the exposure is denominated in the currency of the issuer</t>
  </si>
  <si>
    <t>Central banks; of which:</t>
  </si>
  <si>
    <t>Non-central government public sector entities (PSEs); of which:</t>
  </si>
  <si>
    <t>Multilateral development banks (MDBs)</t>
  </si>
  <si>
    <t>B. Direct sovereign exposures in the banking book by rating buckets</t>
  </si>
  <si>
    <t>Exposure amount after CCF/CRM</t>
  </si>
  <si>
    <t>AAA to AA-</t>
  </si>
  <si>
    <t>Below B-</t>
  </si>
  <si>
    <r>
      <t xml:space="preserve">Currently treated under the standardised approach (SA) </t>
    </r>
    <r>
      <rPr>
        <b/>
        <sz val="10"/>
        <color rgb="FFC00000"/>
        <rFont val="Segoe UI"/>
        <family val="2"/>
      </rPr>
      <t>only</t>
    </r>
  </si>
  <si>
    <t>risk-weighted based on CRE20.8 (2023 version)</t>
  </si>
  <si>
    <t>risk-weighted based on CRE20.7, CRE20.9 or CRE20.10 (2023 versions)</t>
  </si>
  <si>
    <t>risk-weighted assets not attributable to CRE20.7–10 (2023 versions)</t>
  </si>
  <si>
    <t>Non-central government public sector entities (PSEs)</t>
  </si>
  <si>
    <t>risk-weighted based on CRE20.12</t>
  </si>
  <si>
    <t>risk-weighted based on CRE20.11 (2023 version) option 1 (based on sovereign rating)</t>
  </si>
  <si>
    <t>risk-weighted based on CRE20.11 (2023 version) option 2 (based on own rating)</t>
  </si>
  <si>
    <t>risk-weighted assets not attributable to CRE20.11 or CRE20.12 (2023 versions)</t>
  </si>
  <si>
    <t>risk-weighted based on CRE20.14 (2023 version)</t>
  </si>
  <si>
    <t>risk-weighted based on CRE20.15 (2023 version)</t>
  </si>
  <si>
    <t>risk-weighted assets not attributable to CRE20.14 or CRE20.15  (2023 versions)</t>
  </si>
  <si>
    <r>
      <t xml:space="preserve">Currently treated under the internal ratings-based approach (IRB) </t>
    </r>
    <r>
      <rPr>
        <b/>
        <sz val="10"/>
        <color rgb="FFC00000"/>
        <rFont val="Segoe UI"/>
        <family val="2"/>
      </rPr>
      <t>only</t>
    </r>
  </si>
  <si>
    <t>Sovereign exposure attributed to the "sovereign" class; of which:</t>
  </si>
  <si>
    <t>sovereigns and their central governments</t>
  </si>
  <si>
    <t>central banks</t>
  </si>
  <si>
    <t>non-central government PSEs treated based on CRE20.12 (2023 version) under the SA</t>
  </si>
  <si>
    <t>MDBs eligible for 0% risk weight under the SA</t>
  </si>
  <si>
    <t>Sovereign exposure attributed to the "bank" class; of which:</t>
  </si>
  <si>
    <r>
      <t xml:space="preserve">non-central government PSEs </t>
    </r>
    <r>
      <rPr>
        <b/>
        <sz val="10"/>
        <color rgb="FFC00000"/>
        <rFont val="Segoe UI"/>
        <family val="2"/>
      </rPr>
      <t>not</t>
    </r>
    <r>
      <rPr>
        <sz val="10"/>
        <rFont val="Segoe UI"/>
        <family val="2"/>
      </rPr>
      <t xml:space="preserve"> treated based on CRE20.12 (2023 version) under the SA</t>
    </r>
  </si>
  <si>
    <r>
      <t xml:space="preserve">MDBs </t>
    </r>
    <r>
      <rPr>
        <b/>
        <sz val="10"/>
        <color rgb="FFC00000"/>
        <rFont val="Segoe UI"/>
        <family val="2"/>
      </rPr>
      <t>not</t>
    </r>
    <r>
      <rPr>
        <sz val="10"/>
        <rFont val="Segoe UI"/>
        <family val="2"/>
      </rPr>
      <t xml:space="preserve"> eligible for 0% risk weight under the SA</t>
    </r>
  </si>
  <si>
    <t>C. Sovereign exposures by jurisdictions and accounting classification</t>
  </si>
  <si>
    <r>
      <t xml:space="preserve">Carrying amount </t>
    </r>
    <r>
      <rPr>
        <b/>
        <sz val="10"/>
        <color rgb="FFC00000"/>
        <rFont val="Segoe UI"/>
        <family val="2"/>
      </rPr>
      <t>towards</t>
    </r>
    <r>
      <rPr>
        <b/>
        <sz val="10"/>
        <rFont val="Segoe UI"/>
        <family val="2"/>
      </rPr>
      <t xml:space="preserve"> central governments</t>
    </r>
  </si>
  <si>
    <r>
      <t xml:space="preserve">Carrying amount </t>
    </r>
    <r>
      <rPr>
        <b/>
        <sz val="10"/>
        <color rgb="FFC00000"/>
        <rFont val="Segoe UI"/>
        <family val="2"/>
      </rPr>
      <t>towards</t>
    </r>
    <r>
      <rPr>
        <b/>
        <sz val="10"/>
        <rFont val="Segoe UI"/>
        <family val="2"/>
      </rPr>
      <t xml:space="preserve"> central banks</t>
    </r>
  </si>
  <si>
    <r>
      <t xml:space="preserve">Carrying amount </t>
    </r>
    <r>
      <rPr>
        <b/>
        <sz val="10"/>
        <color rgb="FFC00000"/>
        <rFont val="Segoe UI"/>
        <family val="2"/>
      </rPr>
      <t>towards</t>
    </r>
    <r>
      <rPr>
        <b/>
        <sz val="10"/>
        <rFont val="Segoe UI"/>
        <family val="2"/>
      </rPr>
      <t xml:space="preserve"> non-central government PSEs</t>
    </r>
  </si>
  <si>
    <t>of which: 
Financial assets held for trading or designated at fair value</t>
  </si>
  <si>
    <t>of which: 
Financial assets at amortised cost</t>
  </si>
  <si>
    <t>Argentina</t>
  </si>
  <si>
    <t>Australia</t>
  </si>
  <si>
    <t>Belgium</t>
  </si>
  <si>
    <t>Brazil</t>
  </si>
  <si>
    <t>Canada</t>
  </si>
  <si>
    <t>Chile</t>
  </si>
  <si>
    <t>China</t>
  </si>
  <si>
    <t>European Union / ECB</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</si>
  <si>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</si>
  <si>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</si>
  <si>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</si>
  <si>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</si>
  <si>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</si>
  <si>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</si>
  <si>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</si>
  <si>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</si>
  <si>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</si>
  <si>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</si>
  <si>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</si>
  <si>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</si>
  <si>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</si>
  <si>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</si>
  <si>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</si>
  <si>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</si>
  <si>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</si>
  <si>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</si>
  <si>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</si>
  <si>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</si>
  <si>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</si>
  <si>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</si>
  <si>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</si>
  <si>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Other</t>
  </si>
  <si>
    <t>D. Sovereign exposures by eligibility as high quality liquid asset (HQLA) and accounting classification</t>
  </si>
  <si>
    <r>
      <t xml:space="preserve">Eligible as HQLA </t>
    </r>
    <r>
      <rPr>
        <b/>
        <sz val="10"/>
        <color rgb="FFC00000"/>
        <rFont val="Segoe UI"/>
        <family val="2"/>
      </rPr>
      <t>Level 1</t>
    </r>
    <r>
      <rPr>
        <b/>
        <sz val="10"/>
        <rFont val="Segoe UI"/>
        <family val="2"/>
      </rPr>
      <t xml:space="preserve"> assets</t>
    </r>
  </si>
  <si>
    <r>
      <t xml:space="preserve">Eligible as HQLA </t>
    </r>
    <r>
      <rPr>
        <b/>
        <sz val="10"/>
        <color rgb="FFC00000"/>
        <rFont val="Segoe UI"/>
        <family val="2"/>
      </rPr>
      <t>Level 2A</t>
    </r>
    <r>
      <rPr>
        <b/>
        <sz val="10"/>
        <rFont val="Segoe UI"/>
        <family val="2"/>
      </rPr>
      <t xml:space="preserve"> assets</t>
    </r>
  </si>
  <si>
    <r>
      <t xml:space="preserve">Eligible as HQLA </t>
    </r>
    <r>
      <rPr>
        <b/>
        <sz val="10"/>
        <color rgb="FFC00000"/>
        <rFont val="Segoe UI"/>
        <family val="2"/>
      </rPr>
      <t>Level 2B</t>
    </r>
    <r>
      <rPr>
        <b/>
        <sz val="10"/>
        <rFont val="Segoe UI"/>
        <family val="2"/>
      </rPr>
      <t xml:space="preserve"> assets</t>
    </r>
  </si>
  <si>
    <t>Amount / market value</t>
  </si>
  <si>
    <t>Carrying amount</t>
  </si>
  <si>
    <t>where the legal entity has the same domesticity of the issuer but a different to that of the consolidated group and the exposure is denominated in the currency of the issuer</t>
  </si>
  <si>
    <t>Multilateral development banks (MDBs) and eligible international organisations</t>
  </si>
  <si>
    <r>
      <t xml:space="preserve">Year </t>
    </r>
    <r>
      <rPr>
        <sz val="10"/>
        <rFont val="Segoe UI"/>
        <family val="2"/>
      </rPr>
      <t>(adjust year of latest financial year-end if different from calendar year)</t>
    </r>
  </si>
  <si>
    <t>A. Balance sheet and other items</t>
  </si>
  <si>
    <t>Total assets</t>
  </si>
  <si>
    <t>of which: interest-earning assets (including lease assets)</t>
  </si>
  <si>
    <t>B. Income statement</t>
  </si>
  <si>
    <t>Gross income</t>
  </si>
  <si>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</si>
  <si>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</si>
  <si>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r>
      <t xml:space="preserve">Interest expenses </t>
    </r>
    <r>
      <rPr>
        <sz val="10"/>
        <color rgb="FFC00000"/>
        <rFont val="Segoe UI"/>
        <family val="2"/>
      </rPr>
      <t>(including financial and operational lease)</t>
    </r>
    <r>
      <rPr>
        <sz val="10"/>
        <rFont val="Segoe UI"/>
        <family val="2"/>
      </rPr>
      <t>; of which:</t>
    </r>
  </si>
  <si>
    <t>Expenses from financial and operational lease</t>
  </si>
  <si>
    <t>Absolute value of net interest income (including financial and operational lease)</t>
  </si>
  <si>
    <t>Dividend income</t>
  </si>
  <si>
    <t>Fee and commission income</t>
  </si>
  <si>
    <t>Fee and commission expenses</t>
  </si>
  <si>
    <t>Net profit (loss) on financial operations (trading book)</t>
  </si>
  <si>
    <t>Net profit (loss) on financial operations (non-trading book)</t>
  </si>
  <si>
    <r>
      <t>Other operating income</t>
    </r>
    <r>
      <rPr>
        <sz val="10"/>
        <color rgb="FFC00000"/>
        <rFont val="Segoe UI"/>
        <family val="2"/>
      </rPr>
      <t xml:space="preserve"> (except for financial and operating lease)</t>
    </r>
  </si>
  <si>
    <t>Net adjustments to gross income</t>
  </si>
  <si>
    <r>
      <t>Other operating expenses</t>
    </r>
    <r>
      <rPr>
        <sz val="10"/>
        <color rgb="FFC00000"/>
        <rFont val="Segoe UI"/>
        <family val="2"/>
      </rPr>
      <t xml:space="preserve"> (except for financial and operational lease)</t>
    </r>
  </si>
  <si>
    <t>C. Operational risk losses whole bank (according to relevant financial year-end)</t>
  </si>
  <si>
    <t>Data available (thresholds in EUR)</t>
  </si>
  <si>
    <t>Yes, also losses ≥ 100k</t>
  </si>
  <si>
    <t>Loss events netting ≥ EUR 20,000</t>
  </si>
  <si>
    <t>Total amount of gross losses</t>
  </si>
  <si>
    <t>Total amount of loss recoveries</t>
  </si>
  <si>
    <t>of which: insurance recoveries</t>
  </si>
  <si>
    <t>Total amount of net losses</t>
  </si>
  <si>
    <t>Number of loss events contributing to total gross losses</t>
  </si>
  <si>
    <t>Number of loss events in the ten year window</t>
  </si>
  <si>
    <t>Total amount of net losses qualifying for exclusion (per supervisory approval)</t>
  </si>
  <si>
    <t>Total net losses after exclusion of qualifying losses</t>
  </si>
  <si>
    <t>Number of loss events qualifying for exclusion in the ten year window (per supervisory approval)</t>
  </si>
  <si>
    <t>Loss events netting ≥ EUR 100,000</t>
  </si>
  <si>
    <t xml:space="preserve">of which: insurance recoveries </t>
  </si>
  <si>
    <t>D. Standardised approach component calculations</t>
  </si>
  <si>
    <t>Interest, leases and dividend component (ILDC)</t>
  </si>
  <si>
    <t>Services component (SC)</t>
  </si>
  <si>
    <t>Financial Component (FC)</t>
  </si>
  <si>
    <t>Business Indicator (BI)</t>
  </si>
  <si>
    <t>Bucket</t>
  </si>
  <si>
    <t>BI Component (BIC)</t>
  </si>
  <si>
    <t>BI gross of excluded divested activities (per supervisory approval) or other adjustments</t>
  </si>
  <si>
    <t>Reduction in BI due to excluded divested activities</t>
  </si>
  <si>
    <t>Loss Component (LC); based on average total losses:</t>
  </si>
  <si>
    <t xml:space="preserve"> ≥ EUR 20,000</t>
  </si>
  <si>
    <t xml:space="preserve"> ≥ EUR 100,000</t>
  </si>
  <si>
    <t>Internal Loss Multiplier (ILM):</t>
  </si>
  <si>
    <t>based on average total losses ≥ EUR 20,000</t>
  </si>
  <si>
    <t xml:space="preserve"> based on average total losses ≥ EUR 100,000</t>
  </si>
  <si>
    <t>Standardised approach; based on average total losses:</t>
  </si>
  <si>
    <t xml:space="preserve"> With ILM set to 1</t>
  </si>
  <si>
    <t>Loss threshold used in calculation</t>
  </si>
  <si>
    <t>E. Risk-weighted assets at the reporting date</t>
  </si>
  <si>
    <t>E.1 Current framework RWA</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</si>
  <si>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</si>
  <si>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Basic Indicator Approach (BIA)</t>
  </si>
  <si>
    <t>Standardised Approach (TSA)</t>
  </si>
  <si>
    <t>Alternative Standardised Approach (ASA)</t>
  </si>
  <si>
    <t>Advanced Measurement Approach (AMA)</t>
  </si>
  <si>
    <t>new Standardised Approach (SA)</t>
  </si>
  <si>
    <t>Check: new SA should generally not be combined with other approaches</t>
  </si>
  <si>
    <t>Regulatory add-ons; of which:</t>
  </si>
  <si>
    <r>
      <t xml:space="preserve">Other </t>
    </r>
    <r>
      <rPr>
        <sz val="10"/>
        <color rgb="FFAA322F"/>
        <rFont val="Segoe UI"/>
        <family val="2"/>
      </rPr>
      <t>(non-specific to any approach)</t>
    </r>
  </si>
  <si>
    <t>Check: new SA add-ons should generally not be combined with other approaches</t>
  </si>
  <si>
    <t>E.2 Final framework</t>
  </si>
  <si>
    <t>RWA for the standardised approach</t>
  </si>
  <si>
    <t>Regulatory add-ons</t>
  </si>
  <si>
    <t>Parameters</t>
  </si>
  <si>
    <t>A. Version</t>
  </si>
  <si>
    <t>Version</t>
  </si>
  <si>
    <t>B. Definition of capital and provisioning</t>
  </si>
  <si>
    <t>B.1 Reporting discretion definition of capital</t>
  </si>
  <si>
    <t>Provide 2022 national implementation</t>
  </si>
  <si>
    <t>Provide 2022 Basel III pure</t>
  </si>
  <si>
    <t>B.2 Information on provisions</t>
  </si>
  <si>
    <t>General provisions eligible for inclusion in Tier 2 capital related to defaulted exposures and past-due loans for more than 90 days</t>
  </si>
  <si>
    <t xml:space="preserve">General provisions eligible for inclusion in Tier 2 capital related to exposures other than defaulted exposures and past-due loans for more than 90 days </t>
  </si>
  <si>
    <t>DTA: deduction treatment (threshold vs full deductions)</t>
  </si>
  <si>
    <t>Threshold deduction</t>
  </si>
  <si>
    <t>C. National discretion items liquidity</t>
  </si>
  <si>
    <t>C.1 NSFR RSF on-balance sheet items</t>
  </si>
  <si>
    <t>C.2 NSFR RSF off-balance sheet items</t>
  </si>
  <si>
    <t>D. National discretion items on standardised approach to credit risk</t>
  </si>
  <si>
    <t>External ratings allowed</t>
  </si>
  <si>
    <t>Loan splitting approach</t>
  </si>
  <si>
    <t>Risk weight</t>
  </si>
  <si>
    <t>Currency mismatch</t>
  </si>
  <si>
    <t>Exposures to sovereigns</t>
  </si>
  <si>
    <t>Exposures to PSEs treated as sovereigns as per CRE20.9</t>
  </si>
  <si>
    <t>Exposures to other PSEs</t>
  </si>
  <si>
    <t>Exposures to MDBs</t>
  </si>
  <si>
    <t>SCRA (long term); of which:</t>
  </si>
  <si>
    <t>SCRA (short term); of which:</t>
  </si>
  <si>
    <t>rated; of which:</t>
  </si>
  <si>
    <t>Corporates (excluding SME); of which:</t>
  </si>
  <si>
    <t>Corporates (excluding SME) - rating allowed; of which:</t>
  </si>
  <si>
    <t>Corporates (excluding SME) - rating not allowed; of which:</t>
  </si>
  <si>
    <t>rated (only for jurisdictions very rating is allowed)</t>
  </si>
  <si>
    <t>Subordinated debt, capital instruments other than equity 
and other TLAC liabilities not deducted from capital</t>
  </si>
  <si>
    <t>equity investment in funds (mandate based approach)</t>
  </si>
  <si>
    <t>regulatory retail</t>
  </si>
  <si>
    <t>General residential real estate; of which:</t>
  </si>
  <si>
    <t>General commercial real estate; of which:</t>
  </si>
  <si>
    <r>
      <t xml:space="preserve">LTV </t>
    </r>
    <r>
      <rPr>
        <sz val="10"/>
        <color indexed="8"/>
        <rFont val="Arial"/>
        <family val="2"/>
      </rPr>
      <t>≤</t>
    </r>
    <r>
      <rPr>
        <sz val="10"/>
        <color indexed="8"/>
        <rFont val="Segoe UI"/>
        <family val="2"/>
      </rPr>
      <t xml:space="preserve"> 60%</t>
    </r>
  </si>
  <si>
    <t>Income producing residential real estate; of which:</t>
  </si>
  <si>
    <t>Income producing commercial real estate; of which:</t>
  </si>
  <si>
    <t>Land acquisition, development and construction; of which:</t>
  </si>
  <si>
    <t>loan to company</t>
  </si>
  <si>
    <t>residential ADC loan</t>
  </si>
  <si>
    <t>Failed trades and Non-DVP transactions</t>
  </si>
  <si>
    <t>E. National discretion items on market risk</t>
  </si>
  <si>
    <t>Are claims on sovereigns, public sector entities and multilateral development banks expected to be subject to a zero default risk weight per the national discretion in MAR22.7?</t>
  </si>
  <si>
    <t>F. National discretion items on operational risk</t>
  </si>
  <si>
    <t>Operational risk loss threshold for banks in buckets 2 and 3</t>
  </si>
  <si>
    <t>EUR 20,000</t>
  </si>
  <si>
    <t>Inclusion of internal loss data allowed for bucket 1 banks</t>
  </si>
  <si>
    <t>G. National discretion items on output floor</t>
  </si>
  <si>
    <t>Phase-in output floor</t>
  </si>
  <si>
    <t>H. Drop-down menus</t>
  </si>
  <si>
    <t>Yes/No/unknown</t>
  </si>
  <si>
    <t>Unknown</t>
  </si>
  <si>
    <t>Yes/No/NA</t>
  </si>
  <si>
    <t>Unit</t>
  </si>
  <si>
    <t>One</t>
  </si>
  <si>
    <t>Thousands</t>
  </si>
  <si>
    <t>Millions</t>
  </si>
  <si>
    <t>CCR OTC</t>
  </si>
  <si>
    <t>CEM</t>
  </si>
  <si>
    <t>Standardised</t>
  </si>
  <si>
    <t>CCR SFT</t>
  </si>
  <si>
    <t>Supervisory haircuts</t>
  </si>
  <si>
    <t>Own estimates</t>
  </si>
  <si>
    <t>Repo VaR</t>
  </si>
  <si>
    <t>FIRB</t>
  </si>
  <si>
    <t>AIRB</t>
  </si>
  <si>
    <t>Credit risk equity</t>
  </si>
  <si>
    <t>PD/LGD</t>
  </si>
  <si>
    <t>Market-based</t>
  </si>
  <si>
    <t>OpRisk</t>
  </si>
  <si>
    <t>BIA</t>
  </si>
  <si>
    <t>TSA</t>
  </si>
  <si>
    <t>ASA</t>
  </si>
  <si>
    <t>AMA</t>
  </si>
  <si>
    <t>OpRisk loss threshold</t>
  </si>
  <si>
    <t>EUR 100,000</t>
  </si>
  <si>
    <t>ILM = 1</t>
  </si>
  <si>
    <t>Basel I/Basel II</t>
  </si>
  <si>
    <t>Basel I</t>
  </si>
  <si>
    <t>Basel II</t>
  </si>
  <si>
    <t>Accounting</t>
  </si>
  <si>
    <t>IFRS</t>
  </si>
  <si>
    <t>US GAAP</t>
  </si>
  <si>
    <t>Other national accounting standard</t>
  </si>
  <si>
    <t>Mutual / cooperative</t>
  </si>
  <si>
    <t>Other non-joint stock company</t>
  </si>
  <si>
    <t>Bank type numeric</t>
  </si>
  <si>
    <t>DTA: Deduction treatment</t>
  </si>
  <si>
    <t>Full deduction</t>
  </si>
  <si>
    <t>Leverage ratio panel M frequency</t>
  </si>
  <si>
    <t>daily</t>
  </si>
  <si>
    <t>weekly</t>
  </si>
  <si>
    <t>monthly</t>
  </si>
  <si>
    <t>other</t>
  </si>
  <si>
    <t>List of regulatory trading desks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</si>
  <si>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</si>
  <si>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</si>
  <si>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</si>
  <si>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</si>
  <si>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</si>
  <si>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</si>
  <si>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</si>
  <si>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</si>
  <si>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</si>
  <si>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</si>
  <si>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</si>
  <si>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</si>
  <si>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</si>
  <si>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</si>
  <si>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</si>
  <si>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</si>
  <si>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</si>
  <si>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</si>
  <si>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</si>
  <si>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</si>
  <si>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</si>
  <si>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Closed from question: numerical answer</t>
  </si>
  <si>
    <t>Trade vs settlement date accounting</t>
  </si>
  <si>
    <t>Settlement date accounting</t>
  </si>
  <si>
    <t>Trade date accounting without netting</t>
  </si>
  <si>
    <t>Trade date accounting with netting</t>
  </si>
  <si>
    <t>One or no entity</t>
  </si>
  <si>
    <t>One entity</t>
  </si>
  <si>
    <t>No entity</t>
  </si>
  <si>
    <t>Observed/best estimates</t>
  </si>
  <si>
    <t>Observed</t>
  </si>
  <si>
    <t>Best estimates</t>
  </si>
  <si>
    <t>CRM approach</t>
  </si>
  <si>
    <t>Own estimates haircuts + comprehensive approach</t>
  </si>
  <si>
    <t>Standard haircuts + comprehensive approach</t>
  </si>
  <si>
    <t>Method for trade exposures</t>
  </si>
  <si>
    <t>Slotting usage</t>
  </si>
  <si>
    <t>Slotting has been used for all exposures</t>
  </si>
  <si>
    <t>Slotting has been used for a majority of exposures</t>
  </si>
  <si>
    <t>Slotting has been used for a minority of exposures</t>
  </si>
  <si>
    <t>Slotting has not been used for any exposures</t>
  </si>
  <si>
    <t>No material exposures with currency mismatch</t>
  </si>
  <si>
    <t>Unable to distinguish exposures with currency mismatch</t>
  </si>
  <si>
    <t>Jurisdiction</t>
  </si>
  <si>
    <t>No material exposures with property in a foreign jurisdiction</t>
  </si>
  <si>
    <t>Unable to distinguish exposures based on the location of the property</t>
  </si>
  <si>
    <t>Enforceability of netting and collateral agreements</t>
  </si>
  <si>
    <t>Netting</t>
  </si>
  <si>
    <t>Collateral</t>
  </si>
  <si>
    <t>Both</t>
  </si>
  <si>
    <t>Neither</t>
  </si>
  <si>
    <t>Methods panel H LR additional</t>
  </si>
  <si>
    <t>Internal model/advanced</t>
  </si>
  <si>
    <t>CRMCCF</t>
  </si>
  <si>
    <t>Before</t>
  </si>
  <si>
    <t>After</t>
  </si>
  <si>
    <t>Yes (simplified SA)</t>
  </si>
  <si>
    <t>TB risk class reporting or base currency</t>
  </si>
  <si>
    <t>Base currency</t>
  </si>
  <si>
    <t>TB reliability</t>
  </si>
  <si>
    <t>Intended most reliable</t>
  </si>
  <si>
    <t>TB risk class 1.5 scalar</t>
  </si>
  <si>
    <t>Yes, only for options not referencing base/reporting currency</t>
  </si>
  <si>
    <t>Yes, also including options referencing base/reporting currency</t>
  </si>
  <si>
    <t>Share of maturity adjustment cap 1 year</t>
  </si>
  <si>
    <t>0 to 10%</t>
  </si>
  <si>
    <t>10 to 20%</t>
  </si>
  <si>
    <t>20 to 30%</t>
  </si>
  <si>
    <t>30 to 40%</t>
  </si>
  <si>
    <t>40 to 50%</t>
  </si>
  <si>
    <t>50 to 60%</t>
  </si>
  <si>
    <t>60 to 70%</t>
  </si>
  <si>
    <t>70 to 80%</t>
  </si>
  <si>
    <t>80 to 90%</t>
  </si>
  <si>
    <t>90 to 100%</t>
  </si>
  <si>
    <t>CCR and CVA hedge inclusion</t>
  </si>
  <si>
    <t>Yes, the bank includes all eligible hedges in the SA-CVA or full BA-CVA calculation</t>
  </si>
  <si>
    <t>Yes, the bank partially includes the eligible hedges already in the SA-CVA or full BA-CVA calculation</t>
  </si>
  <si>
    <t>No, the eligible hedges are not yet included in the revised CVA calculation</t>
  </si>
  <si>
    <t>No, the bank has no eligible hedges</t>
  </si>
  <si>
    <t>CCR and CVA hedge exclusion (MR)</t>
  </si>
  <si>
    <t>Yes, all hedges included in revised CVA calculation are excluded from revised MR calculation</t>
  </si>
  <si>
    <t>No, the hedges are only partially excluded from the revised MR calculation</t>
  </si>
  <si>
    <t>No, all hedges are included in both, the revised CVA and the revised MR calculation</t>
  </si>
  <si>
    <t>CCR and CVA hedge inclusion (MR)</t>
  </si>
  <si>
    <t>Yes, all these hedge positions are still taken into account in the revised MR calculation</t>
  </si>
  <si>
    <t>Yes, some of these hedges are still taken into account in the revised MR calculation</t>
  </si>
  <si>
    <t>No, the eligible hedge positions are already excluded from the revised MR calculation</t>
  </si>
  <si>
    <t>share of CVA eligible hedges in MR is less than 1%</t>
  </si>
  <si>
    <t>share of CVA eligible hedges in MR is between 1% and 2%</t>
  </si>
  <si>
    <t>share of CVA eligible hedges in MR is between 2% and 3%</t>
  </si>
  <si>
    <t>share of CVA eligible hedges in MR is between 3% and 4%</t>
  </si>
  <si>
    <t>share of CVA eligible hedges in MR is between 4% and 5%</t>
  </si>
  <si>
    <t>share of CVA eligible hedges in MR is equal to or larger than 5% (please report share in Remarks column)</t>
  </si>
  <si>
    <t>Question on CCR</t>
  </si>
  <si>
    <t>Yes, for all eligible netting sets</t>
  </si>
  <si>
    <t>Yes, for some eligible netting sets</t>
  </si>
  <si>
    <t>No, the bank does not yet intend to use this discretion</t>
  </si>
  <si>
    <t>0% (use of discretion intended, but not yet implemented)</t>
  </si>
  <si>
    <t>Less than 10%</t>
  </si>
  <si>
    <t>between 10% and 20%</t>
  </si>
  <si>
    <t>between 20% and 30%</t>
  </si>
  <si>
    <t>between 30% and 40%</t>
  </si>
  <si>
    <t>between 40% and 50%</t>
  </si>
  <si>
    <t>50% or more</t>
  </si>
  <si>
    <t>Question on op risk data availability</t>
  </si>
  <si>
    <t>Yes, losses ≥ 20k but &lt; 100k only</t>
  </si>
  <si>
    <t>Yes, but no losses ≥ 20k</t>
  </si>
  <si>
    <t>Crypto asset classes BB</t>
  </si>
  <si>
    <t>Asset classes banking book</t>
  </si>
  <si>
    <t>General corporate (not incl SMEs, SL, eligible purchased receivables)</t>
  </si>
  <si>
    <t xml:space="preserve">Corporate SMEs </t>
  </si>
  <si>
    <t>Retail - Residential mortgages (IRB)</t>
  </si>
  <si>
    <t>Retail - Qualifying revolving retail exposures (IRB)</t>
  </si>
  <si>
    <t>Retail - Other retail (IRB), including SMEs tretated as retail</t>
  </si>
  <si>
    <t>Retail - Retail exposures under SA</t>
  </si>
  <si>
    <t>Crypto asset frequency</t>
  </si>
  <si>
    <t>Daily</t>
  </si>
  <si>
    <t>Monthly</t>
  </si>
  <si>
    <t>Quarterly</t>
  </si>
  <si>
    <t>Half-yearly</t>
  </si>
  <si>
    <t>Annually</t>
  </si>
  <si>
    <t>Crypto asset group</t>
  </si>
  <si>
    <t>Group 1a</t>
  </si>
  <si>
    <t>Group 1b</t>
  </si>
  <si>
    <t>Group 2a</t>
  </si>
  <si>
    <t>Group 2b</t>
  </si>
  <si>
    <t>Cryptoasset instrument type</t>
  </si>
  <si>
    <t>Spot</t>
  </si>
  <si>
    <t>Derivative</t>
  </si>
  <si>
    <t>ETP</t>
  </si>
  <si>
    <t>Stablecoin</t>
  </si>
  <si>
    <t>Tokenised asset</t>
  </si>
  <si>
    <t>Crypto asset network</t>
  </si>
  <si>
    <t>Permissionless</t>
  </si>
  <si>
    <t>Permissioned</t>
  </si>
  <si>
    <t>Crypto asset market risk treatment</t>
  </si>
  <si>
    <t>SSA</t>
  </si>
  <si>
    <t>Crypto asset activity</t>
  </si>
  <si>
    <t>Owning crypto-assets directly</t>
  </si>
  <si>
    <t>Owning products with underlying crypto-assets (eg taking a long position on an exchange-traded fund)</t>
  </si>
  <si>
    <t>Lending to individuals to allow them to invest in crypto-assets</t>
  </si>
  <si>
    <t>Lending to corporates to allow them to invest in crypto-assets</t>
  </si>
  <si>
    <t>Lending to financial institutions to allow them to invest in crypto-assets</t>
  </si>
  <si>
    <t>Lending and taking crypto-assets collateral</t>
  </si>
  <si>
    <t>Lending to other entities dealing directly with crypto-assets (eg crypto-asset exchanges, fund managers of crypto-asset exchange-traded funds)</t>
  </si>
  <si>
    <t>Proprietary trading of crypto-assets / derivatives on crypto-assets</t>
  </si>
  <si>
    <t>Trading (on clients account) of crypto-assets / derivatives on crypto-assets</t>
  </si>
  <si>
    <t>Clearing of futures on crypto-assets</t>
  </si>
  <si>
    <t>Clearing of other derivatives on crypto-assets</t>
  </si>
  <si>
    <t>Issuing crypto-assets backed by assets on the bank's balance sheet</t>
  </si>
  <si>
    <t>Underwriting initial coin offerings</t>
  </si>
  <si>
    <t>Providing custody services for fiat assets of entities dealing directly with crypto-assets</t>
  </si>
  <si>
    <t xml:space="preserve">Providing custody / wallet services for crypto-assets </t>
  </si>
  <si>
    <t>Securities financing transactions involving crypto-assets</t>
  </si>
  <si>
    <t>Transactions that involve exchanging virtual currency for real currency</t>
  </si>
  <si>
    <t>Exposures included in investment portfolios managed by the bank but not reported on the bank’s balance sheet</t>
  </si>
  <si>
    <t>Provision of insurance against the theft and/or loss of crypto-assets</t>
  </si>
  <si>
    <t>Use of crypto-assets for internal or inter-bank operational processes</t>
  </si>
  <si>
    <t>Facilitating client activity of products with underlying cryptoassets (eg taking a long position on an exchange-traded fund)</t>
  </si>
  <si>
    <t xml:space="preserve">Issuing securities with underlying cryptoassets while hedging the underlying exposure </t>
  </si>
  <si>
    <t>Facilitating manager-directed trading of exposures with underlying cryptoassets</t>
  </si>
  <si>
    <t>Facilitating client self-directed trading of exposures with underlying cryptoassets</t>
  </si>
  <si>
    <t>Crypto HQLA treatment</t>
  </si>
  <si>
    <t>Level 1 HQLA</t>
  </si>
  <si>
    <t>Level 2A HQLA</t>
  </si>
  <si>
    <t>Level 2B HQLA</t>
  </si>
  <si>
    <t>none</t>
  </si>
  <si>
    <t>Crypto ticker</t>
  </si>
  <si>
    <t>Aave</t>
  </si>
  <si>
    <t>AAVE</t>
  </si>
  <si>
    <t>Cardano</t>
  </si>
  <si>
    <t>ADA</t>
  </si>
  <si>
    <t>Algorand</t>
  </si>
  <si>
    <t>ALGO</t>
  </si>
  <si>
    <t>Amp</t>
  </si>
  <si>
    <t>AMP</t>
  </si>
  <si>
    <t>Arweave</t>
  </si>
  <si>
    <t>AR</t>
  </si>
  <si>
    <t>Cosmos</t>
  </si>
  <si>
    <t>ATOM</t>
  </si>
  <si>
    <t>Audius</t>
  </si>
  <si>
    <t>AUDIO</t>
  </si>
  <si>
    <t>Avalanche</t>
  </si>
  <si>
    <t>AVAX</t>
  </si>
  <si>
    <t>Axie Infinity</t>
  </si>
  <si>
    <t>AXS</t>
  </si>
  <si>
    <t>Basic Attention Token</t>
  </si>
  <si>
    <t>BAT</t>
  </si>
  <si>
    <t>Bitcoin Cash</t>
  </si>
  <si>
    <t>BCH</t>
  </si>
  <si>
    <t>Binance Coin</t>
  </si>
  <si>
    <t>BNB</t>
  </si>
  <si>
    <t>Bitcoin SV</t>
  </si>
  <si>
    <t>BSV</t>
  </si>
  <si>
    <t>Bitcoin</t>
  </si>
  <si>
    <t>BTC</t>
  </si>
  <si>
    <t>Bitcoin BEP2</t>
  </si>
  <si>
    <t>BTCB</t>
  </si>
  <si>
    <t>Bitcoin Gold</t>
  </si>
  <si>
    <t>BTG</t>
  </si>
  <si>
    <t>BitTorrent</t>
  </si>
  <si>
    <t>BTT</t>
  </si>
  <si>
    <t>Binance USD</t>
  </si>
  <si>
    <t>BUSD</t>
  </si>
  <si>
    <t>PancakeSwap</t>
  </si>
  <si>
    <t>CAKE</t>
  </si>
  <si>
    <t>Celsius</t>
  </si>
  <si>
    <t>CEL</t>
  </si>
  <si>
    <t>Celo</t>
  </si>
  <si>
    <t>CELO</t>
  </si>
  <si>
    <t>Chiliz</t>
  </si>
  <si>
    <t>CHZ</t>
  </si>
  <si>
    <t>Compound</t>
  </si>
  <si>
    <t>COMP</t>
  </si>
  <si>
    <t>Crypto.com Coin</t>
  </si>
  <si>
    <t>CRO</t>
  </si>
  <si>
    <t>Curve DAO Token</t>
  </si>
  <si>
    <t>CRV</t>
  </si>
  <si>
    <t>Dai</t>
  </si>
  <si>
    <t>DAI</t>
  </si>
  <si>
    <t>Dash</t>
  </si>
  <si>
    <t>DASH</t>
  </si>
  <si>
    <t>Decred</t>
  </si>
  <si>
    <t>DCR</t>
  </si>
  <si>
    <t>Dogecoin</t>
  </si>
  <si>
    <t>DOGE</t>
  </si>
  <si>
    <t>Polkadot</t>
  </si>
  <si>
    <t>DOT</t>
  </si>
  <si>
    <t>Elrond</t>
  </si>
  <si>
    <t>EGLD</t>
  </si>
  <si>
    <t>Enjin Coin</t>
  </si>
  <si>
    <t>ENJ</t>
  </si>
  <si>
    <t>EOS</t>
  </si>
  <si>
    <t>Ethereum Classic</t>
  </si>
  <si>
    <t>ETC</t>
  </si>
  <si>
    <t>Ethereum</t>
  </si>
  <si>
    <t>ETH</t>
  </si>
  <si>
    <t>Filecoin</t>
  </si>
  <si>
    <t>FIL</t>
  </si>
  <si>
    <t>Flow</t>
  </si>
  <si>
    <t>FLOW</t>
  </si>
  <si>
    <t>Fantom</t>
  </si>
  <si>
    <t>FTM</t>
  </si>
  <si>
    <t>FTX Token</t>
  </si>
  <si>
    <t>FTT</t>
  </si>
  <si>
    <t>The Graph</t>
  </si>
  <si>
    <t>GRT</t>
  </si>
  <si>
    <t>Gemini</t>
  </si>
  <si>
    <t>GUSD</t>
  </si>
  <si>
    <t>Hedera Hashgraph</t>
  </si>
  <si>
    <t>HBAR</t>
  </si>
  <si>
    <t>Helium</t>
  </si>
  <si>
    <t>HNT</t>
  </si>
  <si>
    <t>Holo</t>
  </si>
  <si>
    <t>HOT</t>
  </si>
  <si>
    <t>Huobi Token</t>
  </si>
  <si>
    <t>HT</t>
  </si>
  <si>
    <t>Internet Computer</t>
  </si>
  <si>
    <t>ICP</t>
  </si>
  <si>
    <t>ICON</t>
  </si>
  <si>
    <t>ICX</t>
  </si>
  <si>
    <t>IOST</t>
  </si>
  <si>
    <t>Klaytn</t>
  </si>
  <si>
    <t>KLAY</t>
  </si>
  <si>
    <t>Kusama</t>
  </si>
  <si>
    <t>KSM</t>
  </si>
  <si>
    <t>UNUS SED LEO</t>
  </si>
  <si>
    <t>LEO</t>
  </si>
  <si>
    <t>Chainlink</t>
  </si>
  <si>
    <t>LINK</t>
  </si>
  <si>
    <t>Litecoin</t>
  </si>
  <si>
    <t>LTC</t>
  </si>
  <si>
    <t>Terra</t>
  </si>
  <si>
    <t>LUNA</t>
  </si>
  <si>
    <t>Decentraland</t>
  </si>
  <si>
    <t>MANA</t>
  </si>
  <si>
    <t>Polygon</t>
  </si>
  <si>
    <t>MATIC</t>
  </si>
  <si>
    <t>Mdex</t>
  </si>
  <si>
    <t>MDX</t>
  </si>
  <si>
    <t>Mina</t>
  </si>
  <si>
    <t>MINA</t>
  </si>
  <si>
    <t>IOTA</t>
  </si>
  <si>
    <t>MIOTA</t>
  </si>
  <si>
    <t>Maker</t>
  </si>
  <si>
    <t>MKR</t>
  </si>
  <si>
    <t>NEAR Protocol</t>
  </si>
  <si>
    <t>NEAR</t>
  </si>
  <si>
    <t>Neo</t>
  </si>
  <si>
    <t>NEO</t>
  </si>
  <si>
    <t>Nexo</t>
  </si>
  <si>
    <t>NEXO</t>
  </si>
  <si>
    <t>OKB</t>
  </si>
  <si>
    <t>OMG Network</t>
  </si>
  <si>
    <t>OMG</t>
  </si>
  <si>
    <t>Harmony</t>
  </si>
  <si>
    <t>ONE</t>
  </si>
  <si>
    <t>Perpetual Protocol</t>
  </si>
  <si>
    <t>PERP</t>
  </si>
  <si>
    <t>Quant</t>
  </si>
  <si>
    <t>QNT</t>
  </si>
  <si>
    <t>Qtum</t>
  </si>
  <si>
    <t>QTUM</t>
  </si>
  <si>
    <t>Revain</t>
  </si>
  <si>
    <t>REV</t>
  </si>
  <si>
    <t>THORChain</t>
  </si>
  <si>
    <t>RUNE</t>
  </si>
  <si>
    <t>Ravencoin</t>
  </si>
  <si>
    <t>RVN</t>
  </si>
  <si>
    <t>SHIBA INU</t>
  </si>
  <si>
    <t>SHIB</t>
  </si>
  <si>
    <t>Synthetix</t>
  </si>
  <si>
    <t>SNX</t>
  </si>
  <si>
    <t>Solana</t>
  </si>
  <si>
    <t>SOL</t>
  </si>
  <si>
    <t>Stacks</t>
  </si>
  <si>
    <t>STX</t>
  </si>
  <si>
    <t>SushiSwap</t>
  </si>
  <si>
    <t>SUSHI</t>
  </si>
  <si>
    <t>Telcoin</t>
  </si>
  <si>
    <t>TEL</t>
  </si>
  <si>
    <t>Theta Fuel</t>
  </si>
  <si>
    <t>TFUEL</t>
  </si>
  <si>
    <t>THETA</t>
  </si>
  <si>
    <t>TRON</t>
  </si>
  <si>
    <t>TRX</t>
  </si>
  <si>
    <t>TrueUSD</t>
  </si>
  <si>
    <t>TUSD</t>
  </si>
  <si>
    <t>Uniswap</t>
  </si>
  <si>
    <t>UNI</t>
  </si>
  <si>
    <t>USD Coin</t>
  </si>
  <si>
    <t>USDC</t>
  </si>
  <si>
    <t>Pax Dollar</t>
  </si>
  <si>
    <t>USDP</t>
  </si>
  <si>
    <t>Tether</t>
  </si>
  <si>
    <t>USDT</t>
  </si>
  <si>
    <t>TerraUSD</t>
  </si>
  <si>
    <t>UST</t>
  </si>
  <si>
    <t>VeChain</t>
  </si>
  <si>
    <t>VET</t>
  </si>
  <si>
    <t>Waves</t>
  </si>
  <si>
    <t>WAVES</t>
  </si>
  <si>
    <t>Wrapped Bitcoin</t>
  </si>
  <si>
    <t>WBTC</t>
  </si>
  <si>
    <t>XinFin</t>
  </si>
  <si>
    <t>XDC</t>
  </si>
  <si>
    <t>eCash</t>
  </si>
  <si>
    <t>XEC</t>
  </si>
  <si>
    <t>NEM</t>
  </si>
  <si>
    <t>XEM</t>
  </si>
  <si>
    <t>Stellar</t>
  </si>
  <si>
    <t>XLM</t>
  </si>
  <si>
    <t>Monero</t>
  </si>
  <si>
    <t>XMR</t>
  </si>
  <si>
    <t>XRP</t>
  </si>
  <si>
    <t>Tezos</t>
  </si>
  <si>
    <t>XTZ</t>
  </si>
  <si>
    <t>yearn.finance</t>
  </si>
  <si>
    <t>YFI</t>
  </si>
  <si>
    <t>Zcash</t>
  </si>
  <si>
    <t>ZEC</t>
  </si>
  <si>
    <t>Horizen</t>
  </si>
  <si>
    <t>ZEN</t>
  </si>
  <si>
    <t>Zilliqa</t>
  </si>
  <si>
    <t>ZIL</t>
  </si>
  <si>
    <t>B) EU Additional information for the porpuse of calculating the impact of supporting factors</t>
  </si>
  <si>
    <r>
      <t xml:space="preserve">1) SME supporting factor </t>
    </r>
    <r>
      <rPr>
        <b/>
        <sz val="13"/>
        <color rgb="FFFF0000"/>
        <rFont val="Segoe UI"/>
        <family val="2"/>
      </rPr>
      <t>(EU banks only)</t>
    </r>
  </si>
  <si>
    <r>
      <t xml:space="preserve">Asset classes
</t>
    </r>
    <r>
      <rPr>
        <b/>
        <sz val="10"/>
        <color rgb="FFFF0000"/>
        <rFont val="Segoe UI"/>
        <family val="2"/>
      </rPr>
      <t>Exposures need to be reported in the same asset class through the entire panel
Exposures need to be reported in the relevant asset line after applying substitution rules according to the current national rules (CRR)</t>
    </r>
  </si>
  <si>
    <t>Amounts applying revised Basel III rules for SA and for CCR exposures</t>
  </si>
  <si>
    <t>Amounts applying revised Basel III rules for SA and for CCR exposures and including CRR2 SME Supporting Factor</t>
  </si>
  <si>
    <t>Output floor including CRR2 SME supporting factor</t>
  </si>
  <si>
    <t>Exposures post substitution (post-CCF, post-CRM)</t>
  </si>
  <si>
    <t>Total RWA (with CRR2 supporting factors)</t>
  </si>
  <si>
    <t>Total RWA (without CRR2 supporting factors)</t>
  </si>
  <si>
    <r>
      <t>Total RWA</t>
    </r>
    <r>
      <rPr>
        <b/>
        <sz val="10"/>
        <color rgb="FFFF0000"/>
        <rFont val="Segoe UI"/>
        <family val="2"/>
      </rPr>
      <t xml:space="preserve"> with CRR2 SME Supporting Factor</t>
    </r>
    <r>
      <rPr>
        <b/>
        <sz val="10"/>
        <rFont val="Segoe UI"/>
        <family val="2"/>
      </rPr>
      <t xml:space="preserve"> </t>
    </r>
    <r>
      <rPr>
        <b/>
        <sz val="10"/>
        <color rgb="FFFF0000"/>
        <rFont val="Segoe UI"/>
        <family val="2"/>
      </rPr>
      <t>and the CRR2 RW for unrated corporate SME</t>
    </r>
  </si>
  <si>
    <r>
      <t xml:space="preserve">Full non-modelling approach </t>
    </r>
    <r>
      <rPr>
        <b/>
        <sz val="9"/>
        <color rgb="FFFF0000"/>
        <rFont val="Segoe UI"/>
        <family val="2"/>
      </rPr>
      <t>with CRR2 SME  Supporting Factor and the CRR2 RW for unrated corporate SME SME</t>
    </r>
    <r>
      <rPr>
        <b/>
        <sz val="9"/>
        <rFont val="Segoe UI"/>
        <family val="2"/>
      </rPr>
      <t xml:space="preserve">
</t>
    </r>
    <r>
      <rPr>
        <b/>
        <sz val="9"/>
        <color rgb="FFAA322F"/>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</si>
  <si>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FF0000"/>
        <rFont val="Segoe UI"/>
        <family val="2"/>
      </rPr>
      <t>with SME CRR2 Supporting Factor  and CRR2 RW for unrated corporate SME</t>
    </r>
    <r>
      <rPr>
        <b/>
        <sz val="10"/>
        <rFont val="Segoe UI"/>
        <family val="2"/>
      </rPr>
      <t xml:space="preserve">
</t>
    </r>
    <r>
      <rPr>
        <b/>
        <sz val="10"/>
        <color rgb="FFAA322F"/>
        <rFont val="Segoe UI"/>
        <family val="2"/>
      </rPr>
      <t>Leave empty if IMM not applied</t>
    </r>
  </si>
  <si>
    <t>On-balance sheet</t>
  </si>
  <si>
    <t>Off-balance sheet</t>
  </si>
  <si>
    <t>On-balance sheet exposure</t>
  </si>
  <si>
    <t>Off-balance sheet exposure</t>
  </si>
  <si>
    <t>Total RWA</t>
  </si>
  <si>
    <r>
      <t xml:space="preserve">Total RWA </t>
    </r>
    <r>
      <rPr>
        <b/>
        <sz val="10"/>
        <color rgb="FFFF0000"/>
        <rFont val="Segoe UI"/>
        <family val="2"/>
      </rPr>
      <t/>
    </r>
  </si>
  <si>
    <t>Check the application % supporting factor</t>
  </si>
  <si>
    <t>Check consistancy compliant exposures with SF by asset class (modelled)</t>
  </si>
  <si>
    <t>Check for the application % supporting factor NM RWAs</t>
  </si>
  <si>
    <t>Check range SACCR</t>
  </si>
  <si>
    <t>Corporates (excluding SMEs);</t>
  </si>
  <si>
    <t>of which: exposures compliant with the criteria set in Art 501 (2) CRR2 (SME SF); of which;</t>
  </si>
  <si>
    <r>
      <t xml:space="preserve">amount owed </t>
    </r>
    <r>
      <rPr>
        <b/>
        <sz val="10"/>
        <color rgb="FFFF0000"/>
        <rFont val="Segoe UI"/>
        <family val="2"/>
      </rPr>
      <t>below</t>
    </r>
    <r>
      <rPr>
        <sz val="10"/>
        <color theme="1"/>
        <rFont val="Segoe UI"/>
        <family val="2"/>
      </rPr>
      <t xml:space="preserve"> EUR 2.5 mln</t>
    </r>
  </si>
  <si>
    <r>
      <t xml:space="preserve">amount owed </t>
    </r>
    <r>
      <rPr>
        <b/>
        <sz val="10"/>
        <color rgb="FFFF0000"/>
        <rFont val="Segoe UI"/>
        <family val="2"/>
      </rPr>
      <t>above</t>
    </r>
    <r>
      <rPr>
        <sz val="10"/>
        <color theme="1"/>
        <rFont val="Segoe UI"/>
        <family val="2"/>
      </rPr>
      <t xml:space="preserve"> EUR 2.5 mln</t>
    </r>
  </si>
  <si>
    <t>Corporate SME exposures,</t>
  </si>
  <si>
    <t>of which: exposures compliant with the criteria set in Art 501 (2) CRR2; (SME SF) of which;</t>
  </si>
  <si>
    <t>Retail exposures;</t>
  </si>
  <si>
    <t>Exposures secured by real estate;</t>
  </si>
  <si>
    <t>general residential real estate;</t>
  </si>
  <si>
    <t>general commercial real estate;</t>
  </si>
  <si>
    <t>income producing residential real estate;</t>
  </si>
  <si>
    <t>income producing commercial real estate;</t>
  </si>
  <si>
    <t>land acquisition, development and construction;</t>
  </si>
  <si>
    <t>Other exposures under Standardised Approach;</t>
  </si>
  <si>
    <r>
      <t xml:space="preserve">2) Infrastructure supporting factor and specialised lending </t>
    </r>
    <r>
      <rPr>
        <b/>
        <sz val="13"/>
        <color rgb="FFFF0000"/>
        <rFont val="Segoe UI"/>
        <family val="2"/>
      </rPr>
      <t>(EU banks only)</t>
    </r>
  </si>
  <si>
    <t>Amounts applying revised Basel III rules for SA and for CCR exposures (no supporting factors)</t>
  </si>
  <si>
    <t>Amounts applying revised Basel III rules for SA and for CCR exposures and including CRR2 INF supporting factor and CRR3 proposal on  Specialised lending</t>
  </si>
  <si>
    <t>Output floor including CRR2 INF Supporting Factor and CRR3 proposal on Specialised lending</t>
  </si>
  <si>
    <r>
      <t xml:space="preserve">Total RWA </t>
    </r>
    <r>
      <rPr>
        <b/>
        <sz val="10"/>
        <color rgb="FFFF0000"/>
        <rFont val="Segoe UI"/>
        <family val="2"/>
      </rPr>
      <t>with CRR2 INF Supporting Factror and CRR3 proposal on Specialised lending</t>
    </r>
  </si>
  <si>
    <r>
      <t xml:space="preserve">Full non-modelling approach </t>
    </r>
    <r>
      <rPr>
        <b/>
        <sz val="9"/>
        <color rgb="FFFF0000"/>
        <rFont val="Segoe UI"/>
        <family val="2"/>
      </rPr>
      <t>with CRR2 INF Supporting Factor and CRR3 proposal on Specialised lending</t>
    </r>
    <r>
      <rPr>
        <b/>
        <sz val="9"/>
        <rFont val="Segoe UI"/>
        <family val="2"/>
      </rPr>
      <t xml:space="preserve">
</t>
    </r>
    <r>
      <rPr>
        <b/>
        <sz val="9"/>
        <color rgb="FFAA322F"/>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</si>
  <si>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FF0000"/>
        <rFont val="Segoe UI"/>
        <family val="2"/>
      </rPr>
      <t>with CRR2 INF Supporting Factor and CRR3 proposal on Specialised lending</t>
    </r>
    <r>
      <rPr>
        <b/>
        <sz val="10"/>
        <rFont val="Segoe UI"/>
        <family val="2"/>
      </rPr>
      <t xml:space="preserve">
</t>
    </r>
    <r>
      <rPr>
        <b/>
        <sz val="10"/>
        <color rgb="FFAA322F"/>
        <rFont val="Segoe UI"/>
        <family val="2"/>
      </rPr>
      <t>Leave empty if IMM not applied</t>
    </r>
  </si>
  <si>
    <t xml:space="preserve">Total RWA </t>
  </si>
  <si>
    <t>of which: exposures compliant with the criteria set in Art 501a CRR2 (INF SF)</t>
  </si>
  <si>
    <t>Specialised lending;</t>
  </si>
  <si>
    <t>object finance;</t>
  </si>
  <si>
    <t>of which: high quality</t>
  </si>
  <si>
    <t>commodity finance;</t>
  </si>
  <si>
    <r>
      <t xml:space="preserve">C) Additional information for equity exposures </t>
    </r>
    <r>
      <rPr>
        <b/>
        <sz val="13"/>
        <color rgb="FFFF0000"/>
        <rFont val="Segoe UI"/>
        <family val="2"/>
      </rPr>
      <t>(EU banks only)</t>
    </r>
  </si>
  <si>
    <t>Amounts applying revised Basel III rules for SA and for CCR exposures - applying CRR3 proposal for equity exposures</t>
  </si>
  <si>
    <t>Output floor - applying CRR3 proposal for equity exposures</t>
  </si>
  <si>
    <r>
      <t>Total RWA</t>
    </r>
    <r>
      <rPr>
        <b/>
        <sz val="10"/>
        <color rgb="FFFF0000"/>
        <rFont val="Segoe UI"/>
        <family val="2"/>
      </rPr>
      <t xml:space="preserve"> -  applying CRR3 proposal for equity exposures</t>
    </r>
  </si>
  <si>
    <r>
      <t xml:space="preserve">Full non-modelling approach </t>
    </r>
    <r>
      <rPr>
        <b/>
        <sz val="10"/>
        <color rgb="FFFF0000"/>
        <rFont val="Segoe UI"/>
        <family val="2"/>
      </rPr>
      <t>- applying CRR3 proposal for equity exposures</t>
    </r>
    <r>
      <rPr>
        <b/>
        <sz val="10"/>
        <rFont val="Segoe UI"/>
        <family val="2"/>
      </rPr>
      <t xml:space="preserve">
</t>
    </r>
    <r>
      <rPr>
        <b/>
        <sz val="10"/>
        <color rgb="FFAA322F"/>
        <rFont val="Segoe UI"/>
        <family val="2"/>
      </rPr>
      <t>Leave empty if IMM not applied</t>
    </r>
  </si>
  <si>
    <r>
      <t xml:space="preserve">Full non-modelling approach 
Use of SA-CCR with alpha = 1 for CCR exposures calculated under the IMM for RWA not subject to a floor, and CR-SA for RWA calculation - </t>
    </r>
    <r>
      <rPr>
        <b/>
        <sz val="10"/>
        <color rgb="FFFF0000"/>
        <rFont val="Segoe UI"/>
        <family val="2"/>
      </rPr>
      <t>applying CRR3 proposal for equity exposures - fully phased-in</t>
    </r>
    <r>
      <rPr>
        <b/>
        <sz val="10"/>
        <rFont val="Segoe UI"/>
        <family val="2"/>
      </rPr>
      <t xml:space="preserve">
</t>
    </r>
    <r>
      <rPr>
        <b/>
        <sz val="10"/>
        <color rgb="FFAA322F"/>
        <rFont val="Segoe UI"/>
        <family val="2"/>
      </rPr>
      <t>Leave empty if IMM not applied</t>
    </r>
  </si>
  <si>
    <t>Check consistency other equity exposures (panel A) - modelled</t>
  </si>
  <si>
    <t>Check applicable % RW (modelled RWAs)</t>
  </si>
  <si>
    <t>Check consistency other equity exposures (panel A) - non-modelled</t>
  </si>
  <si>
    <t>Check applicable % RW (non-modelled RWAs)</t>
  </si>
  <si>
    <t xml:space="preserve">Check the SACCR application % </t>
  </si>
  <si>
    <t>speculative unlisted;</t>
  </si>
  <si>
    <t>exposures to certain legislative programs;</t>
  </si>
  <si>
    <t>others; of which:</t>
  </si>
  <si>
    <t xml:space="preserve">Equity exposures to Central banks </t>
  </si>
  <si>
    <t>Intragroup equity exposures and equity holdings within institutional protection schemes (IPS) (article 49 (2) and (3))</t>
  </si>
  <si>
    <t>Equity exposures benefiting from grandfathering in Art. 495a (3) of the CRR3 proposal (Long term &gt; 6 years)</t>
  </si>
  <si>
    <t>of which: Equity Exposures that are holdings of CET1 and AT1 instruments exempted from deduction according to Art 49(1) CRR</t>
  </si>
  <si>
    <t>Other equity exposures (250% RW)</t>
  </si>
  <si>
    <t>of which: Equity exposures for which a 250% RW applies following the second subparagraph of Article 133 (4) of the CRR3 proposal</t>
  </si>
  <si>
    <t>D) Additional information for trade finance off balance sheet items</t>
  </si>
  <si>
    <t>Exposures type</t>
  </si>
  <si>
    <t>Amounts applying revised Basel III rules for SA and for CCR exposures and applying a 20% CCF to trade finance exposures (article 111 of the Council proposal)</t>
  </si>
  <si>
    <t>Output floor (applying a 20% CCF to trade finance exposures (article 111 of the Council proposal))</t>
  </si>
  <si>
    <t>Off-balance sheet exposures
(post-CCF, post-CRM)</t>
  </si>
  <si>
    <t>Off balance sheet exposure - Trade finance transaction-related contingent items</t>
  </si>
  <si>
    <t>E) Additional information for Real estate exposures</t>
  </si>
  <si>
    <r>
      <t>Amounts applying revised Basel III rules for SA and for CCR exposures</t>
    </r>
    <r>
      <rPr>
        <b/>
        <sz val="10"/>
        <color rgb="FFFF0000"/>
        <rFont val="Segoe UI"/>
        <family val="2"/>
      </rPr>
      <t xml:space="preserve"> with CRR2 SME Supporting Factor</t>
    </r>
    <r>
      <rPr>
        <b/>
        <sz val="10"/>
        <rFont val="Segoe UI"/>
        <family val="2"/>
      </rPr>
      <t xml:space="preserve"> </t>
    </r>
    <r>
      <rPr>
        <b/>
        <sz val="10"/>
        <color rgb="FFFF0000"/>
        <rFont val="Segoe UI"/>
        <family val="2"/>
      </rPr>
      <t>(When the requirement for frequent monitoring is kept)</t>
    </r>
  </si>
  <si>
    <r>
      <t>Output floor</t>
    </r>
    <r>
      <rPr>
        <b/>
        <sz val="10"/>
        <color rgb="FFFF0000"/>
        <rFont val="Segoe UI"/>
        <family val="2"/>
      </rPr>
      <t xml:space="preserve"> with CRR2 SME Supporting Factor (when the requirement for frequent monitoring is kept)</t>
    </r>
  </si>
  <si>
    <r>
      <t xml:space="preserve">Full non-modelling approach with CRR2 INF Supporting Factor and CRR3 proposal on Specialised lending
</t>
    </r>
    <r>
      <rPr>
        <b/>
        <sz val="10"/>
        <color theme="5"/>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</si>
  <si>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FF0000"/>
        <rFont val="Segoe UI"/>
        <family val="2"/>
      </rPr>
      <t xml:space="preserve">with CRR2 SME Supporting Factor (When the requirement for frequent monitoring is kept)
</t>
    </r>
    <r>
      <rPr>
        <b/>
        <sz val="10"/>
        <color theme="5"/>
        <rFont val="Segoe UI"/>
        <family val="2"/>
      </rPr>
      <t>Leave empty if IMM not applied</t>
    </r>
  </si>
  <si>
    <t>Check consistency exposures panel A</t>
  </si>
  <si>
    <t>Check consistency NM exposures panel A</t>
  </si>
  <si>
    <t>C) EU Additional information for the porpuse of calculating the impact of supporting factors</t>
  </si>
  <si>
    <r>
      <t xml:space="preserve">Asset classes
</t>
    </r>
    <r>
      <rPr>
        <b/>
        <sz val="12"/>
        <color rgb="FFFF0000"/>
        <rFont val="Segoe UI"/>
        <family val="2"/>
      </rPr>
      <t>Exposures need to be reported in the same asset class through the entire panel
Exposures need to be reported in the relevant asset line after applying substitution rules according to the current national rules (CRR)</t>
    </r>
  </si>
  <si>
    <t>Amounts applying national rules in place at the reporting date for credit risk</t>
  </si>
  <si>
    <t>Amounts applying the revised IRB framework</t>
  </si>
  <si>
    <t>Amounts applying revised IRB framework and including CRR2  SME supporting factor</t>
  </si>
  <si>
    <t>Amounts moving to the standardised approach due to substitution and for equity exposures and including CRR2 SME supporting factor</t>
  </si>
  <si>
    <t>Exposures moving to the standardised approach due to substitution and for equity exposures</t>
  </si>
  <si>
    <r>
      <t xml:space="preserve">Full non-modelling approach RWA </t>
    </r>
    <r>
      <rPr>
        <b/>
        <sz val="10"/>
        <color rgb="FFFF0000"/>
        <rFont val="Segoe UI"/>
        <family val="2"/>
      </rPr>
      <t>with CRR2 SME supporting factor</t>
    </r>
  </si>
  <si>
    <r>
      <t xml:space="preserve">Full non-modelling approach 
Use of SA-CCR with alpha = 1 for CCR exposures calculated under the IMM for RWA not subject to a floor,
and CR-SA for RWA calculation </t>
    </r>
    <r>
      <rPr>
        <b/>
        <sz val="10"/>
        <color rgb="FFFF0000"/>
        <rFont val="Segoe UI"/>
        <family val="2"/>
      </rPr>
      <t>with CRR2 SME supporting factor</t>
    </r>
    <r>
      <rPr>
        <b/>
        <sz val="10"/>
        <rFont val="Segoe UI"/>
        <family val="2"/>
      </rPr>
      <t xml:space="preserve">
</t>
    </r>
    <r>
      <rPr>
        <b/>
        <sz val="10"/>
        <color rgb="FFC00000"/>
        <rFont val="Segoe UI"/>
        <family val="2"/>
      </rPr>
      <t>Leave empty if IMM not applied</t>
    </r>
  </si>
  <si>
    <t>RWA (with CRR2 supporting factors)</t>
  </si>
  <si>
    <t>RWA  (without CRR2 supporting factors)</t>
  </si>
  <si>
    <r>
      <t>RWA</t>
    </r>
    <r>
      <rPr>
        <b/>
        <sz val="10"/>
        <color rgb="FFFF0000"/>
        <rFont val="Segoe UI"/>
        <family val="2"/>
      </rPr>
      <t xml:space="preserve"> with</t>
    </r>
    <r>
      <rPr>
        <b/>
        <sz val="10"/>
        <rFont val="Segoe UI"/>
        <family val="2"/>
      </rPr>
      <t xml:space="preserve"> </t>
    </r>
    <r>
      <rPr>
        <b/>
        <sz val="10"/>
        <color rgb="FFFF0000"/>
        <rFont val="Segoe UI"/>
        <family val="2"/>
      </rPr>
      <t>CRR2 SME supporting factor</t>
    </r>
  </si>
  <si>
    <r>
      <t xml:space="preserve">RWA </t>
    </r>
    <r>
      <rPr>
        <b/>
        <sz val="10"/>
        <color rgb="FFFF0000"/>
        <rFont val="Segoe UI"/>
        <family val="2"/>
      </rPr>
      <t>with CRR2 SME supporting factor</t>
    </r>
  </si>
  <si>
    <t>Checks on IRB exposures remaining under IRB</t>
  </si>
  <si>
    <t>Checks on IRB exposures moving to SA</t>
  </si>
  <si>
    <t>Check on non-modelling exposures</t>
  </si>
  <si>
    <t>Large and mid-market general corporates</t>
  </si>
  <si>
    <t>Other retail</t>
  </si>
  <si>
    <t>Eligible purchase receivables</t>
  </si>
  <si>
    <t xml:space="preserve">Other exposures under IRB </t>
  </si>
  <si>
    <t>Total IRB approach</t>
  </si>
  <si>
    <t>Amounts applying revised IRB framework and including CRR2 INF Supporting Factor</t>
  </si>
  <si>
    <t>Amounts moving to the standardised approach due to substitution and for equity exposures and including CRR2 INF Supporting Factor and CRR3 proposal on specialised lending</t>
  </si>
  <si>
    <r>
      <t xml:space="preserve">Full non-modelling approach RWA </t>
    </r>
    <r>
      <rPr>
        <b/>
        <sz val="10"/>
        <color rgb="FFFF0000"/>
        <rFont val="Segoe UI"/>
        <family val="2"/>
      </rPr>
      <t>with CRR2 INF Supporting Factor and CRR3 proposal on Specialised lending</t>
    </r>
  </si>
  <si>
    <r>
      <t xml:space="preserve">Full non-modelling approach 
Use of SA-CCR with alpha = 1 for CCR exposures calculated under the IMM for RWA not subject to a floor,
and CR-SA for RWA calculation </t>
    </r>
    <r>
      <rPr>
        <b/>
        <sz val="10"/>
        <color rgb="FFFF0000"/>
        <rFont val="Segoe UI"/>
        <family val="2"/>
      </rPr>
      <t>with CRR2 INF Supporting Factor and CRR3 proposal on Specialised lending</t>
    </r>
    <r>
      <rPr>
        <b/>
        <sz val="10"/>
        <rFont val="Segoe UI"/>
        <family val="2"/>
      </rPr>
      <t xml:space="preserve">
</t>
    </r>
    <r>
      <rPr>
        <b/>
        <sz val="10"/>
        <color rgb="FFAA322F"/>
        <rFont val="Segoe UI"/>
        <family val="2"/>
      </rPr>
      <t>Leave empty if IMM not applied</t>
    </r>
  </si>
  <si>
    <t>RWA (without CRR2 supporting factors)</t>
  </si>
  <si>
    <r>
      <t xml:space="preserve">RWA </t>
    </r>
    <r>
      <rPr>
        <b/>
        <sz val="10"/>
        <color rgb="FFFF0000"/>
        <rFont val="Segoe UI"/>
        <family val="2"/>
      </rPr>
      <t>with CRR2 INF Supporting Factor</t>
    </r>
  </si>
  <si>
    <r>
      <t xml:space="preserve">RWA </t>
    </r>
    <r>
      <rPr>
        <b/>
        <sz val="10"/>
        <color rgb="FFFF0000"/>
        <rFont val="Segoe UI"/>
        <family val="2"/>
      </rPr>
      <t>with CRR2 INF Supporting Factor and CRR3 proposal on specialised lending</t>
    </r>
  </si>
  <si>
    <r>
      <t>D) EU Additional information on unrated corporates</t>
    </r>
    <r>
      <rPr>
        <b/>
        <sz val="13"/>
        <color rgb="FFFF0000"/>
        <rFont val="Segoe UI"/>
        <family val="2"/>
      </rPr>
      <t xml:space="preserve"> (EU banks only)</t>
    </r>
  </si>
  <si>
    <t>Output floor -  with CRR3 proposal of transitional arrangements for  unrated corporates</t>
  </si>
  <si>
    <r>
      <t>Full non-modelling approach</t>
    </r>
    <r>
      <rPr>
        <b/>
        <sz val="10"/>
        <color rgb="FFFF0000"/>
        <rFont val="Segoe UI"/>
        <family val="2"/>
      </rPr>
      <t xml:space="preserve"> with CRR3 proposal of transitional arrangements for  unrated corporates</t>
    </r>
  </si>
  <si>
    <r>
      <t xml:space="preserve">Full non-modelling approach 
Use of SA-CCR with alpha = 1 for CCR exposures calculated under the IMM for RWA not subject to a floor, </t>
    </r>
    <r>
      <rPr>
        <b/>
        <sz val="10"/>
        <color rgb="FFFF0000"/>
        <rFont val="Segoe UI"/>
        <family val="2"/>
      </rPr>
      <t>with CRR3 proposal of transitional arrangements for  unrated corporates</t>
    </r>
    <r>
      <rPr>
        <b/>
        <sz val="10"/>
        <rFont val="Segoe UI"/>
        <family val="2"/>
      </rPr>
      <t xml:space="preserve">
and CR-SA for RWA calculation
</t>
    </r>
    <r>
      <rPr>
        <b/>
        <sz val="10"/>
        <color rgb="FFAA322F"/>
        <rFont val="Segoe UI"/>
        <family val="2"/>
      </rPr>
      <t>Leave empty if IMM not applied</t>
    </r>
  </si>
  <si>
    <t>Total Exposures 
(post-CCF, post-CRM)</t>
  </si>
  <si>
    <t>Check consistency  corporates exposures (panel A)</t>
  </si>
  <si>
    <t>Check the rw% application</t>
  </si>
  <si>
    <t>Corporates (excluding SMEs) as per CR SA classification; of which:</t>
  </si>
  <si>
    <t>rated corporate exposures</t>
  </si>
  <si>
    <t xml:space="preserve"> of which: corporates with revenues &gt;EUR 500mn </t>
  </si>
  <si>
    <t>unrated corporate exposure; of which:</t>
  </si>
  <si>
    <t>PD &lt;= 0.5%</t>
  </si>
  <si>
    <t>PD &gt; 0.5%</t>
  </si>
  <si>
    <t>Corporate SME exposures  as per CR SA classification; of which:</t>
  </si>
  <si>
    <t>rated corporate SME exposures</t>
  </si>
  <si>
    <t>of which: exposures compliant with the criteria set in Art 501 (2) CRR2 (SME SF)</t>
  </si>
  <si>
    <t>unrated corporate SME exposure; of which:</t>
  </si>
  <si>
    <r>
      <t xml:space="preserve">E) Additional information for IRB equity exposures </t>
    </r>
    <r>
      <rPr>
        <b/>
        <sz val="13"/>
        <color rgb="FFFF0000"/>
        <rFont val="Segoe UI"/>
        <family val="2"/>
      </rPr>
      <t>(EU banks only)</t>
    </r>
  </si>
  <si>
    <t>Output floor  - applying CRR3 proposal for equity exposures</t>
  </si>
  <si>
    <r>
      <t xml:space="preserve">Total RWA </t>
    </r>
    <r>
      <rPr>
        <b/>
        <sz val="10"/>
        <color rgb="FFFF0000"/>
        <rFont val="Segoe UI"/>
        <family val="2"/>
      </rPr>
      <t xml:space="preserve"> - applying CRR3 proposal for equity exposures</t>
    </r>
  </si>
  <si>
    <r>
      <t xml:space="preserve">Full non-modelling approach </t>
    </r>
    <r>
      <rPr>
        <b/>
        <sz val="10"/>
        <color rgb="FFFF0000"/>
        <rFont val="Segoe UI"/>
        <family val="2"/>
      </rPr>
      <t xml:space="preserve"> - applying CRR3 proposal for equity exposures</t>
    </r>
  </si>
  <si>
    <r>
      <t xml:space="preserve">Full non-modelling approach 
Use of SA-CCR with alpha = 1 for CCR exposures calculated under the IMM for RWA not subject to a floor,
and CR-SA for RWA calculation </t>
    </r>
    <r>
      <rPr>
        <b/>
        <sz val="10"/>
        <color rgb="FFFF0000"/>
        <rFont val="Segoe UI"/>
        <family val="2"/>
      </rPr>
      <t xml:space="preserve"> - applying CRR3 proposal for equity exposures
Leave empty if IMM not applied</t>
    </r>
  </si>
  <si>
    <t>F) Additional information for regional governments and local authorities (RGLA) as well as public sector entities (PSE)</t>
  </si>
  <si>
    <t>Amounts applying revised IRB framework applying CRR3 and Council proposal for RGLA-PSE</t>
  </si>
  <si>
    <t xml:space="preserve">Total IRB exposures using same rules for non central governement RGLA-PSE  that are applicable to the general corporates exposure class, as provided in Article 151(11) of the CRR3 proposal </t>
  </si>
  <si>
    <r>
      <t xml:space="preserve">RWAs </t>
    </r>
    <r>
      <rPr>
        <b/>
        <sz val="10"/>
        <color rgb="FFFF0000"/>
        <rFont val="Segoe UI"/>
        <family val="2"/>
      </rPr>
      <t>applying CRR3 proposal for RGLA-PSE</t>
    </r>
  </si>
  <si>
    <t>of which RGLA and PSE exposures</t>
  </si>
  <si>
    <t>RGLA</t>
  </si>
  <si>
    <t>PSE</t>
  </si>
  <si>
    <t>Sovereings</t>
  </si>
  <si>
    <t>of which of which RGLA and PSE exposures</t>
  </si>
  <si>
    <t>G) Additional information for trade finance off balance sheet items</t>
  </si>
  <si>
    <t>Amounts applying the revised IRB framework and applying a 20% CCF to trade finance exposures (article 111 of the Council proposal)</t>
  </si>
  <si>
    <t xml:space="preserve">Full non-modelling approach
</t>
  </si>
  <si>
    <t>Off balance sheet F-IRB exposures - Transaction-related contingent items</t>
  </si>
  <si>
    <t>(*) This date refers on when Corep data have been received for this bank based on C 01.00 template availability, date is provided in order to support banks knowing whether information is updated or not</t>
  </si>
  <si>
    <t>DATE OF UPDATE COREP INFORMATION</t>
  </si>
  <si>
    <t>Alternative method CVA - CRR Article 385</t>
  </si>
  <si>
    <t>3) Approaches for CVA</t>
  </si>
  <si>
    <t>Simplified SA-CCR - CRR Article 281</t>
  </si>
  <si>
    <t>Original Exposure method (OEM) - CRR Article 282</t>
  </si>
  <si>
    <t xml:space="preserve">Revised framework </t>
  </si>
  <si>
    <t>2) Approaches to counterparty credit risk for derivatives</t>
  </si>
  <si>
    <r>
      <t xml:space="preserve">(*) The LEI code of the Bank is information strictly confidential and will be treated as such. </t>
    </r>
    <r>
      <rPr>
        <sz val="10"/>
        <color rgb="FFFF0000"/>
        <rFont val="Calibri"/>
        <family val="2"/>
      </rPr>
      <t>Results will not be disclosed at bank level and the LEI and name of the participating bank will only be used internally by the respective NCA and the EBA.</t>
    </r>
  </si>
  <si>
    <r>
      <t xml:space="preserve">LEI code of the Bank </t>
    </r>
    <r>
      <rPr>
        <b/>
        <sz val="10"/>
        <color rgb="FFFF0000"/>
        <rFont val="Segoe UI"/>
        <family val="2"/>
      </rPr>
      <t>(*)</t>
    </r>
  </si>
  <si>
    <t>1) Identification data</t>
  </si>
  <si>
    <t>A) General bank data</t>
  </si>
  <si>
    <t>EU General information (to be completed by all banks)</t>
  </si>
  <si>
    <t>exposures  &gt; 80% of property value</t>
  </si>
  <si>
    <t>exposures &gt;55 ≤ 80% of property value</t>
  </si>
  <si>
    <t>exposures &gt; 80% of property value</t>
  </si>
  <si>
    <t xml:space="preserve">Check the application RRE RWAs% </t>
  </si>
  <si>
    <t>Check reporting panel B</t>
  </si>
  <si>
    <r>
      <t xml:space="preserve">Assuming </t>
    </r>
    <r>
      <rPr>
        <i/>
        <sz val="11"/>
        <color theme="1"/>
        <rFont val="Calibri"/>
        <family val="2"/>
        <scheme val="minor"/>
      </rPr>
      <t>CRR III Art. 465 (5) 2nd subparagraph (b) failed</t>
    </r>
  </si>
  <si>
    <r>
      <t xml:space="preserve">Assuming </t>
    </r>
    <r>
      <rPr>
        <i/>
        <sz val="11"/>
        <color theme="1"/>
        <rFont val="Calibri"/>
        <family val="2"/>
        <scheme val="minor"/>
      </rPr>
      <t xml:space="preserve">CRR III Art. 465 (5) 2nd subparagraph (b) passed </t>
    </r>
  </si>
  <si>
    <t>Output Floor</t>
  </si>
  <si>
    <t>Super hard test</t>
  </si>
  <si>
    <t xml:space="preserve">Overall loss Rate </t>
  </si>
  <si>
    <t>Losses for exposures ≤ 55% of property value</t>
  </si>
  <si>
    <t>Exposures secured by residential real estate; of which</t>
  </si>
  <si>
    <t>Year</t>
  </si>
  <si>
    <t>Check reporting data on losses</t>
  </si>
  <si>
    <t>Country (drop down)</t>
  </si>
  <si>
    <t>Country 4</t>
  </si>
  <si>
    <t>Country 3</t>
  </si>
  <si>
    <t>Country 2</t>
  </si>
  <si>
    <t>Country 1</t>
  </si>
  <si>
    <r>
      <t xml:space="preserve">Exposures secured by residential real estate </t>
    </r>
    <r>
      <rPr>
        <b/>
        <u/>
        <sz val="10"/>
        <color theme="1"/>
        <rFont val="Segoe UI"/>
        <family val="2"/>
      </rPr>
      <t>located in the jurisdiction of the institution</t>
    </r>
    <r>
      <rPr>
        <b/>
        <sz val="10"/>
        <color theme="1"/>
        <rFont val="Segoe UI"/>
        <family val="2"/>
      </rPr>
      <t>; of which:</t>
    </r>
  </si>
  <si>
    <t xml:space="preserve">Check the application RRE RW% </t>
  </si>
  <si>
    <t>EU RRE (To be filled by IRB banks only)</t>
  </si>
  <si>
    <t>Total  SFTs that are fair-valued for accounting purposes</t>
  </si>
  <si>
    <t>Fair-valued SFTs</t>
  </si>
  <si>
    <r>
      <rPr>
        <b/>
        <sz val="10"/>
        <color theme="1"/>
        <rFont val="Segoe UI"/>
        <family val="2"/>
      </rPr>
      <t>Of which</t>
    </r>
    <r>
      <rPr>
        <sz val="10"/>
        <color theme="1"/>
        <rFont val="Segoe UI"/>
        <family val="2"/>
      </rPr>
      <t>: derivatives only</t>
    </r>
  </si>
  <si>
    <t>Total transactions in the scope of the CVA risk charge under the final Basel III framework</t>
  </si>
  <si>
    <t>Final Basel III scope</t>
  </si>
  <si>
    <t>Marginal impact of reintegration of transactions with sovereign counterparties (Article 382(4)(d) CRR)</t>
  </si>
  <si>
    <t>Marginal impact of reintegration of transactions with pension funds counterparties (Article 382(4)(c) CRR)</t>
  </si>
  <si>
    <t>Marginal impact of reintegration of intragroup transactions (Article 382(4)(b) CRR)</t>
  </si>
  <si>
    <r>
      <rPr>
        <b/>
        <sz val="10"/>
        <rFont val="Segoe UI"/>
        <family val="2"/>
      </rPr>
      <t>Of which:</t>
    </r>
    <r>
      <rPr>
        <sz val="10"/>
        <rFont val="Segoe UI"/>
        <family val="2"/>
      </rPr>
      <t>Marginal impact of reintegration of</t>
    </r>
    <r>
      <rPr>
        <b/>
        <sz val="10"/>
        <rFont val="Segoe UI"/>
        <family val="2"/>
      </rPr>
      <t xml:space="preserve"> </t>
    </r>
    <r>
      <rPr>
        <sz val="10"/>
        <rFont val="Segoe UI"/>
        <family val="2"/>
      </rPr>
      <t>transactions with third country non-financial counterparties only</t>
    </r>
  </si>
  <si>
    <r>
      <rPr>
        <b/>
        <sz val="10"/>
        <rFont val="Segoe UI"/>
        <family val="2"/>
      </rPr>
      <t xml:space="preserve">Of which: </t>
    </r>
    <r>
      <rPr>
        <sz val="10"/>
        <rFont val="Segoe UI"/>
        <family val="2"/>
      </rPr>
      <t>Marginal impact of reintegration of</t>
    </r>
    <r>
      <rPr>
        <b/>
        <sz val="10"/>
        <rFont val="Segoe UI"/>
        <family val="2"/>
      </rPr>
      <t xml:space="preserve"> </t>
    </r>
    <r>
      <rPr>
        <sz val="10"/>
        <rFont val="Segoe UI"/>
        <family val="2"/>
      </rPr>
      <t>transactions with EU non-financial counterparties  only</t>
    </r>
  </si>
  <si>
    <t>Marginal impact of reintegration of transactions with non-financial counterparties (Article 382(4)(a) CRR)</t>
  </si>
  <si>
    <t>Marginal impact of reintegration of client’s transactions (Article 382(3) CRR)</t>
  </si>
  <si>
    <t>Total transactions in the scope of the CVA risk charge under the current Basel III framework (i.e. all CRR exemptions defined in Article 382 CRR are reintegrated to the CRR scope)</t>
  </si>
  <si>
    <t>CRR exemptions</t>
  </si>
  <si>
    <r>
      <rPr>
        <b/>
        <sz val="10"/>
        <color theme="1"/>
        <rFont val="Segoe UI"/>
        <family val="2"/>
      </rPr>
      <t>of which</t>
    </r>
    <r>
      <rPr>
        <sz val="10"/>
        <color theme="1"/>
        <rFont val="Segoe UI"/>
        <family val="2"/>
      </rPr>
      <t>: derivatives only</t>
    </r>
  </si>
  <si>
    <t>Total transactions in the scope of the CVA risk charge under the CRR framework</t>
  </si>
  <si>
    <t>CRR scope</t>
  </si>
  <si>
    <t>Check: K_reduced (column AM) and K_hedged (column AN) in should be larger than 0 and not equal</t>
  </si>
  <si>
    <t>Capital requirement under Full BA-CVA</t>
  </si>
  <si>
    <t>Capital requirement under Reduced BA-CVA</t>
  </si>
  <si>
    <t>Capital requirement for netting sets carved out of the SA-CVA that use the reduced BA-CVA approach or the Full BA-CVA approach</t>
  </si>
  <si>
    <t>Capital requirement under for netting sets under the SA-CVA approach</t>
  </si>
  <si>
    <t>Check: K_reduced (column O) and K_hedged (column Q) in should be larger than 0 and not equal</t>
  </si>
  <si>
    <t>Overall capital requirements for CVA</t>
  </si>
  <si>
    <t>Capital requirement under SA-CVA approach</t>
  </si>
  <si>
    <t xml:space="preserve">Capital requirement under Full BA-CVA
</t>
  </si>
  <si>
    <t>CCR capital requirement</t>
  </si>
  <si>
    <t>CCR Exposures</t>
  </si>
  <si>
    <t xml:space="preserve">Total CVA capital requirement 
</t>
  </si>
  <si>
    <t>Filled in consistent with flag settings in General info</t>
  </si>
  <si>
    <t xml:space="preserve">CVA Capital requirement under the Advanced method
(Article 383 CRR)
</t>
  </si>
  <si>
    <t xml:space="preserve">CVA Capital requirement under the Standardised method 
(Article 384 CRR)
</t>
  </si>
  <si>
    <t>Filled in consistent with flag settings in EU General info</t>
  </si>
  <si>
    <t xml:space="preserve">CVA Capital requirement under the Alternative Method 
(Article 385 CRR)
</t>
  </si>
  <si>
    <t xml:space="preserve"> CVA</t>
  </si>
  <si>
    <t>Revised framework for CCR, credit risk and CVA (in case banks are not able to measure CCR exposures using the SA-CCR, they may use one of the current non-internal model methods)</t>
  </si>
  <si>
    <t>Current framework for CCR, credit risk and CVA</t>
  </si>
  <si>
    <r>
      <t xml:space="preserve">Institutions should report </t>
    </r>
    <r>
      <rPr>
        <b/>
        <sz val="10"/>
        <color rgb="FFAA322F"/>
        <rFont val="Segoe UI"/>
        <family val="2"/>
      </rPr>
      <t>capital requirements for both CCR and CVA (i.e. RWA divided by 12.5)</t>
    </r>
    <r>
      <rPr>
        <b/>
        <sz val="10"/>
        <rFont val="Segoe UI"/>
        <family val="2"/>
      </rPr>
      <t>.</t>
    </r>
    <r>
      <rPr>
        <b/>
        <sz val="10"/>
        <color rgb="FFAA322F"/>
        <rFont val="Segoe UI"/>
        <family val="2"/>
      </rPr>
      <t xml:space="preserve"> Do </t>
    </r>
    <r>
      <rPr>
        <b/>
        <u/>
        <sz val="10"/>
        <color rgb="FFAA322F"/>
        <rFont val="Segoe UI"/>
        <family val="2"/>
      </rPr>
      <t>not</t>
    </r>
    <r>
      <rPr>
        <b/>
        <sz val="10"/>
        <color rgb="FFAA322F"/>
        <rFont val="Segoe UI"/>
        <family val="2"/>
      </rPr>
      <t xml:space="preserve"> report RWA amounts</t>
    </r>
    <r>
      <rPr>
        <b/>
        <sz val="10"/>
        <rFont val="Segoe UI"/>
        <family val="2"/>
      </rPr>
      <t xml:space="preserve">. </t>
    </r>
    <r>
      <rPr>
        <sz val="10"/>
        <rFont val="Segoe UI"/>
        <family val="2"/>
      </rPr>
      <t>Institutions should fill in the relevant columns consistent with the CVA approach flag settings set out in General Info and EU General Info. If an institution has selected "No" for a specific CVA approach, any reported amount under this approach would not be considered when calculating the total CVA capital requirements (i.e. it would be set to zero for this approach).</t>
    </r>
  </si>
  <si>
    <t>B) CVA capital requirements</t>
  </si>
  <si>
    <t>Calculation using CCR capital requirement (based on the conditions of Article 273a (2) CRR)</t>
  </si>
  <si>
    <t>Possibility to use CCR capital requirement: Are the conditions of Article 273a (2) CRR met?</t>
  </si>
  <si>
    <t>Size of the derivative business as percentage of total assets</t>
  </si>
  <si>
    <t>Size of the derivative business</t>
  </si>
  <si>
    <t xml:space="preserve">A) Size of derivative business </t>
  </si>
  <si>
    <t>AM-AN</t>
  </si>
  <si>
    <t>AK</t>
  </si>
  <si>
    <t>W-AI</t>
  </si>
  <si>
    <t>R-T</t>
  </si>
  <si>
    <t>P</t>
  </si>
  <si>
    <t>Column</t>
  </si>
  <si>
    <t>Columns to be filled under revised approaches</t>
  </si>
  <si>
    <t>J</t>
  </si>
  <si>
    <t>F</t>
  </si>
  <si>
    <t>Alternative method</t>
  </si>
  <si>
    <t>Columns to be filled under current approaches</t>
  </si>
  <si>
    <t>EU CVA</t>
  </si>
  <si>
    <t>Approach used to calculate own funds for exposure to this CCP (drop down)</t>
  </si>
  <si>
    <t>Main CCR approach used to calculate trade exposure for this CCP (drop down)</t>
  </si>
  <si>
    <t>of which: client trades</t>
  </si>
  <si>
    <t>of which: own trades</t>
  </si>
  <si>
    <t>Energy derivatives</t>
  </si>
  <si>
    <t>Commodity derivatives, of which:</t>
  </si>
  <si>
    <t>OTC bilateral</t>
  </si>
  <si>
    <t>Equity derivatives, of which:</t>
  </si>
  <si>
    <t>of which: subject to clearing obligation</t>
  </si>
  <si>
    <t>OTC denominated in EUR</t>
  </si>
  <si>
    <t>Credit derivatives; of which:</t>
  </si>
  <si>
    <t>Other OTC bilateral</t>
  </si>
  <si>
    <t>Other denominated in other EU/EEA currencies</t>
  </si>
  <si>
    <t>OTC bilateral denominated in other EU/EEA currencies</t>
  </si>
  <si>
    <t>Other denominated in PLN</t>
  </si>
  <si>
    <t>OTC bilateral denominated in PLN</t>
  </si>
  <si>
    <t>Other denominated in EUR</t>
  </si>
  <si>
    <t>OTC bilateral denominated in EUR</t>
  </si>
  <si>
    <t>Interest Rate derivatives; of which:</t>
  </si>
  <si>
    <t>Residency of end-counterparty: Rest of the world</t>
  </si>
  <si>
    <t>Residency of end-counterparty: US</t>
  </si>
  <si>
    <t>Residency of end-counterparty: UK</t>
  </si>
  <si>
    <t>Residency of end-counterparty: EU</t>
  </si>
  <si>
    <t>CVA charge</t>
  </si>
  <si>
    <t>Default fund contribution</t>
  </si>
  <si>
    <t>Total trade exposure</t>
  </si>
  <si>
    <t>Initial margin (IM) posted to CCP</t>
  </si>
  <si>
    <t>Net Variation Margin</t>
  </si>
  <si>
    <t>Current Market Value (CMV)</t>
  </si>
  <si>
    <t>Number of transactions</t>
  </si>
  <si>
    <t>Capital requirements under the current framework</t>
  </si>
  <si>
    <t>Memo Box</t>
  </si>
  <si>
    <t>24) Singapore Exchange Derivatives Clearing (SGXDC)</t>
  </si>
  <si>
    <t>23) Canadian Derivatives Clearing Corporation (CDCC)</t>
  </si>
  <si>
    <t>22) Korea Exchange, Inc. (KRX)</t>
  </si>
  <si>
    <t>21) ICE Clear Credit US</t>
  </si>
  <si>
    <t>20) OTC HK</t>
  </si>
  <si>
    <t>19) JSCC</t>
  </si>
  <si>
    <t>18) Chicago Mercantile Exchange, Inc. (CME)</t>
  </si>
  <si>
    <t>17) LME Clear Limited</t>
  </si>
  <si>
    <t>16) ICE Clear Europe Limited (ICE EU)</t>
  </si>
  <si>
    <t>15) LCH Limited (LCH)</t>
  </si>
  <si>
    <t>14) SKDD-CCP Smart Clear d.d (SKDD-CCP)</t>
  </si>
  <si>
    <t>13) Athens Exchange Clearing House (Athex Clear)</t>
  </si>
  <si>
    <t>12) ICE Clear Netherlands B.V.</t>
  </si>
  <si>
    <t>11) OMIClear - C.C., S.A.</t>
  </si>
  <si>
    <t>10) BME Clearing</t>
  </si>
  <si>
    <t>9) CCP Austria Abwicklungsstelle für Börsengeschäfte GmbH (CCP.A)</t>
  </si>
  <si>
    <t>8) Keler CCP</t>
  </si>
  <si>
    <t>7) European Commodity Clearing</t>
  </si>
  <si>
    <t>6) LCH SA</t>
  </si>
  <si>
    <t>5) Cassa di Compensazione e Garanzia S.p.A. (CCG)</t>
  </si>
  <si>
    <t>4) Eurex Clearing AG</t>
  </si>
  <si>
    <t>3) KDPW_CCP</t>
  </si>
  <si>
    <t>2) European Central Counterparty N.V.</t>
  </si>
  <si>
    <t xml:space="preserve">1) Nasdaq OMX Clearing AB </t>
  </si>
  <si>
    <r>
      <t xml:space="preserve">B) CCP exposure
</t>
    </r>
    <r>
      <rPr>
        <sz val="13"/>
        <rFont val="Segoe UI"/>
        <family val="2"/>
      </rPr>
      <t xml:space="preserve">Risk categories, for which derivative transactions are not authorised or recognised, and should therefore be treated as transactions with a non-qualifying CCP, are marked in purple. </t>
    </r>
  </si>
  <si>
    <t>If yes, country of official clearing member (drop down)</t>
  </si>
  <si>
    <t>If yes, LEI of official clearing member (if within the group, legal entity within the group)</t>
  </si>
  <si>
    <t>If yes, name of official clearing member (if within the group, legal entity within the group)</t>
  </si>
  <si>
    <t>if yes, as clearing member: 
How is the official clearing member reached? (drop down)</t>
  </si>
  <si>
    <t>if yes, as part of indirect clearing arrangements: 
LEI of the client having direct access to the clearing member</t>
  </si>
  <si>
    <t>if yes, as part of indirect clearing arrangements: 
Name of the client having direct access to the clearing member</t>
  </si>
  <si>
    <t>`</t>
  </si>
  <si>
    <t>Do you clear transaction with this CCP? (drop down)</t>
  </si>
  <si>
    <t>South Korea</t>
  </si>
  <si>
    <t>Hong Kong</t>
  </si>
  <si>
    <t>Croatia</t>
  </si>
  <si>
    <t xml:space="preserve">Greece </t>
  </si>
  <si>
    <t xml:space="preserve">Netherlands </t>
  </si>
  <si>
    <t>Portugal</t>
  </si>
  <si>
    <t>Austria</t>
  </si>
  <si>
    <t xml:space="preserve">Hungary </t>
  </si>
  <si>
    <t xml:space="preserve">Italy </t>
  </si>
  <si>
    <t xml:space="preserve">Poland </t>
  </si>
  <si>
    <t xml:space="preserve">Sweden </t>
  </si>
  <si>
    <t>Country of establishment</t>
  </si>
  <si>
    <t>549300ZLWT3FK3F0FW61</t>
  </si>
  <si>
    <t>5493004XJK1P32XQLA57</t>
  </si>
  <si>
    <t>549300TJ3RRV6Q1UEW14</t>
  </si>
  <si>
    <t>T33OE4AS4QXXS2TT7X50</t>
  </si>
  <si>
    <t>213800CKBBZUAHHARH83</t>
  </si>
  <si>
    <t>549300JHM7D8P3TS4S86</t>
  </si>
  <si>
    <t>SNZ2OJLFK8MNNCLQOF39</t>
  </si>
  <si>
    <t>213800L8AQD59D3JRW81</t>
  </si>
  <si>
    <t>5R6J7JCQRIPQR1EEP713</t>
  </si>
  <si>
    <t>F226TOH6YD6XJB17KS62</t>
  </si>
  <si>
    <t>747800E0OA8S9C</t>
  </si>
  <si>
    <t>213800IW53U9JMJ</t>
  </si>
  <si>
    <t>7245003TLNC4R9X</t>
  </si>
  <si>
    <t>5299001PSXO7X2J</t>
  </si>
  <si>
    <t>5299009QA8BBE2OOB349</t>
  </si>
  <si>
    <t>529900QF6QY66Q</t>
  </si>
  <si>
    <t>529900MHIW6Z8O</t>
  </si>
  <si>
    <t>529900M6JY6PUZ9</t>
  </si>
  <si>
    <t>R1IO4YJ0O79SMW VCHB58</t>
  </si>
  <si>
    <t>8156006407E264D2</t>
  </si>
  <si>
    <t>529900LN3S50JPU47S06</t>
  </si>
  <si>
    <t>2594000K576D5CQ</t>
  </si>
  <si>
    <t>724500937F740MH</t>
  </si>
  <si>
    <t>54930002A8LR1AA</t>
  </si>
  <si>
    <t>Identification code of the CCP (LEI)</t>
  </si>
  <si>
    <t>Singapore Exchange Derivatives Clearing (SGXDC)</t>
  </si>
  <si>
    <t>Canadian Derivatives Clearing Corporation (CDCC)</t>
  </si>
  <si>
    <t>Korea Exchange, Inc. (KRX)</t>
  </si>
  <si>
    <t>ICE Clear Credit LLC</t>
  </si>
  <si>
    <t>OTC Clearing Hong Kong Ltd</t>
  </si>
  <si>
    <t>Japan Securities Clearing Corporation</t>
  </si>
  <si>
    <t>Chicago Mercentile Exchange</t>
  </si>
  <si>
    <t>LME Clear Limited</t>
  </si>
  <si>
    <t>ICE  Clear Europe Limited</t>
  </si>
  <si>
    <t>LCH Limited</t>
  </si>
  <si>
    <t>SKDD-CCP Smart Clear d.d (SKDD-CCP)</t>
  </si>
  <si>
    <t>Athens Exchange Clearing House (Athex Clear)</t>
  </si>
  <si>
    <t>ICE Clear Netherlands B.V.</t>
  </si>
  <si>
    <t>OMIClear - C.C., S.A.</t>
  </si>
  <si>
    <t>BME Clearing</t>
  </si>
  <si>
    <t>CCP Austria Abwicklungsstelle für Börsengeschäfte GmbH (CCP.A)</t>
  </si>
  <si>
    <t>Keler CCP</t>
  </si>
  <si>
    <t>European Commodity Clearing</t>
  </si>
  <si>
    <t>LCH SA</t>
  </si>
  <si>
    <t>Cassa di Compensazione e Garanzia S.p.A. (CCG)</t>
  </si>
  <si>
    <t>Eurex Clearing AG</t>
  </si>
  <si>
    <t>KDPW_CCP</t>
  </si>
  <si>
    <t>European Central Counterparty N.V.</t>
  </si>
  <si>
    <t xml:space="preserve">Nasdaq OMX Clearing AB </t>
  </si>
  <si>
    <t>Name of the CCP</t>
  </si>
  <si>
    <t>A) Central counterparties</t>
  </si>
  <si>
    <t>EU CCP</t>
  </si>
  <si>
    <t>Fallback method</t>
  </si>
  <si>
    <t>Asymmetrical sigma method</t>
  </si>
  <si>
    <t>Historical method</t>
  </si>
  <si>
    <t>Direct method</t>
  </si>
  <si>
    <t>Regulatory bucket</t>
  </si>
  <si>
    <t>Not parameter  for curve or surface</t>
  </si>
  <si>
    <t>Parameter for curve or surface</t>
  </si>
  <si>
    <t>SSRM at bucket level</t>
  </si>
  <si>
    <t>SSRM at risk factor level</t>
  </si>
  <si>
    <t xml:space="preserve">Number of buckets </t>
  </si>
  <si>
    <t>Number of risk factors</t>
  </si>
  <si>
    <t>All risk factors</t>
  </si>
  <si>
    <t>Non-modellable risk-factors</t>
  </si>
  <si>
    <t>Modellable risk factors</t>
  </si>
  <si>
    <r>
      <t xml:space="preserve">C) </t>
    </r>
    <r>
      <rPr>
        <b/>
        <sz val="13"/>
        <color rgb="FFAA322F"/>
        <rFont val="Segoe UI"/>
        <family val="2"/>
      </rPr>
      <t xml:space="preserve">Number of risk factors (or buckets) </t>
    </r>
    <r>
      <rPr>
        <b/>
        <sz val="13"/>
        <rFont val="Segoe UI"/>
        <family val="2"/>
      </rPr>
      <t>by SSRM method</t>
    </r>
  </si>
  <si>
    <t>of which: extreme scenario future shock occurs at CS_down</t>
  </si>
  <si>
    <t>of which: extreme scenario future shock occurs at 0.8*CS_up or at 0.8*CS_down</t>
  </si>
  <si>
    <t>of which: extreme scenario future shock occurs at CS_up</t>
  </si>
  <si>
    <t xml:space="preserve">Foreign exchange risk </t>
  </si>
  <si>
    <t xml:space="preserve">Commodity risk </t>
  </si>
  <si>
    <t>Equity risk, non-idiosyncratic</t>
  </si>
  <si>
    <t>Equity risk, idiosyncratic</t>
  </si>
  <si>
    <t>Credit spread risk, non-idiosyncratic</t>
  </si>
  <si>
    <t>Credit spread risk, idiosyncratic</t>
  </si>
  <si>
    <t xml:space="preserve">Interest rate risk </t>
  </si>
  <si>
    <t>Total OFR - SSRM</t>
  </si>
  <si>
    <t>∑(RSS_k ^2)</t>
  </si>
  <si>
    <t>∑(RSS_k)</t>
  </si>
  <si>
    <t>Adjusted Liquidity horizon</t>
  </si>
  <si>
    <t>10-day Liquidity horizon</t>
  </si>
  <si>
    <r>
      <t xml:space="preserve">Banks should report the </t>
    </r>
    <r>
      <rPr>
        <b/>
        <sz val="10"/>
        <color rgb="FFAA322F"/>
        <rFont val="Segoe UI"/>
        <family val="2"/>
      </rPr>
      <t>rescaled stress scenario risk measure</t>
    </r>
    <r>
      <rPr>
        <b/>
        <sz val="10"/>
        <rFont val="Segoe UI"/>
        <family val="2"/>
      </rPr>
      <t xml:space="preserve"> </t>
    </r>
    <r>
      <rPr>
        <sz val="10"/>
        <rFont val="Segoe UI"/>
        <family val="2"/>
      </rPr>
      <t xml:space="preserve">described in Article 12 of the RTS on SSRM for </t>
    </r>
    <r>
      <rPr>
        <b/>
        <sz val="10"/>
        <color rgb="FFAA322F"/>
        <rFont val="Segoe UI"/>
        <family val="2"/>
      </rPr>
      <t>modellable risk factors (or buckets) only</t>
    </r>
    <r>
      <rPr>
        <b/>
        <sz val="10"/>
        <rFont val="Segoe UI"/>
        <family val="2"/>
      </rPr>
      <t>,</t>
    </r>
    <r>
      <rPr>
        <sz val="10"/>
        <rFont val="Segoe UI"/>
        <family val="2"/>
      </rPr>
      <t xml:space="preserve"> as if the capital requirements for these risk factors (or buckets) were calculated using the EBA SSRM methodology (instead of the ES measure).</t>
    </r>
  </si>
  <si>
    <r>
      <t xml:space="preserve">2) Revised market risk requirements for </t>
    </r>
    <r>
      <rPr>
        <b/>
        <sz val="13"/>
        <color rgb="FFAA322F"/>
        <rFont val="Segoe UI"/>
        <family val="2"/>
      </rPr>
      <t>modellable risk factors</t>
    </r>
    <r>
      <rPr>
        <b/>
        <sz val="13"/>
        <rFont val="Segoe UI"/>
        <family val="2"/>
      </rPr>
      <t xml:space="preserve"> under the EBA SSRM methodology</t>
    </r>
  </si>
  <si>
    <r>
      <t>Banks should report the</t>
    </r>
    <r>
      <rPr>
        <b/>
        <sz val="10"/>
        <color rgb="FFAA322F"/>
        <rFont val="Segoe UI"/>
        <family val="2"/>
      </rPr>
      <t xml:space="preserve"> rescaled stress scenario risk measur</t>
    </r>
    <r>
      <rPr>
        <sz val="10"/>
        <rFont val="Segoe UI"/>
        <family val="2"/>
      </rPr>
      <t xml:space="preserve">e described in Article 12 of the RTS on SSRM for </t>
    </r>
    <r>
      <rPr>
        <b/>
        <sz val="10"/>
        <color rgb="FFAA322F"/>
        <rFont val="Segoe UI"/>
        <family val="2"/>
      </rPr>
      <t>non-modellable risk factors (or buckets) only.</t>
    </r>
  </si>
  <si>
    <r>
      <t xml:space="preserve">1) Revised market risk requirements for </t>
    </r>
    <r>
      <rPr>
        <b/>
        <sz val="13"/>
        <color rgb="FFAA322F"/>
        <rFont val="Segoe UI"/>
        <family val="2"/>
      </rPr>
      <t>non-modellable risk factors</t>
    </r>
    <r>
      <rPr>
        <b/>
        <sz val="13"/>
        <rFont val="Segoe UI"/>
        <family val="2"/>
      </rPr>
      <t xml:space="preserve"> under the EBA SSRM methodology
</t>
    </r>
  </si>
  <si>
    <r>
      <t>This panel collects information on th</t>
    </r>
    <r>
      <rPr>
        <sz val="10"/>
        <color theme="1"/>
        <rFont val="Segoe UI"/>
        <family val="2"/>
      </rPr>
      <t>e</t>
    </r>
    <r>
      <rPr>
        <b/>
        <sz val="10"/>
        <color rgb="FFAA322F"/>
        <rFont val="Segoe UI"/>
        <family val="2"/>
      </rPr>
      <t xml:space="preserve"> revised market risk requirements under the EBA SSRM methodology</t>
    </r>
    <r>
      <rPr>
        <sz val="10"/>
        <color rgb="FFAA322F"/>
        <rFont val="Segoe UI"/>
        <family val="2"/>
      </rPr>
      <t xml:space="preserve"> </t>
    </r>
    <r>
      <rPr>
        <sz val="10"/>
        <rFont val="Segoe UI"/>
        <family val="2"/>
      </rPr>
      <t>separately for non-modellable risk factors (or buckets) in Panel B1 and modellable risk factors (or buckets) in Panel B2.</t>
    </r>
  </si>
  <si>
    <t>B) Overall minimum capital requirements (8% RWA)</t>
  </si>
  <si>
    <r>
      <t xml:space="preserve">A) </t>
    </r>
    <r>
      <rPr>
        <b/>
        <sz val="13"/>
        <color rgb="FFAA322F"/>
        <rFont val="Segoe UI"/>
        <family val="2"/>
      </rPr>
      <t xml:space="preserve">Number of risk factors (or buckets) </t>
    </r>
    <r>
      <rPr>
        <b/>
        <sz val="13"/>
        <rFont val="Segoe UI"/>
        <family val="2"/>
      </rPr>
      <t>by risk class (where relevant separate for idiosyncratic/non-idiosyncratic)</t>
    </r>
  </si>
  <si>
    <r>
      <rPr>
        <b/>
        <sz val="10"/>
        <color rgb="FFAA322F"/>
        <rFont val="Segoe UI"/>
        <family val="2"/>
      </rPr>
      <t xml:space="preserve">Applicable to IMA banks only. </t>
    </r>
    <r>
      <rPr>
        <sz val="10"/>
        <rFont val="Segoe UI"/>
        <family val="2"/>
      </rPr>
      <t xml:space="preserve">The scope of this worksheet must be </t>
    </r>
    <r>
      <rPr>
        <b/>
        <sz val="10"/>
        <color rgb="FFAA322F"/>
        <rFont val="Segoe UI"/>
        <family val="2"/>
      </rPr>
      <t>identical</t>
    </r>
    <r>
      <rPr>
        <sz val="10"/>
        <rFont val="Segoe UI"/>
        <family val="2"/>
      </rPr>
      <t xml:space="preserve"> to the scope of trading desks used to calculate IMA capital requirement in worksheet “TB” panel B2b, assuming all trading desks are in the BT and PLA test green zone. 
This worksheet collects additional information on the application of the EBA Stress Scenario Risk Measure (SSRM) methodology described in the Final Draft RTS on the calculation of the SSRM under Article 325bk(3) of Regulation (EU) No 575/2013 (Capital Requirements Regulation 2 – CRR2)</t>
    </r>
  </si>
  <si>
    <t>EU Trading book: EBA Stress scenario risk measure (SSRM) methodology</t>
  </si>
  <si>
    <t>SE</t>
  </si>
  <si>
    <t>ES</t>
  </si>
  <si>
    <t>SI</t>
  </si>
  <si>
    <t>Slovenia</t>
  </si>
  <si>
    <t>SK</t>
  </si>
  <si>
    <t>Slovakia</t>
  </si>
  <si>
    <t>RO</t>
  </si>
  <si>
    <t>Romania</t>
  </si>
  <si>
    <t>PT</t>
  </si>
  <si>
    <t>PL</t>
  </si>
  <si>
    <t>Poland</t>
  </si>
  <si>
    <t>NL</t>
  </si>
  <si>
    <t>MT</t>
  </si>
  <si>
    <t>Malta</t>
  </si>
  <si>
    <t>LU</t>
  </si>
  <si>
    <t>LT</t>
  </si>
  <si>
    <t>Lithuania</t>
  </si>
  <si>
    <t>LV</t>
  </si>
  <si>
    <t>Latvia</t>
  </si>
  <si>
    <t>IT</t>
  </si>
  <si>
    <t>IE</t>
  </si>
  <si>
    <t>Ireland</t>
  </si>
  <si>
    <t>HU</t>
  </si>
  <si>
    <t>Hungary</t>
  </si>
  <si>
    <t>GR</t>
  </si>
  <si>
    <t>Greece</t>
  </si>
  <si>
    <t>DE</t>
  </si>
  <si>
    <t>FR</t>
  </si>
  <si>
    <t>FI</t>
  </si>
  <si>
    <t>Finland</t>
  </si>
  <si>
    <t>EE</t>
  </si>
  <si>
    <t>Estonia</t>
  </si>
  <si>
    <t>DK</t>
  </si>
  <si>
    <t>Denmark</t>
  </si>
  <si>
    <t>CZ</t>
  </si>
  <si>
    <t>Czech Republic</t>
  </si>
  <si>
    <t>CY</t>
  </si>
  <si>
    <t>Cyprus</t>
  </si>
  <si>
    <t>HR</t>
  </si>
  <si>
    <t>BG</t>
  </si>
  <si>
    <t>Bulgaria</t>
  </si>
  <si>
    <t>BE</t>
  </si>
  <si>
    <t>AT</t>
  </si>
  <si>
    <t xml:space="preserve">Country of location of real estate exposures </t>
  </si>
  <si>
    <t>3) EU RRE</t>
  </si>
  <si>
    <t>ZW</t>
  </si>
  <si>
    <t>Zimbabwe</t>
  </si>
  <si>
    <t>ZM</t>
  </si>
  <si>
    <t>Zambia</t>
  </si>
  <si>
    <t>YE</t>
  </si>
  <si>
    <t>Yemen</t>
  </si>
  <si>
    <t>EH</t>
  </si>
  <si>
    <t>Western Sahara</t>
  </si>
  <si>
    <t>WF</t>
  </si>
  <si>
    <t>Wallis and Futuna Islands</t>
  </si>
  <si>
    <t>VI</t>
  </si>
  <si>
    <t>Virgin Islands, US</t>
  </si>
  <si>
    <t>VN</t>
  </si>
  <si>
    <t>Viet Nam</t>
  </si>
  <si>
    <t>VE</t>
  </si>
  <si>
    <t>Venezuela (Bolivarian Republic)</t>
  </si>
  <si>
    <t>VU</t>
  </si>
  <si>
    <t>Vanuatu</t>
  </si>
  <si>
    <t>UZ</t>
  </si>
  <si>
    <t>Uzbekistan</t>
  </si>
  <si>
    <t>UY</t>
  </si>
  <si>
    <t>Uruguay</t>
  </si>
  <si>
    <t>UM</t>
  </si>
  <si>
    <t>US Minor Outlying Islands</t>
  </si>
  <si>
    <t>AE</t>
  </si>
  <si>
    <t>UA</t>
  </si>
  <si>
    <t>Ukraine</t>
  </si>
  <si>
    <t>UG</t>
  </si>
  <si>
    <t>Uganda</t>
  </si>
  <si>
    <t>TV</t>
  </si>
  <si>
    <t>Tuvalu</t>
  </si>
  <si>
    <t>TC</t>
  </si>
  <si>
    <t>Turks and Caicos Islands</t>
  </si>
  <si>
    <t>TM</t>
  </si>
  <si>
    <t>Turkmenistan</t>
  </si>
  <si>
    <t>TR</t>
  </si>
  <si>
    <t>TN</t>
  </si>
  <si>
    <t>Tunisia</t>
  </si>
  <si>
    <t>TT</t>
  </si>
  <si>
    <t>Trinidad and Tobago</t>
  </si>
  <si>
    <t>TO</t>
  </si>
  <si>
    <t>Tonga</t>
  </si>
  <si>
    <t>TK</t>
  </si>
  <si>
    <t>Tokelau</t>
  </si>
  <si>
    <t>TG</t>
  </si>
  <si>
    <t>Togo</t>
  </si>
  <si>
    <t>TL</t>
  </si>
  <si>
    <t>Timor-Leste</t>
  </si>
  <si>
    <t>TH</t>
  </si>
  <si>
    <t>Thailand</t>
  </si>
  <si>
    <t>TZ</t>
  </si>
  <si>
    <t>Tanzania, United Republic of</t>
  </si>
  <si>
    <t>TJ</t>
  </si>
  <si>
    <t>Tajikistan</t>
  </si>
  <si>
    <t>TW</t>
  </si>
  <si>
    <t>Taiwan, Republic of China</t>
  </si>
  <si>
    <t>SY</t>
  </si>
  <si>
    <t>Syrian Arab Republic (Syria)</t>
  </si>
  <si>
    <t>CH</t>
  </si>
  <si>
    <t>SZ</t>
  </si>
  <si>
    <t>Swaziland</t>
  </si>
  <si>
    <t>SJ</t>
  </si>
  <si>
    <t>Svalbard and Jan Mayen Islands</t>
  </si>
  <si>
    <t>SR</t>
  </si>
  <si>
    <t>Suriname</t>
  </si>
  <si>
    <t>SD</t>
  </si>
  <si>
    <t>Sudan</t>
  </si>
  <si>
    <t>LK</t>
  </si>
  <si>
    <t>Sri Lanka</t>
  </si>
  <si>
    <t>SS</t>
  </si>
  <si>
    <t>South Sudan</t>
  </si>
  <si>
    <t>GS</t>
  </si>
  <si>
    <t>South Georgia and the South Sandwich Islands</t>
  </si>
  <si>
    <t>ZA</t>
  </si>
  <si>
    <t>SO</t>
  </si>
  <si>
    <t>Somalia</t>
  </si>
  <si>
    <t>SB</t>
  </si>
  <si>
    <t>Solomon Islands</t>
  </si>
  <si>
    <t>SG</t>
  </si>
  <si>
    <t>SL</t>
  </si>
  <si>
    <t>Sierra Leone</t>
  </si>
  <si>
    <t>SC</t>
  </si>
  <si>
    <t>Seychelles</t>
  </si>
  <si>
    <t>RS</t>
  </si>
  <si>
    <t>Serbia</t>
  </si>
  <si>
    <t>SN</t>
  </si>
  <si>
    <t>Senegal</t>
  </si>
  <si>
    <t>ST</t>
  </si>
  <si>
    <t>Sao Tome and Principe</t>
  </si>
  <si>
    <t>SM</t>
  </si>
  <si>
    <t>San Marino</t>
  </si>
  <si>
    <t>WS</t>
  </si>
  <si>
    <t>Samoa</t>
  </si>
  <si>
    <t>VC</t>
  </si>
  <si>
    <t>Saint Vincent and Grenadines</t>
  </si>
  <si>
    <t>PM</t>
  </si>
  <si>
    <t>Saint Pierre and Miquelon</t>
  </si>
  <si>
    <t>MF</t>
  </si>
  <si>
    <t>Saint-Martin (French part)</t>
  </si>
  <si>
    <t>LC</t>
  </si>
  <si>
    <t>Saint Lucia</t>
  </si>
  <si>
    <t>KN</t>
  </si>
  <si>
    <t>Saint Kitts and Nevis</t>
  </si>
  <si>
    <t>SH</t>
  </si>
  <si>
    <t>Saint Helena</t>
  </si>
  <si>
    <t>BL</t>
  </si>
  <si>
    <t>Saint-Barthélemy</t>
  </si>
  <si>
    <t>RW</t>
  </si>
  <si>
    <t>Rwanda</t>
  </si>
  <si>
    <t>RU</t>
  </si>
  <si>
    <t>Russian Federation</t>
  </si>
  <si>
    <t>RE</t>
  </si>
  <si>
    <t>Réunion</t>
  </si>
  <si>
    <t>QA</t>
  </si>
  <si>
    <t>Qatar</t>
  </si>
  <si>
    <t>PR</t>
  </si>
  <si>
    <t>Puerto Rico</t>
  </si>
  <si>
    <t>PN</t>
  </si>
  <si>
    <t>Pitcairn</t>
  </si>
  <si>
    <t>PH</t>
  </si>
  <si>
    <t>Philippines</t>
  </si>
  <si>
    <t>PE</t>
  </si>
  <si>
    <t>Peru</t>
  </si>
  <si>
    <t>PY</t>
  </si>
  <si>
    <t>Paraguay</t>
  </si>
  <si>
    <t>PG</t>
  </si>
  <si>
    <t>Papua New Guinea</t>
  </si>
  <si>
    <t>PA</t>
  </si>
  <si>
    <t>Panama</t>
  </si>
  <si>
    <t>PS</t>
  </si>
  <si>
    <t>Palestinian Territory</t>
  </si>
  <si>
    <t>PW</t>
  </si>
  <si>
    <t>Palau</t>
  </si>
  <si>
    <t>PK</t>
  </si>
  <si>
    <t>Pakistan</t>
  </si>
  <si>
    <t>OM</t>
  </si>
  <si>
    <t>Oman</t>
  </si>
  <si>
    <t>MP</t>
  </si>
  <si>
    <t>Northern Mariana Islands</t>
  </si>
  <si>
    <t>NF</t>
  </si>
  <si>
    <t>Norfolk Island</t>
  </si>
  <si>
    <t>NU</t>
  </si>
  <si>
    <t>Niue</t>
  </si>
  <si>
    <t>NG</t>
  </si>
  <si>
    <t>Nigeria</t>
  </si>
  <si>
    <t>NE</t>
  </si>
  <si>
    <t>Niger</t>
  </si>
  <si>
    <t>NI</t>
  </si>
  <si>
    <t>Nicaragua</t>
  </si>
  <si>
    <t>NZ</t>
  </si>
  <si>
    <t>New Zealand</t>
  </si>
  <si>
    <t>NC</t>
  </si>
  <si>
    <t>New Caledonia</t>
  </si>
  <si>
    <t>AN</t>
  </si>
  <si>
    <t>Netherlands Antilles</t>
  </si>
  <si>
    <t>NP</t>
  </si>
  <si>
    <t>Nepal</t>
  </si>
  <si>
    <t>NR</t>
  </si>
  <si>
    <t>Nauru</t>
  </si>
  <si>
    <t>NA</t>
  </si>
  <si>
    <t>Namibia</t>
  </si>
  <si>
    <t>MM</t>
  </si>
  <si>
    <t>Myanmar</t>
  </si>
  <si>
    <t>MZ</t>
  </si>
  <si>
    <t>Mozambique</t>
  </si>
  <si>
    <t>MA</t>
  </si>
  <si>
    <t>Morocco</t>
  </si>
  <si>
    <t>MS</t>
  </si>
  <si>
    <t>Montserrat</t>
  </si>
  <si>
    <t>ME</t>
  </si>
  <si>
    <t>Montenegro</t>
  </si>
  <si>
    <t>MN</t>
  </si>
  <si>
    <t>Mongolia</t>
  </si>
  <si>
    <t>MC</t>
  </si>
  <si>
    <t>Monaco</t>
  </si>
  <si>
    <t>MD</t>
  </si>
  <si>
    <t>Moldova</t>
  </si>
  <si>
    <t>FM</t>
  </si>
  <si>
    <t>Micronesia, Federated States of</t>
  </si>
  <si>
    <t>MX</t>
  </si>
  <si>
    <t>YT</t>
  </si>
  <si>
    <t>Mayotte</t>
  </si>
  <si>
    <t>MU</t>
  </si>
  <si>
    <t>Mauritius</t>
  </si>
  <si>
    <t>MR</t>
  </si>
  <si>
    <t>Mauritania</t>
  </si>
  <si>
    <t>MQ</t>
  </si>
  <si>
    <t>Martinique</t>
  </si>
  <si>
    <t>MH</t>
  </si>
  <si>
    <t>Marshall Islands</t>
  </si>
  <si>
    <t>ML</t>
  </si>
  <si>
    <t>Mali</t>
  </si>
  <si>
    <t>MV</t>
  </si>
  <si>
    <t>Maldives</t>
  </si>
  <si>
    <t>MY</t>
  </si>
  <si>
    <t>MW</t>
  </si>
  <si>
    <t>Malawi</t>
  </si>
  <si>
    <t>MG</t>
  </si>
  <si>
    <t>Madagascar</t>
  </si>
  <si>
    <t>MK</t>
  </si>
  <si>
    <t>Macedonia, Republic of</t>
  </si>
  <si>
    <t>LY</t>
  </si>
  <si>
    <t>Libya</t>
  </si>
  <si>
    <t>LR</t>
  </si>
  <si>
    <t>Liberia</t>
  </si>
  <si>
    <t>LS</t>
  </si>
  <si>
    <t>Lesotho</t>
  </si>
  <si>
    <t>LB</t>
  </si>
  <si>
    <t>Lebanon</t>
  </si>
  <si>
    <t>LA</t>
  </si>
  <si>
    <t>Lao PDR</t>
  </si>
  <si>
    <t>KG</t>
  </si>
  <si>
    <t>Kyrgyzstan</t>
  </si>
  <si>
    <t>KW</t>
  </si>
  <si>
    <t>Kuwait</t>
  </si>
  <si>
    <t>KR</t>
  </si>
  <si>
    <t>Korea (South)</t>
  </si>
  <si>
    <t>KP</t>
  </si>
  <si>
    <t>Korea (North)</t>
  </si>
  <si>
    <t>KI</t>
  </si>
  <si>
    <t>Kiribati</t>
  </si>
  <si>
    <t>KE</t>
  </si>
  <si>
    <t>Kenya</t>
  </si>
  <si>
    <t>KZ</t>
  </si>
  <si>
    <t>Kazakhstan</t>
  </si>
  <si>
    <t>JO</t>
  </si>
  <si>
    <t>Jordan</t>
  </si>
  <si>
    <t>JE</t>
  </si>
  <si>
    <t>Jersey</t>
  </si>
  <si>
    <t>JP</t>
  </si>
  <si>
    <t>JM</t>
  </si>
  <si>
    <t>Jamaica</t>
  </si>
  <si>
    <t>IL</t>
  </si>
  <si>
    <t>Israel</t>
  </si>
  <si>
    <t>IM</t>
  </si>
  <si>
    <t>Isle of Man</t>
  </si>
  <si>
    <t>IQ</t>
  </si>
  <si>
    <t>Iraq</t>
  </si>
  <si>
    <t>IR</t>
  </si>
  <si>
    <t>Iran, Islamic Republic of</t>
  </si>
  <si>
    <t>ID</t>
  </si>
  <si>
    <t>IN</t>
  </si>
  <si>
    <t>HN</t>
  </si>
  <si>
    <t>Honduras</t>
  </si>
  <si>
    <t>VA</t>
  </si>
  <si>
    <t>Holy See (Vatican City State)</t>
  </si>
  <si>
    <t>HM</t>
  </si>
  <si>
    <t>Heard and Mcdonald Islands</t>
  </si>
  <si>
    <t>Haiti</t>
  </si>
  <si>
    <t>GY</t>
  </si>
  <si>
    <t>Guyana</t>
  </si>
  <si>
    <t>GW</t>
  </si>
  <si>
    <t>Guinea-Bissau</t>
  </si>
  <si>
    <t>GN</t>
  </si>
  <si>
    <t>Guinea</t>
  </si>
  <si>
    <t>GG</t>
  </si>
  <si>
    <t>Guernsey</t>
  </si>
  <si>
    <t>GT</t>
  </si>
  <si>
    <t>Guatemala</t>
  </si>
  <si>
    <t>GU</t>
  </si>
  <si>
    <t>Guam</t>
  </si>
  <si>
    <t>GP</t>
  </si>
  <si>
    <t>Guadeloupe</t>
  </si>
  <si>
    <t>GD</t>
  </si>
  <si>
    <t>Grenada</t>
  </si>
  <si>
    <t>GL</t>
  </si>
  <si>
    <t>Greenland</t>
  </si>
  <si>
    <t>GI</t>
  </si>
  <si>
    <t>Gibraltar</t>
  </si>
  <si>
    <t>GH</t>
  </si>
  <si>
    <t>Ghana</t>
  </si>
  <si>
    <t>GE</t>
  </si>
  <si>
    <t>Georgia</t>
  </si>
  <si>
    <t>GM</t>
  </si>
  <si>
    <t>Gambia</t>
  </si>
  <si>
    <t>GA</t>
  </si>
  <si>
    <t>Gabon</t>
  </si>
  <si>
    <t>TF</t>
  </si>
  <si>
    <t>French Southern Territories</t>
  </si>
  <si>
    <t>PF</t>
  </si>
  <si>
    <t>French Polynesia</t>
  </si>
  <si>
    <t>GF</t>
  </si>
  <si>
    <t>French Guiana</t>
  </si>
  <si>
    <t>FJ</t>
  </si>
  <si>
    <t>Fiji</t>
  </si>
  <si>
    <t>FO</t>
  </si>
  <si>
    <t>Faroe Islands</t>
  </si>
  <si>
    <t>FK</t>
  </si>
  <si>
    <t>Falkland Islands (Malvinas)</t>
  </si>
  <si>
    <t>ET</t>
  </si>
  <si>
    <t>Ethiopia</t>
  </si>
  <si>
    <t>ER</t>
  </si>
  <si>
    <t>Eritrea</t>
  </si>
  <si>
    <t>GQ</t>
  </si>
  <si>
    <t>Equatorial Guinea</t>
  </si>
  <si>
    <t>SV</t>
  </si>
  <si>
    <t>El Salvador</t>
  </si>
  <si>
    <t>EG</t>
  </si>
  <si>
    <t>Egypt</t>
  </si>
  <si>
    <t>EC</t>
  </si>
  <si>
    <t>Ecuador</t>
  </si>
  <si>
    <t>DO</t>
  </si>
  <si>
    <t>Dominican Republic</t>
  </si>
  <si>
    <t>DM</t>
  </si>
  <si>
    <t>Dominica</t>
  </si>
  <si>
    <t>DJ</t>
  </si>
  <si>
    <t>Djibouti</t>
  </si>
  <si>
    <t>CU</t>
  </si>
  <si>
    <t>Cuba</t>
  </si>
  <si>
    <t>CI</t>
  </si>
  <si>
    <t>Côte d'Ivoire</t>
  </si>
  <si>
    <t>CR</t>
  </si>
  <si>
    <t>Costa Rica</t>
  </si>
  <si>
    <t>CK</t>
  </si>
  <si>
    <t>Cook Islands</t>
  </si>
  <si>
    <t>CD</t>
  </si>
  <si>
    <t>Congo, (Kinshasa)</t>
  </si>
  <si>
    <t>CG</t>
  </si>
  <si>
    <t>Congo (Brazzaville)</t>
  </si>
  <si>
    <t>KM</t>
  </si>
  <si>
    <t>Comoros</t>
  </si>
  <si>
    <t>CO</t>
  </si>
  <si>
    <t>Colombia</t>
  </si>
  <si>
    <t>CC</t>
  </si>
  <si>
    <t>Cocos (Keeling) Islands</t>
  </si>
  <si>
    <t>CX</t>
  </si>
  <si>
    <t>Christmas Island</t>
  </si>
  <si>
    <t>MO</t>
  </si>
  <si>
    <t>Macao, SAR China</t>
  </si>
  <si>
    <t>HK</t>
  </si>
  <si>
    <t>Hong Kong, SAR China</t>
  </si>
  <si>
    <t>CN</t>
  </si>
  <si>
    <t>CL</t>
  </si>
  <si>
    <t>TD</t>
  </si>
  <si>
    <t>Chad</t>
  </si>
  <si>
    <t>CF</t>
  </si>
  <si>
    <t>Central African Republic</t>
  </si>
  <si>
    <t>KY</t>
  </si>
  <si>
    <t>Cayman Islands</t>
  </si>
  <si>
    <t>CV</t>
  </si>
  <si>
    <t>Cape Verde</t>
  </si>
  <si>
    <t>CA</t>
  </si>
  <si>
    <t>CM</t>
  </si>
  <si>
    <t>Cameroon</t>
  </si>
  <si>
    <t>KH</t>
  </si>
  <si>
    <t>Cambodia</t>
  </si>
  <si>
    <t>BI</t>
  </si>
  <si>
    <t>Burundi</t>
  </si>
  <si>
    <t>BF</t>
  </si>
  <si>
    <t>Burkina Faso</t>
  </si>
  <si>
    <t>BN</t>
  </si>
  <si>
    <t>Brunei Darussalam</t>
  </si>
  <si>
    <t>IO</t>
  </si>
  <si>
    <t>British Indian Ocean Territory</t>
  </si>
  <si>
    <t>VG</t>
  </si>
  <si>
    <t>British Virgin Islands</t>
  </si>
  <si>
    <t>BR</t>
  </si>
  <si>
    <t>BV</t>
  </si>
  <si>
    <t>Bouvet Island</t>
  </si>
  <si>
    <t>BW</t>
  </si>
  <si>
    <t>Botswana</t>
  </si>
  <si>
    <t>BA</t>
  </si>
  <si>
    <t>Bosnia and Herzegovina</t>
  </si>
  <si>
    <t>BO</t>
  </si>
  <si>
    <t>Bolivia</t>
  </si>
  <si>
    <t>BT</t>
  </si>
  <si>
    <t>Bhutan</t>
  </si>
  <si>
    <t>BM</t>
  </si>
  <si>
    <t>Bermuda</t>
  </si>
  <si>
    <t>BJ</t>
  </si>
  <si>
    <t>Benin</t>
  </si>
  <si>
    <t>BZ</t>
  </si>
  <si>
    <t>Belize</t>
  </si>
  <si>
    <t>BY</t>
  </si>
  <si>
    <t>Belarus</t>
  </si>
  <si>
    <t>Barbados</t>
  </si>
  <si>
    <t>BD</t>
  </si>
  <si>
    <t>Bangladesh</t>
  </si>
  <si>
    <t>BH</t>
  </si>
  <si>
    <t>Bahrain</t>
  </si>
  <si>
    <t>BS</t>
  </si>
  <si>
    <t>Bahamas</t>
  </si>
  <si>
    <t>AZ</t>
  </si>
  <si>
    <t>Azerbaijan</t>
  </si>
  <si>
    <t>AU</t>
  </si>
  <si>
    <t>AW</t>
  </si>
  <si>
    <t>Aruba</t>
  </si>
  <si>
    <t>AM</t>
  </si>
  <si>
    <t>Armenia</t>
  </si>
  <si>
    <t>AG</t>
  </si>
  <si>
    <t>Antigua and Barbuda</t>
  </si>
  <si>
    <t>AQ</t>
  </si>
  <si>
    <t>Antarctica</t>
  </si>
  <si>
    <t>AI</t>
  </si>
  <si>
    <t>Anguilla</t>
  </si>
  <si>
    <t>AO</t>
  </si>
  <si>
    <t>Angola</t>
  </si>
  <si>
    <t>AD</t>
  </si>
  <si>
    <t>Andorra</t>
  </si>
  <si>
    <t>AS</t>
  </si>
  <si>
    <t>American Samoa</t>
  </si>
  <si>
    <t>DZ</t>
  </si>
  <si>
    <t>Algeria</t>
  </si>
  <si>
    <t>AL</t>
  </si>
  <si>
    <t>Albania</t>
  </si>
  <si>
    <t>AX</t>
  </si>
  <si>
    <t>Aland Islands</t>
  </si>
  <si>
    <t>AF</t>
  </si>
  <si>
    <t>Afghanistan</t>
  </si>
  <si>
    <t>-------</t>
  </si>
  <si>
    <t>IS</t>
  </si>
  <si>
    <t>Iceland</t>
  </si>
  <si>
    <t>LI</t>
  </si>
  <si>
    <t>Liechtenstein</t>
  </si>
  <si>
    <t>NO</t>
  </si>
  <si>
    <t>Norway</t>
  </si>
  <si>
    <t>US</t>
  </si>
  <si>
    <t>United States of America</t>
  </si>
  <si>
    <t>GB</t>
  </si>
  <si>
    <t>Country of clearing member</t>
  </si>
  <si>
    <t>OEM</t>
  </si>
  <si>
    <t>Simplified SA-CCR</t>
  </si>
  <si>
    <t>CCR approach used</t>
  </si>
  <si>
    <t>Client: Article 305(3) CRR</t>
  </si>
  <si>
    <t>Client: Article 305(2) CRR</t>
  </si>
  <si>
    <t xml:space="preserve">Client: Article 305(1) CRR </t>
  </si>
  <si>
    <t>Clearing member: Article 303 CRR</t>
  </si>
  <si>
    <t>Own funds approach</t>
  </si>
  <si>
    <t>Intragroup transaction</t>
  </si>
  <si>
    <t>Reporting entity is clearing member</t>
  </si>
  <si>
    <t>CCP reached</t>
  </si>
  <si>
    <t>Yes, as client that has established indirect clearing arrangements with a clearing member in accordance with Article 4(3) EMIR</t>
  </si>
  <si>
    <t>Yes, as client of a clearing member according to Article 2(15) EMIR</t>
  </si>
  <si>
    <t>Yes, as clearing member according to Article 2(14) EMIR</t>
  </si>
  <si>
    <t>CCP participation</t>
  </si>
  <si>
    <t>2) EU CCP</t>
  </si>
  <si>
    <t>1) All templates</t>
  </si>
  <si>
    <t>B) Drop-down menus</t>
  </si>
  <si>
    <t>A) EBA Version</t>
  </si>
  <si>
    <t>EU Parameters</t>
  </si>
  <si>
    <t>J. Qualitative Questions</t>
  </si>
  <si>
    <t xml:space="preserve">Panel I.1 (only for the euro reporting currency). Panel I.2 only for the Reporting currency as of December 2022. </t>
  </si>
  <si>
    <t>I. ECB Monetary Policy and Materiality Thresholds</t>
  </si>
  <si>
    <t xml:space="preserve">Reporting currency, December 2022. </t>
  </si>
  <si>
    <t>H. CSRBB</t>
  </si>
  <si>
    <t>Evaluation of threshold defined for consider the basis risk material and also collection of NII basis risk impacts</t>
  </si>
  <si>
    <t>G. Basis Risk</t>
  </si>
  <si>
    <t>Explore dispersion on these behavioral models</t>
  </si>
  <si>
    <t xml:space="preserve">Term Deposits  and Fixed rate Loans.   </t>
  </si>
  <si>
    <t xml:space="preserve">F. Other Behavioral Models </t>
  </si>
  <si>
    <t>Investigate on a simplified approach to identify core NMD balances and compare with banks´s internal estimates of NMD core balances (provided in Panel D)</t>
  </si>
  <si>
    <t>Reporting currency, December 2022. Only retail NMDs</t>
  </si>
  <si>
    <t xml:space="preserve">NMD segmentation by size of NMD account by individual depositor </t>
  </si>
  <si>
    <t xml:space="preserve">E. Stratification of retail NMD accounts </t>
  </si>
  <si>
    <t>Explore: a) NMD assumption dispersion within a given IR scenario, b)  conditional  IR assumptions -also a) and b) allow to compare NMD assumptions under IMI with NMDs assumptions under the SA-  and c) assessing how the NMD models have been modified after IR increases; d) assessment of the impact of the 5 year NMD caps and on the exemptions provided in Para 111 EBA GLs and on Para 110 for financial operational deposits</t>
  </si>
  <si>
    <t>Reporting currency, December 2022 and December 2021</t>
  </si>
  <si>
    <t>NMD assumptions and Impacts of 5 Year NMD caps  and of exemptions on NMD business lines</t>
  </si>
  <si>
    <t xml:space="preserve">D. NMDs Behavioral assumption </t>
  </si>
  <si>
    <t xml:space="preserve">Explore the EVE, NII Impacts under different IR scenarios and explore the contribution of behavioral and Automatic IR options (in combination with the materiality of the automatic and behavioral exposures provided in Panel B).    Also explore the impact of considering the inflation dependent on the IR level.                                               </t>
  </si>
  <si>
    <t xml:space="preserve">Reporting currency. December 2022.  </t>
  </si>
  <si>
    <t xml:space="preserve"> Breakdown of EVE  and NII metrics  (with effect of behavioral model and of automatic IR optionallity) by main categories of assets and liabilities under regulatory IR scenarios and for other grids of parallel IR scenarios: impact under SOT considering inflation independent on the IR scenario. Also collection of Internal EVE and NII impacts considering inflation assumptions dependent on the IR scenarios</t>
  </si>
  <si>
    <t>C. IRRBB Results_Breakdown</t>
  </si>
  <si>
    <t xml:space="preserve">Explore changes in the balance sheet structure and on the IR hedges and as well changes in the FV IR exposures and on their hedges.                              Proportionality issues: explore the thresholds defined to consider the need to develop behavioural estimates on NMD,on fixed rate loans with prepayment risk , term deposits with risk of early redemption and fixed rate loan commitments.  Analysis as well of materiality of automatic IR options (broken down by sold/bought options) and analysis of materiality of inflation index-products. </t>
  </si>
  <si>
    <t xml:space="preserve">Only reporting currency. December 2022 and December 2021. </t>
  </si>
  <si>
    <r>
      <t>Main categories of assets/liabilities (broken down by floating/fixed):  Nominal, materiality of behavioral and automatic IR optionallity (broken down by sold/bou</t>
    </r>
    <r>
      <rPr>
        <sz val="11"/>
        <rFont val="Calibri"/>
        <family val="2"/>
        <scheme val="minor"/>
      </rPr>
      <t>g</t>
    </r>
    <r>
      <rPr>
        <sz val="10"/>
        <rFont val="Segoe UI"/>
        <family val="2"/>
      </rPr>
      <t xml:space="preserve">ht) , Current value (without automatic IR optionality) , Duration, and yield. Identification of inflation linked exposures.                                                                                                                                                                                                                                                                                                                                                                                                  Also collection of  IR FV exposures and accounting IR hedges on the IR FV Portfolio </t>
    </r>
  </si>
  <si>
    <t>B. Balance Sheet Structure</t>
  </si>
  <si>
    <t>Impact of new lower bound floor. Also possibility to explore other issues: the comparison of NII SOT on Dec 22 vs Dec 21 (how the higher Baseline IR structure and modified BS structure have affected to the number of outliers on NII); Impact of combined NII sensitivities + FV changes</t>
  </si>
  <si>
    <t xml:space="preserve">Total currencies and each material currency. Only for the reporting currency explored the impact of the new lower bound floor on -1,5% vs -1%. </t>
  </si>
  <si>
    <t>Aggregated EVE, NII, FV levels for the Balance sheet structure as of Dec 2022 under different IR scenarios and considering in parallel downward IR scenario the impact of new lower bound (-1,5% vs -1%) (analysis only needed for the Reporting currency) (evaluation both with Baseline IR structure of Dec 22 and of Dec 21).  Including different scenarios on the passing through negative IR to customer deposits (a proposal is defined in the instructions)</t>
  </si>
  <si>
    <t>A. IRRBB Results</t>
  </si>
  <si>
    <t>Objectives</t>
  </si>
  <si>
    <t>Scope</t>
  </si>
  <si>
    <t>Kind of Information collected</t>
  </si>
  <si>
    <t xml:space="preserve">   Parallel Shock Up</t>
  </si>
  <si>
    <t xml:space="preserve">   Parallel Shock Down (floor -1%)</t>
  </si>
  <si>
    <t xml:space="preserve">   Parallel Shock Down (floor -1,5%)</t>
  </si>
  <si>
    <t>MV Sensitivities</t>
  </si>
  <si>
    <t>NII Sensitivities</t>
  </si>
  <si>
    <t xml:space="preserve">   Flattener (floor -1,5%)</t>
  </si>
  <si>
    <t xml:space="preserve">   Steepener (floor -1,5%)</t>
  </si>
  <si>
    <t xml:space="preserve">   Short Rates Shock Up</t>
  </si>
  <si>
    <t xml:space="preserve">   Short Rates Shock Down (floor -1,5%)</t>
  </si>
  <si>
    <t>EVE Sensitivities</t>
  </si>
  <si>
    <t>Internal Risk Management</t>
  </si>
  <si>
    <t>PTR Scenario</t>
  </si>
  <si>
    <t>SOT (Internal assumptions for PTR)</t>
  </si>
  <si>
    <t>Balance Sheet as of Dec 2022 considering Baseline IR Structure as of Dec 2021</t>
  </si>
  <si>
    <t xml:space="preserve">Balance Sheet as of Dec 2022 considering Baseline IR Structure as of Dec 2022 </t>
  </si>
  <si>
    <t>Panel A.2 Sensitivities (aggregated currencies)</t>
  </si>
  <si>
    <t>MV sensitivities</t>
  </si>
  <si>
    <t>Baseline</t>
  </si>
  <si>
    <t>MV Level</t>
  </si>
  <si>
    <t>Internal  Risk Management</t>
  </si>
  <si>
    <t>NII sensitivities</t>
  </si>
  <si>
    <t>NII Level</t>
  </si>
  <si>
    <t>EVE sensitivities</t>
  </si>
  <si>
    <t>EVE Level</t>
  </si>
  <si>
    <t>SOT</t>
  </si>
  <si>
    <t xml:space="preserve">PTR Scenario </t>
  </si>
  <si>
    <t>Internal Assumptions on PTR</t>
  </si>
  <si>
    <t>Panel A.1. IRRBB levels and sensitivities (by currencies)</t>
  </si>
  <si>
    <t>Other (calculation with Internal Assumptions on PTR)</t>
  </si>
  <si>
    <t>Currency 4 (calculation with Internal Assumptions on PTR)</t>
  </si>
  <si>
    <t>Currency 3 (calculation with Internal Assumptions on PTR)</t>
  </si>
  <si>
    <t>Currency 2 (calculation with Internal Assumptions on PTR)</t>
  </si>
  <si>
    <t>Reporting Curency</t>
  </si>
  <si>
    <t>Currency 4</t>
  </si>
  <si>
    <t>Currency 3</t>
  </si>
  <si>
    <t>Currency 2</t>
  </si>
  <si>
    <t>A) Measures from the SOT on the EVE and NII metric (using the internal measurement system (IMS) for IRRBB or the SA/SSA. Also metrics on MV Impacts</t>
  </si>
  <si>
    <t>Clarify which approach (IMS, SA/sSA) has been used when filling the SOT and Internal Risk Management figures in these templates:</t>
  </si>
  <si>
    <t>of which: Liability leg</t>
  </si>
  <si>
    <t>of which: Asset leg</t>
  </si>
  <si>
    <t>Accounting FV hedge derivatives hedging liabilities and cash flow hedges hedging liabilities at fair value</t>
  </si>
  <si>
    <t>Other liabilities at FV,  including instruments at amortized cost subject to FV hedge accounting</t>
  </si>
  <si>
    <t>Debt securities issued at FV, including instruments at amortized cost subject to FV hedge accounting</t>
  </si>
  <si>
    <t>Total Liabilities with impact on MV changes</t>
  </si>
  <si>
    <t>Accounting FV hedge derivatives hedging assets and cash flow hedges hedging assets at fair value</t>
  </si>
  <si>
    <t>Other assets at FV,  including instruments at amortized cost subject to FV hedge accounting</t>
  </si>
  <si>
    <t>Debt securities at FV, including instruments at amortized cost subject to FV hedge accounting</t>
  </si>
  <si>
    <t>Total Assets with impact on MV changes</t>
  </si>
  <si>
    <t>of which: Retail fixed rate loan commitments</t>
  </si>
  <si>
    <t>OFF-BALANCE SHEET LIABILITIES: CONTINGENT LIABILITIES</t>
  </si>
  <si>
    <t>Non Linear Derivatives</t>
  </si>
  <si>
    <t>Linear Derivatives</t>
  </si>
  <si>
    <t>Term deposits</t>
  </si>
  <si>
    <t xml:space="preserve">of which: modelled operational deposits (par. 110/111 EBA GL) </t>
  </si>
  <si>
    <t>NMDs: Wholesale financial</t>
  </si>
  <si>
    <t>of which: exempted from 5Y cap (par. 111 EBA GL)</t>
  </si>
  <si>
    <t>NMDs: Wholesale non-financial</t>
  </si>
  <si>
    <t>NMDs: Retail Non-Transactional</t>
  </si>
  <si>
    <t>NMDs: Retail Transactional</t>
  </si>
  <si>
    <t>Debt securities issued</t>
  </si>
  <si>
    <t>Interbank exposures</t>
  </si>
  <si>
    <t>Central bank</t>
  </si>
  <si>
    <t>LIABILITIES (irrespective of its accounting treatement)</t>
  </si>
  <si>
    <t>OFF-BALANCE SHEET ASSETS: CONTINGENT ASSETS</t>
  </si>
  <si>
    <t>Debt securities</t>
  </si>
  <si>
    <t>Loans and advances</t>
  </si>
  <si>
    <t>of which: Minimum reserves requirements</t>
  </si>
  <si>
    <t>ASSETS (irrespective of its accounting treatement)</t>
  </si>
  <si>
    <t>Sold</t>
  </si>
  <si>
    <t>Bought</t>
  </si>
  <si>
    <t>IEO1</t>
  </si>
  <si>
    <t>Notional Amount (6)</t>
  </si>
  <si>
    <r>
      <t>Weighted Average Duration (years)</t>
    </r>
    <r>
      <rPr>
        <sz val="10"/>
        <rFont val="Calibri"/>
        <family val="2"/>
        <scheme val="minor"/>
      </rPr>
      <t xml:space="preserve"> (excluding the effect of automatic IR optionality)</t>
    </r>
  </si>
  <si>
    <t>Weighted Average yield (%)</t>
  </si>
  <si>
    <t>Economic value (at Baseline TSIR)</t>
  </si>
  <si>
    <t>Of which: With embedded/explicit automatic optionality -% over (5)-</t>
  </si>
  <si>
    <t>Of which: Subject to Behavioral Modelling    -% over (5)-</t>
  </si>
  <si>
    <t>Notional amount (5)</t>
  </si>
  <si>
    <t>Of which: With embedded/explicit automatic optionality -% over (4)-</t>
  </si>
  <si>
    <t>Of which: Subject to Behavioral Modelling    -% over (4)-</t>
  </si>
  <si>
    <t>Notional amount (4)</t>
  </si>
  <si>
    <t>Notional Amount (3)</t>
  </si>
  <si>
    <t>Of which: With embedded/explicit automatic optionality -% over (2)-</t>
  </si>
  <si>
    <t>Of which: Subject to Behavioral Modelling    -% over (2)-</t>
  </si>
  <si>
    <t>Notional amount (2)</t>
  </si>
  <si>
    <r>
      <t xml:space="preserve">Economic value (at Baseline TSIR) </t>
    </r>
    <r>
      <rPr>
        <sz val="10"/>
        <rFont val="Calibri"/>
        <family val="2"/>
        <scheme val="minor"/>
      </rPr>
      <t xml:space="preserve"> (excluding the effect of automatic IR optionality)</t>
    </r>
  </si>
  <si>
    <t>Of which: With embedded/explicit automatic optionality -% over (1)-</t>
  </si>
  <si>
    <t>Of which: Subject to Behavioral Modelling    -% over (1)-</t>
  </si>
  <si>
    <t>Notional amount (1)</t>
  </si>
  <si>
    <t>Inflation linked</t>
  </si>
  <si>
    <r>
      <t xml:space="preserve">Fixed IR </t>
    </r>
    <r>
      <rPr>
        <sz val="10"/>
        <rFont val="Calibri"/>
        <family val="2"/>
        <scheme val="minor"/>
      </rPr>
      <t>(also included Bank´s administrated NMDs with remuneration not linked to any IR  Index)</t>
    </r>
  </si>
  <si>
    <t>Floating IR</t>
  </si>
  <si>
    <t xml:space="preserve">Balance Sheet Structure as of December 2021 </t>
  </si>
  <si>
    <t>Balance Sheet Structure as of December 2022</t>
  </si>
  <si>
    <t>B) Balance Sheet Structure (only for the reporting currency, Dec 2022 and Dec 2021)</t>
  </si>
  <si>
    <t>IRRBB estimates with prescribed inflation shock scenarios: +200 bps to Inflation</t>
  </si>
  <si>
    <t>IRRBB estimates with prescribed inflation shock scenarios: +100 bps to Inflation</t>
  </si>
  <si>
    <t>IRRBB estimates with prescribed inflation shock scenarios: -100 bps to Inflation</t>
  </si>
  <si>
    <t>IRRBB estimates with prescribed inflation shock scenarios: -200 bps to Inflation</t>
  </si>
  <si>
    <t>IRRBB estimates with constant baseline inflation scenario in all interest rate scenario.</t>
  </si>
  <si>
    <t>IRRBB estimates shocking inflation according to internal criteria not constrained to SOT scenario independency.</t>
  </si>
  <si>
    <r>
      <rPr>
        <u/>
        <sz val="11"/>
        <rFont val="Calibri"/>
        <family val="2"/>
        <scheme val="minor"/>
      </rPr>
      <t>Weighted</t>
    </r>
    <r>
      <rPr>
        <sz val="11"/>
        <rFont val="Calibri"/>
        <family val="2"/>
        <scheme val="minor"/>
      </rPr>
      <t xml:space="preserve"> Average level of inflation (internal assumptions)</t>
    </r>
  </si>
  <si>
    <t xml:space="preserve">Institution Internal model </t>
  </si>
  <si>
    <t>Parallel up</t>
  </si>
  <si>
    <t>+100 bps</t>
  </si>
  <si>
    <t>-100 bps</t>
  </si>
  <si>
    <t>Parallel down</t>
  </si>
  <si>
    <t>IRRBB metrics under different inflation scenario (inflation linked products)</t>
  </si>
  <si>
    <t>Parallel Nominal-IR</t>
  </si>
  <si>
    <t>NII Metric</t>
  </si>
  <si>
    <t>EVE Metric</t>
  </si>
  <si>
    <t>Panel C.2.</t>
  </si>
  <si>
    <t>Derivatives not designed as accounting hedges</t>
  </si>
  <si>
    <r>
      <t xml:space="preserve">of which: </t>
    </r>
    <r>
      <rPr>
        <sz val="10"/>
        <rFont val="Segoe UI"/>
        <family val="2"/>
      </rPr>
      <t>Retail fixed rate loan commitments</t>
    </r>
  </si>
  <si>
    <t>+400 bps</t>
  </si>
  <si>
    <t>+300 bps</t>
  </si>
  <si>
    <t>-300 bps</t>
  </si>
  <si>
    <t xml:space="preserve">   Flattener</t>
  </si>
  <si>
    <t xml:space="preserve">   Steepener</t>
  </si>
  <si>
    <t xml:space="preserve">   Short Rates Shock Down</t>
  </si>
  <si>
    <t xml:space="preserve">Parallel </t>
  </si>
  <si>
    <t>Non-Parallel</t>
  </si>
  <si>
    <t xml:space="preserve">MV Level </t>
  </si>
  <si>
    <r>
      <t xml:space="preserve">Fixed IR exposures </t>
    </r>
    <r>
      <rPr>
        <sz val="10"/>
        <rFont val="Calibri"/>
        <family val="2"/>
        <scheme val="minor"/>
      </rPr>
      <t>(also included Bank´s administrated NMDs with remuneration not linked to any IR index)</t>
    </r>
  </si>
  <si>
    <t>Floating IR exposures</t>
  </si>
  <si>
    <t>Panel C.1.</t>
  </si>
  <si>
    <t xml:space="preserve">Only Reporting currency, Dec 2022 </t>
  </si>
  <si>
    <t xml:space="preserve">C) IRRBB Results_Breakdown </t>
  </si>
  <si>
    <t xml:space="preserve">  NMDs: Wholesale financial</t>
  </si>
  <si>
    <t xml:space="preserve">  NMDs: Wholesale non financial</t>
  </si>
  <si>
    <t xml:space="preserve">  NMDs: Retail Non-Trancactional</t>
  </si>
  <si>
    <t xml:space="preserve">  NMDs: Retail Transactional</t>
  </si>
  <si>
    <t>End date</t>
  </si>
  <si>
    <t xml:space="preserve">Starting date </t>
  </si>
  <si>
    <t>Panel D4: Informaction on historical period for the calibration of the NMD models (banks following IMS and/or SA/sSA)</t>
  </si>
  <si>
    <t>Last date model calibration</t>
  </si>
  <si>
    <t>Historical calibration window</t>
  </si>
  <si>
    <t>December 2021</t>
  </si>
  <si>
    <t>December 2022</t>
  </si>
  <si>
    <t>Operational deposits as defined in Article 27(1)(a) LCR Delegated Regulation (no behavioural modelling)</t>
  </si>
  <si>
    <t>Panel D3: Wholesale operational deposits not subject to behavioural modelling (only banks following IMS)</t>
  </si>
  <si>
    <t xml:space="preserve">  Of which: other</t>
  </si>
  <si>
    <t xml:space="preserve">  Of which: operational deposits as defined in Article 27(1)(a) LCR Delegated Regulation</t>
  </si>
  <si>
    <t xml:space="preserve">  Of which:  with material economic or fiscal constraints in case of withdrawal (par.111 GL)</t>
  </si>
  <si>
    <t xml:space="preserve">  Of which: regulated savings referred to in paragraph (a) of Article 428f(2) of the CRR</t>
  </si>
  <si>
    <t xml:space="preserve">NMDs: Wholesale non-financial </t>
  </si>
  <si>
    <t>Panel D2: Constrained  (banks following IMS and/or SA/sSA)</t>
  </si>
  <si>
    <t>Panel D1: Unconstrained  (only banks following IMS)</t>
  </si>
  <si>
    <t>Non-Core</t>
  </si>
  <si>
    <t>Core</t>
  </si>
  <si>
    <t>Weighted average repricing up</t>
  </si>
  <si>
    <t>Weighted average repricing down</t>
  </si>
  <si>
    <t>Weighted average repricing baseline</t>
  </si>
  <si>
    <t>% Core and Non core pararell up</t>
  </si>
  <si>
    <t>% Core and Non core pararell down</t>
  </si>
  <si>
    <t>% Core and Non core baseline</t>
  </si>
  <si>
    <t>Average yield (%)</t>
  </si>
  <si>
    <t>Exposure Amount</t>
  </si>
  <si>
    <t xml:space="preserve">NII Sensitivity </t>
  </si>
  <si>
    <t>EVE Sensitivity</t>
  </si>
  <si>
    <t>Panel D) NMD Behavioural assumptions</t>
  </si>
  <si>
    <t xml:space="preserve">EUR 300 000 &lt;= Individual depositor amount </t>
  </si>
  <si>
    <t xml:space="preserve">EUR 200 000 &lt;= Individual depositor amount &lt; EUR 300 000 </t>
  </si>
  <si>
    <t xml:space="preserve"> EUR 100 000 &lt;= Individual depositor amount &lt; EUR 200 000 </t>
  </si>
  <si>
    <t xml:space="preserve">Individual depositor amount &lt; EUR 100 000 </t>
  </si>
  <si>
    <t>2. SME's</t>
  </si>
  <si>
    <t xml:space="preserve">EUR 50 000 &lt;= Individual depositor amount </t>
  </si>
  <si>
    <t xml:space="preserve">EUR 30 000 &lt;= Individual depositor amount &lt; EUR 50 000 </t>
  </si>
  <si>
    <t xml:space="preserve"> EUR 15 000 &lt;= Individual depositor amount &lt; EUR 30 000 </t>
  </si>
  <si>
    <t xml:space="preserve">Individual depositor amount &lt; EUR 15 000 </t>
  </si>
  <si>
    <t>1. Natural persons</t>
  </si>
  <si>
    <t>Total retail NMDs</t>
  </si>
  <si>
    <t>December 2022. Reporting currrency</t>
  </si>
  <si>
    <t>E) Stratification of Retail NMD accounts</t>
  </si>
  <si>
    <t>Pass Through rate (%)</t>
  </si>
  <si>
    <r>
      <t xml:space="preserve">Conditional </t>
    </r>
    <r>
      <rPr>
        <b/>
        <sz val="11"/>
        <rFont val="Calibri"/>
        <family val="2"/>
        <scheme val="minor"/>
      </rPr>
      <t>Redemption</t>
    </r>
    <r>
      <rPr>
        <sz val="11"/>
        <rFont val="Calibri"/>
        <family val="2"/>
        <scheme val="minor"/>
      </rPr>
      <t xml:space="preserve"> Rates (cummulative average) (%)</t>
    </r>
  </si>
  <si>
    <t>Average repricing dates before and after modelling</t>
  </si>
  <si>
    <t>Time window of model calibration and last calibration date</t>
  </si>
  <si>
    <t>Retail Term deposits subject to early redemption risk</t>
  </si>
  <si>
    <t>Conditional Prepayment Rates (annualized average) (%)</t>
  </si>
  <si>
    <t>Fixed Rates retail loans subject to Prepayment risk</t>
  </si>
  <si>
    <t>Last date of model calibration</t>
  </si>
  <si>
    <t>End date model calibration</t>
  </si>
  <si>
    <t>Starting date model calibration</t>
  </si>
  <si>
    <t xml:space="preserve">   Parallel Shock Up
(conditional)</t>
  </si>
  <si>
    <t xml:space="preserve">   Parallel Shock Down
(conditional)</t>
  </si>
  <si>
    <t>Baseline Scenario (behavioural)</t>
  </si>
  <si>
    <t>Baseline Scenario (contractual)</t>
  </si>
  <si>
    <t>Amount subject to modelling</t>
  </si>
  <si>
    <t>Of which: Subject to Behavioural modelling (%)</t>
  </si>
  <si>
    <t>Notional Amount (Total)</t>
  </si>
  <si>
    <t xml:space="preserve">F) Other Behavioral Models. Reporting Currency </t>
  </si>
  <si>
    <t>Policy rate</t>
  </si>
  <si>
    <t>12M</t>
  </si>
  <si>
    <t>6M</t>
  </si>
  <si>
    <t>3M</t>
  </si>
  <si>
    <t>1M</t>
  </si>
  <si>
    <t>Interbank rate</t>
  </si>
  <si>
    <t>Liabilities</t>
  </si>
  <si>
    <t>Assets</t>
  </si>
  <si>
    <t>Other: fixed</t>
  </si>
  <si>
    <t>Floating</t>
  </si>
  <si>
    <r>
      <t>Other</t>
    </r>
    <r>
      <rPr>
        <b/>
        <strike/>
        <sz val="11"/>
        <rFont val="Calibri"/>
        <family val="2"/>
        <scheme val="minor"/>
      </rPr>
      <t xml:space="preserve"> </t>
    </r>
    <r>
      <rPr>
        <b/>
        <sz val="11"/>
        <rFont val="Calibri"/>
        <family val="2"/>
        <scheme val="minor"/>
      </rPr>
      <t>( fixed short term maturiting IR instruments)</t>
    </r>
  </si>
  <si>
    <t>Reference rate</t>
  </si>
  <si>
    <t>A/L</t>
  </si>
  <si>
    <t>Delta NII</t>
  </si>
  <si>
    <t>Basis (bps)</t>
  </si>
  <si>
    <t>Notional</t>
  </si>
  <si>
    <t>Basis tightening scenario</t>
  </si>
  <si>
    <t>Basis widening scenario</t>
  </si>
  <si>
    <t>Basis Baseline (December 2022)</t>
  </si>
  <si>
    <t>G) Basis Risk</t>
  </si>
  <si>
    <t>Total Liabilities</t>
  </si>
  <si>
    <t>Other liabilities</t>
  </si>
  <si>
    <t>O f which: underlying subject to CSRBB</t>
  </si>
  <si>
    <t>Deposits</t>
  </si>
  <si>
    <t>Total Assets</t>
  </si>
  <si>
    <t>Of which: underlying subject to CSRBB</t>
  </si>
  <si>
    <t>Of which: corporates</t>
  </si>
  <si>
    <t>Of which: financials</t>
  </si>
  <si>
    <t>Of which: sovereigns</t>
  </si>
  <si>
    <t>Of which: wholesale</t>
  </si>
  <si>
    <t>Of which: retail</t>
  </si>
  <si>
    <t>Delta MV</t>
  </si>
  <si>
    <t>Delta EVE</t>
  </si>
  <si>
    <t>Average Spread (bps)</t>
  </si>
  <si>
    <t xml:space="preserve">Delta MV </t>
  </si>
  <si>
    <t>Tightening Spread Scenario</t>
  </si>
  <si>
    <t>Widening Spread Scenario</t>
  </si>
  <si>
    <t>Baseline (Dec 2022)</t>
  </si>
  <si>
    <t>Sector/Instrument</t>
  </si>
  <si>
    <t>Institution IMS</t>
  </si>
  <si>
    <t>Panel H2</t>
  </si>
  <si>
    <t>Of which: 
subject to CSRBB in IMS (EVE)</t>
  </si>
  <si>
    <t>Of which: 
subject to CSRBB in IMS (NII)</t>
  </si>
  <si>
    <t xml:space="preserve">Of which: 
pricing is based on “direct / indirect market observation” </t>
  </si>
  <si>
    <t>Notional Amount</t>
  </si>
  <si>
    <t>Amortized Cost</t>
  </si>
  <si>
    <t>Fair Value</t>
  </si>
  <si>
    <t>Have you assesed the CSRBB for IMS purposes?</t>
  </si>
  <si>
    <t>Panel H1</t>
  </si>
  <si>
    <t>H) CSRBB</t>
  </si>
  <si>
    <t xml:space="preserve"> Off balance sheet items which can be drawn by counterparties/clients of the bank referred to by Art 2(f) of RTS on SA (EBA/RTS/2022/09 )</t>
  </si>
  <si>
    <t>of which Derivatives (liabilities)</t>
  </si>
  <si>
    <t>Liabilities referred to in Art 2 (a) to (e)  and (g) of RTS on SA (EBA/RTS/2022/09 )</t>
  </si>
  <si>
    <t>Off balance sheet items which can be drawn by the bank referred to by Art 2(f) of RTS on SA (EBA/RTS/2022/09 )</t>
  </si>
  <si>
    <t>of which Derivatives (assets)</t>
  </si>
  <si>
    <t>Assets referred to in Art 2 (a) to (e)  and (g) of RTS on SA (EBA/RTS/2022/09 )</t>
  </si>
  <si>
    <t>Book Value</t>
  </si>
  <si>
    <t>2. Materiality Thresholds (only for the reporting currency)</t>
  </si>
  <si>
    <t>Total realized NII from € exposures</t>
  </si>
  <si>
    <t>Liabilities other than central bank funding central bank assets (when liabilities with central bank &lt; assets with central bank)</t>
  </si>
  <si>
    <t>Central Bank</t>
  </si>
  <si>
    <t>Interest  paid (+) or received (-) on liabilities from</t>
  </si>
  <si>
    <t>Assets other than central bank funded with central bank liabilities (when liabilities with central bank &gt; assets with central bank)</t>
  </si>
  <si>
    <t>Interest received (+) or paid (-) on assets from</t>
  </si>
  <si>
    <t xml:space="preserve"> +100bps</t>
  </si>
  <si>
    <t xml:space="preserve">Weighted Average Duration (years) </t>
  </si>
  <si>
    <t>Deposit funding (Constant balance sheet except for TLTRO)</t>
  </si>
  <si>
    <t>Traditional ECB funding (i.e Constant balance sheet)</t>
  </si>
  <si>
    <t>Institutions Funding Plan / ALM Strategy (Dynamic balance sheet maintaining size)</t>
  </si>
  <si>
    <t>Duration and Yield of assets other than central bank funded with central bank liabilities and of liabilities other than central bank funding central bank assets. December 2022</t>
  </si>
  <si>
    <t xml:space="preserve">Forecast NII 2023 </t>
  </si>
  <si>
    <t>Realized NII</t>
  </si>
  <si>
    <t>Contribution of the ECB exposures to realized NII (2021 and 2022) and to the 2023 forecast NII (only reported for institution with euro as the reporting currency) (Euro exposures)</t>
  </si>
  <si>
    <t>1. ECB Monetary Policy</t>
  </si>
  <si>
    <t>I) ECB Monetary Policy and Materiality Thresholds</t>
  </si>
  <si>
    <t xml:space="preserve">Considering only the supervisory parallel down scenario, would the Bank be an outlier in the NII metric (according to Article 6 of the RTS on SOT) as of December 2022? If yes, please explain (in column I) the rationale and main drivers behind this outcome. Please, confirm if a relevant driver is the difference in magnitude between the decrease in the cost of deposits (smaller decrease) compared to the decrease in the remuneration of floating rate assets (larger decrease) (Y/N).    </t>
  </si>
  <si>
    <t xml:space="preserve">Outliers on NII metric  </t>
  </si>
  <si>
    <t>When implementing the new EBA GLs, does the bank envisage excluding some IR sensitive instruments (in the scope of IRRBB) from the relevant perimeter of CSRBB? If yes, please which kind of instruments are excluded and the reason behind this decision.</t>
  </si>
  <si>
    <t>Does the bank envisage applying the exemption of Para 156 of EBA GLs to include the idyosincratic credit spread components due to practical implementation and proportionality reason? If yes, please explain the reason behind this decision.</t>
  </si>
  <si>
    <t>Which approach do you expect to follow (or you already apply)  to assess the impact on EVE  of your CSRBB exposures? Please, breafly explain</t>
  </si>
  <si>
    <t>Which approach do you expect to follow (or you already apply)  to assess the impact on NII  of your CSRBB exposures? Please, breafly explain</t>
  </si>
  <si>
    <t>Do you already consider all the perspectives on risk assessment and monitoring for the CSRBB? (Economic value,  NII  and MV changes)</t>
  </si>
  <si>
    <t xml:space="preserve">Does the bank envisage a different perimeter of instruments subject to the CSRBB for the NII and EVE metric? If yes, please briefly explain the rationale behind this practise and what are the differences. </t>
  </si>
  <si>
    <t>Have you already implemented the GL's requirements in sections 4.5 and 4.6, regarding CSRBB? Yes, no, partially? (answer in column H) If no or partially, do you expect to fulfill the new requirements by December 2023? Indicate (Yes/no) in columns I. Please argument in column J.</t>
  </si>
  <si>
    <r>
      <t xml:space="preserve">CSRBB </t>
    </r>
    <r>
      <rPr>
        <sz val="11"/>
        <rFont val="Calibri"/>
        <family val="2"/>
        <scheme val="minor"/>
      </rPr>
      <t xml:space="preserve">(Please address the following questions under the approach envisaged when implementing the new EBA GLs)  </t>
    </r>
  </si>
  <si>
    <t>                     If yes to either 35 or 36, are you facing difficulties in applying the methodology of the RTS on SA/S-SA regarding the assumptions on basis risk (Art 21 of the RTS on SA)? (Yes/No)</t>
  </si>
  <si>
    <t xml:space="preserve">                     If yes to either 35 or 36, are you facing difficulties in applying the methodology of the RTS on SA/S-SA regarding the assumptions on automatic optionality (Art 12 of the RTS on SA)? (Yes/No)</t>
  </si>
  <si>
    <t xml:space="preserve">                     If yes to either 35 or 36, are you facing difficulties in applying  the methodology of the RTS on SA/S-SA regarding the assumptions on term deposits subject to early repayment (Art 9 of the RTS on SA)? (Yes/No)</t>
  </si>
  <si>
    <t xml:space="preserve">                      If yes to either 35 or 36, are you facing difficulties in applying the methodology of the RTS on SA/S-SA regarding the assumptions on loans subject to prepayment (Art 8 of the RTS on SA)? (Yes/No)</t>
  </si>
  <si>
    <t xml:space="preserve">                      If yes to either  35 or 36, do you identify unexpected or undesirable consequences of applying scalars (Art.7 on SA (6) and (7) or Art 23(1) for S-SA)? (Yes/No) If yes, please briefly explain</t>
  </si>
  <si>
    <t xml:space="preserve">                      If yes to either  35 or 36, are you facing difficulties in applying the methodology of the RTS on SA/S-SA regarding the assumptions on NMDs (Art 7 of the RTS on SA)? For  example are there any unexpected or undesirable consequences of applying scalars (Art.7 on SA (6) and (7) or Art 23(1) for S-SA)? (Yes/No). If yes, please briefly explain</t>
  </si>
  <si>
    <t>Please indicate if you intend to apply Simplified SA (Yes/No)</t>
  </si>
  <si>
    <t>Please indicate if you intend to apply SA (Yes/No)</t>
  </si>
  <si>
    <t>SA/sSA</t>
  </si>
  <si>
    <t xml:space="preserve">Now  that central banks decided to discontinue  the source of central bank targeted longer-term funding facilities (e.g. last vintage of the TLTRO III will mature in 2024), what strategies do you plan to implement of replacing maturing the targeted long-term central bank funding invested in assets different than assets at the central bank ? (Please explain in column H: main description of which kind of new liabilities are expected to be issued to replace TLTRO III and also if expected to modify/hedge assets hedged by the TLTRO III). </t>
  </si>
  <si>
    <t>Impact of changes in the ECB policy rate instruments</t>
  </si>
  <si>
    <t>For interest rate-sensitive products that are linked to inflation, Do the different IR scenarios incorporate an inflation componet considered interest scenario-dependent for internal purposes? [Yes, inflation is considered dependent on the IR scenario; No ]. If yes, please briefly explain</t>
  </si>
  <si>
    <t>Treatment of Inflation in IRRBB metrics (for the internal risk management and for the SOT )</t>
  </si>
  <si>
    <t xml:space="preserve">With  the changes observed in the last few months in term of inflation: are you hedging against inflation on inflation linked products? (Yes, No, Not aplicable - if any material exposures linked to inflation) 
</t>
  </si>
  <si>
    <t>In the context of the current changing interest rates and the new regulatory developments, are you developing or do you expect to develop changes in your IRR mitigation/hedging strategies or through new business and which ones? . Please elaborate below on hedging strategies (e.g. whether they target EVE, NII, FV, and whether they target upside, downside or other IR scenarios) referring to some specific business models and the extent into which existing hedges have proven and continue to prove effective compared to their different objectives. Expectation to [reduce duration gap; increase duration gap, any]. More generally, which internal controls to ensure effectiveness of your hedging strategies are in place in your internal ALM policy? Is there any minimum frequency to adapt these strategies to your business activity?</t>
  </si>
  <si>
    <t>In the context of the current changing interest rates in 2022, please describe the changes you have made in your whole balance sheet structure refered to the banking book exposure: [ reduced the duration gap between asset/liabilities (e.g. reducing the duration of the asset and/or increasing the duration of liabilities], increased the duration gap (eg.g. increasing the duration of assets and/or reducing the duration of liabilities); any material change].</t>
  </si>
  <si>
    <t>Balance sheet structures</t>
  </si>
  <si>
    <t>Article 21(1) of RTS: Net Interest Income add-on for Basis Risk</t>
  </si>
  <si>
    <t xml:space="preserve">Article 11(3) of RTS: Fixed rate loan commitments to retail counterparties </t>
  </si>
  <si>
    <t>Article 9(4) of RTS: Term deposits to retail counterparties subject to the risk of early redemption</t>
  </si>
  <si>
    <t>Article 8(12) of RTS: Fixed rate loans to retail counterparties subject to the risk of early repayment</t>
  </si>
  <si>
    <t>Article 7(12) of RTS: NMDs</t>
  </si>
  <si>
    <t>For institutions where the relevant materiality thresholds  (from Articles 7(12), 8(2), 9(4), 11(3) and 21(1) of RTS SA, and referenced in paragraph 103 of the GL and Article 4(d) of RTS SOT) apply (relevant materiality thresholds are not surpassed), do you plan modelling these positions even if the relevant thresholds are not surpassed)  ? [Yes -modelled even if not surpassing the prescribed materiality threshold] , No] . If the answer is no, do you consider that they are proportionate enough to your IRRBB exposures? [no -the threshold is too low-, yes -the threshold is adequate].Please provide a separate response per relevant materiality threshold:</t>
  </si>
  <si>
    <t>Proportionality thresholds</t>
  </si>
  <si>
    <r>
      <rPr>
        <b/>
        <sz val="11"/>
        <rFont val="Calibri"/>
        <family val="2"/>
        <scheme val="minor"/>
      </rPr>
      <t>EV(E) risk measure –  Discounting interest curve</t>
    </r>
    <r>
      <rPr>
        <sz val="11"/>
        <rFont val="Calibri"/>
        <family val="2"/>
        <scheme val="minor"/>
      </rPr>
      <t>. Which discounting curve is used for purposes of calculating the SOT on EV  [Interbank secured, interbank unsecured overnight, interbank unsecured term, government yield curve, product specific curve, other]</t>
    </r>
    <r>
      <rPr>
        <b/>
        <sz val="11"/>
        <rFont val="Calibri"/>
        <family val="2"/>
        <scheme val="minor"/>
      </rPr>
      <t xml:space="preserve"> </t>
    </r>
    <r>
      <rPr>
        <sz val="11"/>
        <rFont val="Calibri"/>
        <family val="2"/>
        <scheme val="minor"/>
      </rPr>
      <t>? Please provide the name of the curve used (response provided for the reporting currency).</t>
    </r>
  </si>
  <si>
    <r>
      <rPr>
        <b/>
        <sz val="11"/>
        <rFont val="Calibri"/>
        <family val="2"/>
        <scheme val="minor"/>
      </rPr>
      <t xml:space="preserve">EV(E) risk measure –  Discounting interest curve: </t>
    </r>
    <r>
      <rPr>
        <sz val="11"/>
        <rFont val="Calibri"/>
        <family val="2"/>
        <scheme val="minor"/>
      </rPr>
      <t>Which discounting curve is used for internal purposes to calculate the internal risk measure of EV [Interbank secured, interbank unsecured overnight, interbank unsecured term, government yield curve, product specific curve, other]? Please provide the name of the curve used (response provided for the reporting currency).</t>
    </r>
  </si>
  <si>
    <r>
      <t>Issues for SOT under IMS or SA/sSA</t>
    </r>
    <r>
      <rPr>
        <sz val="11"/>
        <rFont val="Calibri"/>
        <family val="2"/>
        <scheme val="minor"/>
      </rPr>
      <t xml:space="preserve"> (Please address the following questions under the approach envisaged when implementing the new EBA RTS on the SOT on EVE/NII)  </t>
    </r>
  </si>
  <si>
    <r>
      <rPr>
        <b/>
        <sz val="11"/>
        <rFont val="Calibri"/>
        <family val="2"/>
        <scheme val="minor"/>
      </rPr>
      <t>Consideration in IMS of interbank fixed rate position (i.e interbank deposits) as positions subject to basis risk.</t>
    </r>
    <r>
      <rPr>
        <sz val="11"/>
        <rFont val="Calibri"/>
        <family val="2"/>
        <scheme val="minor"/>
      </rPr>
      <t xml:space="preserve"> Do you take into account interbank fixed rate instruments (Y/N)? Please briefly elaborate.</t>
    </r>
  </si>
  <si>
    <r>
      <rPr>
        <b/>
        <sz val="11"/>
        <rFont val="Calibri"/>
        <family val="2"/>
        <scheme val="minor"/>
      </rPr>
      <t xml:space="preserve">IRRBB metric for the basis risk assessment: </t>
    </r>
    <r>
      <rPr>
        <sz val="11"/>
        <rFont val="Calibri"/>
        <family val="2"/>
        <scheme val="minor"/>
      </rPr>
      <t xml:space="preserve">If material, under your IMS Approach do you additionally calculate basis risk for the purposes of IRRBB metrics other than the NII metric?. If yes, please indicate regarding which IRRBB metric (EVE and/or Price Impact on IR fair value instruments in the BB) the basis risk is assessed apart from the NII?  </t>
    </r>
  </si>
  <si>
    <r>
      <rPr>
        <b/>
        <sz val="11"/>
        <rFont val="Calibri"/>
        <family val="2"/>
        <scheme val="minor"/>
      </rPr>
      <t xml:space="preserve">Main drivers.  </t>
    </r>
    <r>
      <rPr>
        <sz val="11"/>
        <rFont val="Calibri"/>
        <family val="2"/>
        <scheme val="minor"/>
      </rPr>
      <t xml:space="preserve">If material: What products are the drivers for your basis risk? </t>
    </r>
  </si>
  <si>
    <r>
      <t xml:space="preserve">Criteria for materiality: </t>
    </r>
    <r>
      <rPr>
        <sz val="11"/>
        <rFont val="Calibri"/>
        <family val="2"/>
        <scheme val="minor"/>
      </rPr>
      <t>Do you consider basis risk to be material? (Yes, Basis risk is material / No). Please, briefly describe (under column I) your IMS approach to assess the materiality of the basis risk.</t>
    </r>
  </si>
  <si>
    <r>
      <rPr>
        <b/>
        <sz val="11"/>
        <rFont val="Calibri"/>
        <family val="2"/>
        <scheme val="minor"/>
      </rPr>
      <t xml:space="preserve">Risk Inventory: </t>
    </r>
    <r>
      <rPr>
        <sz val="11"/>
        <rFont val="Calibri"/>
        <family val="2"/>
        <scheme val="minor"/>
      </rPr>
      <t>Do you include basis risk in your risk inventory?</t>
    </r>
  </si>
  <si>
    <t>Basis risk treatmet under the IMS Approach</t>
  </si>
  <si>
    <r>
      <rPr>
        <b/>
        <sz val="11"/>
        <rFont val="Calibri"/>
        <family val="2"/>
        <scheme val="minor"/>
      </rPr>
      <t xml:space="preserve">Treatment of 0% specific instrument floors for the EVE metric: </t>
    </r>
    <r>
      <rPr>
        <sz val="11"/>
        <rFont val="Calibri"/>
        <family val="2"/>
        <scheme val="minor"/>
      </rPr>
      <t xml:space="preserve"> Under negative IR environment, does your IMS approach take into account for the EVE metric the constraints to reprice at negative rates of certain instruments (e.g.  term deposits and  unestable NMD blalances) after their  maturity regardless the  EVE run off assumption? Yes/No. If yes, briefly explain.</t>
    </r>
  </si>
  <si>
    <r>
      <rPr>
        <b/>
        <sz val="11"/>
        <rFont val="Calibri"/>
        <family val="2"/>
        <scheme val="minor"/>
      </rPr>
      <t>Other items than those mentioned before, subject to behavioural risk.</t>
    </r>
    <r>
      <rPr>
        <sz val="11"/>
        <rFont val="Calibri"/>
        <family val="2"/>
        <scheme val="minor"/>
      </rPr>
      <t xml:space="preserve"> Please briefly name the products (e.g credit cards, loan commitments, other etc.)</t>
    </r>
  </si>
  <si>
    <r>
      <rPr>
        <b/>
        <sz val="11"/>
        <rFont val="Calibri"/>
        <family val="2"/>
        <scheme val="minor"/>
      </rPr>
      <t>Treatment of prepayments on retail fixed rate loans</t>
    </r>
    <r>
      <rPr>
        <sz val="11"/>
        <rFont val="Calibri"/>
        <family val="2"/>
        <scheme val="minor"/>
      </rPr>
      <t xml:space="preserve">:  How is your IMS Approach for considering the prepayment risk on fixed rate loans: only estimate the historical empirical prepayment rates or a model itself to estimate the </t>
    </r>
    <r>
      <rPr>
        <b/>
        <sz val="11"/>
        <rFont val="Calibri"/>
        <family val="2"/>
        <scheme val="minor"/>
      </rPr>
      <t xml:space="preserve">projected behavioral </t>
    </r>
    <r>
      <rPr>
        <sz val="11"/>
        <rFont val="Calibri"/>
        <family val="2"/>
        <scheme val="minor"/>
      </rPr>
      <t>prepayment on the basis of financial/customer behavioral factors?</t>
    </r>
  </si>
  <si>
    <r>
      <rPr>
        <b/>
        <sz val="11"/>
        <rFont val="Calibri"/>
        <family val="2"/>
        <scheme val="minor"/>
      </rPr>
      <t>Treatment of prepayments on wholesale non-financial fixed rate loans</t>
    </r>
    <r>
      <rPr>
        <sz val="11"/>
        <rFont val="Calibri"/>
        <family val="2"/>
        <scheme val="minor"/>
      </rPr>
      <t>:  Does your IMS Approach deal with the prepayments on wholesale non-financial fixed rate loans as automatic IR options  or as behavioural prepayment options?</t>
    </r>
  </si>
  <si>
    <r>
      <rPr>
        <b/>
        <sz val="11"/>
        <rFont val="Calibri"/>
        <family val="2"/>
        <scheme val="minor"/>
      </rPr>
      <t>SOT on NII risk measure under the IMS Approach - PTR of Term deposits (considering its effect also on unstable NMD blalances)</t>
    </r>
    <r>
      <rPr>
        <sz val="11"/>
        <rFont val="Calibri"/>
        <family val="2"/>
        <scheme val="minor"/>
      </rPr>
      <t xml:space="preserve">. Does the bank apply the treatment described above (in previous question) as well to the the unstable NMD non-remunerated balances that could migrate to term deposits under upward IR scenarios? </t>
    </r>
  </si>
  <si>
    <r>
      <rPr>
        <b/>
        <sz val="11"/>
        <rFont val="Calibri"/>
        <family val="2"/>
        <scheme val="minor"/>
      </rPr>
      <t>SOT on NII risk measure under the IMS Approach - PTR of Retail Term deposits</t>
    </r>
    <r>
      <rPr>
        <sz val="11"/>
        <rFont val="Calibri"/>
        <family val="2"/>
        <scheme val="minor"/>
      </rPr>
      <t>. Does the bank pass through 100% of market IR changes to the retail term deposits' repricing after their maturity under the parallel +200 IR scenario?. (Yes/No) (Yes, if in parallel +200 bps IR scenario the new retail term deposits also increase the cost in +200 bps (compared to the new rates applied for new business term deposits in the baseline IR scenario)</t>
    </r>
    <r>
      <rPr>
        <strike/>
        <sz val="11"/>
        <color rgb="FFFF0000"/>
        <rFont val="Calibri"/>
        <family val="2"/>
        <scheme val="minor"/>
      </rPr>
      <t/>
    </r>
  </si>
  <si>
    <t xml:space="preserve">Other behavioral modelling under the IMS Approach </t>
  </si>
  <si>
    <r>
      <rPr>
        <b/>
        <sz val="11"/>
        <rFont val="Calibri"/>
        <family val="2"/>
        <scheme val="minor"/>
      </rPr>
      <t>Modelling of financial operational NMDs:</t>
    </r>
    <r>
      <rPr>
        <sz val="11"/>
        <rFont val="Calibri"/>
        <family val="2"/>
        <scheme val="minor"/>
      </rPr>
      <t xml:space="preserve"> When implementing the new EBA GLs, do you intend to model the repricing maturity of operational NMDs from financials following paragraph 110 of the GL? If so, please describe the benefits/impact in terms of IRRBB risk management if they are modelled.</t>
    </r>
  </si>
  <si>
    <r>
      <rPr>
        <b/>
        <sz val="11"/>
        <rFont val="Calibri"/>
        <family val="2"/>
        <scheme val="minor"/>
      </rPr>
      <t>Exemptions to the 5 year NMD repricing cap:</t>
    </r>
    <r>
      <rPr>
        <sz val="11"/>
        <rFont val="Calibri"/>
        <family val="2"/>
        <scheme val="minor"/>
      </rPr>
      <t xml:space="preserve">  Do you expect to use the exemptions to the 5 year repricing cap envisaged in paragraph 111 of the new EBA GL? If so, please name the product (and its relevant characteristics) to which you intend to apply the exemptions, and briefly describe what would be the impact, in terms of IRRBB risk management, if these exemptions are not applied</t>
    </r>
    <r>
      <rPr>
        <b/>
        <sz val="11"/>
        <color theme="1"/>
        <rFont val="Calibri"/>
        <family val="2"/>
        <scheme val="minor"/>
      </rPr>
      <t/>
    </r>
  </si>
  <si>
    <r>
      <t xml:space="preserve">5 year NMD repricing cap: </t>
    </r>
    <r>
      <rPr>
        <sz val="11"/>
        <rFont val="Calibri"/>
        <family val="2"/>
        <scheme val="minor"/>
      </rPr>
      <t>Do you expect any uninteded  impact in terms of IRRBB risk management and hedging strategies, if the 5 year repricing cap envisaged in paragraph 111 of the GL would have been applied in the IMS in 2022? If so, please describe</t>
    </r>
  </si>
  <si>
    <r>
      <rPr>
        <b/>
        <sz val="11"/>
        <rFont val="Calibri"/>
        <family val="2"/>
        <scheme val="minor"/>
      </rPr>
      <t>IR repricing of non-core NMDs the NII SOT</t>
    </r>
    <r>
      <rPr>
        <sz val="11"/>
        <rFont val="Calibri"/>
        <family val="2"/>
        <scheme val="minor"/>
      </rPr>
      <t>. Looking forward to the application of point (d) of Article 5 of the currently draft RTS SOT, do you expect to reprice the non-core NMD balances in the NII SOT metric? For example, if the Bank´s NMD model identifies an amount of unstable NMD balances for the retail non-remunerated transactional accounts, does the bank reprice at market rates this unstable NMD balances for the purpose of the NII metric under IMS approach for the SOT, by considering for instance that these unstable non-remunerated retail NMD balances become remunerated (totally or partially) similar to other remunerated account as, for example, retail remunerated sight/term deposits?</t>
    </r>
  </si>
  <si>
    <r>
      <rPr>
        <b/>
        <sz val="11"/>
        <rFont val="Calibri"/>
        <family val="2"/>
        <scheme val="minor"/>
      </rPr>
      <t xml:space="preserve">Core NMD volumes conditional on IR scenario: </t>
    </r>
    <r>
      <rPr>
        <sz val="11"/>
        <rFont val="Calibri"/>
        <family val="2"/>
        <scheme val="minor"/>
      </rPr>
      <t xml:space="preserve">  Do you consider different core NMD volumes by scenario? (Yes/No): If yes, please explain the rationale. </t>
    </r>
    <r>
      <rPr>
        <b/>
        <sz val="11"/>
        <color theme="1"/>
        <rFont val="Calibri"/>
        <family val="2"/>
        <scheme val="minor"/>
      </rPr>
      <t/>
    </r>
  </si>
  <si>
    <r>
      <rPr>
        <b/>
        <sz val="11"/>
        <rFont val="Calibri"/>
        <family val="2"/>
        <scheme val="minor"/>
      </rPr>
      <t>Adjustment of NMD assumptions to the IR scenarios</t>
    </r>
    <r>
      <rPr>
        <sz val="11"/>
        <rFont val="Calibri"/>
        <family val="2"/>
        <scheme val="minor"/>
      </rPr>
      <t>:  Within your internal risk management do you adjust the key NMD behavioural assumptions to the different IR scenarios as stated in EGA GLs Para 112 c) and in the RTS on SOT in Article 4 d)? f yes, please indicate which</t>
    </r>
    <r>
      <rPr>
        <strike/>
        <sz val="11"/>
        <rFont val="Calibri"/>
        <family val="2"/>
        <scheme val="minor"/>
      </rPr>
      <t xml:space="preserve"> </t>
    </r>
    <r>
      <rPr>
        <sz val="11"/>
        <rFont val="Calibri"/>
        <family val="2"/>
        <scheme val="minor"/>
      </rPr>
      <t>components of the model are adjusted (i.e non-core volumes/non-core/core average repricing/both/other).</t>
    </r>
    <r>
      <rPr>
        <b/>
        <sz val="11"/>
        <color theme="1"/>
        <rFont val="Calibri"/>
        <family val="2"/>
        <scheme val="minor"/>
      </rPr>
      <t/>
    </r>
  </si>
  <si>
    <t xml:space="preserve">NMD behavioral modelling under the IMS Approach </t>
  </si>
  <si>
    <r>
      <rPr>
        <b/>
        <sz val="11"/>
        <rFont val="Calibri"/>
        <family val="2"/>
        <scheme val="minor"/>
      </rPr>
      <t xml:space="preserve">NMD core balances (slotting of core balances): </t>
    </r>
    <r>
      <rPr>
        <sz val="11"/>
        <rFont val="Calibri"/>
        <family val="2"/>
        <scheme val="minor"/>
      </rPr>
      <t>Do you allocate core NMD balances bullet (all core balances allocated in one only reprincing tenor)  or widespread (core balances allocated along different repricing tenors) ? Please explain briefly the methodology for the slotting of core NMD balances bullet or widespread and its economic rationale</t>
    </r>
  </si>
  <si>
    <r>
      <rPr>
        <b/>
        <sz val="11"/>
        <rFont val="Calibri"/>
        <family val="2"/>
        <scheme val="minor"/>
      </rPr>
      <t xml:space="preserve">Identification of core/ non-core NMD balances: </t>
    </r>
    <r>
      <rPr>
        <sz val="11"/>
        <rFont val="Calibri"/>
        <family val="2"/>
        <scheme val="minor"/>
      </rPr>
      <t xml:space="preserve"> Please name other relevant drivers used to identify core balances. </t>
    </r>
  </si>
  <si>
    <r>
      <rPr>
        <b/>
        <sz val="11"/>
        <rFont val="Calibri"/>
        <family val="2"/>
        <scheme val="minor"/>
      </rPr>
      <t>Identification of core/ non-core NMD balances</t>
    </r>
    <r>
      <rPr>
        <sz val="11"/>
        <rFont val="Calibri"/>
        <family val="2"/>
        <scheme val="minor"/>
      </rPr>
      <t>: Do you consider the type of the deposit account (i.e internet only, remunerated or non-remunerated, level of transactional, etc.) .  If yes, please mark in column I the main drivers considered (different factors can be identified ) and explain briefly these main drivers and their rationale.</t>
    </r>
  </si>
  <si>
    <r>
      <rPr>
        <b/>
        <sz val="11"/>
        <rFont val="Calibri"/>
        <family val="2"/>
        <scheme val="minor"/>
      </rPr>
      <t>Identification of core/ non-core NMD balances:</t>
    </r>
    <r>
      <rPr>
        <sz val="11"/>
        <rFont val="Calibri"/>
        <family val="2"/>
        <scheme val="minor"/>
      </rPr>
      <t xml:space="preserve">  do you consider the Deposit balance size in relation with income of depositor or account turnover etc, as a factor to identify core NMD balances?. If yes, please explain briefly the rationale of how the account size is considered to identify the core NMD balances. </t>
    </r>
  </si>
  <si>
    <r>
      <t xml:space="preserve">Identification of core/ non-core NMD balances: </t>
    </r>
    <r>
      <rPr>
        <sz val="11"/>
        <rFont val="Calibri"/>
        <family val="2"/>
        <scheme val="minor"/>
      </rPr>
      <t>do you consider the overall criteria established in the LCR DR, with regards the stability of deposits, to determine non-core/Core NMDs balances (Y/N)</t>
    </r>
  </si>
  <si>
    <r>
      <t xml:space="preserve">Identification of core NMD balances: </t>
    </r>
    <r>
      <rPr>
        <sz val="11"/>
        <rFont val="Calibri"/>
        <family val="2"/>
        <scheme val="minor"/>
      </rPr>
      <t>Do you consider that the bank NMD model is calibrated with a data period long enough to cover different rate environments? (Yes/No). If no, indicate in column I  if (Yes/No) you apply conservative adjustment to deal with this weakness and explain (in column J) briefly the adjustments applied.</t>
    </r>
  </si>
  <si>
    <r>
      <t xml:space="preserve">Identification of core NMD balances: </t>
    </r>
    <r>
      <rPr>
        <sz val="11"/>
        <rFont val="Calibri"/>
        <family val="2"/>
        <scheme val="minor"/>
      </rPr>
      <t>Does your IMS factor in the effects of an increase</t>
    </r>
    <r>
      <rPr>
        <b/>
        <sz val="11"/>
        <rFont val="Calibri"/>
        <family val="2"/>
        <scheme val="minor"/>
      </rPr>
      <t xml:space="preserve"> </t>
    </r>
    <r>
      <rPr>
        <sz val="11"/>
        <rFont val="Calibri"/>
        <family val="2"/>
        <scheme val="minor"/>
      </rPr>
      <t>in the volume of NMDs that come from a migration from other deposit accounts (e.g., term deposits or remunerated NMDs) during the period of very low/negative interest rates (Y/N)? Do you generally treat them as core or non-core balance (Core/non-Core)? Please briefly explain.</t>
    </r>
  </si>
  <si>
    <r>
      <rPr>
        <b/>
        <sz val="11"/>
        <rFont val="Calibri"/>
        <family val="2"/>
        <scheme val="minor"/>
      </rPr>
      <t>Identification of core NMD balances</t>
    </r>
    <r>
      <rPr>
        <sz val="11"/>
        <rFont val="Calibri"/>
        <family val="2"/>
        <scheme val="minor"/>
      </rPr>
      <t>: Does the the Bank face challenges in identifying NMD core balances as defined in EBA GLs (Para. 112 a) unconditional to the IR scenario (i.e. deposits that are stable and unlikely to reprice even under significant changes in interest rate environment). If yes, please explain briefly the reasons.</t>
    </r>
  </si>
  <si>
    <r>
      <t xml:space="preserve">General approach for NMD modelling:  </t>
    </r>
    <r>
      <rPr>
        <sz val="11"/>
        <rFont val="Calibri"/>
        <family val="2"/>
        <scheme val="minor"/>
      </rPr>
      <t xml:space="preserve">What method is used to determine the behavioural/repricing time of the NMDs [replicating portfolio, </t>
    </r>
    <r>
      <rPr>
        <b/>
        <sz val="11"/>
        <rFont val="Calibri"/>
        <family val="2"/>
        <scheme val="minor"/>
      </rPr>
      <t>t</t>
    </r>
    <r>
      <rPr>
        <sz val="11"/>
        <rFont val="Calibri"/>
        <family val="2"/>
        <scheme val="minor"/>
      </rPr>
      <t>ime series model (e.g Basel/EBA Stable/non-stable/PTR approach),  Economical models (i.e modelling financial wealth allocation to NMDs or alternative investments according to different market scenarios/economic factors), expert judgement, other.</t>
    </r>
  </si>
  <si>
    <t>NMD behavioral modelling under the IMS Approach or SA/sSA</t>
  </si>
  <si>
    <t>Responses</t>
  </si>
  <si>
    <t>J) IRRBB qualitative questions</t>
  </si>
  <si>
    <t>Check if revised SF RWAs &lt; revised RWAs</t>
  </si>
  <si>
    <t>Check if revised NM SF RWAs &lt; revised NM RWAs</t>
  </si>
  <si>
    <t>Check if revised SF RWAs &lt; revised RWAs</t>
  </si>
  <si>
    <t>Check if revised NM SF RWAs &lt; revised NM RWAs</t>
  </si>
  <si>
    <t>eur</t>
  </si>
  <si>
    <t>815600AD83B2B6317788</t>
  </si>
  <si>
    <t>The prudential consolidated financial statements and the regulatory reporting are prepared on a quarterly basis.</t>
  </si>
  <si>
    <t>Please refer to the row above.</t>
  </si>
  <si>
    <t>BNP Paribas - Paris and Intesa Sanpaolo S.p.A.(formerly known as "Banca IMI S.P.A")</t>
  </si>
  <si>
    <t>BNP LEI: R0MUWSFPU8MPRO8K5P83 and Intesa LEI: 2W8N8UU78PMDQKZENC08</t>
  </si>
  <si>
    <t>BNP Paribas - Paris</t>
  </si>
  <si>
    <t>R0MUWSFPU8MPRO8K5P83</t>
  </si>
  <si>
    <t>IMS</t>
  </si>
  <si>
    <t xml:space="preserve">No </t>
  </si>
  <si>
    <t xml:space="preserve">Other </t>
  </si>
  <si>
    <t xml:space="preserve">The Core portion of Retail NMDs originated by an increase of volumes (not proportional to the increase in accounts' number)  due to the negative interest rate period is treated with an accelerated decalage profile (in max 2 years). The adjustmest prudentially considers potential outflows of volumes in an higher interest rates environment
</t>
  </si>
  <si>
    <t>No (the account size is not considered as a factor to identify core balances)</t>
  </si>
  <si>
    <t xml:space="preserve">The core NMDs balance is determined combining the "volume model"  that quantifies the NMDs stable part (on the base of the historical volatility of volumes) and the "interest rates model" that identifies the part non sensitive to interest rate movements (1-pass through). </t>
  </si>
  <si>
    <t>Widespread</t>
  </si>
  <si>
    <t>the core NMDs balances have a decaying profile up to the mean life calculated according with the historical volatility estimated, with a cap up to 15 years on the maximum mean life. The economic rationale is that the core NMD is like a portfolio of deposits maturing in line with the behavior observed on the historical series.</t>
  </si>
  <si>
    <t>We don't consider different core NMD volumes by scenario, but we apply prudentially  adjustments to the original decalage to accelerate the dacaying profile of volumes linked to the negative interest rates and Covid-19 pandemic period.</t>
  </si>
  <si>
    <t>The current NMDs model already respects the 5 years repricing cap.</t>
  </si>
  <si>
    <t>Treatment as a Behavioral Option</t>
  </si>
  <si>
    <t>a model for the estimate the rate of prepayments</t>
  </si>
  <si>
    <t>- Floating rate customers loans are modeled with the same methodology as fixed rate loans (behavioural model).
- NMAs, sight deposits on the asset side of balance sheet, are modeled with the same methodology as NMDs (behavioural model)</t>
  </si>
  <si>
    <t>In the EVE metric (but also for NII metric) the Group considers and measures the embedded options in assets and liabilities of the banking book, e.g. contractual floors on the parameter and legal zero floor on the interest rate of customer loans . The methodology used is the Black shifted approach.</t>
  </si>
  <si>
    <t>The Group monitors the Basis risk exposure quarterly in the RAF process. Up to end 2022 the Group exposures is calculated through the standard methodology approach provided in the Basel document "Interest rate risk in the banking book - 2015". Since 2023 the methodology has been aligned to the standard approach provided by the EBA RTS SA. This approach calculates the Basis risk exposure in terms of impact on NII.</t>
  </si>
  <si>
    <t xml:space="preserve">Floating rate instruments, e.g. floating rates costumers loans, floating legs of IRS/OIS hedging derivatives and TLTRO-III/ECB deposits. </t>
  </si>
  <si>
    <t>Only NII</t>
  </si>
  <si>
    <t>interbank unsecured term</t>
  </si>
  <si>
    <t>The curve used for internal purposes to calculate the internal risk measure of EV is a risk free interest rate curve. As for euro positions the curve used is IRS vs Euribor 1m.</t>
  </si>
  <si>
    <t>The curve used for purposes of calculating the SOT on EV is the same used for internal purposes (see answer question 27).</t>
  </si>
  <si>
    <t>Surpassed relevant materiality threshold</t>
  </si>
  <si>
    <t>No [Not modeled and not surpassed materiality threshold]</t>
  </si>
  <si>
    <t xml:space="preserve">Reduced Duration Gap </t>
  </si>
  <si>
    <t xml:space="preserve">Increase Duration Gap </t>
  </si>
  <si>
    <t>The medium-long term pre-funding strategy that we have implemented in the last two years, through the issuance of Covered Bonds and Senior Unsecured Bonds, has enabled us to reach a sound level of NSFR well above the regulatory minimum and which we expect to remain stable over the planning horizon. Furthermore, the funding strategy for the next four years envisages a constant presence on the wholesale capital market in order to refinance and further increase outstanding debt. We also expect to carry out some placements of Senior Preferred to the Group's retail customers, albeit for a limited total amount. The growth of sight and time Deposits from customers, compared to the expansion of loans to customers has contributed to generating a liquidity surplus, which will partly cover the liquidity requirement coming from TLTROs' repayments. As regards short-term funding, we expect to strengthen or expand wholesale funding channels, also in order to maintain LCR levels in line with the Group's risk appetite objectives. In this sense, we are developing a channel to negotiate unsecured deposits with the Italian Treasury Department (MEF); we are structuring a Commercial Paper Program; we are strengthening our ability to refinance HQLA and non-HQLA securities via repo, also joining a pan-European market platform and a new central counterparty. Finally, we are increasing the capacity to generate eligible ECB collateral in order to be able to obtain collateralized funding, both from the market and from the Central Bank, under ordinary and contingency funding conditions. We don't expect to modify assets current structure as there were no direct "hedge" in place with TLTRO III</t>
  </si>
  <si>
    <t>Partially</t>
  </si>
  <si>
    <t>MV changes</t>
  </si>
  <si>
    <t>The Group is already partially compliant with the GL's requirements regarding CSRBB. In 2023 the Group envisages to define an action plan to implement aimed at align the internal CSRBB framework to the new GL</t>
  </si>
  <si>
    <t xml:space="preserve">The assessment of CSRBB in the NII metric will be explored during 2023 and will be part of an action plan aimed to align the current CSRBB internal framework. In general the approach could be to stress the current credit spread of bonds (HTCS+HTC)  maturing in the time horizon of NII, quantifying the impact in terms of NII Sensitivity.  </t>
  </si>
  <si>
    <t xml:space="preserve">The Group already calculates the impact on EVE of CSRBB exposures for all bonds (HTCS + HTC)  in the Banking book portfolio (Group level) considering all spread components in a conservative way. The metric used is based on the Credit spread sensitivity (CS01) of bonds resulting from the shock of +1 basis point of the current implied credit spread calibrated from the bond market price. For the quantification of the RAF CSRBB indicator this metric is then multiplied by a mild shock scenario, with credit spreads differentiated by issuer category and duration of bonds. </t>
  </si>
  <si>
    <t>The Group considers all spread components in a conservative way, in line with the EBA GLs. Including the idiosincratic spread component in the CSRBB perimeter produces a greater credit spread sensitivity (CS01).</t>
  </si>
  <si>
    <t>Jan-2008</t>
  </si>
  <si>
    <t>Oct-2022</t>
  </si>
  <si>
    <t>Mar-2022</t>
  </si>
  <si>
    <t>Jun-2021</t>
  </si>
  <si>
    <t>Oct-2021</t>
  </si>
  <si>
    <t>The Group expects to consider in the CSRBB perimeter the banking book's assets subjected to credit spread risk. Currently the Group calculates the CSRBB exposures for all asset side bonds (HTCS + HTC)  in the Banking book portfolio (Group level) and envisages to mantain this perimeter. Own issuances, liability side, are prudentially excluded from the CSRBB perimeter as they would reduce the total risk exposure. 
The other IR sensitive instruments (eg. costumers loans, mortgages, NMDs) are excluded because they aren't marketable and not subject to CSRBB.</t>
  </si>
  <si>
    <t xml:space="preserve">The outcome of the SOT NII is mainly due to the higher interest rates as of December 2022 and a greater distance from the EBA Floor. The strucutal positioning of commercial banks, traditionally characterized by an important part of floating rate customers loans, in this new interest rates environment leads to an higher negative impact on NII in the down scenario. Conversely the 2,5% threshold has been calibrated on interest rates as of December 2020 (very low/negative) with a great impact of the EBA Floor. </t>
  </si>
  <si>
    <t xml:space="preserve">During 2022 the Group has been keeping a neutral IRRBB risk profile in order to protect Economic Value in a context of rising interest rates. 
Looking forward in 2023 the Group expects to reduce the risk of a negative impact in NII generated by a downside IR scenario. Given the high level already reached in interest rates and a potential decline in the next few years the Group is increasing the fixed receiver hedging derivatives (interest rate swaps) exposure, in order to protect the NII for the upcoming years. This strategy benefits the NII sensitivity, also in terms of SOT NII envisaged by the new regulatory framework, but entails an higher IRRBB exposure in terms of Economic Value sensitivity (Increase Duration Gap) that will remail below the Risk Appetite thresholds set for 2023 and regulatory capacity.
Effectiveness tests are quarterly performed to monitor the effectiveness of the hedging strategy in place, as define in the Hedging Card approved by the board. The IRRBB strategy is quarterly submitted to ALM Commettee. An extraordinary ALCO session can take place if necessary at any time.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</si>
</sst>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64" formatCode="_(* #,##0_);_(* \(#,##0\);_(* &quot;-&quot;_);_(@_)"/>
    <numFmt numFmtId="165" formatCode="_(* #,##0.00_);_(* \(#,##0.00\);_(* &quot;-&quot;??_);_(@_)"/>
    <numFmt numFmtId="166" formatCode="_(&quot;Sfr.&quot;* #,##0_);_(&quot;Sfr.&quot;* \(#,##0\);_(&quot;Sfr.&quot;* &quot;-&quot;_);_(@_)"/>
    <numFmt numFmtId="167" formatCode="_(&quot;Sfr.&quot;* #,##0.00_);_(&quot;Sfr.&quot;* \(#,##0.00\);_(&quot;Sfr.&quot;* &quot;-&quot;??_);_(@_)"/>
    <numFmt numFmtId="168" formatCode="0.0"/>
    <numFmt numFmtId="169" formatCode="0.00000"/>
    <numFmt numFmtId="170" formatCode="0.0000"/>
    <numFmt numFmtId="171" formatCode="0.0000%"/>
    <numFmt numFmtId="172" formatCode="yyyy\-mm\-dd;@"/>
    <numFmt numFmtId="173" formatCode="[&gt;0]General"/>
    <numFmt numFmtId="174" formatCode="0.0%"/>
    <numFmt numFmtId="175" formatCode="#,##0.000"/>
    <numFmt numFmtId="176" formatCode="#,##0.0000"/>
    <numFmt numFmtId="177" formatCode="0.0000000000000000000000%"/>
    <numFmt numFmtId="178" formatCode="0.000"/>
    <numFmt numFmtId="179" formatCode="#,##0.0"/>
  </numFmts>
  <fonts count="113" x14ac:knownFonts="1">
    <font>
      <sz val="10"/>
      <name val="Segoe U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Segoe UI"/>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12"/>
      <color theme="1"/>
      <name val="Segoe UI"/>
      <family val="2"/>
    </font>
    <font>
      <b/>
      <sz val="10"/>
      <color rgb="FFAA322F"/>
      <name val="Arial"/>
      <family val="2"/>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sz val="8"/>
      <name val="Segoe UI"/>
      <family val="2"/>
    </font>
    <font>
      <i/>
      <sz val="10"/>
      <name val="Segoe UI"/>
      <family val="2"/>
    </font>
    <font>
      <vertAlign val="subscript"/>
      <sz val="10"/>
      <name val="Segoe UI"/>
      <family val="2"/>
    </font>
    <font>
      <b/>
      <sz val="10"/>
      <color rgb="FF427F6D"/>
      <name val="Segoe UI"/>
      <family val="2"/>
    </font>
    <font>
      <sz val="10"/>
      <color rgb="FF000000"/>
      <name val="Segoe UI"/>
      <family val="2"/>
    </font>
    <font>
      <b/>
      <sz val="13"/>
      <color rgb="FFFF0000"/>
      <name val="Segoe UI"/>
      <family val="2"/>
    </font>
    <font>
      <b/>
      <sz val="9"/>
      <color rgb="FFFF0000"/>
      <name val="Segoe UI"/>
      <family val="2"/>
    </font>
    <font>
      <b/>
      <sz val="9"/>
      <color rgb="FFAA322F"/>
      <name val="Segoe UI"/>
      <family val="2"/>
    </font>
    <font>
      <b/>
      <sz val="10"/>
      <color theme="5"/>
      <name val="Segoe UI"/>
      <family val="2"/>
    </font>
    <font>
      <b/>
      <sz val="12"/>
      <color rgb="FFFF0000"/>
      <name val="Segoe UI"/>
      <family val="2"/>
    </font>
    <font>
      <b/>
      <sz val="10"/>
      <color rgb="FFFF0000"/>
      <name val="Calibri"/>
      <family val="2"/>
    </font>
    <font>
      <sz val="11"/>
      <color rgb="FFFF0000"/>
      <name val="Calibri"/>
      <family val="2"/>
    </font>
    <font>
      <sz val="10"/>
      <color rgb="FFFF0000"/>
      <name val="Calibri"/>
      <family val="2"/>
    </font>
    <font>
      <i/>
      <sz val="11"/>
      <color theme="1"/>
      <name val="Calibri"/>
      <family val="2"/>
      <scheme val="minor"/>
    </font>
    <font>
      <b/>
      <sz val="13"/>
      <color theme="1"/>
      <name val="Segoe UI"/>
      <family val="2"/>
    </font>
    <font>
      <b/>
      <sz val="11"/>
      <color theme="1"/>
      <name val="Calibri"/>
      <family val="2"/>
      <scheme val="minor"/>
    </font>
    <font>
      <b/>
      <u/>
      <sz val="10"/>
      <color theme="1"/>
      <name val="Segoe UI"/>
      <family val="2"/>
    </font>
    <font>
      <sz val="10"/>
      <color theme="1"/>
      <name val="Calibri"/>
      <family val="2"/>
      <scheme val="minor"/>
    </font>
    <font>
      <sz val="12"/>
      <name val="Calibri"/>
      <family val="2"/>
      <scheme val="minor"/>
    </font>
    <font>
      <strike/>
      <sz val="10"/>
      <color rgb="FFFF0000"/>
      <name val="Segoe UI"/>
      <family val="2"/>
    </font>
    <font>
      <b/>
      <sz val="10"/>
      <name val="Calibri"/>
      <family val="2"/>
      <scheme val="minor"/>
    </font>
    <font>
      <b/>
      <u/>
      <sz val="10"/>
      <color rgb="FFAA322F"/>
      <name val="Segoe UI"/>
      <family val="2"/>
    </font>
    <font>
      <sz val="10"/>
      <color theme="1"/>
      <name val="Calibri"/>
      <family val="2"/>
    </font>
    <font>
      <sz val="10"/>
      <color rgb="FFFF0000"/>
      <name val="Calibri"/>
      <family val="2"/>
      <scheme val="minor"/>
    </font>
    <font>
      <sz val="11"/>
      <name val="Calibri"/>
      <family val="2"/>
      <scheme val="minor"/>
    </font>
    <font>
      <strike/>
      <sz val="11"/>
      <color rgb="FFC00000"/>
      <name val="Calibri"/>
      <family val="2"/>
      <scheme val="minor"/>
    </font>
    <font>
      <sz val="11"/>
      <color theme="4" tint="-0.249977111117893"/>
      <name val="Calibri"/>
      <family val="2"/>
      <scheme val="minor"/>
    </font>
    <font>
      <sz val="10"/>
      <color theme="4" tint="-0.249977111117893"/>
      <name val="Segoe UI"/>
      <family val="2"/>
    </font>
    <font>
      <sz val="10"/>
      <name val="Calibri"/>
      <family val="2"/>
      <scheme val="minor"/>
    </font>
    <font>
      <b/>
      <sz val="10"/>
      <color theme="1"/>
      <name val="Calibri"/>
      <family val="2"/>
      <scheme val="minor"/>
    </font>
    <font>
      <b/>
      <u/>
      <sz val="10"/>
      <color theme="1"/>
      <name val="Calibri"/>
      <family val="2"/>
      <scheme val="minor"/>
    </font>
    <font>
      <b/>
      <sz val="11"/>
      <name val="Calibri"/>
      <family val="2"/>
      <scheme val="minor"/>
    </font>
    <font>
      <b/>
      <sz val="12"/>
      <color theme="1"/>
      <name val="Calibri"/>
      <family val="2"/>
      <scheme val="minor"/>
    </font>
    <font>
      <b/>
      <sz val="16"/>
      <color theme="1"/>
      <name val="Calibri"/>
      <family val="2"/>
      <scheme val="minor"/>
    </font>
    <font>
      <sz val="11"/>
      <color rgb="FFFF0000"/>
      <name val="Calibri"/>
      <family val="2"/>
      <scheme val="minor"/>
    </font>
    <font>
      <b/>
      <u/>
      <sz val="11"/>
      <name val="Calibri"/>
      <family val="2"/>
      <scheme val="minor"/>
    </font>
    <font>
      <strike/>
      <sz val="11"/>
      <name val="Calibri"/>
      <family val="2"/>
      <scheme val="minor"/>
    </font>
    <font>
      <u/>
      <sz val="11"/>
      <name val="Calibri"/>
      <family val="2"/>
      <scheme val="minor"/>
    </font>
    <font>
      <strike/>
      <sz val="11"/>
      <color theme="1"/>
      <name val="Calibri"/>
      <family val="2"/>
      <scheme val="minor"/>
    </font>
    <font>
      <strike/>
      <sz val="10"/>
      <name val="Calibri"/>
      <family val="2"/>
      <scheme val="minor"/>
    </font>
    <font>
      <b/>
      <strike/>
      <sz val="11"/>
      <name val="Calibri"/>
      <family val="2"/>
      <scheme val="minor"/>
    </font>
    <font>
      <strike/>
      <sz val="11"/>
      <color rgb="FFFF0000"/>
      <name val="Calibri"/>
      <family val="2"/>
      <scheme val="minor"/>
    </font>
    <font>
      <b/>
      <sz val="20"/>
      <name val="Calibri"/>
      <family val="2"/>
      <scheme val="minor"/>
    </font>
    <font>
      <sz val="20"/>
      <name val="Calibri"/>
      <family val="2"/>
      <scheme val="minor"/>
    </font>
    <font>
      <b/>
      <sz val="18"/>
      <name val="Calibri"/>
      <family val="2"/>
      <scheme val="minor"/>
    </font>
    <font>
      <sz val="12"/>
      <name val="Segoe UI"/>
      <family val="2"/>
    </font>
  </fonts>
  <fills count="68">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theme="5" tint="0.79998168889431442"/>
        <bgColor indexed="64"/>
      </patternFill>
    </fill>
    <fill>
      <patternFill patternType="solid">
        <fgColor rgb="FFFFFF00"/>
        <bgColor indexed="64"/>
      </patternFill>
    </fill>
    <fill>
      <patternFill patternType="solid">
        <fgColor theme="5" tint="0.59999389629810485"/>
        <bgColor indexed="64"/>
      </patternFill>
    </fill>
    <fill>
      <patternFill patternType="lightUp"/>
    </fill>
    <fill>
      <patternFill patternType="solid">
        <fgColor rgb="FFC4A4DC"/>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5"/>
        <bgColor indexed="64"/>
      </patternFill>
    </fill>
    <fill>
      <patternFill patternType="solid">
        <fgColor theme="4"/>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2" tint="-0.249977111117893"/>
        <bgColor indexed="64"/>
      </patternFill>
    </fill>
  </fills>
  <borders count="26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rgb="FFBCBDBC"/>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rgb="FFBCBDBC"/>
      </top>
      <bottom style="thin">
        <color rgb="FFBCBDBC"/>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rgb="FFBCBDBC"/>
      </left>
      <right style="thin">
        <color indexed="64"/>
      </right>
      <top/>
      <bottom style="thin">
        <color rgb="FFBCBDBC"/>
      </bottom>
      <diagonal/>
    </border>
    <border>
      <left/>
      <right/>
      <top style="thin">
        <color theme="0" tint="-0.24994659260841701"/>
      </top>
      <bottom style="thin">
        <color indexed="64"/>
      </bottom>
      <diagonal/>
    </border>
    <border>
      <left style="thin">
        <color rgb="FFBCBDBC"/>
      </left>
      <right/>
      <top style="thin">
        <color theme="0" tint="-0.24994659260841701"/>
      </top>
      <bottom style="thin">
        <color theme="1"/>
      </bottom>
      <diagonal/>
    </border>
    <border>
      <left style="thin">
        <color indexed="64"/>
      </left>
      <right/>
      <top/>
      <bottom/>
      <diagonal/>
    </border>
    <border>
      <left/>
      <right style="thin">
        <color rgb="FFBCBDBC"/>
      </right>
      <top/>
      <bottom style="thin">
        <color indexed="64"/>
      </bottom>
      <diagonal/>
    </border>
    <border>
      <left style="thin">
        <color indexed="64"/>
      </left>
      <right style="thin">
        <color rgb="FFBCBDBC"/>
      </right>
      <top style="thin">
        <color rgb="FFBCBDBC"/>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style="thin">
        <color indexed="64"/>
      </right>
      <top style="thin">
        <color indexed="64"/>
      </top>
      <bottom style="thin">
        <color rgb="FFBCBDBC"/>
      </bottom>
      <diagonal/>
    </border>
    <border>
      <left/>
      <right style="thin">
        <color auto="1"/>
      </right>
      <top/>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auto="1"/>
      </left>
      <right/>
      <top/>
      <bottom style="thin">
        <color auto="1"/>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style="thin">
        <color rgb="FFBCBDBC"/>
      </right>
      <top style="thin">
        <color indexed="64"/>
      </top>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rgb="FFBCBDBC"/>
      </bottom>
      <diagonal/>
    </border>
    <border>
      <left style="thin">
        <color auto="1"/>
      </left>
      <right style="thin">
        <color rgb="FFBCBDBC"/>
      </right>
      <top/>
      <bottom/>
      <diagonal/>
    </border>
    <border>
      <left style="thin">
        <color rgb="FFBCBDBC"/>
      </left>
      <right style="thin">
        <color auto="1"/>
      </right>
      <top style="thin">
        <color rgb="FFBCBDBC"/>
      </top>
      <bottom/>
      <diagonal/>
    </border>
    <border>
      <left/>
      <right style="thin">
        <color theme="0"/>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rgb="FFBCBDBC"/>
      </left>
      <right style="thin">
        <color indexed="64"/>
      </right>
      <top style="thin">
        <color indexed="64"/>
      </top>
      <bottom/>
      <diagonal/>
    </border>
    <border>
      <left style="thin">
        <color indexed="64"/>
      </left>
      <right style="thin">
        <color theme="0"/>
      </right>
      <top style="thin">
        <color auto="1"/>
      </top>
      <bottom/>
      <diagonal/>
    </border>
    <border>
      <left/>
      <right style="thin">
        <color theme="0"/>
      </right>
      <top style="thin">
        <color theme="0"/>
      </top>
      <bottom style="thin">
        <color theme="0"/>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indexed="64"/>
      </left>
      <right style="thin">
        <color theme="0"/>
      </right>
      <top style="thin">
        <color auto="1"/>
      </top>
      <bottom style="thin">
        <color indexed="64"/>
      </bottom>
      <diagonal/>
    </border>
    <border>
      <left style="thin">
        <color theme="0"/>
      </left>
      <right style="thin">
        <color theme="0"/>
      </right>
      <top style="thin">
        <color indexed="64"/>
      </top>
      <bottom style="thin">
        <color indexed="64"/>
      </bottom>
      <diagonal/>
    </border>
    <border>
      <left/>
      <right style="thin">
        <color theme="0"/>
      </right>
      <top/>
      <bottom/>
      <diagonal/>
    </border>
    <border>
      <left style="thin">
        <color theme="0"/>
      </left>
      <right/>
      <top/>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indexed="64"/>
      </left>
      <right/>
      <top style="thin">
        <color rgb="FFBCBDBC"/>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right style="thin">
        <color auto="1"/>
      </right>
      <top style="thin">
        <color theme="0"/>
      </top>
      <bottom style="thin">
        <color theme="0"/>
      </bottom>
      <diagonal/>
    </border>
    <border>
      <left style="thin">
        <color auto="1"/>
      </left>
      <right/>
      <top style="thin">
        <color theme="0"/>
      </top>
      <bottom style="thin">
        <color theme="0"/>
      </bottom>
      <diagonal/>
    </border>
    <border>
      <left style="thin">
        <color theme="0"/>
      </left>
      <right style="thin">
        <color auto="1"/>
      </right>
      <top style="thin">
        <color theme="0"/>
      </top>
      <bottom style="thin">
        <color theme="0"/>
      </bottom>
      <diagonal/>
    </border>
    <border>
      <left style="thin">
        <color theme="0"/>
      </left>
      <right style="thin">
        <color auto="1"/>
      </right>
      <top/>
      <bottom style="thin">
        <color theme="0"/>
      </bottom>
      <diagonal/>
    </border>
    <border>
      <left style="thin">
        <color auto="1"/>
      </left>
      <right/>
      <top/>
      <bottom style="thin">
        <color theme="0"/>
      </bottom>
      <diagonal/>
    </border>
    <border>
      <left style="thin">
        <color auto="1"/>
      </left>
      <right/>
      <top style="thin">
        <color theme="0"/>
      </top>
      <bottom style="thin">
        <color indexed="64"/>
      </bottom>
      <diagonal/>
    </border>
    <border>
      <left style="thin">
        <color theme="0"/>
      </left>
      <right style="thin">
        <color auto="1"/>
      </right>
      <top style="thin">
        <color theme="0"/>
      </top>
      <bottom style="thin">
        <color auto="1"/>
      </bottom>
      <diagonal/>
    </border>
    <border>
      <left style="thin">
        <color rgb="FFBCBDBC"/>
      </left>
      <right style="thin">
        <color theme="0"/>
      </right>
      <top style="thin">
        <color auto="1"/>
      </top>
      <bottom style="thin">
        <color rgb="FFBCBDBC"/>
      </bottom>
      <diagonal/>
    </border>
    <border>
      <left style="thin">
        <color indexed="64"/>
      </left>
      <right/>
      <top style="thin">
        <color indexed="64"/>
      </top>
      <bottom style="thin">
        <color rgb="FFBCBDBC"/>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style="thin">
        <color auto="1"/>
      </top>
      <bottom style="thin">
        <color auto="1"/>
      </bottom>
      <diagonal/>
    </border>
    <border>
      <left style="thin">
        <color rgb="FFBCBDBC"/>
      </left>
      <right style="thin">
        <color theme="0"/>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style="thin">
        <color auto="1"/>
      </right>
      <top/>
      <bottom style="thin">
        <color rgb="FFBCBDBC"/>
      </bottom>
      <diagonal/>
    </border>
    <border>
      <left style="thin">
        <color theme="0" tint="-0.24994659260841701"/>
      </left>
      <right/>
      <top style="thin">
        <color auto="1"/>
      </top>
      <bottom style="thin">
        <color auto="1"/>
      </bottom>
      <diagonal/>
    </border>
    <border>
      <left style="thin">
        <color rgb="FFBCBDBC"/>
      </left>
      <right style="thin">
        <color indexed="64"/>
      </right>
      <top/>
      <bottom/>
      <diagonal/>
    </border>
    <border>
      <left style="thin">
        <color indexed="64"/>
      </left>
      <right/>
      <top/>
      <bottom style="thin">
        <color rgb="FFBCBDBC"/>
      </bottom>
      <diagonal/>
    </border>
    <border>
      <left style="thin">
        <color theme="0" tint="-0.24994659260841701"/>
      </left>
      <right style="thin">
        <color rgb="FFBCBDBC"/>
      </right>
      <top style="thin">
        <color rgb="FFBCBDBC"/>
      </top>
      <bottom/>
      <diagonal/>
    </border>
    <border>
      <left style="thin">
        <color indexed="64"/>
      </left>
      <right/>
      <top style="thin">
        <color rgb="FFBCBDBC"/>
      </top>
      <bottom/>
      <diagonal/>
    </border>
    <border>
      <left style="thin">
        <color indexed="64"/>
      </left>
      <right style="thin">
        <color indexed="64"/>
      </right>
      <top style="thin">
        <color auto="1"/>
      </top>
      <bottom/>
      <diagonal/>
    </border>
    <border>
      <left style="thin">
        <color indexed="64"/>
      </left>
      <right style="thin">
        <color indexed="64"/>
      </right>
      <top/>
      <bottom style="thin">
        <color indexed="64"/>
      </bottom>
      <diagonal/>
    </border>
    <border>
      <left style="thin">
        <color theme="0"/>
      </left>
      <right/>
      <top style="thin">
        <color rgb="FFBCBDBC"/>
      </top>
      <bottom style="thin">
        <color rgb="FFBCBDBC"/>
      </bottom>
      <diagonal/>
    </border>
    <border>
      <left style="thin">
        <color theme="0"/>
      </left>
      <right style="thin">
        <color rgb="FFBCBDBC"/>
      </right>
      <top style="thin">
        <color rgb="FFBCBDBC"/>
      </top>
      <bottom style="thin">
        <color rgb="FFBCBDBC"/>
      </bottom>
      <diagonal/>
    </border>
    <border>
      <left/>
      <right style="thin">
        <color rgb="FFBCBDBC"/>
      </right>
      <top/>
      <bottom style="thin">
        <color theme="0" tint="-0.24994659260841701"/>
      </bottom>
      <diagonal/>
    </border>
    <border>
      <left/>
      <right style="thin">
        <color rgb="FFBCBDBC"/>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rgb="FFBCBDBC"/>
      </right>
      <top style="thin">
        <color theme="0" tint="-0.24994659260841701"/>
      </top>
      <bottom style="thin">
        <color theme="0" tint="-0.24994659260841701"/>
      </bottom>
      <diagonal/>
    </border>
    <border>
      <left/>
      <right style="thin">
        <color rgb="FFBCBDBC"/>
      </right>
      <top style="thin">
        <color auto="1"/>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4659260841701"/>
      </right>
      <top style="thin">
        <color theme="0" tint="-0.24994659260841701"/>
      </top>
      <bottom style="thin">
        <color theme="0" tint="-0.24994659260841701"/>
      </bottom>
      <diagonal/>
    </border>
    <border>
      <left style="thin">
        <color theme="0"/>
      </left>
      <right/>
      <top style="thin">
        <color auto="1"/>
      </top>
      <bottom style="thin">
        <color rgb="FFBCBDBC"/>
      </bottom>
      <diagonal/>
    </border>
    <border>
      <left style="thin">
        <color theme="0" tint="-0.249977111117893"/>
      </left>
      <right/>
      <top style="thin">
        <color theme="0" tint="-0.249977111117893"/>
      </top>
      <bottom style="thin">
        <color theme="0" tint="-0.249977111117893"/>
      </bottom>
      <diagonal/>
    </border>
    <border>
      <left style="thin">
        <color theme="0"/>
      </left>
      <right style="thin">
        <color rgb="FFBCBDBC"/>
      </right>
      <top style="thin">
        <color rgb="FFBCBDBC"/>
      </top>
      <bottom style="thin">
        <color auto="1"/>
      </bottom>
      <diagonal/>
    </border>
    <border>
      <left style="thin">
        <color theme="1"/>
      </left>
      <right style="thin">
        <color rgb="FFBCBDBC"/>
      </right>
      <top style="thin">
        <color indexed="64"/>
      </top>
      <bottom style="thin">
        <color rgb="FFBCBDBC"/>
      </bottom>
      <diagonal/>
    </border>
    <border>
      <left style="thin">
        <color theme="1"/>
      </left>
      <right style="thin">
        <color rgb="FFBCBDBC"/>
      </right>
      <top style="thin">
        <color rgb="FFBCBDBC"/>
      </top>
      <bottom style="thin">
        <color rgb="FFBCBDBC"/>
      </bottom>
      <diagonal/>
    </border>
    <border>
      <left style="thin">
        <color theme="0"/>
      </left>
      <right style="thin">
        <color rgb="FFBCBDBC"/>
      </right>
      <top style="thin">
        <color rgb="FFBCBDBC"/>
      </top>
      <bottom/>
      <diagonal/>
    </border>
    <border>
      <left style="thin">
        <color rgb="FFBCBDBC"/>
      </left>
      <right style="thin">
        <color rgb="FFBCBDBC"/>
      </right>
      <top style="thin">
        <color theme="0" tint="-0.249977111117893"/>
      </top>
      <bottom/>
      <diagonal/>
    </border>
    <border>
      <left style="thin">
        <color theme="0"/>
      </left>
      <right style="thin">
        <color rgb="FFBCBDBC"/>
      </right>
      <top/>
      <bottom style="thin">
        <color auto="1"/>
      </bottom>
      <diagonal/>
    </border>
    <border>
      <left style="thin">
        <color theme="1"/>
      </left>
      <right style="thin">
        <color rgb="FFBCBDBC"/>
      </right>
      <top style="thin">
        <color rgb="FFBCBDBC"/>
      </top>
      <bottom style="thin">
        <color theme="1"/>
      </bottom>
      <diagonal/>
    </border>
    <border>
      <left style="thin">
        <color rgb="FFBCBDBC"/>
      </left>
      <right style="thin">
        <color rgb="FFBCBDBC"/>
      </right>
      <top style="thin">
        <color rgb="FFBCBDBC"/>
      </top>
      <bottom style="thin">
        <color theme="1"/>
      </bottom>
      <diagonal/>
    </border>
    <border>
      <left style="thin">
        <color rgb="FFBCBDBC"/>
      </left>
      <right/>
      <top style="thin">
        <color rgb="FFBCBDBC"/>
      </top>
      <bottom style="thin">
        <color theme="1"/>
      </bottom>
      <diagonal/>
    </border>
    <border>
      <left style="thin">
        <color theme="0" tint="-0.249977111117893"/>
      </left>
      <right style="thin">
        <color theme="0" tint="-0.249977111117893"/>
      </right>
      <top/>
      <bottom style="thin">
        <color theme="0" tint="-0.249977111117893"/>
      </bottom>
      <diagonal/>
    </border>
    <border>
      <left style="thin">
        <color theme="0"/>
      </left>
      <right/>
      <top style="thin">
        <color rgb="FFBCBDBC"/>
      </top>
      <bottom style="thin">
        <color indexed="64"/>
      </bottom>
      <diagonal/>
    </border>
    <border>
      <left style="thin">
        <color theme="0" tint="-0.249977111117893"/>
      </left>
      <right style="thin">
        <color theme="0" tint="-0.249977111117893"/>
      </right>
      <top style="thin">
        <color theme="0" tint="-0.249977111117893"/>
      </top>
      <bottom style="thin">
        <color indexed="64"/>
      </bottom>
      <diagonal/>
    </border>
    <border>
      <left style="thin">
        <color theme="0" tint="-0.249977111117893"/>
      </left>
      <right style="thin">
        <color rgb="FFBCBDBC"/>
      </right>
      <top style="thin">
        <color auto="1"/>
      </top>
      <bottom style="thin">
        <color indexed="64"/>
      </bottom>
      <diagonal/>
    </border>
    <border>
      <left style="thin">
        <color theme="0" tint="-0.249977111117893"/>
      </left>
      <right style="thin">
        <color rgb="FFBCBDBC"/>
      </right>
      <top style="thin">
        <color theme="0" tint="-0.24994659260841701"/>
      </top>
      <bottom style="thin">
        <color auto="1"/>
      </bottom>
      <diagonal/>
    </border>
    <border>
      <left style="thin">
        <color theme="0" tint="-0.249977111117893"/>
      </left>
      <right style="thin">
        <color rgb="FFBCBDBC"/>
      </right>
      <top style="thin">
        <color auto="1"/>
      </top>
      <bottom style="thin">
        <color theme="0" tint="-0.24994659260841701"/>
      </bottom>
      <diagonal/>
    </border>
    <border>
      <left/>
      <right style="thin">
        <color theme="0" tint="-0.249977111117893"/>
      </right>
      <top style="thin">
        <color indexed="64"/>
      </top>
      <bottom/>
      <diagonal/>
    </border>
    <border>
      <left style="thin">
        <color theme="0" tint="-0.249977111117893"/>
      </left>
      <right/>
      <top style="thin">
        <color indexed="64"/>
      </top>
      <bottom style="thin">
        <color auto="1"/>
      </bottom>
      <diagonal/>
    </border>
    <border>
      <left/>
      <right style="thin">
        <color theme="0" tint="-0.249977111117893"/>
      </right>
      <top style="thin">
        <color indexed="64"/>
      </top>
      <bottom style="thin">
        <color auto="1"/>
      </bottom>
      <diagonal/>
    </border>
    <border>
      <left style="thin">
        <color indexed="64"/>
      </left>
      <right style="thin">
        <color indexed="64"/>
      </right>
      <top style="thin">
        <color indexed="64"/>
      </top>
      <bottom style="thin">
        <color theme="0"/>
      </bottom>
      <diagonal/>
    </border>
    <border>
      <left style="thin">
        <color theme="0" tint="-0.24994659260841701"/>
      </left>
      <right/>
      <top style="thin">
        <color theme="0" tint="-0.24994659260841701"/>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right style="thin">
        <color theme="0" tint="-0.24994659260841701"/>
      </right>
      <top style="thin">
        <color theme="0" tint="-0.24994659260841701"/>
      </top>
      <bottom style="thin">
        <color auto="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rgb="FFBCBDBC"/>
      </top>
      <bottom style="thin">
        <color rgb="FFBCBDBC"/>
      </bottom>
      <diagonal/>
    </border>
    <border>
      <left style="thin">
        <color theme="0" tint="-0.24994659260841701"/>
      </left>
      <right style="thin">
        <color theme="0" tint="-0.24994659260841701"/>
      </right>
      <top style="thin">
        <color auto="1"/>
      </top>
      <bottom/>
      <diagonal/>
    </border>
    <border>
      <left/>
      <right style="thin">
        <color theme="0" tint="-0.24994659260841701"/>
      </right>
      <top style="thin">
        <color indexed="64"/>
      </top>
      <bottom style="thin">
        <color theme="0" tint="-0.24994659260841701"/>
      </bottom>
      <diagonal/>
    </border>
    <border>
      <left style="thin">
        <color indexed="64"/>
      </left>
      <right style="thin">
        <color auto="1"/>
      </right>
      <top style="thin">
        <color theme="1"/>
      </top>
      <bottom style="thin">
        <color indexed="64"/>
      </bottom>
      <diagonal/>
    </border>
    <border>
      <left/>
      <right style="thin">
        <color theme="1"/>
      </right>
      <top style="thin">
        <color theme="1"/>
      </top>
      <bottom/>
      <diagonal/>
    </border>
    <border>
      <left/>
      <right/>
      <top style="thin">
        <color theme="1"/>
      </top>
      <bottom/>
      <diagonal/>
    </border>
    <border>
      <left/>
      <right/>
      <top/>
      <bottom style="thin">
        <color theme="1"/>
      </bottom>
      <diagonal/>
    </border>
    <border>
      <left style="thin">
        <color theme="0" tint="-0.24994659260841701"/>
      </left>
      <right style="thin">
        <color theme="0" tint="-0.24994659260841701"/>
      </right>
      <top style="thin">
        <color theme="0" tint="-0.24994659260841701"/>
      </top>
      <bottom style="thin">
        <color theme="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style="thin">
        <color auto="1"/>
      </top>
      <bottom style="thin">
        <color theme="1"/>
      </bottom>
      <diagonal/>
    </border>
    <border>
      <left/>
      <right style="thin">
        <color theme="0" tint="-0.24994659260841701"/>
      </right>
      <top style="thin">
        <color rgb="FFBCBDBC"/>
      </top>
      <bottom style="thin">
        <color indexed="64"/>
      </bottom>
      <diagonal/>
    </border>
    <border>
      <left/>
      <right style="thin">
        <color theme="0" tint="-0.24994659260841701"/>
      </right>
      <top style="thin">
        <color indexed="64"/>
      </top>
      <bottom style="thin">
        <color rgb="FFBCBDBC"/>
      </bottom>
      <diagonal/>
    </border>
    <border>
      <left style="thin">
        <color indexed="64"/>
      </left>
      <right style="thin">
        <color auto="1"/>
      </right>
      <top style="thin">
        <color theme="1"/>
      </top>
      <bottom/>
      <diagonal/>
    </border>
    <border>
      <left style="thin">
        <color indexed="64"/>
      </left>
      <right style="thin">
        <color theme="1"/>
      </right>
      <top style="thin">
        <color indexed="64"/>
      </top>
      <bottom/>
      <diagonal/>
    </border>
    <border>
      <left style="thin">
        <color auto="1"/>
      </left>
      <right style="thin">
        <color auto="1"/>
      </right>
      <top style="thin">
        <color auto="1"/>
      </top>
      <bottom style="thin">
        <color theme="1"/>
      </bottom>
      <diagonal/>
    </border>
    <border>
      <left/>
      <right style="thin">
        <color theme="1"/>
      </right>
      <top/>
      <bottom style="thin">
        <color indexed="64"/>
      </bottom>
      <diagonal/>
    </border>
    <border>
      <left style="thin">
        <color theme="1"/>
      </left>
      <right/>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rgb="FFBCBDBC"/>
      </left>
      <right/>
      <top style="thin">
        <color theme="0" tint="-0.24994659260841701"/>
      </top>
      <bottom style="thin">
        <color indexed="64"/>
      </bottom>
      <diagonal/>
    </border>
    <border>
      <left style="thin">
        <color rgb="FFBCBDBC"/>
      </left>
      <right style="thin">
        <color theme="0" tint="-0.24994659260841701"/>
      </right>
      <top style="thin">
        <color theme="0" tint="-0.24994659260841701"/>
      </top>
      <bottom style="thin">
        <color indexed="64"/>
      </bottom>
      <diagonal/>
    </border>
    <border>
      <left style="thin">
        <color rgb="FFBCBDBC"/>
      </left>
      <right style="thin">
        <color rgb="FFBCBDBC"/>
      </right>
      <top style="thin">
        <color theme="0" tint="-0.24994659260841701"/>
      </top>
      <bottom style="thin">
        <color indexed="64"/>
      </bottom>
      <diagonal/>
    </border>
    <border>
      <left style="thin">
        <color rgb="FFBCBDBC"/>
      </left>
      <right style="thin">
        <color rgb="FFBCBDBC"/>
      </right>
      <top style="thin">
        <color theme="0" tint="-0.249977111117893"/>
      </top>
      <bottom style="thin">
        <color indexed="64"/>
      </bottom>
      <diagonal/>
    </border>
    <border>
      <left style="thin">
        <color rgb="FFBCBDBC"/>
      </left>
      <right style="thin">
        <color theme="0" tint="-0.249977111117893"/>
      </right>
      <top style="thin">
        <color rgb="FFBCBDBC"/>
      </top>
      <bottom style="thin">
        <color indexed="64"/>
      </bottom>
      <diagonal/>
    </border>
    <border>
      <left/>
      <right/>
      <top style="thin">
        <color theme="0" tint="-0.249977111117893"/>
      </top>
      <bottom style="thin">
        <color indexed="64"/>
      </bottom>
      <diagonal/>
    </border>
    <border>
      <left style="thin">
        <color rgb="FFBCBDBC"/>
      </left>
      <right style="thin">
        <color rgb="FFBCBDBC"/>
      </right>
      <top style="thin">
        <color theme="0" tint="-0.249977111117893"/>
      </top>
      <bottom style="thin">
        <color rgb="FFBCBDBC"/>
      </bottom>
      <diagonal/>
    </border>
    <border>
      <left/>
      <right style="thin">
        <color theme="0" tint="-0.249977111117893"/>
      </right>
      <top/>
      <bottom style="thin">
        <color rgb="FFBCBDBC"/>
      </bottom>
      <diagonal/>
    </border>
    <border>
      <left style="thin">
        <color rgb="FFBCBDBC"/>
      </left>
      <right style="thin">
        <color rgb="FFBCBDBC"/>
      </right>
      <top style="thin">
        <color theme="0" tint="-0.249977111117893"/>
      </top>
      <bottom style="thin">
        <color theme="0" tint="-0.249977111117893"/>
      </bottom>
      <diagonal/>
    </border>
    <border>
      <left style="thin">
        <color rgb="FFBCBDBC"/>
      </left>
      <right/>
      <top style="thin">
        <color theme="0" tint="-0.249977111117893"/>
      </top>
      <bottom style="thin">
        <color rgb="FFBCBDBC"/>
      </bottom>
      <diagonal/>
    </border>
    <border>
      <left style="thin">
        <color theme="0" tint="-0.249977111117893"/>
      </left>
      <right style="thin">
        <color rgb="FFBCBDBC"/>
      </right>
      <top style="thin">
        <color rgb="FFBCBDBC"/>
      </top>
      <bottom style="thin">
        <color rgb="FFBCBDBC"/>
      </bottom>
      <diagonal/>
    </border>
    <border>
      <left style="thin">
        <color rgb="FFBCBDBC"/>
      </left>
      <right style="thin">
        <color theme="0" tint="-0.249977111117893"/>
      </right>
      <top style="thin">
        <color rgb="FFBCBDBC"/>
      </top>
      <bottom style="thin">
        <color rgb="FFBCBDBC"/>
      </bottom>
      <diagonal/>
    </border>
    <border>
      <left/>
      <right style="thin">
        <color rgb="FFBCBDBC"/>
      </right>
      <top style="thin">
        <color rgb="FFBCBDBC"/>
      </top>
      <bottom style="thin">
        <color theme="0" tint="-0.249977111117893"/>
      </bottom>
      <diagonal/>
    </border>
    <border>
      <left/>
      <right/>
      <top/>
      <bottom style="thin">
        <color theme="0" tint="-0.249977111117893"/>
      </bottom>
      <diagonal/>
    </border>
    <border>
      <left/>
      <right style="thin">
        <color rgb="FFBCBDBC"/>
      </right>
      <top style="thin">
        <color theme="0" tint="-0.249977111117893"/>
      </top>
      <bottom style="thin">
        <color rgb="FFBCBDBC"/>
      </bottom>
      <diagonal/>
    </border>
    <border>
      <left/>
      <right/>
      <top style="thin">
        <color theme="0" tint="-0.249977111117893"/>
      </top>
      <bottom/>
      <diagonal/>
    </border>
    <border>
      <left style="thin">
        <color rgb="FFBCBDBC"/>
      </left>
      <right style="thin">
        <color theme="0" tint="-0.14999847407452621"/>
      </right>
      <top style="thin">
        <color indexed="64"/>
      </top>
      <bottom style="thin">
        <color theme="0" tint="-0.24994659260841701"/>
      </bottom>
      <diagonal/>
    </border>
    <border>
      <left style="thin">
        <color theme="0" tint="-0.14999847407452621"/>
      </left>
      <right style="thin">
        <color rgb="FFBCBDBC"/>
      </right>
      <top style="thin">
        <color indexed="64"/>
      </top>
      <bottom style="thin">
        <color rgb="FFBCBDBC"/>
      </bottom>
      <diagonal/>
    </border>
    <border>
      <left style="thin">
        <color rgb="FFBCBDBC"/>
      </left>
      <right style="thin">
        <color theme="0" tint="-0.14999847407452621"/>
      </right>
      <top style="thin">
        <color indexed="64"/>
      </top>
      <bottom/>
      <diagonal/>
    </border>
    <border>
      <left style="thin">
        <color rgb="FFBCBDBC"/>
      </left>
      <right style="thin">
        <color theme="0" tint="-0.14999847407452621"/>
      </right>
      <top style="thin">
        <color indexed="64"/>
      </top>
      <bottom style="thin">
        <color theme="0" tint="-0.249977111117893"/>
      </bottom>
      <diagonal/>
    </border>
    <border>
      <left style="thin">
        <color theme="0" tint="-0.249977111117893"/>
      </left>
      <right style="thin">
        <color rgb="FFBCBDBC"/>
      </right>
      <top style="thin">
        <color indexed="64"/>
      </top>
      <bottom style="thin">
        <color rgb="FFBCBDBC"/>
      </bottom>
      <diagonal/>
    </border>
    <border>
      <left style="thin">
        <color rgb="FFBCBDBC"/>
      </left>
      <right style="thin">
        <color theme="0" tint="-0.249977111117893"/>
      </right>
      <top style="thin">
        <color indexed="64"/>
      </top>
      <bottom style="thin">
        <color rgb="FFBCBDBC"/>
      </bottom>
      <diagonal/>
    </border>
    <border>
      <left style="thin">
        <color theme="0" tint="-0.249977111117893"/>
      </left>
      <right/>
      <top/>
      <bottom style="thin">
        <color auto="1"/>
      </bottom>
      <diagonal/>
    </border>
    <border>
      <left style="thin">
        <color theme="0" tint="-0.249977111117893"/>
      </left>
      <right style="thin">
        <color theme="0" tint="-0.249977111117893"/>
      </right>
      <top style="thin">
        <color auto="1"/>
      </top>
      <bottom style="thin">
        <color indexed="64"/>
      </bottom>
      <diagonal/>
    </border>
    <border>
      <left style="thin">
        <color theme="0" tint="-0.249977111117893"/>
      </left>
      <right style="thin">
        <color theme="0" tint="-0.249977111117893"/>
      </right>
      <top/>
      <bottom style="thin">
        <color indexed="64"/>
      </bottom>
      <diagonal/>
    </border>
    <border>
      <left style="thin">
        <color theme="0" tint="-0.14999847407452621"/>
      </left>
      <right style="thin">
        <color theme="0" tint="-0.249977111117893"/>
      </right>
      <top/>
      <bottom style="thin">
        <color indexed="64"/>
      </bottom>
      <diagonal/>
    </border>
    <border>
      <left style="thin">
        <color theme="0" tint="-0.249977111117893"/>
      </left>
      <right style="thin">
        <color theme="0" tint="-0.14999847407452621"/>
      </right>
      <top/>
      <bottom style="thin">
        <color indexed="64"/>
      </bottom>
      <diagonal/>
    </border>
    <border>
      <left style="thin">
        <color theme="0" tint="-0.249977111117893"/>
      </left>
      <right style="thin">
        <color theme="0" tint="-0.249977111117893"/>
      </right>
      <top/>
      <bottom/>
      <diagonal/>
    </border>
    <border>
      <left style="thin">
        <color theme="0" tint="-0.14999847407452621"/>
      </left>
      <right/>
      <top/>
      <bottom style="thin">
        <color indexed="64"/>
      </bottom>
      <diagonal/>
    </border>
    <border>
      <left/>
      <right style="thin">
        <color theme="0" tint="-0.249977111117893"/>
      </right>
      <top/>
      <bottom style="thin">
        <color indexed="64"/>
      </bottom>
      <diagonal/>
    </border>
    <border>
      <left style="thin">
        <color theme="0" tint="-0.249977111117893"/>
      </left>
      <right style="thin">
        <color rgb="FFBCBDBC"/>
      </right>
      <top/>
      <bottom style="thin">
        <color auto="1"/>
      </bottom>
      <diagonal/>
    </border>
    <border>
      <left/>
      <right style="thin">
        <color theme="0" tint="-0.14999847407452621"/>
      </right>
      <top/>
      <bottom style="thin">
        <color indexed="64"/>
      </bottom>
      <diagonal/>
    </border>
    <border>
      <left style="thin">
        <color theme="0" tint="-0.249977111117893"/>
      </left>
      <right/>
      <top/>
      <bottom/>
      <diagonal/>
    </border>
    <border>
      <left style="thin">
        <color theme="0" tint="-0.249977111117893"/>
      </left>
      <right style="thin">
        <color theme="0" tint="-0.249977111117893"/>
      </right>
      <top style="thin">
        <color auto="1"/>
      </top>
      <bottom/>
      <diagonal/>
    </border>
    <border>
      <left style="thin">
        <color theme="0" tint="-0.14999847407452621"/>
      </left>
      <right/>
      <top style="thin">
        <color auto="1"/>
      </top>
      <bottom style="thin">
        <color indexed="64"/>
      </bottom>
      <diagonal/>
    </border>
    <border>
      <left style="thin">
        <color theme="0" tint="-0.14999847407452621"/>
      </left>
      <right/>
      <top/>
      <bottom/>
      <diagonal/>
    </border>
    <border>
      <left style="thin">
        <color theme="0" tint="-0.249977111117893"/>
      </left>
      <right style="thin">
        <color theme="0" tint="-0.14999847407452621"/>
      </right>
      <top/>
      <bottom/>
      <diagonal/>
    </border>
    <border>
      <left/>
      <right style="thin">
        <color theme="0" tint="-0.249977111117893"/>
      </right>
      <top/>
      <bottom/>
      <diagonal/>
    </border>
    <border>
      <left style="thin">
        <color theme="0" tint="-0.249977111117893"/>
      </left>
      <right style="thin">
        <color rgb="FFBCBDBC"/>
      </right>
      <top/>
      <bottom/>
      <diagonal/>
    </border>
    <border>
      <left/>
      <right style="thin">
        <color theme="0" tint="-0.14999847407452621"/>
      </right>
      <top/>
      <bottom/>
      <diagonal/>
    </border>
    <border>
      <left style="thin">
        <color theme="0" tint="-0.14999847407452621"/>
      </left>
      <right style="thin">
        <color theme="0" tint="-0.249977111117893"/>
      </right>
      <top/>
      <bottom/>
      <diagonal/>
    </border>
    <border>
      <left style="thin">
        <color theme="0" tint="-0.249977111117893"/>
      </left>
      <right/>
      <top style="thin">
        <color indexed="64"/>
      </top>
      <bottom/>
      <diagonal/>
    </border>
    <border>
      <left style="thin">
        <color theme="0" tint="-0.249977111117893"/>
      </left>
      <right style="thin">
        <color theme="0" tint="-0.14999847407452621"/>
      </right>
      <top style="thin">
        <color auto="1"/>
      </top>
      <bottom/>
      <diagonal/>
    </border>
    <border>
      <left/>
      <right style="thin">
        <color theme="0" tint="-0.14999847407452621"/>
      </right>
      <top style="thin">
        <color auto="1"/>
      </top>
      <bottom style="thin">
        <color indexed="64"/>
      </bottom>
      <diagonal/>
    </border>
    <border>
      <left/>
      <right style="thin">
        <color theme="0" tint="-0.14999847407452621"/>
      </right>
      <top style="thin">
        <color indexed="64"/>
      </top>
      <bottom/>
      <diagonal/>
    </border>
    <border>
      <left style="thin">
        <color theme="0" tint="-0.14999847407452621"/>
      </left>
      <right style="thin">
        <color theme="0" tint="-0.249977111117893"/>
      </right>
      <top style="thin">
        <color auto="1"/>
      </top>
      <bottom/>
      <diagonal/>
    </border>
    <border>
      <left style="thin">
        <color rgb="FFBCBDBC"/>
      </left>
      <right/>
      <top style="thin">
        <color theme="0" tint="-0.249977111117893"/>
      </top>
      <bottom style="thin">
        <color indexed="64"/>
      </bottom>
      <diagonal/>
    </border>
    <border>
      <left style="thin">
        <color rgb="FFBCBDBC"/>
      </left>
      <right/>
      <top style="thin">
        <color theme="0" tint="-0.249977111117893"/>
      </top>
      <bottom style="thin">
        <color theme="0" tint="-0.14999847407452621"/>
      </bottom>
      <diagonal/>
    </border>
    <border>
      <left/>
      <right style="thin">
        <color theme="0" tint="-0.34998626667073579"/>
      </right>
      <top style="thin">
        <color indexed="64"/>
      </top>
      <bottom style="thin">
        <color indexed="64"/>
      </bottom>
      <diagonal/>
    </border>
    <border>
      <left/>
      <right/>
      <top style="thin">
        <color theme="0" tint="-0.24994659260841701"/>
      </top>
      <bottom style="thin">
        <color rgb="FFBCBDBC"/>
      </bottom>
      <diagonal/>
    </border>
    <border>
      <left style="thin">
        <color rgb="FFBCBDBC"/>
      </left>
      <right/>
      <top style="thin">
        <color theme="0" tint="-0.24994659260841701"/>
      </top>
      <bottom style="thin">
        <color rgb="FFBCBDBC"/>
      </bottom>
      <diagonal/>
    </border>
    <border>
      <left style="thin">
        <color rgb="FFBCBDBC"/>
      </left>
      <right style="thin">
        <color rgb="FFBCBDBC"/>
      </right>
      <top style="thin">
        <color theme="0" tint="-0.24994659260841701"/>
      </top>
      <bottom/>
      <diagonal/>
    </border>
    <border>
      <left style="thin">
        <color theme="0" tint="-0.14996795556505021"/>
      </left>
      <right style="thin">
        <color theme="0" tint="-0.249977111117893"/>
      </right>
      <top style="thin">
        <color indexed="64"/>
      </top>
      <bottom style="thin">
        <color indexed="64"/>
      </bottom>
      <diagonal/>
    </border>
    <border>
      <left style="thin">
        <color theme="0" tint="-0.14996795556505021"/>
      </left>
      <right style="thin">
        <color theme="0" tint="-0.249977111117893"/>
      </right>
      <top style="thin">
        <color indexed="64"/>
      </top>
      <bottom/>
      <diagonal/>
    </border>
    <border>
      <left/>
      <right style="thin">
        <color rgb="FFBCBDBC"/>
      </right>
      <top style="thin">
        <color theme="0" tint="-0.14993743705557422"/>
      </top>
      <bottom style="thin">
        <color indexed="64"/>
      </bottom>
      <diagonal/>
    </border>
    <border>
      <left/>
      <right style="thin">
        <color theme="0" tint="-0.14996795556505021"/>
      </right>
      <top style="thin">
        <color theme="0" tint="-0.14996795556505021"/>
      </top>
      <bottom style="thin">
        <color theme="0" tint="-0.14993743705557422"/>
      </bottom>
      <diagonal/>
    </border>
    <border>
      <left/>
      <right style="thin">
        <color theme="0" tint="-0.14996795556505021"/>
      </right>
      <top/>
      <bottom style="thin">
        <color theme="0" tint="-0.14993743705557422"/>
      </bottom>
      <diagonal/>
    </border>
    <border>
      <left style="thin">
        <color theme="0" tint="-0.249977111117893"/>
      </left>
      <right style="thin">
        <color rgb="FFBCBDBC"/>
      </right>
      <top style="thin">
        <color rgb="FFBCBDBC"/>
      </top>
      <bottom style="thin">
        <color indexed="64"/>
      </bottom>
      <diagonal/>
    </border>
    <border>
      <left style="thin">
        <color theme="0" tint="-0.249977111117893"/>
      </left>
      <right/>
      <top/>
      <bottom style="thin">
        <color theme="0" tint="-0.249977111117893"/>
      </bottom>
      <diagonal/>
    </border>
    <border>
      <left style="thin">
        <color theme="0" tint="-0.249977111117893"/>
      </left>
      <right/>
      <top style="thin">
        <color theme="0" tint="-0.14996795556505021"/>
      </top>
      <bottom style="thin">
        <color rgb="FFBCBDBC"/>
      </bottom>
      <diagonal/>
    </border>
    <border>
      <left/>
      <right/>
      <top style="thin">
        <color indexed="64"/>
      </top>
      <bottom style="thin">
        <color theme="0" tint="-0.14996795556505021"/>
      </bottom>
      <diagonal/>
    </border>
    <border>
      <left/>
      <right style="thin">
        <color theme="0" tint="-0.249977111117893"/>
      </right>
      <top style="thin">
        <color indexed="64"/>
      </top>
      <bottom style="thin">
        <color theme="0" tint="-0.14996795556505021"/>
      </bottom>
      <diagonal/>
    </border>
    <border>
      <left/>
      <right style="thin">
        <color theme="0" tint="-0.14996795556505021"/>
      </right>
      <top style="thin">
        <color indexed="64"/>
      </top>
      <bottom style="thin">
        <color theme="0" tint="-0.14996795556505021"/>
      </bottom>
      <diagonal/>
    </border>
    <border>
      <left style="thin">
        <color theme="0" tint="-0.249977111117893"/>
      </left>
      <right style="thin">
        <color theme="0" tint="-0.249977111117893"/>
      </right>
      <top style="thin">
        <color rgb="FFBCBDBC"/>
      </top>
      <bottom style="thin">
        <color rgb="FFBCBDBC"/>
      </bottom>
      <diagonal/>
    </border>
    <border>
      <left/>
      <right style="thin">
        <color theme="0" tint="-0.249977111117893"/>
      </right>
      <top style="thin">
        <color rgb="FFBCBDBC"/>
      </top>
      <bottom style="thin">
        <color rgb="FFBCBDBC"/>
      </bottom>
      <diagonal/>
    </border>
    <border>
      <left/>
      <right/>
      <top style="thin">
        <color indexed="64"/>
      </top>
      <bottom style="thin">
        <color theme="0" tint="-0.24994659260841701"/>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theme="0" tint="-0.24994659260841701"/>
      </left>
      <right style="thin">
        <color theme="0" tint="-0.24994659260841701"/>
      </right>
      <top/>
      <bottom/>
      <diagonal/>
    </border>
    <border>
      <left style="thin">
        <color theme="0" tint="-0.24994659260841701"/>
      </left>
      <right/>
      <top/>
      <bottom/>
      <diagonal/>
    </border>
  </borders>
  <cellStyleXfs count="179">
    <xf numFmtId="0" fontId="0" fillId="6" borderId="0">
      <alignment vertical="center"/>
    </xf>
    <xf numFmtId="3" fontId="29" fillId="6" borderId="1" applyFont="0" applyBorder="0">
      <alignment horizontal="right" vertical="center"/>
    </xf>
    <xf numFmtId="0" fontId="26" fillId="6" borderId="1" applyFont="0" applyBorder="0">
      <alignment horizontal="center" vertical="center"/>
    </xf>
    <xf numFmtId="0" fontId="7" fillId="13" borderId="1" applyNumberFormat="0" applyFont="0" applyBorder="0">
      <alignment horizontal="center" vertical="center"/>
    </xf>
    <xf numFmtId="0" fontId="24" fillId="2" borderId="2" applyNumberFormat="0" applyFill="0" applyBorder="0" applyAlignment="0" applyProtection="0">
      <alignment horizontal="left"/>
    </xf>
    <xf numFmtId="0" fontId="28" fillId="6" borderId="3" applyBorder="0">
      <alignment horizontal="center" wrapText="1"/>
    </xf>
    <xf numFmtId="3" fontId="7" fillId="43" borderId="13" applyFont="0" applyProtection="0">
      <alignment horizontal="right" vertical="center"/>
    </xf>
    <xf numFmtId="10" fontId="7" fillId="43" borderId="13" applyFont="0" applyProtection="0">
      <alignment horizontal="right" vertical="center"/>
    </xf>
    <xf numFmtId="9" fontId="7" fillId="43" borderId="13" applyFont="0" applyProtection="0">
      <alignment horizontal="right" vertical="center"/>
    </xf>
    <xf numFmtId="0" fontId="7" fillId="43" borderId="13" applyNumberFormat="0" applyFont="0" applyProtection="0">
      <alignment horizontal="left" vertical="center"/>
    </xf>
    <xf numFmtId="172" fontId="7" fillId="41" borderId="13" applyFont="0">
      <alignment vertical="center"/>
      <protection locked="0"/>
    </xf>
    <xf numFmtId="3" fontId="7" fillId="41" borderId="13" applyFont="0">
      <alignment horizontal="right" vertical="center"/>
      <protection locked="0"/>
    </xf>
    <xf numFmtId="168" fontId="7" fillId="41" borderId="13" applyFont="0">
      <alignment horizontal="right" vertical="center"/>
      <protection locked="0"/>
    </xf>
    <xf numFmtId="170" fontId="7" fillId="42" borderId="13" applyFont="0">
      <alignment vertical="center"/>
      <protection locked="0"/>
    </xf>
    <xf numFmtId="10" fontId="7" fillId="41" borderId="13" applyFont="0">
      <alignment horizontal="right" vertical="center"/>
      <protection locked="0"/>
    </xf>
    <xf numFmtId="9" fontId="7" fillId="41" borderId="13" applyFont="0">
      <alignment horizontal="right" vertical="center"/>
      <protection locked="0"/>
    </xf>
    <xf numFmtId="171" fontId="7" fillId="41" borderId="13" applyFont="0">
      <alignment horizontal="right" vertical="center"/>
      <protection locked="0"/>
    </xf>
    <xf numFmtId="174" fontId="7" fillId="41" borderId="13" applyFont="0">
      <alignment horizontal="right" vertical="center"/>
      <protection locked="0"/>
    </xf>
    <xf numFmtId="0" fontId="7" fillId="41" borderId="13" applyFont="0">
      <alignment horizontal="center" vertical="center" wrapText="1"/>
      <protection locked="0"/>
    </xf>
    <xf numFmtId="49" fontId="7" fillId="41" borderId="13" applyFont="0">
      <alignment vertical="center"/>
      <protection locked="0"/>
    </xf>
    <xf numFmtId="3" fontId="7" fillId="14" borderId="13" applyFont="0">
      <alignment horizontal="right" vertical="center"/>
      <protection locked="0"/>
    </xf>
    <xf numFmtId="168" fontId="7" fillId="14" borderId="13" applyFont="0">
      <alignment horizontal="right" vertical="center"/>
      <protection locked="0"/>
    </xf>
    <xf numFmtId="10" fontId="7" fillId="14" borderId="13" applyFont="0">
      <alignment horizontal="right" vertical="center"/>
      <protection locked="0"/>
    </xf>
    <xf numFmtId="9" fontId="7" fillId="14" borderId="13" applyFont="0">
      <alignment horizontal="right" vertical="center"/>
      <protection locked="0"/>
    </xf>
    <xf numFmtId="171" fontId="7" fillId="14" borderId="13" applyFont="0">
      <alignment horizontal="right" vertical="center"/>
      <protection locked="0"/>
    </xf>
    <xf numFmtId="174" fontId="7" fillId="14" borderId="13" applyFont="0">
      <alignment horizontal="right" vertical="center"/>
      <protection locked="0"/>
    </xf>
    <xf numFmtId="0" fontId="7" fillId="14" borderId="13" applyFont="0">
      <alignment horizontal="center" vertical="center" wrapText="1"/>
      <protection locked="0"/>
    </xf>
    <xf numFmtId="0" fontId="7" fillId="14" borderId="13" applyNumberFormat="0" applyFont="0">
      <alignment horizontal="center" vertical="center" wrapText="1"/>
      <protection locked="0"/>
    </xf>
    <xf numFmtId="3" fontId="7" fillId="3" borderId="1" applyFont="0">
      <alignment horizontal="right" vertical="center"/>
      <protection locked="0"/>
    </xf>
    <xf numFmtId="0" fontId="65" fillId="6" borderId="1" applyBorder="0">
      <alignment horizontal="center" vertical="center"/>
    </xf>
    <xf numFmtId="3" fontId="7" fillId="6" borderId="1" applyFont="0">
      <alignment horizontal="right" vertical="center"/>
    </xf>
    <xf numFmtId="169" fontId="7" fillId="6" borderId="1" applyFont="0">
      <alignment horizontal="right" vertical="center"/>
    </xf>
    <xf numFmtId="168" fontId="7" fillId="6" borderId="1" applyFont="0">
      <alignment horizontal="right" vertical="center"/>
    </xf>
    <xf numFmtId="10" fontId="7" fillId="6" borderId="1" applyFont="0">
      <alignment horizontal="right" vertical="center"/>
    </xf>
    <xf numFmtId="9" fontId="7" fillId="6" borderId="1" applyFont="0">
      <alignment horizontal="right" vertical="center"/>
    </xf>
    <xf numFmtId="173" fontId="7" fillId="6" borderId="1" applyFont="0">
      <alignment horizontal="center" vertical="center" wrapText="1"/>
    </xf>
    <xf numFmtId="172" fontId="7" fillId="4" borderId="1" applyFont="0">
      <alignment vertical="center"/>
    </xf>
    <xf numFmtId="1" fontId="7" fillId="4" borderId="1" applyFont="0">
      <alignment horizontal="right" vertical="center"/>
    </xf>
    <xf numFmtId="170" fontId="7" fillId="4" borderId="1" applyFont="0">
      <alignment vertical="center"/>
    </xf>
    <xf numFmtId="9" fontId="7" fillId="4" borderId="1" applyFont="0">
      <alignment horizontal="right" vertical="center"/>
    </xf>
    <xf numFmtId="171" fontId="7" fillId="4" borderId="1" applyFont="0">
      <alignment horizontal="right" vertical="center"/>
    </xf>
    <xf numFmtId="10" fontId="7" fillId="4" borderId="1" applyFont="0">
      <alignment horizontal="right" vertical="center"/>
    </xf>
    <xf numFmtId="0" fontId="7" fillId="4" borderId="1" applyFont="0">
      <alignment horizontal="center" vertical="center" wrapText="1"/>
    </xf>
    <xf numFmtId="49" fontId="7" fillId="4" borderId="1" applyFont="0">
      <alignment vertical="center"/>
    </xf>
    <xf numFmtId="170" fontId="7" fillId="5" borderId="1" applyFont="0">
      <alignment vertical="center"/>
    </xf>
    <xf numFmtId="9" fontId="7" fillId="5" borderId="1" applyFont="0">
      <alignment horizontal="right" vertical="center"/>
    </xf>
    <xf numFmtId="172" fontId="7" fillId="16" borderId="1">
      <alignment vertical="center"/>
    </xf>
    <xf numFmtId="170" fontId="7" fillId="15" borderId="1" applyFont="0">
      <alignment horizontal="right" vertical="center"/>
    </xf>
    <xf numFmtId="1" fontId="7" fillId="15" borderId="1" applyFont="0">
      <alignment horizontal="right" vertical="center"/>
    </xf>
    <xf numFmtId="170" fontId="7" fillId="15" borderId="1" applyFont="0">
      <alignment vertical="center"/>
    </xf>
    <xf numFmtId="168" fontId="7" fillId="15" borderId="1" applyFont="0">
      <alignment vertical="center"/>
    </xf>
    <xf numFmtId="10" fontId="7" fillId="15" borderId="1" applyFont="0">
      <alignment horizontal="right" vertical="center"/>
    </xf>
    <xf numFmtId="9" fontId="7" fillId="15" borderId="1" applyFont="0">
      <alignment horizontal="right" vertical="center"/>
    </xf>
    <xf numFmtId="171" fontId="7" fillId="15" borderId="1" applyFont="0">
      <alignment horizontal="right" vertical="center"/>
    </xf>
    <xf numFmtId="10" fontId="7" fillId="15" borderId="4" applyFont="0">
      <alignment horizontal="right" vertical="center"/>
    </xf>
    <xf numFmtId="0" fontId="7" fillId="15" borderId="1" applyFont="0">
      <alignment horizontal="center" vertical="center" wrapText="1"/>
    </xf>
    <xf numFmtId="49" fontId="7" fillId="15" borderId="1" applyFont="0">
      <alignment vertical="center"/>
    </xf>
    <xf numFmtId="0" fontId="10" fillId="0" borderId="0" applyNumberFormat="0" applyFill="0" applyBorder="0" applyAlignment="0" applyProtection="0"/>
    <xf numFmtId="0" fontId="11" fillId="0" borderId="6" applyNumberFormat="0" applyFill="0" applyAlignment="0" applyProtection="0"/>
    <xf numFmtId="0" fontId="11" fillId="0" borderId="0" applyNumberFormat="0" applyFill="0" applyBorder="0" applyAlignment="0" applyProtection="0"/>
    <xf numFmtId="0" fontId="12" fillId="7" borderId="0" applyNumberFormat="0" applyBorder="0" applyAlignment="0" applyProtection="0"/>
    <xf numFmtId="0" fontId="13" fillId="8" borderId="0" applyNumberFormat="0" applyBorder="0" applyAlignment="0" applyProtection="0"/>
    <xf numFmtId="0" fontId="14" fillId="9" borderId="0" applyNumberFormat="0" applyBorder="0" applyAlignment="0" applyProtection="0"/>
    <xf numFmtId="0" fontId="15" fillId="10" borderId="7" applyNumberFormat="0" applyAlignment="0" applyProtection="0"/>
    <xf numFmtId="0" fontId="16" fillId="11" borderId="8" applyNumberFormat="0" applyAlignment="0" applyProtection="0"/>
    <xf numFmtId="0" fontId="17" fillId="11" borderId="7" applyNumberFormat="0" applyAlignment="0" applyProtection="0"/>
    <xf numFmtId="0" fontId="18" fillId="0" borderId="9" applyNumberFormat="0" applyFill="0" applyAlignment="0" applyProtection="0"/>
    <xf numFmtId="0" fontId="19" fillId="12" borderId="10" applyNumberFormat="0" applyAlignment="0" applyProtection="0"/>
    <xf numFmtId="0" fontId="20" fillId="0" borderId="0" applyNumberFormat="0" applyFill="0" applyBorder="0" applyAlignment="0" applyProtection="0"/>
    <xf numFmtId="0" fontId="21" fillId="0" borderId="11" applyNumberFormat="0" applyFill="0" applyAlignment="0" applyProtection="0"/>
    <xf numFmtId="0" fontId="10" fillId="0" borderId="0" applyNumberFormat="0" applyFill="0" applyBorder="0" applyAlignment="0" applyProtection="0"/>
    <xf numFmtId="0" fontId="11" fillId="0" borderId="6" applyNumberFormat="0" applyFill="0" applyAlignment="0" applyProtection="0"/>
    <xf numFmtId="0" fontId="11" fillId="0" borderId="0" applyNumberFormat="0" applyFill="0" applyBorder="0" applyAlignment="0" applyProtection="0"/>
    <xf numFmtId="0" fontId="12" fillId="7" borderId="0" applyNumberFormat="0" applyBorder="0" applyAlignment="0" applyProtection="0"/>
    <xf numFmtId="0" fontId="13" fillId="8" borderId="0" applyNumberFormat="0" applyBorder="0" applyAlignment="0" applyProtection="0"/>
    <xf numFmtId="0" fontId="14" fillId="9" borderId="0" applyNumberFormat="0" applyBorder="0" applyAlignment="0" applyProtection="0"/>
    <xf numFmtId="0" fontId="15" fillId="10" borderId="7" applyNumberFormat="0" applyAlignment="0" applyProtection="0"/>
    <xf numFmtId="0" fontId="16" fillId="11" borderId="8" applyNumberFormat="0" applyAlignment="0" applyProtection="0"/>
    <xf numFmtId="0" fontId="17" fillId="11" borderId="7" applyNumberFormat="0" applyAlignment="0" applyProtection="0"/>
    <xf numFmtId="0" fontId="18" fillId="0" borderId="9" applyNumberFormat="0" applyFill="0" applyAlignment="0" applyProtection="0"/>
    <xf numFmtId="0" fontId="19" fillId="12" borderId="10" applyNumberFormat="0" applyAlignment="0" applyProtection="0"/>
    <xf numFmtId="0" fontId="20" fillId="0" borderId="0" applyNumberFormat="0" applyFill="0" applyBorder="0" applyAlignment="0" applyProtection="0"/>
    <xf numFmtId="0" fontId="21" fillId="0" borderId="11" applyNumberFormat="0" applyFill="0" applyAlignment="0" applyProtection="0"/>
    <xf numFmtId="0" fontId="22" fillId="0" borderId="0" applyNumberFormat="0" applyFill="0" applyBorder="0" applyAlignment="0" applyProtection="0"/>
    <xf numFmtId="0" fontId="23"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23" fillId="40" borderId="0" applyNumberFormat="0" applyBorder="0" applyAlignment="0" applyProtection="0"/>
    <xf numFmtId="164" fontId="7" fillId="0" borderId="0" applyFont="0" applyFill="0" applyBorder="0" applyAlignment="0" applyProtection="0"/>
    <xf numFmtId="166" fontId="7" fillId="0" borderId="0" applyFont="0" applyFill="0" applyBorder="0" applyAlignment="0" applyProtection="0"/>
    <xf numFmtId="172" fontId="7" fillId="44" borderId="12">
      <alignment vertical="center"/>
      <protection locked="0"/>
    </xf>
    <xf numFmtId="165" fontId="7" fillId="0" borderId="0" applyFont="0" applyFill="0" applyBorder="0" applyAlignment="0" applyProtection="0"/>
    <xf numFmtId="167" fontId="7" fillId="0" borderId="0" applyFont="0" applyFill="0" applyBorder="0" applyAlignment="0" applyProtection="0"/>
    <xf numFmtId="9" fontId="7" fillId="0" borderId="0" applyFont="0" applyFill="0" applyBorder="0" applyAlignment="0" applyProtection="0"/>
    <xf numFmtId="0" fontId="35" fillId="0" borderId="33" applyNumberFormat="0" applyFill="0" applyAlignment="0" applyProtection="0"/>
    <xf numFmtId="0" fontId="37" fillId="17" borderId="0" applyNumberFormat="0" applyBorder="0" applyAlignment="0" applyProtection="0"/>
    <xf numFmtId="0" fontId="33" fillId="6" borderId="0" applyNumberFormat="0" applyFill="0" applyBorder="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48" fillId="11" borderId="7" applyNumberFormat="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9" fontId="47" fillId="0" borderId="0" applyFont="0" applyFill="0" applyBorder="0" applyAlignment="0" applyProtection="0"/>
    <xf numFmtId="0" fontId="65" fillId="53" borderId="45" applyBorder="0">
      <alignment horizontal="center" vertical="center"/>
    </xf>
    <xf numFmtId="0" fontId="47" fillId="0" borderId="0"/>
    <xf numFmtId="172" fontId="26" fillId="6" borderId="120" applyBorder="0">
      <alignment horizontal="right" vertical="center"/>
    </xf>
    <xf numFmtId="3" fontId="7" fillId="6" borderId="120" applyFont="0">
      <alignment horizontal="right" vertical="center"/>
    </xf>
    <xf numFmtId="0" fontId="28" fillId="6" borderId="74" applyBorder="0">
      <alignment horizontal="center" wrapText="1"/>
    </xf>
    <xf numFmtId="0" fontId="4" fillId="0" borderId="0"/>
    <xf numFmtId="0" fontId="4" fillId="0" borderId="0"/>
    <xf numFmtId="0" fontId="4" fillId="0" borderId="0"/>
    <xf numFmtId="0" fontId="7" fillId="13" borderId="120" applyNumberFormat="0" applyFont="0" applyBorder="0">
      <alignment horizontal="center" vertical="center"/>
    </xf>
    <xf numFmtId="0" fontId="65" fillId="53" borderId="120" applyBorder="0">
      <alignment horizontal="center" vertical="center"/>
    </xf>
    <xf numFmtId="1" fontId="7" fillId="4" borderId="120" applyFont="0">
      <alignment horizontal="right" vertical="center"/>
    </xf>
    <xf numFmtId="0" fontId="24" fillId="2" borderId="41" applyNumberFormat="0" applyFill="0" applyBorder="0" applyAlignment="0" applyProtection="0">
      <alignment horizontal="left"/>
    </xf>
    <xf numFmtId="0" fontId="26" fillId="6" borderId="0">
      <alignment vertical="center"/>
    </xf>
    <xf numFmtId="0" fontId="33" fillId="6" borderId="0" applyNumberFormat="0" applyFill="0" applyBorder="0" applyAlignment="0" applyProtection="0"/>
    <xf numFmtId="0" fontId="7" fillId="15" borderId="120" applyFont="0">
      <alignment horizontal="center" vertical="center" wrapText="1"/>
    </xf>
    <xf numFmtId="9" fontId="4" fillId="0" borderId="0" applyFont="0" applyFill="0" applyBorder="0" applyAlignment="0" applyProtection="0"/>
    <xf numFmtId="0" fontId="8" fillId="6" borderId="74" applyFont="0" applyBorder="0">
      <alignment horizontal="center" wrapText="1"/>
    </xf>
    <xf numFmtId="0" fontId="65" fillId="6" borderId="120" applyBorder="0">
      <alignment horizontal="center" vertical="center"/>
    </xf>
    <xf numFmtId="0" fontId="28" fillId="6" borderId="74" applyBorder="0">
      <alignment horizontal="center" wrapText="1"/>
    </xf>
    <xf numFmtId="3" fontId="7" fillId="6" borderId="120" applyFont="0">
      <alignment horizontal="right" vertical="center"/>
    </xf>
    <xf numFmtId="0" fontId="4" fillId="0" borderId="0"/>
    <xf numFmtId="0" fontId="4" fillId="0" borderId="0"/>
    <xf numFmtId="0" fontId="4"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3" fontId="22" fillId="6" borderId="120" applyProtection="0">
      <alignment horizontal="right" vertical="center"/>
    </xf>
  </cellStyleXfs>
  <cellXfs count="3454">
    <xf numFmtId="0" fontId="0" fillId="2" borderId="0" xfId="0" applyFill="1">
      <alignment vertical="center"/>
    </xf>
    <xf numFmtId="3" fontId="26" fillId="14" borderId="13" xfId="20" applyFont="1">
      <alignment horizontal="right" vertical="center"/>
      <protection locked="0"/>
    </xf>
    <xf numFmtId="0" fontId="26" fillId="2" borderId="0" xfId="0" applyFont="1" applyFill="1">
      <alignment vertical="center"/>
    </xf>
    <xf numFmtId="1" fontId="26" fillId="15" borderId="21" xfId="48" applyFont="1" applyBorder="1" applyAlignment="1">
      <alignment horizontal="center" vertical="center"/>
    </xf>
    <xf numFmtId="0" fontId="26" fillId="13" borderId="29" xfId="0" applyFont="1" applyFill="1" applyBorder="1">
      <alignment vertical="center"/>
    </xf>
    <xf numFmtId="0" fontId="26" fillId="15" borderId="21" xfId="55" applyFont="1" applyBorder="1">
      <alignment horizontal="center" vertical="center" wrapText="1"/>
    </xf>
    <xf numFmtId="1" fontId="26" fillId="15" borderId="21" xfId="48" applyFont="1" applyBorder="1">
      <alignment horizontal="right" vertical="center"/>
    </xf>
    <xf numFmtId="170" fontId="26" fillId="15" borderId="21" xfId="49" applyFont="1" applyBorder="1">
      <alignment vertical="center"/>
    </xf>
    <xf numFmtId="0" fontId="26" fillId="13" borderId="22" xfId="0" applyFont="1" applyFill="1" applyBorder="1">
      <alignment vertical="center"/>
    </xf>
    <xf numFmtId="3" fontId="26" fillId="6" borderId="21" xfId="30" applyFont="1" applyBorder="1">
      <alignment horizontal="right" vertical="center"/>
    </xf>
    <xf numFmtId="0" fontId="26" fillId="13" borderId="20" xfId="0" applyFont="1" applyFill="1" applyBorder="1">
      <alignment vertical="center"/>
    </xf>
    <xf numFmtId="3" fontId="26" fillId="41" borderId="15" xfId="11" applyFont="1" applyBorder="1">
      <alignment horizontal="right" vertical="center"/>
      <protection locked="0"/>
    </xf>
    <xf numFmtId="0" fontId="26" fillId="13" borderId="22" xfId="3" applyFont="1" applyBorder="1">
      <alignment horizontal="center" vertical="center"/>
    </xf>
    <xf numFmtId="0" fontId="26" fillId="13" borderId="16" xfId="3" applyFont="1" applyBorder="1" applyAlignment="1">
      <alignment vertical="center" wrapText="1"/>
    </xf>
    <xf numFmtId="0" fontId="26" fillId="13" borderId="13" xfId="3" applyFont="1" applyBorder="1">
      <alignment horizontal="center" vertical="center"/>
    </xf>
    <xf numFmtId="3" fontId="26" fillId="14" borderId="16" xfId="20" applyFont="1" applyBorder="1">
      <alignment horizontal="right" vertical="center"/>
      <protection locked="0"/>
    </xf>
    <xf numFmtId="3" fontId="26" fillId="13" borderId="13" xfId="3" applyNumberFormat="1" applyFont="1" applyBorder="1">
      <alignment horizontal="center" vertical="center"/>
    </xf>
    <xf numFmtId="3" fontId="26" fillId="13" borderId="14" xfId="3" applyNumberFormat="1" applyFont="1" applyBorder="1">
      <alignment horizontal="center" vertical="center"/>
    </xf>
    <xf numFmtId="3" fontId="26" fillId="41" borderId="14" xfId="11" applyFont="1" applyBorder="1">
      <alignment horizontal="right" vertical="center"/>
      <protection locked="0"/>
    </xf>
    <xf numFmtId="0" fontId="26" fillId="13" borderId="14" xfId="3" applyFont="1" applyBorder="1">
      <alignment horizontal="center" vertical="center"/>
    </xf>
    <xf numFmtId="0" fontId="26" fillId="13" borderId="20" xfId="3" applyFont="1" applyBorder="1">
      <alignment horizontal="center" vertical="center"/>
    </xf>
    <xf numFmtId="3" fontId="26" fillId="13" borderId="17" xfId="3" applyNumberFormat="1" applyFont="1" applyBorder="1">
      <alignment horizontal="center" vertical="center"/>
    </xf>
    <xf numFmtId="0" fontId="26" fillId="13" borderId="29" xfId="3" applyFont="1" applyBorder="1">
      <alignment horizontal="center" vertical="center"/>
    </xf>
    <xf numFmtId="3" fontId="26" fillId="41" borderId="13" xfId="11" applyFont="1">
      <alignment horizontal="right" vertical="center"/>
      <protection locked="0"/>
    </xf>
    <xf numFmtId="3" fontId="26" fillId="14" borderId="14" xfId="20" applyFont="1" applyBorder="1">
      <alignment horizontal="right" vertical="center"/>
      <protection locked="0"/>
    </xf>
    <xf numFmtId="0" fontId="26" fillId="13" borderId="16" xfId="3" applyFont="1" applyBorder="1">
      <alignment horizontal="center" vertical="center"/>
    </xf>
    <xf numFmtId="0" fontId="26" fillId="13" borderId="21" xfId="3" applyFont="1" applyBorder="1">
      <alignment horizontal="center" vertical="center"/>
    </xf>
    <xf numFmtId="0" fontId="26" fillId="13" borderId="25" xfId="3" applyFont="1" applyBorder="1">
      <alignment horizontal="center" vertical="center"/>
    </xf>
    <xf numFmtId="0" fontId="26" fillId="13" borderId="27" xfId="3" applyFont="1" applyBorder="1">
      <alignment horizontal="center" vertical="center"/>
    </xf>
    <xf numFmtId="3" fontId="26" fillId="41" borderId="25" xfId="11" applyFont="1" applyBorder="1">
      <alignment horizontal="right" vertical="center"/>
      <protection locked="0"/>
    </xf>
    <xf numFmtId="3" fontId="26" fillId="6" borderId="13" xfId="30" applyFont="1" applyBorder="1">
      <alignment horizontal="right" vertical="center"/>
    </xf>
    <xf numFmtId="0" fontId="26" fillId="13" borderId="17" xfId="3" applyFont="1" applyBorder="1" applyAlignment="1">
      <alignment vertical="center" wrapText="1"/>
    </xf>
    <xf numFmtId="3" fontId="26" fillId="14" borderId="27" xfId="20" applyFont="1" applyBorder="1">
      <alignment horizontal="right" vertical="center"/>
      <protection locked="0"/>
    </xf>
    <xf numFmtId="3" fontId="26" fillId="41" borderId="16" xfId="11" applyFont="1" applyBorder="1">
      <alignment horizontal="right" vertical="center"/>
      <protection locked="0"/>
    </xf>
    <xf numFmtId="3" fontId="26" fillId="41" borderId="21" xfId="11" applyFont="1" applyBorder="1">
      <alignment horizontal="right" vertical="center"/>
      <protection locked="0"/>
    </xf>
    <xf numFmtId="3" fontId="26" fillId="6" borderId="20" xfId="30" applyFont="1" applyBorder="1">
      <alignment horizontal="right" vertical="center"/>
    </xf>
    <xf numFmtId="0" fontId="26" fillId="13" borderId="17" xfId="3" applyFont="1" applyBorder="1">
      <alignment horizontal="center" vertical="center"/>
    </xf>
    <xf numFmtId="0" fontId="26" fillId="2" borderId="18" xfId="0" applyFont="1" applyFill="1" applyBorder="1">
      <alignment vertical="center"/>
    </xf>
    <xf numFmtId="0" fontId="27" fillId="2" borderId="0" xfId="0" applyFont="1" applyFill="1" applyAlignment="1">
      <alignment horizontal="left"/>
    </xf>
    <xf numFmtId="0" fontId="24" fillId="2" borderId="0" xfId="0" applyFont="1" applyFill="1">
      <alignment vertical="center"/>
    </xf>
    <xf numFmtId="3" fontId="26" fillId="2" borderId="0" xfId="30" applyFont="1" applyFill="1" applyBorder="1">
      <alignment horizontal="right" vertical="center"/>
    </xf>
    <xf numFmtId="3" fontId="32" fillId="41" borderId="13" xfId="11" applyFont="1">
      <alignment horizontal="right" vertical="center"/>
      <protection locked="0"/>
    </xf>
    <xf numFmtId="3" fontId="32" fillId="14" borderId="13" xfId="20" applyFont="1">
      <alignment horizontal="right" vertical="center"/>
      <protection locked="0"/>
    </xf>
    <xf numFmtId="2" fontId="26" fillId="6" borderId="21" xfId="32" applyNumberFormat="1" applyFont="1" applyBorder="1">
      <alignment horizontal="right" vertical="center"/>
    </xf>
    <xf numFmtId="2" fontId="26" fillId="6" borderId="13" xfId="32" applyNumberFormat="1" applyFont="1" applyBorder="1">
      <alignment horizontal="right" vertical="center"/>
    </xf>
    <xf numFmtId="0" fontId="26" fillId="13" borderId="23" xfId="3" applyFont="1" applyBorder="1">
      <alignment horizontal="center" vertical="center"/>
    </xf>
    <xf numFmtId="0" fontId="26" fillId="13" borderId="15" xfId="3" applyFont="1" applyBorder="1">
      <alignment horizontal="center" vertical="center"/>
    </xf>
    <xf numFmtId="0" fontId="26" fillId="2" borderId="18" xfId="0" applyFont="1" applyFill="1" applyBorder="1" applyAlignment="1">
      <alignment vertical="center" wrapText="1"/>
    </xf>
    <xf numFmtId="2" fontId="26" fillId="13" borderId="15" xfId="3" applyNumberFormat="1" applyFont="1" applyBorder="1">
      <alignment horizontal="center" vertical="center"/>
    </xf>
    <xf numFmtId="0" fontId="29" fillId="2" borderId="18" xfId="83" applyFont="1" applyFill="1" applyBorder="1" applyAlignment="1">
      <alignment horizontal="left" vertical="center" wrapText="1" indent="1"/>
    </xf>
    <xf numFmtId="0" fontId="26" fillId="13" borderId="31" xfId="3" applyFont="1" applyBorder="1">
      <alignment horizontal="center" vertical="center"/>
    </xf>
    <xf numFmtId="2" fontId="26" fillId="2" borderId="13" xfId="0" applyNumberFormat="1" applyFont="1" applyFill="1" applyBorder="1">
      <alignment vertical="center"/>
    </xf>
    <xf numFmtId="3" fontId="32" fillId="41" borderId="22" xfId="11" applyFont="1" applyBorder="1">
      <alignment horizontal="right" vertical="center"/>
      <protection locked="0"/>
    </xf>
    <xf numFmtId="0" fontId="33" fillId="13" borderId="16" xfId="3" applyFont="1" applyBorder="1">
      <alignment horizontal="center" vertical="center"/>
    </xf>
    <xf numFmtId="3" fontId="26" fillId="41" borderId="27" xfId="11" applyFont="1" applyBorder="1">
      <alignment horizontal="right" vertical="center"/>
      <protection locked="0"/>
    </xf>
    <xf numFmtId="0" fontId="26" fillId="6" borderId="2" xfId="0" applyFont="1" applyBorder="1">
      <alignment vertical="center"/>
    </xf>
    <xf numFmtId="0" fontId="26" fillId="6" borderId="0" xfId="0" applyFont="1" applyAlignment="1">
      <alignment horizontal="center" vertical="center" wrapText="1"/>
    </xf>
    <xf numFmtId="0" fontId="26" fillId="6" borderId="0" xfId="0" applyFont="1" applyAlignment="1">
      <alignment horizontal="left" vertical="center" indent="1"/>
    </xf>
    <xf numFmtId="0" fontId="26" fillId="6" borderId="0" xfId="0" applyFont="1" applyAlignment="1">
      <alignment horizontal="right" vertical="center"/>
    </xf>
    <xf numFmtId="0" fontId="24" fillId="6" borderId="0" xfId="0" applyFont="1">
      <alignment vertical="center"/>
    </xf>
    <xf numFmtId="0" fontId="33" fillId="13" borderId="26" xfId="3" applyFont="1" applyBorder="1">
      <alignment horizontal="center" vertical="center"/>
    </xf>
    <xf numFmtId="3" fontId="26" fillId="14" borderId="25" xfId="20" applyFont="1" applyBorder="1">
      <alignment horizontal="right" vertical="center"/>
      <protection locked="0"/>
    </xf>
    <xf numFmtId="0" fontId="33" fillId="13" borderId="17" xfId="3" applyFont="1" applyBorder="1">
      <alignment horizontal="center" vertical="center"/>
    </xf>
    <xf numFmtId="0" fontId="26" fillId="6" borderId="0" xfId="0" applyFont="1" applyAlignment="1">
      <alignment vertical="center" wrapText="1"/>
    </xf>
    <xf numFmtId="0" fontId="28" fillId="6" borderId="0" xfId="0" applyFont="1" applyAlignment="1">
      <alignment horizontal="left" vertical="center" wrapText="1"/>
    </xf>
    <xf numFmtId="3" fontId="26" fillId="13" borderId="21" xfId="3" applyNumberFormat="1" applyFont="1" applyBorder="1">
      <alignment horizontal="center" vertical="center"/>
    </xf>
    <xf numFmtId="3" fontId="26" fillId="43" borderId="20" xfId="6" applyFont="1" applyBorder="1">
      <alignment horizontal="right" vertical="center"/>
    </xf>
    <xf numFmtId="0" fontId="26" fillId="2" borderId="21" xfId="0" applyFont="1" applyFill="1" applyBorder="1" applyAlignment="1">
      <alignment horizontal="left" vertical="center" wrapText="1"/>
    </xf>
    <xf numFmtId="3" fontId="26" fillId="41" borderId="29" xfId="11" applyFont="1" applyBorder="1">
      <alignment horizontal="right" vertical="center"/>
      <protection locked="0"/>
    </xf>
    <xf numFmtId="0" fontId="26" fillId="2" borderId="27" xfId="0" applyFont="1" applyFill="1" applyBorder="1" applyAlignment="1">
      <alignment horizontal="left" vertical="center" wrapText="1"/>
    </xf>
    <xf numFmtId="3" fontId="26" fillId="43" borderId="21" xfId="6" applyFont="1" applyBorder="1">
      <alignment horizontal="right" vertical="center"/>
    </xf>
    <xf numFmtId="0" fontId="28" fillId="6" borderId="0" xfId="0" applyFont="1">
      <alignment vertical="center"/>
    </xf>
    <xf numFmtId="3" fontId="26" fillId="41" borderId="20" xfId="11" applyFont="1" applyBorder="1">
      <alignment horizontal="right" vertical="center"/>
      <protection locked="0"/>
    </xf>
    <xf numFmtId="3" fontId="26" fillId="41" borderId="22" xfId="11" applyFont="1" applyBorder="1">
      <alignment horizontal="right" vertical="center"/>
      <protection locked="0"/>
    </xf>
    <xf numFmtId="0" fontId="26" fillId="13" borderId="18" xfId="3" applyFont="1" applyBorder="1">
      <alignment horizontal="center" vertical="center"/>
    </xf>
    <xf numFmtId="0" fontId="26" fillId="13" borderId="32" xfId="3" applyFont="1" applyBorder="1">
      <alignment horizontal="center" vertical="center"/>
    </xf>
    <xf numFmtId="0" fontId="0" fillId="2" borderId="29" xfId="0" applyFill="1" applyBorder="1" applyAlignment="1">
      <alignment horizontal="left" vertical="center" wrapText="1"/>
    </xf>
    <xf numFmtId="3" fontId="26" fillId="43" borderId="27" xfId="6" applyFont="1" applyBorder="1">
      <alignment horizontal="right" vertical="center"/>
    </xf>
    <xf numFmtId="3" fontId="26" fillId="13" borderId="18" xfId="3" applyNumberFormat="1" applyFont="1" applyBorder="1">
      <alignment horizontal="center" vertical="center"/>
    </xf>
    <xf numFmtId="0" fontId="29" fillId="2" borderId="18" xfId="83" applyFont="1" applyFill="1" applyBorder="1" applyAlignment="1">
      <alignment horizontal="left" vertical="center" wrapText="1"/>
    </xf>
    <xf numFmtId="3" fontId="26" fillId="6" borderId="18" xfId="30" applyFont="1" applyBorder="1">
      <alignment horizontal="right" vertical="center"/>
    </xf>
    <xf numFmtId="2" fontId="26" fillId="2" borderId="14" xfId="0" applyNumberFormat="1" applyFont="1" applyFill="1" applyBorder="1">
      <alignment vertical="center"/>
    </xf>
    <xf numFmtId="0" fontId="26" fillId="13" borderId="34" xfId="3" applyFont="1" applyBorder="1">
      <alignment horizontal="center" vertical="center"/>
    </xf>
    <xf numFmtId="3" fontId="26" fillId="13" borderId="20" xfId="3" applyNumberFormat="1" applyFont="1" applyBorder="1">
      <alignment horizontal="center" vertical="center"/>
    </xf>
    <xf numFmtId="0" fontId="26" fillId="6" borderId="0" xfId="0" applyFont="1" applyAlignment="1">
      <alignment horizontal="left" vertical="center"/>
    </xf>
    <xf numFmtId="0" fontId="26" fillId="6" borderId="0" xfId="0" applyFont="1">
      <alignment vertical="center"/>
    </xf>
    <xf numFmtId="0" fontId="26" fillId="6" borderId="26" xfId="0" applyFont="1" applyBorder="1" applyAlignment="1">
      <alignment horizontal="center" vertical="center"/>
    </xf>
    <xf numFmtId="0" fontId="26" fillId="6" borderId="16" xfId="0" applyFont="1" applyBorder="1">
      <alignment vertical="center"/>
    </xf>
    <xf numFmtId="0" fontId="26" fillId="6" borderId="16" xfId="0" applyFont="1" applyBorder="1" applyAlignment="1">
      <alignment horizontal="left" vertical="center"/>
    </xf>
    <xf numFmtId="0" fontId="26" fillId="6" borderId="16" xfId="0" applyFont="1" applyBorder="1" applyAlignment="1">
      <alignment horizontal="left" vertical="center" indent="1"/>
    </xf>
    <xf numFmtId="169" fontId="26" fillId="6" borderId="21" xfId="31" applyFont="1" applyBorder="1">
      <alignment horizontal="right" vertical="center"/>
    </xf>
    <xf numFmtId="3" fontId="26" fillId="6" borderId="15" xfId="30" applyFont="1" applyBorder="1">
      <alignment horizontal="right" vertical="center"/>
    </xf>
    <xf numFmtId="0" fontId="36" fillId="6" borderId="0" xfId="0" applyFont="1">
      <alignment vertical="center"/>
    </xf>
    <xf numFmtId="0" fontId="26" fillId="6" borderId="16" xfId="0" applyFont="1" applyBorder="1" applyAlignment="1">
      <alignment horizontal="center" vertical="center"/>
    </xf>
    <xf numFmtId="0" fontId="26" fillId="6" borderId="21" xfId="0" applyFont="1" applyBorder="1" applyAlignment="1">
      <alignment horizontal="left" vertical="center" wrapText="1"/>
    </xf>
    <xf numFmtId="0" fontId="36" fillId="6" borderId="0" xfId="0" applyFont="1" applyAlignment="1">
      <alignment horizontal="left" vertical="center"/>
    </xf>
    <xf numFmtId="0" fontId="26" fillId="6" borderId="23" xfId="0" applyFont="1" applyBorder="1" applyAlignment="1">
      <alignment horizontal="center" vertical="center"/>
    </xf>
    <xf numFmtId="3" fontId="26" fillId="6" borderId="16" xfId="30" applyFont="1" applyBorder="1">
      <alignment horizontal="right" vertical="center"/>
    </xf>
    <xf numFmtId="0" fontId="0" fillId="6" borderId="0" xfId="0">
      <alignment vertical="center"/>
    </xf>
    <xf numFmtId="0" fontId="26" fillId="6" borderId="30" xfId="0" applyFont="1" applyBorder="1" applyAlignment="1">
      <alignment horizontal="left" vertical="center"/>
    </xf>
    <xf numFmtId="0" fontId="28" fillId="6" borderId="18" xfId="0" applyFont="1" applyBorder="1">
      <alignment vertical="center"/>
    </xf>
    <xf numFmtId="0" fontId="26" fillId="6" borderId="19" xfId="0" applyFont="1" applyBorder="1">
      <alignment vertical="center"/>
    </xf>
    <xf numFmtId="0" fontId="26" fillId="6" borderId="24" xfId="0" applyFont="1" applyBorder="1" applyAlignment="1">
      <alignment horizontal="left" vertical="center"/>
    </xf>
    <xf numFmtId="0" fontId="26" fillId="6" borderId="0" xfId="0" applyFont="1" applyAlignment="1">
      <alignment horizontal="center" vertical="center"/>
    </xf>
    <xf numFmtId="0" fontId="26" fillId="6" borderId="13" xfId="0" applyFont="1" applyBorder="1" applyAlignment="1">
      <alignment horizontal="center" vertical="center"/>
    </xf>
    <xf numFmtId="0" fontId="26" fillId="6" borderId="25" xfId="0" applyFont="1" applyBorder="1" applyAlignment="1">
      <alignment horizontal="center" vertical="center"/>
    </xf>
    <xf numFmtId="0" fontId="27" fillId="6" borderId="0" xfId="0" applyFont="1" applyAlignment="1">
      <alignment horizontal="left" vertical="center"/>
    </xf>
    <xf numFmtId="3" fontId="26" fillId="6" borderId="0" xfId="30" applyFont="1" applyBorder="1">
      <alignment horizontal="right" vertical="center"/>
    </xf>
    <xf numFmtId="3" fontId="26" fillId="14" borderId="21" xfId="20" applyFont="1" applyBorder="1">
      <alignment horizontal="right" vertical="center"/>
      <protection locked="0"/>
    </xf>
    <xf numFmtId="3" fontId="26" fillId="14" borderId="18" xfId="20" applyFont="1" applyBorder="1">
      <alignment horizontal="right" vertical="center"/>
      <protection locked="0"/>
    </xf>
    <xf numFmtId="3" fontId="26" fillId="6" borderId="26" xfId="30" applyFont="1" applyBorder="1">
      <alignment horizontal="right" vertical="center"/>
    </xf>
    <xf numFmtId="3" fontId="26" fillId="6" borderId="14" xfId="30" applyFont="1" applyBorder="1">
      <alignment horizontal="right" vertical="center"/>
    </xf>
    <xf numFmtId="0" fontId="26" fillId="2" borderId="18" xfId="0" applyFont="1" applyFill="1" applyBorder="1" applyAlignment="1">
      <alignment horizontal="left" vertical="center" wrapText="1" indent="2"/>
    </xf>
    <xf numFmtId="0" fontId="26" fillId="2" borderId="18" xfId="0" applyFont="1" applyFill="1" applyBorder="1" applyAlignment="1">
      <alignment horizontal="left" vertical="center" wrapText="1" indent="1"/>
    </xf>
    <xf numFmtId="3" fontId="26" fillId="6" borderId="17" xfId="30" applyFont="1" applyBorder="1">
      <alignment horizontal="right" vertical="center"/>
    </xf>
    <xf numFmtId="0" fontId="0" fillId="6" borderId="16" xfId="0" applyBorder="1" applyAlignment="1">
      <alignment horizontal="center" vertical="center"/>
    </xf>
    <xf numFmtId="3" fontId="32" fillId="41" borderId="21" xfId="11" applyFont="1" applyBorder="1">
      <alignment horizontal="right" vertical="center"/>
      <protection locked="0"/>
    </xf>
    <xf numFmtId="2" fontId="26" fillId="6" borderId="16" xfId="32" applyNumberFormat="1" applyFont="1" applyBorder="1">
      <alignment horizontal="right" vertical="center"/>
    </xf>
    <xf numFmtId="0" fontId="26" fillId="15" borderId="20" xfId="55" applyFont="1" applyBorder="1">
      <alignment horizontal="center" vertical="center" wrapText="1"/>
    </xf>
    <xf numFmtId="0" fontId="33" fillId="13" borderId="23" xfId="3" applyFont="1" applyBorder="1">
      <alignment horizontal="center" vertical="center"/>
    </xf>
    <xf numFmtId="15" fontId="25" fillId="6" borderId="0" xfId="0" applyNumberFormat="1" applyFont="1">
      <alignment vertical="center"/>
    </xf>
    <xf numFmtId="0" fontId="0" fillId="2" borderId="18" xfId="0" applyFill="1" applyBorder="1" applyAlignment="1">
      <alignment vertical="center" wrapText="1"/>
    </xf>
    <xf numFmtId="0" fontId="8" fillId="6" borderId="0" xfId="0" applyFont="1">
      <alignment vertical="center"/>
    </xf>
    <xf numFmtId="0" fontId="26" fillId="6" borderId="21" xfId="0" applyFont="1" applyBorder="1" applyAlignment="1">
      <alignment horizontal="left" vertical="center"/>
    </xf>
    <xf numFmtId="0" fontId="26" fillId="6" borderId="18" xfId="0" applyFont="1" applyBorder="1" applyAlignment="1">
      <alignment horizontal="center" vertical="center"/>
    </xf>
    <xf numFmtId="0" fontId="26" fillId="6" borderId="22" xfId="0" applyFont="1" applyBorder="1" applyAlignment="1">
      <alignment horizontal="center" vertical="center"/>
    </xf>
    <xf numFmtId="0" fontId="0" fillId="6" borderId="5" xfId="0" applyBorder="1">
      <alignment vertical="center"/>
    </xf>
    <xf numFmtId="3" fontId="26" fillId="14" borderId="19" xfId="20" applyFont="1" applyBorder="1">
      <alignment horizontal="right" vertical="center"/>
      <protection locked="0"/>
    </xf>
    <xf numFmtId="3" fontId="26" fillId="13" borderId="25" xfId="3" applyNumberFormat="1" applyFont="1" applyBorder="1">
      <alignment horizontal="center" vertical="center"/>
    </xf>
    <xf numFmtId="3" fontId="26" fillId="14" borderId="20" xfId="20" applyFont="1" applyBorder="1">
      <alignment horizontal="right" vertical="center"/>
      <protection locked="0"/>
    </xf>
    <xf numFmtId="3" fontId="26" fillId="6" borderId="0" xfId="11" applyFont="1" applyFill="1" applyBorder="1" applyProtection="1">
      <alignment horizontal="right" vertical="center"/>
    </xf>
    <xf numFmtId="0" fontId="0" fillId="6" borderId="30" xfId="0" applyBorder="1" applyAlignment="1">
      <alignment horizontal="left" vertical="center"/>
    </xf>
    <xf numFmtId="0" fontId="0" fillId="6" borderId="24" xfId="0" applyBorder="1" applyAlignment="1">
      <alignment horizontal="left" vertical="center"/>
    </xf>
    <xf numFmtId="3" fontId="0" fillId="41" borderId="14" xfId="11" applyFont="1" applyBorder="1">
      <alignment horizontal="right" vertical="center"/>
      <protection locked="0"/>
    </xf>
    <xf numFmtId="3" fontId="0" fillId="14" borderId="21" xfId="20" applyFont="1" applyBorder="1">
      <alignment horizontal="right" vertical="center"/>
      <protection locked="0"/>
    </xf>
    <xf numFmtId="3" fontId="0" fillId="6" borderId="21" xfId="30" applyFont="1" applyBorder="1">
      <alignment horizontal="right" vertical="center"/>
    </xf>
    <xf numFmtId="3" fontId="0" fillId="41" borderId="21" xfId="11" applyFont="1" applyBorder="1">
      <alignment horizontal="right" vertical="center"/>
      <protection locked="0"/>
    </xf>
    <xf numFmtId="0" fontId="0" fillId="6" borderId="0" xfId="0" applyAlignment="1"/>
    <xf numFmtId="3" fontId="43" fillId="41" borderId="21" xfId="11" applyFont="1" applyBorder="1">
      <alignment horizontal="right" vertical="center"/>
      <protection locked="0"/>
    </xf>
    <xf numFmtId="3" fontId="43" fillId="6" borderId="21" xfId="30" applyFont="1" applyBorder="1">
      <alignment horizontal="right" vertical="center"/>
    </xf>
    <xf numFmtId="4" fontId="26" fillId="6" borderId="18" xfId="0" applyNumberFormat="1" applyFont="1" applyBorder="1" applyAlignment="1">
      <alignment horizontal="center" vertical="center"/>
    </xf>
    <xf numFmtId="4" fontId="26" fillId="6" borderId="19" xfId="0" applyNumberFormat="1" applyFont="1" applyBorder="1" applyAlignment="1">
      <alignment horizontal="center" vertical="center"/>
    </xf>
    <xf numFmtId="0" fontId="26" fillId="2" borderId="0" xfId="0" applyFont="1" applyFill="1" applyAlignment="1">
      <alignment horizontal="center" vertical="center"/>
    </xf>
    <xf numFmtId="0" fontId="26" fillId="0" borderId="23" xfId="0" applyFont="1" applyFill="1" applyBorder="1" applyAlignment="1">
      <alignment horizontal="center" vertical="center"/>
    </xf>
    <xf numFmtId="0" fontId="26" fillId="41" borderId="15" xfId="18" applyFont="1" applyBorder="1">
      <alignment horizontal="center" vertical="center" wrapText="1"/>
      <protection locked="0"/>
    </xf>
    <xf numFmtId="0" fontId="26" fillId="0" borderId="17" xfId="0" applyFont="1" applyFill="1" applyBorder="1" applyAlignment="1">
      <alignment horizontal="center" vertical="center"/>
    </xf>
    <xf numFmtId="3" fontId="26" fillId="6" borderId="16" xfId="30" applyFont="1" applyBorder="1" applyAlignment="1">
      <alignment horizontal="center" vertical="center"/>
    </xf>
    <xf numFmtId="3" fontId="26" fillId="6" borderId="26" xfId="30" applyFont="1" applyBorder="1" applyAlignment="1">
      <alignment horizontal="center" vertical="center"/>
    </xf>
    <xf numFmtId="0" fontId="26" fillId="6" borderId="13" xfId="0" applyFont="1" applyBorder="1">
      <alignment vertical="center"/>
    </xf>
    <xf numFmtId="3" fontId="26" fillId="6" borderId="17" xfId="30" applyFont="1" applyBorder="1" applyAlignment="1">
      <alignment horizontal="center" vertical="center"/>
    </xf>
    <xf numFmtId="0" fontId="26" fillId="6" borderId="14" xfId="0" applyFont="1" applyBorder="1">
      <alignment vertical="center"/>
    </xf>
    <xf numFmtId="0" fontId="0" fillId="2" borderId="21" xfId="0" applyFill="1" applyBorder="1" applyAlignment="1">
      <alignment horizontal="left" vertical="center"/>
    </xf>
    <xf numFmtId="0" fontId="0" fillId="6" borderId="18" xfId="0" applyBorder="1" applyAlignment="1">
      <alignment horizontal="left" vertical="center"/>
    </xf>
    <xf numFmtId="0" fontId="36" fillId="6" borderId="0" xfId="0" applyFont="1" applyAlignment="1">
      <alignment horizontal="center"/>
    </xf>
    <xf numFmtId="0" fontId="36" fillId="6" borderId="0" xfId="0" applyFont="1" applyAlignment="1"/>
    <xf numFmtId="3" fontId="43" fillId="41" borderId="22" xfId="11" applyFont="1" applyBorder="1">
      <alignment horizontal="right" vertical="center"/>
      <protection locked="0"/>
    </xf>
    <xf numFmtId="0" fontId="29" fillId="6" borderId="18" xfId="83" applyFont="1" applyFill="1" applyBorder="1" applyAlignment="1">
      <alignment horizontal="left" vertical="center" wrapText="1" indent="1"/>
    </xf>
    <xf numFmtId="3" fontId="43" fillId="6" borderId="20" xfId="30" applyFont="1" applyBorder="1">
      <alignment horizontal="right" vertical="center"/>
    </xf>
    <xf numFmtId="0" fontId="43" fillId="6" borderId="18" xfId="0" applyFont="1" applyBorder="1" applyAlignment="1">
      <alignment horizontal="left" vertical="center"/>
    </xf>
    <xf numFmtId="0" fontId="43" fillId="6" borderId="19" xfId="0" applyFont="1" applyBorder="1" applyAlignment="1">
      <alignment horizontal="left" vertical="center"/>
    </xf>
    <xf numFmtId="0" fontId="28" fillId="6" borderId="30" xfId="0" applyFont="1" applyBorder="1">
      <alignment vertical="center"/>
    </xf>
    <xf numFmtId="0" fontId="0" fillId="6" borderId="18" xfId="0" applyBorder="1">
      <alignment vertical="center"/>
    </xf>
    <xf numFmtId="0" fontId="43" fillId="6" borderId="18" xfId="0" applyFont="1" applyBorder="1" applyAlignment="1">
      <alignment horizontal="left" vertical="center" indent="1"/>
    </xf>
    <xf numFmtId="0" fontId="43" fillId="6" borderId="18" xfId="0" applyFont="1" applyBorder="1" applyAlignment="1">
      <alignment horizontal="left" vertical="center" indent="2"/>
    </xf>
    <xf numFmtId="0" fontId="0" fillId="6" borderId="18" xfId="0" applyBorder="1" applyAlignment="1">
      <alignment horizontal="left" vertical="center" indent="1"/>
    </xf>
    <xf numFmtId="0" fontId="0" fillId="6" borderId="18" xfId="0" applyBorder="1" applyAlignment="1">
      <alignment horizontal="left" vertical="center" indent="2"/>
    </xf>
    <xf numFmtId="0" fontId="39" fillId="6" borderId="18" xfId="0" applyFont="1" applyBorder="1">
      <alignment vertical="center"/>
    </xf>
    <xf numFmtId="0" fontId="0" fillId="6" borderId="24" xfId="0" applyBorder="1">
      <alignment vertical="center"/>
    </xf>
    <xf numFmtId="0" fontId="0" fillId="6" borderId="26" xfId="0" applyBorder="1">
      <alignment vertical="center"/>
    </xf>
    <xf numFmtId="3" fontId="0" fillId="41" borderId="13" xfId="11" applyFont="1">
      <alignment horizontal="right" vertical="center"/>
      <protection locked="0"/>
    </xf>
    <xf numFmtId="0" fontId="0" fillId="6" borderId="18" xfId="0" applyBorder="1" applyAlignment="1">
      <alignment horizontal="left" vertical="center" indent="3"/>
    </xf>
    <xf numFmtId="0" fontId="0" fillId="6" borderId="19" xfId="0" applyBorder="1">
      <alignment vertical="center"/>
    </xf>
    <xf numFmtId="3" fontId="0" fillId="14" borderId="13" xfId="20" applyFont="1">
      <alignment horizontal="right" vertical="center"/>
      <protection locked="0"/>
    </xf>
    <xf numFmtId="3" fontId="0" fillId="14" borderId="16" xfId="20" applyFont="1" applyBorder="1">
      <alignment horizontal="right" vertical="center"/>
      <protection locked="0"/>
    </xf>
    <xf numFmtId="0" fontId="0" fillId="6" borderId="17" xfId="0" applyBorder="1" applyAlignment="1">
      <alignment horizontal="center" vertical="center"/>
    </xf>
    <xf numFmtId="3" fontId="0" fillId="41" borderId="16" xfId="11" applyFont="1" applyBorder="1">
      <alignment horizontal="right" vertical="center"/>
      <protection locked="0"/>
    </xf>
    <xf numFmtId="0" fontId="0" fillId="6" borderId="25" xfId="0" applyBorder="1">
      <alignment vertical="center"/>
    </xf>
    <xf numFmtId="0" fontId="0" fillId="6" borderId="27" xfId="0" applyBorder="1">
      <alignment vertical="center"/>
    </xf>
    <xf numFmtId="0" fontId="0" fillId="13" borderId="21" xfId="3" applyFont="1" applyBorder="1">
      <alignment horizontal="center" vertical="center"/>
    </xf>
    <xf numFmtId="3" fontId="0" fillId="13" borderId="17" xfId="3" applyNumberFormat="1" applyFont="1" applyBorder="1">
      <alignment horizontal="center" vertical="center"/>
    </xf>
    <xf numFmtId="0" fontId="0" fillId="13" borderId="13" xfId="3" applyFont="1" applyBorder="1">
      <alignment horizontal="center" vertical="center"/>
    </xf>
    <xf numFmtId="3" fontId="0" fillId="13" borderId="26" xfId="3" applyNumberFormat="1" applyFont="1" applyBorder="1">
      <alignment horizontal="center" vertical="center"/>
    </xf>
    <xf numFmtId="0" fontId="0" fillId="13" borderId="16" xfId="3" applyFont="1" applyBorder="1">
      <alignment horizontal="center" vertical="center"/>
    </xf>
    <xf numFmtId="0" fontId="0" fillId="13" borderId="26" xfId="3" applyFont="1" applyBorder="1">
      <alignment horizontal="center" vertical="center"/>
    </xf>
    <xf numFmtId="0" fontId="0" fillId="13" borderId="17" xfId="3" applyFont="1" applyBorder="1">
      <alignment horizontal="center" vertical="center"/>
    </xf>
    <xf numFmtId="0" fontId="28" fillId="6" borderId="18" xfId="0" applyFont="1" applyBorder="1" applyAlignment="1">
      <alignment horizontal="left" vertical="center"/>
    </xf>
    <xf numFmtId="3" fontId="0" fillId="6" borderId="13" xfId="30" applyFont="1" applyBorder="1">
      <alignment horizontal="right" vertical="center"/>
    </xf>
    <xf numFmtId="3" fontId="43" fillId="41" borderId="29" xfId="11" applyFont="1" applyBorder="1">
      <alignment horizontal="right" vertical="center"/>
      <protection locked="0"/>
    </xf>
    <xf numFmtId="0" fontId="0" fillId="6" borderId="30" xfId="0" applyBorder="1">
      <alignment vertical="center"/>
    </xf>
    <xf numFmtId="0" fontId="0" fillId="6" borderId="23" xfId="0" applyBorder="1">
      <alignment vertical="center"/>
    </xf>
    <xf numFmtId="3" fontId="0" fillId="47" borderId="21" xfId="20" applyFont="1" applyFill="1" applyBorder="1">
      <alignment horizontal="right" vertical="center"/>
      <protection locked="0"/>
    </xf>
    <xf numFmtId="3" fontId="26" fillId="41" borderId="21" xfId="20" applyFont="1" applyFill="1" applyBorder="1">
      <alignment horizontal="right" vertical="center"/>
      <protection locked="0"/>
    </xf>
    <xf numFmtId="0" fontId="33" fillId="6" borderId="0" xfId="116" applyAlignment="1">
      <alignment vertical="center" wrapText="1"/>
    </xf>
    <xf numFmtId="0" fontId="0" fillId="6" borderId="19" xfId="0" applyBorder="1" applyAlignment="1">
      <alignment horizontal="center" vertical="center"/>
    </xf>
    <xf numFmtId="0" fontId="26" fillId="2" borderId="15" xfId="0" applyFont="1" applyFill="1" applyBorder="1" applyAlignment="1">
      <alignment horizontal="center" vertical="center"/>
    </xf>
    <xf numFmtId="0" fontId="26" fillId="2" borderId="21" xfId="0" applyFont="1" applyFill="1" applyBorder="1" applyAlignment="1">
      <alignment horizontal="left" vertical="center"/>
    </xf>
    <xf numFmtId="0" fontId="26" fillId="2" borderId="18" xfId="0" applyFont="1" applyFill="1" applyBorder="1" applyAlignment="1">
      <alignment horizontal="left" vertical="center"/>
    </xf>
    <xf numFmtId="0" fontId="26" fillId="6" borderId="28" xfId="0" applyFont="1" applyBorder="1" applyAlignment="1">
      <alignment horizontal="center" vertical="center"/>
    </xf>
    <xf numFmtId="0" fontId="26" fillId="6" borderId="20" xfId="0" applyFont="1" applyBorder="1" applyAlignment="1">
      <alignment horizontal="left" vertical="center"/>
    </xf>
    <xf numFmtId="0" fontId="43" fillId="6" borderId="23" xfId="0" applyFont="1" applyBorder="1" applyAlignment="1">
      <alignment horizontal="center" vertical="center" wrapText="1"/>
    </xf>
    <xf numFmtId="3" fontId="43" fillId="41" borderId="20" xfId="11" applyFont="1" applyBorder="1">
      <alignment horizontal="right" vertical="center"/>
      <protection locked="0"/>
    </xf>
    <xf numFmtId="0" fontId="43" fillId="6" borderId="16" xfId="0" applyFont="1" applyBorder="1" applyAlignment="1">
      <alignment horizontal="center" vertical="center" wrapText="1"/>
    </xf>
    <xf numFmtId="0" fontId="26" fillId="2" borderId="21" xfId="0" applyFont="1" applyFill="1" applyBorder="1">
      <alignment vertical="center"/>
    </xf>
    <xf numFmtId="3" fontId="26" fillId="6" borderId="25" xfId="30" applyFont="1" applyBorder="1">
      <alignment horizontal="right" vertical="center"/>
    </xf>
    <xf numFmtId="0" fontId="50" fillId="6" borderId="0" xfId="0" applyFont="1" applyAlignment="1">
      <alignment horizontal="center"/>
    </xf>
    <xf numFmtId="0" fontId="50" fillId="6" borderId="0" xfId="0" applyFont="1" applyAlignment="1">
      <alignment horizontal="center" vertical="center"/>
    </xf>
    <xf numFmtId="0" fontId="0" fillId="6" borderId="39" xfId="0" applyBorder="1">
      <alignment vertical="center"/>
    </xf>
    <xf numFmtId="0" fontId="33" fillId="6" borderId="0" xfId="0" applyFont="1" applyAlignment="1">
      <alignment horizontal="left" vertical="center"/>
    </xf>
    <xf numFmtId="3" fontId="43" fillId="41" borderId="13" xfId="11" applyFont="1">
      <alignment horizontal="right" vertical="center"/>
      <protection locked="0"/>
    </xf>
    <xf numFmtId="0" fontId="43" fillId="46" borderId="13" xfId="3" applyFont="1" applyFill="1" applyBorder="1">
      <alignment horizontal="center" vertical="center"/>
    </xf>
    <xf numFmtId="3" fontId="43" fillId="41" borderId="25" xfId="11" applyFont="1" applyBorder="1">
      <alignment horizontal="right" vertical="center"/>
      <protection locked="0"/>
    </xf>
    <xf numFmtId="0" fontId="43" fillId="46" borderId="16" xfId="3" applyFont="1" applyFill="1" applyBorder="1">
      <alignment horizontal="center" vertical="center"/>
    </xf>
    <xf numFmtId="3" fontId="43" fillId="41" borderId="15" xfId="11" applyFont="1" applyBorder="1">
      <alignment horizontal="right" vertical="center"/>
      <protection locked="0"/>
    </xf>
    <xf numFmtId="0" fontId="26" fillId="6" borderId="18" xfId="0" applyFont="1" applyBorder="1" applyAlignment="1">
      <alignment horizontal="left" vertical="center"/>
    </xf>
    <xf numFmtId="0" fontId="43" fillId="46" borderId="20" xfId="3" applyFont="1" applyFill="1" applyBorder="1">
      <alignment horizontal="center" vertical="center"/>
    </xf>
    <xf numFmtId="0" fontId="26" fillId="6" borderId="0" xfId="0" applyFont="1" applyAlignment="1">
      <alignment vertical="top"/>
    </xf>
    <xf numFmtId="0" fontId="0" fillId="2" borderId="20" xfId="0" applyFill="1" applyBorder="1" applyAlignment="1">
      <alignment horizontal="left" vertical="center"/>
    </xf>
    <xf numFmtId="0" fontId="0" fillId="6" borderId="21" xfId="0" applyBorder="1">
      <alignment vertical="center"/>
    </xf>
    <xf numFmtId="0" fontId="0" fillId="6" borderId="19" xfId="0" applyBorder="1" applyAlignment="1">
      <alignment horizontal="left" vertical="center"/>
    </xf>
    <xf numFmtId="0" fontId="43" fillId="6" borderId="18" xfId="0" applyFont="1" applyBorder="1" applyAlignment="1">
      <alignment horizontal="left" indent="1"/>
    </xf>
    <xf numFmtId="0" fontId="43" fillId="46" borderId="14" xfId="3" applyFont="1" applyFill="1" applyBorder="1">
      <alignment horizontal="center" vertical="center"/>
    </xf>
    <xf numFmtId="0" fontId="43" fillId="6" borderId="18" xfId="0" applyFont="1" applyBorder="1" applyAlignment="1">
      <alignment horizontal="left"/>
    </xf>
    <xf numFmtId="0" fontId="43" fillId="6" borderId="39" xfId="0" applyFont="1" applyBorder="1" applyAlignment="1">
      <alignment horizontal="left" vertical="center"/>
    </xf>
    <xf numFmtId="3" fontId="0" fillId="6" borderId="22" xfId="30" applyFont="1" applyBorder="1">
      <alignment horizontal="right" vertical="center"/>
    </xf>
    <xf numFmtId="3" fontId="0" fillId="41" borderId="40" xfId="11" applyFont="1" applyBorder="1">
      <alignment horizontal="right" vertical="center"/>
      <protection locked="0"/>
    </xf>
    <xf numFmtId="0" fontId="26" fillId="41" borderId="21" xfId="18" applyFont="1" applyBorder="1">
      <alignment horizontal="center" vertical="center" wrapText="1"/>
      <protection locked="0"/>
    </xf>
    <xf numFmtId="0" fontId="26" fillId="41" borderId="20" xfId="18" applyFont="1" applyBorder="1">
      <alignment horizontal="center" vertical="center" wrapText="1"/>
      <protection locked="0"/>
    </xf>
    <xf numFmtId="0" fontId="29" fillId="13" borderId="21" xfId="3" applyFont="1" applyBorder="1">
      <alignment horizontal="center" vertical="center"/>
    </xf>
    <xf numFmtId="0" fontId="0" fillId="6" borderId="18" xfId="0" applyBorder="1" applyAlignment="1">
      <alignment horizontal="center" vertical="center"/>
    </xf>
    <xf numFmtId="0" fontId="51" fillId="6" borderId="0" xfId="0" applyFont="1" applyAlignment="1">
      <alignment horizontal="left" vertical="center" indent="2"/>
    </xf>
    <xf numFmtId="0" fontId="51" fillId="6" borderId="0" xfId="0" applyFont="1" applyAlignment="1">
      <alignment horizontal="center" vertical="center"/>
    </xf>
    <xf numFmtId="0" fontId="51" fillId="6" borderId="0" xfId="0" applyFont="1">
      <alignment vertical="center"/>
    </xf>
    <xf numFmtId="4" fontId="51" fillId="6" borderId="0" xfId="0" applyNumberFormat="1" applyFont="1" applyAlignment="1">
      <alignment horizontal="center" vertical="center"/>
    </xf>
    <xf numFmtId="3" fontId="26" fillId="6" borderId="27" xfId="30" applyFont="1" applyBorder="1">
      <alignment horizontal="right" vertical="center"/>
    </xf>
    <xf numFmtId="0" fontId="0" fillId="13" borderId="14" xfId="3" applyFont="1" applyBorder="1">
      <alignment horizontal="center" vertical="center"/>
    </xf>
    <xf numFmtId="0" fontId="0" fillId="13" borderId="20" xfId="3" applyFont="1" applyBorder="1">
      <alignment horizontal="center" vertical="center"/>
    </xf>
    <xf numFmtId="3" fontId="0" fillId="6" borderId="20" xfId="30" applyFont="1" applyBorder="1">
      <alignment horizontal="right" vertical="center"/>
    </xf>
    <xf numFmtId="3" fontId="43" fillId="41" borderId="27" xfId="11" applyFont="1" applyBorder="1">
      <alignment horizontal="right" vertical="center"/>
      <protection locked="0"/>
    </xf>
    <xf numFmtId="0" fontId="0" fillId="6" borderId="19" xfId="0" applyBorder="1" applyAlignment="1">
      <alignment horizontal="left" vertical="center" indent="1"/>
    </xf>
    <xf numFmtId="0" fontId="41" fillId="6" borderId="18" xfId="0" applyFont="1" applyBorder="1" applyAlignment="1">
      <alignment horizontal="left" vertical="center"/>
    </xf>
    <xf numFmtId="0" fontId="29" fillId="13" borderId="13" xfId="3" applyFont="1" applyBorder="1">
      <alignment horizontal="center" vertical="center"/>
    </xf>
    <xf numFmtId="0" fontId="29" fillId="6" borderId="0" xfId="0" applyFont="1" applyAlignment="1">
      <alignment horizontal="left" indent="2"/>
    </xf>
    <xf numFmtId="0" fontId="52" fillId="6" borderId="18" xfId="0" applyFont="1" applyBorder="1" applyAlignment="1">
      <alignment horizontal="left" indent="2"/>
    </xf>
    <xf numFmtId="0" fontId="43" fillId="46" borderId="17" xfId="3" applyFont="1" applyFill="1" applyBorder="1">
      <alignment horizontal="center" vertical="center"/>
    </xf>
    <xf numFmtId="0" fontId="0" fillId="6" borderId="27" xfId="0" applyBorder="1" applyAlignment="1">
      <alignment horizontal="left" vertical="center"/>
    </xf>
    <xf numFmtId="0" fontId="0" fillId="13" borderId="15" xfId="3" applyFont="1" applyBorder="1">
      <alignment horizontal="center" vertical="center"/>
    </xf>
    <xf numFmtId="0" fontId="0" fillId="13" borderId="19" xfId="3" applyFont="1" applyBorder="1">
      <alignment horizontal="center" vertical="center"/>
    </xf>
    <xf numFmtId="0" fontId="26" fillId="6" borderId="15" xfId="0" applyFont="1" applyBorder="1" applyAlignment="1">
      <alignment horizontal="center" vertical="center"/>
    </xf>
    <xf numFmtId="0" fontId="29" fillId="0" borderId="18" xfId="0" applyFont="1" applyFill="1" applyBorder="1" applyAlignment="1">
      <alignment horizontal="left"/>
    </xf>
    <xf numFmtId="0" fontId="29" fillId="0" borderId="19" xfId="0" applyFont="1" applyFill="1" applyBorder="1" applyAlignment="1">
      <alignment horizontal="left"/>
    </xf>
    <xf numFmtId="0" fontId="28" fillId="6" borderId="28" xfId="5" applyBorder="1" applyAlignment="1">
      <alignment horizontal="center" vertical="center" wrapText="1"/>
    </xf>
    <xf numFmtId="0" fontId="26" fillId="13" borderId="18" xfId="3" applyFont="1" applyBorder="1" applyAlignment="1">
      <alignment vertical="center" wrapText="1"/>
    </xf>
    <xf numFmtId="0" fontId="26" fillId="13" borderId="19" xfId="3" applyFont="1" applyBorder="1" applyAlignment="1">
      <alignment vertical="center" wrapText="1"/>
    </xf>
    <xf numFmtId="0" fontId="0" fillId="0" borderId="32" xfId="0" applyFill="1" applyBorder="1" applyAlignment="1">
      <alignment horizontal="center" vertical="center" wrapText="1"/>
    </xf>
    <xf numFmtId="0" fontId="43" fillId="6" borderId="21" xfId="0" applyFont="1" applyBorder="1" applyAlignment="1">
      <alignment horizontal="left" vertical="center" wrapText="1"/>
    </xf>
    <xf numFmtId="3" fontId="26" fillId="41" borderId="13" xfId="20" applyFont="1" applyFill="1">
      <alignment horizontal="right" vertical="center"/>
      <protection locked="0"/>
    </xf>
    <xf numFmtId="3" fontId="26" fillId="41" borderId="25" xfId="20" applyFont="1" applyFill="1" applyBorder="1">
      <alignment horizontal="right" vertical="center"/>
      <protection locked="0"/>
    </xf>
    <xf numFmtId="3" fontId="26" fillId="41" borderId="27" xfId="20" applyFont="1" applyFill="1" applyBorder="1">
      <alignment horizontal="right" vertical="center"/>
      <protection locked="0"/>
    </xf>
    <xf numFmtId="0" fontId="0" fillId="6" borderId="0" xfId="0" applyAlignment="1">
      <alignment horizontal="left" vertical="center"/>
    </xf>
    <xf numFmtId="0" fontId="26" fillId="6" borderId="41" xfId="0" applyFont="1" applyBorder="1">
      <alignment vertical="center"/>
    </xf>
    <xf numFmtId="0" fontId="33" fillId="6" borderId="41" xfId="116" applyBorder="1" applyAlignment="1">
      <alignment vertical="center"/>
    </xf>
    <xf numFmtId="0" fontId="27" fillId="6" borderId="0" xfId="0" applyFont="1" applyAlignment="1"/>
    <xf numFmtId="0" fontId="26" fillId="6" borderId="0" xfId="0" applyFont="1" applyAlignment="1"/>
    <xf numFmtId="0" fontId="0" fillId="6" borderId="41" xfId="0" applyBorder="1">
      <alignment vertical="center"/>
    </xf>
    <xf numFmtId="0" fontId="27" fillId="6" borderId="41" xfId="0" applyFont="1" applyBorder="1">
      <alignment vertical="center"/>
    </xf>
    <xf numFmtId="0" fontId="28" fillId="6" borderId="41" xfId="0" applyFont="1" applyBorder="1" applyAlignment="1">
      <alignment horizontal="left" vertical="center"/>
    </xf>
    <xf numFmtId="0" fontId="0" fillId="2" borderId="18" xfId="0" applyFill="1" applyBorder="1" applyAlignment="1">
      <alignment horizontal="left" vertical="center" indent="4"/>
    </xf>
    <xf numFmtId="0" fontId="0" fillId="2" borderId="18" xfId="0" applyFill="1" applyBorder="1" applyAlignment="1">
      <alignment horizontal="left" vertical="center" indent="2"/>
    </xf>
    <xf numFmtId="0" fontId="26" fillId="6" borderId="15" xfId="0" applyFont="1" applyBorder="1">
      <alignment vertical="center"/>
    </xf>
    <xf numFmtId="0" fontId="27" fillId="6" borderId="41" xfId="0" applyFont="1" applyBorder="1" applyAlignment="1">
      <alignment horizontal="left" vertical="center"/>
    </xf>
    <xf numFmtId="0" fontId="0" fillId="6" borderId="24" xfId="0" applyBorder="1" applyAlignment="1">
      <alignment horizontal="left" vertical="center" indent="1"/>
    </xf>
    <xf numFmtId="3" fontId="26" fillId="41" borderId="17" xfId="11" applyFont="1" applyBorder="1">
      <alignment horizontal="right" vertical="center"/>
      <protection locked="0"/>
    </xf>
    <xf numFmtId="0" fontId="0" fillId="6" borderId="22" xfId="0" applyBorder="1" applyAlignment="1">
      <alignment horizontal="left" vertical="center"/>
    </xf>
    <xf numFmtId="0" fontId="28" fillId="6" borderId="19" xfId="0" applyFont="1" applyBorder="1" applyAlignment="1">
      <alignment horizontal="left" vertical="center"/>
    </xf>
    <xf numFmtId="0" fontId="26" fillId="6" borderId="44" xfId="0" applyFont="1" applyBorder="1" applyAlignment="1">
      <alignment horizontal="left" vertical="center"/>
    </xf>
    <xf numFmtId="0" fontId="0" fillId="6" borderId="44" xfId="0" applyBorder="1">
      <alignment vertical="center"/>
    </xf>
    <xf numFmtId="0" fontId="43" fillId="6" borderId="41" xfId="0" applyFont="1" applyBorder="1">
      <alignment vertical="center"/>
    </xf>
    <xf numFmtId="0" fontId="30" fillId="6" borderId="28" xfId="5" applyFont="1" applyBorder="1" applyAlignment="1">
      <alignment horizontal="center" vertical="center" wrapText="1"/>
    </xf>
    <xf numFmtId="0" fontId="26" fillId="6" borderId="44" xfId="0" applyFont="1" applyBorder="1">
      <alignment vertical="center"/>
    </xf>
    <xf numFmtId="0" fontId="26" fillId="6" borderId="47" xfId="0" applyFont="1" applyBorder="1">
      <alignment vertical="center"/>
    </xf>
    <xf numFmtId="0" fontId="33" fillId="6" borderId="41" xfId="116" applyBorder="1" applyAlignment="1">
      <alignment horizontal="left" vertical="center"/>
    </xf>
    <xf numFmtId="0" fontId="26" fillId="6" borderId="44" xfId="0" applyFont="1" applyBorder="1" applyAlignment="1">
      <alignment horizontal="center" vertical="center"/>
    </xf>
    <xf numFmtId="3" fontId="26" fillId="6" borderId="44" xfId="30" applyFont="1" applyBorder="1" applyAlignment="1">
      <alignment horizontal="center" vertical="center"/>
    </xf>
    <xf numFmtId="3" fontId="26" fillId="6" borderId="18" xfId="30" applyFont="1" applyBorder="1" applyAlignment="1">
      <alignment horizontal="center" vertical="center"/>
    </xf>
    <xf numFmtId="0" fontId="26" fillId="6" borderId="14" xfId="0" applyFont="1" applyBorder="1" applyAlignment="1">
      <alignment horizontal="center" vertical="center"/>
    </xf>
    <xf numFmtId="3" fontId="43" fillId="13" borderId="21" xfId="3" applyNumberFormat="1" applyFont="1" applyBorder="1">
      <alignment horizontal="center" vertical="center"/>
    </xf>
    <xf numFmtId="3" fontId="43" fillId="13" borderId="13" xfId="3" applyNumberFormat="1" applyFont="1" applyBorder="1">
      <alignment horizontal="center" vertical="center"/>
    </xf>
    <xf numFmtId="0" fontId="26" fillId="2" borderId="21" xfId="0" applyFont="1" applyFill="1" applyBorder="1" applyAlignment="1">
      <alignment vertical="center" wrapText="1"/>
    </xf>
    <xf numFmtId="0" fontId="0" fillId="6" borderId="23" xfId="0" applyBorder="1" applyAlignment="1">
      <alignment horizontal="center" vertical="center"/>
    </xf>
    <xf numFmtId="0" fontId="0" fillId="2" borderId="16" xfId="0" applyFill="1" applyBorder="1" applyAlignment="1">
      <alignment horizontal="center" vertical="center"/>
    </xf>
    <xf numFmtId="0" fontId="0" fillId="2" borderId="21" xfId="0" applyFill="1" applyBorder="1">
      <alignment vertical="center"/>
    </xf>
    <xf numFmtId="0" fontId="26" fillId="6" borderId="41" xfId="0" applyFont="1" applyBorder="1" applyAlignment="1">
      <alignment horizontal="left" vertical="center"/>
    </xf>
    <xf numFmtId="3" fontId="26" fillId="41" borderId="18" xfId="11" applyFont="1" applyBorder="1">
      <alignment horizontal="right" vertical="center"/>
      <protection locked="0"/>
    </xf>
    <xf numFmtId="0" fontId="26" fillId="6" borderId="17" xfId="0" applyFont="1" applyBorder="1" applyAlignment="1">
      <alignment horizontal="left" vertical="center"/>
    </xf>
    <xf numFmtId="3" fontId="43" fillId="43" borderId="14" xfId="6" applyFont="1" applyBorder="1" applyAlignment="1">
      <alignment vertical="center"/>
    </xf>
    <xf numFmtId="0" fontId="43" fillId="6" borderId="41" xfId="0" applyFont="1" applyBorder="1" applyAlignment="1"/>
    <xf numFmtId="0" fontId="57" fillId="6" borderId="0" xfId="0" applyFont="1">
      <alignment vertical="center"/>
    </xf>
    <xf numFmtId="0" fontId="43" fillId="6" borderId="13" xfId="0" applyFont="1" applyBorder="1">
      <alignment vertical="center"/>
    </xf>
    <xf numFmtId="0" fontId="43" fillId="46" borderId="13" xfId="0" applyFont="1" applyFill="1" applyBorder="1">
      <alignment vertical="center"/>
    </xf>
    <xf numFmtId="3" fontId="43" fillId="41" borderId="16" xfId="11" applyFont="1" applyBorder="1">
      <alignment horizontal="right" vertical="center"/>
      <protection locked="0"/>
    </xf>
    <xf numFmtId="0" fontId="28" fillId="0" borderId="18" xfId="0" applyFont="1" applyFill="1" applyBorder="1" applyAlignment="1">
      <alignment horizontal="left" vertical="center"/>
    </xf>
    <xf numFmtId="0" fontId="52" fillId="46" borderId="13" xfId="0" applyFont="1" applyFill="1" applyBorder="1">
      <alignment vertical="center"/>
    </xf>
    <xf numFmtId="0" fontId="39" fillId="6" borderId="41" xfId="0" applyFont="1" applyBorder="1">
      <alignment vertical="center"/>
    </xf>
    <xf numFmtId="0" fontId="0" fillId="0" borderId="18" xfId="0" applyFill="1" applyBorder="1" applyAlignment="1">
      <alignment horizontal="left" vertical="center" indent="1"/>
    </xf>
    <xf numFmtId="0" fontId="43" fillId="0" borderId="18" xfId="0" applyFont="1" applyFill="1" applyBorder="1" applyAlignment="1">
      <alignment horizontal="left" indent="1"/>
    </xf>
    <xf numFmtId="0" fontId="28" fillId="0" borderId="18" xfId="0" applyFont="1" applyFill="1" applyBorder="1" applyAlignment="1">
      <alignment horizontal="left" vertical="center" indent="1"/>
    </xf>
    <xf numFmtId="0" fontId="28" fillId="0" borderId="24" xfId="0" applyFont="1" applyFill="1" applyBorder="1" applyAlignment="1">
      <alignment horizontal="left" vertical="center"/>
    </xf>
    <xf numFmtId="3" fontId="43" fillId="41" borderId="26" xfId="11" applyFont="1" applyBorder="1">
      <alignment horizontal="right" vertical="center"/>
      <protection locked="0"/>
    </xf>
    <xf numFmtId="0" fontId="43" fillId="6" borderId="25" xfId="0" applyFont="1" applyBorder="1">
      <alignment vertical="center"/>
    </xf>
    <xf numFmtId="0" fontId="43" fillId="46" borderId="25" xfId="0" applyFont="1" applyFill="1" applyBorder="1">
      <alignment vertical="center"/>
    </xf>
    <xf numFmtId="0" fontId="58" fillId="46" borderId="14" xfId="0" applyFont="1" applyFill="1" applyBorder="1">
      <alignment vertical="center"/>
    </xf>
    <xf numFmtId="0" fontId="33" fillId="6" borderId="41" xfId="0" applyFont="1" applyBorder="1" applyAlignment="1">
      <alignment horizontal="left" vertical="center"/>
    </xf>
    <xf numFmtId="0" fontId="29" fillId="6" borderId="0" xfId="0" applyFont="1">
      <alignment vertical="center"/>
    </xf>
    <xf numFmtId="0" fontId="43" fillId="0" borderId="18" xfId="0" applyFont="1" applyFill="1" applyBorder="1" applyAlignment="1"/>
    <xf numFmtId="0" fontId="43" fillId="0" borderId="19" xfId="0" applyFont="1" applyFill="1" applyBorder="1" applyAlignment="1">
      <alignment horizontal="left" indent="1"/>
    </xf>
    <xf numFmtId="0" fontId="0" fillId="6" borderId="47" xfId="0" applyBorder="1">
      <alignment vertical="center"/>
    </xf>
    <xf numFmtId="0" fontId="43" fillId="46" borderId="21" xfId="0" applyFont="1" applyFill="1" applyBorder="1">
      <alignment vertical="center"/>
    </xf>
    <xf numFmtId="0" fontId="43" fillId="46" borderId="14" xfId="0" applyFont="1" applyFill="1" applyBorder="1">
      <alignment vertical="center"/>
    </xf>
    <xf numFmtId="0" fontId="43" fillId="46" borderId="20" xfId="0" applyFont="1" applyFill="1" applyBorder="1">
      <alignment vertical="center"/>
    </xf>
    <xf numFmtId="0" fontId="43" fillId="46" borderId="16" xfId="0" applyFont="1" applyFill="1" applyBorder="1">
      <alignment vertical="center"/>
    </xf>
    <xf numFmtId="0" fontId="43" fillId="46" borderId="17" xfId="0" applyFont="1" applyFill="1" applyBorder="1">
      <alignment vertical="center"/>
    </xf>
    <xf numFmtId="0" fontId="0" fillId="6" borderId="41" xfId="0" applyBorder="1" applyAlignment="1"/>
    <xf numFmtId="0" fontId="43" fillId="0" borderId="13" xfId="0" applyFont="1" applyFill="1" applyBorder="1" applyAlignment="1">
      <alignment horizontal="left" indent="1"/>
    </xf>
    <xf numFmtId="0" fontId="43" fillId="6" borderId="18" xfId="0" applyFont="1" applyBorder="1" applyAlignment="1"/>
    <xf numFmtId="0" fontId="29" fillId="6" borderId="18" xfId="0" applyFont="1" applyBorder="1" applyAlignment="1">
      <alignment horizontal="left" indent="2"/>
    </xf>
    <xf numFmtId="0" fontId="43" fillId="6" borderId="19" xfId="0" applyFont="1" applyBorder="1" applyAlignment="1">
      <alignment horizontal="left" indent="1"/>
    </xf>
    <xf numFmtId="0" fontId="24" fillId="6" borderId="41" xfId="0" applyFont="1" applyBorder="1" applyAlignment="1"/>
    <xf numFmtId="0" fontId="40" fillId="6" borderId="0" xfId="0" applyFont="1" applyAlignment="1"/>
    <xf numFmtId="0" fontId="24" fillId="6" borderId="0" xfId="0" applyFont="1" applyAlignment="1"/>
    <xf numFmtId="0" fontId="63" fillId="6" borderId="0" xfId="0" applyFont="1">
      <alignment vertical="center"/>
    </xf>
    <xf numFmtId="0" fontId="28" fillId="6" borderId="41" xfId="0" applyFont="1" applyBorder="1" applyAlignment="1"/>
    <xf numFmtId="0" fontId="52" fillId="46" borderId="21" xfId="0" applyFont="1" applyFill="1" applyBorder="1">
      <alignment vertical="center"/>
    </xf>
    <xf numFmtId="0" fontId="41" fillId="6" borderId="18" xfId="0" applyFont="1" applyBorder="1" applyAlignment="1"/>
    <xf numFmtId="0" fontId="52" fillId="46" borderId="14" xfId="0" applyFont="1" applyFill="1" applyBorder="1">
      <alignment vertical="center"/>
    </xf>
    <xf numFmtId="0" fontId="52" fillId="46" borderId="20" xfId="0" applyFont="1" applyFill="1" applyBorder="1">
      <alignment vertical="center"/>
    </xf>
    <xf numFmtId="0" fontId="52" fillId="46" borderId="16" xfId="0" applyFont="1" applyFill="1" applyBorder="1">
      <alignment vertical="center"/>
    </xf>
    <xf numFmtId="0" fontId="52" fillId="46" borderId="17" xfId="0" applyFont="1" applyFill="1" applyBorder="1">
      <alignment vertical="center"/>
    </xf>
    <xf numFmtId="0" fontId="64" fillId="46" borderId="25" xfId="0" applyFont="1" applyFill="1" applyBorder="1">
      <alignment vertical="center"/>
    </xf>
    <xf numFmtId="0" fontId="43" fillId="46" borderId="22" xfId="3" applyFont="1" applyFill="1" applyBorder="1">
      <alignment horizontal="center" vertical="center"/>
    </xf>
    <xf numFmtId="0" fontId="26" fillId="6" borderId="18" xfId="0" applyFont="1" applyBorder="1" applyAlignment="1">
      <alignment horizontal="left" vertical="center" indent="1"/>
    </xf>
    <xf numFmtId="0" fontId="43" fillId="46" borderId="21" xfId="3" applyFont="1" applyFill="1" applyBorder="1">
      <alignment horizontal="center" vertical="center"/>
    </xf>
    <xf numFmtId="0" fontId="26" fillId="6" borderId="24" xfId="0" applyFont="1" applyBorder="1" applyAlignment="1">
      <alignment horizontal="left" vertical="center" indent="1"/>
    </xf>
    <xf numFmtId="0" fontId="53" fillId="6" borderId="18" xfId="0" applyFont="1" applyBorder="1" applyAlignment="1">
      <alignment horizontal="left" vertical="center"/>
    </xf>
    <xf numFmtId="0" fontId="52" fillId="46" borderId="21" xfId="3" applyFont="1" applyFill="1" applyBorder="1">
      <alignment horizontal="center" vertical="center"/>
    </xf>
    <xf numFmtId="174" fontId="26" fillId="15" borderId="21" xfId="0" applyNumberFormat="1" applyFont="1" applyFill="1" applyBorder="1" applyAlignment="1">
      <alignment horizontal="center" vertical="center"/>
    </xf>
    <xf numFmtId="0" fontId="28" fillId="6" borderId="18" xfId="0" applyFont="1" applyBorder="1" applyAlignment="1">
      <alignment horizontal="left" vertical="center" indent="1"/>
    </xf>
    <xf numFmtId="0" fontId="52" fillId="6" borderId="24" xfId="0" applyFont="1" applyBorder="1" applyAlignment="1">
      <alignment horizontal="left" indent="2"/>
    </xf>
    <xf numFmtId="0" fontId="28" fillId="6" borderId="24" xfId="0" applyFont="1" applyBorder="1" applyAlignment="1">
      <alignment horizontal="left" vertical="center"/>
    </xf>
    <xf numFmtId="172" fontId="26" fillId="16" borderId="20" xfId="46" applyFont="1" applyBorder="1">
      <alignment vertical="center"/>
    </xf>
    <xf numFmtId="0" fontId="0" fillId="6" borderId="20" xfId="0" applyBorder="1" applyAlignment="1">
      <alignment vertical="center" wrapText="1"/>
    </xf>
    <xf numFmtId="0" fontId="0" fillId="6" borderId="26" xfId="0" applyBorder="1" applyAlignment="1">
      <alignment horizontal="center" vertical="center"/>
    </xf>
    <xf numFmtId="0" fontId="0" fillId="13" borderId="25" xfId="3" applyFont="1" applyBorder="1">
      <alignment horizontal="center" vertical="center"/>
    </xf>
    <xf numFmtId="0" fontId="65" fillId="53" borderId="13" xfId="144" applyBorder="1">
      <alignment horizontal="center" vertical="center"/>
    </xf>
    <xf numFmtId="0" fontId="65" fillId="53" borderId="20" xfId="144" applyBorder="1">
      <alignment horizontal="center" vertical="center"/>
    </xf>
    <xf numFmtId="0" fontId="65" fillId="53" borderId="14" xfId="144" applyBorder="1">
      <alignment horizontal="center" vertical="center"/>
    </xf>
    <xf numFmtId="0" fontId="65" fillId="53" borderId="22" xfId="144" applyBorder="1">
      <alignment horizontal="center" vertical="center"/>
    </xf>
    <xf numFmtId="0" fontId="65" fillId="53" borderId="21" xfId="144" applyBorder="1">
      <alignment horizontal="center" vertical="center"/>
    </xf>
    <xf numFmtId="0" fontId="65" fillId="53" borderId="27" xfId="144" applyBorder="1">
      <alignment horizontal="center" vertical="center"/>
    </xf>
    <xf numFmtId="0" fontId="65" fillId="53" borderId="19" xfId="144" applyBorder="1">
      <alignment horizontal="center" vertical="center"/>
    </xf>
    <xf numFmtId="0" fontId="65" fillId="53" borderId="16" xfId="144" applyBorder="1">
      <alignment horizontal="center" vertical="center"/>
    </xf>
    <xf numFmtId="0" fontId="65" fillId="53" borderId="17" xfId="144" applyBorder="1">
      <alignment horizontal="center" vertical="center"/>
    </xf>
    <xf numFmtId="0" fontId="0" fillId="13" borderId="27" xfId="3" applyFont="1" applyBorder="1">
      <alignment horizontal="center" vertical="center"/>
    </xf>
    <xf numFmtId="3" fontId="26" fillId="13" borderId="27" xfId="3" applyNumberFormat="1" applyFont="1" applyBorder="1">
      <alignment horizontal="center" vertical="center"/>
    </xf>
    <xf numFmtId="0" fontId="29" fillId="6" borderId="19" xfId="83" applyFont="1" applyFill="1" applyBorder="1" applyAlignment="1">
      <alignment horizontal="left" vertical="center" indent="1"/>
    </xf>
    <xf numFmtId="0" fontId="0" fillId="6" borderId="18" xfId="0" applyBorder="1" applyAlignment="1">
      <alignment vertical="center" wrapText="1"/>
    </xf>
    <xf numFmtId="0" fontId="22" fillId="6" borderId="18" xfId="83" applyFill="1" applyBorder="1" applyAlignment="1">
      <alignment horizontal="left" vertical="center" wrapText="1" indent="1"/>
    </xf>
    <xf numFmtId="0" fontId="65" fillId="53" borderId="25" xfId="144" applyBorder="1">
      <alignment horizontal="center" vertical="center"/>
    </xf>
    <xf numFmtId="0" fontId="22" fillId="6" borderId="19" xfId="83" applyFill="1" applyBorder="1" applyAlignment="1">
      <alignment horizontal="left" vertical="center" wrapText="1" indent="1"/>
    </xf>
    <xf numFmtId="0" fontId="26" fillId="6" borderId="44" xfId="0" applyFont="1" applyBorder="1" applyAlignment="1"/>
    <xf numFmtId="0" fontId="26" fillId="6" borderId="48" xfId="0" applyFont="1" applyBorder="1" applyAlignment="1">
      <alignment horizontal="center" vertical="center"/>
    </xf>
    <xf numFmtId="0" fontId="43" fillId="6" borderId="0" xfId="0" applyFont="1">
      <alignment vertical="center"/>
    </xf>
    <xf numFmtId="3" fontId="26" fillId="41" borderId="26" xfId="11" applyFont="1" applyBorder="1">
      <alignment horizontal="right" vertical="center"/>
      <protection locked="0"/>
    </xf>
    <xf numFmtId="3" fontId="0" fillId="14" borderId="25" xfId="20" applyFont="1" applyBorder="1">
      <alignment horizontal="right" vertical="center"/>
      <protection locked="0"/>
    </xf>
    <xf numFmtId="0" fontId="0" fillId="13" borderId="23" xfId="3" applyFont="1" applyBorder="1">
      <alignment horizontal="center" vertical="center"/>
    </xf>
    <xf numFmtId="0" fontId="0" fillId="13" borderId="22" xfId="3" applyFont="1" applyBorder="1">
      <alignment horizontal="center" vertical="center"/>
    </xf>
    <xf numFmtId="3" fontId="43" fillId="6" borderId="13" xfId="30" applyFont="1" applyBorder="1">
      <alignment horizontal="right" vertical="center"/>
    </xf>
    <xf numFmtId="0" fontId="43" fillId="46" borderId="26" xfId="3" applyFont="1" applyFill="1" applyBorder="1">
      <alignment horizontal="center" vertical="center"/>
    </xf>
    <xf numFmtId="0" fontId="28" fillId="6" borderId="48" xfId="5" applyBorder="1" applyAlignment="1">
      <alignment horizontal="center" vertical="center" wrapText="1"/>
    </xf>
    <xf numFmtId="0" fontId="30" fillId="6" borderId="48" xfId="5" applyFont="1" applyBorder="1" applyAlignment="1">
      <alignment horizontal="center" vertical="center" wrapText="1"/>
    </xf>
    <xf numFmtId="0" fontId="30" fillId="6" borderId="49" xfId="5" applyFont="1" applyBorder="1" applyAlignment="1">
      <alignment horizontal="center" vertical="center" wrapText="1"/>
    </xf>
    <xf numFmtId="0" fontId="65" fillId="13" borderId="0" xfId="3" applyFont="1" applyBorder="1">
      <alignment horizontal="center" vertical="center"/>
    </xf>
    <xf numFmtId="0" fontId="29" fillId="13" borderId="0" xfId="3" applyFont="1" applyBorder="1">
      <alignment horizontal="center" vertical="center"/>
    </xf>
    <xf numFmtId="0" fontId="0" fillId="13" borderId="0" xfId="3" applyFont="1" applyBorder="1">
      <alignment horizontal="center" vertical="center"/>
    </xf>
    <xf numFmtId="0" fontId="65" fillId="13" borderId="16" xfId="3" applyFont="1" applyBorder="1">
      <alignment horizontal="center" vertical="center"/>
    </xf>
    <xf numFmtId="0" fontId="65" fillId="13" borderId="13" xfId="3" applyFont="1" applyBorder="1">
      <alignment horizontal="center" vertical="center"/>
    </xf>
    <xf numFmtId="0" fontId="26" fillId="6" borderId="44" xfId="0" applyFont="1" applyBorder="1" applyAlignment="1">
      <alignment horizontal="center" vertical="center" wrapText="1"/>
    </xf>
    <xf numFmtId="0" fontId="26" fillId="6" borderId="44" xfId="0" applyFont="1" applyBorder="1" applyAlignment="1">
      <alignment horizontal="left" vertical="center" indent="1"/>
    </xf>
    <xf numFmtId="0" fontId="26" fillId="6" borderId="44" xfId="0" applyFont="1" applyBorder="1" applyAlignment="1">
      <alignment horizontal="right" vertical="center"/>
    </xf>
    <xf numFmtId="0" fontId="26" fillId="2" borderId="44" xfId="0" applyFont="1" applyFill="1" applyBorder="1">
      <alignment vertical="center"/>
    </xf>
    <xf numFmtId="0" fontId="26" fillId="6" borderId="21" xfId="0" applyFont="1" applyBorder="1" applyAlignment="1">
      <alignment horizontal="left" vertical="top" wrapText="1" indent="1"/>
    </xf>
    <xf numFmtId="0" fontId="26" fillId="6" borderId="18" xfId="0" applyFont="1" applyBorder="1">
      <alignment vertical="center"/>
    </xf>
    <xf numFmtId="0" fontId="0" fillId="6" borderId="21" xfId="0" applyBorder="1" applyAlignment="1">
      <alignment horizontal="left" vertical="top" wrapText="1" indent="2"/>
    </xf>
    <xf numFmtId="0" fontId="26" fillId="6" borderId="21" xfId="0" applyFont="1" applyBorder="1" applyAlignment="1">
      <alignment horizontal="left" vertical="top" wrapText="1" indent="2"/>
    </xf>
    <xf numFmtId="0" fontId="26" fillId="6" borderId="21" xfId="0" applyFont="1" applyBorder="1" applyAlignment="1">
      <alignment horizontal="left" vertical="top" wrapText="1" indent="3"/>
    </xf>
    <xf numFmtId="0" fontId="26" fillId="6" borderId="21" xfId="0" applyFont="1" applyBorder="1" applyAlignment="1">
      <alignment horizontal="left" vertical="top" wrapText="1" indent="4"/>
    </xf>
    <xf numFmtId="0" fontId="29" fillId="6" borderId="21" xfId="83" applyFont="1" applyFill="1" applyBorder="1" applyAlignment="1">
      <alignment horizontal="left" vertical="top" indent="5"/>
    </xf>
    <xf numFmtId="0" fontId="0" fillId="6" borderId="21" xfId="0" applyBorder="1" applyAlignment="1">
      <alignment horizontal="left" vertical="top" wrapText="1" indent="3"/>
    </xf>
    <xf numFmtId="0" fontId="29" fillId="6" borderId="21" xfId="83" applyFont="1" applyFill="1" applyBorder="1" applyAlignment="1">
      <alignment horizontal="left" vertical="top" indent="4"/>
    </xf>
    <xf numFmtId="0" fontId="26" fillId="6" borderId="20" xfId="0" applyFont="1" applyBorder="1" applyAlignment="1">
      <alignment horizontal="left" vertical="top" wrapText="1" indent="1"/>
    </xf>
    <xf numFmtId="0" fontId="0" fillId="6" borderId="18" xfId="0" applyBorder="1" applyAlignment="1">
      <alignment horizontal="left" vertical="top" wrapText="1"/>
    </xf>
    <xf numFmtId="0" fontId="0" fillId="6" borderId="19" xfId="0" applyBorder="1" applyAlignment="1">
      <alignment horizontal="left" vertical="top" wrapText="1"/>
    </xf>
    <xf numFmtId="3" fontId="0" fillId="41" borderId="23" xfId="11" applyFont="1" applyBorder="1">
      <alignment horizontal="right" vertical="center"/>
      <protection locked="0"/>
    </xf>
    <xf numFmtId="0" fontId="0" fillId="6" borderId="44" xfId="0" applyBorder="1" applyAlignment="1">
      <alignment vertical="center" wrapText="1"/>
    </xf>
    <xf numFmtId="0" fontId="0" fillId="6" borderId="44" xfId="0" applyBorder="1" applyAlignment="1">
      <alignment horizontal="left" vertical="center" indent="1"/>
    </xf>
    <xf numFmtId="0" fontId="65" fillId="53" borderId="18" xfId="144" applyBorder="1">
      <alignment horizontal="center" vertical="center"/>
    </xf>
    <xf numFmtId="0" fontId="43" fillId="0" borderId="18" xfId="0" applyFont="1" applyFill="1" applyBorder="1" applyAlignment="1">
      <alignment horizontal="left" indent="2"/>
    </xf>
    <xf numFmtId="0" fontId="43" fillId="0" borderId="18" xfId="0" applyFont="1" applyFill="1" applyBorder="1" applyAlignment="1">
      <alignment horizontal="left" indent="3"/>
    </xf>
    <xf numFmtId="0" fontId="43" fillId="6" borderId="18" xfId="0" applyFont="1" applyBorder="1" applyAlignment="1">
      <alignment horizontal="left" indent="2"/>
    </xf>
    <xf numFmtId="0" fontId="43" fillId="6" borderId="18" xfId="0" applyFont="1" applyBorder="1" applyAlignment="1">
      <alignment horizontal="left" indent="3"/>
    </xf>
    <xf numFmtId="0" fontId="0" fillId="6" borderId="18" xfId="0" applyBorder="1" applyAlignment="1">
      <alignment horizontal="left" indent="2"/>
    </xf>
    <xf numFmtId="0" fontId="28" fillId="6" borderId="18" xfId="0" applyFont="1" applyBorder="1" applyAlignment="1">
      <alignment horizontal="left" vertical="center" wrapText="1" indent="1"/>
    </xf>
    <xf numFmtId="0" fontId="26" fillId="6" borderId="19" xfId="0" applyFont="1" applyBorder="1" applyAlignment="1">
      <alignment horizontal="left" vertical="center" indent="1"/>
    </xf>
    <xf numFmtId="0" fontId="26" fillId="6" borderId="30" xfId="0" applyFont="1" applyBorder="1" applyAlignment="1">
      <alignment vertical="center" wrapText="1"/>
    </xf>
    <xf numFmtId="0" fontId="26" fillId="6" borderId="19" xfId="0" applyFont="1" applyBorder="1" applyAlignment="1">
      <alignment horizontal="left" vertical="center" wrapText="1" indent="1"/>
    </xf>
    <xf numFmtId="49" fontId="26" fillId="41" borderId="18" xfId="19" applyFont="1" applyBorder="1" applyAlignment="1">
      <alignment horizontal="center" vertical="center"/>
      <protection locked="0"/>
    </xf>
    <xf numFmtId="3" fontId="26" fillId="41" borderId="18" xfId="18" applyNumberFormat="1" applyFont="1" applyBorder="1">
      <alignment horizontal="center" vertical="center" wrapText="1"/>
      <protection locked="0"/>
    </xf>
    <xf numFmtId="0" fontId="26" fillId="41" borderId="18" xfId="18" applyFont="1" applyBorder="1">
      <alignment horizontal="center" vertical="center" wrapText="1"/>
      <protection locked="0"/>
    </xf>
    <xf numFmtId="170" fontId="26" fillId="42" borderId="19" xfId="13" applyFont="1" applyBorder="1">
      <alignment vertical="center"/>
      <protection locked="0"/>
    </xf>
    <xf numFmtId="3" fontId="26" fillId="6" borderId="23" xfId="30" applyFont="1" applyBorder="1">
      <alignment horizontal="right" vertical="center"/>
    </xf>
    <xf numFmtId="3" fontId="26" fillId="13" borderId="30" xfId="3" applyNumberFormat="1" applyFont="1" applyBorder="1">
      <alignment horizontal="center" vertical="center"/>
    </xf>
    <xf numFmtId="3" fontId="26" fillId="41" borderId="19" xfId="11" applyFont="1" applyBorder="1">
      <alignment horizontal="right" vertical="center"/>
      <protection locked="0"/>
    </xf>
    <xf numFmtId="0" fontId="0" fillId="6" borderId="21" xfId="0" applyBorder="1" applyAlignment="1">
      <alignment vertical="center" wrapText="1"/>
    </xf>
    <xf numFmtId="0" fontId="0" fillId="13" borderId="24" xfId="3" applyFont="1" applyBorder="1">
      <alignment horizontal="center" vertical="center"/>
    </xf>
    <xf numFmtId="0" fontId="65" fillId="53" borderId="24" xfId="144" applyBorder="1">
      <alignment horizontal="center" vertical="center"/>
    </xf>
    <xf numFmtId="0" fontId="28" fillId="6" borderId="44" xfId="0" applyFont="1" applyBorder="1" applyAlignment="1">
      <alignment horizontal="left" vertical="center"/>
    </xf>
    <xf numFmtId="0" fontId="28" fillId="6" borderId="22" xfId="0" applyFont="1" applyBorder="1">
      <alignment vertical="center"/>
    </xf>
    <xf numFmtId="0" fontId="0" fillId="6" borderId="21" xfId="0" applyBorder="1" applyAlignment="1">
      <alignment horizontal="left" vertical="center" wrapText="1" indent="1"/>
    </xf>
    <xf numFmtId="0" fontId="26" fillId="6" borderId="21" xfId="0" applyFont="1" applyBorder="1" applyAlignment="1">
      <alignment horizontal="left" vertical="center" wrapText="1" indent="1"/>
    </xf>
    <xf numFmtId="0" fontId="28" fillId="6" borderId="21" xfId="0" applyFont="1" applyBorder="1">
      <alignment vertical="center"/>
    </xf>
    <xf numFmtId="0" fontId="26" fillId="6" borderId="27" xfId="0" applyFont="1" applyBorder="1" applyAlignment="1">
      <alignment horizontal="left" vertical="center" wrapText="1"/>
    </xf>
    <xf numFmtId="0" fontId="26" fillId="6" borderId="21" xfId="0" applyFont="1" applyBorder="1" applyAlignment="1">
      <alignment vertical="center" wrapText="1"/>
    </xf>
    <xf numFmtId="0" fontId="26" fillId="6" borderId="21" xfId="0" applyFont="1" applyBorder="1">
      <alignment vertical="center"/>
    </xf>
    <xf numFmtId="0" fontId="26" fillId="6" borderId="27" xfId="0" applyFont="1" applyBorder="1" applyAlignment="1">
      <alignment vertical="center" wrapText="1"/>
    </xf>
    <xf numFmtId="0" fontId="26" fillId="43" borderId="20" xfId="9" applyFont="1" applyBorder="1">
      <alignment horizontal="left" vertical="center"/>
    </xf>
    <xf numFmtId="0" fontId="0" fillId="2" borderId="27" xfId="0" applyFill="1" applyBorder="1" applyAlignment="1">
      <alignment horizontal="left" vertical="center" wrapText="1"/>
    </xf>
    <xf numFmtId="0" fontId="26" fillId="43" borderId="27" xfId="9" applyFont="1" applyBorder="1" applyAlignment="1">
      <alignment horizontal="left" vertical="center" indent="1"/>
    </xf>
    <xf numFmtId="0" fontId="0" fillId="43" borderId="27" xfId="9" applyFont="1" applyBorder="1" applyAlignment="1">
      <alignment horizontal="left" vertical="center" indent="1"/>
    </xf>
    <xf numFmtId="0" fontId="0" fillId="43" borderId="20" xfId="9" applyFont="1" applyBorder="1">
      <alignment horizontal="left" vertical="center"/>
    </xf>
    <xf numFmtId="0" fontId="26" fillId="2" borderId="21" xfId="0" applyFont="1" applyFill="1" applyBorder="1" applyAlignment="1">
      <alignment horizontal="left" vertical="center" indent="1"/>
    </xf>
    <xf numFmtId="0" fontId="0" fillId="2" borderId="21" xfId="0" applyFill="1" applyBorder="1" applyAlignment="1">
      <alignment horizontal="left" vertical="center" indent="1"/>
    </xf>
    <xf numFmtId="0" fontId="0" fillId="2" borderId="21" xfId="0" applyFill="1" applyBorder="1" applyAlignment="1">
      <alignment horizontal="left" vertical="center" indent="2"/>
    </xf>
    <xf numFmtId="0" fontId="29" fillId="6" borderId="20" xfId="83" applyFont="1" applyFill="1" applyBorder="1" applyAlignment="1">
      <alignment horizontal="left" vertical="center" wrapText="1" indent="1"/>
    </xf>
    <xf numFmtId="0" fontId="28" fillId="6" borderId="44" xfId="0" applyFont="1" applyBorder="1" applyAlignment="1">
      <alignment horizontal="left" vertical="center" wrapText="1"/>
    </xf>
    <xf numFmtId="0" fontId="26" fillId="13" borderId="30" xfId="3" applyFont="1" applyBorder="1">
      <alignment horizontal="center" vertical="center"/>
    </xf>
    <xf numFmtId="3" fontId="0" fillId="41" borderId="18" xfId="11" applyFont="1" applyBorder="1">
      <alignment horizontal="right" vertical="center"/>
      <protection locked="0"/>
    </xf>
    <xf numFmtId="3" fontId="26" fillId="41" borderId="32" xfId="11" applyFont="1" applyBorder="1">
      <alignment horizontal="right" vertical="center"/>
      <protection locked="0"/>
    </xf>
    <xf numFmtId="3" fontId="26" fillId="14" borderId="26" xfId="20" applyFont="1" applyBorder="1">
      <alignment horizontal="right" vertical="center"/>
      <protection locked="0"/>
    </xf>
    <xf numFmtId="3" fontId="26" fillId="43" borderId="16" xfId="6" applyFont="1" applyBorder="1">
      <alignment horizontal="right" vertical="center"/>
    </xf>
    <xf numFmtId="3" fontId="26" fillId="43" borderId="17" xfId="6" applyFont="1" applyBorder="1">
      <alignment horizontal="right" vertical="center"/>
    </xf>
    <xf numFmtId="3" fontId="26" fillId="43" borderId="26" xfId="6" applyFont="1" applyBorder="1">
      <alignment horizontal="right" vertical="center"/>
    </xf>
    <xf numFmtId="3" fontId="26" fillId="41" borderId="24" xfId="11" applyFont="1" applyBorder="1">
      <alignment horizontal="right" vertical="center"/>
      <protection locked="0"/>
    </xf>
    <xf numFmtId="3" fontId="26" fillId="6" borderId="44" xfId="11" applyFont="1" applyFill="1" applyBorder="1" applyProtection="1">
      <alignment horizontal="right" vertical="center"/>
    </xf>
    <xf numFmtId="3" fontId="26" fillId="13" borderId="16" xfId="3" applyNumberFormat="1" applyFont="1" applyBorder="1">
      <alignment horizontal="center" vertical="center"/>
    </xf>
    <xf numFmtId="3" fontId="26" fillId="13" borderId="26" xfId="3" applyNumberFormat="1" applyFont="1" applyBorder="1">
      <alignment horizontal="center" vertical="center"/>
    </xf>
    <xf numFmtId="0" fontId="43" fillId="6" borderId="22" xfId="0" applyFont="1" applyBorder="1" applyAlignment="1">
      <alignment horizontal="left" vertical="center" wrapText="1" indent="1"/>
    </xf>
    <xf numFmtId="0" fontId="43" fillId="6" borderId="49" xfId="0" applyFont="1" applyBorder="1" applyAlignment="1">
      <alignment horizontal="left" vertical="center" wrapText="1" indent="1"/>
    </xf>
    <xf numFmtId="3" fontId="43" fillId="41" borderId="30" xfId="11" applyFont="1" applyBorder="1">
      <alignment horizontal="right" vertical="center"/>
      <protection locked="0"/>
    </xf>
    <xf numFmtId="3" fontId="43" fillId="41" borderId="19" xfId="11" applyFont="1" applyBorder="1">
      <alignment horizontal="right" vertical="center"/>
      <protection locked="0"/>
    </xf>
    <xf numFmtId="3" fontId="43" fillId="41" borderId="18" xfId="11" applyFont="1" applyBorder="1">
      <alignment horizontal="right" vertical="center"/>
      <protection locked="0"/>
    </xf>
    <xf numFmtId="3" fontId="43" fillId="6" borderId="18" xfId="30" applyFont="1" applyBorder="1">
      <alignment horizontal="right" vertical="center"/>
    </xf>
    <xf numFmtId="3" fontId="43" fillId="41" borderId="0" xfId="11" applyFont="1" applyBorder="1">
      <alignment horizontal="right" vertical="center"/>
      <protection locked="0"/>
    </xf>
    <xf numFmtId="3" fontId="43" fillId="6" borderId="19" xfId="30" applyFont="1" applyBorder="1">
      <alignment horizontal="right" vertical="center"/>
    </xf>
    <xf numFmtId="0" fontId="26" fillId="6" borderId="21" xfId="0" applyFont="1" applyBorder="1" applyAlignment="1">
      <alignment horizontal="left" vertical="center" indent="1"/>
    </xf>
    <xf numFmtId="0" fontId="0" fillId="6" borderId="52" xfId="0" applyBorder="1">
      <alignment vertical="center"/>
    </xf>
    <xf numFmtId="0" fontId="26" fillId="6" borderId="52" xfId="0" applyFont="1" applyBorder="1">
      <alignment vertical="center"/>
    </xf>
    <xf numFmtId="0" fontId="29" fillId="13" borderId="18" xfId="3" applyFont="1" applyBorder="1">
      <alignment horizontal="center" vertical="center"/>
    </xf>
    <xf numFmtId="0" fontId="26" fillId="6" borderId="50" xfId="5" applyFont="1" applyBorder="1">
      <alignment horizontal="center" wrapText="1"/>
    </xf>
    <xf numFmtId="2" fontId="26" fillId="15" borderId="18" xfId="49" applyNumberFormat="1" applyFont="1" applyBorder="1">
      <alignment vertical="center"/>
    </xf>
    <xf numFmtId="2" fontId="26" fillId="15" borderId="19" xfId="49" applyNumberFormat="1" applyFont="1" applyBorder="1">
      <alignment vertical="center"/>
    </xf>
    <xf numFmtId="0" fontId="26" fillId="13" borderId="53" xfId="3" applyFont="1" applyBorder="1">
      <alignment horizontal="center" vertical="center"/>
    </xf>
    <xf numFmtId="0" fontId="26" fillId="13" borderId="55" xfId="3" applyFont="1" applyBorder="1">
      <alignment horizontal="center" vertical="center"/>
    </xf>
    <xf numFmtId="0" fontId="26" fillId="13" borderId="51" xfId="3" applyFont="1" applyBorder="1">
      <alignment horizontal="center" vertical="center"/>
    </xf>
    <xf numFmtId="2" fontId="26" fillId="15" borderId="16" xfId="49" applyNumberFormat="1" applyFont="1" applyBorder="1">
      <alignment vertical="center"/>
    </xf>
    <xf numFmtId="2" fontId="26" fillId="15" borderId="17" xfId="49" applyNumberFormat="1" applyFont="1" applyBorder="1">
      <alignment vertical="center"/>
    </xf>
    <xf numFmtId="0" fontId="28" fillId="6" borderId="52" xfId="0" applyFont="1" applyBorder="1" applyAlignment="1">
      <alignment horizontal="left" vertical="center"/>
    </xf>
    <xf numFmtId="0" fontId="28" fillId="6" borderId="50" xfId="5" applyBorder="1" applyAlignment="1">
      <alignment horizontal="center" vertical="center" wrapText="1"/>
    </xf>
    <xf numFmtId="0" fontId="43" fillId="46" borderId="23" xfId="3" applyFont="1" applyFill="1" applyBorder="1">
      <alignment horizontal="center" vertical="center"/>
    </xf>
    <xf numFmtId="0" fontId="52" fillId="46" borderId="16" xfId="3" applyFont="1" applyFill="1" applyBorder="1">
      <alignment horizontal="center" vertical="center"/>
    </xf>
    <xf numFmtId="0" fontId="26" fillId="15" borderId="52" xfId="55" applyFont="1" applyBorder="1">
      <alignment horizontal="center" vertical="center" wrapText="1"/>
    </xf>
    <xf numFmtId="0" fontId="26" fillId="15" borderId="19" xfId="55" applyFont="1" applyBorder="1">
      <alignment horizontal="center" vertical="center" wrapText="1"/>
    </xf>
    <xf numFmtId="0" fontId="26" fillId="6" borderId="52" xfId="0" applyFont="1" applyBorder="1" applyAlignment="1">
      <alignment horizontal="left" vertical="center"/>
    </xf>
    <xf numFmtId="0" fontId="28" fillId="6" borderId="52" xfId="0" applyFont="1" applyBorder="1" applyAlignment="1">
      <alignment vertical="center" wrapText="1"/>
    </xf>
    <xf numFmtId="0" fontId="0" fillId="6" borderId="52" xfId="0" applyBorder="1" applyAlignment="1">
      <alignment horizontal="left" vertical="center"/>
    </xf>
    <xf numFmtId="3" fontId="26" fillId="13" borderId="53" xfId="3" applyNumberFormat="1" applyFont="1" applyBorder="1">
      <alignment horizontal="center" vertical="center"/>
    </xf>
    <xf numFmtId="0" fontId="65" fillId="53" borderId="26" xfId="144" applyBorder="1">
      <alignment horizontal="center" vertical="center"/>
    </xf>
    <xf numFmtId="0" fontId="29" fillId="0" borderId="52" xfId="0" applyFont="1" applyFill="1" applyBorder="1" applyAlignment="1">
      <alignment horizontal="left"/>
    </xf>
    <xf numFmtId="3" fontId="43" fillId="6" borderId="23" xfId="30" applyFont="1" applyBorder="1">
      <alignment horizontal="right" vertical="center"/>
    </xf>
    <xf numFmtId="3" fontId="43" fillId="43" borderId="50" xfId="6" applyFont="1" applyBorder="1">
      <alignment horizontal="right" vertical="center"/>
    </xf>
    <xf numFmtId="0" fontId="65" fillId="53" borderId="53" xfId="144" applyBorder="1">
      <alignment horizontal="center" vertical="center"/>
    </xf>
    <xf numFmtId="0" fontId="65" fillId="53" borderId="55" xfId="144" applyBorder="1">
      <alignment horizontal="center" vertical="center"/>
    </xf>
    <xf numFmtId="0" fontId="43" fillId="46" borderId="55" xfId="3" applyFont="1" applyFill="1" applyBorder="1">
      <alignment horizontal="center" vertical="center"/>
    </xf>
    <xf numFmtId="0" fontId="43" fillId="46" borderId="51" xfId="3" applyFont="1" applyFill="1" applyBorder="1">
      <alignment horizontal="center" vertical="center"/>
    </xf>
    <xf numFmtId="0" fontId="28" fillId="6" borderId="42" xfId="5" applyBorder="1" applyAlignment="1">
      <alignment horizontal="center" vertical="center" wrapText="1"/>
    </xf>
    <xf numFmtId="0" fontId="43" fillId="46" borderId="53" xfId="3" applyFont="1" applyFill="1" applyBorder="1">
      <alignment horizontal="center" vertical="center"/>
    </xf>
    <xf numFmtId="0" fontId="28" fillId="6" borderId="32" xfId="5" applyBorder="1" applyAlignment="1">
      <alignment horizontal="center" vertical="center" wrapText="1"/>
    </xf>
    <xf numFmtId="3" fontId="43" fillId="41" borderId="23" xfId="11" applyFont="1" applyBorder="1">
      <alignment horizontal="right" vertical="center"/>
      <protection locked="0"/>
    </xf>
    <xf numFmtId="3" fontId="43" fillId="41" borderId="52" xfId="11" applyFont="1" applyBorder="1">
      <alignment horizontal="right" vertical="center"/>
      <protection locked="0"/>
    </xf>
    <xf numFmtId="0" fontId="43" fillId="6" borderId="52" xfId="0" applyFont="1" applyBorder="1" applyAlignment="1">
      <alignment horizontal="left" vertical="center"/>
    </xf>
    <xf numFmtId="0" fontId="43" fillId="43" borderId="19" xfId="9" applyFont="1" applyBorder="1">
      <alignment horizontal="left" vertical="center"/>
    </xf>
    <xf numFmtId="0" fontId="43" fillId="6" borderId="56" xfId="0" applyFont="1" applyBorder="1" applyAlignment="1">
      <alignment horizontal="left"/>
    </xf>
    <xf numFmtId="0" fontId="43" fillId="6" borderId="57" xfId="0" applyFont="1" applyBorder="1" applyAlignment="1">
      <alignment horizontal="left"/>
    </xf>
    <xf numFmtId="0" fontId="28" fillId="51" borderId="42" xfId="0" applyFont="1" applyFill="1" applyBorder="1" applyAlignment="1">
      <alignment horizontal="center" vertical="center" wrapText="1"/>
    </xf>
    <xf numFmtId="3" fontId="43" fillId="41" borderId="53" xfId="11" applyFont="1" applyBorder="1">
      <alignment horizontal="right" vertical="center"/>
      <protection locked="0"/>
    </xf>
    <xf numFmtId="3" fontId="43" fillId="41" borderId="17" xfId="11" applyFont="1" applyBorder="1">
      <alignment horizontal="right" vertical="center"/>
      <protection locked="0"/>
    </xf>
    <xf numFmtId="3" fontId="43" fillId="43" borderId="17" xfId="6" applyFont="1" applyBorder="1" applyAlignment="1">
      <alignment vertical="center"/>
    </xf>
    <xf numFmtId="0" fontId="28" fillId="51" borderId="50" xfId="0" applyFont="1" applyFill="1" applyBorder="1" applyAlignment="1">
      <alignment horizontal="center" vertical="center" wrapText="1"/>
    </xf>
    <xf numFmtId="0" fontId="43" fillId="6" borderId="19" xfId="0" applyFont="1" applyBorder="1" applyAlignment="1">
      <alignment horizontal="left"/>
    </xf>
    <xf numFmtId="0" fontId="0" fillId="6" borderId="16" xfId="0" applyBorder="1" applyAlignment="1">
      <alignment horizontal="center" vertical="center" wrapText="1"/>
    </xf>
    <xf numFmtId="0" fontId="0" fillId="6" borderId="21" xfId="0" applyBorder="1" applyAlignment="1">
      <alignment horizontal="left" vertical="center" indent="1"/>
    </xf>
    <xf numFmtId="0" fontId="0" fillId="6" borderId="51" xfId="0" applyBorder="1" applyAlignment="1">
      <alignment horizontal="left" vertical="center" wrapText="1"/>
    </xf>
    <xf numFmtId="0" fontId="0" fillId="0" borderId="18" xfId="0" applyFill="1" applyBorder="1" applyAlignment="1">
      <alignment horizontal="left" indent="2"/>
    </xf>
    <xf numFmtId="0" fontId="43" fillId="6" borderId="51" xfId="0" applyFont="1" applyBorder="1">
      <alignment vertical="center"/>
    </xf>
    <xf numFmtId="0" fontId="43" fillId="0" borderId="24" xfId="0" applyFont="1" applyFill="1" applyBorder="1" applyAlignment="1">
      <alignment horizontal="left" indent="1"/>
    </xf>
    <xf numFmtId="0" fontId="28" fillId="0" borderId="30" xfId="0" applyFont="1" applyFill="1" applyBorder="1" applyAlignment="1">
      <alignment horizontal="left" vertical="center"/>
    </xf>
    <xf numFmtId="0" fontId="29" fillId="0" borderId="18" xfId="0" applyFont="1" applyFill="1" applyBorder="1" applyAlignment="1">
      <alignment horizontal="left" indent="1"/>
    </xf>
    <xf numFmtId="0" fontId="0" fillId="13" borderId="53" xfId="3" applyFont="1" applyBorder="1">
      <alignment horizontal="center" vertical="center"/>
    </xf>
    <xf numFmtId="0" fontId="0" fillId="6" borderId="18" xfId="0" applyBorder="1" applyAlignment="1">
      <alignment horizontal="left" indent="3"/>
    </xf>
    <xf numFmtId="0" fontId="0" fillId="6" borderId="18" xfId="0" applyBorder="1" applyAlignment="1">
      <alignment horizontal="left" indent="1"/>
    </xf>
    <xf numFmtId="0" fontId="0" fillId="0" borderId="18" xfId="0" applyFill="1" applyBorder="1" applyAlignment="1">
      <alignment horizontal="left" indent="3"/>
    </xf>
    <xf numFmtId="0" fontId="0" fillId="6" borderId="18" xfId="0" applyBorder="1" applyAlignment="1"/>
    <xf numFmtId="0" fontId="0" fillId="0" borderId="18" xfId="0" applyFill="1" applyBorder="1" applyAlignment="1">
      <alignment horizontal="left" vertical="center"/>
    </xf>
    <xf numFmtId="0" fontId="0" fillId="13" borderId="51" xfId="3" applyFont="1" applyBorder="1">
      <alignment horizontal="center" vertical="center"/>
    </xf>
    <xf numFmtId="0" fontId="24" fillId="6" borderId="58" xfId="0" applyFont="1" applyBorder="1" applyAlignment="1"/>
    <xf numFmtId="0" fontId="0" fillId="6" borderId="53" xfId="0" applyBorder="1" applyAlignment="1">
      <alignment horizontal="center" vertical="center"/>
    </xf>
    <xf numFmtId="0" fontId="0" fillId="0" borderId="52" xfId="0" applyFill="1" applyBorder="1" applyAlignment="1">
      <alignment horizontal="left"/>
    </xf>
    <xf numFmtId="0" fontId="65" fillId="53" borderId="51" xfId="144" applyBorder="1">
      <alignment horizontal="center" vertical="center"/>
    </xf>
    <xf numFmtId="0" fontId="28" fillId="6" borderId="50" xfId="0" applyFont="1" applyBorder="1" applyAlignment="1">
      <alignment horizontal="center" vertical="center"/>
    </xf>
    <xf numFmtId="0" fontId="0" fillId="13" borderId="55" xfId="3" applyFont="1" applyBorder="1">
      <alignment horizontal="center" vertical="center"/>
    </xf>
    <xf numFmtId="0" fontId="0" fillId="6" borderId="51" xfId="0" applyBorder="1" applyAlignment="1">
      <alignment vertical="center" wrapText="1"/>
    </xf>
    <xf numFmtId="0" fontId="0" fillId="6" borderId="49" xfId="0" applyBorder="1" applyAlignment="1">
      <alignment horizontal="left" vertical="center" wrapText="1"/>
    </xf>
    <xf numFmtId="0" fontId="0" fillId="0" borderId="19" xfId="0" applyFill="1" applyBorder="1" applyAlignment="1">
      <alignment horizontal="left" indent="3"/>
    </xf>
    <xf numFmtId="0" fontId="0" fillId="13" borderId="18" xfId="3" applyFont="1" applyBorder="1">
      <alignment horizontal="center" vertical="center"/>
    </xf>
    <xf numFmtId="0" fontId="0" fillId="6" borderId="20" xfId="0" applyBorder="1" applyAlignment="1">
      <alignment horizontal="left" vertical="center" wrapText="1"/>
    </xf>
    <xf numFmtId="0" fontId="43" fillId="46" borderId="15" xfId="0" applyFont="1" applyFill="1" applyBorder="1">
      <alignment vertical="center"/>
    </xf>
    <xf numFmtId="0" fontId="43" fillId="46" borderId="60" xfId="0" applyFont="1" applyFill="1" applyBorder="1">
      <alignment vertical="center"/>
    </xf>
    <xf numFmtId="0" fontId="43" fillId="46" borderId="48" xfId="0" applyFont="1" applyFill="1" applyBorder="1">
      <alignment vertical="center"/>
    </xf>
    <xf numFmtId="0" fontId="27" fillId="6" borderId="61" xfId="0" applyFont="1" applyBorder="1">
      <alignment vertical="center"/>
    </xf>
    <xf numFmtId="0" fontId="0" fillId="6" borderId="62" xfId="0" applyBorder="1">
      <alignment vertical="center"/>
    </xf>
    <xf numFmtId="0" fontId="0" fillId="6" borderId="50" xfId="0" applyBorder="1" applyAlignment="1">
      <alignment horizontal="center" vertical="center"/>
    </xf>
    <xf numFmtId="0" fontId="65" fillId="53" borderId="50" xfId="144" applyBorder="1">
      <alignment horizontal="center" vertical="center"/>
    </xf>
    <xf numFmtId="0" fontId="28" fillId="13" borderId="59" xfId="3" applyFont="1" applyBorder="1">
      <alignment horizontal="center" vertical="center"/>
    </xf>
    <xf numFmtId="0" fontId="28" fillId="13" borderId="60" xfId="3" applyFont="1" applyBorder="1">
      <alignment horizontal="center" vertical="center"/>
    </xf>
    <xf numFmtId="0" fontId="66" fillId="6" borderId="41" xfId="0" applyFont="1" applyBorder="1">
      <alignment vertical="center"/>
    </xf>
    <xf numFmtId="0" fontId="0" fillId="6" borderId="0" xfId="2" applyFont="1" applyBorder="1">
      <alignment horizontal="center" vertical="center"/>
    </xf>
    <xf numFmtId="3" fontId="0" fillId="6" borderId="53" xfId="30" applyFont="1" applyBorder="1">
      <alignment horizontal="right" vertical="center"/>
    </xf>
    <xf numFmtId="3" fontId="0" fillId="6" borderId="55" xfId="30" applyFont="1" applyBorder="1">
      <alignment horizontal="right" vertical="center"/>
    </xf>
    <xf numFmtId="3" fontId="0" fillId="6" borderId="15" xfId="30" applyFont="1" applyBorder="1">
      <alignment horizontal="right" vertical="center"/>
    </xf>
    <xf numFmtId="0" fontId="65" fillId="53" borderId="30" xfId="144" applyBorder="1">
      <alignment horizontal="center" vertical="center"/>
    </xf>
    <xf numFmtId="0" fontId="65" fillId="53" borderId="15" xfId="144" applyBorder="1">
      <alignment horizontal="center" vertical="center"/>
    </xf>
    <xf numFmtId="3" fontId="0" fillId="41" borderId="15" xfId="11" applyFont="1" applyBorder="1">
      <alignment horizontal="right" vertical="center"/>
      <protection locked="0"/>
    </xf>
    <xf numFmtId="3" fontId="0" fillId="41" borderId="15" xfId="11" applyFont="1" applyBorder="1" applyAlignment="1">
      <alignment horizontal="right" vertical="center" wrapText="1"/>
      <protection locked="0"/>
    </xf>
    <xf numFmtId="3" fontId="0" fillId="6" borderId="51" xfId="30" applyFont="1" applyBorder="1">
      <alignment horizontal="right" vertical="center"/>
    </xf>
    <xf numFmtId="0" fontId="26" fillId="41" borderId="52" xfId="18" applyFont="1" applyBorder="1">
      <alignment horizontal="center" vertical="center" wrapText="1"/>
      <protection locked="0"/>
    </xf>
    <xf numFmtId="0" fontId="43" fillId="6" borderId="55" xfId="0" applyFont="1" applyBorder="1">
      <alignment vertical="center"/>
    </xf>
    <xf numFmtId="0" fontId="52" fillId="46" borderId="53" xfId="0" applyFont="1" applyFill="1" applyBorder="1">
      <alignment vertical="center"/>
    </xf>
    <xf numFmtId="0" fontId="52" fillId="46" borderId="55" xfId="0" applyFont="1" applyFill="1" applyBorder="1">
      <alignment vertical="center"/>
    </xf>
    <xf numFmtId="0" fontId="52" fillId="46" borderId="51" xfId="0" applyFont="1" applyFill="1" applyBorder="1">
      <alignment vertical="center"/>
    </xf>
    <xf numFmtId="0" fontId="49" fillId="6" borderId="0" xfId="0" applyFont="1" applyAlignment="1">
      <alignment horizontal="center" vertical="center"/>
    </xf>
    <xf numFmtId="0" fontId="58" fillId="6" borderId="0" xfId="0" applyFont="1">
      <alignment vertical="center"/>
    </xf>
    <xf numFmtId="0" fontId="52" fillId="6" borderId="0" xfId="0" applyFont="1">
      <alignment vertical="center"/>
    </xf>
    <xf numFmtId="0" fontId="49" fillId="6" borderId="0" xfId="0" applyFont="1">
      <alignment vertical="center"/>
    </xf>
    <xf numFmtId="0" fontId="43" fillId="6" borderId="0" xfId="0" applyFont="1" applyAlignment="1">
      <alignment horizontal="left" indent="1"/>
    </xf>
    <xf numFmtId="0" fontId="43" fillId="6" borderId="52" xfId="0" applyFont="1" applyBorder="1" applyAlignment="1"/>
    <xf numFmtId="0" fontId="0" fillId="6" borderId="18" xfId="0" applyBorder="1" applyAlignment="1">
      <alignment horizontal="left" wrapText="1" indent="1"/>
    </xf>
    <xf numFmtId="0" fontId="0" fillId="6" borderId="18" xfId="0" applyBorder="1" applyAlignment="1">
      <alignment horizontal="left"/>
    </xf>
    <xf numFmtId="0" fontId="36" fillId="6" borderId="44" xfId="0" applyFont="1" applyBorder="1">
      <alignment vertical="center"/>
    </xf>
    <xf numFmtId="0" fontId="43" fillId="13" borderId="13" xfId="3" applyFont="1" applyBorder="1">
      <alignment horizontal="center" vertical="center"/>
    </xf>
    <xf numFmtId="0" fontId="0" fillId="6" borderId="63" xfId="0" applyBorder="1">
      <alignment vertical="center"/>
    </xf>
    <xf numFmtId="3" fontId="43" fillId="6" borderId="55" xfId="30" applyFont="1" applyBorder="1">
      <alignment horizontal="right" vertical="center"/>
    </xf>
    <xf numFmtId="0" fontId="28" fillId="43" borderId="16" xfId="9" applyFont="1" applyBorder="1">
      <alignment horizontal="left" vertical="center"/>
    </xf>
    <xf numFmtId="3" fontId="43" fillId="43" borderId="13" xfId="6" applyFont="1">
      <alignment horizontal="right" vertical="center"/>
    </xf>
    <xf numFmtId="3" fontId="43" fillId="43" borderId="21" xfId="6" applyFont="1" applyBorder="1">
      <alignment horizontal="right" vertical="center"/>
    </xf>
    <xf numFmtId="0" fontId="29" fillId="6" borderId="24" xfId="0" applyFont="1" applyBorder="1" applyAlignment="1">
      <alignment horizontal="left" indent="1"/>
    </xf>
    <xf numFmtId="3" fontId="0" fillId="43" borderId="13" xfId="6" applyFont="1">
      <alignment horizontal="right" vertical="center"/>
    </xf>
    <xf numFmtId="0" fontId="43" fillId="46" borderId="28" xfId="0" applyFont="1" applyFill="1" applyBorder="1">
      <alignment vertical="center"/>
    </xf>
    <xf numFmtId="0" fontId="26" fillId="6" borderId="55" xfId="0" applyFont="1" applyBorder="1" applyAlignment="1">
      <alignment horizontal="center" vertical="center"/>
    </xf>
    <xf numFmtId="0" fontId="28" fillId="6" borderId="41" xfId="0" applyFont="1" applyBorder="1">
      <alignment vertical="center"/>
    </xf>
    <xf numFmtId="0" fontId="43" fillId="6" borderId="30" xfId="0" applyFont="1" applyBorder="1" applyAlignment="1"/>
    <xf numFmtId="0" fontId="43" fillId="6" borderId="30" xfId="0" applyFont="1" applyBorder="1" applyAlignment="1">
      <alignment horizontal="left" indent="1"/>
    </xf>
    <xf numFmtId="0" fontId="43" fillId="6" borderId="30" xfId="0" applyFont="1" applyBorder="1" applyAlignment="1">
      <alignment horizontal="left" indent="2"/>
    </xf>
    <xf numFmtId="3" fontId="0" fillId="41" borderId="25" xfId="11" applyFont="1" applyBorder="1">
      <alignment horizontal="right" vertical="center"/>
      <protection locked="0"/>
    </xf>
    <xf numFmtId="170" fontId="26" fillId="42" borderId="18" xfId="13" applyFont="1" applyBorder="1">
      <alignment vertical="center"/>
      <protection locked="0"/>
    </xf>
    <xf numFmtId="0" fontId="43" fillId="46" borderId="13" xfId="0" applyFont="1" applyFill="1" applyBorder="1" applyAlignment="1">
      <alignment horizontal="center" vertical="center"/>
    </xf>
    <xf numFmtId="0" fontId="43" fillId="46" borderId="21" xfId="0" applyFont="1" applyFill="1" applyBorder="1" applyAlignment="1">
      <alignment horizontal="center" vertical="center"/>
    </xf>
    <xf numFmtId="0" fontId="43" fillId="46" borderId="14" xfId="0" applyFont="1" applyFill="1" applyBorder="1" applyAlignment="1">
      <alignment horizontal="center" vertical="center"/>
    </xf>
    <xf numFmtId="0" fontId="43" fillId="46" borderId="20" xfId="0" applyFont="1" applyFill="1" applyBorder="1" applyAlignment="1">
      <alignment horizontal="center" vertical="center"/>
    </xf>
    <xf numFmtId="0" fontId="0" fillId="13" borderId="52" xfId="3" applyFont="1" applyBorder="1">
      <alignment horizontal="center" vertical="center"/>
    </xf>
    <xf numFmtId="0" fontId="0" fillId="13" borderId="30" xfId="3" applyFont="1" applyBorder="1">
      <alignment horizontal="center" vertical="center"/>
    </xf>
    <xf numFmtId="0" fontId="28" fillId="6" borderId="59" xfId="5" applyBorder="1">
      <alignment horizontal="center" wrapText="1"/>
    </xf>
    <xf numFmtId="0" fontId="28" fillId="13" borderId="53" xfId="3" applyFont="1" applyBorder="1">
      <alignment horizontal="center" vertical="center"/>
    </xf>
    <xf numFmtId="0" fontId="29" fillId="6" borderId="18" xfId="83" applyFont="1" applyFill="1" applyBorder="1" applyAlignment="1">
      <alignment vertical="center" wrapText="1"/>
    </xf>
    <xf numFmtId="0" fontId="29" fillId="6" borderId="21" xfId="83" applyFont="1" applyFill="1" applyBorder="1" applyAlignment="1">
      <alignment horizontal="left" vertical="center" wrapText="1" indent="2"/>
    </xf>
    <xf numFmtId="0" fontId="0" fillId="6" borderId="21" xfId="0" applyBorder="1" applyAlignment="1">
      <alignment horizontal="left" vertical="center" indent="2"/>
    </xf>
    <xf numFmtId="0" fontId="0" fillId="6" borderId="16" xfId="0" applyBorder="1" applyAlignment="1">
      <alignment horizontal="left" vertical="center"/>
    </xf>
    <xf numFmtId="0" fontId="26" fillId="13" borderId="49" xfId="0" applyFont="1" applyFill="1" applyBorder="1">
      <alignment vertical="center"/>
    </xf>
    <xf numFmtId="0" fontId="28" fillId="6" borderId="21" xfId="0" applyFont="1" applyBorder="1" applyAlignment="1">
      <alignment horizontal="left" vertical="center"/>
    </xf>
    <xf numFmtId="0" fontId="29" fillId="6" borderId="21" xfId="83" applyFont="1" applyFill="1" applyBorder="1" applyAlignment="1">
      <alignment horizontal="left" vertical="center" wrapText="1" indent="1"/>
    </xf>
    <xf numFmtId="0" fontId="26" fillId="6" borderId="53" xfId="0" applyFont="1" applyBorder="1" applyAlignment="1">
      <alignment horizontal="center" vertical="center"/>
    </xf>
    <xf numFmtId="0" fontId="65" fillId="53" borderId="0" xfId="144" applyBorder="1">
      <alignment horizontal="center" vertical="center"/>
    </xf>
    <xf numFmtId="0" fontId="0" fillId="6" borderId="53" xfId="0" applyBorder="1">
      <alignment vertical="center"/>
    </xf>
    <xf numFmtId="3" fontId="26" fillId="14" borderId="52" xfId="20" applyFont="1" applyBorder="1">
      <alignment horizontal="right" vertical="center"/>
      <protection locked="0"/>
    </xf>
    <xf numFmtId="0" fontId="33" fillId="6" borderId="61" xfId="116" applyBorder="1" applyAlignment="1">
      <alignment vertical="center"/>
    </xf>
    <xf numFmtId="0" fontId="26" fillId="6" borderId="50" xfId="0" applyFont="1" applyBorder="1">
      <alignment vertical="center"/>
    </xf>
    <xf numFmtId="0" fontId="26" fillId="13" borderId="53" xfId="3" applyFont="1" applyBorder="1" applyAlignment="1">
      <alignment vertical="center" wrapText="1"/>
    </xf>
    <xf numFmtId="3" fontId="26" fillId="6" borderId="52" xfId="30" applyFont="1" applyBorder="1">
      <alignment horizontal="right" vertical="center"/>
    </xf>
    <xf numFmtId="0" fontId="26" fillId="14" borderId="13" xfId="26" applyFont="1">
      <alignment horizontal="center" vertical="center" wrapText="1"/>
      <protection locked="0"/>
    </xf>
    <xf numFmtId="3" fontId="0" fillId="14" borderId="53" xfId="20" applyFont="1" applyBorder="1">
      <alignment horizontal="right" vertical="center"/>
      <protection locked="0"/>
    </xf>
    <xf numFmtId="0" fontId="28" fillId="2" borderId="52" xfId="0" applyFont="1" applyFill="1" applyBorder="1">
      <alignment vertical="center"/>
    </xf>
    <xf numFmtId="0" fontId="26" fillId="2" borderId="19" xfId="0" applyFont="1" applyFill="1" applyBorder="1">
      <alignment vertical="center"/>
    </xf>
    <xf numFmtId="0" fontId="52" fillId="6" borderId="18" xfId="0" applyFont="1" applyBorder="1" applyAlignment="1">
      <alignment horizontal="left" indent="8"/>
    </xf>
    <xf numFmtId="10" fontId="43" fillId="6" borderId="53" xfId="33" applyFont="1" applyBorder="1">
      <alignment horizontal="right" vertical="center"/>
    </xf>
    <xf numFmtId="10" fontId="43" fillId="6" borderId="55" xfId="33" applyFont="1" applyBorder="1">
      <alignment horizontal="right" vertical="center"/>
    </xf>
    <xf numFmtId="10" fontId="43" fillId="6" borderId="51" xfId="33" applyFont="1" applyBorder="1">
      <alignment horizontal="right" vertical="center"/>
    </xf>
    <xf numFmtId="10" fontId="43" fillId="6" borderId="16" xfId="33" applyFont="1" applyBorder="1">
      <alignment horizontal="right" vertical="center"/>
    </xf>
    <xf numFmtId="10" fontId="43" fillId="6" borderId="13" xfId="33" applyFont="1" applyBorder="1">
      <alignment horizontal="right" vertical="center"/>
    </xf>
    <xf numFmtId="10" fontId="43" fillId="6" borderId="21" xfId="33" applyFont="1" applyBorder="1">
      <alignment horizontal="right" vertical="center"/>
    </xf>
    <xf numFmtId="3" fontId="43" fillId="6" borderId="53" xfId="30" applyFont="1" applyBorder="1">
      <alignment horizontal="right" vertical="center"/>
    </xf>
    <xf numFmtId="3" fontId="43" fillId="6" borderId="16" xfId="30" applyFont="1" applyBorder="1">
      <alignment horizontal="right" vertical="center"/>
    </xf>
    <xf numFmtId="0" fontId="43" fillId="13" borderId="17" xfId="3" applyFont="1" applyBorder="1">
      <alignment horizontal="center" vertical="center"/>
    </xf>
    <xf numFmtId="0" fontId="52" fillId="13" borderId="53" xfId="3" applyFont="1" applyBorder="1">
      <alignment horizontal="center" vertical="center"/>
    </xf>
    <xf numFmtId="0" fontId="52" fillId="13" borderId="16" xfId="3" applyFont="1" applyBorder="1">
      <alignment horizontal="center" vertical="center"/>
    </xf>
    <xf numFmtId="0" fontId="43" fillId="13" borderId="16" xfId="3" applyFont="1" applyBorder="1">
      <alignment horizontal="center" vertical="center"/>
    </xf>
    <xf numFmtId="3" fontId="43" fillId="6" borderId="51" xfId="30" applyFont="1" applyBorder="1">
      <alignment horizontal="right" vertical="center"/>
    </xf>
    <xf numFmtId="3" fontId="43" fillId="6" borderId="26" xfId="30" applyFont="1" applyBorder="1">
      <alignment horizontal="right" vertical="center"/>
    </xf>
    <xf numFmtId="3" fontId="43" fillId="6" borderId="25" xfId="30" applyFont="1" applyBorder="1">
      <alignment horizontal="right" vertical="center"/>
    </xf>
    <xf numFmtId="0" fontId="43" fillId="6" borderId="27" xfId="0" applyFont="1" applyBorder="1">
      <alignment vertical="center"/>
    </xf>
    <xf numFmtId="3" fontId="43" fillId="6" borderId="15" xfId="30" applyFont="1" applyBorder="1">
      <alignment horizontal="right" vertical="center"/>
    </xf>
    <xf numFmtId="3" fontId="43" fillId="6" borderId="27" xfId="30" applyFont="1" applyBorder="1">
      <alignment horizontal="right" vertical="center"/>
    </xf>
    <xf numFmtId="3" fontId="43" fillId="43" borderId="14" xfId="6" applyFont="1" applyBorder="1">
      <alignment horizontal="right" vertical="center"/>
    </xf>
    <xf numFmtId="3" fontId="0" fillId="43" borderId="14" xfId="6" applyFont="1" applyBorder="1">
      <alignment horizontal="right" vertical="center"/>
    </xf>
    <xf numFmtId="3" fontId="0" fillId="43" borderId="20" xfId="6" applyFont="1" applyBorder="1">
      <alignment horizontal="right" vertical="center"/>
    </xf>
    <xf numFmtId="0" fontId="43" fillId="6" borderId="24" xfId="0" applyFont="1" applyBorder="1" applyAlignment="1"/>
    <xf numFmtId="0" fontId="52" fillId="13" borderId="26" xfId="3" applyFont="1" applyBorder="1">
      <alignment horizontal="center" vertical="center"/>
    </xf>
    <xf numFmtId="3" fontId="43" fillId="43" borderId="20" xfId="6" applyFont="1" applyBorder="1">
      <alignment horizontal="right" vertical="center"/>
    </xf>
    <xf numFmtId="3" fontId="43" fillId="43" borderId="20" xfId="9" applyNumberFormat="1" applyFont="1" applyBorder="1">
      <alignment horizontal="left" vertical="center"/>
    </xf>
    <xf numFmtId="3" fontId="43" fillId="43" borderId="17" xfId="6" applyFont="1" applyBorder="1">
      <alignment horizontal="right" vertical="center"/>
    </xf>
    <xf numFmtId="0" fontId="28" fillId="43" borderId="19" xfId="9" applyFont="1" applyBorder="1">
      <alignment horizontal="left" vertical="center"/>
    </xf>
    <xf numFmtId="3" fontId="43" fillId="43" borderId="16" xfId="6" applyFont="1" applyBorder="1">
      <alignment horizontal="right" vertical="center"/>
    </xf>
    <xf numFmtId="10" fontId="43" fillId="43" borderId="16" xfId="7" applyFont="1" applyBorder="1">
      <alignment horizontal="right" vertical="center"/>
    </xf>
    <xf numFmtId="10" fontId="43" fillId="43" borderId="13" xfId="7" applyFont="1">
      <alignment horizontal="right" vertical="center"/>
    </xf>
    <xf numFmtId="10" fontId="43" fillId="43" borderId="21" xfId="7" applyFont="1" applyBorder="1">
      <alignment horizontal="right" vertical="center"/>
    </xf>
    <xf numFmtId="0" fontId="52" fillId="46" borderId="25" xfId="0" applyFont="1" applyFill="1" applyBorder="1">
      <alignment vertical="center"/>
    </xf>
    <xf numFmtId="0" fontId="52" fillId="46" borderId="27" xfId="0" applyFont="1" applyFill="1" applyBorder="1">
      <alignment vertical="center"/>
    </xf>
    <xf numFmtId="10" fontId="43" fillId="43" borderId="17" xfId="7" applyFont="1" applyBorder="1">
      <alignment horizontal="right" vertical="center"/>
    </xf>
    <xf numFmtId="10" fontId="43" fillId="43" borderId="20" xfId="7" applyFont="1" applyBorder="1">
      <alignment horizontal="right" vertical="center"/>
    </xf>
    <xf numFmtId="0" fontId="52" fillId="46" borderId="26" xfId="0" applyFont="1" applyFill="1" applyBorder="1">
      <alignment vertical="center"/>
    </xf>
    <xf numFmtId="10" fontId="43" fillId="43" borderId="14" xfId="7" applyFont="1" applyBorder="1">
      <alignment horizontal="right" vertical="center"/>
    </xf>
    <xf numFmtId="0" fontId="26" fillId="43" borderId="19" xfId="9" applyFont="1" applyBorder="1">
      <alignment horizontal="left" vertical="center"/>
    </xf>
    <xf numFmtId="3" fontId="32" fillId="41" borderId="27" xfId="11" applyFont="1" applyBorder="1">
      <alignment horizontal="right" vertical="center"/>
      <protection locked="0"/>
    </xf>
    <xf numFmtId="0" fontId="26" fillId="6" borderId="24" xfId="0" applyFont="1" applyBorder="1">
      <alignment vertical="center"/>
    </xf>
    <xf numFmtId="3" fontId="43" fillId="41" borderId="24" xfId="11" applyFont="1" applyBorder="1">
      <alignment horizontal="right" vertical="center"/>
      <protection locked="0"/>
    </xf>
    <xf numFmtId="0" fontId="41" fillId="43" borderId="14" xfId="9" applyFont="1" applyBorder="1">
      <alignment horizontal="left" vertical="center"/>
    </xf>
    <xf numFmtId="0" fontId="26" fillId="6" borderId="27" xfId="0" applyFont="1" applyBorder="1" applyAlignment="1">
      <alignment horizontal="left" vertical="center" wrapText="1" indent="1"/>
    </xf>
    <xf numFmtId="3" fontId="26" fillId="43" borderId="19" xfId="6" applyFont="1" applyBorder="1">
      <alignment horizontal="right" vertical="center"/>
    </xf>
    <xf numFmtId="0" fontId="26" fillId="43" borderId="21" xfId="9" applyFont="1" applyBorder="1">
      <alignment horizontal="left" vertical="center"/>
    </xf>
    <xf numFmtId="0" fontId="0" fillId="43" borderId="21" xfId="9" applyFont="1" applyBorder="1">
      <alignment horizontal="left" vertical="center"/>
    </xf>
    <xf numFmtId="0" fontId="28" fillId="2" borderId="54" xfId="0" applyFont="1" applyFill="1" applyBorder="1" applyAlignment="1">
      <alignment horizontal="center" wrapText="1"/>
    </xf>
    <xf numFmtId="0" fontId="26" fillId="2" borderId="27" xfId="0" applyFont="1" applyFill="1" applyBorder="1" applyAlignment="1">
      <alignment vertical="center" wrapText="1"/>
    </xf>
    <xf numFmtId="0" fontId="43" fillId="6" borderId="24" xfId="0" applyFont="1" applyBorder="1" applyAlignment="1">
      <alignment horizontal="left"/>
    </xf>
    <xf numFmtId="3" fontId="0" fillId="6" borderId="25" xfId="30" applyFont="1" applyBorder="1">
      <alignment horizontal="right" vertical="center"/>
    </xf>
    <xf numFmtId="0" fontId="65" fillId="53" borderId="29" xfId="144" applyBorder="1">
      <alignment horizontal="center" vertical="center"/>
    </xf>
    <xf numFmtId="0" fontId="65" fillId="13" borderId="25" xfId="3" applyFont="1" applyBorder="1">
      <alignment horizontal="center" vertical="center"/>
    </xf>
    <xf numFmtId="0" fontId="0" fillId="43" borderId="19" xfId="9" applyFont="1" applyBorder="1">
      <alignment horizontal="left" vertical="center"/>
    </xf>
    <xf numFmtId="3" fontId="0" fillId="6" borderId="52" xfId="30" applyFont="1" applyBorder="1">
      <alignment horizontal="right" vertical="center"/>
    </xf>
    <xf numFmtId="3" fontId="26" fillId="6" borderId="55" xfId="30" applyFont="1" applyBorder="1">
      <alignment horizontal="right" vertical="center"/>
    </xf>
    <xf numFmtId="0" fontId="27" fillId="6" borderId="61" xfId="0" applyFont="1" applyBorder="1" applyAlignment="1">
      <alignment horizontal="left" vertical="center"/>
    </xf>
    <xf numFmtId="0" fontId="43" fillId="46" borderId="26" xfId="0" applyFont="1" applyFill="1" applyBorder="1">
      <alignment vertical="center"/>
    </xf>
    <xf numFmtId="0" fontId="43" fillId="46" borderId="27" xfId="0" applyFont="1" applyFill="1" applyBorder="1">
      <alignment vertical="center"/>
    </xf>
    <xf numFmtId="0" fontId="43" fillId="46" borderId="30" xfId="0" applyFont="1" applyFill="1" applyBorder="1">
      <alignment vertical="center"/>
    </xf>
    <xf numFmtId="3" fontId="26" fillId="13" borderId="51" xfId="3" applyNumberFormat="1" applyFont="1" applyBorder="1">
      <alignment horizontal="center" vertical="center"/>
    </xf>
    <xf numFmtId="0" fontId="28" fillId="6" borderId="52" xfId="0" applyFont="1" applyBorder="1">
      <alignment vertical="center"/>
    </xf>
    <xf numFmtId="3" fontId="43" fillId="43" borderId="19" xfId="6" applyFont="1" applyBorder="1">
      <alignment horizontal="right" vertical="center"/>
    </xf>
    <xf numFmtId="0" fontId="49" fillId="50" borderId="54" xfId="0" applyFont="1" applyFill="1" applyBorder="1" applyAlignment="1">
      <alignment horizontal="center" vertical="center" wrapText="1"/>
    </xf>
    <xf numFmtId="3" fontId="26" fillId="43" borderId="50" xfId="6" applyFont="1" applyBorder="1">
      <alignment horizontal="right" vertical="center"/>
    </xf>
    <xf numFmtId="0" fontId="43" fillId="6" borderId="64" xfId="0" applyFont="1" applyBorder="1" applyAlignment="1">
      <alignment horizontal="left"/>
    </xf>
    <xf numFmtId="0" fontId="28" fillId="51" borderId="49" xfId="0" applyFont="1" applyFill="1" applyBorder="1" applyAlignment="1">
      <alignment horizontal="center" vertical="center" wrapText="1"/>
    </xf>
    <xf numFmtId="0" fontId="33" fillId="6" borderId="61" xfId="116" applyBorder="1" applyAlignment="1">
      <alignment horizontal="left" vertical="center"/>
    </xf>
    <xf numFmtId="0" fontId="0" fillId="6" borderId="47" xfId="0" applyBorder="1" applyAlignment="1"/>
    <xf numFmtId="0" fontId="0" fillId="6" borderId="50" xfId="0" applyBorder="1">
      <alignment vertical="center"/>
    </xf>
    <xf numFmtId="0" fontId="29" fillId="13" borderId="51" xfId="3" applyFont="1" applyBorder="1">
      <alignment horizontal="center" vertical="center"/>
    </xf>
    <xf numFmtId="0" fontId="0" fillId="6" borderId="52" xfId="0" applyBorder="1" applyAlignment="1">
      <alignment horizontal="center" vertical="center"/>
    </xf>
    <xf numFmtId="3" fontId="26" fillId="6" borderId="52" xfId="30" applyFont="1" applyBorder="1" applyAlignment="1">
      <alignment horizontal="center" vertical="center"/>
    </xf>
    <xf numFmtId="3" fontId="0" fillId="41" borderId="55" xfId="11" applyFont="1" applyBorder="1">
      <alignment horizontal="right" vertical="center"/>
      <protection locked="0"/>
    </xf>
    <xf numFmtId="0" fontId="28" fillId="6" borderId="50" xfId="0" applyFont="1" applyBorder="1">
      <alignment vertical="center"/>
    </xf>
    <xf numFmtId="0" fontId="29" fillId="13" borderId="55" xfId="3" applyFont="1" applyBorder="1">
      <alignment horizontal="center" vertical="center"/>
    </xf>
    <xf numFmtId="0" fontId="28" fillId="6" borderId="50" xfId="5" applyBorder="1">
      <alignment horizontal="center" wrapText="1"/>
    </xf>
    <xf numFmtId="3" fontId="26" fillId="6" borderId="53" xfId="30" applyFont="1" applyBorder="1" applyAlignment="1">
      <alignment horizontal="center" vertical="center"/>
    </xf>
    <xf numFmtId="0" fontId="0" fillId="6" borderId="62" xfId="0" applyBorder="1" applyAlignment="1"/>
    <xf numFmtId="0" fontId="0" fillId="41" borderId="18" xfId="18" applyFont="1" applyBorder="1">
      <alignment horizontal="center" vertical="center" wrapText="1"/>
      <protection locked="0"/>
    </xf>
    <xf numFmtId="0" fontId="29" fillId="13" borderId="27" xfId="3" applyFont="1" applyBorder="1">
      <alignment horizontal="center" vertical="center"/>
    </xf>
    <xf numFmtId="3" fontId="43" fillId="14" borderId="21" xfId="20" applyFont="1" applyBorder="1">
      <alignment horizontal="right" vertical="center"/>
      <protection locked="0"/>
    </xf>
    <xf numFmtId="3" fontId="43" fillId="14" borderId="13" xfId="20" applyFont="1">
      <alignment horizontal="right" vertical="center"/>
      <protection locked="0"/>
    </xf>
    <xf numFmtId="0" fontId="65" fillId="53" borderId="49" xfId="144" applyBorder="1">
      <alignment horizontal="center" vertical="center"/>
    </xf>
    <xf numFmtId="0" fontId="0" fillId="6" borderId="13" xfId="0" applyBorder="1">
      <alignment vertical="center"/>
    </xf>
    <xf numFmtId="0" fontId="0" fillId="6" borderId="58" xfId="0" applyBorder="1">
      <alignment vertical="center"/>
    </xf>
    <xf numFmtId="0" fontId="0" fillId="6" borderId="2" xfId="0" applyBorder="1">
      <alignment vertical="center"/>
    </xf>
    <xf numFmtId="0" fontId="26" fillId="13" borderId="44" xfId="3" applyFont="1" applyBorder="1">
      <alignment horizontal="center" vertical="center"/>
    </xf>
    <xf numFmtId="0" fontId="29" fillId="6" borderId="20" xfId="83" applyFont="1" applyFill="1" applyBorder="1" applyAlignment="1">
      <alignment horizontal="left" vertical="center" wrapText="1" indent="2"/>
    </xf>
    <xf numFmtId="0" fontId="26" fillId="6" borderId="21" xfId="0" applyFont="1" applyBorder="1" applyAlignment="1">
      <alignment horizontal="left" vertical="center" indent="2"/>
    </xf>
    <xf numFmtId="0" fontId="29" fillId="6" borderId="20" xfId="83" applyFont="1" applyFill="1" applyBorder="1" applyAlignment="1">
      <alignment horizontal="left" vertical="center" indent="1"/>
    </xf>
    <xf numFmtId="0" fontId="26" fillId="2" borderId="20" xfId="0" applyFont="1" applyFill="1" applyBorder="1" applyAlignment="1">
      <alignment horizontal="left" vertical="center" indent="1"/>
    </xf>
    <xf numFmtId="0" fontId="0" fillId="15" borderId="20" xfId="56" applyNumberFormat="1" applyFont="1" applyBorder="1" applyAlignment="1">
      <alignment horizontal="center" vertical="center"/>
    </xf>
    <xf numFmtId="0" fontId="43" fillId="6" borderId="21" xfId="0" applyFont="1" applyBorder="1">
      <alignment vertical="center"/>
    </xf>
    <xf numFmtId="3" fontId="0" fillId="6" borderId="18" xfId="30" applyFont="1" applyBorder="1">
      <alignment horizontal="right" vertical="center"/>
    </xf>
    <xf numFmtId="0" fontId="33" fillId="6" borderId="61" xfId="0" applyFont="1" applyBorder="1" applyAlignment="1">
      <alignment horizontal="left" vertical="center"/>
    </xf>
    <xf numFmtId="3" fontId="52" fillId="41" borderId="13" xfId="11" applyFont="1">
      <alignment horizontal="right" vertical="center"/>
      <protection locked="0"/>
    </xf>
    <xf numFmtId="9" fontId="43" fillId="43" borderId="13" xfId="8" applyFont="1">
      <alignment horizontal="right" vertical="center"/>
    </xf>
    <xf numFmtId="49" fontId="0" fillId="41" borderId="18" xfId="19" applyFont="1" applyBorder="1" applyAlignment="1">
      <alignment horizontal="center" vertical="center"/>
      <protection locked="0"/>
    </xf>
    <xf numFmtId="0" fontId="0" fillId="6" borderId="41" xfId="0" applyBorder="1" applyAlignment="1">
      <alignment horizontal="left" vertical="center"/>
    </xf>
    <xf numFmtId="0" fontId="0" fillId="13" borderId="32" xfId="3" applyFont="1" applyBorder="1">
      <alignment horizontal="center" vertical="center"/>
    </xf>
    <xf numFmtId="3" fontId="26" fillId="13" borderId="19" xfId="3" applyNumberFormat="1" applyFont="1" applyBorder="1">
      <alignment horizontal="center" vertical="center"/>
    </xf>
    <xf numFmtId="3" fontId="0" fillId="13" borderId="16" xfId="3" applyNumberFormat="1" applyFont="1" applyBorder="1">
      <alignment horizontal="center" vertical="center"/>
    </xf>
    <xf numFmtId="0" fontId="0" fillId="6" borderId="16" xfId="0" applyBorder="1">
      <alignment vertical="center"/>
    </xf>
    <xf numFmtId="3" fontId="43" fillId="6" borderId="17" xfId="30" applyFont="1" applyBorder="1">
      <alignment horizontal="right" vertical="center"/>
    </xf>
    <xf numFmtId="3" fontId="26" fillId="6" borderId="51" xfId="30" applyFont="1" applyBorder="1">
      <alignment horizontal="right" vertical="center"/>
    </xf>
    <xf numFmtId="3" fontId="26" fillId="14" borderId="55" xfId="20" applyFont="1" applyBorder="1">
      <alignment horizontal="right" vertical="center"/>
      <protection locked="0"/>
    </xf>
    <xf numFmtId="0" fontId="0" fillId="6" borderId="21" xfId="0" applyBorder="1" applyAlignment="1">
      <alignment horizontal="left" vertical="center" wrapText="1"/>
    </xf>
    <xf numFmtId="0" fontId="0" fillId="6" borderId="67" xfId="0" applyBorder="1">
      <alignment vertical="center"/>
    </xf>
    <xf numFmtId="3" fontId="43" fillId="6" borderId="28" xfId="30" applyFont="1" applyBorder="1">
      <alignment horizontal="right" vertical="center"/>
    </xf>
    <xf numFmtId="3" fontId="43" fillId="6" borderId="60" xfId="30" applyFont="1" applyBorder="1">
      <alignment horizontal="right" vertical="center"/>
    </xf>
    <xf numFmtId="3" fontId="0" fillId="43" borderId="25" xfId="6" applyFont="1" applyBorder="1">
      <alignment horizontal="right" vertical="center"/>
    </xf>
    <xf numFmtId="0" fontId="43" fillId="46" borderId="28" xfId="0" applyFont="1" applyFill="1" applyBorder="1" applyAlignment="1">
      <alignment horizontal="center" vertical="center"/>
    </xf>
    <xf numFmtId="3" fontId="43" fillId="6" borderId="14" xfId="30" applyFont="1" applyBorder="1">
      <alignment horizontal="right" vertical="center"/>
    </xf>
    <xf numFmtId="0" fontId="43" fillId="46" borderId="18" xfId="0" applyFont="1" applyFill="1" applyBorder="1">
      <alignment vertical="center"/>
    </xf>
    <xf numFmtId="0" fontId="65" fillId="53" borderId="48" xfId="144" applyBorder="1">
      <alignment horizontal="center" vertical="center"/>
    </xf>
    <xf numFmtId="0" fontId="43" fillId="46" borderId="19" xfId="0" applyFont="1" applyFill="1" applyBorder="1">
      <alignment vertical="center"/>
    </xf>
    <xf numFmtId="3" fontId="26" fillId="6" borderId="53" xfId="30" applyFont="1" applyBorder="1">
      <alignment horizontal="right" vertical="center"/>
    </xf>
    <xf numFmtId="0" fontId="33" fillId="6" borderId="61" xfId="116" applyBorder="1"/>
    <xf numFmtId="0" fontId="26" fillId="6" borderId="62" xfId="0" applyFont="1" applyBorder="1">
      <alignment vertical="center"/>
    </xf>
    <xf numFmtId="0" fontId="26" fillId="6" borderId="67" xfId="0" applyFont="1" applyBorder="1">
      <alignment vertical="center"/>
    </xf>
    <xf numFmtId="0" fontId="26" fillId="13" borderId="35" xfId="3" applyFont="1" applyBorder="1">
      <alignment horizontal="center" vertical="center"/>
    </xf>
    <xf numFmtId="2" fontId="26" fillId="6" borderId="69" xfId="32" applyNumberFormat="1" applyFont="1" applyBorder="1">
      <alignment horizontal="right" vertical="center"/>
    </xf>
    <xf numFmtId="2" fontId="26" fillId="2" borderId="37" xfId="0" applyNumberFormat="1" applyFont="1" applyFill="1" applyBorder="1">
      <alignment vertical="center"/>
    </xf>
    <xf numFmtId="0" fontId="26" fillId="13" borderId="36" xfId="3" applyFont="1" applyBorder="1">
      <alignment horizontal="center" vertical="center"/>
    </xf>
    <xf numFmtId="0" fontId="24" fillId="6" borderId="61" xfId="4" applyFill="1" applyBorder="1" applyAlignment="1"/>
    <xf numFmtId="0" fontId="26" fillId="6" borderId="58" xfId="0" applyFont="1" applyBorder="1">
      <alignment vertical="center"/>
    </xf>
    <xf numFmtId="0" fontId="33" fillId="6" borderId="41" xfId="116" applyBorder="1" applyAlignment="1">
      <alignment horizontal="left"/>
    </xf>
    <xf numFmtId="0" fontId="43" fillId="6" borderId="0" xfId="0" applyFont="1" applyAlignment="1">
      <alignment horizontal="left" indent="2"/>
    </xf>
    <xf numFmtId="3" fontId="0" fillId="41" borderId="27" xfId="11" applyFont="1" applyBorder="1">
      <alignment horizontal="right" vertical="center"/>
      <protection locked="0"/>
    </xf>
    <xf numFmtId="0" fontId="28" fillId="6" borderId="72" xfId="0" applyFont="1" applyBorder="1">
      <alignment vertical="center"/>
    </xf>
    <xf numFmtId="0" fontId="29" fillId="6" borderId="71" xfId="0" applyFont="1" applyBorder="1">
      <alignment vertical="center"/>
    </xf>
    <xf numFmtId="0" fontId="0" fillId="6" borderId="71" xfId="0" applyBorder="1">
      <alignment vertical="center"/>
    </xf>
    <xf numFmtId="0" fontId="41" fillId="6" borderId="72" xfId="0" applyFont="1" applyBorder="1" applyAlignment="1"/>
    <xf numFmtId="0" fontId="33" fillId="6" borderId="71" xfId="0" applyFont="1" applyBorder="1" applyAlignment="1">
      <alignment horizontal="left" vertical="center"/>
    </xf>
    <xf numFmtId="0" fontId="43" fillId="6" borderId="72" xfId="0" applyFont="1" applyBorder="1" applyAlignment="1">
      <alignment horizontal="left" vertical="center"/>
    </xf>
    <xf numFmtId="3" fontId="43" fillId="41" borderId="72" xfId="11" applyFont="1" applyBorder="1">
      <alignment horizontal="right" vertical="center"/>
      <protection locked="0"/>
    </xf>
    <xf numFmtId="0" fontId="49" fillId="48" borderId="75" xfId="0" applyFont="1" applyFill="1" applyBorder="1" applyAlignment="1">
      <alignment horizontal="center" vertical="center" wrapText="1"/>
    </xf>
    <xf numFmtId="0" fontId="43" fillId="43" borderId="72" xfId="9" applyFont="1" applyBorder="1">
      <alignment horizontal="left" vertical="center"/>
    </xf>
    <xf numFmtId="3" fontId="26" fillId="43" borderId="75" xfId="6" applyFont="1" applyBorder="1">
      <alignment horizontal="right" vertical="center"/>
    </xf>
    <xf numFmtId="0" fontId="26" fillId="13" borderId="21" xfId="0" applyFont="1" applyFill="1" applyBorder="1">
      <alignment vertical="center"/>
    </xf>
    <xf numFmtId="0" fontId="28" fillId="6" borderId="75" xfId="0" applyFont="1" applyBorder="1" applyAlignment="1">
      <alignment horizontal="center" wrapText="1"/>
    </xf>
    <xf numFmtId="0" fontId="0" fillId="41" borderId="19" xfId="18" applyFont="1" applyBorder="1">
      <alignment horizontal="center" vertical="center" wrapText="1"/>
      <protection locked="0"/>
    </xf>
    <xf numFmtId="0" fontId="0" fillId="6" borderId="72" xfId="0" applyBorder="1">
      <alignment vertical="center"/>
    </xf>
    <xf numFmtId="0" fontId="0" fillId="6" borderId="16" xfId="0" applyBorder="1" applyAlignment="1">
      <alignment horizontal="left" indent="1"/>
    </xf>
    <xf numFmtId="0" fontId="29" fillId="6" borderId="17" xfId="0" applyFont="1" applyBorder="1" applyAlignment="1">
      <alignment horizontal="left" indent="1"/>
    </xf>
    <xf numFmtId="0" fontId="0" fillId="6" borderId="55" xfId="0" applyBorder="1" applyAlignment="1">
      <alignment horizontal="left" vertical="center" wrapText="1"/>
    </xf>
    <xf numFmtId="0" fontId="0" fillId="6" borderId="14" xfId="0" applyBorder="1" applyAlignment="1">
      <alignment horizontal="left" vertical="center" wrapText="1"/>
    </xf>
    <xf numFmtId="0" fontId="0" fillId="6" borderId="71" xfId="0" applyBorder="1" applyAlignment="1">
      <alignment horizontal="left" vertical="center"/>
    </xf>
    <xf numFmtId="0" fontId="0" fillId="6" borderId="72" xfId="0" applyBorder="1" applyAlignment="1">
      <alignment horizontal="left" vertical="center"/>
    </xf>
    <xf numFmtId="0" fontId="26" fillId="41" borderId="75" xfId="18" applyFont="1" applyBorder="1">
      <alignment horizontal="center" vertical="center" wrapText="1"/>
      <protection locked="0"/>
    </xf>
    <xf numFmtId="0" fontId="28" fillId="6" borderId="50" xfId="0" applyFont="1" applyBorder="1" applyAlignment="1">
      <alignment horizontal="center" vertical="center" wrapText="1"/>
    </xf>
    <xf numFmtId="0" fontId="28" fillId="6" borderId="0" xfId="0" applyFont="1" applyAlignment="1">
      <alignment horizontal="center" vertical="center" wrapText="1"/>
    </xf>
    <xf numFmtId="0" fontId="0" fillId="6" borderId="18" xfId="0" applyBorder="1" applyAlignment="1">
      <alignment horizontal="left" vertical="center" wrapText="1"/>
    </xf>
    <xf numFmtId="0" fontId="28" fillId="6" borderId="48" xfId="0" applyFont="1" applyBorder="1" applyAlignment="1">
      <alignment horizontal="center" vertical="center" wrapText="1"/>
    </xf>
    <xf numFmtId="0" fontId="28" fillId="6" borderId="42" xfId="0" applyFont="1" applyBorder="1" applyAlignment="1">
      <alignment horizontal="center" vertical="center" wrapText="1"/>
    </xf>
    <xf numFmtId="0" fontId="28" fillId="6" borderId="75" xfId="0" applyFont="1" applyBorder="1" applyAlignment="1">
      <alignment horizontal="center" vertical="center" wrapText="1"/>
    </xf>
    <xf numFmtId="0" fontId="24" fillId="6" borderId="74" xfId="0" applyFont="1" applyBorder="1" applyAlignment="1"/>
    <xf numFmtId="0" fontId="24" fillId="6" borderId="72" xfId="0" applyFont="1" applyBorder="1" applyAlignment="1"/>
    <xf numFmtId="0" fontId="30" fillId="0" borderId="73" xfId="0" applyFont="1" applyFill="1" applyBorder="1" applyAlignment="1">
      <alignment horizontal="center" vertical="center"/>
    </xf>
    <xf numFmtId="0" fontId="30" fillId="0" borderId="75" xfId="0" applyFont="1" applyFill="1" applyBorder="1" applyAlignment="1">
      <alignment horizontal="center" vertical="center"/>
    </xf>
    <xf numFmtId="0" fontId="28" fillId="6" borderId="73" xfId="0" applyFont="1" applyBorder="1" applyAlignment="1">
      <alignment horizontal="center" vertical="center" wrapText="1"/>
    </xf>
    <xf numFmtId="0" fontId="29" fillId="0" borderId="73" xfId="83" applyFont="1" applyBorder="1" applyAlignment="1">
      <alignment horizontal="center" vertical="center" wrapText="1"/>
    </xf>
    <xf numFmtId="0" fontId="29" fillId="0" borderId="75" xfId="83" applyFont="1" applyBorder="1" applyAlignment="1">
      <alignment horizontal="center" vertical="center" wrapText="1"/>
    </xf>
    <xf numFmtId="0" fontId="29" fillId="6" borderId="72" xfId="0" applyFont="1" applyBorder="1" applyAlignment="1">
      <alignment horizontal="left" indent="1"/>
    </xf>
    <xf numFmtId="0" fontId="28" fillId="6" borderId="50" xfId="0" applyFont="1" applyBorder="1" applyAlignment="1">
      <alignment vertical="center" wrapText="1"/>
    </xf>
    <xf numFmtId="0" fontId="55" fillId="54" borderId="71" xfId="0" applyFont="1" applyFill="1" applyBorder="1">
      <alignment vertical="center"/>
    </xf>
    <xf numFmtId="0" fontId="0" fillId="54" borderId="71" xfId="0" applyFill="1" applyBorder="1">
      <alignment vertical="center"/>
    </xf>
    <xf numFmtId="0" fontId="0" fillId="54" borderId="53" xfId="0" applyFill="1" applyBorder="1" applyAlignment="1">
      <alignment horizontal="left" vertical="center"/>
    </xf>
    <xf numFmtId="0" fontId="0" fillId="54" borderId="55" xfId="55" applyFont="1" applyFill="1" applyBorder="1">
      <alignment horizontal="center" vertical="center" wrapText="1"/>
    </xf>
    <xf numFmtId="0" fontId="28" fillId="54" borderId="51" xfId="0" applyFont="1" applyFill="1" applyBorder="1">
      <alignment vertical="center"/>
    </xf>
    <xf numFmtId="0" fontId="0" fillId="54" borderId="13" xfId="55" applyFont="1" applyFill="1" applyBorder="1">
      <alignment horizontal="center" vertical="center" wrapText="1"/>
    </xf>
    <xf numFmtId="0" fontId="28" fillId="54" borderId="21" xfId="0" applyFont="1" applyFill="1" applyBorder="1">
      <alignment vertical="center"/>
    </xf>
    <xf numFmtId="0" fontId="0" fillId="54" borderId="14" xfId="55" applyFont="1" applyFill="1" applyBorder="1">
      <alignment horizontal="center" vertical="center" wrapText="1"/>
    </xf>
    <xf numFmtId="0" fontId="28" fillId="54" borderId="20" xfId="0" applyFont="1" applyFill="1" applyBorder="1">
      <alignment vertical="center"/>
    </xf>
    <xf numFmtId="0" fontId="28" fillId="54" borderId="52" xfId="0" applyFont="1" applyFill="1" applyBorder="1">
      <alignment vertical="center"/>
    </xf>
    <xf numFmtId="0" fontId="28" fillId="54" borderId="18" xfId="0" applyFont="1" applyFill="1" applyBorder="1">
      <alignment vertical="center"/>
    </xf>
    <xf numFmtId="0" fontId="28" fillId="54" borderId="19" xfId="0" applyFont="1" applyFill="1" applyBorder="1">
      <alignment vertical="center"/>
    </xf>
    <xf numFmtId="0" fontId="26" fillId="41" borderId="24" xfId="18" applyFont="1" applyBorder="1">
      <alignment horizontal="center" vertical="center" wrapText="1"/>
      <protection locked="0"/>
    </xf>
    <xf numFmtId="3" fontId="56" fillId="54" borderId="13" xfId="1" applyFont="1" applyFill="1" applyBorder="1" applyAlignment="1">
      <alignment horizontal="center" vertical="center"/>
    </xf>
    <xf numFmtId="3" fontId="56" fillId="54" borderId="21" xfId="1" applyFont="1" applyFill="1" applyBorder="1" applyAlignment="1">
      <alignment horizontal="center" vertical="center"/>
    </xf>
    <xf numFmtId="3" fontId="56" fillId="54" borderId="15" xfId="1" applyFont="1" applyFill="1" applyBorder="1" applyAlignment="1">
      <alignment horizontal="center" vertical="center"/>
    </xf>
    <xf numFmtId="3" fontId="56" fillId="54" borderId="22" xfId="1" applyFont="1" applyFill="1" applyBorder="1" applyAlignment="1">
      <alignment horizontal="center" vertical="center"/>
    </xf>
    <xf numFmtId="0" fontId="28" fillId="13" borderId="55" xfId="3" applyFont="1" applyBorder="1">
      <alignment horizontal="center" vertical="center"/>
    </xf>
    <xf numFmtId="0" fontId="28" fillId="13" borderId="13" xfId="3" applyFont="1" applyBorder="1">
      <alignment horizontal="center" vertical="center"/>
    </xf>
    <xf numFmtId="0" fontId="28" fillId="13" borderId="15" xfId="3" applyFont="1" applyBorder="1">
      <alignment horizontal="center" vertical="center"/>
    </xf>
    <xf numFmtId="0" fontId="0" fillId="55" borderId="0" xfId="0" applyFill="1">
      <alignment vertical="center"/>
    </xf>
    <xf numFmtId="0" fontId="41" fillId="55" borderId="0" xfId="0" applyFont="1" applyFill="1">
      <alignment vertical="center"/>
    </xf>
    <xf numFmtId="0" fontId="0" fillId="55" borderId="0" xfId="0" applyFill="1" applyAlignment="1">
      <alignment horizontal="left" vertical="center"/>
    </xf>
    <xf numFmtId="0" fontId="0" fillId="55" borderId="71" xfId="0" applyFill="1" applyBorder="1">
      <alignment vertical="center"/>
    </xf>
    <xf numFmtId="9" fontId="0" fillId="6" borderId="44" xfId="0" applyNumberFormat="1" applyBorder="1">
      <alignment vertical="center"/>
    </xf>
    <xf numFmtId="0" fontId="0" fillId="43" borderId="18" xfId="9" applyFont="1" applyBorder="1">
      <alignment horizontal="left" vertical="center"/>
    </xf>
    <xf numFmtId="9" fontId="0" fillId="2" borderId="0" xfId="0" applyNumberFormat="1" applyFill="1">
      <alignment vertical="center"/>
    </xf>
    <xf numFmtId="0" fontId="0" fillId="2" borderId="53" xfId="0" applyFill="1" applyBorder="1">
      <alignment vertical="center"/>
    </xf>
    <xf numFmtId="0" fontId="0" fillId="2" borderId="55" xfId="0" applyFill="1" applyBorder="1">
      <alignment vertical="center"/>
    </xf>
    <xf numFmtId="0" fontId="0" fillId="2" borderId="51" xfId="0" applyFill="1" applyBorder="1">
      <alignment vertical="center"/>
    </xf>
    <xf numFmtId="3" fontId="0" fillId="13" borderId="30" xfId="3" applyNumberFormat="1" applyFont="1" applyBorder="1">
      <alignment horizontal="center" vertical="center"/>
    </xf>
    <xf numFmtId="3" fontId="0" fillId="13" borderId="15" xfId="3" applyNumberFormat="1" applyFont="1" applyBorder="1">
      <alignment horizontal="center" vertical="center"/>
    </xf>
    <xf numFmtId="3" fontId="0" fillId="13" borderId="22" xfId="3" applyNumberFormat="1" applyFont="1" applyBorder="1">
      <alignment horizontal="center" vertical="center"/>
    </xf>
    <xf numFmtId="3" fontId="0" fillId="13" borderId="13" xfId="3" applyNumberFormat="1" applyFont="1" applyBorder="1">
      <alignment horizontal="center" vertical="center"/>
    </xf>
    <xf numFmtId="3" fontId="0" fillId="13" borderId="18" xfId="3" applyNumberFormat="1" applyFont="1" applyBorder="1">
      <alignment horizontal="center" vertical="center"/>
    </xf>
    <xf numFmtId="3" fontId="0" fillId="13" borderId="21" xfId="3" applyNumberFormat="1" applyFont="1" applyBorder="1">
      <alignment horizontal="center" vertical="center"/>
    </xf>
    <xf numFmtId="3" fontId="0" fillId="13" borderId="13" xfId="3" applyNumberFormat="1" applyFont="1" applyBorder="1" applyProtection="1">
      <alignment horizontal="center" vertical="center"/>
      <protection locked="0"/>
    </xf>
    <xf numFmtId="3" fontId="0" fillId="13" borderId="21" xfId="3" applyNumberFormat="1" applyFont="1" applyBorder="1" applyProtection="1">
      <alignment horizontal="center" vertical="center"/>
      <protection locked="0"/>
    </xf>
    <xf numFmtId="3" fontId="0" fillId="13" borderId="24" xfId="3" applyNumberFormat="1" applyFont="1" applyBorder="1">
      <alignment horizontal="center" vertical="center"/>
    </xf>
    <xf numFmtId="3" fontId="0" fillId="13" borderId="25" xfId="3" applyNumberFormat="1" applyFont="1" applyBorder="1">
      <alignment horizontal="center" vertical="center"/>
    </xf>
    <xf numFmtId="3" fontId="0" fillId="13" borderId="27" xfId="3" applyNumberFormat="1" applyFont="1" applyBorder="1">
      <alignment horizontal="center" vertical="center"/>
    </xf>
    <xf numFmtId="3" fontId="0" fillId="13" borderId="14" xfId="3" applyNumberFormat="1" applyFont="1" applyBorder="1">
      <alignment horizontal="center" vertical="center"/>
    </xf>
    <xf numFmtId="3" fontId="0" fillId="6" borderId="27" xfId="30" applyFont="1" applyBorder="1">
      <alignment horizontal="right" vertical="center"/>
    </xf>
    <xf numFmtId="3" fontId="0" fillId="43" borderId="53" xfId="6" applyFont="1" applyBorder="1">
      <alignment horizontal="right" vertical="center"/>
    </xf>
    <xf numFmtId="3" fontId="0" fillId="43" borderId="54" xfId="6" applyFont="1" applyBorder="1">
      <alignment horizontal="right" vertical="center"/>
    </xf>
    <xf numFmtId="3" fontId="0" fillId="43" borderId="51" xfId="6" applyFont="1" applyBorder="1">
      <alignment horizontal="right" vertical="center"/>
    </xf>
    <xf numFmtId="3" fontId="0" fillId="6" borderId="0" xfId="6" applyFont="1" applyFill="1" applyBorder="1">
      <alignment horizontal="right" vertical="center"/>
    </xf>
    <xf numFmtId="3" fontId="0" fillId="43" borderId="52" xfId="6" applyFont="1" applyBorder="1">
      <alignment horizontal="right" vertical="center"/>
    </xf>
    <xf numFmtId="3" fontId="0" fillId="13" borderId="0" xfId="3" applyNumberFormat="1" applyFont="1" applyBorder="1">
      <alignment horizontal="center" vertical="center"/>
    </xf>
    <xf numFmtId="3" fontId="0" fillId="41" borderId="48" xfId="11" applyFont="1" applyBorder="1">
      <alignment horizontal="right" vertical="center"/>
      <protection locked="0"/>
    </xf>
    <xf numFmtId="3" fontId="0" fillId="13" borderId="20" xfId="3" applyNumberFormat="1" applyFont="1" applyBorder="1">
      <alignment horizontal="center" vertical="center"/>
    </xf>
    <xf numFmtId="3" fontId="0" fillId="43" borderId="19" xfId="6" applyFont="1" applyBorder="1">
      <alignment horizontal="right" vertical="center"/>
    </xf>
    <xf numFmtId="10" fontId="0" fillId="43" borderId="30" xfId="7" applyFont="1" applyBorder="1">
      <alignment horizontal="right" vertical="center"/>
    </xf>
    <xf numFmtId="10" fontId="0" fillId="43" borderId="55" xfId="7" applyFont="1" applyBorder="1">
      <alignment horizontal="right" vertical="center"/>
    </xf>
    <xf numFmtId="10" fontId="0" fillId="6" borderId="0" xfId="7" applyFont="1" applyFill="1" applyBorder="1">
      <alignment horizontal="right" vertical="center"/>
    </xf>
    <xf numFmtId="10" fontId="0" fillId="43" borderId="22" xfId="7" applyFont="1" applyBorder="1">
      <alignment horizontal="right" vertical="center"/>
    </xf>
    <xf numFmtId="10" fontId="0" fillId="43" borderId="18" xfId="7" applyFont="1" applyBorder="1">
      <alignment horizontal="right" vertical="center"/>
    </xf>
    <xf numFmtId="10" fontId="0" fillId="43" borderId="13" xfId="7" applyFont="1">
      <alignment horizontal="right" vertical="center"/>
    </xf>
    <xf numFmtId="10" fontId="0" fillId="43" borderId="21" xfId="7" applyFont="1" applyBorder="1">
      <alignment horizontal="right" vertical="center"/>
    </xf>
    <xf numFmtId="10" fontId="0" fillId="43" borderId="19" xfId="7" applyFont="1" applyBorder="1">
      <alignment horizontal="right" vertical="center"/>
    </xf>
    <xf numFmtId="10" fontId="0" fillId="43" borderId="14" xfId="7" applyFont="1" applyBorder="1">
      <alignment horizontal="right" vertical="center"/>
    </xf>
    <xf numFmtId="10" fontId="0" fillId="43" borderId="20" xfId="7" applyFont="1" applyBorder="1">
      <alignment horizontal="right" vertical="center"/>
    </xf>
    <xf numFmtId="10" fontId="0" fillId="13" borderId="52" xfId="3" applyNumberFormat="1" applyFont="1" applyBorder="1">
      <alignment horizontal="center" vertical="center"/>
    </xf>
    <xf numFmtId="3" fontId="0" fillId="13" borderId="54" xfId="3" applyNumberFormat="1" applyFont="1" applyBorder="1">
      <alignment horizontal="center" vertical="center"/>
    </xf>
    <xf numFmtId="10" fontId="0" fillId="13" borderId="18" xfId="3" applyNumberFormat="1" applyFont="1" applyBorder="1">
      <alignment horizontal="center" vertical="center"/>
    </xf>
    <xf numFmtId="3" fontId="0" fillId="13" borderId="29" xfId="3" applyNumberFormat="1" applyFont="1" applyBorder="1">
      <alignment horizontal="center" vertical="center"/>
    </xf>
    <xf numFmtId="10" fontId="0" fillId="13" borderId="19" xfId="3" applyNumberFormat="1" applyFont="1" applyBorder="1">
      <alignment horizontal="center" vertical="center"/>
    </xf>
    <xf numFmtId="3" fontId="0" fillId="13" borderId="49" xfId="3" applyNumberFormat="1" applyFont="1" applyBorder="1">
      <alignment horizontal="center" vertical="center"/>
    </xf>
    <xf numFmtId="0" fontId="55" fillId="55" borderId="71" xfId="0" applyFont="1" applyFill="1" applyBorder="1">
      <alignment vertical="center"/>
    </xf>
    <xf numFmtId="0" fontId="26" fillId="54" borderId="71" xfId="0" applyFont="1" applyFill="1" applyBorder="1">
      <alignment vertical="center"/>
    </xf>
    <xf numFmtId="0" fontId="27" fillId="6" borderId="71" xfId="0" applyFont="1" applyBorder="1">
      <alignment vertical="center"/>
    </xf>
    <xf numFmtId="0" fontId="26" fillId="6" borderId="71" xfId="0" applyFont="1" applyBorder="1">
      <alignment vertical="center"/>
    </xf>
    <xf numFmtId="3" fontId="0" fillId="43" borderId="21" xfId="6" applyFont="1" applyBorder="1">
      <alignment horizontal="right" vertical="center"/>
    </xf>
    <xf numFmtId="0" fontId="28" fillId="6" borderId="72" xfId="5" applyBorder="1" applyAlignment="1">
      <alignment horizontal="center" vertical="center" wrapText="1"/>
    </xf>
    <xf numFmtId="0" fontId="0" fillId="6" borderId="71" xfId="0" applyBorder="1" applyAlignment="1">
      <alignment horizontal="center" vertical="center"/>
    </xf>
    <xf numFmtId="0" fontId="59" fillId="6" borderId="71" xfId="0" applyFont="1" applyBorder="1" applyAlignment="1">
      <alignment vertical="top" wrapText="1"/>
    </xf>
    <xf numFmtId="0" fontId="29" fillId="0" borderId="72" xfId="0" applyFont="1" applyFill="1" applyBorder="1" applyAlignment="1">
      <alignment horizontal="left"/>
    </xf>
    <xf numFmtId="0" fontId="65" fillId="53" borderId="73" xfId="144" applyBorder="1">
      <alignment horizontal="center" vertical="center"/>
    </xf>
    <xf numFmtId="0" fontId="65" fillId="53" borderId="75" xfId="144" applyBorder="1">
      <alignment horizontal="center" vertical="center"/>
    </xf>
    <xf numFmtId="0" fontId="0" fillId="54" borderId="42" xfId="0" applyFill="1" applyBorder="1" applyAlignment="1">
      <alignment horizontal="left" vertical="center"/>
    </xf>
    <xf numFmtId="0" fontId="28" fillId="54" borderId="48" xfId="55" applyFont="1" applyFill="1" applyBorder="1">
      <alignment horizontal="center" vertical="center" wrapText="1"/>
    </xf>
    <xf numFmtId="0" fontId="28" fillId="54" borderId="49" xfId="0" applyFont="1" applyFill="1" applyBorder="1">
      <alignment vertical="center"/>
    </xf>
    <xf numFmtId="1" fontId="28" fillId="41" borderId="75" xfId="11" applyNumberFormat="1" applyFont="1" applyBorder="1" applyAlignment="1">
      <alignment horizontal="center" vertical="center"/>
      <protection locked="0"/>
    </xf>
    <xf numFmtId="0" fontId="26" fillId="6" borderId="71" xfId="0" applyFont="1" applyBorder="1" applyAlignment="1">
      <alignment horizontal="left" vertical="center"/>
    </xf>
    <xf numFmtId="0" fontId="28" fillId="6" borderId="71" xfId="0" applyFont="1" applyBorder="1" applyAlignment="1">
      <alignment horizontal="center" wrapText="1"/>
    </xf>
    <xf numFmtId="3" fontId="26" fillId="13" borderId="66" xfId="3" applyNumberFormat="1" applyFont="1" applyBorder="1">
      <alignment horizontal="center" vertical="center"/>
    </xf>
    <xf numFmtId="3" fontId="0" fillId="14" borderId="66" xfId="20" applyFont="1" applyBorder="1">
      <alignment horizontal="right" vertical="center"/>
      <protection locked="0"/>
    </xf>
    <xf numFmtId="3" fontId="26" fillId="6" borderId="66" xfId="30" applyFont="1" applyBorder="1">
      <alignment horizontal="right" vertical="center"/>
    </xf>
    <xf numFmtId="0" fontId="65" fillId="53" borderId="66" xfId="144" applyBorder="1">
      <alignment horizontal="center" vertical="center"/>
    </xf>
    <xf numFmtId="3" fontId="26" fillId="13" borderId="76" xfId="3" applyNumberFormat="1" applyFont="1" applyBorder="1">
      <alignment horizontal="center" vertical="center"/>
    </xf>
    <xf numFmtId="3" fontId="26" fillId="13" borderId="68" xfId="3" applyNumberFormat="1" applyFont="1" applyBorder="1">
      <alignment horizontal="center" vertical="center"/>
    </xf>
    <xf numFmtId="0" fontId="65" fillId="53" borderId="36" xfId="144" applyBorder="1">
      <alignment horizontal="center" vertical="center"/>
    </xf>
    <xf numFmtId="3" fontId="43" fillId="0" borderId="53" xfId="30" applyFont="1" applyFill="1" applyBorder="1">
      <alignment horizontal="right" vertical="center"/>
    </xf>
    <xf numFmtId="3" fontId="43" fillId="0" borderId="16" xfId="30" applyFont="1" applyFill="1" applyBorder="1">
      <alignment horizontal="right" vertical="center"/>
    </xf>
    <xf numFmtId="3" fontId="43" fillId="0" borderId="26" xfId="30" applyFont="1" applyFill="1" applyBorder="1">
      <alignment horizontal="right" vertical="center"/>
    </xf>
    <xf numFmtId="1" fontId="28" fillId="6" borderId="50" xfId="0" applyNumberFormat="1" applyFont="1" applyBorder="1" applyAlignment="1">
      <alignment horizontal="center" wrapText="1"/>
    </xf>
    <xf numFmtId="1" fontId="28" fillId="6" borderId="58" xfId="0" applyNumberFormat="1" applyFont="1" applyBorder="1" applyAlignment="1">
      <alignment horizontal="center" wrapText="1"/>
    </xf>
    <xf numFmtId="3" fontId="26" fillId="41" borderId="51" xfId="11" applyFont="1" applyBorder="1">
      <alignment horizontal="right" vertical="center"/>
      <protection locked="0"/>
    </xf>
    <xf numFmtId="3" fontId="26" fillId="13" borderId="55" xfId="3" applyNumberFormat="1" applyFont="1" applyBorder="1">
      <alignment horizontal="center" vertical="center"/>
    </xf>
    <xf numFmtId="3" fontId="26" fillId="41" borderId="55" xfId="11" applyFont="1" applyBorder="1">
      <alignment horizontal="right" vertical="center"/>
      <protection locked="0"/>
    </xf>
    <xf numFmtId="0" fontId="26" fillId="6" borderId="63" xfId="0" applyFont="1" applyBorder="1">
      <alignment vertical="center"/>
    </xf>
    <xf numFmtId="0" fontId="43" fillId="6" borderId="71" xfId="0" applyFont="1" applyBorder="1">
      <alignment vertical="center"/>
    </xf>
    <xf numFmtId="0" fontId="55" fillId="54" borderId="52" xfId="0" applyFont="1" applyFill="1" applyBorder="1">
      <alignment vertical="center"/>
    </xf>
    <xf numFmtId="0" fontId="0" fillId="54" borderId="52" xfId="0" applyFill="1" applyBorder="1">
      <alignment vertical="center"/>
    </xf>
    <xf numFmtId="0" fontId="65" fillId="13" borderId="18" xfId="3" applyFont="1" applyBorder="1">
      <alignment horizontal="center" vertical="center"/>
    </xf>
    <xf numFmtId="0" fontId="65" fillId="13" borderId="21" xfId="3" applyFont="1" applyBorder="1">
      <alignment horizontal="center" vertical="center"/>
    </xf>
    <xf numFmtId="0" fontId="0" fillId="6" borderId="24" xfId="0" applyBorder="1" applyAlignment="1">
      <alignment horizontal="left" vertical="center" wrapText="1"/>
    </xf>
    <xf numFmtId="0" fontId="24" fillId="6" borderId="72" xfId="4" applyFill="1" applyBorder="1" applyAlignment="1"/>
    <xf numFmtId="0" fontId="25" fillId="6" borderId="72" xfId="4" applyFont="1" applyFill="1" applyBorder="1" applyAlignment="1"/>
    <xf numFmtId="0" fontId="26" fillId="6" borderId="72" xfId="0" applyFont="1" applyBorder="1">
      <alignment vertical="center"/>
    </xf>
    <xf numFmtId="0" fontId="33" fillId="6" borderId="61" xfId="116" applyBorder="1" applyAlignment="1">
      <alignment horizontal="left"/>
    </xf>
    <xf numFmtId="0" fontId="26" fillId="6" borderId="71" xfId="0" applyFont="1" applyBorder="1" applyAlignment="1">
      <alignment horizontal="left"/>
    </xf>
    <xf numFmtId="0" fontId="26" fillId="6" borderId="71" xfId="0" applyFont="1" applyBorder="1" applyAlignment="1"/>
    <xf numFmtId="172" fontId="26" fillId="41" borderId="52" xfId="10" applyFont="1" applyBorder="1">
      <alignment vertical="center"/>
      <protection locked="0"/>
    </xf>
    <xf numFmtId="0" fontId="26" fillId="13" borderId="54" xfId="0" applyFont="1" applyFill="1" applyBorder="1">
      <alignment vertical="center"/>
    </xf>
    <xf numFmtId="0" fontId="26" fillId="6" borderId="47" xfId="0" applyFont="1" applyBorder="1" applyAlignment="1">
      <alignment vertical="top"/>
    </xf>
    <xf numFmtId="0" fontId="26" fillId="41" borderId="44" xfId="18" applyFont="1" applyBorder="1">
      <alignment horizontal="center" vertical="center" wrapText="1"/>
      <protection locked="0"/>
    </xf>
    <xf numFmtId="0" fontId="26" fillId="6" borderId="41" xfId="0" applyFont="1" applyBorder="1" applyAlignment="1">
      <alignment horizontal="left" vertical="center" indent="1"/>
    </xf>
    <xf numFmtId="0" fontId="26" fillId="6" borderId="72" xfId="0" applyFont="1" applyBorder="1" applyAlignment="1">
      <alignment horizontal="left" vertical="center"/>
    </xf>
    <xf numFmtId="3" fontId="26" fillId="41" borderId="72" xfId="11" applyFont="1" applyBorder="1">
      <alignment horizontal="right" vertical="center"/>
      <protection locked="0"/>
    </xf>
    <xf numFmtId="0" fontId="28" fillId="6" borderId="73" xfId="0" applyFont="1" applyBorder="1" applyAlignment="1">
      <alignment horizontal="center" wrapText="1"/>
    </xf>
    <xf numFmtId="0" fontId="28" fillId="6" borderId="67" xfId="0" applyFont="1" applyBorder="1">
      <alignment vertical="center"/>
    </xf>
    <xf numFmtId="0" fontId="28" fillId="6" borderId="72" xfId="0" applyFont="1" applyBorder="1" applyAlignment="1">
      <alignment horizontal="left" vertical="center"/>
    </xf>
    <xf numFmtId="0" fontId="28" fillId="6" borderId="72" xfId="0" applyFont="1" applyBorder="1" applyAlignment="1">
      <alignment horizontal="center" vertical="center"/>
    </xf>
    <xf numFmtId="0" fontId="30" fillId="6" borderId="75" xfId="5" applyFont="1" applyBorder="1" applyAlignment="1">
      <alignment horizontal="center" vertical="center" wrapText="1"/>
    </xf>
    <xf numFmtId="3" fontId="43" fillId="41" borderId="14" xfId="11" applyFont="1" applyBorder="1">
      <alignment horizontal="right" vertical="center"/>
      <protection locked="0"/>
    </xf>
    <xf numFmtId="0" fontId="43" fillId="6" borderId="30" xfId="0" applyFont="1" applyBorder="1" applyAlignment="1">
      <alignment horizontal="left" vertical="center" wrapText="1"/>
    </xf>
    <xf numFmtId="0" fontId="43" fillId="6" borderId="30" xfId="0" applyFont="1" applyBorder="1" applyAlignment="1">
      <alignment horizontal="left" vertical="center" wrapText="1" indent="1"/>
    </xf>
    <xf numFmtId="0" fontId="43" fillId="6" borderId="18" xfId="0" applyFont="1" applyBorder="1" applyAlignment="1">
      <alignment horizontal="left" vertical="center" wrapText="1"/>
    </xf>
    <xf numFmtId="0" fontId="43" fillId="6" borderId="18" xfId="0" applyFont="1" applyBorder="1" applyAlignment="1">
      <alignment vertical="center" wrapText="1"/>
    </xf>
    <xf numFmtId="0" fontId="43" fillId="6" borderId="24" xfId="0" applyFont="1" applyBorder="1" applyAlignment="1">
      <alignment horizontal="left" vertical="center" wrapText="1"/>
    </xf>
    <xf numFmtId="0" fontId="41" fillId="6" borderId="19" xfId="0" applyFont="1" applyBorder="1" applyAlignment="1">
      <alignment horizontal="left" vertical="center" wrapText="1"/>
    </xf>
    <xf numFmtId="0" fontId="26" fillId="13" borderId="19" xfId="3" applyFont="1" applyBorder="1">
      <alignment horizontal="center" vertical="center"/>
    </xf>
    <xf numFmtId="0" fontId="26" fillId="6" borderId="21" xfId="0" applyFont="1" applyBorder="1" applyAlignment="1">
      <alignment horizontal="left" vertical="top" wrapText="1" indent="5"/>
    </xf>
    <xf numFmtId="0" fontId="26" fillId="2" borderId="27" xfId="0" applyFont="1" applyFill="1" applyBorder="1" applyAlignment="1">
      <alignment horizontal="left" vertical="center" indent="1"/>
    </xf>
    <xf numFmtId="0" fontId="26" fillId="2" borderId="24" xfId="0" applyFont="1" applyFill="1" applyBorder="1">
      <alignment vertical="center"/>
    </xf>
    <xf numFmtId="0" fontId="26" fillId="6" borderId="22" xfId="0" applyFont="1" applyBorder="1" applyAlignment="1">
      <alignment horizontal="left" vertical="center" indent="1"/>
    </xf>
    <xf numFmtId="3" fontId="65" fillId="14" borderId="15" xfId="20" applyFont="1" applyBorder="1">
      <alignment horizontal="right" vertical="center"/>
      <protection locked="0"/>
    </xf>
    <xf numFmtId="0" fontId="24" fillId="6" borderId="74" xfId="4" applyFill="1" applyBorder="1" applyAlignment="1"/>
    <xf numFmtId="0" fontId="24" fillId="6" borderId="71" xfId="4" applyFill="1" applyBorder="1" applyAlignment="1"/>
    <xf numFmtId="0" fontId="26" fillId="2" borderId="75" xfId="0" applyFont="1" applyFill="1" applyBorder="1" applyAlignment="1">
      <alignment horizontal="center" vertical="center"/>
    </xf>
    <xf numFmtId="0" fontId="28" fillId="6" borderId="73" xfId="5" applyBorder="1" applyAlignment="1">
      <alignment horizontal="center" vertical="center" wrapText="1"/>
    </xf>
    <xf numFmtId="0" fontId="30" fillId="6" borderId="75" xfId="0" applyFont="1" applyBorder="1" applyAlignment="1">
      <alignment horizontal="center" vertical="center" wrapText="1"/>
    </xf>
    <xf numFmtId="0" fontId="28" fillId="6" borderId="75" xfId="5" applyBorder="1" applyAlignment="1">
      <alignment horizontal="center" vertical="center" wrapText="1"/>
    </xf>
    <xf numFmtId="3" fontId="65" fillId="41" borderId="13" xfId="11" applyFont="1">
      <alignment horizontal="right" vertical="center"/>
      <protection locked="0"/>
    </xf>
    <xf numFmtId="0" fontId="26" fillId="6" borderId="75" xfId="0" applyFont="1" applyBorder="1" applyAlignment="1">
      <alignment horizontal="center" vertical="center"/>
    </xf>
    <xf numFmtId="0" fontId="26" fillId="6" borderId="72" xfId="0" applyFont="1" applyBorder="1" applyAlignment="1">
      <alignment horizontal="center" vertical="center"/>
    </xf>
    <xf numFmtId="0" fontId="0" fillId="6" borderId="75" xfId="0" applyBorder="1">
      <alignment vertical="center"/>
    </xf>
    <xf numFmtId="0" fontId="26" fillId="6" borderId="75" xfId="5" applyFont="1" applyBorder="1">
      <alignment horizontal="center" wrapText="1"/>
    </xf>
    <xf numFmtId="3" fontId="32" fillId="6" borderId="13" xfId="30" applyFont="1" applyBorder="1">
      <alignment horizontal="right" vertical="center"/>
    </xf>
    <xf numFmtId="0" fontId="26" fillId="2" borderId="71" xfId="0" applyFont="1" applyFill="1" applyBorder="1">
      <alignment vertical="center"/>
    </xf>
    <xf numFmtId="0" fontId="26" fillId="2" borderId="72" xfId="0" applyFont="1" applyFill="1" applyBorder="1">
      <alignment vertical="center"/>
    </xf>
    <xf numFmtId="0" fontId="24" fillId="2" borderId="71" xfId="4" applyBorder="1" applyAlignment="1"/>
    <xf numFmtId="0" fontId="26" fillId="6" borderId="73" xfId="5" applyFont="1" applyBorder="1">
      <alignment horizontal="center" wrapText="1"/>
    </xf>
    <xf numFmtId="3" fontId="43" fillId="41" borderId="55" xfId="11" applyFont="1" applyBorder="1">
      <alignment horizontal="right" vertical="center"/>
      <protection locked="0"/>
    </xf>
    <xf numFmtId="0" fontId="33" fillId="6" borderId="47" xfId="116" applyBorder="1" applyAlignment="1">
      <alignment vertical="center"/>
    </xf>
    <xf numFmtId="0" fontId="28" fillId="6" borderId="75" xfId="0" applyFont="1" applyBorder="1">
      <alignment vertical="center"/>
    </xf>
    <xf numFmtId="0" fontId="0" fillId="6" borderId="75" xfId="0" applyBorder="1" applyAlignment="1">
      <alignment vertical="center" wrapText="1"/>
    </xf>
    <xf numFmtId="0" fontId="0" fillId="6" borderId="73" xfId="0" applyBorder="1" applyAlignment="1">
      <alignment horizontal="center" vertical="center" textRotation="90" wrapText="1"/>
    </xf>
    <xf numFmtId="0" fontId="0" fillId="6" borderId="75" xfId="0" applyBorder="1" applyAlignment="1">
      <alignment horizontal="center" vertical="center" textRotation="90" wrapText="1"/>
    </xf>
    <xf numFmtId="3" fontId="32" fillId="41" borderId="16" xfId="11" applyFont="1" applyBorder="1">
      <alignment horizontal="right" vertical="center"/>
      <protection locked="0"/>
    </xf>
    <xf numFmtId="3" fontId="32" fillId="41" borderId="17" xfId="11" applyFont="1" applyBorder="1">
      <alignment horizontal="right" vertical="center"/>
      <protection locked="0"/>
    </xf>
    <xf numFmtId="3" fontId="32" fillId="41" borderId="14" xfId="11" applyFont="1" applyBorder="1">
      <alignment horizontal="right" vertical="center"/>
      <protection locked="0"/>
    </xf>
    <xf numFmtId="0" fontId="0" fillId="6" borderId="30" xfId="0" applyBorder="1" applyAlignment="1">
      <alignment horizontal="left" vertical="center" indent="1"/>
    </xf>
    <xf numFmtId="0" fontId="28" fillId="50" borderId="50" xfId="5" applyFill="1" applyBorder="1" applyAlignment="1">
      <alignment horizontal="center" vertical="center" wrapText="1"/>
    </xf>
    <xf numFmtId="0" fontId="0" fillId="54" borderId="16" xfId="0" applyFill="1" applyBorder="1" applyAlignment="1">
      <alignment horizontal="left" vertical="center"/>
    </xf>
    <xf numFmtId="0" fontId="0" fillId="54" borderId="17" xfId="0" applyFill="1" applyBorder="1" applyAlignment="1">
      <alignment horizontal="left" vertical="center"/>
    </xf>
    <xf numFmtId="3" fontId="43" fillId="43" borderId="73" xfId="6" applyFont="1" applyBorder="1">
      <alignment horizontal="right" vertical="center"/>
    </xf>
    <xf numFmtId="0" fontId="28" fillId="41" borderId="50" xfId="5" applyFill="1" applyBorder="1" applyAlignment="1">
      <alignment horizontal="center" vertical="center" wrapText="1"/>
    </xf>
    <xf numFmtId="0" fontId="43" fillId="46" borderId="19" xfId="3" applyFont="1" applyFill="1" applyBorder="1">
      <alignment horizontal="center" vertical="center"/>
    </xf>
    <xf numFmtId="0" fontId="28" fillId="49" borderId="72" xfId="0" applyFont="1" applyFill="1" applyBorder="1">
      <alignment vertical="center"/>
    </xf>
    <xf numFmtId="0" fontId="43" fillId="6" borderId="47" xfId="0" applyFont="1" applyBorder="1">
      <alignment vertical="center"/>
    </xf>
    <xf numFmtId="0" fontId="33" fillId="6" borderId="47" xfId="0" applyFont="1" applyBorder="1" applyAlignment="1">
      <alignment horizontal="left" vertical="center"/>
    </xf>
    <xf numFmtId="0" fontId="33" fillId="6" borderId="72" xfId="0" applyFont="1" applyBorder="1" applyAlignment="1">
      <alignment horizontal="left" vertical="center"/>
    </xf>
    <xf numFmtId="0" fontId="28" fillId="49" borderId="73" xfId="5" applyFill="1" applyBorder="1" applyAlignment="1">
      <alignment horizontal="center" vertical="center" wrapText="1"/>
    </xf>
    <xf numFmtId="0" fontId="30" fillId="6" borderId="73" xfId="5" applyFont="1" applyBorder="1" applyAlignment="1">
      <alignment horizontal="center" vertical="center" wrapText="1"/>
    </xf>
    <xf numFmtId="0" fontId="43" fillId="6" borderId="52" xfId="0" applyFont="1" applyBorder="1" applyAlignment="1">
      <alignment horizontal="left"/>
    </xf>
    <xf numFmtId="0" fontId="65" fillId="13" borderId="55" xfId="3" applyFont="1" applyBorder="1">
      <alignment horizontal="center" vertical="center"/>
    </xf>
    <xf numFmtId="0" fontId="43" fillId="46" borderId="73" xfId="3" applyFont="1" applyFill="1" applyBorder="1">
      <alignment horizontal="center" vertical="center"/>
    </xf>
    <xf numFmtId="0" fontId="28" fillId="6" borderId="73" xfId="5" applyBorder="1">
      <alignment horizontal="center" wrapText="1"/>
    </xf>
    <xf numFmtId="0" fontId="0" fillId="43" borderId="72" xfId="9" applyFont="1" applyBorder="1">
      <alignment horizontal="left" vertical="center"/>
    </xf>
    <xf numFmtId="3" fontId="43" fillId="43" borderId="75" xfId="6" applyFont="1" applyBorder="1">
      <alignment horizontal="right" vertical="center"/>
    </xf>
    <xf numFmtId="0" fontId="28" fillId="6" borderId="72" xfId="0" applyFont="1" applyBorder="1" applyAlignment="1">
      <alignment horizontal="center" wrapText="1"/>
    </xf>
    <xf numFmtId="1" fontId="28" fillId="6" borderId="73" xfId="0" applyNumberFormat="1" applyFont="1" applyBorder="1" applyAlignment="1">
      <alignment horizontal="center" wrapText="1"/>
    </xf>
    <xf numFmtId="1" fontId="28" fillId="6" borderId="75" xfId="0" applyNumberFormat="1" applyFont="1" applyBorder="1" applyAlignment="1">
      <alignment horizontal="center" wrapText="1"/>
    </xf>
    <xf numFmtId="0" fontId="26" fillId="41" borderId="14" xfId="18" applyFont="1" applyBorder="1">
      <alignment horizontal="center" vertical="center" wrapText="1"/>
      <protection locked="0"/>
    </xf>
    <xf numFmtId="0" fontId="26" fillId="41" borderId="13" xfId="18" applyFont="1">
      <alignment horizontal="center" vertical="center" wrapText="1"/>
      <protection locked="0"/>
    </xf>
    <xf numFmtId="0" fontId="30" fillId="6" borderId="27" xfId="0" applyFont="1" applyBorder="1" applyAlignment="1">
      <alignment horizontal="center" vertical="center"/>
    </xf>
    <xf numFmtId="0" fontId="30" fillId="0" borderId="27" xfId="0" applyFont="1" applyFill="1" applyBorder="1" applyAlignment="1">
      <alignment horizontal="center" vertical="center"/>
    </xf>
    <xf numFmtId="0" fontId="30" fillId="6" borderId="20" xfId="0" applyFont="1" applyBorder="1" applyAlignment="1">
      <alignment horizontal="center" vertical="center"/>
    </xf>
    <xf numFmtId="0" fontId="30" fillId="6" borderId="21" xfId="0" applyFont="1" applyBorder="1" applyAlignment="1">
      <alignment horizontal="center" vertical="center"/>
    </xf>
    <xf numFmtId="0" fontId="0" fillId="6" borderId="71" xfId="0" applyBorder="1" applyAlignment="1"/>
    <xf numFmtId="0" fontId="29" fillId="13" borderId="22" xfId="3" applyFont="1" applyBorder="1">
      <alignment horizontal="center" vertical="center"/>
    </xf>
    <xf numFmtId="0" fontId="29" fillId="13" borderId="75" xfId="3" applyFont="1" applyBorder="1">
      <alignment horizontal="center" vertical="center"/>
    </xf>
    <xf numFmtId="3" fontId="0" fillId="6" borderId="73" xfId="30" applyFont="1" applyBorder="1">
      <alignment horizontal="right" vertical="center"/>
    </xf>
    <xf numFmtId="0" fontId="29" fillId="13" borderId="73" xfId="3" applyFont="1" applyBorder="1">
      <alignment horizontal="center" vertical="center"/>
    </xf>
    <xf numFmtId="0" fontId="29" fillId="13" borderId="20" xfId="3" applyFont="1" applyBorder="1">
      <alignment horizontal="center" vertical="center"/>
    </xf>
    <xf numFmtId="0" fontId="24" fillId="6" borderId="72" xfId="0" applyFont="1" applyBorder="1">
      <alignment vertical="center"/>
    </xf>
    <xf numFmtId="0" fontId="50" fillId="6" borderId="72" xfId="0" applyFont="1" applyBorder="1" applyAlignment="1">
      <alignment horizontal="center" vertical="center"/>
    </xf>
    <xf numFmtId="0" fontId="36" fillId="6" borderId="71" xfId="0" applyFont="1" applyBorder="1" applyAlignment="1">
      <alignment horizontal="center"/>
    </xf>
    <xf numFmtId="0" fontId="36" fillId="6" borderId="71" xfId="0" applyFont="1" applyBorder="1" applyAlignment="1"/>
    <xf numFmtId="0" fontId="50" fillId="6" borderId="71" xfId="0" applyFont="1" applyBorder="1" applyAlignment="1">
      <alignment horizontal="center"/>
    </xf>
    <xf numFmtId="0" fontId="28" fillId="6" borderId="75" xfId="0" applyFont="1" applyBorder="1" applyAlignment="1">
      <alignment horizontal="center" vertical="center"/>
    </xf>
    <xf numFmtId="0" fontId="45" fillId="6" borderId="72" xfId="0" applyFont="1" applyBorder="1">
      <alignment vertical="center"/>
    </xf>
    <xf numFmtId="0" fontId="28" fillId="6" borderId="73" xfId="0" applyFont="1" applyBorder="1" applyAlignment="1">
      <alignment horizontal="center" vertical="center"/>
    </xf>
    <xf numFmtId="0" fontId="0" fillId="6" borderId="0" xfId="0" applyAlignment="1">
      <alignment horizontal="left" vertical="center" wrapText="1"/>
    </xf>
    <xf numFmtId="0" fontId="33" fillId="6" borderId="0" xfId="116" applyAlignment="1">
      <alignment horizontal="left" vertical="center"/>
    </xf>
    <xf numFmtId="0" fontId="28" fillId="6" borderId="0" xfId="0" applyFont="1" applyAlignment="1">
      <alignment horizontal="left" vertical="top" wrapText="1"/>
    </xf>
    <xf numFmtId="0" fontId="41" fillId="6" borderId="52" xfId="0" applyFont="1" applyBorder="1" applyAlignment="1">
      <alignment horizontal="left" vertical="center"/>
    </xf>
    <xf numFmtId="0" fontId="28" fillId="6" borderId="77" xfId="0" applyFont="1" applyBorder="1" applyAlignment="1">
      <alignment horizontal="center" vertical="center" wrapText="1"/>
    </xf>
    <xf numFmtId="3" fontId="26" fillId="6" borderId="65" xfId="30" applyFont="1" applyBorder="1">
      <alignment horizontal="right" vertical="center"/>
    </xf>
    <xf numFmtId="0" fontId="29" fillId="13" borderId="14" xfId="3" applyFont="1" applyBorder="1">
      <alignment horizontal="center" vertical="center"/>
    </xf>
    <xf numFmtId="3" fontId="26" fillId="6" borderId="78" xfId="30" applyFont="1" applyBorder="1">
      <alignment horizontal="right" vertical="center"/>
    </xf>
    <xf numFmtId="3" fontId="0" fillId="41" borderId="78" xfId="11" applyFont="1" applyBorder="1">
      <alignment horizontal="right" vertical="center"/>
      <protection locked="0"/>
    </xf>
    <xf numFmtId="3" fontId="0" fillId="41" borderId="43" xfId="11" applyFont="1" applyBorder="1">
      <alignment horizontal="right" vertical="center"/>
      <protection locked="0"/>
    </xf>
    <xf numFmtId="0" fontId="26" fillId="2" borderId="28" xfId="0" applyFont="1" applyFill="1" applyBorder="1" applyAlignment="1">
      <alignment horizontal="center" vertical="center"/>
    </xf>
    <xf numFmtId="0" fontId="26" fillId="2" borderId="27" xfId="0" applyFont="1" applyFill="1" applyBorder="1" applyAlignment="1">
      <alignment horizontal="left" vertical="center"/>
    </xf>
    <xf numFmtId="0" fontId="26" fillId="2" borderId="24" xfId="0" applyFont="1" applyFill="1" applyBorder="1" applyAlignment="1">
      <alignment horizontal="left" vertical="center"/>
    </xf>
    <xf numFmtId="0" fontId="29" fillId="13" borderId="35" xfId="3" applyFont="1" applyBorder="1">
      <alignment horizontal="center" vertical="center"/>
    </xf>
    <xf numFmtId="3" fontId="0" fillId="6" borderId="37" xfId="30" applyFont="1" applyBorder="1">
      <alignment horizontal="right" vertical="center"/>
    </xf>
    <xf numFmtId="0" fontId="26" fillId="41" borderId="22" xfId="18" applyFont="1" applyBorder="1">
      <alignment horizontal="center" vertical="center" wrapText="1"/>
      <protection locked="0"/>
    </xf>
    <xf numFmtId="3" fontId="26" fillId="6" borderId="23" xfId="30" applyFont="1" applyBorder="1" applyAlignment="1">
      <alignment horizontal="center" vertical="center"/>
    </xf>
    <xf numFmtId="0" fontId="26" fillId="41" borderId="51" xfId="18" applyFont="1" applyBorder="1">
      <alignment horizontal="center" vertical="center" wrapText="1"/>
      <protection locked="0"/>
    </xf>
    <xf numFmtId="0" fontId="0" fillId="6" borderId="51" xfId="0" applyBorder="1" applyAlignment="1">
      <alignment horizontal="left" vertical="center"/>
    </xf>
    <xf numFmtId="0" fontId="28" fillId="43" borderId="75" xfId="0" applyFont="1" applyFill="1" applyBorder="1" applyAlignment="1">
      <alignment horizontal="center" wrapText="1"/>
    </xf>
    <xf numFmtId="0" fontId="24" fillId="6" borderId="71" xfId="0" applyFont="1" applyBorder="1" applyAlignment="1"/>
    <xf numFmtId="0" fontId="26" fillId="53" borderId="19" xfId="144" applyFont="1" applyBorder="1">
      <alignment horizontal="center" vertical="center"/>
    </xf>
    <xf numFmtId="0" fontId="0" fillId="41" borderId="52" xfId="18" applyFont="1" applyBorder="1">
      <alignment horizontal="center" vertical="center" wrapText="1"/>
      <protection locked="0"/>
    </xf>
    <xf numFmtId="0" fontId="43" fillId="46" borderId="18" xfId="3" applyFont="1" applyFill="1" applyBorder="1">
      <alignment horizontal="center" vertical="center"/>
    </xf>
    <xf numFmtId="0" fontId="43" fillId="6" borderId="52" xfId="0" applyFont="1" applyBorder="1" applyAlignment="1">
      <alignment horizontal="left" indent="1"/>
    </xf>
    <xf numFmtId="0" fontId="29" fillId="6" borderId="52" xfId="0" applyFont="1" applyBorder="1" applyAlignment="1">
      <alignment horizontal="left"/>
    </xf>
    <xf numFmtId="0" fontId="43" fillId="46" borderId="52" xfId="3" applyFont="1" applyFill="1" applyBorder="1">
      <alignment horizontal="center" vertical="center"/>
    </xf>
    <xf numFmtId="0" fontId="36" fillId="6" borderId="47" xfId="0" applyFont="1" applyBorder="1" applyAlignment="1"/>
    <xf numFmtId="3" fontId="43" fillId="41" borderId="65" xfId="11" applyFont="1" applyBorder="1">
      <alignment horizontal="right" vertical="center"/>
      <protection locked="0"/>
    </xf>
    <xf numFmtId="0" fontId="26" fillId="13" borderId="0" xfId="0" applyFont="1" applyFill="1">
      <alignment vertical="center"/>
    </xf>
    <xf numFmtId="0" fontId="43" fillId="6" borderId="0" xfId="0" applyFont="1" applyAlignment="1">
      <alignment horizontal="left" vertical="center" wrapText="1"/>
    </xf>
    <xf numFmtId="0" fontId="0" fillId="6" borderId="19" xfId="0" applyBorder="1" applyAlignment="1">
      <alignment vertical="center" wrapText="1"/>
    </xf>
    <xf numFmtId="0" fontId="0" fillId="6" borderId="52" xfId="0" applyBorder="1" applyAlignment="1">
      <alignment vertical="center" wrapText="1"/>
    </xf>
    <xf numFmtId="3" fontId="0" fillId="13" borderId="50" xfId="3" applyNumberFormat="1" applyFont="1" applyBorder="1">
      <alignment horizontal="center" vertical="center"/>
    </xf>
    <xf numFmtId="173" fontId="28" fillId="6" borderId="73" xfId="35" applyFont="1" applyBorder="1">
      <alignment horizontal="center" vertical="center" wrapText="1"/>
    </xf>
    <xf numFmtId="3" fontId="0" fillId="13" borderId="75" xfId="3" applyNumberFormat="1" applyFont="1" applyBorder="1">
      <alignment horizontal="center" vertical="center"/>
    </xf>
    <xf numFmtId="3" fontId="0" fillId="14" borderId="17" xfId="20" applyFont="1" applyBorder="1">
      <alignment horizontal="right" vertical="center"/>
      <protection locked="0"/>
    </xf>
    <xf numFmtId="0" fontId="5" fillId="6" borderId="83" xfId="0" applyFont="1" applyBorder="1">
      <alignment vertical="center"/>
    </xf>
    <xf numFmtId="0" fontId="33" fillId="6" borderId="61" xfId="0" applyFont="1" applyBorder="1">
      <alignment vertical="center"/>
    </xf>
    <xf numFmtId="0" fontId="26" fillId="6" borderId="87" xfId="0" applyFont="1" applyBorder="1">
      <alignment vertical="center"/>
    </xf>
    <xf numFmtId="3" fontId="26" fillId="41" borderId="78" xfId="11" applyFont="1" applyBorder="1">
      <alignment horizontal="right" vertical="center"/>
      <protection locked="0"/>
    </xf>
    <xf numFmtId="3" fontId="26" fillId="41" borderId="35" xfId="11" applyFont="1" applyBorder="1">
      <alignment horizontal="right" vertical="center"/>
      <protection locked="0"/>
    </xf>
    <xf numFmtId="3" fontId="26" fillId="41" borderId="43" xfId="11" applyFont="1" applyBorder="1">
      <alignment horizontal="right" vertical="center"/>
      <protection locked="0"/>
    </xf>
    <xf numFmtId="3" fontId="26" fillId="41" borderId="81" xfId="11" applyFont="1" applyBorder="1">
      <alignment horizontal="right" vertical="center"/>
      <protection locked="0"/>
    </xf>
    <xf numFmtId="3" fontId="26" fillId="41" borderId="37" xfId="11" applyFont="1" applyBorder="1">
      <alignment horizontal="right" vertical="center"/>
      <protection locked="0"/>
    </xf>
    <xf numFmtId="3" fontId="26" fillId="41" borderId="36" xfId="11" applyFont="1" applyBorder="1">
      <alignment horizontal="right" vertical="center"/>
      <protection locked="0"/>
    </xf>
    <xf numFmtId="3" fontId="26" fillId="43" borderId="73" xfId="6" applyFont="1" applyBorder="1">
      <alignment horizontal="right" vertical="center"/>
    </xf>
    <xf numFmtId="3" fontId="26" fillId="43" borderId="92" xfId="6" applyFont="1" applyBorder="1">
      <alignment horizontal="right" vertical="center"/>
    </xf>
    <xf numFmtId="0" fontId="5" fillId="6" borderId="87" xfId="0" applyFont="1" applyBorder="1">
      <alignment vertical="center"/>
    </xf>
    <xf numFmtId="0" fontId="26" fillId="6" borderId="84" xfId="0" applyFont="1" applyBorder="1">
      <alignment vertical="center"/>
    </xf>
    <xf numFmtId="0" fontId="33" fillId="6" borderId="41" xfId="0" applyFont="1" applyBorder="1">
      <alignment vertical="center"/>
    </xf>
    <xf numFmtId="0" fontId="26" fillId="6" borderId="94" xfId="0" applyFont="1" applyBorder="1">
      <alignment vertical="center"/>
    </xf>
    <xf numFmtId="0" fontId="26" fillId="6" borderId="95" xfId="0" applyFont="1" applyBorder="1">
      <alignment vertical="center"/>
    </xf>
    <xf numFmtId="0" fontId="26" fillId="6" borderId="96" xfId="0" applyFont="1" applyBorder="1">
      <alignment vertical="center"/>
    </xf>
    <xf numFmtId="0" fontId="28" fillId="6" borderId="0" xfId="0" applyFont="1" applyAlignment="1">
      <alignment horizontal="left" vertical="center"/>
    </xf>
    <xf numFmtId="0" fontId="26" fillId="6" borderId="99" xfId="0" applyFont="1" applyBorder="1">
      <alignment vertical="center"/>
    </xf>
    <xf numFmtId="0" fontId="26" fillId="6" borderId="100" xfId="0" applyFont="1" applyBorder="1">
      <alignment vertical="center"/>
    </xf>
    <xf numFmtId="0" fontId="67" fillId="6" borderId="71" xfId="0" applyFont="1" applyBorder="1" applyAlignment="1">
      <alignment horizontal="left" vertical="top"/>
    </xf>
    <xf numFmtId="3" fontId="26" fillId="41" borderId="101" xfId="11" applyFont="1" applyBorder="1">
      <alignment horizontal="right" vertical="center"/>
      <protection locked="0"/>
    </xf>
    <xf numFmtId="0" fontId="26" fillId="6" borderId="18" xfId="0" applyFont="1" applyBorder="1" applyAlignment="1">
      <alignment horizontal="left" vertical="center" wrapText="1" indent="1"/>
    </xf>
    <xf numFmtId="0" fontId="67" fillId="6" borderId="0" xfId="0" applyFont="1" applyAlignment="1">
      <alignment horizontal="left" vertical="top"/>
    </xf>
    <xf numFmtId="0" fontId="5" fillId="6" borderId="97" xfId="0" applyFont="1" applyBorder="1">
      <alignment vertical="center"/>
    </xf>
    <xf numFmtId="0" fontId="5" fillId="6" borderId="84" xfId="0" applyFont="1" applyBorder="1">
      <alignment vertical="center"/>
    </xf>
    <xf numFmtId="0" fontId="26" fillId="6" borderId="93" xfId="0" applyFont="1" applyBorder="1">
      <alignment vertical="center"/>
    </xf>
    <xf numFmtId="0" fontId="28" fillId="43" borderId="72" xfId="9" applyFont="1" applyBorder="1" applyAlignment="1">
      <alignment horizontal="center" vertical="center"/>
    </xf>
    <xf numFmtId="0" fontId="26" fillId="6" borderId="103" xfId="0" applyFont="1" applyBorder="1">
      <alignment vertical="center"/>
    </xf>
    <xf numFmtId="0" fontId="26" fillId="6" borderId="104" xfId="0" applyFont="1" applyBorder="1" applyAlignment="1">
      <alignment horizontal="left" vertical="center"/>
    </xf>
    <xf numFmtId="0" fontId="5" fillId="6" borderId="103" xfId="0" applyFont="1" applyBorder="1">
      <alignment vertical="center"/>
    </xf>
    <xf numFmtId="0" fontId="26" fillId="6" borderId="105" xfId="0" applyFont="1" applyBorder="1">
      <alignment vertical="center"/>
    </xf>
    <xf numFmtId="0" fontId="5" fillId="6" borderId="105" xfId="0" applyFont="1" applyBorder="1">
      <alignment vertical="center"/>
    </xf>
    <xf numFmtId="0" fontId="5" fillId="6" borderId="106" xfId="0" applyFont="1" applyBorder="1">
      <alignment vertical="center"/>
    </xf>
    <xf numFmtId="0" fontId="26" fillId="6" borderId="107" xfId="0" applyFont="1" applyBorder="1">
      <alignment vertical="center"/>
    </xf>
    <xf numFmtId="0" fontId="26" fillId="6" borderId="108" xfId="0" applyFont="1" applyBorder="1" applyAlignment="1">
      <alignment horizontal="left" vertical="center"/>
    </xf>
    <xf numFmtId="0" fontId="5" fillId="6" borderId="109" xfId="0" applyFont="1" applyBorder="1">
      <alignment vertical="center"/>
    </xf>
    <xf numFmtId="0" fontId="28" fillId="6" borderId="19" xfId="0" applyFont="1" applyBorder="1">
      <alignment vertical="center"/>
    </xf>
    <xf numFmtId="0" fontId="26" fillId="6" borderId="109" xfId="0" applyFont="1" applyBorder="1">
      <alignment vertical="center"/>
    </xf>
    <xf numFmtId="0" fontId="0" fillId="6" borderId="73" xfId="0" applyBorder="1" applyAlignment="1">
      <alignment horizontal="center" vertical="center" wrapText="1"/>
    </xf>
    <xf numFmtId="0" fontId="28" fillId="6" borderId="17" xfId="5" applyBorder="1">
      <alignment horizontal="center" wrapText="1"/>
    </xf>
    <xf numFmtId="0" fontId="28" fillId="6" borderId="14" xfId="5" applyBorder="1">
      <alignment horizontal="center" wrapText="1"/>
    </xf>
    <xf numFmtId="0" fontId="28" fillId="6" borderId="102" xfId="5" applyBorder="1">
      <alignment horizontal="center" wrapText="1"/>
    </xf>
    <xf numFmtId="0" fontId="28" fillId="6" borderId="20" xfId="5" applyBorder="1">
      <alignment horizontal="center" wrapText="1"/>
    </xf>
    <xf numFmtId="0" fontId="28" fillId="6" borderId="37" xfId="5" applyBorder="1">
      <alignment horizontal="center" wrapText="1"/>
    </xf>
    <xf numFmtId="0" fontId="28" fillId="13" borderId="65" xfId="3" applyFont="1" applyBorder="1">
      <alignment horizontal="center" vertical="center"/>
    </xf>
    <xf numFmtId="0" fontId="0" fillId="6" borderId="19" xfId="0" applyBorder="1" applyAlignment="1">
      <alignment horizontal="left" vertical="center" indent="2"/>
    </xf>
    <xf numFmtId="0" fontId="28" fillId="13" borderId="46" xfId="3" applyFont="1" applyBorder="1">
      <alignment horizontal="center" vertical="center"/>
    </xf>
    <xf numFmtId="3" fontId="26" fillId="6" borderId="35" xfId="30" applyFont="1" applyBorder="1">
      <alignment horizontal="right" vertical="center"/>
    </xf>
    <xf numFmtId="3" fontId="26" fillId="6" borderId="46" xfId="30" applyFont="1" applyBorder="1">
      <alignment horizontal="right" vertical="center"/>
    </xf>
    <xf numFmtId="3" fontId="26" fillId="6" borderId="111" xfId="30" applyFont="1" applyBorder="1">
      <alignment horizontal="right" vertical="center"/>
    </xf>
    <xf numFmtId="3" fontId="26" fillId="41" borderId="69" xfId="11" applyFont="1" applyBorder="1">
      <alignment horizontal="right" vertical="center"/>
      <protection locked="0"/>
    </xf>
    <xf numFmtId="3" fontId="26" fillId="6" borderId="69" xfId="30" applyFont="1" applyBorder="1">
      <alignment horizontal="right" vertical="center"/>
    </xf>
    <xf numFmtId="3" fontId="26" fillId="41" borderId="98" xfId="11" applyFont="1" applyBorder="1">
      <alignment horizontal="right" vertical="center"/>
      <protection locked="0"/>
    </xf>
    <xf numFmtId="3" fontId="26" fillId="6" borderId="37" xfId="30" applyFont="1" applyBorder="1">
      <alignment horizontal="right" vertical="center"/>
    </xf>
    <xf numFmtId="3" fontId="26" fillId="6" borderId="38" xfId="30" applyFont="1" applyBorder="1">
      <alignment horizontal="right" vertical="center"/>
    </xf>
    <xf numFmtId="0" fontId="0" fillId="6" borderId="113" xfId="0" applyBorder="1" applyAlignment="1">
      <alignment horizontal="center" vertical="center" wrapText="1"/>
    </xf>
    <xf numFmtId="0" fontId="0" fillId="6" borderId="114" xfId="0" applyBorder="1" applyAlignment="1">
      <alignment horizontal="center" vertical="center" wrapText="1"/>
    </xf>
    <xf numFmtId="0" fontId="28" fillId="6" borderId="24" xfId="0" applyFont="1" applyBorder="1">
      <alignment vertical="center"/>
    </xf>
    <xf numFmtId="3" fontId="26" fillId="43" borderId="112" xfId="6" applyFont="1" applyBorder="1">
      <alignment horizontal="right" vertical="center"/>
    </xf>
    <xf numFmtId="3" fontId="26" fillId="43" borderId="113" xfId="6" applyFont="1" applyBorder="1">
      <alignment horizontal="right" vertical="center"/>
    </xf>
    <xf numFmtId="0" fontId="41" fillId="6" borderId="50" xfId="5" applyFont="1" applyBorder="1">
      <alignment horizontal="center" wrapText="1"/>
    </xf>
    <xf numFmtId="0" fontId="41" fillId="6" borderId="73" xfId="5" applyFont="1" applyBorder="1">
      <alignment horizontal="center" wrapText="1"/>
    </xf>
    <xf numFmtId="0" fontId="28" fillId="6" borderId="59" xfId="0" applyFont="1" applyBorder="1" applyAlignment="1">
      <alignment horizontal="center" vertical="center" wrapText="1"/>
    </xf>
    <xf numFmtId="0" fontId="0" fillId="6" borderId="18" xfId="0" applyBorder="1" applyAlignment="1">
      <alignment horizontal="left" vertical="center" indent="4"/>
    </xf>
    <xf numFmtId="0" fontId="28" fillId="6" borderId="72" xfId="5" applyBorder="1">
      <alignment horizontal="center" wrapText="1"/>
    </xf>
    <xf numFmtId="0" fontId="41" fillId="6" borderId="75" xfId="5" applyFont="1" applyBorder="1">
      <alignment horizontal="center" wrapText="1"/>
    </xf>
    <xf numFmtId="3" fontId="26" fillId="13" borderId="78" xfId="3" applyNumberFormat="1" applyFont="1" applyBorder="1">
      <alignment horizontal="center" vertical="center"/>
    </xf>
    <xf numFmtId="0" fontId="41" fillId="6" borderId="77" xfId="5" applyFont="1" applyBorder="1">
      <alignment horizontal="center" wrapText="1"/>
    </xf>
    <xf numFmtId="0" fontId="41" fillId="6" borderId="85" xfId="5" applyFont="1" applyBorder="1">
      <alignment horizontal="center" wrapText="1"/>
    </xf>
    <xf numFmtId="171" fontId="26" fillId="41" borderId="13" xfId="16" applyFont="1">
      <alignment horizontal="right" vertical="center"/>
      <protection locked="0"/>
    </xf>
    <xf numFmtId="0" fontId="26" fillId="48" borderId="72" xfId="0" applyFont="1" applyFill="1" applyBorder="1">
      <alignment vertical="center"/>
    </xf>
    <xf numFmtId="172" fontId="26" fillId="41" borderId="75" xfId="10" applyFont="1" applyBorder="1">
      <alignment vertical="center"/>
      <protection locked="0"/>
    </xf>
    <xf numFmtId="3" fontId="26" fillId="41" borderId="75" xfId="11" applyFont="1" applyBorder="1">
      <alignment horizontal="right" vertical="center"/>
      <protection locked="0"/>
    </xf>
    <xf numFmtId="3" fontId="26" fillId="41" borderId="75" xfId="20" applyFont="1" applyFill="1" applyBorder="1">
      <alignment horizontal="right" vertical="center"/>
      <protection locked="0"/>
    </xf>
    <xf numFmtId="171" fontId="26" fillId="41" borderId="21" xfId="16" applyFont="1" applyBorder="1">
      <alignment horizontal="right" vertical="center"/>
      <protection locked="0"/>
    </xf>
    <xf numFmtId="171" fontId="26" fillId="41" borderId="25" xfId="16" applyFont="1" applyBorder="1">
      <alignment horizontal="right" vertical="center"/>
      <protection locked="0"/>
    </xf>
    <xf numFmtId="171" fontId="26" fillId="41" borderId="27" xfId="16" applyFont="1" applyBorder="1">
      <alignment horizontal="right" vertical="center"/>
      <protection locked="0"/>
    </xf>
    <xf numFmtId="171" fontId="26" fillId="41" borderId="73" xfId="16" applyFont="1" applyBorder="1">
      <alignment horizontal="right" vertical="center"/>
      <protection locked="0"/>
    </xf>
    <xf numFmtId="171" fontId="26" fillId="41" borderId="75" xfId="16" applyFont="1" applyBorder="1">
      <alignment horizontal="right" vertical="center"/>
      <protection locked="0"/>
    </xf>
    <xf numFmtId="170" fontId="26" fillId="42" borderId="55" xfId="13" applyFont="1" applyBorder="1">
      <alignment vertical="center"/>
      <protection locked="0"/>
    </xf>
    <xf numFmtId="170" fontId="26" fillId="42" borderId="13" xfId="13" applyFont="1">
      <alignment vertical="center"/>
      <protection locked="0"/>
    </xf>
    <xf numFmtId="170" fontId="26" fillId="42" borderId="21" xfId="13" applyFont="1" applyBorder="1">
      <alignment vertical="center"/>
      <protection locked="0"/>
    </xf>
    <xf numFmtId="170" fontId="26" fillId="42" borderId="25" xfId="13" applyFont="1" applyBorder="1">
      <alignment vertical="center"/>
      <protection locked="0"/>
    </xf>
    <xf numFmtId="170" fontId="26" fillId="42" borderId="27" xfId="13" applyFont="1" applyBorder="1">
      <alignment vertical="center"/>
      <protection locked="0"/>
    </xf>
    <xf numFmtId="3" fontId="26" fillId="13" borderId="72" xfId="3" applyNumberFormat="1" applyFont="1" applyBorder="1">
      <alignment horizontal="center" vertical="center"/>
    </xf>
    <xf numFmtId="170" fontId="26" fillId="42" borderId="73" xfId="13" applyFont="1" applyBorder="1">
      <alignment vertical="center"/>
      <protection locked="0"/>
    </xf>
    <xf numFmtId="170" fontId="26" fillId="42" borderId="75" xfId="13" applyFont="1" applyBorder="1">
      <alignment vertical="center"/>
      <protection locked="0"/>
    </xf>
    <xf numFmtId="3" fontId="43" fillId="6" borderId="59" xfId="30" applyFont="1" applyBorder="1">
      <alignment horizontal="right" vertical="center"/>
    </xf>
    <xf numFmtId="3" fontId="43" fillId="6" borderId="54" xfId="30" applyFont="1" applyBorder="1">
      <alignment horizontal="right" vertical="center"/>
    </xf>
    <xf numFmtId="3" fontId="43" fillId="13" borderId="55" xfId="3" applyNumberFormat="1" applyFont="1" applyBorder="1">
      <alignment horizontal="center" vertical="center"/>
    </xf>
    <xf numFmtId="3" fontId="43" fillId="13" borderId="16" xfId="3" applyNumberFormat="1" applyFont="1" applyBorder="1">
      <alignment horizontal="center" vertical="center"/>
    </xf>
    <xf numFmtId="0" fontId="43" fillId="6" borderId="52" xfId="0" applyFont="1" applyBorder="1" applyAlignment="1">
      <alignment horizontal="left" wrapText="1" indent="1"/>
    </xf>
    <xf numFmtId="0" fontId="43" fillId="6" borderId="18" xfId="0" applyFont="1" applyBorder="1" applyAlignment="1">
      <alignment horizontal="left" wrapText="1" indent="1"/>
    </xf>
    <xf numFmtId="0" fontId="43" fillId="6" borderId="18" xfId="0" applyFont="1" applyBorder="1" applyAlignment="1">
      <alignment horizontal="left" wrapText="1" indent="2"/>
    </xf>
    <xf numFmtId="0" fontId="43" fillId="6" borderId="19" xfId="0" applyFont="1" applyBorder="1" applyAlignment="1">
      <alignment horizontal="left" wrapText="1" indent="2"/>
    </xf>
    <xf numFmtId="0" fontId="43" fillId="6" borderId="44" xfId="0" applyFont="1" applyBorder="1" applyAlignment="1">
      <alignment horizontal="left" vertical="center"/>
    </xf>
    <xf numFmtId="0" fontId="41" fillId="0" borderId="73" xfId="0" applyFont="1" applyFill="1" applyBorder="1" applyAlignment="1">
      <alignment horizontal="center" vertical="center" wrapText="1"/>
    </xf>
    <xf numFmtId="0" fontId="55" fillId="6" borderId="41" xfId="0" applyFont="1" applyBorder="1" applyAlignment="1">
      <alignment horizontal="center" vertical="center" wrapText="1"/>
    </xf>
    <xf numFmtId="0" fontId="41" fillId="6" borderId="75" xfId="0" applyFont="1" applyBorder="1" applyAlignment="1">
      <alignment horizontal="center" vertical="center" wrapText="1"/>
    </xf>
    <xf numFmtId="0" fontId="41" fillId="6" borderId="41" xfId="0" applyFont="1" applyBorder="1" applyAlignment="1">
      <alignment horizontal="center" vertical="center"/>
    </xf>
    <xf numFmtId="0" fontId="41" fillId="0" borderId="75" xfId="0" applyFont="1" applyFill="1" applyBorder="1" applyAlignment="1">
      <alignment horizontal="center" vertical="center" wrapText="1"/>
    </xf>
    <xf numFmtId="3" fontId="26" fillId="41" borderId="46" xfId="11" applyFont="1" applyBorder="1">
      <alignment horizontal="right" vertical="center"/>
      <protection locked="0"/>
    </xf>
    <xf numFmtId="3" fontId="26" fillId="41" borderId="53" xfId="11" applyFont="1" applyBorder="1">
      <alignment horizontal="right" vertical="center"/>
      <protection locked="0"/>
    </xf>
    <xf numFmtId="3" fontId="26" fillId="41" borderId="65" xfId="11" applyFont="1" applyBorder="1">
      <alignment horizontal="right" vertical="center"/>
      <protection locked="0"/>
    </xf>
    <xf numFmtId="49" fontId="26" fillId="41" borderId="18" xfId="19" applyFont="1" applyBorder="1">
      <alignment vertical="center"/>
      <protection locked="0"/>
    </xf>
    <xf numFmtId="49" fontId="26" fillId="41" borderId="19" xfId="19" applyFont="1" applyBorder="1">
      <alignment vertical="center"/>
      <protection locked="0"/>
    </xf>
    <xf numFmtId="0" fontId="68" fillId="6" borderId="24" xfId="0" applyFont="1" applyBorder="1" applyAlignment="1">
      <alignment horizontal="left" vertical="center"/>
    </xf>
    <xf numFmtId="0" fontId="0" fillId="6" borderId="41" xfId="0" applyBorder="1" applyAlignment="1">
      <alignment horizontal="center" vertical="center"/>
    </xf>
    <xf numFmtId="0" fontId="0" fillId="6" borderId="0" xfId="0" applyAlignment="1">
      <alignment horizontal="center" vertical="center"/>
    </xf>
    <xf numFmtId="0" fontId="39" fillId="6" borderId="0" xfId="0" applyFont="1" applyAlignment="1">
      <alignment horizontal="center" vertical="center"/>
    </xf>
    <xf numFmtId="0" fontId="43" fillId="6" borderId="41" xfId="0" applyFont="1" applyBorder="1" applyAlignment="1">
      <alignment horizontal="center" vertical="center" wrapText="1"/>
    </xf>
    <xf numFmtId="0" fontId="43" fillId="6" borderId="47" xfId="0" applyFont="1" applyBorder="1" applyAlignment="1">
      <alignment horizontal="center" vertical="center" wrapText="1"/>
    </xf>
    <xf numFmtId="0" fontId="43" fillId="6" borderId="41" xfId="0" applyFont="1" applyBorder="1" applyAlignment="1">
      <alignment horizontal="center" vertical="center"/>
    </xf>
    <xf numFmtId="3" fontId="26" fillId="41" borderId="54" xfId="11" applyFont="1" applyBorder="1">
      <alignment horizontal="right" vertical="center"/>
      <protection locked="0"/>
    </xf>
    <xf numFmtId="3" fontId="26" fillId="41" borderId="115" xfId="11" applyFont="1" applyBorder="1">
      <alignment horizontal="right" vertical="center"/>
      <protection locked="0"/>
    </xf>
    <xf numFmtId="0" fontId="26" fillId="6" borderId="41" xfId="0" applyFont="1" applyBorder="1" applyAlignment="1">
      <alignment horizontal="center" vertical="center"/>
    </xf>
    <xf numFmtId="0" fontId="41" fillId="6" borderId="73" xfId="0" applyFont="1" applyBorder="1" applyAlignment="1">
      <alignment horizontal="center" vertical="center" wrapText="1"/>
    </xf>
    <xf numFmtId="0" fontId="41" fillId="6" borderId="50" xfId="0" applyFont="1" applyBorder="1" applyAlignment="1">
      <alignment horizontal="center" vertical="center" wrapText="1"/>
    </xf>
    <xf numFmtId="0" fontId="26" fillId="6" borderId="21" xfId="0" applyFont="1" applyBorder="1" applyAlignment="1">
      <alignment horizontal="center" vertical="center" wrapText="1"/>
    </xf>
    <xf numFmtId="0" fontId="26" fillId="6" borderId="17" xfId="0" applyFont="1" applyBorder="1" applyAlignment="1">
      <alignment horizontal="center" vertical="center"/>
    </xf>
    <xf numFmtId="0" fontId="26" fillId="6" borderId="41" xfId="0" applyFont="1" applyBorder="1" applyAlignment="1">
      <alignment horizontal="center" vertical="center" wrapText="1"/>
    </xf>
    <xf numFmtId="0" fontId="26" fillId="6" borderId="54" xfId="0" applyFont="1" applyBorder="1" applyAlignment="1">
      <alignment horizontal="left" vertical="center" wrapText="1"/>
    </xf>
    <xf numFmtId="0" fontId="26" fillId="6" borderId="19" xfId="0" applyFont="1" applyBorder="1" applyAlignment="1">
      <alignment horizontal="left" vertical="center"/>
    </xf>
    <xf numFmtId="0" fontId="39" fillId="6" borderId="71" xfId="0" applyFont="1" applyBorder="1" applyAlignment="1">
      <alignment horizontal="left" vertical="center"/>
    </xf>
    <xf numFmtId="0" fontId="39" fillId="6" borderId="71" xfId="0" applyFont="1" applyBorder="1">
      <alignment vertical="center"/>
    </xf>
    <xf numFmtId="0" fontId="0" fillId="6" borderId="117" xfId="0" applyBorder="1">
      <alignment vertical="center"/>
    </xf>
    <xf numFmtId="0" fontId="41" fillId="6" borderId="48" xfId="0" applyFont="1" applyBorder="1" applyAlignment="1">
      <alignment horizontal="center" vertical="center" wrapText="1"/>
    </xf>
    <xf numFmtId="0" fontId="0" fillId="6" borderId="111" xfId="0" applyBorder="1" applyAlignment="1">
      <alignment horizontal="left" vertical="center"/>
    </xf>
    <xf numFmtId="3" fontId="26" fillId="41" borderId="116" xfId="11" applyFont="1" applyBorder="1">
      <alignment horizontal="right" vertical="center"/>
      <protection locked="0"/>
    </xf>
    <xf numFmtId="3" fontId="26" fillId="41" borderId="118" xfId="11" applyFont="1" applyBorder="1">
      <alignment horizontal="right" vertical="center"/>
      <protection locked="0"/>
    </xf>
    <xf numFmtId="0" fontId="0" fillId="6" borderId="65" xfId="0" applyBorder="1" applyAlignment="1">
      <alignment horizontal="left" vertical="center"/>
    </xf>
    <xf numFmtId="0" fontId="26" fillId="6" borderId="69" xfId="0" applyFont="1" applyBorder="1" applyAlignment="1">
      <alignment horizontal="left" vertical="center"/>
    </xf>
    <xf numFmtId="3" fontId="26" fillId="41" borderId="119" xfId="11" applyFont="1" applyBorder="1">
      <alignment horizontal="right" vertical="center"/>
      <protection locked="0"/>
    </xf>
    <xf numFmtId="0" fontId="0" fillId="6" borderId="78" xfId="0" applyBorder="1" applyAlignment="1">
      <alignment horizontal="left" vertical="center"/>
    </xf>
    <xf numFmtId="0" fontId="0" fillId="6" borderId="69" xfId="0" applyBorder="1" applyAlignment="1">
      <alignment horizontal="left" vertical="center"/>
    </xf>
    <xf numFmtId="0" fontId="43" fillId="6" borderId="69" xfId="0" applyFont="1" applyBorder="1" applyAlignment="1">
      <alignment horizontal="left" vertical="center"/>
    </xf>
    <xf numFmtId="0" fontId="43" fillId="6" borderId="41" xfId="0" applyFont="1" applyBorder="1" applyAlignment="1">
      <alignment horizontal="left" vertical="center"/>
    </xf>
    <xf numFmtId="3" fontId="43" fillId="41" borderId="115" xfId="11" applyFont="1" applyBorder="1">
      <alignment horizontal="right" vertical="center"/>
      <protection locked="0"/>
    </xf>
    <xf numFmtId="3" fontId="43" fillId="41" borderId="119" xfId="11" applyFont="1" applyBorder="1">
      <alignment horizontal="right" vertical="center"/>
      <protection locked="0"/>
    </xf>
    <xf numFmtId="0" fontId="26" fillId="6" borderId="78" xfId="0" applyFont="1" applyBorder="1" applyAlignment="1">
      <alignment horizontal="left" vertical="center"/>
    </xf>
    <xf numFmtId="0" fontId="26" fillId="6" borderId="37" xfId="0" applyFont="1" applyBorder="1" applyAlignment="1">
      <alignment horizontal="left" vertical="center"/>
    </xf>
    <xf numFmtId="0" fontId="43" fillId="6" borderId="0" xfId="0" applyFont="1" applyAlignment="1">
      <alignment horizontal="left" vertical="center"/>
    </xf>
    <xf numFmtId="0" fontId="41" fillId="0" borderId="50" xfId="0" applyFont="1" applyFill="1" applyBorder="1" applyAlignment="1">
      <alignment horizontal="center" vertical="center" wrapText="1"/>
    </xf>
    <xf numFmtId="0" fontId="41" fillId="6" borderId="112" xfId="5" applyFont="1" applyBorder="1">
      <alignment horizontal="center" wrapText="1"/>
    </xf>
    <xf numFmtId="0" fontId="41" fillId="6" borderId="113" xfId="5" applyFont="1" applyBorder="1">
      <alignment horizontal="center" wrapText="1"/>
    </xf>
    <xf numFmtId="0" fontId="41" fillId="6" borderId="60" xfId="5" applyFont="1" applyBorder="1">
      <alignment horizontal="center" wrapText="1"/>
    </xf>
    <xf numFmtId="0" fontId="41" fillId="6" borderId="59" xfId="5" applyFont="1" applyBorder="1">
      <alignment horizontal="center" wrapText="1"/>
    </xf>
    <xf numFmtId="3" fontId="26" fillId="41" borderId="71" xfId="11" applyFont="1" applyBorder="1">
      <alignment horizontal="right" vertical="center"/>
      <protection locked="0"/>
    </xf>
    <xf numFmtId="3" fontId="26" fillId="41" borderId="0" xfId="11" applyFont="1" applyBorder="1">
      <alignment horizontal="right" vertical="center"/>
      <protection locked="0"/>
    </xf>
    <xf numFmtId="0" fontId="41" fillId="0" borderId="112" xfId="0" applyFont="1" applyFill="1" applyBorder="1" applyAlignment="1">
      <alignment horizontal="center" vertical="center" wrapText="1"/>
    </xf>
    <xf numFmtId="0" fontId="41" fillId="0" borderId="113" xfId="0" applyFont="1" applyFill="1" applyBorder="1" applyAlignment="1">
      <alignment horizontal="center" vertical="center" wrapText="1"/>
    </xf>
    <xf numFmtId="3" fontId="26" fillId="6" borderId="112" xfId="30" applyFont="1" applyBorder="1">
      <alignment horizontal="right" vertical="center"/>
    </xf>
    <xf numFmtId="3" fontId="0" fillId="41" borderId="26" xfId="11" applyFont="1" applyBorder="1">
      <alignment horizontal="right" vertical="center"/>
      <protection locked="0"/>
    </xf>
    <xf numFmtId="3" fontId="26" fillId="6" borderId="50" xfId="30" applyFont="1" applyBorder="1">
      <alignment horizontal="right" vertical="center"/>
    </xf>
    <xf numFmtId="0" fontId="30" fillId="6" borderId="81" xfId="0" applyFont="1" applyBorder="1" applyAlignment="1">
      <alignment horizontal="center" vertical="center"/>
    </xf>
    <xf numFmtId="0" fontId="29" fillId="13" borderId="113" xfId="3" applyFont="1" applyBorder="1">
      <alignment horizontal="center" vertical="center"/>
    </xf>
    <xf numFmtId="3" fontId="0" fillId="41" borderId="17" xfId="11" applyFont="1" applyBorder="1">
      <alignment horizontal="right" vertical="center"/>
      <protection locked="0"/>
    </xf>
    <xf numFmtId="0" fontId="29" fillId="13" borderId="46" xfId="3" applyFont="1" applyBorder="1">
      <alignment horizontal="center" vertical="center"/>
    </xf>
    <xf numFmtId="0" fontId="30" fillId="6" borderId="36" xfId="0" applyFont="1" applyBorder="1" applyAlignment="1">
      <alignment horizontal="center" vertical="center"/>
    </xf>
    <xf numFmtId="0" fontId="29" fillId="13" borderId="26" xfId="3" applyFont="1" applyBorder="1">
      <alignment horizontal="center" vertical="center"/>
    </xf>
    <xf numFmtId="3" fontId="0" fillId="6" borderId="17" xfId="30" applyFont="1" applyBorder="1">
      <alignment horizontal="right" vertical="center"/>
    </xf>
    <xf numFmtId="0" fontId="28" fillId="6" borderId="71" xfId="0" applyFont="1" applyBorder="1">
      <alignment vertical="center"/>
    </xf>
    <xf numFmtId="0" fontId="28" fillId="6" borderId="44" xfId="0" applyFont="1" applyBorder="1">
      <alignment vertical="center"/>
    </xf>
    <xf numFmtId="3" fontId="26" fillId="13" borderId="43" xfId="3" applyNumberFormat="1" applyFont="1" applyBorder="1">
      <alignment horizontal="center" vertical="center"/>
    </xf>
    <xf numFmtId="3" fontId="43" fillId="13" borderId="25" xfId="3" applyNumberFormat="1" applyFont="1" applyBorder="1">
      <alignment horizontal="center" vertical="center"/>
    </xf>
    <xf numFmtId="3" fontId="26" fillId="13" borderId="37" xfId="3" applyNumberFormat="1" applyFont="1" applyBorder="1">
      <alignment horizontal="center" vertical="center"/>
    </xf>
    <xf numFmtId="3" fontId="43" fillId="13" borderId="14" xfId="3" applyNumberFormat="1" applyFont="1" applyBorder="1">
      <alignment horizontal="center" vertical="center"/>
    </xf>
    <xf numFmtId="0" fontId="39" fillId="6" borderId="0" xfId="0" applyFont="1">
      <alignment vertical="center"/>
    </xf>
    <xf numFmtId="0" fontId="68" fillId="6" borderId="18" xfId="0" applyFont="1" applyBorder="1" applyAlignment="1">
      <alignment horizontal="left" vertical="center"/>
    </xf>
    <xf numFmtId="0" fontId="0" fillId="41" borderId="72" xfId="18" applyFont="1" applyBorder="1">
      <alignment horizontal="center" vertical="center" wrapText="1"/>
      <protection locked="0"/>
    </xf>
    <xf numFmtId="0" fontId="0" fillId="6" borderId="47" xfId="0" applyBorder="1" applyAlignment="1">
      <alignment horizontal="center" vertical="center"/>
    </xf>
    <xf numFmtId="0" fontId="0" fillId="6" borderId="47" xfId="0" applyBorder="1" applyAlignment="1">
      <alignment horizontal="center" vertical="center" wrapText="1"/>
    </xf>
    <xf numFmtId="0" fontId="39" fillId="6" borderId="62" xfId="0" applyFont="1" applyBorder="1">
      <alignment vertical="center"/>
    </xf>
    <xf numFmtId="0" fontId="26" fillId="6" borderId="47" xfId="0" applyFont="1" applyBorder="1" applyAlignment="1">
      <alignment horizontal="center" vertical="center" wrapText="1"/>
    </xf>
    <xf numFmtId="0" fontId="26" fillId="6" borderId="47" xfId="0" applyFont="1" applyBorder="1" applyAlignment="1">
      <alignment horizontal="center" vertical="center"/>
    </xf>
    <xf numFmtId="0" fontId="24" fillId="6" borderId="74" xfId="4" applyFill="1" applyBorder="1" applyAlignment="1">
      <alignment vertical="center"/>
    </xf>
    <xf numFmtId="0" fontId="26" fillId="54" borderId="55" xfId="55" applyFont="1" applyFill="1" applyBorder="1">
      <alignment horizontal="center" vertical="center" wrapText="1"/>
    </xf>
    <xf numFmtId="0" fontId="26" fillId="54" borderId="13" xfId="55" applyFont="1" applyFill="1" applyBorder="1">
      <alignment horizontal="center" vertical="center" wrapText="1"/>
    </xf>
    <xf numFmtId="0" fontId="26" fillId="54" borderId="14" xfId="55" applyFont="1" applyFill="1" applyBorder="1">
      <alignment horizontal="center" vertical="center" wrapText="1"/>
    </xf>
    <xf numFmtId="0" fontId="26" fillId="54" borderId="52" xfId="0" applyFont="1" applyFill="1" applyBorder="1" applyAlignment="1">
      <alignment horizontal="left" vertical="center"/>
    </xf>
    <xf numFmtId="0" fontId="26" fillId="54" borderId="18" xfId="0" applyFont="1" applyFill="1" applyBorder="1" applyAlignment="1">
      <alignment horizontal="left" vertical="center"/>
    </xf>
    <xf numFmtId="0" fontId="43" fillId="6" borderId="72" xfId="5" applyFont="1" applyBorder="1">
      <alignment horizontal="center" wrapText="1"/>
    </xf>
    <xf numFmtId="0" fontId="43" fillId="6" borderId="67" xfId="0" applyFont="1" applyBorder="1">
      <alignment vertical="center"/>
    </xf>
    <xf numFmtId="0" fontId="43" fillId="6" borderId="44" xfId="0" applyFont="1" applyBorder="1">
      <alignment vertical="center"/>
    </xf>
    <xf numFmtId="0" fontId="43" fillId="6" borderId="52" xfId="0" applyFont="1" applyBorder="1">
      <alignment vertical="center"/>
    </xf>
    <xf numFmtId="0" fontId="43" fillId="6" borderId="19" xfId="0" applyFont="1" applyBorder="1">
      <alignment vertical="center"/>
    </xf>
    <xf numFmtId="0" fontId="43" fillId="13" borderId="19" xfId="3" applyFont="1" applyBorder="1">
      <alignment horizontal="center" vertical="center"/>
    </xf>
    <xf numFmtId="0" fontId="43" fillId="6" borderId="72" xfId="0" applyFont="1" applyBorder="1">
      <alignment vertical="center"/>
    </xf>
    <xf numFmtId="0" fontId="43" fillId="6" borderId="30" xfId="0" applyFont="1" applyBorder="1">
      <alignment vertical="center"/>
    </xf>
    <xf numFmtId="0" fontId="43" fillId="13" borderId="21" xfId="3" applyFont="1" applyBorder="1">
      <alignment horizontal="center" vertical="center"/>
    </xf>
    <xf numFmtId="0" fontId="43" fillId="6" borderId="18" xfId="0" applyFont="1" applyBorder="1">
      <alignment vertical="center"/>
    </xf>
    <xf numFmtId="0" fontId="43" fillId="13" borderId="14" xfId="3" applyFont="1" applyBorder="1">
      <alignment horizontal="center" vertical="center"/>
    </xf>
    <xf numFmtId="0" fontId="43" fillId="6" borderId="24" xfId="0" applyFont="1" applyBorder="1">
      <alignment vertical="center"/>
    </xf>
    <xf numFmtId="0" fontId="33" fillId="6" borderId="41" xfId="116" applyBorder="1" applyAlignment="1">
      <alignment vertical="top"/>
    </xf>
    <xf numFmtId="0" fontId="41" fillId="6" borderId="0" xfId="0" applyFont="1" applyAlignment="1">
      <alignment vertical="top"/>
    </xf>
    <xf numFmtId="0" fontId="43" fillId="6" borderId="0" xfId="0" applyFont="1" applyAlignment="1">
      <alignment vertical="top"/>
    </xf>
    <xf numFmtId="3" fontId="43" fillId="14" borderId="75" xfId="20" applyFont="1" applyBorder="1">
      <alignment horizontal="right" vertical="center"/>
      <protection locked="0"/>
    </xf>
    <xf numFmtId="0" fontId="41" fillId="6" borderId="0" xfId="0" applyFont="1">
      <alignment vertical="center"/>
    </xf>
    <xf numFmtId="3" fontId="43" fillId="14" borderId="52" xfId="20" applyFont="1" applyBorder="1">
      <alignment horizontal="right" vertical="center"/>
      <protection locked="0"/>
    </xf>
    <xf numFmtId="3" fontId="43" fillId="14" borderId="18" xfId="20" applyFont="1" applyBorder="1">
      <alignment horizontal="right" vertical="center"/>
      <protection locked="0"/>
    </xf>
    <xf numFmtId="3" fontId="43" fillId="14" borderId="19" xfId="20" applyFont="1" applyBorder="1">
      <alignment horizontal="right" vertical="center"/>
      <protection locked="0"/>
    </xf>
    <xf numFmtId="3" fontId="43" fillId="14" borderId="20" xfId="20" applyFont="1" applyBorder="1">
      <alignment horizontal="right" vertical="center"/>
      <protection locked="0"/>
    </xf>
    <xf numFmtId="0" fontId="41" fillId="6" borderId="72" xfId="0" applyFont="1" applyBorder="1">
      <alignment vertical="center"/>
    </xf>
    <xf numFmtId="0" fontId="29" fillId="13" borderId="50" xfId="3" applyFont="1" applyBorder="1">
      <alignment horizontal="center" vertical="center"/>
    </xf>
    <xf numFmtId="0" fontId="26" fillId="6" borderId="52" xfId="0" applyFont="1" applyBorder="1" applyAlignment="1">
      <alignment horizontal="center" vertical="center"/>
    </xf>
    <xf numFmtId="0" fontId="0" fillId="13" borderId="71" xfId="3" applyFont="1" applyBorder="1">
      <alignment horizontal="center" vertical="center"/>
    </xf>
    <xf numFmtId="0" fontId="0" fillId="41" borderId="16" xfId="18" applyFont="1" applyBorder="1">
      <alignment horizontal="center" vertical="center" wrapText="1"/>
      <protection locked="0"/>
    </xf>
    <xf numFmtId="0" fontId="0" fillId="6" borderId="27" xfId="0" applyBorder="1" applyAlignment="1">
      <alignment horizontal="center" vertical="center"/>
    </xf>
    <xf numFmtId="0" fontId="0" fillId="6" borderId="36" xfId="0" applyBorder="1" applyAlignment="1">
      <alignment horizontal="center" vertical="center"/>
    </xf>
    <xf numFmtId="0" fontId="43" fillId="0" borderId="58" xfId="0" applyFont="1" applyFill="1" applyBorder="1" applyAlignment="1">
      <alignment horizontal="center"/>
    </xf>
    <xf numFmtId="0" fontId="43" fillId="0" borderId="50" xfId="0" applyFont="1" applyFill="1" applyBorder="1" applyAlignment="1">
      <alignment horizontal="center"/>
    </xf>
    <xf numFmtId="0" fontId="43" fillId="0" borderId="73" xfId="0" applyFont="1" applyFill="1" applyBorder="1" applyAlignment="1">
      <alignment horizontal="center"/>
    </xf>
    <xf numFmtId="0" fontId="43" fillId="0" borderId="75" xfId="0" applyFont="1" applyFill="1" applyBorder="1" applyAlignment="1">
      <alignment horizontal="center"/>
    </xf>
    <xf numFmtId="0" fontId="43" fillId="0" borderId="121" xfId="0" applyFont="1" applyFill="1" applyBorder="1" applyAlignment="1">
      <alignment horizontal="center"/>
    </xf>
    <xf numFmtId="0" fontId="43" fillId="0" borderId="23" xfId="0" applyFont="1" applyFill="1" applyBorder="1" applyAlignment="1">
      <alignment horizontal="center"/>
    </xf>
    <xf numFmtId="0" fontId="43" fillId="0" borderId="15" xfId="0" applyFont="1" applyFill="1" applyBorder="1" applyAlignment="1">
      <alignment horizontal="center"/>
    </xf>
    <xf numFmtId="0" fontId="43" fillId="0" borderId="22" xfId="0" applyFont="1" applyFill="1" applyBorder="1" applyAlignment="1">
      <alignment horizontal="center"/>
    </xf>
    <xf numFmtId="0" fontId="43" fillId="0" borderId="66" xfId="0" applyFont="1" applyFill="1" applyBorder="1" applyAlignment="1">
      <alignment horizontal="center"/>
    </xf>
    <xf numFmtId="0" fontId="43" fillId="0" borderId="16" xfId="0" applyFont="1" applyFill="1" applyBorder="1" applyAlignment="1">
      <alignment horizontal="center"/>
    </xf>
    <xf numFmtId="0" fontId="43" fillId="0" borderId="13" xfId="0" applyFont="1" applyFill="1" applyBorder="1" applyAlignment="1">
      <alignment horizontal="center"/>
    </xf>
    <xf numFmtId="0" fontId="43" fillId="0" borderId="21" xfId="0" applyFont="1" applyFill="1" applyBorder="1" applyAlignment="1">
      <alignment horizontal="center"/>
    </xf>
    <xf numFmtId="0" fontId="43" fillId="0" borderId="68" xfId="0" applyFont="1" applyFill="1" applyBorder="1" applyAlignment="1">
      <alignment horizontal="center"/>
    </xf>
    <xf numFmtId="0" fontId="43" fillId="0" borderId="17" xfId="0" applyFont="1" applyFill="1" applyBorder="1" applyAlignment="1">
      <alignment horizontal="center"/>
    </xf>
    <xf numFmtId="0" fontId="43" fillId="0" borderId="14" xfId="0" applyFont="1" applyFill="1" applyBorder="1" applyAlignment="1">
      <alignment horizontal="center"/>
    </xf>
    <xf numFmtId="0" fontId="43" fillId="0" borderId="20" xfId="0" applyFont="1" applyFill="1" applyBorder="1" applyAlignment="1">
      <alignment horizontal="center"/>
    </xf>
    <xf numFmtId="49" fontId="0" fillId="41" borderId="26" xfId="19" applyFont="1" applyBorder="1" applyAlignment="1">
      <alignment horizontal="center" vertical="center"/>
      <protection locked="0"/>
    </xf>
    <xf numFmtId="0" fontId="26" fillId="6" borderId="38" xfId="0" applyFont="1" applyBorder="1" applyAlignment="1">
      <alignment horizontal="center" vertical="center"/>
    </xf>
    <xf numFmtId="0" fontId="0" fillId="6" borderId="24" xfId="0" applyBorder="1" applyAlignment="1">
      <alignment horizontal="left" vertical="center" indent="2"/>
    </xf>
    <xf numFmtId="0" fontId="0" fillId="43" borderId="52" xfId="9" applyFont="1" applyBorder="1" applyAlignment="1">
      <alignment vertical="center"/>
    </xf>
    <xf numFmtId="0" fontId="26" fillId="43" borderId="52" xfId="9" applyFont="1" applyBorder="1" applyAlignment="1">
      <alignment vertical="center"/>
    </xf>
    <xf numFmtId="3" fontId="26" fillId="43" borderId="52" xfId="9" applyNumberFormat="1" applyFont="1" applyBorder="1" applyAlignment="1">
      <alignment vertical="center"/>
    </xf>
    <xf numFmtId="0" fontId="0" fillId="6" borderId="17" xfId="0" applyBorder="1">
      <alignment vertical="center"/>
    </xf>
    <xf numFmtId="0" fontId="0" fillId="6" borderId="14" xfId="0" applyBorder="1">
      <alignment vertical="center"/>
    </xf>
    <xf numFmtId="0" fontId="0" fillId="6" borderId="15" xfId="0" applyBorder="1">
      <alignment vertical="center"/>
    </xf>
    <xf numFmtId="0" fontId="28" fillId="6" borderId="75" xfId="5" applyBorder="1">
      <alignment horizontal="center" wrapText="1"/>
    </xf>
    <xf numFmtId="0" fontId="0" fillId="6" borderId="22" xfId="0" applyBorder="1">
      <alignment vertical="center"/>
    </xf>
    <xf numFmtId="0" fontId="0" fillId="6" borderId="20" xfId="0" applyBorder="1">
      <alignment vertical="center"/>
    </xf>
    <xf numFmtId="0" fontId="26" fillId="13" borderId="52" xfId="3" applyFont="1" applyBorder="1">
      <alignment horizontal="center" vertical="center"/>
    </xf>
    <xf numFmtId="0" fontId="26" fillId="6" borderId="13" xfId="0" applyFont="1" applyBorder="1" applyAlignment="1">
      <alignment horizontal="center" vertical="top"/>
    </xf>
    <xf numFmtId="0" fontId="28" fillId="6" borderId="44" xfId="0" applyFont="1" applyBorder="1" applyAlignment="1">
      <alignment horizontal="center" vertical="center"/>
    </xf>
    <xf numFmtId="0" fontId="41" fillId="6" borderId="0" xfId="5" applyFont="1" applyBorder="1">
      <alignment horizontal="center" wrapText="1"/>
    </xf>
    <xf numFmtId="0" fontId="41" fillId="6" borderId="0" xfId="0" applyFont="1" applyAlignment="1">
      <alignment horizontal="center" vertical="center" wrapText="1"/>
    </xf>
    <xf numFmtId="0" fontId="41" fillId="54" borderId="71" xfId="0" applyFont="1" applyFill="1" applyBorder="1">
      <alignment vertical="center"/>
    </xf>
    <xf numFmtId="0" fontId="0" fillId="54" borderId="52" xfId="0" applyFill="1" applyBorder="1" applyAlignment="1">
      <alignment horizontal="left" vertical="center"/>
    </xf>
    <xf numFmtId="3" fontId="0" fillId="54" borderId="52" xfId="30" applyFont="1" applyFill="1" applyBorder="1">
      <alignment horizontal="right" vertical="center"/>
    </xf>
    <xf numFmtId="0" fontId="0" fillId="54" borderId="19" xfId="0" applyFill="1" applyBorder="1">
      <alignment vertical="center"/>
    </xf>
    <xf numFmtId="0" fontId="0" fillId="54" borderId="19" xfId="0" applyFill="1" applyBorder="1" applyAlignment="1">
      <alignment horizontal="center" vertical="center"/>
    </xf>
    <xf numFmtId="3" fontId="43" fillId="6" borderId="32" xfId="30" applyFont="1" applyBorder="1">
      <alignment horizontal="right" vertical="center"/>
    </xf>
    <xf numFmtId="0" fontId="43" fillId="46" borderId="0" xfId="0" applyFont="1" applyFill="1">
      <alignment vertical="center"/>
    </xf>
    <xf numFmtId="3" fontId="0" fillId="6" borderId="29" xfId="30" applyFont="1" applyBorder="1">
      <alignment horizontal="right" vertical="center"/>
    </xf>
    <xf numFmtId="3" fontId="0" fillId="6" borderId="16" xfId="30" applyFont="1" applyBorder="1">
      <alignment horizontal="right" vertical="center"/>
    </xf>
    <xf numFmtId="0" fontId="24" fillId="6" borderId="58" xfId="4" applyFill="1" applyBorder="1" applyAlignment="1"/>
    <xf numFmtId="0" fontId="27" fillId="6" borderId="41" xfId="0" applyFont="1" applyBorder="1" applyAlignment="1"/>
    <xf numFmtId="1" fontId="26" fillId="4" borderId="73" xfId="37" applyFont="1" applyBorder="1" applyAlignment="1">
      <alignment horizontal="center" vertical="center"/>
    </xf>
    <xf numFmtId="0" fontId="34" fillId="6" borderId="47" xfId="0" applyFont="1" applyBorder="1" applyAlignment="1">
      <alignment horizontal="center" vertical="center"/>
    </xf>
    <xf numFmtId="0" fontId="27" fillId="6" borderId="71" xfId="0" applyFont="1" applyBorder="1" applyAlignment="1"/>
    <xf numFmtId="0" fontId="26" fillId="6" borderId="62" xfId="0" applyFont="1" applyBorder="1" applyAlignment="1"/>
    <xf numFmtId="0" fontId="27" fillId="6" borderId="71" xfId="0" applyFont="1" applyBorder="1" applyAlignment="1">
      <alignment horizontal="left" vertical="center"/>
    </xf>
    <xf numFmtId="0" fontId="24" fillId="6" borderId="71" xfId="0" applyFont="1" applyBorder="1">
      <alignment vertical="center"/>
    </xf>
    <xf numFmtId="3" fontId="26" fillId="6" borderId="71" xfId="30" applyFont="1" applyBorder="1">
      <alignment horizontal="right" vertical="center"/>
    </xf>
    <xf numFmtId="0" fontId="27" fillId="6" borderId="67" xfId="0" applyFont="1" applyBorder="1">
      <alignment vertical="center"/>
    </xf>
    <xf numFmtId="0" fontId="27" fillId="6" borderId="72" xfId="0" applyFont="1" applyBorder="1" applyAlignment="1"/>
    <xf numFmtId="0" fontId="26" fillId="6" borderId="72" xfId="0" applyFont="1" applyBorder="1" applyAlignment="1"/>
    <xf numFmtId="0" fontId="26" fillId="6" borderId="47" xfId="0" applyFont="1" applyBorder="1" applyAlignment="1"/>
    <xf numFmtId="0" fontId="27" fillId="6" borderId="72" xfId="0" applyFont="1" applyBorder="1" applyAlignment="1">
      <alignment horizontal="left" vertical="center"/>
    </xf>
    <xf numFmtId="0" fontId="26" fillId="6" borderId="73" xfId="0" applyFont="1" applyBorder="1" applyAlignment="1">
      <alignment horizontal="center" vertical="center"/>
    </xf>
    <xf numFmtId="0" fontId="28" fillId="6" borderId="59" xfId="0" applyFont="1" applyBorder="1">
      <alignment vertical="center"/>
    </xf>
    <xf numFmtId="0" fontId="26" fillId="6" borderId="51" xfId="0" applyFont="1" applyBorder="1" applyAlignment="1">
      <alignment horizontal="left" vertical="center"/>
    </xf>
    <xf numFmtId="0" fontId="26" fillId="6" borderId="51" xfId="0" applyFont="1" applyBorder="1" applyAlignment="1">
      <alignment horizontal="center" vertical="center"/>
    </xf>
    <xf numFmtId="0" fontId="26" fillId="6" borderId="49" xfId="0" applyFont="1" applyBorder="1" applyAlignment="1">
      <alignment horizontal="center" vertical="center"/>
    </xf>
    <xf numFmtId="0" fontId="0" fillId="6" borderId="49" xfId="0" applyBorder="1" applyAlignment="1">
      <alignment horizontal="left" vertical="center"/>
    </xf>
    <xf numFmtId="0" fontId="26" fillId="2" borderId="52" xfId="0" applyFont="1" applyFill="1" applyBorder="1">
      <alignment vertical="center"/>
    </xf>
    <xf numFmtId="0" fontId="26" fillId="2" borderId="47" xfId="0" applyFont="1" applyFill="1" applyBorder="1">
      <alignment vertical="center"/>
    </xf>
    <xf numFmtId="0" fontId="26" fillId="6" borderId="60" xfId="0" applyFont="1" applyBorder="1" applyAlignment="1">
      <alignment horizontal="center" vertical="center"/>
    </xf>
    <xf numFmtId="0" fontId="26" fillId="6" borderId="42" xfId="0" applyFont="1" applyBorder="1">
      <alignment vertical="center"/>
    </xf>
    <xf numFmtId="0" fontId="0" fillId="2" borderId="20" xfId="0" applyFill="1" applyBorder="1">
      <alignment vertical="center"/>
    </xf>
    <xf numFmtId="0" fontId="28" fillId="0" borderId="50" xfId="5" applyFill="1" applyBorder="1">
      <alignment horizontal="center" wrapText="1"/>
    </xf>
    <xf numFmtId="0" fontId="26" fillId="54" borderId="51" xfId="55" applyFont="1" applyFill="1" applyBorder="1">
      <alignment horizontal="center" vertical="center" wrapText="1"/>
    </xf>
    <xf numFmtId="3" fontId="43" fillId="13" borderId="51" xfId="3" applyNumberFormat="1" applyFont="1" applyBorder="1">
      <alignment horizontal="center" vertical="center"/>
    </xf>
    <xf numFmtId="3" fontId="43" fillId="14" borderId="51" xfId="20" applyFont="1" applyBorder="1">
      <alignment horizontal="right" vertical="center"/>
      <protection locked="0"/>
    </xf>
    <xf numFmtId="0" fontId="43" fillId="13" borderId="51" xfId="3" applyFont="1" applyBorder="1">
      <alignment horizontal="center" vertical="center"/>
    </xf>
    <xf numFmtId="3" fontId="43" fillId="41" borderId="51" xfId="11" applyFont="1" applyBorder="1">
      <alignment horizontal="right" vertical="center"/>
      <protection locked="0"/>
    </xf>
    <xf numFmtId="0" fontId="0" fillId="0" borderId="53" xfId="0" applyFill="1" applyBorder="1" applyAlignment="1">
      <alignment vertical="top" wrapText="1"/>
    </xf>
    <xf numFmtId="0" fontId="0" fillId="0" borderId="16" xfId="0" applyFill="1" applyBorder="1" applyAlignment="1">
      <alignment vertical="top" wrapText="1"/>
    </xf>
    <xf numFmtId="0" fontId="43" fillId="0" borderId="17" xfId="0" applyFont="1" applyFill="1" applyBorder="1" applyAlignment="1">
      <alignment vertical="top" wrapText="1"/>
    </xf>
    <xf numFmtId="172" fontId="28" fillId="6" borderId="75" xfId="5" applyNumberFormat="1" applyBorder="1">
      <alignment horizontal="center" wrapText="1"/>
    </xf>
    <xf numFmtId="0" fontId="26" fillId="13" borderId="50" xfId="3" applyFont="1" applyBorder="1">
      <alignment horizontal="center" vertical="center"/>
    </xf>
    <xf numFmtId="0" fontId="26" fillId="13" borderId="73" xfId="3" applyFont="1" applyBorder="1">
      <alignment horizontal="center" vertical="center"/>
    </xf>
    <xf numFmtId="0" fontId="0" fillId="6" borderId="30" xfId="0" applyBorder="1" applyAlignment="1">
      <alignment horizontal="left" vertical="center" indent="2"/>
    </xf>
    <xf numFmtId="0" fontId="27" fillId="6" borderId="75" xfId="0" applyFont="1" applyBorder="1">
      <alignment vertical="center"/>
    </xf>
    <xf numFmtId="0" fontId="27" fillId="6" borderId="72" xfId="0" applyFont="1" applyBorder="1">
      <alignment vertical="center"/>
    </xf>
    <xf numFmtId="0" fontId="28" fillId="6" borderId="72" xfId="0" applyFont="1" applyBorder="1" applyAlignment="1">
      <alignment horizontal="center" vertical="center" wrapText="1"/>
    </xf>
    <xf numFmtId="49" fontId="26" fillId="41" borderId="13" xfId="19" applyFont="1">
      <alignment vertical="center"/>
      <protection locked="0"/>
    </xf>
    <xf numFmtId="49" fontId="26" fillId="41" borderId="14" xfId="19" applyFont="1" applyBorder="1">
      <alignment vertical="center"/>
      <protection locked="0"/>
    </xf>
    <xf numFmtId="0" fontId="29" fillId="13" borderId="30" xfId="3" applyFont="1" applyBorder="1">
      <alignment horizontal="center" vertical="center"/>
    </xf>
    <xf numFmtId="3" fontId="26" fillId="6" borderId="79" xfId="30" applyFont="1" applyBorder="1">
      <alignment horizontal="right" vertical="center"/>
    </xf>
    <xf numFmtId="3" fontId="0" fillId="6" borderId="14" xfId="30" applyFont="1" applyBorder="1">
      <alignment horizontal="right" vertical="center"/>
    </xf>
    <xf numFmtId="0" fontId="22" fillId="6" borderId="19" xfId="83" applyFill="1" applyBorder="1" applyAlignment="1">
      <alignment vertical="center"/>
    </xf>
    <xf numFmtId="0" fontId="0" fillId="6" borderId="44" xfId="0" applyBorder="1" applyAlignment="1">
      <alignment horizontal="left" vertical="center"/>
    </xf>
    <xf numFmtId="3" fontId="26" fillId="6" borderId="72" xfId="30" applyFont="1" applyBorder="1">
      <alignment horizontal="right" vertical="center"/>
    </xf>
    <xf numFmtId="3" fontId="26" fillId="6" borderId="73" xfId="30" applyFont="1" applyBorder="1">
      <alignment horizontal="right" vertical="center"/>
    </xf>
    <xf numFmtId="3" fontId="32" fillId="41" borderId="20" xfId="11" applyFont="1" applyBorder="1">
      <alignment horizontal="right" vertical="center"/>
      <protection locked="0"/>
    </xf>
    <xf numFmtId="49" fontId="0" fillId="41" borderId="13" xfId="19" applyFont="1">
      <alignment vertical="center"/>
      <protection locked="0"/>
    </xf>
    <xf numFmtId="0" fontId="0" fillId="2" borderId="18" xfId="0" applyFill="1" applyBorder="1" applyAlignment="1">
      <alignment horizontal="left" vertical="center" wrapText="1"/>
    </xf>
    <xf numFmtId="0" fontId="0" fillId="2" borderId="19" xfId="0" applyFill="1" applyBorder="1" applyAlignment="1">
      <alignment horizontal="left" vertical="center" wrapText="1"/>
    </xf>
    <xf numFmtId="3" fontId="32" fillId="14" borderId="16" xfId="20" applyFont="1" applyBorder="1">
      <alignment horizontal="right" vertical="center"/>
      <protection locked="0"/>
    </xf>
    <xf numFmtId="0" fontId="65" fillId="13" borderId="14" xfId="3" applyFont="1" applyBorder="1">
      <alignment horizontal="center" vertical="center"/>
    </xf>
    <xf numFmtId="3" fontId="32" fillId="6" borderId="14" xfId="30" applyFont="1" applyBorder="1">
      <alignment horizontal="right" vertical="center"/>
    </xf>
    <xf numFmtId="3" fontId="32" fillId="14" borderId="14" xfId="20" applyFont="1" applyBorder="1">
      <alignment horizontal="right" vertical="center"/>
      <protection locked="0"/>
    </xf>
    <xf numFmtId="3" fontId="32" fillId="14" borderId="17" xfId="20" applyFont="1" applyBorder="1">
      <alignment horizontal="right" vertical="center"/>
      <protection locked="0"/>
    </xf>
    <xf numFmtId="0" fontId="0" fillId="6" borderId="51" xfId="0" applyBorder="1">
      <alignment vertical="center"/>
    </xf>
    <xf numFmtId="3" fontId="43" fillId="41" borderId="53" xfId="11" applyFont="1" applyBorder="1" applyAlignment="1">
      <alignment horizontal="center" vertical="center"/>
      <protection locked="0"/>
    </xf>
    <xf numFmtId="3" fontId="43" fillId="41" borderId="16" xfId="11" applyFont="1" applyBorder="1" applyAlignment="1">
      <alignment horizontal="center" vertical="center"/>
      <protection locked="0"/>
    </xf>
    <xf numFmtId="170" fontId="43" fillId="42" borderId="16" xfId="13" applyFont="1" applyBorder="1" applyAlignment="1">
      <alignment horizontal="center" vertical="center"/>
      <protection locked="0"/>
    </xf>
    <xf numFmtId="0" fontId="43" fillId="13" borderId="20" xfId="3" applyFont="1" applyBorder="1">
      <alignment horizontal="center" vertical="center"/>
    </xf>
    <xf numFmtId="0" fontId="43" fillId="13" borderId="49" xfId="3" applyFont="1" applyBorder="1">
      <alignment horizontal="center" vertical="center"/>
    </xf>
    <xf numFmtId="0" fontId="43" fillId="13" borderId="52" xfId="3" applyFont="1" applyBorder="1">
      <alignment horizontal="center" vertical="center"/>
    </xf>
    <xf numFmtId="0" fontId="0" fillId="6" borderId="20" xfId="0" applyBorder="1" applyAlignment="1">
      <alignment horizontal="left" vertical="center"/>
    </xf>
    <xf numFmtId="0" fontId="0" fillId="6" borderId="21" xfId="0" applyBorder="1" applyAlignment="1">
      <alignment horizontal="left" vertical="center"/>
    </xf>
    <xf numFmtId="0" fontId="0" fillId="2" borderId="52" xfId="0" applyFill="1" applyBorder="1">
      <alignment vertical="center"/>
    </xf>
    <xf numFmtId="0" fontId="0" fillId="2" borderId="18" xfId="0" applyFill="1" applyBorder="1">
      <alignment vertical="center"/>
    </xf>
    <xf numFmtId="0" fontId="0" fillId="2" borderId="19" xfId="0" applyFill="1" applyBorder="1">
      <alignment vertical="center"/>
    </xf>
    <xf numFmtId="0" fontId="43" fillId="13" borderId="18" xfId="3" applyFont="1" applyBorder="1">
      <alignment horizontal="center" vertical="center"/>
    </xf>
    <xf numFmtId="0" fontId="0" fillId="2" borderId="21" xfId="0" applyFill="1" applyBorder="1" applyAlignment="1">
      <alignment horizontal="left" vertical="center" wrapText="1"/>
    </xf>
    <xf numFmtId="0" fontId="28" fillId="6" borderId="29" xfId="0" applyFont="1" applyBorder="1">
      <alignment vertical="center"/>
    </xf>
    <xf numFmtId="0" fontId="0" fillId="6" borderId="21" xfId="0" quotePrefix="1" applyBorder="1">
      <alignment vertical="center"/>
    </xf>
    <xf numFmtId="0" fontId="45" fillId="6" borderId="41" xfId="0" applyFont="1" applyBorder="1" applyAlignment="1">
      <alignment horizontal="left" vertical="center"/>
    </xf>
    <xf numFmtId="0" fontId="26" fillId="14" borderId="14" xfId="26" applyFont="1" applyBorder="1">
      <alignment horizontal="center" vertical="center" wrapText="1"/>
      <protection locked="0"/>
    </xf>
    <xf numFmtId="0" fontId="43" fillId="6" borderId="52" xfId="0" applyFont="1" applyBorder="1" applyAlignment="1">
      <alignment horizontal="left" wrapText="1"/>
    </xf>
    <xf numFmtId="0" fontId="36" fillId="6" borderId="71" xfId="0" applyFont="1" applyBorder="1" applyAlignment="1">
      <alignment horizontal="left" vertical="center"/>
    </xf>
    <xf numFmtId="0" fontId="36" fillId="6" borderId="71" xfId="0" applyFont="1" applyBorder="1">
      <alignment vertical="center"/>
    </xf>
    <xf numFmtId="3" fontId="0" fillId="14" borderId="18" xfId="20" applyFont="1" applyBorder="1">
      <alignment horizontal="right" vertical="center"/>
      <protection locked="0"/>
    </xf>
    <xf numFmtId="3" fontId="43" fillId="13" borderId="20" xfId="3" applyNumberFormat="1" applyFont="1" applyBorder="1">
      <alignment horizontal="center" vertical="center"/>
    </xf>
    <xf numFmtId="0" fontId="43" fillId="6" borderId="19" xfId="0" applyFont="1" applyBorder="1" applyAlignment="1">
      <alignment horizontal="left" wrapText="1"/>
    </xf>
    <xf numFmtId="2" fontId="0" fillId="0" borderId="53" xfId="0" applyNumberFormat="1" applyFill="1" applyBorder="1" applyAlignment="1">
      <alignment horizontal="left" vertical="center" wrapText="1"/>
    </xf>
    <xf numFmtId="2" fontId="0" fillId="0" borderId="17" xfId="0" applyNumberFormat="1" applyFill="1" applyBorder="1" applyAlignment="1">
      <alignment horizontal="left" vertical="center" wrapText="1"/>
    </xf>
    <xf numFmtId="3" fontId="43" fillId="13" borderId="53" xfId="3" applyNumberFormat="1" applyFont="1" applyBorder="1">
      <alignment horizontal="center" vertical="center"/>
    </xf>
    <xf numFmtId="0" fontId="43" fillId="13" borderId="55" xfId="3" applyFont="1" applyBorder="1">
      <alignment horizontal="center" vertical="center"/>
    </xf>
    <xf numFmtId="10" fontId="43" fillId="13" borderId="55" xfId="3" applyNumberFormat="1" applyFont="1" applyBorder="1">
      <alignment horizontal="center" vertical="center"/>
    </xf>
    <xf numFmtId="0" fontId="43" fillId="13" borderId="53" xfId="3" applyFont="1" applyBorder="1">
      <alignment horizontal="center" vertical="center"/>
    </xf>
    <xf numFmtId="0" fontId="65" fillId="13" borderId="51" xfId="3" applyFont="1" applyBorder="1">
      <alignment horizontal="center" vertical="center"/>
    </xf>
    <xf numFmtId="3" fontId="43" fillId="13" borderId="17" xfId="3" applyNumberFormat="1" applyFont="1" applyBorder="1">
      <alignment horizontal="center" vertical="center"/>
    </xf>
    <xf numFmtId="10" fontId="43" fillId="13" borderId="14" xfId="3" applyNumberFormat="1" applyFont="1" applyBorder="1">
      <alignment horizontal="center" vertical="center"/>
    </xf>
    <xf numFmtId="0" fontId="65" fillId="13" borderId="20" xfId="3" applyFont="1" applyBorder="1">
      <alignment horizontal="center" vertical="center"/>
    </xf>
    <xf numFmtId="0" fontId="28" fillId="6" borderId="67" xfId="0" applyFont="1" applyBorder="1" applyAlignment="1">
      <alignment horizontal="left" vertical="center"/>
    </xf>
    <xf numFmtId="0" fontId="28" fillId="6" borderId="58" xfId="0" applyFont="1" applyBorder="1">
      <alignment vertical="center"/>
    </xf>
    <xf numFmtId="0" fontId="5" fillId="6" borderId="72" xfId="0" applyFont="1" applyBorder="1">
      <alignment vertical="center"/>
    </xf>
    <xf numFmtId="0" fontId="5" fillId="6" borderId="58" xfId="0" applyFont="1" applyBorder="1">
      <alignment vertical="center"/>
    </xf>
    <xf numFmtId="0" fontId="26" fillId="54" borderId="19" xfId="0" applyFont="1" applyFill="1" applyBorder="1" applyAlignment="1">
      <alignment horizontal="left" vertical="center"/>
    </xf>
    <xf numFmtId="0" fontId="26" fillId="54" borderId="53" xfId="55" applyFont="1" applyFill="1" applyBorder="1">
      <alignment horizontal="center" vertical="center" wrapText="1"/>
    </xf>
    <xf numFmtId="0" fontId="26" fillId="54" borderId="17" xfId="55" applyFont="1" applyFill="1" applyBorder="1">
      <alignment horizontal="center" vertical="center" wrapText="1"/>
    </xf>
    <xf numFmtId="0" fontId="26" fillId="13" borderId="44" xfId="0" applyFont="1" applyFill="1" applyBorder="1">
      <alignment vertical="center"/>
    </xf>
    <xf numFmtId="0" fontId="26" fillId="50" borderId="58" xfId="0" applyFont="1" applyFill="1" applyBorder="1">
      <alignment vertical="center"/>
    </xf>
    <xf numFmtId="3" fontId="43" fillId="41" borderId="60" xfId="11" applyFont="1" applyBorder="1">
      <alignment horizontal="right" vertical="center"/>
      <protection locked="0"/>
    </xf>
    <xf numFmtId="3" fontId="26" fillId="43" borderId="72" xfId="6" applyFont="1" applyBorder="1">
      <alignment horizontal="right" vertical="center"/>
    </xf>
    <xf numFmtId="0" fontId="28" fillId="13" borderId="51" xfId="3" applyFont="1" applyBorder="1">
      <alignment horizontal="center" vertical="center"/>
    </xf>
    <xf numFmtId="3" fontId="26" fillId="13" borderId="15" xfId="3" applyNumberFormat="1" applyFont="1" applyBorder="1">
      <alignment horizontal="center" vertical="center"/>
    </xf>
    <xf numFmtId="3" fontId="26" fillId="13" borderId="22" xfId="3" applyNumberFormat="1" applyFont="1" applyBorder="1">
      <alignment horizontal="center" vertical="center"/>
    </xf>
    <xf numFmtId="169" fontId="26" fillId="6" borderId="13" xfId="31" applyFont="1" applyBorder="1">
      <alignment horizontal="right" vertical="center"/>
    </xf>
    <xf numFmtId="0" fontId="26" fillId="6" borderId="32" xfId="0" applyFont="1" applyBorder="1" applyAlignment="1">
      <alignment horizontal="center" vertical="center"/>
    </xf>
    <xf numFmtId="0" fontId="26" fillId="6" borderId="17" xfId="0" applyFont="1" applyBorder="1" applyAlignment="1">
      <alignment horizontal="left" vertical="center" indent="1"/>
    </xf>
    <xf numFmtId="0" fontId="0" fillId="6" borderId="53" xfId="0" applyBorder="1" applyAlignment="1">
      <alignment horizontal="center" vertical="center" wrapText="1"/>
    </xf>
    <xf numFmtId="0" fontId="0" fillId="2" borderId="26" xfId="0" applyFill="1" applyBorder="1" applyAlignment="1">
      <alignment horizontal="center" vertical="center"/>
    </xf>
    <xf numFmtId="0" fontId="0" fillId="2" borderId="21" xfId="0" applyFill="1" applyBorder="1" applyAlignment="1">
      <alignment vertical="center" wrapText="1"/>
    </xf>
    <xf numFmtId="0" fontId="26" fillId="41" borderId="19" xfId="18" applyFont="1" applyBorder="1">
      <alignment horizontal="center" vertical="center" wrapText="1"/>
      <protection locked="0"/>
    </xf>
    <xf numFmtId="0" fontId="29" fillId="6" borderId="18" xfId="0" applyFont="1" applyBorder="1" applyAlignment="1">
      <alignment horizontal="left" vertical="center" wrapText="1" indent="2"/>
    </xf>
    <xf numFmtId="0" fontId="28" fillId="6" borderId="50" xfId="0" applyFont="1" applyBorder="1" applyAlignment="1">
      <alignment horizontal="center" wrapText="1"/>
    </xf>
    <xf numFmtId="0" fontId="26" fillId="6" borderId="18" xfId="0" applyFont="1" applyBorder="1" applyAlignment="1">
      <alignment horizontal="left" vertical="center" wrapText="1" indent="2"/>
    </xf>
    <xf numFmtId="3" fontId="43" fillId="14" borderId="55" xfId="20" applyFont="1" applyBorder="1">
      <alignment horizontal="right" vertical="center"/>
      <protection locked="0"/>
    </xf>
    <xf numFmtId="0" fontId="24" fillId="6" borderId="120" xfId="29" applyFont="1" applyBorder="1" applyAlignment="1">
      <alignment horizontal="left" vertical="center"/>
    </xf>
    <xf numFmtId="0" fontId="26" fillId="13" borderId="51" xfId="0" applyFont="1" applyFill="1" applyBorder="1">
      <alignment vertical="center"/>
    </xf>
    <xf numFmtId="0" fontId="30" fillId="6" borderId="122" xfId="0" applyFont="1" applyBorder="1" applyAlignment="1">
      <alignment horizontal="center" vertical="center" wrapText="1"/>
    </xf>
    <xf numFmtId="0" fontId="26" fillId="41" borderId="16" xfId="18" applyFont="1" applyBorder="1">
      <alignment horizontal="center" vertical="center" wrapText="1"/>
      <protection locked="0"/>
    </xf>
    <xf numFmtId="0" fontId="43" fillId="46" borderId="30" xfId="3" applyFont="1" applyFill="1" applyBorder="1">
      <alignment horizontal="center" vertical="center"/>
    </xf>
    <xf numFmtId="3" fontId="43" fillId="14" borderId="28" xfId="20" applyFont="1" applyBorder="1">
      <alignment horizontal="right" vertical="center"/>
      <protection locked="0"/>
    </xf>
    <xf numFmtId="0" fontId="43" fillId="46" borderId="28" xfId="3" applyFont="1" applyFill="1" applyBorder="1">
      <alignment horizontal="center" vertical="center"/>
    </xf>
    <xf numFmtId="0" fontId="43" fillId="46" borderId="29" xfId="3" applyFont="1" applyFill="1" applyBorder="1">
      <alignment horizontal="center" vertical="center"/>
    </xf>
    <xf numFmtId="173" fontId="26" fillId="6" borderId="51" xfId="35" applyFont="1" applyBorder="1">
      <alignment horizontal="center" vertical="center" wrapText="1"/>
    </xf>
    <xf numFmtId="3" fontId="43" fillId="6" borderId="0" xfId="30" applyFont="1" applyBorder="1">
      <alignment horizontal="right" vertical="center"/>
    </xf>
    <xf numFmtId="3" fontId="26" fillId="6" borderId="29" xfId="11" applyFont="1" applyFill="1" applyBorder="1">
      <alignment horizontal="right" vertical="center"/>
      <protection locked="0"/>
    </xf>
    <xf numFmtId="3" fontId="26" fillId="6" borderId="0" xfId="11" applyFont="1" applyFill="1" applyBorder="1">
      <alignment horizontal="right" vertical="center"/>
      <protection locked="0"/>
    </xf>
    <xf numFmtId="3" fontId="26" fillId="6" borderId="32" xfId="11" applyFont="1" applyFill="1" applyBorder="1">
      <alignment horizontal="right" vertical="center"/>
      <protection locked="0"/>
    </xf>
    <xf numFmtId="3" fontId="26" fillId="6" borderId="29" xfId="30" applyFont="1" applyBorder="1">
      <alignment horizontal="right" vertical="center"/>
    </xf>
    <xf numFmtId="3" fontId="26" fillId="6" borderId="32" xfId="30" applyFont="1" applyBorder="1">
      <alignment horizontal="right" vertical="center"/>
    </xf>
    <xf numFmtId="3" fontId="26" fillId="13" borderId="23" xfId="3" applyNumberFormat="1" applyFont="1" applyBorder="1">
      <alignment horizontal="center" vertical="center"/>
    </xf>
    <xf numFmtId="3" fontId="26" fillId="13" borderId="121" xfId="3" applyNumberFormat="1" applyFont="1" applyBorder="1">
      <alignment horizontal="center" vertical="center"/>
    </xf>
    <xf numFmtId="0" fontId="26" fillId="41" borderId="73" xfId="18" applyFont="1" applyBorder="1">
      <alignment horizontal="center" vertical="center" wrapText="1"/>
      <protection locked="0"/>
    </xf>
    <xf numFmtId="0" fontId="26" fillId="41" borderId="50" xfId="18" applyFont="1" applyBorder="1">
      <alignment horizontal="center" vertical="center" wrapText="1"/>
      <protection locked="0"/>
    </xf>
    <xf numFmtId="0" fontId="26" fillId="41" borderId="113" xfId="18" applyFont="1" applyBorder="1">
      <alignment horizontal="center" vertical="center" wrapText="1"/>
      <protection locked="0"/>
    </xf>
    <xf numFmtId="0" fontId="28" fillId="54" borderId="59" xfId="0" applyFont="1" applyFill="1" applyBorder="1" applyAlignment="1">
      <alignment horizontal="center" vertical="center" wrapText="1"/>
    </xf>
    <xf numFmtId="0" fontId="28" fillId="54" borderId="60" xfId="0" applyFont="1" applyFill="1" applyBorder="1" applyAlignment="1">
      <alignment horizontal="center" vertical="center" wrapText="1"/>
    </xf>
    <xf numFmtId="0" fontId="28" fillId="54" borderId="54" xfId="0" applyFont="1" applyFill="1" applyBorder="1" applyAlignment="1">
      <alignment horizontal="center" vertical="center" wrapText="1"/>
    </xf>
    <xf numFmtId="0" fontId="28" fillId="54" borderId="71" xfId="0" applyFont="1" applyFill="1" applyBorder="1">
      <alignment vertical="center"/>
    </xf>
    <xf numFmtId="0" fontId="26" fillId="54" borderId="30" xfId="0" applyFont="1" applyFill="1" applyBorder="1" applyAlignment="1">
      <alignment horizontal="left" vertical="center"/>
    </xf>
    <xf numFmtId="0" fontId="28" fillId="54" borderId="112" xfId="0" applyFont="1" applyFill="1" applyBorder="1" applyAlignment="1">
      <alignment horizontal="center" vertical="center" wrapText="1"/>
    </xf>
    <xf numFmtId="0" fontId="26" fillId="54" borderId="77" xfId="55" applyFont="1" applyFill="1" applyBorder="1">
      <alignment horizontal="center" vertical="center" wrapText="1"/>
    </xf>
    <xf numFmtId="0" fontId="26" fillId="54" borderId="80" xfId="55" applyFont="1" applyFill="1" applyBorder="1">
      <alignment horizontal="center" vertical="center" wrapText="1"/>
    </xf>
    <xf numFmtId="0" fontId="26" fillId="54" borderId="88" xfId="55" applyFont="1" applyFill="1" applyBorder="1">
      <alignment horizontal="center" vertical="center" wrapText="1"/>
    </xf>
    <xf numFmtId="0" fontId="26" fillId="54" borderId="54" xfId="55" applyFont="1" applyFill="1" applyBorder="1">
      <alignment horizontal="center" vertical="center" wrapText="1"/>
    </xf>
    <xf numFmtId="0" fontId="26" fillId="54" borderId="29" xfId="55" applyFont="1" applyFill="1" applyBorder="1">
      <alignment horizontal="center" vertical="center" wrapText="1"/>
    </xf>
    <xf numFmtId="0" fontId="26" fillId="54" borderId="49" xfId="55" applyFont="1" applyFill="1" applyBorder="1">
      <alignment horizontal="center" vertical="center" wrapText="1"/>
    </xf>
    <xf numFmtId="0" fontId="28" fillId="13" borderId="71" xfId="0" applyFont="1" applyFill="1" applyBorder="1">
      <alignment vertical="center"/>
    </xf>
    <xf numFmtId="0" fontId="26" fillId="13" borderId="71" xfId="0" applyFont="1" applyFill="1" applyBorder="1">
      <alignment vertical="center"/>
    </xf>
    <xf numFmtId="0" fontId="28" fillId="13" borderId="59" xfId="0" applyFont="1" applyFill="1" applyBorder="1" applyAlignment="1">
      <alignment horizontal="center" vertical="center" wrapText="1"/>
    </xf>
    <xf numFmtId="0" fontId="28" fillId="13" borderId="60" xfId="0" applyFont="1" applyFill="1" applyBorder="1" applyAlignment="1">
      <alignment horizontal="center" vertical="center" wrapText="1"/>
    </xf>
    <xf numFmtId="0" fontId="28" fillId="13" borderId="54" xfId="0" applyFont="1" applyFill="1" applyBorder="1" applyAlignment="1">
      <alignment horizontal="center" vertical="center" wrapText="1"/>
    </xf>
    <xf numFmtId="0" fontId="26" fillId="13" borderId="75" xfId="3" applyFont="1" applyBorder="1">
      <alignment horizontal="center" vertical="center"/>
    </xf>
    <xf numFmtId="0" fontId="26" fillId="13" borderId="53" xfId="55" applyFont="1" applyFill="1" applyBorder="1">
      <alignment horizontal="center" vertical="center" wrapText="1"/>
    </xf>
    <xf numFmtId="0" fontId="26" fillId="13" borderId="55" xfId="55" applyFont="1" applyFill="1" applyBorder="1">
      <alignment horizontal="center" vertical="center" wrapText="1"/>
    </xf>
    <xf numFmtId="0" fontId="26" fillId="13" borderId="51" xfId="55" applyFont="1" applyFill="1" applyBorder="1">
      <alignment horizontal="center" vertical="center" wrapText="1"/>
    </xf>
    <xf numFmtId="0" fontId="26" fillId="13" borderId="13" xfId="55" applyFont="1" applyFill="1" applyBorder="1">
      <alignment horizontal="center" vertical="center" wrapText="1"/>
    </xf>
    <xf numFmtId="0" fontId="26" fillId="13" borderId="17" xfId="55" applyFont="1" applyFill="1" applyBorder="1">
      <alignment horizontal="center" vertical="center" wrapText="1"/>
    </xf>
    <xf numFmtId="0" fontId="26" fillId="13" borderId="14" xfId="55" applyFont="1" applyFill="1" applyBorder="1">
      <alignment horizontal="center" vertical="center" wrapText="1"/>
    </xf>
    <xf numFmtId="0" fontId="26" fillId="13" borderId="52" xfId="0" applyFont="1" applyFill="1" applyBorder="1" applyAlignment="1">
      <alignment horizontal="left" vertical="center"/>
    </xf>
    <xf numFmtId="0" fontId="26" fillId="13" borderId="18" xfId="0" applyFont="1" applyFill="1" applyBorder="1" applyAlignment="1">
      <alignment horizontal="left" vertical="center"/>
    </xf>
    <xf numFmtId="0" fontId="26" fillId="13" borderId="21" xfId="55" applyFont="1" applyFill="1" applyBorder="1">
      <alignment horizontal="center" vertical="center" wrapText="1"/>
    </xf>
    <xf numFmtId="0" fontId="26" fillId="13" borderId="20" xfId="55" applyFont="1" applyFill="1" applyBorder="1">
      <alignment horizontal="center" vertical="center" wrapText="1"/>
    </xf>
    <xf numFmtId="0" fontId="28" fillId="6" borderId="32" xfId="0" applyFont="1" applyBorder="1">
      <alignment vertical="center"/>
    </xf>
    <xf numFmtId="0" fontId="28" fillId="6" borderId="42" xfId="0" applyFont="1" applyBorder="1">
      <alignment vertical="center"/>
    </xf>
    <xf numFmtId="0" fontId="29" fillId="13" borderId="24" xfId="3" applyFont="1" applyBorder="1">
      <alignment horizontal="center" vertical="center"/>
    </xf>
    <xf numFmtId="0" fontId="26" fillId="13" borderId="52" xfId="0" applyFont="1" applyFill="1" applyBorder="1">
      <alignment vertical="center"/>
    </xf>
    <xf numFmtId="0" fontId="26" fillId="13" borderId="18" xfId="0" applyFont="1" applyFill="1" applyBorder="1">
      <alignment vertical="center"/>
    </xf>
    <xf numFmtId="0" fontId="26" fillId="13" borderId="19" xfId="0" applyFont="1" applyFill="1" applyBorder="1">
      <alignment vertical="center"/>
    </xf>
    <xf numFmtId="3" fontId="0" fillId="54" borderId="78" xfId="0" applyNumberFormat="1" applyFill="1" applyBorder="1" applyAlignment="1">
      <alignment horizontal="center" vertical="center"/>
    </xf>
    <xf numFmtId="0" fontId="0" fillId="6" borderId="0" xfId="0" applyAlignment="1">
      <alignment horizontal="left" vertical="center" indent="1"/>
    </xf>
    <xf numFmtId="0" fontId="0" fillId="13" borderId="48" xfId="3" applyFont="1" applyBorder="1">
      <alignment horizontal="center" vertical="center"/>
    </xf>
    <xf numFmtId="0" fontId="29" fillId="13" borderId="55" xfId="3" applyFont="1" applyBorder="1" applyAlignment="1">
      <alignment vertical="center"/>
    </xf>
    <xf numFmtId="0" fontId="29" fillId="13" borderId="51" xfId="3" applyFont="1" applyBorder="1" applyAlignment="1">
      <alignment vertical="center"/>
    </xf>
    <xf numFmtId="0" fontId="29" fillId="13" borderId="21" xfId="3" applyFont="1" applyBorder="1" applyAlignment="1">
      <alignment vertical="center"/>
    </xf>
    <xf numFmtId="0" fontId="29" fillId="13" borderId="52" xfId="3" applyFont="1" applyBorder="1" applyAlignment="1">
      <alignment vertical="center"/>
    </xf>
    <xf numFmtId="0" fontId="29" fillId="13" borderId="18" xfId="3" applyFont="1" applyBorder="1" applyAlignment="1">
      <alignment vertical="center"/>
    </xf>
    <xf numFmtId="0" fontId="28" fillId="54" borderId="67" xfId="0" applyFont="1" applyFill="1" applyBorder="1" applyAlignment="1">
      <alignment horizontal="center" vertical="center" wrapText="1"/>
    </xf>
    <xf numFmtId="0" fontId="28" fillId="54" borderId="44" xfId="0" applyFont="1" applyFill="1" applyBorder="1" applyAlignment="1">
      <alignment horizontal="center" vertical="center" wrapText="1"/>
    </xf>
    <xf numFmtId="0" fontId="28" fillId="54" borderId="74" xfId="0" applyFont="1" applyFill="1" applyBorder="1" applyAlignment="1">
      <alignment horizontal="left" vertical="center"/>
    </xf>
    <xf numFmtId="0" fontId="28" fillId="54" borderId="72" xfId="0" applyFont="1" applyFill="1" applyBorder="1" applyAlignment="1">
      <alignment horizontal="left" vertical="center"/>
    </xf>
    <xf numFmtId="0" fontId="0" fillId="13" borderId="72" xfId="0" applyFill="1" applyBorder="1" applyAlignment="1"/>
    <xf numFmtId="0" fontId="70" fillId="53" borderId="51" xfId="144" applyFont="1" applyBorder="1">
      <alignment horizontal="center" vertical="center"/>
    </xf>
    <xf numFmtId="0" fontId="70" fillId="53" borderId="21" xfId="144" applyFont="1" applyBorder="1">
      <alignment horizontal="center" vertical="center"/>
    </xf>
    <xf numFmtId="0" fontId="70" fillId="53" borderId="20" xfId="144" applyFont="1" applyBorder="1">
      <alignment horizontal="center" vertical="center"/>
    </xf>
    <xf numFmtId="3" fontId="43" fillId="6" borderId="52" xfId="30" applyFont="1" applyBorder="1">
      <alignment horizontal="right" vertical="center"/>
    </xf>
    <xf numFmtId="3" fontId="43" fillId="6" borderId="24" xfId="30" applyFont="1" applyBorder="1">
      <alignment horizontal="right" vertical="center"/>
    </xf>
    <xf numFmtId="3" fontId="43" fillId="43" borderId="15" xfId="6" applyFont="1" applyBorder="1">
      <alignment horizontal="right" vertical="center"/>
    </xf>
    <xf numFmtId="0" fontId="26" fillId="6" borderId="30" xfId="0" applyFont="1" applyBorder="1">
      <alignment vertical="center"/>
    </xf>
    <xf numFmtId="0" fontId="26" fillId="13" borderId="16" xfId="0" applyFont="1" applyFill="1" applyBorder="1" applyAlignment="1">
      <alignment horizontal="left" vertical="center"/>
    </xf>
    <xf numFmtId="0" fontId="26" fillId="13" borderId="16" xfId="0" applyFont="1" applyFill="1" applyBorder="1" applyAlignment="1">
      <alignment horizontal="left" vertical="center" indent="1"/>
    </xf>
    <xf numFmtId="0" fontId="41" fillId="6" borderId="50" xfId="0" applyFont="1" applyBorder="1" applyAlignment="1">
      <alignment vertical="center" wrapText="1"/>
    </xf>
    <xf numFmtId="0" fontId="41" fillId="6" borderId="73" xfId="0" applyFont="1" applyBorder="1" applyAlignment="1">
      <alignment vertical="center" wrapText="1"/>
    </xf>
    <xf numFmtId="0" fontId="41" fillId="6" borderId="75" xfId="0" applyFont="1" applyBorder="1" applyAlignment="1">
      <alignment vertical="center" wrapText="1"/>
    </xf>
    <xf numFmtId="0" fontId="41" fillId="6" borderId="50" xfId="0" applyFont="1" applyBorder="1">
      <alignment vertical="center"/>
    </xf>
    <xf numFmtId="0" fontId="41" fillId="6" borderId="59" xfId="0" applyFont="1" applyBorder="1">
      <alignment vertical="center"/>
    </xf>
    <xf numFmtId="0" fontId="41" fillId="6" borderId="60" xfId="0" applyFont="1" applyBorder="1">
      <alignment vertical="center"/>
    </xf>
    <xf numFmtId="0" fontId="28" fillId="6" borderId="75" xfId="0" applyFont="1" applyBorder="1" applyAlignment="1">
      <alignment vertical="center" wrapText="1"/>
    </xf>
    <xf numFmtId="3" fontId="26" fillId="14" borderId="17" xfId="20" applyFont="1" applyBorder="1">
      <alignment horizontal="right" vertical="center"/>
      <protection locked="0"/>
    </xf>
    <xf numFmtId="0" fontId="43" fillId="6" borderId="44" xfId="0" applyFont="1" applyBorder="1" applyAlignment="1">
      <alignment horizontal="left" vertical="center" wrapText="1"/>
    </xf>
    <xf numFmtId="49" fontId="43" fillId="41" borderId="13" xfId="19" applyFont="1">
      <alignment vertical="center"/>
      <protection locked="0"/>
    </xf>
    <xf numFmtId="0" fontId="33" fillId="6" borderId="41" xfId="116" applyBorder="1"/>
    <xf numFmtId="0" fontId="26" fillId="6" borderId="41" xfId="0" applyFont="1" applyBorder="1" applyAlignment="1"/>
    <xf numFmtId="3" fontId="43" fillId="13" borderId="72" xfId="3" applyNumberFormat="1" applyFont="1" applyBorder="1">
      <alignment horizontal="center" vertical="center"/>
    </xf>
    <xf numFmtId="3" fontId="43" fillId="13" borderId="74" xfId="3" applyNumberFormat="1" applyFont="1" applyBorder="1">
      <alignment horizontal="center" vertical="center"/>
    </xf>
    <xf numFmtId="3" fontId="43" fillId="13" borderId="75" xfId="3" applyNumberFormat="1" applyFont="1" applyBorder="1">
      <alignment horizontal="center" vertical="center"/>
    </xf>
    <xf numFmtId="3" fontId="43" fillId="13" borderId="113" xfId="3" applyNumberFormat="1" applyFont="1" applyBorder="1">
      <alignment horizontal="center" vertical="center"/>
    </xf>
    <xf numFmtId="3" fontId="43" fillId="43" borderId="112" xfId="6" applyFont="1" applyBorder="1">
      <alignment horizontal="right" vertical="center"/>
    </xf>
    <xf numFmtId="3" fontId="43" fillId="43" borderId="113" xfId="6" applyFont="1" applyBorder="1">
      <alignment horizontal="right" vertical="center"/>
    </xf>
    <xf numFmtId="3" fontId="43" fillId="41" borderId="46" xfId="11" applyFont="1" applyBorder="1">
      <alignment horizontal="right" vertical="center"/>
      <protection locked="0"/>
    </xf>
    <xf numFmtId="3" fontId="43" fillId="41" borderId="78" xfId="11" applyFont="1" applyBorder="1">
      <alignment horizontal="right" vertical="center"/>
      <protection locked="0"/>
    </xf>
    <xf numFmtId="3" fontId="43" fillId="41" borderId="35" xfId="11" applyFont="1" applyBorder="1">
      <alignment horizontal="right" vertical="center"/>
      <protection locked="0"/>
    </xf>
    <xf numFmtId="3" fontId="43" fillId="13" borderId="112" xfId="3" applyNumberFormat="1" applyFont="1" applyBorder="1">
      <alignment horizontal="center" vertical="center"/>
    </xf>
    <xf numFmtId="3" fontId="43" fillId="13" borderId="73" xfId="3" applyNumberFormat="1" applyFont="1" applyBorder="1">
      <alignment horizontal="center" vertical="center"/>
    </xf>
    <xf numFmtId="49" fontId="43" fillId="41" borderId="55" xfId="19" applyFont="1" applyBorder="1">
      <alignment vertical="center"/>
      <protection locked="0"/>
    </xf>
    <xf numFmtId="0" fontId="43" fillId="41" borderId="78" xfId="18" applyFont="1" applyBorder="1">
      <alignment horizontal="center" vertical="center" wrapText="1"/>
      <protection locked="0"/>
    </xf>
    <xf numFmtId="174" fontId="43" fillId="41" borderId="13" xfId="17" applyFont="1">
      <alignment horizontal="right" vertical="center"/>
      <protection locked="0"/>
    </xf>
    <xf numFmtId="174" fontId="43" fillId="41" borderId="35" xfId="17" applyFont="1" applyBorder="1">
      <alignment horizontal="right" vertical="center"/>
      <protection locked="0"/>
    </xf>
    <xf numFmtId="49" fontId="43" fillId="41" borderId="21" xfId="19" applyFont="1" applyBorder="1">
      <alignment vertical="center"/>
      <protection locked="0"/>
    </xf>
    <xf numFmtId="0" fontId="43" fillId="41" borderId="65" xfId="18" applyFont="1" applyBorder="1">
      <alignment horizontal="center" vertical="center" wrapText="1"/>
      <protection locked="0"/>
    </xf>
    <xf numFmtId="0" fontId="26" fillId="6" borderId="0" xfId="5" applyFont="1" applyBorder="1">
      <alignment horizontal="center" wrapText="1"/>
    </xf>
    <xf numFmtId="0" fontId="43" fillId="41" borderId="65" xfId="18" applyFont="1" applyBorder="1" applyAlignment="1">
      <alignment horizontal="left" vertical="center" wrapText="1"/>
      <protection locked="0"/>
    </xf>
    <xf numFmtId="0" fontId="43" fillId="41" borderId="53" xfId="18" applyFont="1" applyBorder="1">
      <alignment horizontal="center" vertical="center" wrapText="1"/>
      <protection locked="0"/>
    </xf>
    <xf numFmtId="0" fontId="43" fillId="41" borderId="55" xfId="18" applyFont="1" applyBorder="1">
      <alignment horizontal="center" vertical="center" wrapText="1"/>
      <protection locked="0"/>
    </xf>
    <xf numFmtId="49" fontId="43" fillId="41" borderId="51" xfId="19" applyFont="1" applyBorder="1">
      <alignment vertical="center"/>
      <protection locked="0"/>
    </xf>
    <xf numFmtId="3" fontId="43" fillId="41" borderId="111" xfId="11" applyFont="1" applyBorder="1">
      <alignment horizontal="right" vertical="center"/>
      <protection locked="0"/>
    </xf>
    <xf numFmtId="174" fontId="43" fillId="41" borderId="55" xfId="17" applyFont="1" applyBorder="1">
      <alignment horizontal="right" vertical="center"/>
      <protection locked="0"/>
    </xf>
    <xf numFmtId="174" fontId="43" fillId="41" borderId="46" xfId="17" applyFont="1" applyBorder="1">
      <alignment horizontal="right" vertical="center"/>
      <protection locked="0"/>
    </xf>
    <xf numFmtId="0" fontId="43" fillId="41" borderId="16" xfId="18" applyFont="1" applyBorder="1">
      <alignment horizontal="center" vertical="center" wrapText="1"/>
      <protection locked="0"/>
    </xf>
    <xf numFmtId="0" fontId="43" fillId="41" borderId="13" xfId="18" applyFont="1">
      <alignment horizontal="center" vertical="center" wrapText="1"/>
      <protection locked="0"/>
    </xf>
    <xf numFmtId="0" fontId="43" fillId="41" borderId="78" xfId="18" applyFont="1" applyBorder="1" applyAlignment="1">
      <alignment horizontal="left" vertical="center" wrapText="1"/>
      <protection locked="0"/>
    </xf>
    <xf numFmtId="3" fontId="43" fillId="41" borderId="69" xfId="11" applyFont="1" applyBorder="1">
      <alignment horizontal="right" vertical="center"/>
      <protection locked="0"/>
    </xf>
    <xf numFmtId="3" fontId="43" fillId="41" borderId="37" xfId="11" applyFont="1" applyBorder="1">
      <alignment horizontal="right" vertical="center"/>
      <protection locked="0"/>
    </xf>
    <xf numFmtId="0" fontId="0" fillId="54" borderId="20" xfId="0" applyFill="1" applyBorder="1" applyAlignment="1">
      <alignment horizontal="center" vertical="center"/>
    </xf>
    <xf numFmtId="0" fontId="28" fillId="6" borderId="71" xfId="0" applyFont="1" applyBorder="1" applyAlignment="1">
      <alignment horizontal="center" vertical="center" wrapText="1"/>
    </xf>
    <xf numFmtId="0" fontId="41" fillId="6" borderId="72" xfId="0" applyFont="1" applyBorder="1" applyAlignment="1">
      <alignment horizontal="center" vertical="center" wrapText="1"/>
    </xf>
    <xf numFmtId="0" fontId="29" fillId="6" borderId="0" xfId="0" applyFont="1" applyAlignment="1">
      <alignment horizontal="left" vertical="center" wrapText="1"/>
    </xf>
    <xf numFmtId="0" fontId="28" fillId="54" borderId="75" xfId="0" applyFont="1" applyFill="1" applyBorder="1" applyAlignment="1">
      <alignment horizontal="center" vertical="center" wrapText="1"/>
    </xf>
    <xf numFmtId="0" fontId="28" fillId="6" borderId="112" xfId="0" applyFont="1" applyBorder="1" applyAlignment="1">
      <alignment horizontal="center" vertical="center" wrapText="1"/>
    </xf>
    <xf numFmtId="0" fontId="28" fillId="6" borderId="0" xfId="0" applyFont="1" applyAlignment="1">
      <alignment horizontal="center" vertical="center"/>
    </xf>
    <xf numFmtId="0" fontId="0" fillId="48" borderId="71" xfId="0" applyFill="1" applyBorder="1">
      <alignment vertical="center"/>
    </xf>
    <xf numFmtId="0" fontId="0" fillId="48" borderId="0" xfId="0" applyFill="1">
      <alignment vertical="center"/>
    </xf>
    <xf numFmtId="0" fontId="0" fillId="48" borderId="47" xfId="0" applyFill="1" applyBorder="1">
      <alignment vertical="center"/>
    </xf>
    <xf numFmtId="0" fontId="0" fillId="48" borderId="63" xfId="0" applyFill="1" applyBorder="1">
      <alignment vertical="center"/>
    </xf>
    <xf numFmtId="0" fontId="0" fillId="48" borderId="44" xfId="0" applyFill="1" applyBorder="1">
      <alignment vertical="center"/>
    </xf>
    <xf numFmtId="0" fontId="43" fillId="6" borderId="47" xfId="0" applyFont="1" applyBorder="1" applyAlignment="1">
      <alignment vertical="top"/>
    </xf>
    <xf numFmtId="3" fontId="43" fillId="6" borderId="78" xfId="30" applyFont="1" applyBorder="1">
      <alignment horizontal="right" vertical="center"/>
    </xf>
    <xf numFmtId="3" fontId="43" fillId="6" borderId="77" xfId="30" applyFont="1" applyBorder="1">
      <alignment horizontal="right" vertical="center"/>
    </xf>
    <xf numFmtId="0" fontId="26" fillId="48" borderId="71" xfId="0" applyFont="1" applyFill="1" applyBorder="1">
      <alignment vertical="center"/>
    </xf>
    <xf numFmtId="0" fontId="26" fillId="48" borderId="62" xfId="0" applyFont="1" applyFill="1" applyBorder="1">
      <alignment vertical="center"/>
    </xf>
    <xf numFmtId="0" fontId="26" fillId="48" borderId="47" xfId="0" applyFont="1" applyFill="1" applyBorder="1">
      <alignment vertical="center"/>
    </xf>
    <xf numFmtId="0" fontId="43" fillId="48" borderId="47" xfId="0" applyFont="1" applyFill="1" applyBorder="1">
      <alignment vertical="center"/>
    </xf>
    <xf numFmtId="0" fontId="43" fillId="48" borderId="0" xfId="0" applyFont="1" applyFill="1">
      <alignment vertical="center"/>
    </xf>
    <xf numFmtId="0" fontId="43" fillId="48" borderId="44" xfId="0" applyFont="1" applyFill="1" applyBorder="1">
      <alignment vertical="center"/>
    </xf>
    <xf numFmtId="0" fontId="43" fillId="48" borderId="63" xfId="0" applyFont="1" applyFill="1" applyBorder="1">
      <alignment vertical="center"/>
    </xf>
    <xf numFmtId="3" fontId="43" fillId="13" borderId="78" xfId="3" applyNumberFormat="1" applyFont="1" applyBorder="1">
      <alignment horizontal="center" vertical="center"/>
    </xf>
    <xf numFmtId="0" fontId="65" fillId="53" borderId="78" xfId="144" applyBorder="1">
      <alignment horizontal="center" vertical="center"/>
    </xf>
    <xf numFmtId="3" fontId="43" fillId="43" borderId="78" xfId="6" applyFont="1" applyBorder="1">
      <alignment horizontal="right" vertical="center"/>
    </xf>
    <xf numFmtId="3" fontId="43" fillId="13" borderId="37" xfId="3" applyNumberFormat="1" applyFont="1" applyBorder="1">
      <alignment horizontal="center" vertical="center"/>
    </xf>
    <xf numFmtId="0" fontId="43" fillId="46" borderId="43" xfId="0" applyFont="1" applyFill="1" applyBorder="1">
      <alignment vertical="center"/>
    </xf>
    <xf numFmtId="3" fontId="43" fillId="13" borderId="65" xfId="3" applyNumberFormat="1" applyFont="1" applyBorder="1">
      <alignment horizontal="center" vertical="center"/>
    </xf>
    <xf numFmtId="0" fontId="43" fillId="0" borderId="21" xfId="0" applyFont="1" applyFill="1" applyBorder="1" applyAlignment="1">
      <alignment horizontal="left" indent="1"/>
    </xf>
    <xf numFmtId="3" fontId="0" fillId="43" borderId="78" xfId="6" applyFont="1" applyBorder="1">
      <alignment horizontal="right" vertical="center"/>
    </xf>
    <xf numFmtId="0" fontId="43" fillId="46" borderId="78" xfId="0" applyFont="1" applyFill="1" applyBorder="1">
      <alignment vertical="center"/>
    </xf>
    <xf numFmtId="0" fontId="43" fillId="46" borderId="37" xfId="0" applyFont="1" applyFill="1" applyBorder="1">
      <alignment vertical="center"/>
    </xf>
    <xf numFmtId="0" fontId="28" fillId="6" borderId="60" xfId="0" applyFont="1" applyBorder="1" applyAlignment="1">
      <alignment horizontal="center" vertical="center" wrapText="1"/>
    </xf>
    <xf numFmtId="0" fontId="0" fillId="54" borderId="19" xfId="0" applyFill="1" applyBorder="1" applyAlignment="1">
      <alignment horizontal="left" vertical="center"/>
    </xf>
    <xf numFmtId="0" fontId="28" fillId="6" borderId="18" xfId="0" applyFont="1" applyBorder="1" applyAlignment="1">
      <alignment horizontal="left" vertical="center" wrapText="1"/>
    </xf>
    <xf numFmtId="0" fontId="28" fillId="54" borderId="44" xfId="0" applyFont="1" applyFill="1" applyBorder="1">
      <alignment vertical="center"/>
    </xf>
    <xf numFmtId="0" fontId="59" fillId="6" borderId="44" xfId="0" applyFont="1" applyBorder="1" applyAlignment="1">
      <alignment vertical="top" wrapText="1"/>
    </xf>
    <xf numFmtId="0" fontId="0" fillId="6" borderId="44" xfId="0" applyBorder="1" applyAlignment="1"/>
    <xf numFmtId="0" fontId="57" fillId="6" borderId="44" xfId="0" applyFont="1" applyBorder="1">
      <alignment vertical="center"/>
    </xf>
    <xf numFmtId="0" fontId="57" fillId="48" borderId="44" xfId="0" applyFont="1" applyFill="1" applyBorder="1">
      <alignment vertical="center"/>
    </xf>
    <xf numFmtId="0" fontId="28" fillId="54" borderId="44" xfId="0" applyFont="1" applyFill="1" applyBorder="1" applyAlignment="1">
      <alignment horizontal="left" vertical="center"/>
    </xf>
    <xf numFmtId="0" fontId="0" fillId="54" borderId="44" xfId="0" applyFill="1" applyBorder="1">
      <alignment vertical="center"/>
    </xf>
    <xf numFmtId="3" fontId="26" fillId="14" borderId="37" xfId="20" applyFont="1" applyBorder="1">
      <alignment horizontal="right" vertical="center"/>
      <protection locked="0"/>
    </xf>
    <xf numFmtId="3" fontId="26" fillId="14" borderId="36" xfId="20" applyFont="1" applyBorder="1">
      <alignment horizontal="right" vertical="center"/>
      <protection locked="0"/>
    </xf>
    <xf numFmtId="3" fontId="26" fillId="0" borderId="0" xfId="11" applyFont="1" applyFill="1" applyBorder="1">
      <alignment horizontal="right" vertical="center"/>
      <protection locked="0"/>
    </xf>
    <xf numFmtId="0" fontId="28" fillId="6" borderId="54" xfId="0" applyFont="1" applyBorder="1" applyAlignment="1">
      <alignment horizontal="center" vertical="center"/>
    </xf>
    <xf numFmtId="0" fontId="28" fillId="6" borderId="59" xfId="0" applyFont="1" applyBorder="1" applyAlignment="1">
      <alignment horizontal="center" vertical="center"/>
    </xf>
    <xf numFmtId="0" fontId="0" fillId="6" borderId="13" xfId="0" applyBorder="1" applyAlignment="1">
      <alignment horizontal="left" vertical="center" wrapText="1"/>
    </xf>
    <xf numFmtId="0" fontId="26" fillId="6" borderId="23" xfId="0" applyFont="1" applyBorder="1" applyAlignment="1">
      <alignment horizontal="left" vertical="center"/>
    </xf>
    <xf numFmtId="0" fontId="26" fillId="15" borderId="22" xfId="55" applyFont="1" applyBorder="1">
      <alignment horizontal="center" vertical="center" wrapText="1"/>
    </xf>
    <xf numFmtId="0" fontId="30" fillId="6" borderId="35" xfId="0" applyFont="1" applyBorder="1" applyAlignment="1">
      <alignment horizontal="center" vertical="center"/>
    </xf>
    <xf numFmtId="49" fontId="26" fillId="14" borderId="13" xfId="27" applyNumberFormat="1" applyFont="1">
      <alignment horizontal="center" vertical="center" wrapText="1"/>
      <protection locked="0"/>
    </xf>
    <xf numFmtId="49" fontId="26" fillId="14" borderId="14" xfId="27" applyNumberFormat="1" applyFont="1" applyBorder="1">
      <alignment horizontal="center" vertical="center" wrapText="1"/>
      <protection locked="0"/>
    </xf>
    <xf numFmtId="3" fontId="26" fillId="6" borderId="0" xfId="147" applyFont="1" applyBorder="1">
      <alignment horizontal="right" vertical="center"/>
    </xf>
    <xf numFmtId="0" fontId="28" fillId="6" borderId="0" xfId="5" applyBorder="1" applyAlignment="1">
      <alignment horizontal="center" vertical="center" wrapText="1"/>
    </xf>
    <xf numFmtId="3" fontId="32" fillId="13" borderId="13" xfId="3" applyNumberFormat="1" applyFont="1" applyBorder="1">
      <alignment horizontal="center" vertical="center"/>
    </xf>
    <xf numFmtId="0" fontId="0" fillId="2" borderId="18" xfId="0" applyFill="1" applyBorder="1" applyAlignment="1">
      <alignment horizontal="left" vertical="center" indent="1"/>
    </xf>
    <xf numFmtId="0" fontId="26" fillId="13" borderId="18" xfId="3" applyFont="1" applyBorder="1" applyAlignment="1">
      <alignment vertical="center"/>
    </xf>
    <xf numFmtId="0" fontId="26" fillId="6" borderId="52" xfId="0" applyFont="1" applyBorder="1" applyAlignment="1">
      <alignment vertical="center" wrapText="1"/>
    </xf>
    <xf numFmtId="0" fontId="26" fillId="6" borderId="18" xfId="0" applyFont="1" applyBorder="1" applyAlignment="1">
      <alignment vertical="center" wrapText="1"/>
    </xf>
    <xf numFmtId="0" fontId="26" fillId="2" borderId="18" xfId="0" applyFont="1" applyFill="1" applyBorder="1" applyAlignment="1">
      <alignment horizontal="left" vertical="center" indent="1"/>
    </xf>
    <xf numFmtId="0" fontId="26" fillId="6" borderId="19" xfId="0" applyFont="1" applyBorder="1" applyAlignment="1">
      <alignment vertical="center" wrapText="1"/>
    </xf>
    <xf numFmtId="0" fontId="26" fillId="2" borderId="18" xfId="0" applyFont="1" applyFill="1" applyBorder="1" applyAlignment="1">
      <alignment horizontal="left" vertical="center" wrapText="1"/>
    </xf>
    <xf numFmtId="2" fontId="26" fillId="15" borderId="52" xfId="49" applyNumberFormat="1" applyFont="1" applyBorder="1">
      <alignment vertical="center"/>
    </xf>
    <xf numFmtId="2" fontId="26" fillId="13" borderId="18" xfId="3" applyNumberFormat="1" applyFont="1" applyBorder="1">
      <alignment horizontal="center" vertical="center"/>
    </xf>
    <xf numFmtId="2" fontId="26" fillId="2" borderId="52" xfId="0" applyNumberFormat="1" applyFont="1" applyFill="1" applyBorder="1">
      <alignment vertical="center"/>
    </xf>
    <xf numFmtId="2" fontId="26" fillId="2" borderId="18" xfId="0" applyNumberFormat="1" applyFont="1" applyFill="1" applyBorder="1">
      <alignment vertical="center"/>
    </xf>
    <xf numFmtId="0" fontId="28" fillId="2" borderId="51" xfId="0" applyFont="1" applyFill="1" applyBorder="1">
      <alignment vertical="center"/>
    </xf>
    <xf numFmtId="0" fontId="26" fillId="2" borderId="53" xfId="0" applyFont="1" applyFill="1" applyBorder="1">
      <alignment vertical="center"/>
    </xf>
    <xf numFmtId="0" fontId="28" fillId="2" borderId="21" xfId="0" applyFont="1" applyFill="1" applyBorder="1">
      <alignment vertical="center"/>
    </xf>
    <xf numFmtId="0" fontId="28" fillId="2" borderId="18" xfId="0" applyFont="1" applyFill="1" applyBorder="1">
      <alignment vertical="center"/>
    </xf>
    <xf numFmtId="0" fontId="28" fillId="2" borderId="16" xfId="0" applyFont="1" applyFill="1" applyBorder="1">
      <alignment vertical="center"/>
    </xf>
    <xf numFmtId="0" fontId="26" fillId="2" borderId="16" xfId="0" applyFont="1" applyFill="1" applyBorder="1" applyAlignment="1">
      <alignment horizontal="left" vertical="center"/>
    </xf>
    <xf numFmtId="0" fontId="26" fillId="2" borderId="17" xfId="0" applyFont="1" applyFill="1" applyBorder="1">
      <alignment vertical="center"/>
    </xf>
    <xf numFmtId="0" fontId="0" fillId="0" borderId="16" xfId="0" applyFill="1" applyBorder="1" applyAlignment="1">
      <alignment horizontal="center" vertical="center" wrapText="1"/>
    </xf>
    <xf numFmtId="0" fontId="0" fillId="0" borderId="17" xfId="0" applyFill="1" applyBorder="1" applyAlignment="1">
      <alignment horizontal="center" vertical="center" wrapText="1"/>
    </xf>
    <xf numFmtId="0" fontId="28" fillId="13" borderId="14" xfId="3" applyFont="1" applyBorder="1">
      <alignment horizontal="center" vertical="center"/>
    </xf>
    <xf numFmtId="0" fontId="0" fillId="6" borderId="52" xfId="0" applyBorder="1" applyAlignment="1">
      <alignment horizontal="left" vertical="center" wrapText="1"/>
    </xf>
    <xf numFmtId="0" fontId="50" fillId="6" borderId="18" xfId="0" applyFont="1" applyBorder="1" applyAlignment="1">
      <alignment horizontal="center" vertical="center"/>
    </xf>
    <xf numFmtId="0" fontId="50" fillId="6" borderId="19" xfId="0" applyFont="1" applyBorder="1" applyAlignment="1">
      <alignment horizontal="center" vertical="center"/>
    </xf>
    <xf numFmtId="0" fontId="71" fillId="2" borderId="52" xfId="0" applyFont="1" applyFill="1" applyBorder="1">
      <alignment vertical="center"/>
    </xf>
    <xf numFmtId="0" fontId="71" fillId="2" borderId="18" xfId="0" applyFont="1" applyFill="1" applyBorder="1">
      <alignment vertical="center"/>
    </xf>
    <xf numFmtId="0" fontId="71" fillId="2" borderId="19" xfId="0" applyFont="1" applyFill="1" applyBorder="1">
      <alignment vertical="center"/>
    </xf>
    <xf numFmtId="0" fontId="0" fillId="6" borderId="18" xfId="0" applyBorder="1" applyAlignment="1">
      <alignment horizontal="left" vertical="center" wrapText="1" indent="1"/>
    </xf>
    <xf numFmtId="3" fontId="26" fillId="13" borderId="48" xfId="3" applyNumberFormat="1" applyFont="1" applyBorder="1">
      <alignment horizontal="center" vertical="center"/>
    </xf>
    <xf numFmtId="0" fontId="28" fillId="50" borderId="72" xfId="5" applyFill="1" applyBorder="1" applyAlignment="1">
      <alignment horizontal="center" vertical="center" wrapText="1"/>
    </xf>
    <xf numFmtId="49" fontId="43" fillId="41" borderId="53" xfId="19" applyFont="1" applyBorder="1">
      <alignment vertical="center"/>
      <protection locked="0"/>
    </xf>
    <xf numFmtId="49" fontId="43" fillId="41" borderId="16" xfId="19" applyFont="1" applyBorder="1">
      <alignment vertical="center"/>
      <protection locked="0"/>
    </xf>
    <xf numFmtId="3" fontId="43" fillId="13" borderId="50" xfId="3" applyNumberFormat="1" applyFont="1" applyBorder="1">
      <alignment horizontal="center" vertical="center"/>
    </xf>
    <xf numFmtId="3" fontId="43" fillId="43" borderId="72" xfId="6" applyFont="1" applyBorder="1">
      <alignment horizontal="right" vertical="center"/>
    </xf>
    <xf numFmtId="0" fontId="41" fillId="6" borderId="112" xfId="5" applyFont="1" applyBorder="1" applyAlignment="1">
      <alignment horizontal="center" vertical="center" wrapText="1"/>
    </xf>
    <xf numFmtId="0" fontId="41" fillId="6" borderId="73" xfId="5" applyFont="1" applyBorder="1" applyAlignment="1">
      <alignment horizontal="center" vertical="center" wrapText="1"/>
    </xf>
    <xf numFmtId="0" fontId="41" fillId="6" borderId="113" xfId="5" applyFont="1" applyBorder="1" applyAlignment="1">
      <alignment horizontal="center" vertical="center" wrapText="1"/>
    </xf>
    <xf numFmtId="0" fontId="28" fillId="50" borderId="74" xfId="5" applyFill="1" applyBorder="1" applyAlignment="1">
      <alignment horizontal="center" vertical="center" wrapText="1"/>
    </xf>
    <xf numFmtId="3" fontId="43" fillId="13" borderId="52" xfId="3" applyNumberFormat="1" applyFont="1" applyBorder="1">
      <alignment horizontal="center" vertical="center"/>
    </xf>
    <xf numFmtId="3" fontId="43" fillId="13" borderId="18" xfId="3" applyNumberFormat="1" applyFont="1" applyBorder="1">
      <alignment horizontal="center" vertical="center"/>
    </xf>
    <xf numFmtId="3" fontId="43" fillId="41" borderId="70" xfId="11" applyFont="1" applyBorder="1">
      <alignment horizontal="right" vertical="center"/>
      <protection locked="0"/>
    </xf>
    <xf numFmtId="3" fontId="43" fillId="41" borderId="66" xfId="11" applyFont="1" applyBorder="1">
      <alignment horizontal="right" vertical="center"/>
      <protection locked="0"/>
    </xf>
    <xf numFmtId="0" fontId="43" fillId="41" borderId="17" xfId="18" applyFont="1" applyBorder="1">
      <alignment horizontal="center" vertical="center" wrapText="1"/>
      <protection locked="0"/>
    </xf>
    <xf numFmtId="49" fontId="43" fillId="41" borderId="14" xfId="19" applyFont="1" applyBorder="1">
      <alignment vertical="center"/>
      <protection locked="0"/>
    </xf>
    <xf numFmtId="49" fontId="43" fillId="41" borderId="17" xfId="19" applyFont="1" applyBorder="1">
      <alignment vertical="center"/>
      <protection locked="0"/>
    </xf>
    <xf numFmtId="0" fontId="43" fillId="41" borderId="37" xfId="18" applyFont="1" applyBorder="1" applyAlignment="1">
      <alignment horizontal="left" vertical="center" wrapText="1"/>
      <protection locked="0"/>
    </xf>
    <xf numFmtId="0" fontId="43" fillId="41" borderId="14" xfId="18" applyFont="1" applyBorder="1">
      <alignment horizontal="center" vertical="center" wrapText="1"/>
      <protection locked="0"/>
    </xf>
    <xf numFmtId="3" fontId="43" fillId="41" borderId="36" xfId="11" applyFont="1" applyBorder="1">
      <alignment horizontal="right" vertical="center"/>
      <protection locked="0"/>
    </xf>
    <xf numFmtId="49" fontId="43" fillId="41" borderId="20" xfId="19" applyFont="1" applyBorder="1">
      <alignment vertical="center"/>
      <protection locked="0"/>
    </xf>
    <xf numFmtId="3" fontId="43" fillId="41" borderId="98" xfId="11" applyFont="1" applyBorder="1">
      <alignment horizontal="right" vertical="center"/>
      <protection locked="0"/>
    </xf>
    <xf numFmtId="3" fontId="43" fillId="6" borderId="48" xfId="30" applyFont="1" applyBorder="1">
      <alignment horizontal="right" vertical="center"/>
    </xf>
    <xf numFmtId="3" fontId="43" fillId="13" borderId="19" xfId="3" applyNumberFormat="1" applyFont="1" applyBorder="1">
      <alignment horizontal="center" vertical="center"/>
    </xf>
    <xf numFmtId="0" fontId="43" fillId="41" borderId="37" xfId="18" applyFont="1" applyBorder="1">
      <alignment horizontal="center" vertical="center" wrapText="1"/>
      <protection locked="0"/>
    </xf>
    <xf numFmtId="174" fontId="43" fillId="41" borderId="14" xfId="17" applyFont="1" applyBorder="1">
      <alignment horizontal="right" vertical="center"/>
      <protection locked="0"/>
    </xf>
    <xf numFmtId="174" fontId="43" fillId="41" borderId="36" xfId="17" applyFont="1" applyBorder="1">
      <alignment horizontal="right" vertical="center"/>
      <protection locked="0"/>
    </xf>
    <xf numFmtId="3" fontId="43" fillId="41" borderId="68" xfId="11" applyFont="1" applyBorder="1">
      <alignment horizontal="right" vertical="center"/>
      <protection locked="0"/>
    </xf>
    <xf numFmtId="0" fontId="43" fillId="43" borderId="50" xfId="9" applyFont="1" applyBorder="1" applyProtection="1">
      <alignment horizontal="left" vertical="center"/>
      <protection locked="0"/>
    </xf>
    <xf numFmtId="0" fontId="32" fillId="2" borderId="16" xfId="0" applyFont="1" applyFill="1" applyBorder="1" applyAlignment="1">
      <alignment horizontal="center" vertical="center" wrapText="1"/>
    </xf>
    <xf numFmtId="0" fontId="32" fillId="13" borderId="21" xfId="3" applyFont="1" applyBorder="1">
      <alignment horizontal="center" vertical="center"/>
    </xf>
    <xf numFmtId="0" fontId="26" fillId="6" borderId="48" xfId="5" applyFont="1" applyBorder="1">
      <alignment horizontal="center" wrapText="1"/>
    </xf>
    <xf numFmtId="2" fontId="26" fillId="13" borderId="22" xfId="3" applyNumberFormat="1" applyFont="1" applyBorder="1">
      <alignment horizontal="center" vertical="center"/>
    </xf>
    <xf numFmtId="2" fontId="26" fillId="6" borderId="18" xfId="32" applyNumberFormat="1" applyFont="1" applyBorder="1">
      <alignment horizontal="right" vertical="center"/>
    </xf>
    <xf numFmtId="2" fontId="26" fillId="2" borderId="21" xfId="0" applyNumberFormat="1" applyFont="1" applyFill="1" applyBorder="1">
      <alignment vertical="center"/>
    </xf>
    <xf numFmtId="2" fontId="26" fillId="2" borderId="20" xfId="0" applyNumberFormat="1" applyFont="1" applyFill="1" applyBorder="1">
      <alignment vertical="center"/>
    </xf>
    <xf numFmtId="0" fontId="26" fillId="13" borderId="78" xfId="3" applyFont="1" applyBorder="1">
      <alignment horizontal="center" vertical="center"/>
    </xf>
    <xf numFmtId="2" fontId="26" fillId="13" borderId="21" xfId="3" applyNumberFormat="1" applyFont="1" applyBorder="1">
      <alignment horizontal="center" vertical="center"/>
    </xf>
    <xf numFmtId="2" fontId="26" fillId="6" borderId="78" xfId="32" applyNumberFormat="1" applyFont="1" applyBorder="1">
      <alignment horizontal="right" vertical="center"/>
    </xf>
    <xf numFmtId="0" fontId="0" fillId="0" borderId="18" xfId="0" applyFill="1" applyBorder="1" applyAlignment="1">
      <alignment horizontal="left" vertical="center" wrapText="1" indent="1"/>
    </xf>
    <xf numFmtId="0" fontId="26" fillId="13" borderId="74" xfId="3" applyFont="1" applyBorder="1">
      <alignment horizontal="center" vertical="center"/>
    </xf>
    <xf numFmtId="0" fontId="26" fillId="13" borderId="58" xfId="3" applyFont="1" applyBorder="1">
      <alignment horizontal="center" vertical="center"/>
    </xf>
    <xf numFmtId="0" fontId="26" fillId="13" borderId="111" xfId="3" applyFont="1" applyBorder="1">
      <alignment horizontal="center" vertical="center"/>
    </xf>
    <xf numFmtId="0" fontId="26" fillId="13" borderId="70" xfId="3" applyFont="1" applyBorder="1">
      <alignment horizontal="center" vertical="center"/>
    </xf>
    <xf numFmtId="0" fontId="26" fillId="13" borderId="69" xfId="3" applyFont="1" applyBorder="1">
      <alignment horizontal="center" vertical="center"/>
    </xf>
    <xf numFmtId="0" fontId="26" fillId="13" borderId="66" xfId="3" applyFont="1" applyBorder="1">
      <alignment horizontal="center" vertical="center"/>
    </xf>
    <xf numFmtId="0" fontId="26" fillId="13" borderId="98" xfId="3" applyFont="1" applyBorder="1">
      <alignment horizontal="center" vertical="center"/>
    </xf>
    <xf numFmtId="0" fontId="26" fillId="13" borderId="68" xfId="3" applyFont="1" applyBorder="1">
      <alignment horizontal="center" vertical="center"/>
    </xf>
    <xf numFmtId="0" fontId="26" fillId="13" borderId="124" xfId="3" applyFont="1" applyBorder="1">
      <alignment horizontal="center" vertical="center"/>
    </xf>
    <xf numFmtId="0" fontId="26" fillId="13" borderId="121" xfId="3" applyFont="1" applyBorder="1">
      <alignment horizontal="center" vertical="center"/>
    </xf>
    <xf numFmtId="0" fontId="26" fillId="13" borderId="65" xfId="3" applyFont="1" applyBorder="1">
      <alignment horizontal="center" vertical="center"/>
    </xf>
    <xf numFmtId="0" fontId="0" fillId="43" borderId="72" xfId="9" applyFont="1" applyBorder="1" applyAlignment="1">
      <alignment vertical="center"/>
    </xf>
    <xf numFmtId="0" fontId="26" fillId="6" borderId="112" xfId="5" applyFont="1" applyBorder="1">
      <alignment horizontal="center" wrapText="1"/>
    </xf>
    <xf numFmtId="0" fontId="26" fillId="6" borderId="113" xfId="5" applyFont="1" applyBorder="1">
      <alignment horizontal="center" wrapText="1"/>
    </xf>
    <xf numFmtId="0" fontId="0" fillId="13" borderId="37" xfId="3" applyFont="1" applyBorder="1">
      <alignment horizontal="center" vertical="center"/>
    </xf>
    <xf numFmtId="0" fontId="65" fillId="53" borderId="35" xfId="144" applyBorder="1">
      <alignment horizontal="center" vertical="center"/>
    </xf>
    <xf numFmtId="3" fontId="32" fillId="14" borderId="35" xfId="20" applyFont="1" applyBorder="1">
      <alignment horizontal="right" vertical="center"/>
      <protection locked="0"/>
    </xf>
    <xf numFmtId="0" fontId="26" fillId="43" borderId="48" xfId="9" applyFont="1" applyBorder="1">
      <alignment horizontal="left" vertical="center"/>
    </xf>
    <xf numFmtId="0" fontId="65" fillId="43" borderId="48" xfId="9" applyFont="1" applyBorder="1">
      <alignment horizontal="left" vertical="center"/>
    </xf>
    <xf numFmtId="3" fontId="26" fillId="43" borderId="89" xfId="6" applyFont="1" applyBorder="1">
      <alignment horizontal="right" vertical="center"/>
    </xf>
    <xf numFmtId="0" fontId="26" fillId="13" borderId="67" xfId="3" applyFont="1" applyBorder="1">
      <alignment horizontal="center" vertical="center"/>
    </xf>
    <xf numFmtId="0" fontId="26" fillId="13" borderId="63" xfId="3" applyFont="1" applyBorder="1">
      <alignment horizontal="center" vertical="center"/>
    </xf>
    <xf numFmtId="0" fontId="26" fillId="13" borderId="88" xfId="3" applyFont="1" applyBorder="1">
      <alignment horizontal="center" vertical="center"/>
    </xf>
    <xf numFmtId="0" fontId="26" fillId="13" borderId="48" xfId="3" applyFont="1" applyBorder="1">
      <alignment horizontal="center" vertical="center"/>
    </xf>
    <xf numFmtId="0" fontId="0" fillId="13" borderId="36" xfId="3" applyFont="1" applyBorder="1">
      <alignment horizontal="center" vertical="center"/>
    </xf>
    <xf numFmtId="0" fontId="41" fillId="6" borderId="44" xfId="0" applyFont="1" applyBorder="1" applyAlignment="1">
      <alignment horizontal="center" vertical="center"/>
    </xf>
    <xf numFmtId="0" fontId="26" fillId="6" borderId="52" xfId="0" applyFont="1" applyBorder="1" applyAlignment="1">
      <alignment horizontal="left" vertical="center" indent="1"/>
    </xf>
    <xf numFmtId="3" fontId="32" fillId="13" borderId="35" xfId="3" applyNumberFormat="1" applyFont="1" applyBorder="1">
      <alignment horizontal="center" vertical="center"/>
    </xf>
    <xf numFmtId="3" fontId="26" fillId="13" borderId="35" xfId="3" applyNumberFormat="1" applyFont="1" applyBorder="1">
      <alignment horizontal="center" vertical="center"/>
    </xf>
    <xf numFmtId="2" fontId="26" fillId="13" borderId="78" xfId="3" applyNumberFormat="1" applyFont="1" applyBorder="1">
      <alignment horizontal="center" vertical="center"/>
    </xf>
    <xf numFmtId="2" fontId="26" fillId="13" borderId="13" xfId="3" applyNumberFormat="1" applyFont="1" applyBorder="1">
      <alignment horizontal="center" vertical="center"/>
    </xf>
    <xf numFmtId="0" fontId="26" fillId="2" borderId="30" xfId="0" applyFont="1" applyFill="1" applyBorder="1" applyAlignment="1">
      <alignment horizontal="left" vertical="center" wrapText="1" indent="1"/>
    </xf>
    <xf numFmtId="0" fontId="29" fillId="2" borderId="24" xfId="83" applyFont="1" applyFill="1" applyBorder="1" applyAlignment="1">
      <alignment horizontal="left" vertical="center" wrapText="1" indent="1"/>
    </xf>
    <xf numFmtId="0" fontId="28" fillId="13" borderId="48" xfId="3" applyFont="1" applyBorder="1">
      <alignment horizontal="center" vertical="center"/>
    </xf>
    <xf numFmtId="0" fontId="26" fillId="6" borderId="89" xfId="148" applyFont="1" applyBorder="1">
      <alignment horizontal="center" wrapText="1"/>
    </xf>
    <xf numFmtId="0" fontId="32" fillId="13" borderId="16" xfId="3" applyFont="1" applyBorder="1">
      <alignment horizontal="center" vertical="center"/>
    </xf>
    <xf numFmtId="0" fontId="32" fillId="13" borderId="22" xfId="3" applyFont="1" applyBorder="1">
      <alignment horizontal="center" vertical="center"/>
    </xf>
    <xf numFmtId="3" fontId="32" fillId="6" borderId="35" xfId="30" applyFont="1" applyBorder="1">
      <alignment horizontal="right" vertical="center"/>
    </xf>
    <xf numFmtId="0" fontId="0" fillId="2" borderId="18" xfId="0" applyFill="1" applyBorder="1" applyAlignment="1">
      <alignment horizontal="left" vertical="center" wrapText="1" indent="1"/>
    </xf>
    <xf numFmtId="0" fontId="32" fillId="2" borderId="23" xfId="0" applyFont="1" applyFill="1" applyBorder="1" applyAlignment="1">
      <alignment horizontal="center" vertical="center" wrapText="1"/>
    </xf>
    <xf numFmtId="0" fontId="0" fillId="2" borderId="18" xfId="0" applyFill="1" applyBorder="1" applyAlignment="1">
      <alignment horizontal="left" vertical="center" wrapText="1" indent="2"/>
    </xf>
    <xf numFmtId="0" fontId="0" fillId="2" borderId="52" xfId="0" applyFill="1" applyBorder="1" applyAlignment="1">
      <alignment horizontal="left" vertical="center"/>
    </xf>
    <xf numFmtId="0" fontId="26" fillId="6" borderId="50" xfId="148" applyFont="1" applyBorder="1">
      <alignment horizontal="center" wrapText="1"/>
    </xf>
    <xf numFmtId="0" fontId="26" fillId="6" borderId="73" xfId="148" applyFont="1" applyBorder="1">
      <alignment horizontal="center" wrapText="1"/>
    </xf>
    <xf numFmtId="0" fontId="26" fillId="6" borderId="75" xfId="148" applyFont="1" applyBorder="1">
      <alignment horizontal="center" wrapText="1"/>
    </xf>
    <xf numFmtId="0" fontId="32" fillId="13" borderId="13" xfId="3" applyFont="1" applyBorder="1">
      <alignment horizontal="center" vertical="center"/>
    </xf>
    <xf numFmtId="0" fontId="26" fillId="43" borderId="42" xfId="9" applyFont="1" applyBorder="1">
      <alignment horizontal="left" vertical="center"/>
    </xf>
    <xf numFmtId="0" fontId="22" fillId="2" borderId="18" xfId="83" applyFill="1" applyBorder="1" applyAlignment="1">
      <alignment horizontal="left" vertical="center" wrapText="1" indent="2"/>
    </xf>
    <xf numFmtId="0" fontId="26" fillId="6" borderId="19" xfId="0" applyFont="1" applyBorder="1" applyAlignment="1">
      <alignment horizontal="center" vertical="center"/>
    </xf>
    <xf numFmtId="0" fontId="28" fillId="6" borderId="58" xfId="5" applyBorder="1">
      <alignment horizontal="center" wrapText="1"/>
    </xf>
    <xf numFmtId="3" fontId="32" fillId="13" borderId="31" xfId="3" applyNumberFormat="1" applyFont="1" applyBorder="1">
      <alignment horizontal="center" vertical="center"/>
    </xf>
    <xf numFmtId="2" fontId="26" fillId="13" borderId="16" xfId="3" applyNumberFormat="1" applyFont="1" applyBorder="1">
      <alignment horizontal="center" vertical="center"/>
    </xf>
    <xf numFmtId="0" fontId="0" fillId="2" borderId="72" xfId="0" applyFill="1" applyBorder="1" applyAlignment="1">
      <alignment horizontal="left" vertical="center" wrapText="1"/>
    </xf>
    <xf numFmtId="0" fontId="26" fillId="13" borderId="126" xfId="3" applyFont="1" applyBorder="1">
      <alignment horizontal="center" vertical="center"/>
    </xf>
    <xf numFmtId="0" fontId="26" fillId="13" borderId="76" xfId="3" applyFont="1" applyBorder="1">
      <alignment horizontal="center" vertical="center"/>
    </xf>
    <xf numFmtId="0" fontId="0" fillId="2" borderId="30" xfId="0" applyFill="1" applyBorder="1">
      <alignment vertical="center"/>
    </xf>
    <xf numFmtId="0" fontId="0" fillId="2" borderId="71" xfId="0" applyFill="1" applyBorder="1">
      <alignment vertical="center"/>
    </xf>
    <xf numFmtId="0" fontId="26" fillId="13" borderId="79" xfId="3" applyFont="1" applyBorder="1">
      <alignment horizontal="center" vertical="center"/>
    </xf>
    <xf numFmtId="2" fontId="26" fillId="2" borderId="78" xfId="0" applyNumberFormat="1" applyFont="1" applyFill="1" applyBorder="1">
      <alignment vertical="center"/>
    </xf>
    <xf numFmtId="3" fontId="32" fillId="13" borderId="14" xfId="3" applyNumberFormat="1" applyFont="1" applyBorder="1">
      <alignment horizontal="center" vertical="center"/>
    </xf>
    <xf numFmtId="0" fontId="26" fillId="6" borderId="35" xfId="0" applyFont="1" applyBorder="1">
      <alignment vertical="center"/>
    </xf>
    <xf numFmtId="3" fontId="32" fillId="6" borderId="113" xfId="147" applyFont="1" applyBorder="1">
      <alignment horizontal="right" vertical="center"/>
    </xf>
    <xf numFmtId="0" fontId="0" fillId="13" borderId="50" xfId="3" applyFont="1" applyBorder="1">
      <alignment horizontal="center" vertical="center"/>
    </xf>
    <xf numFmtId="3" fontId="32" fillId="13" borderId="125" xfId="3" applyNumberFormat="1" applyFont="1" applyBorder="1">
      <alignment horizontal="center" vertical="center"/>
    </xf>
    <xf numFmtId="2" fontId="26" fillId="13" borderId="43" xfId="3" applyNumberFormat="1" applyFont="1" applyBorder="1">
      <alignment horizontal="center" vertical="center"/>
    </xf>
    <xf numFmtId="2" fontId="26" fillId="13" borderId="26" xfId="3" applyNumberFormat="1" applyFont="1" applyBorder="1">
      <alignment horizontal="center" vertical="center"/>
    </xf>
    <xf numFmtId="2" fontId="26" fillId="13" borderId="27" xfId="3" applyNumberFormat="1" applyFont="1" applyBorder="1">
      <alignment horizontal="center" vertical="center"/>
    </xf>
    <xf numFmtId="3" fontId="26" fillId="13" borderId="73" xfId="3" applyNumberFormat="1" applyFont="1" applyBorder="1">
      <alignment horizontal="center" vertical="center"/>
    </xf>
    <xf numFmtId="2" fontId="26" fillId="13" borderId="112" xfId="3" applyNumberFormat="1" applyFont="1" applyBorder="1">
      <alignment horizontal="center" vertical="center"/>
    </xf>
    <xf numFmtId="2" fontId="26" fillId="13" borderId="50" xfId="3" applyNumberFormat="1" applyFont="1" applyBorder="1">
      <alignment horizontal="center" vertical="center"/>
    </xf>
    <xf numFmtId="2" fontId="26" fillId="13" borderId="75" xfId="3" applyNumberFormat="1" applyFont="1" applyBorder="1">
      <alignment horizontal="center" vertical="center"/>
    </xf>
    <xf numFmtId="0" fontId="0" fillId="2" borderId="52" xfId="0" applyFill="1" applyBorder="1" applyAlignment="1">
      <alignment vertical="center" wrapText="1"/>
    </xf>
    <xf numFmtId="0" fontId="26" fillId="13" borderId="41" xfId="3" applyFont="1" applyBorder="1">
      <alignment horizontal="center" vertical="center"/>
    </xf>
    <xf numFmtId="0" fontId="26" fillId="13" borderId="47" xfId="3" applyFont="1" applyBorder="1">
      <alignment horizontal="center" vertical="center"/>
    </xf>
    <xf numFmtId="0" fontId="27" fillId="2" borderId="72" xfId="0" applyFont="1" applyFill="1" applyBorder="1" applyAlignment="1">
      <alignment horizontal="left" vertical="center"/>
    </xf>
    <xf numFmtId="0" fontId="26" fillId="43" borderId="72" xfId="9" applyFont="1" applyBorder="1">
      <alignment horizontal="left" vertical="center"/>
    </xf>
    <xf numFmtId="0" fontId="26" fillId="43" borderId="50" xfId="9" applyFont="1" applyBorder="1">
      <alignment horizontal="left" vertical="center"/>
    </xf>
    <xf numFmtId="0" fontId="26" fillId="13" borderId="72" xfId="3" applyFont="1" applyBorder="1">
      <alignment horizontal="center" vertical="center"/>
    </xf>
    <xf numFmtId="0" fontId="0" fillId="2" borderId="46" xfId="0" applyFill="1" applyBorder="1">
      <alignment vertical="center"/>
    </xf>
    <xf numFmtId="3" fontId="32" fillId="13" borderId="36" xfId="3" applyNumberFormat="1" applyFont="1" applyBorder="1">
      <alignment horizontal="center" vertical="center"/>
    </xf>
    <xf numFmtId="1" fontId="0" fillId="4" borderId="75" xfId="37" applyFont="1" applyBorder="1" applyAlignment="1">
      <alignment horizontal="center" vertical="center"/>
    </xf>
    <xf numFmtId="1" fontId="0" fillId="15" borderId="72" xfId="48" applyFont="1" applyBorder="1" applyAlignment="1">
      <alignment horizontal="center" vertical="center"/>
    </xf>
    <xf numFmtId="0" fontId="26" fillId="15" borderId="18" xfId="55" applyFont="1" applyBorder="1">
      <alignment horizontal="center" vertical="center" wrapText="1"/>
    </xf>
    <xf numFmtId="174" fontId="26" fillId="15" borderId="18" xfId="0" applyNumberFormat="1" applyFont="1" applyFill="1" applyBorder="1" applyAlignment="1">
      <alignment horizontal="center" vertical="center"/>
    </xf>
    <xf numFmtId="0" fontId="26" fillId="2" borderId="18" xfId="0" applyFont="1" applyFill="1" applyBorder="1" applyAlignment="1">
      <alignment horizontal="left" vertical="center" indent="2"/>
    </xf>
    <xf numFmtId="0" fontId="0" fillId="2" borderId="18" xfId="0" applyFill="1" applyBorder="1" applyAlignment="1">
      <alignment horizontal="left" vertical="center"/>
    </xf>
    <xf numFmtId="3" fontId="32" fillId="6" borderId="36" xfId="30" applyFont="1" applyBorder="1">
      <alignment horizontal="right" vertical="center"/>
    </xf>
    <xf numFmtId="0" fontId="0" fillId="13" borderId="112" xfId="3" applyFont="1" applyBorder="1">
      <alignment horizontal="center" vertical="center"/>
    </xf>
    <xf numFmtId="0" fontId="0" fillId="13" borderId="73" xfId="3" applyFont="1" applyBorder="1">
      <alignment horizontal="center" vertical="center"/>
    </xf>
    <xf numFmtId="0" fontId="0" fillId="13" borderId="75" xfId="3" applyFont="1" applyBorder="1">
      <alignment horizontal="center" vertical="center"/>
    </xf>
    <xf numFmtId="2" fontId="26" fillId="13" borderId="23" xfId="3" applyNumberFormat="1" applyFont="1" applyBorder="1">
      <alignment horizontal="center" vertical="center"/>
    </xf>
    <xf numFmtId="0" fontId="32" fillId="2" borderId="18" xfId="0" applyFont="1" applyFill="1" applyBorder="1" applyAlignment="1">
      <alignment horizontal="center" vertical="center" wrapText="1"/>
    </xf>
    <xf numFmtId="0" fontId="32" fillId="2" borderId="24" xfId="0" applyFont="1" applyFill="1" applyBorder="1" applyAlignment="1">
      <alignment horizontal="center" vertical="center" wrapText="1"/>
    </xf>
    <xf numFmtId="0" fontId="26" fillId="13" borderId="24" xfId="3" applyFont="1" applyBorder="1">
      <alignment horizontal="center" vertical="center"/>
    </xf>
    <xf numFmtId="3" fontId="26" fillId="6" borderId="70" xfId="30" applyFont="1" applyBorder="1">
      <alignment horizontal="right" vertical="center"/>
    </xf>
    <xf numFmtId="3" fontId="32" fillId="6" borderId="58" xfId="147" applyFont="1" applyBorder="1">
      <alignment horizontal="right" vertical="center"/>
    </xf>
    <xf numFmtId="0" fontId="26" fillId="13" borderId="43" xfId="3" applyFont="1" applyBorder="1">
      <alignment horizontal="center" vertical="center"/>
    </xf>
    <xf numFmtId="3" fontId="26" fillId="13" borderId="112" xfId="3" applyNumberFormat="1" applyFont="1" applyBorder="1">
      <alignment horizontal="center" vertical="center"/>
    </xf>
    <xf numFmtId="0" fontId="28" fillId="6" borderId="113" xfId="5" applyBorder="1">
      <alignment horizontal="center" wrapText="1"/>
    </xf>
    <xf numFmtId="0" fontId="28" fillId="6" borderId="74" xfId="5" applyBorder="1">
      <alignment horizontal="center" wrapText="1"/>
    </xf>
    <xf numFmtId="2" fontId="26" fillId="13" borderId="73" xfId="3" applyNumberFormat="1" applyFont="1" applyBorder="1">
      <alignment horizontal="center" vertical="center"/>
    </xf>
    <xf numFmtId="0" fontId="26" fillId="6" borderId="113" xfId="148" applyFont="1" applyBorder="1">
      <alignment horizontal="center" wrapText="1"/>
    </xf>
    <xf numFmtId="0" fontId="26" fillId="13" borderId="38" xfId="3" applyFont="1" applyBorder="1">
      <alignment horizontal="center" vertical="center"/>
    </xf>
    <xf numFmtId="3" fontId="26" fillId="13" borderId="38" xfId="3" applyNumberFormat="1" applyFont="1" applyBorder="1">
      <alignment horizontal="center" vertical="center"/>
    </xf>
    <xf numFmtId="9" fontId="32" fillId="43" borderId="73" xfId="8" applyFont="1" applyBorder="1">
      <alignment horizontal="right" vertical="center"/>
    </xf>
    <xf numFmtId="3" fontId="32" fillId="41" borderId="35" xfId="11" applyFont="1" applyBorder="1">
      <alignment horizontal="right" vertical="center"/>
      <protection locked="0"/>
    </xf>
    <xf numFmtId="0" fontId="26" fillId="14" borderId="20" xfId="26" applyFont="1" applyBorder="1">
      <alignment horizontal="center" vertical="center" wrapText="1"/>
      <protection locked="0"/>
    </xf>
    <xf numFmtId="0" fontId="0" fillId="57" borderId="41" xfId="0" applyFill="1" applyBorder="1">
      <alignment vertical="center"/>
    </xf>
    <xf numFmtId="0" fontId="41" fillId="6" borderId="28" xfId="0" applyFont="1" applyBorder="1" applyAlignment="1">
      <alignment horizontal="center" vertical="center" wrapText="1"/>
    </xf>
    <xf numFmtId="9" fontId="43" fillId="43" borderId="75" xfId="8" applyFont="1" applyBorder="1">
      <alignment horizontal="right" vertical="center"/>
    </xf>
    <xf numFmtId="0" fontId="28" fillId="6" borderId="29" xfId="5" applyBorder="1" applyAlignment="1">
      <alignment horizontal="center" vertical="center" wrapText="1"/>
    </xf>
    <xf numFmtId="0" fontId="0" fillId="6" borderId="29" xfId="0" applyBorder="1">
      <alignment vertical="center"/>
    </xf>
    <xf numFmtId="0" fontId="0" fillId="6" borderId="54" xfId="0" applyBorder="1">
      <alignment vertical="center"/>
    </xf>
    <xf numFmtId="3" fontId="43" fillId="43" borderId="58" xfId="6" applyFont="1" applyBorder="1">
      <alignment horizontal="right" vertical="center"/>
    </xf>
    <xf numFmtId="0" fontId="27" fillId="0" borderId="41" xfId="0" applyFont="1" applyFill="1" applyBorder="1" applyAlignment="1">
      <alignment horizontal="left" vertical="center"/>
    </xf>
    <xf numFmtId="0" fontId="26" fillId="0" borderId="41" xfId="0" applyFont="1" applyFill="1" applyBorder="1">
      <alignment vertical="center"/>
    </xf>
    <xf numFmtId="0" fontId="28" fillId="6" borderId="44" xfId="0" applyFont="1" applyBorder="1" applyAlignment="1">
      <alignment horizontal="center" vertical="center" wrapText="1"/>
    </xf>
    <xf numFmtId="0" fontId="28" fillId="2" borderId="72" xfId="0" applyFont="1" applyFill="1" applyBorder="1" applyAlignment="1">
      <alignment horizontal="center" vertical="center"/>
    </xf>
    <xf numFmtId="0" fontId="43" fillId="6" borderId="52" xfId="0" applyFont="1" applyBorder="1" applyAlignment="1">
      <alignment horizontal="left" vertical="center" wrapText="1"/>
    </xf>
    <xf numFmtId="0" fontId="24" fillId="50" borderId="120" xfId="29" applyFont="1" applyFill="1" applyBorder="1" applyAlignment="1">
      <alignment horizontal="left" vertical="center"/>
    </xf>
    <xf numFmtId="0" fontId="24" fillId="50" borderId="72" xfId="4" applyFill="1" applyBorder="1" applyAlignment="1"/>
    <xf numFmtId="0" fontId="25" fillId="50" borderId="72" xfId="4" applyFont="1" applyFill="1" applyBorder="1" applyAlignment="1"/>
    <xf numFmtId="0" fontId="26" fillId="6" borderId="53" xfId="0" applyFont="1" applyBorder="1">
      <alignment vertical="center"/>
    </xf>
    <xf numFmtId="0" fontId="26" fillId="6" borderId="53" xfId="0" applyFont="1" applyBorder="1" applyAlignment="1">
      <alignment horizontal="left" vertical="center"/>
    </xf>
    <xf numFmtId="0" fontId="26" fillId="15" borderId="51" xfId="55" applyFont="1" applyBorder="1">
      <alignment horizontal="center" vertical="center" wrapText="1"/>
    </xf>
    <xf numFmtId="0" fontId="26" fillId="6" borderId="67" xfId="0" applyFont="1" applyBorder="1" applyAlignment="1">
      <alignment horizontal="left" vertical="center"/>
    </xf>
    <xf numFmtId="0" fontId="40" fillId="6" borderId="72" xfId="0" applyFont="1" applyBorder="1" applyAlignment="1"/>
    <xf numFmtId="0" fontId="28" fillId="55" borderId="44" xfId="0" applyFont="1" applyFill="1" applyBorder="1" applyAlignment="1">
      <alignment horizontal="left" vertical="center"/>
    </xf>
    <xf numFmtId="0" fontId="28" fillId="55" borderId="44" xfId="0" applyFont="1" applyFill="1" applyBorder="1">
      <alignment vertical="center"/>
    </xf>
    <xf numFmtId="0" fontId="0" fillId="55" borderId="44" xfId="0" applyFill="1" applyBorder="1">
      <alignment vertical="center"/>
    </xf>
    <xf numFmtId="0" fontId="0" fillId="55" borderId="44" xfId="0" applyFill="1" applyBorder="1" applyAlignment="1">
      <alignment horizontal="left" vertical="center"/>
    </xf>
    <xf numFmtId="0" fontId="41" fillId="55" borderId="44" xfId="0" applyFont="1" applyFill="1" applyBorder="1">
      <alignment vertical="center"/>
    </xf>
    <xf numFmtId="0" fontId="49" fillId="13" borderId="73" xfId="3" applyFont="1" applyBorder="1">
      <alignment horizontal="center" vertical="center"/>
    </xf>
    <xf numFmtId="0" fontId="28" fillId="13" borderId="73" xfId="3" applyFont="1" applyBorder="1">
      <alignment horizontal="center" vertical="center"/>
    </xf>
    <xf numFmtId="0" fontId="52" fillId="46" borderId="73" xfId="0" applyFont="1" applyFill="1" applyBorder="1">
      <alignment vertical="center"/>
    </xf>
    <xf numFmtId="3" fontId="0" fillId="13" borderId="72" xfId="3" applyNumberFormat="1" applyFont="1" applyBorder="1">
      <alignment horizontal="center" vertical="center"/>
    </xf>
    <xf numFmtId="0" fontId="28" fillId="13" borderId="71" xfId="3" applyFont="1" applyBorder="1">
      <alignment horizontal="center" vertical="center"/>
    </xf>
    <xf numFmtId="15" fontId="25" fillId="6" borderId="72" xfId="0" applyNumberFormat="1" applyFont="1" applyBorder="1" applyAlignment="1"/>
    <xf numFmtId="0" fontId="24" fillId="6" borderId="41" xfId="0" applyFont="1" applyBorder="1">
      <alignment vertical="center"/>
    </xf>
    <xf numFmtId="15" fontId="25" fillId="6" borderId="72" xfId="0" applyNumberFormat="1" applyFont="1" applyBorder="1">
      <alignment vertical="center"/>
    </xf>
    <xf numFmtId="0" fontId="28" fillId="54" borderId="72" xfId="0" applyFont="1" applyFill="1" applyBorder="1">
      <alignment vertical="center"/>
    </xf>
    <xf numFmtId="173" fontId="28" fillId="54" borderId="50" xfId="35" applyFont="1" applyFill="1" applyBorder="1">
      <alignment horizontal="center" vertical="center" wrapText="1"/>
    </xf>
    <xf numFmtId="173" fontId="28" fillId="54" borderId="73" xfId="35" applyFont="1" applyFill="1" applyBorder="1">
      <alignment horizontal="center" vertical="center" wrapText="1"/>
    </xf>
    <xf numFmtId="173" fontId="28" fillId="54" borderId="75" xfId="35" applyFont="1" applyFill="1" applyBorder="1">
      <alignment horizontal="center" vertical="center" wrapText="1"/>
    </xf>
    <xf numFmtId="0" fontId="24" fillId="6" borderId="62" xfId="0" applyFont="1" applyBorder="1">
      <alignment vertical="center"/>
    </xf>
    <xf numFmtId="0" fontId="24" fillId="6" borderId="47" xfId="0" applyFont="1" applyBorder="1">
      <alignment vertical="center"/>
    </xf>
    <xf numFmtId="0" fontId="28" fillId="6" borderId="54" xfId="0" applyFont="1" applyBorder="1" applyAlignment="1">
      <alignment horizontal="center" wrapText="1"/>
    </xf>
    <xf numFmtId="0" fontId="28" fillId="6" borderId="51" xfId="0" applyFont="1" applyBorder="1" applyAlignment="1">
      <alignment horizontal="left" vertical="center" wrapText="1"/>
    </xf>
    <xf numFmtId="0" fontId="26" fillId="6" borderId="51" xfId="0" applyFont="1" applyBorder="1" applyAlignment="1">
      <alignment vertical="center" wrapText="1"/>
    </xf>
    <xf numFmtId="0" fontId="0" fillId="2" borderId="53" xfId="0" applyFill="1" applyBorder="1" applyAlignment="1">
      <alignment horizontal="center" vertical="center" wrapText="1"/>
    </xf>
    <xf numFmtId="0" fontId="0" fillId="2" borderId="51" xfId="0" applyFill="1" applyBorder="1" applyAlignment="1">
      <alignment horizontal="left" vertical="center" wrapText="1"/>
    </xf>
    <xf numFmtId="3" fontId="26" fillId="41" borderId="59" xfId="11" applyFont="1" applyBorder="1">
      <alignment horizontal="right" vertical="center"/>
      <protection locked="0"/>
    </xf>
    <xf numFmtId="0" fontId="28" fillId="2" borderId="75" xfId="0" applyFont="1" applyFill="1" applyBorder="1" applyAlignment="1">
      <alignment horizontal="center" wrapText="1"/>
    </xf>
    <xf numFmtId="0" fontId="0" fillId="2" borderId="53" xfId="0" applyFill="1" applyBorder="1" applyAlignment="1">
      <alignment horizontal="center" vertical="center"/>
    </xf>
    <xf numFmtId="0" fontId="26" fillId="2" borderId="51" xfId="0" applyFont="1" applyFill="1" applyBorder="1">
      <alignment vertical="center"/>
    </xf>
    <xf numFmtId="0" fontId="33" fillId="13" borderId="53" xfId="3" applyFont="1" applyBorder="1">
      <alignment horizontal="center" vertical="center"/>
    </xf>
    <xf numFmtId="0" fontId="28" fillId="2" borderId="51" xfId="0" applyFont="1" applyFill="1" applyBorder="1" applyAlignment="1">
      <alignment horizontal="left" vertical="center"/>
    </xf>
    <xf numFmtId="0" fontId="26" fillId="6" borderId="44" xfId="0" applyFont="1" applyBorder="1" applyAlignment="1">
      <alignment vertical="center" wrapText="1"/>
    </xf>
    <xf numFmtId="0" fontId="28" fillId="2" borderId="50" xfId="0" applyFont="1" applyFill="1" applyBorder="1" applyAlignment="1">
      <alignment horizontal="center" wrapText="1"/>
    </xf>
    <xf numFmtId="0" fontId="43" fillId="6" borderId="53" xfId="0" applyFont="1" applyBorder="1" applyAlignment="1">
      <alignment horizontal="center" vertical="center" wrapText="1"/>
    </xf>
    <xf numFmtId="0" fontId="43" fillId="6" borderId="51" xfId="0" applyFont="1" applyBorder="1" applyAlignment="1">
      <alignment horizontal="left" vertical="center" wrapText="1" indent="1"/>
    </xf>
    <xf numFmtId="0" fontId="43" fillId="6" borderId="42" xfId="0" applyFont="1" applyBorder="1" applyAlignment="1">
      <alignment horizontal="center" vertical="center" wrapText="1"/>
    </xf>
    <xf numFmtId="0" fontId="43" fillId="6" borderId="44" xfId="0" applyFont="1" applyBorder="1" applyAlignment="1">
      <alignment horizontal="left" vertical="center" wrapText="1" indent="1"/>
    </xf>
    <xf numFmtId="0" fontId="41" fillId="6" borderId="72" xfId="0" applyFont="1" applyBorder="1" applyAlignment="1">
      <alignment horizontal="left" vertical="center" wrapText="1"/>
    </xf>
    <xf numFmtId="0" fontId="41" fillId="6" borderId="44" xfId="0" applyFont="1" applyBorder="1" applyAlignment="1">
      <alignment horizontal="left" vertical="center" wrapText="1"/>
    </xf>
    <xf numFmtId="3" fontId="43" fillId="6" borderId="44" xfId="30" applyFont="1" applyBorder="1">
      <alignment horizontal="right" vertical="center"/>
    </xf>
    <xf numFmtId="3" fontId="43" fillId="6" borderId="49" xfId="30" applyFont="1" applyBorder="1">
      <alignment horizontal="right" vertical="center"/>
    </xf>
    <xf numFmtId="3" fontId="43" fillId="6" borderId="72" xfId="30" applyFont="1" applyBorder="1">
      <alignment horizontal="right" vertical="center"/>
    </xf>
    <xf numFmtId="3" fontId="43" fillId="6" borderId="75" xfId="30" applyFont="1" applyBorder="1">
      <alignment horizontal="right" vertical="center"/>
    </xf>
    <xf numFmtId="0" fontId="28" fillId="6" borderId="51" xfId="0" applyFont="1" applyBorder="1">
      <alignment vertical="center"/>
    </xf>
    <xf numFmtId="0" fontId="26" fillId="6" borderId="51" xfId="0" applyFont="1" applyBorder="1">
      <alignment vertical="center"/>
    </xf>
    <xf numFmtId="0" fontId="0" fillId="6" borderId="51" xfId="0" applyBorder="1" applyAlignment="1">
      <alignment horizontal="left" vertical="top" wrapText="1"/>
    </xf>
    <xf numFmtId="0" fontId="41" fillId="6" borderId="122" xfId="0" applyFont="1" applyBorder="1" applyAlignment="1">
      <alignment horizontal="center" vertical="center" wrapText="1"/>
    </xf>
    <xf numFmtId="0" fontId="41" fillId="13" borderId="122" xfId="3" applyFont="1" applyBorder="1">
      <alignment horizontal="center" vertical="center"/>
    </xf>
    <xf numFmtId="3" fontId="5" fillId="47" borderId="23" xfId="20" applyFont="1" applyFill="1" applyBorder="1">
      <alignment horizontal="right" vertical="center"/>
      <protection locked="0"/>
    </xf>
    <xf numFmtId="3" fontId="5" fillId="47" borderId="13" xfId="20" applyFont="1" applyFill="1">
      <alignment horizontal="right" vertical="center"/>
      <protection locked="0"/>
    </xf>
    <xf numFmtId="3" fontId="5" fillId="47" borderId="25" xfId="20" applyFont="1" applyFill="1" applyBorder="1">
      <alignment horizontal="right" vertical="center"/>
      <protection locked="0"/>
    </xf>
    <xf numFmtId="3" fontId="5" fillId="47" borderId="15" xfId="20" applyFont="1" applyFill="1" applyBorder="1">
      <alignment horizontal="right" vertical="center"/>
      <protection locked="0"/>
    </xf>
    <xf numFmtId="0" fontId="5" fillId="6" borderId="41" xfId="0" applyFont="1" applyBorder="1">
      <alignment vertical="center"/>
    </xf>
    <xf numFmtId="3" fontId="5" fillId="47" borderId="55" xfId="20" applyFont="1" applyFill="1" applyBorder="1">
      <alignment horizontal="right" vertical="center"/>
      <protection locked="0"/>
    </xf>
    <xf numFmtId="3" fontId="5" fillId="47" borderId="14" xfId="20" applyFont="1" applyFill="1" applyBorder="1">
      <alignment horizontal="right" vertical="center"/>
      <protection locked="0"/>
    </xf>
    <xf numFmtId="3" fontId="5" fillId="47" borderId="16" xfId="20" applyFont="1" applyFill="1" applyBorder="1">
      <alignment horizontal="right" vertical="center"/>
      <protection locked="0"/>
    </xf>
    <xf numFmtId="3" fontId="5" fillId="47" borderId="21" xfId="20" applyFont="1" applyFill="1" applyBorder="1">
      <alignment horizontal="right" vertical="center"/>
      <protection locked="0"/>
    </xf>
    <xf numFmtId="3" fontId="5" fillId="47" borderId="17" xfId="20" applyFont="1" applyFill="1" applyBorder="1">
      <alignment horizontal="right" vertical="center"/>
      <protection locked="0"/>
    </xf>
    <xf numFmtId="3" fontId="5" fillId="47" borderId="20" xfId="20" applyFont="1" applyFill="1" applyBorder="1">
      <alignment horizontal="right" vertical="center"/>
      <protection locked="0"/>
    </xf>
    <xf numFmtId="3" fontId="5" fillId="47" borderId="22" xfId="20" applyFont="1" applyFill="1" applyBorder="1">
      <alignment horizontal="right" vertical="center"/>
      <protection locked="0"/>
    </xf>
    <xf numFmtId="3" fontId="5" fillId="6" borderId="13" xfId="30" applyFont="1" applyBorder="1">
      <alignment horizontal="right" vertical="center"/>
    </xf>
    <xf numFmtId="0" fontId="29" fillId="6" borderId="44" xfId="0" applyFont="1" applyBorder="1" applyAlignment="1">
      <alignment horizontal="left" indent="2"/>
    </xf>
    <xf numFmtId="3" fontId="5" fillId="41" borderId="13" xfId="11" applyFont="1">
      <alignment horizontal="right" vertical="center"/>
      <protection locked="0"/>
    </xf>
    <xf numFmtId="3" fontId="0" fillId="54" borderId="79" xfId="0" applyNumberFormat="1" applyFill="1" applyBorder="1" applyAlignment="1">
      <alignment horizontal="center" vertical="center"/>
    </xf>
    <xf numFmtId="0" fontId="50" fillId="6" borderId="44" xfId="0" applyFont="1" applyBorder="1" applyAlignment="1">
      <alignment horizontal="center" vertical="center"/>
    </xf>
    <xf numFmtId="0" fontId="24" fillId="48" borderId="74" xfId="0" applyFont="1" applyFill="1" applyBorder="1" applyAlignment="1"/>
    <xf numFmtId="0" fontId="24" fillId="48" borderId="72" xfId="0" applyFont="1" applyFill="1" applyBorder="1" applyAlignment="1"/>
    <xf numFmtId="0" fontId="24" fillId="48" borderId="72" xfId="0" applyFont="1" applyFill="1" applyBorder="1" applyAlignment="1">
      <alignment horizontal="center"/>
    </xf>
    <xf numFmtId="0" fontId="28" fillId="48" borderId="72" xfId="0" applyFont="1" applyFill="1" applyBorder="1">
      <alignment vertical="center"/>
    </xf>
    <xf numFmtId="0" fontId="26" fillId="48" borderId="58" xfId="0" applyFont="1" applyFill="1" applyBorder="1">
      <alignment vertical="center"/>
    </xf>
    <xf numFmtId="0" fontId="26" fillId="6" borderId="71" xfId="0" applyFont="1" applyBorder="1" applyAlignment="1">
      <alignment horizontal="center" vertical="center"/>
    </xf>
    <xf numFmtId="0" fontId="28" fillId="13" borderId="75" xfId="3" applyFont="1" applyBorder="1">
      <alignment horizontal="center" vertical="center"/>
    </xf>
    <xf numFmtId="172" fontId="26" fillId="41" borderId="73" xfId="10" applyFont="1" applyBorder="1">
      <alignment vertical="center"/>
      <protection locked="0"/>
    </xf>
    <xf numFmtId="0" fontId="26" fillId="6" borderId="55" xfId="0" applyFont="1" applyBorder="1">
      <alignment vertical="center"/>
    </xf>
    <xf numFmtId="3" fontId="26" fillId="6" borderId="72" xfId="30" applyFont="1" applyBorder="1" applyAlignment="1">
      <alignment horizontal="center" vertical="center"/>
    </xf>
    <xf numFmtId="3" fontId="26" fillId="13" borderId="50" xfId="3" applyNumberFormat="1" applyFont="1" applyBorder="1">
      <alignment horizontal="center" vertical="center"/>
    </xf>
    <xf numFmtId="3" fontId="26" fillId="41" borderId="73" xfId="11" applyFont="1" applyBorder="1">
      <alignment horizontal="right" vertical="center"/>
      <protection locked="0"/>
    </xf>
    <xf numFmtId="3" fontId="26" fillId="41" borderId="73" xfId="20" applyFont="1" applyFill="1" applyBorder="1">
      <alignment horizontal="right" vertical="center"/>
      <protection locked="0"/>
    </xf>
    <xf numFmtId="170" fontId="26" fillId="42" borderId="51" xfId="13" applyFont="1" applyBorder="1">
      <alignment vertical="center"/>
      <protection locked="0"/>
    </xf>
    <xf numFmtId="0" fontId="28" fillId="6" borderId="112" xfId="5" applyBorder="1">
      <alignment horizontal="center" wrapText="1"/>
    </xf>
    <xf numFmtId="0" fontId="24" fillId="6" borderId="44" xfId="0" applyFont="1" applyBorder="1">
      <alignment vertical="center"/>
    </xf>
    <xf numFmtId="3" fontId="26" fillId="43" borderId="114" xfId="6" applyFont="1" applyBorder="1">
      <alignment horizontal="right" vertical="center"/>
    </xf>
    <xf numFmtId="0" fontId="28" fillId="6" borderId="73" xfId="0" applyFont="1" applyBorder="1" applyAlignment="1">
      <alignment horizontal="center" vertical="center" wrapText="1"/>
    </xf>
    <xf numFmtId="0" fontId="28" fillId="6" borderId="112" xfId="0" applyFont="1" applyBorder="1" applyAlignment="1">
      <alignment horizontal="center" vertical="center" wrapText="1"/>
    </xf>
    <xf numFmtId="0" fontId="28" fillId="6" borderId="73" xfId="0" applyFont="1" applyBorder="1" applyAlignment="1">
      <alignment horizontal="center" vertical="center"/>
    </xf>
    <xf numFmtId="0" fontId="28" fillId="6" borderId="58" xfId="0" applyFont="1" applyBorder="1" applyAlignment="1">
      <alignment horizontal="center" vertical="center" wrapText="1"/>
    </xf>
    <xf numFmtId="0" fontId="28" fillId="6" borderId="112" xfId="0" applyFont="1" applyBorder="1" applyAlignment="1">
      <alignment horizontal="center" vertical="center"/>
    </xf>
    <xf numFmtId="3" fontId="43" fillId="6" borderId="79" xfId="147" applyFont="1" applyBorder="1">
      <alignment horizontal="right" vertical="center"/>
    </xf>
    <xf numFmtId="3" fontId="43" fillId="6" borderId="15" xfId="147" applyFont="1" applyBorder="1">
      <alignment horizontal="right" vertical="center"/>
    </xf>
    <xf numFmtId="3" fontId="43" fillId="6" borderId="22" xfId="147" applyFont="1" applyBorder="1">
      <alignment horizontal="right" vertical="center"/>
    </xf>
    <xf numFmtId="3" fontId="43" fillId="6" borderId="78" xfId="147" applyFont="1" applyBorder="1">
      <alignment horizontal="right" vertical="center"/>
    </xf>
    <xf numFmtId="3" fontId="43" fillId="6" borderId="13" xfId="147" applyFont="1" applyBorder="1">
      <alignment horizontal="right" vertical="center"/>
    </xf>
    <xf numFmtId="3" fontId="43" fillId="6" borderId="21" xfId="147" applyFont="1" applyBorder="1">
      <alignment horizontal="right" vertical="center"/>
    </xf>
    <xf numFmtId="0" fontId="33" fillId="48" borderId="0" xfId="0" applyFont="1" applyFill="1">
      <alignment vertical="center"/>
    </xf>
    <xf numFmtId="0" fontId="65" fillId="53" borderId="44" xfId="144" applyBorder="1">
      <alignment horizontal="center" vertical="center"/>
    </xf>
    <xf numFmtId="0" fontId="0" fillId="48" borderId="0" xfId="0" applyFill="1" applyAlignment="1">
      <alignment horizontal="center" vertical="center"/>
    </xf>
    <xf numFmtId="0" fontId="0" fillId="6" borderId="120" xfId="0" applyBorder="1">
      <alignment vertical="center"/>
    </xf>
    <xf numFmtId="0" fontId="0" fillId="6" borderId="120" xfId="0" applyBorder="1" applyAlignment="1">
      <alignment horizontal="center" vertical="center"/>
    </xf>
    <xf numFmtId="0" fontId="28" fillId="6" borderId="120" xfId="0" applyFont="1" applyBorder="1" applyAlignment="1">
      <alignment horizontal="center" vertical="center" wrapText="1"/>
    </xf>
    <xf numFmtId="0" fontId="28" fillId="6" borderId="30" xfId="0" applyFont="1" applyBorder="1" applyAlignment="1">
      <alignment horizontal="left" vertical="center"/>
    </xf>
    <xf numFmtId="3" fontId="43" fillId="6" borderId="13" xfId="147" applyFont="1" applyBorder="1" applyAlignment="1">
      <alignment horizontal="center" vertical="center"/>
    </xf>
    <xf numFmtId="0" fontId="0" fillId="0" borderId="13" xfId="0" applyFill="1" applyBorder="1" applyAlignment="1">
      <alignment horizontal="center" vertical="center" wrapText="1"/>
    </xf>
    <xf numFmtId="0" fontId="0" fillId="59" borderId="13" xfId="0" applyFill="1" applyBorder="1" applyAlignment="1">
      <alignment horizontal="center" vertical="center" wrapText="1"/>
    </xf>
    <xf numFmtId="0" fontId="0" fillId="0" borderId="21" xfId="0" applyFill="1" applyBorder="1" applyAlignment="1">
      <alignment horizontal="center" vertical="center" wrapText="1"/>
    </xf>
    <xf numFmtId="0" fontId="0" fillId="59" borderId="21" xfId="0" applyFill="1" applyBorder="1" applyAlignment="1">
      <alignment horizontal="center" vertical="center" wrapText="1"/>
    </xf>
    <xf numFmtId="3" fontId="43" fillId="41" borderId="13" xfId="11" applyFont="1" applyAlignment="1">
      <alignment horizontal="center" vertical="center"/>
      <protection locked="0"/>
    </xf>
    <xf numFmtId="175" fontId="43" fillId="41" borderId="13" xfId="11" applyNumberFormat="1" applyFont="1">
      <alignment horizontal="right" vertical="center"/>
      <protection locked="0"/>
    </xf>
    <xf numFmtId="4" fontId="43" fillId="41" borderId="13" xfId="11" applyNumberFormat="1" applyFont="1">
      <alignment horizontal="right" vertical="center"/>
      <protection locked="0"/>
    </xf>
    <xf numFmtId="176" fontId="43" fillId="41" borderId="13" xfId="11" applyNumberFormat="1" applyFont="1">
      <alignment horizontal="right" vertical="center"/>
      <protection locked="0"/>
    </xf>
    <xf numFmtId="0" fontId="43" fillId="41" borderId="16" xfId="0" applyFont="1" applyFill="1" applyBorder="1" applyProtection="1">
      <alignment vertical="center"/>
      <protection locked="0"/>
    </xf>
    <xf numFmtId="177" fontId="43" fillId="41" borderId="16" xfId="0" applyNumberFormat="1" applyFont="1" applyFill="1" applyBorder="1" applyProtection="1">
      <alignment vertical="center"/>
      <protection locked="0"/>
    </xf>
    <xf numFmtId="0" fontId="28" fillId="43" borderId="16" xfId="9" applyFont="1" applyBorder="1" applyProtection="1">
      <alignment horizontal="left" vertical="center"/>
    </xf>
    <xf numFmtId="3" fontId="43" fillId="43" borderId="13" xfId="6" applyFont="1" applyProtection="1">
      <alignment horizontal="right" vertical="center"/>
    </xf>
    <xf numFmtId="3" fontId="43" fillId="43" borderId="13" xfId="6" applyFont="1" applyAlignment="1" applyProtection="1">
      <alignment horizontal="center" vertical="center"/>
    </xf>
    <xf numFmtId="0" fontId="28" fillId="6" borderId="129" xfId="0" applyFont="1" applyBorder="1" applyAlignment="1">
      <alignment horizontal="left" vertical="center"/>
    </xf>
    <xf numFmtId="0" fontId="43" fillId="6" borderId="129" xfId="0" applyFont="1" applyBorder="1" applyAlignment="1">
      <alignment horizontal="left" indent="1"/>
    </xf>
    <xf numFmtId="0" fontId="43" fillId="6" borderId="129" xfId="0" applyFont="1" applyBorder="1" applyAlignment="1">
      <alignment horizontal="left" indent="2"/>
    </xf>
    <xf numFmtId="0" fontId="43" fillId="6" borderId="129" xfId="0" applyFont="1" applyBorder="1" applyAlignment="1">
      <alignment horizontal="left" indent="3"/>
    </xf>
    <xf numFmtId="0" fontId="28" fillId="43" borderId="130" xfId="9" applyFont="1" applyBorder="1" applyProtection="1">
      <alignment horizontal="left" vertical="center"/>
    </xf>
    <xf numFmtId="0" fontId="65" fillId="53" borderId="120" xfId="144" applyBorder="1">
      <alignment horizontal="center" vertical="center"/>
    </xf>
    <xf numFmtId="0" fontId="28" fillId="6" borderId="120" xfId="0" applyFont="1" applyBorder="1" applyAlignment="1">
      <alignment vertical="center" wrapText="1"/>
    </xf>
    <xf numFmtId="0" fontId="41" fillId="6" borderId="131" xfId="0" applyFont="1" applyBorder="1" applyAlignment="1">
      <alignment wrapText="1"/>
    </xf>
    <xf numFmtId="0" fontId="41" fillId="6" borderId="132" xfId="0" applyFont="1" applyBorder="1" applyAlignment="1">
      <alignment horizontal="left" wrapText="1" indent="1"/>
    </xf>
    <xf numFmtId="0" fontId="41" fillId="6" borderId="133" xfId="0" applyFont="1" applyBorder="1" applyAlignment="1">
      <alignment horizontal="left" indent="1"/>
    </xf>
    <xf numFmtId="0" fontId="41" fillId="6" borderId="132" xfId="0" applyFont="1" applyBorder="1" applyAlignment="1">
      <alignment horizontal="left" indent="1"/>
    </xf>
    <xf numFmtId="0" fontId="43" fillId="6" borderId="132" xfId="0" applyFont="1" applyBorder="1" applyAlignment="1">
      <alignment horizontal="left" indent="2"/>
    </xf>
    <xf numFmtId="0" fontId="0" fillId="6" borderId="132" xfId="0" applyBorder="1" applyAlignment="1">
      <alignment horizontal="left" vertical="center" wrapText="1" indent="2"/>
    </xf>
    <xf numFmtId="0" fontId="52" fillId="6" borderId="133" xfId="0" applyFont="1" applyBorder="1" applyAlignment="1">
      <alignment horizontal="left" wrapText="1" indent="4"/>
    </xf>
    <xf numFmtId="0" fontId="71" fillId="6" borderId="133" xfId="0" applyFont="1" applyBorder="1" applyAlignment="1">
      <alignment horizontal="left" vertical="center" wrapText="1" indent="2"/>
    </xf>
    <xf numFmtId="0" fontId="68" fillId="6" borderId="134" xfId="0" applyFont="1" applyBorder="1" applyAlignment="1">
      <alignment horizontal="left" vertical="center" wrapText="1" indent="4"/>
    </xf>
    <xf numFmtId="0" fontId="33" fillId="48" borderId="0" xfId="0" applyFont="1" applyFill="1" applyAlignment="1">
      <alignment horizontal="left" vertical="center"/>
    </xf>
    <xf numFmtId="0" fontId="0" fillId="48" borderId="0" xfId="0" applyFill="1" applyAlignment="1">
      <alignment horizontal="left" vertical="center"/>
    </xf>
    <xf numFmtId="3" fontId="0" fillId="48" borderId="0" xfId="0" applyNumberFormat="1" applyFill="1">
      <alignment vertical="center"/>
    </xf>
    <xf numFmtId="0" fontId="41" fillId="6" borderId="135" xfId="0" applyFont="1" applyBorder="1" applyAlignment="1">
      <alignment horizontal="left" vertical="center" wrapText="1"/>
    </xf>
    <xf numFmtId="0" fontId="65" fillId="53" borderId="44" xfId="144" applyBorder="1" applyAlignment="1">
      <alignment horizontal="left" vertical="center"/>
    </xf>
    <xf numFmtId="3" fontId="43" fillId="41" borderId="15" xfId="11" applyFont="1" applyBorder="1" applyAlignment="1">
      <alignment horizontal="left" vertical="center"/>
      <protection locked="0"/>
    </xf>
    <xf numFmtId="0" fontId="0" fillId="2" borderId="0" xfId="0" applyFill="1" applyAlignment="1">
      <alignment horizontal="left" vertical="center"/>
    </xf>
    <xf numFmtId="0" fontId="65" fillId="53" borderId="21" xfId="153" applyBorder="1">
      <alignment horizontal="center" vertical="center"/>
    </xf>
    <xf numFmtId="0" fontId="0" fillId="0" borderId="15" xfId="0" applyFill="1" applyBorder="1" applyAlignment="1">
      <alignment horizontal="center" vertical="center" wrapText="1"/>
    </xf>
    <xf numFmtId="3" fontId="0" fillId="6" borderId="65" xfId="147" applyFont="1" applyBorder="1">
      <alignment horizontal="right" vertical="center"/>
    </xf>
    <xf numFmtId="3" fontId="43" fillId="6" borderId="55" xfId="147" applyFont="1" applyBorder="1">
      <alignment horizontal="right" vertical="center"/>
    </xf>
    <xf numFmtId="3" fontId="0" fillId="6" borderId="55" xfId="147" applyFont="1" applyBorder="1">
      <alignment horizontal="right" vertical="center"/>
    </xf>
    <xf numFmtId="3" fontId="43" fillId="6" borderId="51" xfId="147" applyFont="1" applyBorder="1">
      <alignment horizontal="right" vertical="center"/>
    </xf>
    <xf numFmtId="3" fontId="0" fillId="6" borderId="78" xfId="147" applyFont="1" applyBorder="1">
      <alignment horizontal="right" vertical="center"/>
    </xf>
    <xf numFmtId="3" fontId="0" fillId="6" borderId="13" xfId="147" applyFont="1" applyBorder="1">
      <alignment horizontal="right" vertical="center"/>
    </xf>
    <xf numFmtId="3" fontId="5" fillId="13" borderId="78" xfId="152" applyNumberFormat="1" applyFont="1" applyBorder="1">
      <alignment horizontal="center" vertical="center"/>
    </xf>
    <xf numFmtId="3" fontId="5" fillId="13" borderId="13" xfId="152" applyNumberFormat="1" applyFont="1" applyBorder="1">
      <alignment horizontal="center" vertical="center"/>
    </xf>
    <xf numFmtId="3" fontId="5" fillId="13" borderId="21" xfId="152" applyNumberFormat="1" applyFont="1" applyBorder="1">
      <alignment horizontal="center" vertical="center"/>
    </xf>
    <xf numFmtId="0" fontId="65" fillId="53" borderId="78" xfId="153" applyBorder="1">
      <alignment horizontal="center" vertical="center"/>
    </xf>
    <xf numFmtId="0" fontId="65" fillId="53" borderId="13" xfId="153" applyBorder="1">
      <alignment horizontal="center" vertical="center"/>
    </xf>
    <xf numFmtId="3" fontId="43" fillId="13" borderId="65" xfId="152" applyNumberFormat="1" applyFont="1" applyBorder="1">
      <alignment horizontal="center" vertical="center"/>
    </xf>
    <xf numFmtId="3" fontId="43" fillId="13" borderId="55" xfId="152" applyNumberFormat="1" applyFont="1" applyBorder="1">
      <alignment horizontal="center" vertical="center"/>
    </xf>
    <xf numFmtId="3" fontId="43" fillId="13" borderId="37" xfId="152" applyNumberFormat="1" applyFont="1" applyBorder="1">
      <alignment horizontal="center" vertical="center"/>
    </xf>
    <xf numFmtId="3" fontId="43" fillId="13" borderId="14" xfId="152" applyNumberFormat="1" applyFont="1" applyBorder="1">
      <alignment horizontal="center" vertical="center"/>
    </xf>
    <xf numFmtId="0" fontId="65" fillId="53" borderId="44" xfId="153" applyBorder="1">
      <alignment horizontal="center" vertical="center"/>
    </xf>
    <xf numFmtId="0" fontId="65" fillId="53" borderId="0" xfId="153" applyBorder="1">
      <alignment horizontal="center" vertical="center"/>
    </xf>
    <xf numFmtId="0" fontId="65" fillId="53" borderId="120" xfId="153" applyBorder="1">
      <alignment horizontal="center" vertical="center"/>
    </xf>
    <xf numFmtId="0" fontId="28" fillId="6" borderId="138" xfId="0" applyFont="1" applyBorder="1">
      <alignment vertical="center"/>
    </xf>
    <xf numFmtId="3" fontId="0" fillId="6" borderId="15" xfId="147" applyFont="1" applyBorder="1">
      <alignment horizontal="right" vertical="center"/>
    </xf>
    <xf numFmtId="3" fontId="0" fillId="41" borderId="28" xfId="147" applyFont="1" applyFill="1" applyBorder="1" applyProtection="1">
      <alignment horizontal="right" vertical="center"/>
      <protection locked="0"/>
    </xf>
    <xf numFmtId="3" fontId="0" fillId="41" borderId="15" xfId="147" applyFont="1" applyFill="1" applyBorder="1" applyProtection="1">
      <alignment horizontal="right" vertical="center"/>
      <protection locked="0"/>
    </xf>
    <xf numFmtId="3" fontId="0" fillId="41" borderId="22" xfId="147" applyFont="1" applyFill="1" applyBorder="1" applyProtection="1">
      <alignment horizontal="right" vertical="center"/>
      <protection locked="0"/>
    </xf>
    <xf numFmtId="0" fontId="0" fillId="59" borderId="15" xfId="0" applyFill="1" applyBorder="1" applyAlignment="1">
      <alignment horizontal="center" vertical="center" wrapText="1"/>
    </xf>
    <xf numFmtId="3" fontId="0" fillId="41" borderId="136" xfId="147" applyFont="1" applyFill="1" applyBorder="1" applyProtection="1">
      <alignment horizontal="right" vertical="center"/>
      <protection locked="0"/>
    </xf>
    <xf numFmtId="3" fontId="0" fillId="41" borderId="13" xfId="147" applyFont="1" applyFill="1" applyBorder="1" applyProtection="1">
      <alignment horizontal="right" vertical="center"/>
      <protection locked="0"/>
    </xf>
    <xf numFmtId="3" fontId="0" fillId="41" borderId="21" xfId="147" applyFont="1" applyFill="1" applyBorder="1" applyProtection="1">
      <alignment horizontal="right" vertical="center"/>
      <protection locked="0"/>
    </xf>
    <xf numFmtId="0" fontId="28" fillId="6" borderId="129" xfId="0" applyFont="1" applyBorder="1">
      <alignment vertical="center"/>
    </xf>
    <xf numFmtId="3" fontId="0" fillId="41" borderId="139" xfId="147" applyFont="1" applyFill="1" applyBorder="1" applyProtection="1">
      <alignment horizontal="right" vertical="center"/>
      <protection locked="0"/>
    </xf>
    <xf numFmtId="3" fontId="43" fillId="41" borderId="136" xfId="147" applyFont="1" applyFill="1" applyBorder="1" applyProtection="1">
      <alignment horizontal="right" vertical="center"/>
      <protection locked="0"/>
    </xf>
    <xf numFmtId="3" fontId="43" fillId="41" borderId="139" xfId="147" applyFont="1" applyFill="1" applyBorder="1" applyProtection="1">
      <alignment horizontal="right" vertical="center"/>
      <protection locked="0"/>
    </xf>
    <xf numFmtId="3" fontId="43" fillId="41" borderId="13" xfId="147" applyFont="1" applyFill="1" applyBorder="1" applyProtection="1">
      <alignment horizontal="right" vertical="center"/>
      <protection locked="0"/>
    </xf>
    <xf numFmtId="3" fontId="43" fillId="41" borderId="21" xfId="147" applyFont="1" applyFill="1" applyBorder="1" applyProtection="1">
      <alignment horizontal="right" vertical="center"/>
      <protection locked="0"/>
    </xf>
    <xf numFmtId="0" fontId="28" fillId="43" borderId="140" xfId="9" applyFont="1" applyBorder="1" applyProtection="1">
      <alignment horizontal="left" vertical="center"/>
    </xf>
    <xf numFmtId="3" fontId="0" fillId="43" borderId="14" xfId="6" applyFont="1" applyBorder="1" applyProtection="1">
      <alignment horizontal="right" vertical="center"/>
    </xf>
    <xf numFmtId="3" fontId="0" fillId="41" borderId="141" xfId="147" applyFont="1" applyFill="1" applyBorder="1" applyProtection="1">
      <alignment horizontal="right" vertical="center"/>
      <protection locked="0"/>
    </xf>
    <xf numFmtId="3" fontId="0" fillId="41" borderId="55" xfId="147" applyFont="1" applyFill="1" applyBorder="1" applyProtection="1">
      <alignment horizontal="right" vertical="center"/>
      <protection locked="0"/>
    </xf>
    <xf numFmtId="3" fontId="0" fillId="41" borderId="51" xfId="147" applyFont="1" applyFill="1" applyBorder="1" applyProtection="1">
      <alignment horizontal="right" vertical="center"/>
      <protection locked="0"/>
    </xf>
    <xf numFmtId="3" fontId="0" fillId="41" borderId="142" xfId="147" applyFont="1" applyFill="1" applyBorder="1" applyProtection="1">
      <alignment horizontal="right" vertical="center"/>
      <protection locked="0"/>
    </xf>
    <xf numFmtId="3" fontId="43" fillId="41" borderId="142" xfId="147" applyFont="1" applyFill="1" applyBorder="1" applyProtection="1">
      <alignment horizontal="right" vertical="center"/>
      <protection locked="0"/>
    </xf>
    <xf numFmtId="0" fontId="43" fillId="6" borderId="143" xfId="0" applyFont="1" applyBorder="1" applyAlignment="1">
      <alignment horizontal="left" indent="1"/>
    </xf>
    <xf numFmtId="3" fontId="0" fillId="41" borderId="144" xfId="147" applyFont="1" applyFill="1" applyBorder="1" applyProtection="1">
      <alignment horizontal="right" vertical="center"/>
      <protection locked="0"/>
    </xf>
    <xf numFmtId="0" fontId="28" fillId="43" borderId="145" xfId="9" applyFont="1" applyBorder="1" applyProtection="1">
      <alignment horizontal="left" vertical="center"/>
    </xf>
    <xf numFmtId="3" fontId="0" fillId="43" borderId="48" xfId="6" applyFont="1" applyBorder="1" applyProtection="1">
      <alignment horizontal="right" vertical="center"/>
    </xf>
    <xf numFmtId="3" fontId="0" fillId="43" borderId="146" xfId="6" applyFont="1" applyBorder="1" applyProtection="1">
      <alignment horizontal="right" vertical="center"/>
    </xf>
    <xf numFmtId="3" fontId="0" fillId="43" borderId="147" xfId="6" applyFont="1" applyBorder="1" applyProtection="1">
      <alignment horizontal="right" vertical="center"/>
    </xf>
    <xf numFmtId="3" fontId="0" fillId="43" borderId="148" xfId="6" applyFont="1" applyBorder="1" applyProtection="1">
      <alignment horizontal="right" vertical="center"/>
    </xf>
    <xf numFmtId="3" fontId="43" fillId="41" borderId="136" xfId="163" applyFont="1" applyFill="1" applyBorder="1" applyProtection="1">
      <alignment horizontal="right" vertical="center"/>
      <protection locked="0"/>
    </xf>
    <xf numFmtId="0" fontId="0" fillId="6" borderId="137" xfId="0" applyBorder="1" applyAlignment="1">
      <alignment horizontal="left" vertical="center" indent="2"/>
    </xf>
    <xf numFmtId="0" fontId="71" fillId="6" borderId="137" xfId="0" applyFont="1" applyBorder="1" applyAlignment="1">
      <alignment horizontal="left" vertical="center" indent="2"/>
    </xf>
    <xf numFmtId="0" fontId="0" fillId="59" borderId="25" xfId="0" applyFill="1" applyBorder="1" applyAlignment="1">
      <alignment horizontal="center" vertical="center" wrapText="1"/>
    </xf>
    <xf numFmtId="0" fontId="59" fillId="48" borderId="0" xfId="0" applyFont="1" applyFill="1" applyAlignment="1">
      <alignment vertical="top" wrapText="1"/>
    </xf>
    <xf numFmtId="0" fontId="33" fillId="48" borderId="41" xfId="0" applyFont="1" applyFill="1" applyBorder="1" applyAlignment="1">
      <alignment horizontal="left" vertical="center"/>
    </xf>
    <xf numFmtId="0" fontId="59" fillId="48" borderId="0" xfId="0" applyFont="1" applyFill="1" applyAlignment="1">
      <alignment vertical="center" wrapText="1"/>
    </xf>
    <xf numFmtId="0" fontId="41" fillId="6" borderId="135" xfId="0" applyFont="1" applyBorder="1" applyAlignment="1">
      <alignment vertical="center" wrapText="1"/>
    </xf>
    <xf numFmtId="0" fontId="41" fillId="6" borderId="132" xfId="0" applyFont="1" applyBorder="1" applyAlignment="1">
      <alignment horizontal="left" vertical="center" wrapText="1"/>
    </xf>
    <xf numFmtId="0" fontId="41" fillId="6" borderId="133" xfId="0" applyFont="1" applyBorder="1" applyAlignment="1">
      <alignment horizontal="left" vertical="center"/>
    </xf>
    <xf numFmtId="0" fontId="41" fillId="6" borderId="132" xfId="0" applyFont="1" applyBorder="1" applyAlignment="1">
      <alignment horizontal="left" vertical="center"/>
    </xf>
    <xf numFmtId="0" fontId="43" fillId="6" borderId="132" xfId="0" applyFont="1" applyBorder="1" applyAlignment="1">
      <alignment horizontal="left" vertical="center" indent="1"/>
    </xf>
    <xf numFmtId="0" fontId="0" fillId="6" borderId="132" xfId="0" applyBorder="1" applyAlignment="1">
      <alignment horizontal="left" vertical="center" wrapText="1" indent="1"/>
    </xf>
    <xf numFmtId="0" fontId="71" fillId="6" borderId="133" xfId="0" applyFont="1" applyBorder="1" applyAlignment="1">
      <alignment horizontal="left" vertical="center" wrapText="1" indent="1"/>
    </xf>
    <xf numFmtId="0" fontId="52" fillId="6" borderId="133" xfId="0" applyFont="1" applyBorder="1" applyAlignment="1">
      <alignment horizontal="left" vertical="center" wrapText="1" indent="2"/>
    </xf>
    <xf numFmtId="0" fontId="68" fillId="6" borderId="134" xfId="0" applyFont="1" applyBorder="1" applyAlignment="1">
      <alignment horizontal="left" vertical="center" wrapText="1" indent="2"/>
    </xf>
    <xf numFmtId="0" fontId="0" fillId="48" borderId="41" xfId="0" applyFill="1" applyBorder="1">
      <alignment vertical="center"/>
    </xf>
    <xf numFmtId="0" fontId="41" fillId="6" borderId="120" xfId="0" applyFont="1" applyBorder="1" applyAlignment="1">
      <alignment horizontal="center" vertical="center" wrapText="1"/>
    </xf>
    <xf numFmtId="3" fontId="0" fillId="41" borderId="149" xfId="147" applyFont="1" applyFill="1" applyBorder="1" applyProtection="1">
      <alignment horizontal="right" vertical="center"/>
      <protection locked="0"/>
    </xf>
    <xf numFmtId="0" fontId="43" fillId="6" borderId="129" xfId="0" applyFont="1" applyBorder="1" applyAlignment="1">
      <alignment horizontal="left" wrapText="1" indent="1"/>
    </xf>
    <xf numFmtId="0" fontId="43" fillId="6" borderId="150" xfId="0" applyFont="1" applyBorder="1" applyAlignment="1">
      <alignment horizontal="left" indent="2"/>
    </xf>
    <xf numFmtId="3" fontId="0" fillId="41" borderId="151" xfId="147" applyFont="1" applyFill="1" applyBorder="1" applyProtection="1">
      <alignment horizontal="right" vertical="center"/>
      <protection locked="0"/>
    </xf>
    <xf numFmtId="3" fontId="0" fillId="6" borderId="14" xfId="147" applyFont="1" applyBorder="1">
      <alignment horizontal="right" vertical="center"/>
    </xf>
    <xf numFmtId="0" fontId="0" fillId="48" borderId="67" xfId="0" applyFill="1" applyBorder="1">
      <alignment vertical="center"/>
    </xf>
    <xf numFmtId="0" fontId="29" fillId="48" borderId="44" xfId="0" applyFont="1" applyFill="1" applyBorder="1" applyAlignment="1">
      <alignment horizontal="left" indent="2"/>
    </xf>
    <xf numFmtId="0" fontId="28" fillId="6" borderId="128" xfId="0" applyFont="1" applyBorder="1" applyAlignment="1">
      <alignment horizontal="center" vertical="center" wrapText="1"/>
    </xf>
    <xf numFmtId="0" fontId="28" fillId="6" borderId="120" xfId="0" applyFont="1" applyBorder="1" applyAlignment="1">
      <alignment horizontal="center" vertical="center"/>
    </xf>
    <xf numFmtId="0" fontId="28" fillId="6" borderId="120" xfId="0" applyFont="1" applyBorder="1">
      <alignment vertical="center"/>
    </xf>
    <xf numFmtId="0" fontId="28" fillId="6" borderId="75" xfId="0" applyFont="1" applyBorder="1" applyAlignment="1">
      <alignment horizontal="center" vertical="center" wrapText="1"/>
    </xf>
    <xf numFmtId="0" fontId="28" fillId="6" borderId="24" xfId="0" applyFont="1" applyBorder="1" applyAlignment="1">
      <alignment horizontal="left" vertical="center"/>
    </xf>
    <xf numFmtId="0" fontId="0" fillId="2" borderId="0" xfId="0" applyFill="1">
      <alignment vertical="center"/>
    </xf>
    <xf numFmtId="0" fontId="28" fillId="6" borderId="120" xfId="0" applyFont="1" applyBorder="1" applyAlignment="1">
      <alignment horizontal="center" vertical="center" wrapText="1"/>
    </xf>
    <xf numFmtId="0" fontId="28" fillId="6" borderId="127" xfId="0" applyFont="1" applyBorder="1" applyAlignment="1">
      <alignment horizontal="center" vertical="center" wrapText="1"/>
    </xf>
    <xf numFmtId="0" fontId="28" fillId="6" borderId="72" xfId="0" applyFont="1" applyBorder="1" applyAlignment="1">
      <alignment horizontal="center" wrapText="1"/>
    </xf>
    <xf numFmtId="0" fontId="28" fillId="6" borderId="50" xfId="0" applyFont="1" applyBorder="1" applyAlignment="1">
      <alignment horizontal="center" wrapText="1"/>
    </xf>
    <xf numFmtId="0" fontId="26" fillId="6" borderId="16" xfId="0" applyFont="1" applyBorder="1" applyAlignment="1">
      <alignment horizontal="left" vertical="center" wrapText="1"/>
    </xf>
    <xf numFmtId="0" fontId="26" fillId="6" borderId="72" xfId="0" applyFont="1" applyBorder="1" applyAlignment="1">
      <alignment horizontal="center" vertical="center"/>
    </xf>
    <xf numFmtId="3" fontId="26" fillId="61" borderId="26" xfId="20" quotePrefix="1" applyFont="1" applyFill="1" applyBorder="1">
      <alignment horizontal="right" vertical="center"/>
      <protection locked="0"/>
    </xf>
    <xf numFmtId="0" fontId="33" fillId="6" borderId="41" xfId="116" applyFill="1" applyBorder="1" applyAlignment="1" applyProtection="1">
      <alignment horizontal="left" vertical="center"/>
    </xf>
    <xf numFmtId="0" fontId="0" fillId="2" borderId="44" xfId="0" applyFill="1" applyBorder="1">
      <alignment vertical="center"/>
    </xf>
    <xf numFmtId="0" fontId="78" fillId="2" borderId="44" xfId="0" applyFont="1" applyFill="1" applyBorder="1" applyAlignment="1">
      <alignment horizontal="left" vertical="center" wrapText="1"/>
    </xf>
    <xf numFmtId="3" fontId="26" fillId="13" borderId="72" xfId="152" applyNumberFormat="1" applyFont="1" applyBorder="1">
      <alignment horizontal="center" vertical="center"/>
    </xf>
    <xf numFmtId="0" fontId="0" fillId="41" borderId="152" xfId="18" applyFont="1" applyBorder="1">
      <alignment horizontal="center" vertical="center" wrapText="1"/>
      <protection locked="0"/>
    </xf>
    <xf numFmtId="0" fontId="28" fillId="6" borderId="75" xfId="162" applyBorder="1">
      <alignment horizontal="center" wrapText="1"/>
    </xf>
    <xf numFmtId="0" fontId="28" fillId="6" borderId="50" xfId="162" applyBorder="1">
      <alignment horizontal="center" wrapText="1"/>
    </xf>
    <xf numFmtId="3" fontId="0" fillId="13" borderId="20" xfId="152" applyNumberFormat="1" applyFont="1" applyBorder="1">
      <alignment horizontal="center" vertical="center"/>
    </xf>
    <xf numFmtId="0" fontId="0" fillId="41" borderId="153" xfId="18" applyFont="1" applyBorder="1">
      <alignment horizontal="center" vertical="center" wrapText="1"/>
      <protection locked="0"/>
    </xf>
    <xf numFmtId="0" fontId="0" fillId="6" borderId="17" xfId="0" applyBorder="1" applyAlignment="1">
      <alignment horizontal="left" vertical="center"/>
    </xf>
    <xf numFmtId="3" fontId="0" fillId="13" borderId="71" xfId="152" applyNumberFormat="1" applyFont="1" applyBorder="1">
      <alignment horizontal="center" vertical="center"/>
    </xf>
    <xf numFmtId="0" fontId="0" fillId="41" borderId="154" xfId="18" applyFont="1" applyBorder="1">
      <alignment horizontal="center" vertical="center" wrapText="1"/>
      <protection locked="0"/>
    </xf>
    <xf numFmtId="0" fontId="0" fillId="6" borderId="155" xfId="0" applyBorder="1" applyAlignment="1">
      <alignment horizontal="left" vertical="center"/>
    </xf>
    <xf numFmtId="0" fontId="28" fillId="0" borderId="104" xfId="0" applyFont="1" applyFill="1" applyBorder="1" applyAlignment="1">
      <alignment horizontal="left" vertical="center"/>
    </xf>
    <xf numFmtId="0" fontId="55" fillId="6" borderId="72" xfId="0" applyFont="1" applyBorder="1">
      <alignment vertical="center"/>
    </xf>
    <xf numFmtId="0" fontId="78" fillId="2" borderId="0" xfId="0" applyFont="1" applyFill="1" applyAlignment="1">
      <alignment vertical="center" wrapText="1"/>
    </xf>
    <xf numFmtId="0" fontId="33" fillId="0" borderId="104" xfId="116" applyFill="1" applyBorder="1" applyAlignment="1" applyProtection="1">
      <alignment horizontal="left" vertical="center"/>
    </xf>
    <xf numFmtId="49" fontId="0" fillId="41" borderId="156" xfId="19" applyFont="1" applyBorder="1">
      <alignment vertical="center"/>
      <protection locked="0"/>
    </xf>
    <xf numFmtId="0" fontId="0" fillId="6" borderId="157" xfId="0" applyBorder="1" applyAlignment="1">
      <alignment horizontal="left" vertical="center"/>
    </xf>
    <xf numFmtId="0" fontId="25" fillId="6" borderId="72" xfId="155" applyFont="1" applyFill="1" applyBorder="1" applyAlignment="1" applyProtection="1"/>
    <xf numFmtId="0" fontId="24" fillId="6" borderId="72" xfId="155" applyFill="1" applyBorder="1" applyAlignment="1" applyProtection="1"/>
    <xf numFmtId="0" fontId="24" fillId="6" borderId="158" xfId="161" applyFont="1" applyBorder="1" applyAlignment="1">
      <alignment horizontal="left" vertical="center"/>
    </xf>
    <xf numFmtId="3" fontId="43" fillId="41" borderId="159" xfId="11" applyFont="1" applyBorder="1">
      <alignment horizontal="right" vertical="center"/>
      <protection locked="0"/>
    </xf>
    <xf numFmtId="3" fontId="43" fillId="6" borderId="160" xfId="0" applyNumberFormat="1" applyFont="1" applyBorder="1">
      <alignment vertical="center"/>
    </xf>
    <xf numFmtId="3" fontId="43" fillId="41" borderId="160" xfId="11" applyFont="1" applyBorder="1">
      <alignment horizontal="right" vertical="center"/>
      <protection locked="0"/>
    </xf>
    <xf numFmtId="0" fontId="43" fillId="6" borderId="161" xfId="0" applyFont="1" applyBorder="1" applyAlignment="1">
      <alignment horizontal="left" indent="3"/>
    </xf>
    <xf numFmtId="3" fontId="43" fillId="41" borderId="162" xfId="11" applyFont="1" applyBorder="1">
      <alignment horizontal="right" vertical="center"/>
      <protection locked="0"/>
    </xf>
    <xf numFmtId="3" fontId="43" fillId="6" borderId="115" xfId="0" applyNumberFormat="1" applyFont="1" applyBorder="1">
      <alignment vertical="center"/>
    </xf>
    <xf numFmtId="0" fontId="43" fillId="6" borderId="137" xfId="0" applyFont="1" applyBorder="1" applyAlignment="1">
      <alignment horizontal="left" indent="3"/>
    </xf>
    <xf numFmtId="0" fontId="28" fillId="6" borderId="137" xfId="0" applyFont="1" applyBorder="1" applyAlignment="1">
      <alignment horizontal="left" vertical="center" indent="1"/>
    </xf>
    <xf numFmtId="0" fontId="43" fillId="6" borderId="163" xfId="0" applyFont="1" applyBorder="1" applyAlignment="1">
      <alignment horizontal="left" indent="3"/>
    </xf>
    <xf numFmtId="3" fontId="43" fillId="6" borderId="164" xfId="0" applyNumberFormat="1" applyFont="1" applyBorder="1">
      <alignment vertical="center"/>
    </xf>
    <xf numFmtId="0" fontId="41" fillId="6" borderId="165" xfId="0" applyFont="1" applyBorder="1" applyAlignment="1">
      <alignment horizontal="left" vertical="center"/>
    </xf>
    <xf numFmtId="0" fontId="28" fillId="6" borderId="166" xfId="0" applyFont="1" applyBorder="1" applyAlignment="1">
      <alignment horizontal="center" vertical="center" wrapText="1"/>
    </xf>
    <xf numFmtId="0" fontId="0" fillId="6" borderId="169" xfId="0" applyBorder="1" applyAlignment="1">
      <alignment vertical="center" wrapText="1"/>
    </xf>
    <xf numFmtId="0" fontId="81" fillId="6" borderId="0" xfId="0" applyFont="1" applyAlignment="1"/>
    <xf numFmtId="3" fontId="43" fillId="6" borderId="170" xfId="0" applyNumberFormat="1" applyFont="1" applyBorder="1">
      <alignment vertical="center"/>
    </xf>
    <xf numFmtId="0" fontId="0" fillId="6" borderId="161" xfId="0" applyBorder="1">
      <alignment vertical="center"/>
    </xf>
    <xf numFmtId="0" fontId="0" fillId="6" borderId="165" xfId="0" applyBorder="1">
      <alignment vertical="center"/>
    </xf>
    <xf numFmtId="0" fontId="28" fillId="6" borderId="162" xfId="0" applyFont="1" applyBorder="1" applyAlignment="1">
      <alignment horizontal="center" vertical="center" wrapText="1"/>
    </xf>
    <xf numFmtId="0" fontId="28" fillId="6" borderId="115" xfId="0" applyFont="1" applyBorder="1" applyAlignment="1">
      <alignment horizontal="center" vertical="center" wrapText="1"/>
    </xf>
    <xf numFmtId="3" fontId="43" fillId="41" borderId="73" xfId="11" applyFont="1" applyBorder="1">
      <alignment horizontal="right" vertical="center"/>
      <protection locked="0"/>
    </xf>
    <xf numFmtId="0" fontId="82" fillId="6" borderId="72" xfId="0" applyFont="1" applyBorder="1" applyAlignment="1"/>
    <xf numFmtId="0" fontId="33" fillId="6" borderId="44" xfId="0" applyFont="1" applyBorder="1" applyAlignment="1">
      <alignment horizontal="left" vertical="center"/>
    </xf>
    <xf numFmtId="0" fontId="43" fillId="6" borderId="174" xfId="0" applyFont="1" applyBorder="1" applyAlignment="1">
      <alignment horizontal="left" indent="3"/>
    </xf>
    <xf numFmtId="0" fontId="28" fillId="6" borderId="163" xfId="0" applyFont="1" applyBorder="1" applyAlignment="1">
      <alignment horizontal="left" vertical="center" indent="1"/>
    </xf>
    <xf numFmtId="0" fontId="0" fillId="6" borderId="0" xfId="0" quotePrefix="1" applyAlignment="1"/>
    <xf numFmtId="0" fontId="41" fillId="6" borderId="175" xfId="0" applyFont="1" applyBorder="1" applyAlignment="1">
      <alignment horizontal="left" vertical="center" wrapText="1"/>
    </xf>
    <xf numFmtId="0" fontId="28" fillId="6" borderId="176" xfId="0" applyFont="1" applyBorder="1" applyAlignment="1">
      <alignment horizontal="center" vertical="center" wrapText="1"/>
    </xf>
    <xf numFmtId="0" fontId="28" fillId="6" borderId="177" xfId="0" applyFont="1" applyBorder="1" applyAlignment="1">
      <alignment horizontal="center" vertical="center" wrapText="1"/>
    </xf>
    <xf numFmtId="0" fontId="81" fillId="6" borderId="44" xfId="0" applyFont="1" applyBorder="1" applyAlignment="1"/>
    <xf numFmtId="0" fontId="0" fillId="0" borderId="37" xfId="0" applyFill="1" applyBorder="1" applyAlignment="1">
      <alignment horizontal="center" vertical="center" wrapText="1"/>
    </xf>
    <xf numFmtId="0" fontId="28" fillId="6" borderId="161" xfId="0" applyFont="1" applyBorder="1" applyAlignment="1">
      <alignment horizontal="left" vertical="center"/>
    </xf>
    <xf numFmtId="0" fontId="0" fillId="0" borderId="78" xfId="0" applyFill="1" applyBorder="1" applyAlignment="1">
      <alignment horizontal="center" vertical="center" wrapText="1"/>
    </xf>
    <xf numFmtId="0" fontId="28" fillId="6" borderId="137" xfId="0" applyFont="1" applyBorder="1" applyAlignment="1">
      <alignment horizontal="left" vertical="center"/>
    </xf>
    <xf numFmtId="0" fontId="26" fillId="2" borderId="0" xfId="156" applyFill="1">
      <alignment vertical="center"/>
    </xf>
    <xf numFmtId="0" fontId="26" fillId="6" borderId="0" xfId="156">
      <alignment vertical="center"/>
    </xf>
    <xf numFmtId="0" fontId="84" fillId="0" borderId="44" xfId="172" applyFont="1" applyBorder="1"/>
    <xf numFmtId="0" fontId="84" fillId="0" borderId="0" xfId="172" applyFont="1"/>
    <xf numFmtId="0" fontId="84" fillId="6" borderId="44" xfId="172" applyFont="1" applyFill="1" applyBorder="1"/>
    <xf numFmtId="3" fontId="85" fillId="0" borderId="182" xfId="172" applyNumberFormat="1" applyFont="1" applyBorder="1" applyAlignment="1">
      <alignment horizontal="center" vertical="center"/>
    </xf>
    <xf numFmtId="0" fontId="65" fillId="53" borderId="14" xfId="153" applyBorder="1">
      <alignment horizontal="center" vertical="center"/>
    </xf>
    <xf numFmtId="3" fontId="85" fillId="0" borderId="183" xfId="172" applyNumberFormat="1" applyFont="1" applyBorder="1" applyAlignment="1">
      <alignment horizontal="center" vertical="center"/>
    </xf>
    <xf numFmtId="3" fontId="85" fillId="41" borderId="14" xfId="11" applyFont="1" applyBorder="1">
      <alignment horizontal="right" vertical="center"/>
      <protection locked="0"/>
    </xf>
    <xf numFmtId="3" fontId="85" fillId="0" borderId="184" xfId="172" applyNumberFormat="1" applyFont="1" applyBorder="1" applyAlignment="1">
      <alignment horizontal="center" vertical="center"/>
    </xf>
    <xf numFmtId="3" fontId="0" fillId="13" borderId="14" xfId="152" applyNumberFormat="1" applyFont="1" applyBorder="1">
      <alignment horizontal="center" vertical="center"/>
    </xf>
    <xf numFmtId="3" fontId="85" fillId="0" borderId="185" xfId="172" applyNumberFormat="1" applyFont="1" applyBorder="1" applyAlignment="1">
      <alignment horizontal="center" vertical="center"/>
    </xf>
    <xf numFmtId="3" fontId="85" fillId="0" borderId="14" xfId="172" applyNumberFormat="1" applyFont="1" applyBorder="1" applyAlignment="1">
      <alignment horizontal="center" vertical="center"/>
    </xf>
    <xf numFmtId="0" fontId="65" fillId="53" borderId="185" xfId="153" applyBorder="1">
      <alignment horizontal="center" vertical="center"/>
    </xf>
    <xf numFmtId="3" fontId="85" fillId="41" borderId="17" xfId="11" applyFont="1" applyBorder="1">
      <alignment horizontal="right" vertical="center"/>
      <protection locked="0"/>
    </xf>
    <xf numFmtId="3" fontId="85" fillId="41" borderId="186" xfId="11" applyFont="1" applyBorder="1">
      <alignment horizontal="right" vertical="center"/>
      <protection locked="0"/>
    </xf>
    <xf numFmtId="0" fontId="41" fillId="0" borderId="174" xfId="172" applyFont="1" applyBorder="1" applyAlignment="1">
      <alignment horizontal="left" vertical="center" wrapText="1" indent="2"/>
    </xf>
    <xf numFmtId="0" fontId="28" fillId="6" borderId="187" xfId="156" applyFont="1" applyBorder="1" applyAlignment="1">
      <alignment horizontal="center" vertical="center" wrapText="1"/>
    </xf>
    <xf numFmtId="0" fontId="84" fillId="6" borderId="0" xfId="172" applyFont="1" applyFill="1"/>
    <xf numFmtId="3" fontId="85" fillId="0" borderId="162" xfId="172" applyNumberFormat="1" applyFont="1" applyBorder="1" applyAlignment="1">
      <alignment horizontal="center" vertical="center"/>
    </xf>
    <xf numFmtId="0" fontId="65" fillId="53" borderId="188" xfId="153" applyBorder="1">
      <alignment horizontal="center" vertical="center"/>
    </xf>
    <xf numFmtId="3" fontId="85" fillId="6" borderId="115" xfId="172" applyNumberFormat="1" applyFont="1" applyFill="1" applyBorder="1" applyAlignment="1">
      <alignment horizontal="center" vertical="center"/>
    </xf>
    <xf numFmtId="3" fontId="85" fillId="6" borderId="13" xfId="11" applyFont="1" applyFill="1" applyAlignment="1" applyProtection="1">
      <alignment horizontal="center" vertical="center"/>
    </xf>
    <xf numFmtId="3" fontId="85" fillId="41" borderId="13" xfId="11" applyFont="1">
      <alignment horizontal="right" vertical="center"/>
      <protection locked="0"/>
    </xf>
    <xf numFmtId="3" fontId="0" fillId="13" borderId="189" xfId="152" applyNumberFormat="1" applyFont="1" applyBorder="1">
      <alignment horizontal="center" vertical="center"/>
    </xf>
    <xf numFmtId="3" fontId="85" fillId="0" borderId="190" xfId="172" applyNumberFormat="1" applyFont="1" applyBorder="1" applyAlignment="1">
      <alignment horizontal="center" vertical="center"/>
    </xf>
    <xf numFmtId="3" fontId="85" fillId="6" borderId="13" xfId="11" applyFont="1" applyFill="1">
      <alignment horizontal="right" vertical="center"/>
      <protection locked="0"/>
    </xf>
    <xf numFmtId="3" fontId="85" fillId="0" borderId="13" xfId="172" applyNumberFormat="1" applyFont="1" applyBorder="1" applyAlignment="1">
      <alignment horizontal="center" vertical="center"/>
    </xf>
    <xf numFmtId="0" fontId="65" fillId="53" borderId="190" xfId="153" applyBorder="1">
      <alignment horizontal="center" vertical="center"/>
    </xf>
    <xf numFmtId="3" fontId="85" fillId="0" borderId="136" xfId="172" applyNumberFormat="1" applyFont="1" applyBorder="1" applyAlignment="1">
      <alignment horizontal="center" vertical="center"/>
    </xf>
    <xf numFmtId="0" fontId="65" fillId="53" borderId="191" xfId="153" applyBorder="1">
      <alignment horizontal="center" vertical="center"/>
    </xf>
    <xf numFmtId="3" fontId="85" fillId="41" borderId="192" xfId="11" applyFont="1" applyBorder="1">
      <alignment horizontal="right" vertical="center"/>
      <protection locked="0"/>
    </xf>
    <xf numFmtId="3" fontId="85" fillId="41" borderId="18" xfId="11" applyFont="1" applyBorder="1">
      <alignment horizontal="right" vertical="center"/>
      <protection locked="0"/>
    </xf>
    <xf numFmtId="3" fontId="85" fillId="41" borderId="193" xfId="11" applyFont="1" applyBorder="1">
      <alignment horizontal="right" vertical="center"/>
      <protection locked="0"/>
    </xf>
    <xf numFmtId="0" fontId="43" fillId="0" borderId="194" xfId="172" applyFont="1" applyBorder="1" applyAlignment="1">
      <alignment horizontal="left" vertical="center" wrapText="1" indent="3"/>
    </xf>
    <xf numFmtId="3" fontId="85" fillId="0" borderId="115" xfId="172" applyNumberFormat="1" applyFont="1" applyBorder="1" applyAlignment="1">
      <alignment horizontal="center" vertical="center"/>
    </xf>
    <xf numFmtId="3" fontId="85" fillId="0" borderId="13" xfId="11" applyFont="1" applyFill="1" applyAlignment="1" applyProtection="1">
      <alignment horizontal="center" vertical="center"/>
    </xf>
    <xf numFmtId="3" fontId="85" fillId="0" borderId="13" xfId="11" applyFont="1" applyFill="1" applyAlignment="1">
      <alignment horizontal="center" vertical="center"/>
      <protection locked="0"/>
    </xf>
    <xf numFmtId="0" fontId="41" fillId="0" borderId="196" xfId="172" applyFont="1" applyBorder="1" applyAlignment="1">
      <alignment horizontal="left" vertical="center" wrapText="1" indent="2"/>
    </xf>
    <xf numFmtId="0" fontId="43" fillId="0" borderId="30" xfId="172" applyFont="1" applyBorder="1" applyAlignment="1">
      <alignment horizontal="left" vertical="center" wrapText="1" indent="3"/>
    </xf>
    <xf numFmtId="0" fontId="0" fillId="0" borderId="30" xfId="172" applyFont="1" applyBorder="1" applyAlignment="1">
      <alignment horizontal="left" vertical="center" wrapText="1" indent="4"/>
    </xf>
    <xf numFmtId="3" fontId="85" fillId="41" borderId="16" xfId="11" applyFont="1" applyBorder="1">
      <alignment horizontal="right" vertical="center"/>
      <protection locked="0"/>
    </xf>
    <xf numFmtId="0" fontId="86" fillId="6" borderId="0" xfId="172" applyFont="1" applyFill="1" applyAlignment="1">
      <alignment horizontal="center" vertical="center" wrapText="1"/>
    </xf>
    <xf numFmtId="0" fontId="65" fillId="53" borderId="22" xfId="153" applyBorder="1">
      <alignment horizontal="center" vertical="center"/>
    </xf>
    <xf numFmtId="0" fontId="65" fillId="53" borderId="54" xfId="153" applyBorder="1">
      <alignment horizontal="center" vertical="center"/>
    </xf>
    <xf numFmtId="3" fontId="85" fillId="0" borderId="198" xfId="172" applyNumberFormat="1" applyFont="1" applyBorder="1" applyAlignment="1">
      <alignment horizontal="center" vertical="center"/>
    </xf>
    <xf numFmtId="3" fontId="85" fillId="41" borderId="55" xfId="11" applyFont="1" applyBorder="1">
      <alignment horizontal="right" vertical="center"/>
      <protection locked="0"/>
    </xf>
    <xf numFmtId="3" fontId="85" fillId="41" borderId="15" xfId="11" applyFont="1" applyBorder="1">
      <alignment horizontal="right" vertical="center"/>
      <protection locked="0"/>
    </xf>
    <xf numFmtId="3" fontId="85" fillId="41" borderId="199" xfId="11" applyFont="1" applyBorder="1">
      <alignment horizontal="right" vertical="center"/>
      <protection locked="0"/>
    </xf>
    <xf numFmtId="3" fontId="85" fillId="0" borderId="200" xfId="172" applyNumberFormat="1" applyFont="1" applyBorder="1" applyAlignment="1">
      <alignment horizontal="center" vertical="center"/>
    </xf>
    <xf numFmtId="3" fontId="85" fillId="0" borderId="55" xfId="172" applyNumberFormat="1" applyFont="1" applyBorder="1" applyAlignment="1">
      <alignment horizontal="center" vertical="center"/>
    </xf>
    <xf numFmtId="0" fontId="65" fillId="53" borderId="27" xfId="153" applyBorder="1">
      <alignment horizontal="center" vertical="center"/>
    </xf>
    <xf numFmtId="3" fontId="85" fillId="0" borderId="201" xfId="172" applyNumberFormat="1" applyFont="1" applyBorder="1" applyAlignment="1">
      <alignment horizontal="center" vertical="center"/>
    </xf>
    <xf numFmtId="3" fontId="85" fillId="41" borderId="202" xfId="11" applyFont="1" applyBorder="1">
      <alignment horizontal="right" vertical="center"/>
      <protection locked="0"/>
    </xf>
    <xf numFmtId="3" fontId="85" fillId="41" borderId="203" xfId="11" applyFont="1" applyBorder="1">
      <alignment horizontal="right" vertical="center"/>
      <protection locked="0"/>
    </xf>
    <xf numFmtId="0" fontId="30" fillId="6" borderId="205" xfId="160" applyFont="1" applyBorder="1" applyAlignment="1">
      <alignment horizontal="center" vertical="center" wrapText="1"/>
    </xf>
    <xf numFmtId="0" fontId="30" fillId="6" borderId="206" xfId="160" applyFont="1" applyBorder="1" applyAlignment="1">
      <alignment horizontal="center" vertical="center" wrapText="1"/>
    </xf>
    <xf numFmtId="0" fontId="28" fillId="0" borderId="207" xfId="172" applyFont="1" applyBorder="1" applyAlignment="1">
      <alignment horizontal="center" vertical="center" wrapText="1"/>
    </xf>
    <xf numFmtId="0" fontId="28" fillId="0" borderId="208" xfId="172" applyFont="1" applyBorder="1" applyAlignment="1">
      <alignment horizontal="center" vertical="center" wrapText="1"/>
    </xf>
    <xf numFmtId="0" fontId="28" fillId="0" borderId="206" xfId="172" applyFont="1" applyBorder="1" applyAlignment="1">
      <alignment horizontal="center" vertical="center" wrapText="1"/>
    </xf>
    <xf numFmtId="0" fontId="30" fillId="6" borderId="71" xfId="160" applyFont="1" applyBorder="1" applyAlignment="1">
      <alignment horizontal="center" vertical="center" wrapText="1"/>
    </xf>
    <xf numFmtId="0" fontId="28" fillId="0" borderId="205" xfId="172" applyFont="1" applyBorder="1" applyAlignment="1">
      <alignment horizontal="center" vertical="center" wrapText="1"/>
    </xf>
    <xf numFmtId="0" fontId="28" fillId="0" borderId="49" xfId="172" applyFont="1" applyBorder="1" applyAlignment="1">
      <alignment horizontal="center" vertical="center" wrapText="1"/>
    </xf>
    <xf numFmtId="0" fontId="28" fillId="0" borderId="152" xfId="172" applyFont="1" applyBorder="1" applyAlignment="1">
      <alignment horizontal="center" vertical="center" wrapText="1"/>
    </xf>
    <xf numFmtId="0" fontId="28" fillId="0" borderId="210" xfId="172" applyFont="1" applyBorder="1" applyAlignment="1">
      <alignment horizontal="center" vertical="center" wrapText="1"/>
    </xf>
    <xf numFmtId="0" fontId="84" fillId="6" borderId="44" xfId="172" applyFont="1" applyFill="1" applyBorder="1" applyAlignment="1">
      <alignment wrapText="1"/>
    </xf>
    <xf numFmtId="0" fontId="84" fillId="6" borderId="0" xfId="172" applyFont="1" applyFill="1" applyAlignment="1">
      <alignment wrapText="1"/>
    </xf>
    <xf numFmtId="0" fontId="84" fillId="6" borderId="71" xfId="172" applyFont="1" applyFill="1" applyBorder="1"/>
    <xf numFmtId="0" fontId="84" fillId="6" borderId="71" xfId="172" applyFont="1" applyFill="1" applyBorder="1" applyAlignment="1">
      <alignment wrapText="1"/>
    </xf>
    <xf numFmtId="0" fontId="87" fillId="6" borderId="0" xfId="172" applyFont="1" applyFill="1" applyAlignment="1">
      <alignment vertical="center"/>
    </xf>
    <xf numFmtId="0" fontId="87" fillId="6" borderId="44" xfId="172" applyFont="1" applyFill="1" applyBorder="1" applyAlignment="1">
      <alignment vertical="center"/>
    </xf>
    <xf numFmtId="0" fontId="29" fillId="6" borderId="44" xfId="156" applyFont="1" applyBorder="1" applyAlignment="1">
      <alignment vertical="center" wrapText="1"/>
    </xf>
    <xf numFmtId="0" fontId="33" fillId="6" borderId="0" xfId="172" applyFont="1" applyFill="1" applyAlignment="1">
      <alignment vertical="center"/>
    </xf>
    <xf numFmtId="0" fontId="39" fillId="6" borderId="0" xfId="172" applyFont="1" applyFill="1" applyAlignment="1">
      <alignment vertical="center"/>
    </xf>
    <xf numFmtId="0" fontId="89" fillId="6" borderId="0" xfId="172" applyFont="1" applyFill="1"/>
    <xf numFmtId="0" fontId="43" fillId="6" borderId="0" xfId="156" applyFont="1">
      <alignment vertical="center"/>
    </xf>
    <xf numFmtId="0" fontId="26" fillId="6" borderId="0" xfId="156" applyAlignment="1">
      <alignment horizontal="left" vertical="center"/>
    </xf>
    <xf numFmtId="0" fontId="28" fillId="6" borderId="0" xfId="156" applyFont="1" applyAlignment="1"/>
    <xf numFmtId="3" fontId="26" fillId="0" borderId="228" xfId="11" applyFont="1" applyFill="1" applyBorder="1" applyAlignment="1" applyProtection="1">
      <alignment horizontal="center" vertical="center"/>
    </xf>
    <xf numFmtId="0" fontId="43" fillId="6" borderId="19" xfId="156" applyFont="1" applyBorder="1">
      <alignment vertical="center"/>
    </xf>
    <xf numFmtId="0" fontId="26" fillId="6" borderId="19" xfId="156" applyBorder="1" applyAlignment="1">
      <alignment horizontal="left" vertical="center"/>
    </xf>
    <xf numFmtId="3" fontId="26" fillId="0" borderId="229" xfId="11" applyFont="1" applyFill="1" applyBorder="1" applyAlignment="1" applyProtection="1">
      <alignment horizontal="center" vertical="center"/>
    </xf>
    <xf numFmtId="0" fontId="26" fillId="53" borderId="24" xfId="153" applyFont="1" applyBorder="1">
      <alignment horizontal="center" vertical="center"/>
    </xf>
    <xf numFmtId="0" fontId="90" fillId="6" borderId="0" xfId="172" applyFont="1" applyFill="1"/>
    <xf numFmtId="9" fontId="26" fillId="0" borderId="27" xfId="173" applyFont="1" applyFill="1" applyBorder="1" applyAlignment="1" applyProtection="1">
      <alignment horizontal="right" vertical="center"/>
    </xf>
    <xf numFmtId="3" fontId="26" fillId="41" borderId="191" xfId="11" applyFont="1" applyBorder="1">
      <alignment horizontal="right" vertical="center"/>
      <protection locked="0"/>
    </xf>
    <xf numFmtId="0" fontId="84" fillId="0" borderId="230" xfId="172" applyFont="1" applyBorder="1"/>
    <xf numFmtId="0" fontId="55" fillId="6" borderId="44" xfId="156" applyFont="1" applyBorder="1">
      <alignment vertical="center"/>
    </xf>
    <xf numFmtId="0" fontId="24" fillId="6" borderId="44" xfId="156" applyFont="1" applyBorder="1" applyAlignment="1"/>
    <xf numFmtId="0" fontId="26" fillId="54" borderId="20" xfId="158" applyFont="1" applyFill="1" applyBorder="1">
      <alignment horizontal="center" vertical="center" wrapText="1"/>
    </xf>
    <xf numFmtId="0" fontId="26" fillId="54" borderId="14" xfId="156" applyFill="1" applyBorder="1" applyAlignment="1">
      <alignment horizontal="center" vertical="center"/>
    </xf>
    <xf numFmtId="0" fontId="26" fillId="54" borderId="20" xfId="156" applyFill="1" applyBorder="1">
      <alignment vertical="center"/>
    </xf>
    <xf numFmtId="0" fontId="26" fillId="54" borderId="14" xfId="158" applyFont="1" applyFill="1" applyBorder="1">
      <alignment horizontal="center" vertical="center" wrapText="1"/>
    </xf>
    <xf numFmtId="0" fontId="26" fillId="54" borderId="17" xfId="156" applyFill="1" applyBorder="1" applyAlignment="1">
      <alignment horizontal="left" vertical="center"/>
    </xf>
    <xf numFmtId="0" fontId="26" fillId="54" borderId="19" xfId="156" applyFill="1" applyBorder="1" applyAlignment="1">
      <alignment horizontal="left" vertical="center"/>
    </xf>
    <xf numFmtId="0" fontId="33" fillId="6" borderId="0" xfId="157" applyFill="1" applyBorder="1" applyAlignment="1">
      <alignment vertical="center"/>
    </xf>
    <xf numFmtId="0" fontId="26" fillId="54" borderId="21" xfId="158" applyFont="1" applyFill="1" applyBorder="1">
      <alignment horizontal="center" vertical="center" wrapText="1"/>
    </xf>
    <xf numFmtId="0" fontId="26" fillId="54" borderId="13" xfId="156" applyFill="1" applyBorder="1" applyAlignment="1">
      <alignment horizontal="center" vertical="center"/>
    </xf>
    <xf numFmtId="0" fontId="26" fillId="54" borderId="21" xfId="156" applyFill="1" applyBorder="1">
      <alignment vertical="center"/>
    </xf>
    <xf numFmtId="0" fontId="26" fillId="54" borderId="13" xfId="158" applyFont="1" applyFill="1" applyBorder="1">
      <alignment horizontal="center" vertical="center" wrapText="1"/>
    </xf>
    <xf numFmtId="0" fontId="26" fillId="54" borderId="18" xfId="156" applyFill="1" applyBorder="1" applyAlignment="1">
      <alignment horizontal="left" vertical="center"/>
    </xf>
    <xf numFmtId="0" fontId="26" fillId="54" borderId="51" xfId="158" applyFont="1" applyFill="1" applyBorder="1">
      <alignment horizontal="center" vertical="center" wrapText="1"/>
    </xf>
    <xf numFmtId="0" fontId="26" fillId="54" borderId="55" xfId="158" applyFont="1" applyFill="1" applyBorder="1">
      <alignment horizontal="center" vertical="center" wrapText="1"/>
    </xf>
    <xf numFmtId="0" fontId="26" fillId="54" borderId="51" xfId="156" applyFill="1" applyBorder="1">
      <alignment vertical="center"/>
    </xf>
    <xf numFmtId="0" fontId="26" fillId="54" borderId="52" xfId="156" applyFill="1" applyBorder="1" applyAlignment="1">
      <alignment horizontal="left" vertical="center"/>
    </xf>
    <xf numFmtId="0" fontId="28" fillId="54" borderId="75" xfId="156" applyFont="1" applyFill="1" applyBorder="1" applyAlignment="1">
      <alignment horizontal="center" vertical="center"/>
    </xf>
    <xf numFmtId="0" fontId="28" fillId="54" borderId="50" xfId="156" applyFont="1" applyFill="1" applyBorder="1" applyAlignment="1">
      <alignment horizontal="center" vertical="center" wrapText="1"/>
    </xf>
    <xf numFmtId="0" fontId="33" fillId="6" borderId="41" xfId="157" applyFill="1" applyBorder="1" applyAlignment="1">
      <alignment vertical="center"/>
    </xf>
    <xf numFmtId="0" fontId="26" fillId="54" borderId="71" xfId="156" applyFill="1" applyBorder="1">
      <alignment vertical="center"/>
    </xf>
    <xf numFmtId="0" fontId="55" fillId="54" borderId="71" xfId="156" applyFont="1" applyFill="1" applyBorder="1">
      <alignment vertical="center"/>
    </xf>
    <xf numFmtId="0" fontId="26" fillId="6" borderId="41" xfId="156" applyBorder="1">
      <alignment vertical="center"/>
    </xf>
    <xf numFmtId="0" fontId="24" fillId="6" borderId="0" xfId="156" applyFont="1" applyAlignment="1"/>
    <xf numFmtId="0" fontId="2" fillId="0" borderId="0" xfId="174"/>
    <xf numFmtId="0" fontId="26" fillId="0" borderId="0" xfId="174" applyFont="1"/>
    <xf numFmtId="0" fontId="91" fillId="0" borderId="0" xfId="174" applyFont="1"/>
    <xf numFmtId="3" fontId="26" fillId="41" borderId="14" xfId="11" applyFont="1" applyBorder="1" applyAlignment="1">
      <alignment horizontal="left" vertical="center"/>
      <protection locked="0"/>
    </xf>
    <xf numFmtId="0" fontId="26" fillId="62" borderId="19" xfId="174" applyFont="1" applyFill="1" applyBorder="1" applyAlignment="1">
      <alignment horizontal="left" vertical="center" wrapText="1"/>
    </xf>
    <xf numFmtId="3" fontId="26" fillId="41" borderId="13" xfId="11" applyFont="1" applyAlignment="1">
      <alignment horizontal="center" vertical="center"/>
      <protection locked="0"/>
    </xf>
    <xf numFmtId="0" fontId="26" fillId="62" borderId="23" xfId="174" applyFont="1" applyFill="1" applyBorder="1" applyAlignment="1">
      <alignment horizontal="left" vertical="center" wrapText="1"/>
    </xf>
    <xf numFmtId="0" fontId="65" fillId="53" borderId="16" xfId="153" applyBorder="1">
      <alignment horizontal="center" vertical="center"/>
    </xf>
    <xf numFmtId="0" fontId="42" fillId="0" borderId="16" xfId="174" applyFont="1" applyBorder="1" applyAlignment="1">
      <alignment horizontal="left" vertical="center" wrapText="1"/>
    </xf>
    <xf numFmtId="0" fontId="26" fillId="0" borderId="16" xfId="174" applyFont="1" applyBorder="1" applyAlignment="1">
      <alignment horizontal="left" vertical="center" wrapText="1" indent="1"/>
    </xf>
    <xf numFmtId="0" fontId="43" fillId="43" borderId="13" xfId="174" applyFont="1" applyFill="1" applyBorder="1" applyAlignment="1">
      <alignment horizontal="center"/>
    </xf>
    <xf numFmtId="0" fontId="26" fillId="13" borderId="13" xfId="152" applyFont="1" applyBorder="1">
      <alignment horizontal="center" vertical="center"/>
    </xf>
    <xf numFmtId="0" fontId="26" fillId="0" borderId="16" xfId="0" applyFont="1" applyFill="1" applyBorder="1" applyAlignment="1">
      <alignment horizontal="left" vertical="center" wrapText="1" indent="1"/>
    </xf>
    <xf numFmtId="0" fontId="43" fillId="0" borderId="13" xfId="174" applyFont="1" applyBorder="1" applyAlignment="1">
      <alignment horizontal="center"/>
    </xf>
    <xf numFmtId="0" fontId="26" fillId="0" borderId="16" xfId="0" applyFont="1" applyFill="1" applyBorder="1" applyAlignment="1">
      <alignment horizontal="left" vertical="center" wrapText="1"/>
    </xf>
    <xf numFmtId="0" fontId="26" fillId="60" borderId="32" xfId="0" applyFont="1" applyFill="1" applyBorder="1" applyAlignment="1">
      <alignment horizontal="left" vertical="center" wrapText="1" indent="1"/>
    </xf>
    <xf numFmtId="0" fontId="26" fillId="60" borderId="16" xfId="174" applyFont="1" applyFill="1" applyBorder="1" applyAlignment="1">
      <alignment horizontal="left" vertical="center" wrapText="1" indent="2"/>
    </xf>
    <xf numFmtId="0" fontId="26" fillId="60" borderId="16" xfId="174" applyFont="1" applyFill="1" applyBorder="1" applyAlignment="1">
      <alignment horizontal="left" vertical="center" wrapText="1" indent="1"/>
    </xf>
    <xf numFmtId="0" fontId="26" fillId="60" borderId="16" xfId="174" applyFont="1" applyFill="1" applyBorder="1" applyAlignment="1">
      <alignment horizontal="left" vertical="center" wrapText="1"/>
    </xf>
    <xf numFmtId="0" fontId="26" fillId="0" borderId="16" xfId="174" applyFont="1" applyBorder="1" applyAlignment="1">
      <alignment horizontal="left" vertical="center" wrapText="1" indent="2"/>
    </xf>
    <xf numFmtId="0" fontId="26" fillId="60" borderId="32" xfId="174" applyFont="1" applyFill="1" applyBorder="1" applyAlignment="1">
      <alignment horizontal="left" vertical="center" wrapText="1" indent="1"/>
    </xf>
    <xf numFmtId="0" fontId="26" fillId="13" borderId="15" xfId="152" applyFont="1" applyBorder="1">
      <alignment horizontal="center" vertical="center"/>
    </xf>
    <xf numFmtId="0" fontId="43" fillId="0" borderId="55" xfId="174" applyFont="1" applyBorder="1" applyAlignment="1">
      <alignment horizontal="center"/>
    </xf>
    <xf numFmtId="0" fontId="26" fillId="0" borderId="53" xfId="174" applyFont="1" applyBorder="1" applyAlignment="1">
      <alignment horizontal="left" vertical="center" wrapText="1"/>
    </xf>
    <xf numFmtId="0" fontId="28" fillId="0" borderId="14" xfId="175" applyFont="1" applyBorder="1" applyAlignment="1">
      <alignment horizontal="center" vertical="center" wrapText="1"/>
    </xf>
    <xf numFmtId="0" fontId="26" fillId="0" borderId="44" xfId="174" applyFont="1" applyBorder="1" applyAlignment="1">
      <alignment horizontal="center"/>
    </xf>
    <xf numFmtId="0" fontId="26" fillId="0" borderId="0" xfId="174" applyFont="1" applyAlignment="1">
      <alignment horizontal="center"/>
    </xf>
    <xf numFmtId="0" fontId="28" fillId="54" borderId="122" xfId="174" applyFont="1" applyFill="1" applyBorder="1" applyAlignment="1">
      <alignment horizontal="center" vertical="center"/>
    </xf>
    <xf numFmtId="3" fontId="33" fillId="54" borderId="74" xfId="11" applyFont="1" applyFill="1" applyBorder="1" applyAlignment="1" applyProtection="1">
      <alignment horizontal="center" vertical="center"/>
    </xf>
    <xf numFmtId="0" fontId="28" fillId="63" borderId="58" xfId="176" applyFont="1" applyFill="1" applyBorder="1" applyAlignment="1">
      <alignment vertical="center"/>
    </xf>
    <xf numFmtId="0" fontId="33" fillId="63" borderId="72" xfId="176" applyFont="1" applyFill="1" applyBorder="1" applyAlignment="1">
      <alignment vertical="center"/>
    </xf>
    <xf numFmtId="0" fontId="26" fillId="60" borderId="16" xfId="0" applyFont="1" applyFill="1" applyBorder="1" applyAlignment="1">
      <alignment horizontal="left" vertical="center" wrapText="1" indent="1"/>
    </xf>
    <xf numFmtId="0" fontId="26" fillId="60" borderId="16" xfId="0" applyFont="1" applyFill="1" applyBorder="1" applyAlignment="1">
      <alignment horizontal="left" vertical="center" wrapText="1"/>
    </xf>
    <xf numFmtId="0" fontId="26" fillId="60" borderId="53" xfId="174" applyFont="1" applyFill="1" applyBorder="1" applyAlignment="1">
      <alignment horizontal="left" vertical="center" wrapText="1"/>
    </xf>
    <xf numFmtId="0" fontId="26" fillId="0" borderId="32" xfId="174" applyFont="1" applyBorder="1" applyAlignment="1">
      <alignment horizontal="left" vertical="center" wrapText="1" indent="1"/>
    </xf>
    <xf numFmtId="0" fontId="26" fillId="0" borderId="16" xfId="174" applyFont="1" applyBorder="1" applyAlignment="1">
      <alignment horizontal="left" vertical="center" wrapText="1"/>
    </xf>
    <xf numFmtId="3" fontId="26" fillId="41" borderId="25" xfId="11" applyFont="1" applyBorder="1" applyAlignment="1">
      <alignment horizontal="center" vertical="center"/>
      <protection locked="0"/>
    </xf>
    <xf numFmtId="0" fontId="26" fillId="0" borderId="0" xfId="174" applyFont="1" applyAlignment="1">
      <alignment horizontal="left" indent="1"/>
    </xf>
    <xf numFmtId="0" fontId="26" fillId="60" borderId="16" xfId="174" applyFont="1" applyFill="1" applyBorder="1" applyAlignment="1">
      <alignment horizontal="left" vertical="center" wrapText="1" indent="3"/>
    </xf>
    <xf numFmtId="0" fontId="26" fillId="6" borderId="16" xfId="0" applyFont="1" applyBorder="1" applyAlignment="1">
      <alignment horizontal="left" vertical="center" wrapText="1" indent="1"/>
    </xf>
    <xf numFmtId="0" fontId="28" fillId="63" borderId="72" xfId="176" applyFont="1" applyFill="1" applyBorder="1" applyAlignment="1">
      <alignment vertical="center"/>
    </xf>
    <xf numFmtId="0" fontId="26" fillId="6" borderId="32" xfId="0" applyFont="1" applyBorder="1" applyAlignment="1">
      <alignment horizontal="left" vertical="center" wrapText="1" indent="1"/>
    </xf>
    <xf numFmtId="0" fontId="26" fillId="60" borderId="16" xfId="0" applyFont="1" applyFill="1" applyBorder="1" applyAlignment="1">
      <alignment horizontal="left" vertical="center" wrapText="1" indent="2"/>
    </xf>
    <xf numFmtId="0" fontId="26" fillId="6" borderId="16" xfId="0" applyFont="1" applyBorder="1" applyAlignment="1">
      <alignment horizontal="left" vertical="center" wrapText="1" indent="2"/>
    </xf>
    <xf numFmtId="0" fontId="26" fillId="6" borderId="0" xfId="0" applyFont="1" applyAlignment="1">
      <alignment horizontal="left" indent="1"/>
    </xf>
    <xf numFmtId="0" fontId="26" fillId="6" borderId="53" xfId="0" applyFont="1" applyBorder="1" applyAlignment="1">
      <alignment horizontal="left" vertical="center" wrapText="1"/>
    </xf>
    <xf numFmtId="0" fontId="26" fillId="60" borderId="0" xfId="174" applyFont="1" applyFill="1" applyAlignment="1">
      <alignment horizontal="left" indent="1"/>
    </xf>
    <xf numFmtId="3" fontId="26" fillId="6" borderId="44" xfId="11" applyFont="1" applyFill="1" applyBorder="1">
      <alignment horizontal="right" vertical="center"/>
      <protection locked="0"/>
    </xf>
    <xf numFmtId="3" fontId="28" fillId="54" borderId="74" xfId="11" applyFont="1" applyFill="1" applyBorder="1" applyAlignment="1" applyProtection="1">
      <alignment horizontal="center" vertical="center"/>
    </xf>
    <xf numFmtId="0" fontId="28" fillId="64" borderId="205" xfId="174" applyFont="1" applyFill="1" applyBorder="1" applyAlignment="1">
      <alignment horizontal="center" vertical="center" wrapText="1"/>
    </xf>
    <xf numFmtId="0" fontId="33" fillId="64" borderId="234" xfId="174" applyFont="1" applyFill="1" applyBorder="1" applyAlignment="1">
      <alignment horizontal="left" vertical="center"/>
    </xf>
    <xf numFmtId="0" fontId="33" fillId="64" borderId="235" xfId="174" applyFont="1" applyFill="1" applyBorder="1" applyAlignment="1">
      <alignment horizontal="left" vertical="center"/>
    </xf>
    <xf numFmtId="0" fontId="28" fillId="54" borderId="181" xfId="174" applyFont="1" applyFill="1" applyBorder="1" applyAlignment="1">
      <alignment horizontal="center" vertical="center" wrapText="1"/>
    </xf>
    <xf numFmtId="0" fontId="26" fillId="2" borderId="0" xfId="174" applyFont="1" applyFill="1" applyAlignment="1">
      <alignment horizontal="left" vertical="center" wrapText="1"/>
    </xf>
    <xf numFmtId="0" fontId="92" fillId="2" borderId="0" xfId="174" applyFont="1" applyFill="1" applyAlignment="1">
      <alignment horizontal="left" vertical="center" wrapText="1"/>
    </xf>
    <xf numFmtId="0" fontId="2" fillId="2" borderId="0" xfId="174" applyFill="1" applyAlignment="1">
      <alignment horizontal="left" vertical="center" wrapText="1"/>
    </xf>
    <xf numFmtId="0" fontId="93" fillId="2" borderId="0" xfId="174" applyFont="1" applyFill="1" applyAlignment="1">
      <alignment horizontal="left" vertical="center" wrapText="1"/>
    </xf>
    <xf numFmtId="3" fontId="94" fillId="41" borderId="20" xfId="11" applyFont="1" applyBorder="1" applyAlignment="1">
      <alignment horizontal="right" vertical="center" wrapText="1"/>
      <protection locked="0"/>
    </xf>
    <xf numFmtId="3" fontId="94" fillId="41" borderId="14" xfId="11" applyFont="1" applyBorder="1" applyAlignment="1">
      <alignment horizontal="right" vertical="center" wrapText="1"/>
      <protection locked="0"/>
    </xf>
    <xf numFmtId="0" fontId="26" fillId="2" borderId="236" xfId="174" applyFont="1" applyFill="1" applyBorder="1" applyAlignment="1">
      <alignment horizontal="left" vertical="center" wrapText="1" indent="1"/>
    </xf>
    <xf numFmtId="3" fontId="94" fillId="41" borderId="21" xfId="11" applyFont="1" applyBorder="1" applyAlignment="1">
      <alignment horizontal="right" vertical="center" wrapText="1"/>
      <protection locked="0"/>
    </xf>
    <xf numFmtId="3" fontId="94" fillId="41" borderId="13" xfId="11" applyFont="1" applyAlignment="1">
      <alignment horizontal="right" vertical="center" wrapText="1"/>
      <protection locked="0"/>
    </xf>
    <xf numFmtId="0" fontId="26" fillId="2" borderId="237" xfId="174" applyFont="1" applyFill="1" applyBorder="1" applyAlignment="1">
      <alignment horizontal="left" vertical="center" wrapText="1" indent="1"/>
    </xf>
    <xf numFmtId="3" fontId="26" fillId="41" borderId="22" xfId="11" applyFont="1" applyBorder="1" applyAlignment="1">
      <alignment horizontal="left" vertical="center" wrapText="1"/>
      <protection locked="0"/>
    </xf>
    <xf numFmtId="3" fontId="26" fillId="41" borderId="15" xfId="11" applyFont="1" applyBorder="1" applyAlignment="1">
      <alignment horizontal="left" vertical="center" wrapText="1"/>
      <protection locked="0"/>
    </xf>
    <xf numFmtId="0" fontId="26" fillId="2" borderId="238" xfId="174" applyFont="1" applyFill="1" applyBorder="1" applyAlignment="1">
      <alignment horizontal="left" vertical="center" wrapText="1"/>
    </xf>
    <xf numFmtId="0" fontId="95" fillId="0" borderId="0" xfId="174" applyFont="1"/>
    <xf numFmtId="0" fontId="28" fillId="0" borderId="49" xfId="175" applyFont="1" applyBorder="1" applyAlignment="1">
      <alignment horizontal="center" vertical="center" wrapText="1"/>
    </xf>
    <xf numFmtId="0" fontId="28" fillId="0" borderId="48" xfId="175" applyFont="1" applyBorder="1" applyAlignment="1">
      <alignment horizontal="center" vertical="center" wrapText="1"/>
    </xf>
    <xf numFmtId="0" fontId="28" fillId="0" borderId="239" xfId="175" applyFont="1" applyBorder="1" applyAlignment="1">
      <alignment horizontal="center" vertical="center" wrapText="1"/>
    </xf>
    <xf numFmtId="0" fontId="28" fillId="0" borderId="20" xfId="175" applyFont="1" applyBorder="1" applyAlignment="1">
      <alignment horizontal="center" vertical="center" wrapText="1"/>
    </xf>
    <xf numFmtId="0" fontId="26" fillId="2" borderId="236" xfId="174" applyFont="1" applyFill="1" applyBorder="1" applyAlignment="1">
      <alignment horizontal="left" vertical="center" wrapText="1"/>
    </xf>
    <xf numFmtId="0" fontId="28" fillId="6" borderId="0" xfId="176" applyFont="1" applyFill="1" applyAlignment="1">
      <alignment vertical="center"/>
    </xf>
    <xf numFmtId="0" fontId="28" fillId="2" borderId="240" xfId="174" applyFont="1" applyFill="1" applyBorder="1" applyAlignment="1">
      <alignment horizontal="center" vertical="center"/>
    </xf>
    <xf numFmtId="0" fontId="28" fillId="2" borderId="241" xfId="174" applyFont="1" applyFill="1" applyBorder="1" applyAlignment="1">
      <alignment horizontal="center" vertical="center"/>
    </xf>
    <xf numFmtId="0" fontId="28" fillId="2" borderId="0" xfId="174" applyFont="1" applyFill="1" applyAlignment="1">
      <alignment horizontal="center" vertical="center"/>
    </xf>
    <xf numFmtId="0" fontId="26" fillId="2" borderId="237" xfId="174" applyFont="1" applyFill="1" applyBorder="1" applyAlignment="1">
      <alignment horizontal="left" vertical="center" wrapText="1"/>
    </xf>
    <xf numFmtId="0" fontId="87" fillId="63" borderId="215" xfId="174" applyFont="1" applyFill="1" applyBorder="1" applyAlignment="1">
      <alignment horizontal="center" vertical="center" wrapText="1"/>
    </xf>
    <xf numFmtId="0" fontId="87" fillId="64" borderId="215" xfId="174" applyFont="1" applyFill="1" applyBorder="1" applyAlignment="1">
      <alignment horizontal="center" vertical="center" wrapText="1"/>
    </xf>
    <xf numFmtId="0" fontId="28" fillId="64" borderId="242" xfId="174" applyFont="1" applyFill="1" applyBorder="1" applyAlignment="1">
      <alignment horizontal="center" vertical="center" wrapText="1"/>
    </xf>
    <xf numFmtId="0" fontId="28" fillId="64" borderId="243" xfId="174" applyFont="1" applyFill="1" applyBorder="1" applyAlignment="1">
      <alignment horizontal="center" vertical="center" wrapText="1"/>
    </xf>
    <xf numFmtId="0" fontId="28" fillId="64" borderId="235" xfId="174" applyFont="1" applyFill="1" applyBorder="1" applyAlignment="1">
      <alignment horizontal="center" vertical="center" wrapText="1"/>
    </xf>
    <xf numFmtId="0" fontId="26" fillId="2" borderId="244" xfId="174" applyFont="1" applyFill="1" applyBorder="1" applyAlignment="1">
      <alignment horizontal="left" vertical="center" wrapText="1"/>
    </xf>
    <xf numFmtId="0" fontId="84" fillId="6" borderId="44" xfId="176" applyFont="1" applyFill="1" applyBorder="1"/>
    <xf numFmtId="0" fontId="84" fillId="0" borderId="44" xfId="176" applyFont="1" applyBorder="1"/>
    <xf numFmtId="0" fontId="26" fillId="0" borderId="44" xfId="176" applyFont="1" applyBorder="1"/>
    <xf numFmtId="0" fontId="33" fillId="6" borderId="44" xfId="176" applyFont="1" applyFill="1" applyBorder="1" applyAlignment="1">
      <alignment vertical="center"/>
    </xf>
    <xf numFmtId="0" fontId="28" fillId="0" borderId="0" xfId="174" applyFont="1"/>
    <xf numFmtId="0" fontId="24" fillId="0" borderId="0" xfId="174" applyFont="1"/>
    <xf numFmtId="3" fontId="0" fillId="6" borderId="120" xfId="11" applyFont="1" applyFill="1" applyBorder="1" applyProtection="1">
      <alignment horizontal="right" vertical="center"/>
    </xf>
    <xf numFmtId="3" fontId="0" fillId="6" borderId="113" xfId="11" applyFont="1" applyFill="1" applyBorder="1" applyProtection="1">
      <alignment horizontal="right" vertical="center"/>
    </xf>
    <xf numFmtId="3" fontId="0" fillId="6" borderId="48" xfId="11" applyFont="1" applyFill="1" applyBorder="1" applyProtection="1">
      <alignment horizontal="right" vertical="center"/>
    </xf>
    <xf numFmtId="3" fontId="0" fillId="6" borderId="42" xfId="11" applyFont="1" applyFill="1" applyBorder="1" applyProtection="1">
      <alignment horizontal="right" vertical="center"/>
    </xf>
    <xf numFmtId="3" fontId="0" fillId="6" borderId="81" xfId="11" applyFont="1" applyFill="1" applyBorder="1" applyProtection="1">
      <alignment horizontal="right" vertical="center"/>
    </xf>
    <xf numFmtId="3" fontId="0" fillId="6" borderId="36" xfId="11" applyFont="1" applyFill="1" applyBorder="1" applyProtection="1">
      <alignment horizontal="right" vertical="center"/>
    </xf>
    <xf numFmtId="3" fontId="0" fillId="6" borderId="35" xfId="11" applyFont="1" applyFill="1" applyBorder="1" applyProtection="1">
      <alignment horizontal="right" vertical="center"/>
    </xf>
    <xf numFmtId="0" fontId="28" fillId="0" borderId="75" xfId="0" applyFont="1" applyFill="1" applyBorder="1" applyAlignment="1">
      <alignment horizontal="center" vertical="center" wrapText="1"/>
    </xf>
    <xf numFmtId="0" fontId="28" fillId="0" borderId="152" xfId="0" applyFont="1" applyFill="1" applyBorder="1" applyAlignment="1">
      <alignment horizontal="center" vertical="center" wrapText="1"/>
    </xf>
    <xf numFmtId="0" fontId="30" fillId="0" borderId="152" xfId="0" applyFont="1" applyFill="1" applyBorder="1" applyAlignment="1">
      <alignment horizontal="center" vertical="center" wrapText="1"/>
    </xf>
    <xf numFmtId="0" fontId="28" fillId="45" borderId="120" xfId="0" applyFont="1" applyFill="1" applyBorder="1" applyAlignment="1"/>
    <xf numFmtId="0" fontId="33" fillId="6" borderId="41" xfId="116" applyFill="1" applyBorder="1" applyAlignment="1">
      <alignment vertical="center"/>
    </xf>
    <xf numFmtId="0" fontId="0" fillId="2" borderId="63" xfId="0" applyFill="1" applyBorder="1">
      <alignment vertical="center"/>
    </xf>
    <xf numFmtId="0" fontId="29" fillId="13" borderId="49" xfId="152" applyFont="1" applyBorder="1">
      <alignment horizontal="center" vertical="center"/>
    </xf>
    <xf numFmtId="0" fontId="29" fillId="13" borderId="68" xfId="152" applyFont="1" applyBorder="1">
      <alignment horizontal="center" vertical="center"/>
    </xf>
    <xf numFmtId="0" fontId="29" fillId="13" borderId="19" xfId="152" applyFont="1" applyBorder="1">
      <alignment horizontal="center" vertical="center"/>
    </xf>
    <xf numFmtId="0" fontId="29" fillId="13" borderId="66" xfId="152" applyFont="1" applyBorder="1">
      <alignment horizontal="center" vertical="center"/>
    </xf>
    <xf numFmtId="0" fontId="29" fillId="13" borderId="18" xfId="152" applyFont="1" applyBorder="1">
      <alignment horizontal="center" vertical="center"/>
    </xf>
    <xf numFmtId="3" fontId="0" fillId="6" borderId="13" xfId="11" applyFont="1" applyFill="1" applyProtection="1">
      <alignment horizontal="right" vertical="center"/>
    </xf>
    <xf numFmtId="0" fontId="29" fillId="13" borderId="196" xfId="152" applyFont="1" applyBorder="1">
      <alignment horizontal="center" vertical="center"/>
    </xf>
    <xf numFmtId="0" fontId="29" fillId="13" borderId="245" xfId="152" applyFont="1" applyBorder="1">
      <alignment horizontal="center" vertical="center"/>
    </xf>
    <xf numFmtId="0" fontId="29" fillId="13" borderId="246" xfId="152" applyFont="1" applyBorder="1">
      <alignment horizontal="center" vertical="center"/>
    </xf>
    <xf numFmtId="0" fontId="29" fillId="13" borderId="194" xfId="152" applyFont="1" applyBorder="1">
      <alignment horizontal="center" vertical="center"/>
    </xf>
    <xf numFmtId="0" fontId="29" fillId="13" borderId="16" xfId="152" applyFont="1" applyBorder="1">
      <alignment horizontal="center" vertical="center"/>
    </xf>
    <xf numFmtId="0" fontId="28" fillId="6" borderId="44" xfId="0" applyFont="1" applyBorder="1" applyAlignment="1">
      <alignment vertical="top"/>
    </xf>
    <xf numFmtId="0" fontId="28" fillId="6" borderId="152" xfId="0" applyFont="1" applyBorder="1" applyAlignment="1">
      <alignment horizontal="center" vertical="center" wrapText="1"/>
    </xf>
    <xf numFmtId="0" fontId="28" fillId="6" borderId="0" xfId="0" applyFont="1" applyAlignment="1">
      <alignment vertical="top"/>
    </xf>
    <xf numFmtId="0" fontId="28" fillId="6" borderId="71" xfId="0" applyFont="1" applyBorder="1" applyAlignment="1">
      <alignment vertical="top"/>
    </xf>
    <xf numFmtId="0" fontId="33" fillId="6" borderId="0" xfId="116" applyFill="1" applyBorder="1" applyAlignment="1" applyProtection="1">
      <alignment horizontal="left" vertical="center" wrapText="1"/>
    </xf>
    <xf numFmtId="0" fontId="33" fillId="6" borderId="61" xfId="116" applyFill="1" applyBorder="1" applyAlignment="1" applyProtection="1">
      <alignment horizontal="left" vertical="center"/>
    </xf>
    <xf numFmtId="0" fontId="33" fillId="0" borderId="41" xfId="116" applyFill="1" applyBorder="1" applyAlignment="1" applyProtection="1">
      <alignment horizontal="left" vertical="center"/>
    </xf>
    <xf numFmtId="0" fontId="0" fillId="2" borderId="0" xfId="0" applyFill="1" applyAlignment="1">
      <alignment vertical="center" wrapText="1"/>
    </xf>
    <xf numFmtId="0" fontId="26" fillId="6" borderId="20" xfId="0" applyFont="1" applyBorder="1" applyAlignment="1">
      <alignment horizontal="center" vertical="center"/>
    </xf>
    <xf numFmtId="0" fontId="0" fillId="6" borderId="17" xfId="0" applyBorder="1" applyAlignment="1"/>
    <xf numFmtId="0" fontId="26" fillId="6" borderId="21" xfId="0" applyFont="1" applyBorder="1" applyAlignment="1">
      <alignment horizontal="center" vertical="center"/>
    </xf>
    <xf numFmtId="0" fontId="0" fillId="6" borderId="16" xfId="0" applyBorder="1" applyAlignment="1"/>
    <xf numFmtId="0" fontId="0" fillId="6" borderId="23" xfId="0" applyBorder="1" applyAlignment="1"/>
    <xf numFmtId="0" fontId="0" fillId="6" borderId="19" xfId="0" applyBorder="1" applyAlignment="1">
      <alignment horizontal="center"/>
    </xf>
    <xf numFmtId="0" fontId="0" fillId="6" borderId="39" xfId="0" applyBorder="1" applyAlignment="1">
      <alignment horizontal="center"/>
    </xf>
    <xf numFmtId="0" fontId="0" fillId="6" borderId="18" xfId="0" applyBorder="1" applyAlignment="1">
      <alignment horizontal="center"/>
    </xf>
    <xf numFmtId="0" fontId="0" fillId="6" borderId="133" xfId="0" applyBorder="1" applyAlignment="1">
      <alignment horizontal="center"/>
    </xf>
    <xf numFmtId="0" fontId="0" fillId="6" borderId="133" xfId="0" applyBorder="1" applyAlignment="1"/>
    <xf numFmtId="0" fontId="0" fillId="6" borderId="52" xfId="0" applyBorder="1" applyAlignment="1">
      <alignment horizontal="center"/>
    </xf>
    <xf numFmtId="0" fontId="0" fillId="6" borderId="247" xfId="0" applyBorder="1" applyAlignment="1">
      <alignment horizontal="center"/>
    </xf>
    <xf numFmtId="0" fontId="0" fillId="0" borderId="19" xfId="0" applyFill="1" applyBorder="1" applyAlignment="1">
      <alignment horizontal="left" vertical="center" wrapText="1"/>
    </xf>
    <xf numFmtId="0" fontId="0" fillId="0" borderId="19" xfId="0" applyFill="1" applyBorder="1" applyAlignment="1">
      <alignment horizontal="center" vertical="center" wrapText="1"/>
    </xf>
    <xf numFmtId="0" fontId="0" fillId="0" borderId="18" xfId="0" applyFill="1" applyBorder="1" applyAlignment="1">
      <alignment horizontal="center" vertical="center"/>
    </xf>
    <xf numFmtId="0" fontId="0" fillId="0" borderId="18" xfId="0" applyFill="1" applyBorder="1" applyAlignment="1">
      <alignment horizontal="left" vertical="center" wrapText="1"/>
    </xf>
    <xf numFmtId="0" fontId="0" fillId="0" borderId="18" xfId="0" applyFill="1" applyBorder="1" applyAlignment="1">
      <alignment horizontal="center" vertical="center" wrapText="1"/>
    </xf>
    <xf numFmtId="0" fontId="0" fillId="0" borderId="52" xfId="0" applyFill="1" applyBorder="1" applyAlignment="1">
      <alignment horizontal="left" vertical="center"/>
    </xf>
    <xf numFmtId="0" fontId="0" fillId="0" borderId="52" xfId="0" applyFill="1" applyBorder="1" applyAlignment="1">
      <alignment horizontal="center" vertical="center"/>
    </xf>
    <xf numFmtId="0" fontId="0" fillId="0" borderId="24" xfId="0" applyFill="1" applyBorder="1" applyAlignment="1">
      <alignment horizontal="left" vertical="center" wrapText="1"/>
    </xf>
    <xf numFmtId="0" fontId="0" fillId="0" borderId="24" xfId="0" applyFill="1" applyBorder="1" applyAlignment="1">
      <alignment horizontal="center" vertical="center" wrapText="1"/>
    </xf>
    <xf numFmtId="0" fontId="0" fillId="0" borderId="19" xfId="0" applyFill="1" applyBorder="1" applyAlignment="1">
      <alignment horizontal="left" vertical="center"/>
    </xf>
    <xf numFmtId="0" fontId="0" fillId="0" borderId="19" xfId="0" applyFill="1" applyBorder="1" applyAlignment="1">
      <alignment horizontal="center" vertical="center"/>
    </xf>
    <xf numFmtId="0" fontId="0" fillId="6" borderId="0" xfId="0" applyAlignment="1">
      <alignment horizontal="center"/>
    </xf>
    <xf numFmtId="0" fontId="0" fillId="6" borderId="39" xfId="0" applyBorder="1" applyAlignment="1"/>
    <xf numFmtId="0" fontId="0" fillId="6" borderId="247" xfId="0" applyBorder="1" applyAlignment="1"/>
    <xf numFmtId="1" fontId="26" fillId="4" borderId="73" xfId="154" applyFont="1" applyBorder="1" applyAlignment="1">
      <alignment horizontal="center" vertical="center"/>
    </xf>
    <xf numFmtId="0" fontId="24" fillId="6" borderId="74" xfId="155" applyFill="1" applyBorder="1" applyAlignment="1"/>
    <xf numFmtId="0" fontId="2" fillId="0" borderId="248" xfId="174" applyBorder="1"/>
    <xf numFmtId="0" fontId="2" fillId="0" borderId="249" xfId="174" applyBorder="1"/>
    <xf numFmtId="0" fontId="2" fillId="0" borderId="250" xfId="174" applyBorder="1"/>
    <xf numFmtId="0" fontId="82" fillId="65" borderId="251" xfId="174" applyFont="1" applyFill="1" applyBorder="1"/>
    <xf numFmtId="0" fontId="2" fillId="0" borderId="252" xfId="174" applyBorder="1"/>
    <xf numFmtId="0" fontId="2" fillId="0" borderId="120" xfId="174" applyBorder="1"/>
    <xf numFmtId="0" fontId="2" fillId="0" borderId="58" xfId="174" applyBorder="1"/>
    <xf numFmtId="0" fontId="82" fillId="65" borderId="253" xfId="174" applyFont="1" applyFill="1" applyBorder="1"/>
    <xf numFmtId="0" fontId="82" fillId="65" borderId="253" xfId="174" applyFont="1" applyFill="1" applyBorder="1" applyAlignment="1">
      <alignment horizontal="left" wrapText="1"/>
    </xf>
    <xf numFmtId="0" fontId="2" fillId="0" borderId="252" xfId="174" applyBorder="1" applyAlignment="1">
      <alignment horizontal="left" wrapText="1"/>
    </xf>
    <xf numFmtId="0" fontId="2" fillId="0" borderId="58" xfId="174" applyBorder="1" applyAlignment="1">
      <alignment vertical="center"/>
    </xf>
    <xf numFmtId="0" fontId="82" fillId="65" borderId="253" xfId="174" applyFont="1" applyFill="1" applyBorder="1" applyAlignment="1">
      <alignment horizontal="left" vertical="center" wrapText="1"/>
    </xf>
    <xf numFmtId="0" fontId="2" fillId="0" borderId="58" xfId="174" applyBorder="1" applyAlignment="1">
      <alignment horizontal="left" wrapText="1"/>
    </xf>
    <xf numFmtId="0" fontId="2" fillId="0" borderId="120" xfId="174" applyBorder="1" applyAlignment="1">
      <alignment vertical="center"/>
    </xf>
    <xf numFmtId="0" fontId="82" fillId="65" borderId="253" xfId="174" applyFont="1" applyFill="1" applyBorder="1" applyAlignment="1">
      <alignment vertical="center"/>
    </xf>
    <xf numFmtId="0" fontId="2" fillId="0" borderId="252" xfId="174" applyBorder="1" applyAlignment="1">
      <alignment horizontal="left" vertical="center" wrapText="1"/>
    </xf>
    <xf numFmtId="0" fontId="2" fillId="0" borderId="58" xfId="174" applyBorder="1" applyAlignment="1">
      <alignment vertical="top" wrapText="1"/>
    </xf>
    <xf numFmtId="0" fontId="91" fillId="0" borderId="254" xfId="174" applyFont="1" applyBorder="1" applyAlignment="1">
      <alignment horizontal="left" vertical="top" wrapText="1"/>
    </xf>
    <xf numFmtId="0" fontId="91" fillId="0" borderId="255" xfId="174" applyFont="1" applyBorder="1" applyAlignment="1">
      <alignment horizontal="left" vertical="center" wrapText="1"/>
    </xf>
    <xf numFmtId="0" fontId="2" fillId="0" borderId="256" xfId="174" applyBorder="1" applyAlignment="1">
      <alignment horizontal="left" vertical="top" wrapText="1"/>
    </xf>
    <xf numFmtId="0" fontId="82" fillId="65" borderId="257" xfId="174" applyFont="1" applyFill="1" applyBorder="1" applyAlignment="1">
      <alignment vertical="center"/>
    </xf>
    <xf numFmtId="0" fontId="82" fillId="65" borderId="258" xfId="174" applyFont="1" applyFill="1" applyBorder="1" applyAlignment="1">
      <alignment horizontal="center"/>
    </xf>
    <xf numFmtId="0" fontId="82" fillId="65" borderId="259" xfId="174" applyFont="1" applyFill="1" applyBorder="1" applyAlignment="1">
      <alignment horizontal="center"/>
    </xf>
    <xf numFmtId="0" fontId="82" fillId="65" borderId="260" xfId="174" applyFont="1" applyFill="1" applyBorder="1" applyAlignment="1">
      <alignment horizontal="center" vertical="center"/>
    </xf>
    <xf numFmtId="0" fontId="82" fillId="0" borderId="0" xfId="174" applyFont="1" applyAlignment="1">
      <alignment horizontal="center" vertical="center"/>
    </xf>
    <xf numFmtId="0" fontId="84" fillId="0" borderId="0" xfId="174" applyFont="1"/>
    <xf numFmtId="3" fontId="91" fillId="41" borderId="120" xfId="11" applyFont="1" applyBorder="1">
      <alignment horizontal="right" vertical="center"/>
      <protection locked="0"/>
    </xf>
    <xf numFmtId="0" fontId="84" fillId="66" borderId="120" xfId="177" applyFont="1" applyFill="1" applyBorder="1" applyAlignment="1">
      <alignment horizontal="left" vertical="center" wrapText="1" indent="2"/>
    </xf>
    <xf numFmtId="0" fontId="84" fillId="0" borderId="120" xfId="177" applyFont="1" applyBorder="1" applyAlignment="1">
      <alignment horizontal="left" vertical="center" wrapText="1" indent="1"/>
    </xf>
    <xf numFmtId="0" fontId="96" fillId="66" borderId="120" xfId="177" quotePrefix="1" applyFont="1" applyFill="1" applyBorder="1" applyAlignment="1">
      <alignment vertical="center" wrapText="1"/>
    </xf>
    <xf numFmtId="0" fontId="96" fillId="0" borderId="120" xfId="174" applyFont="1" applyBorder="1" applyAlignment="1">
      <alignment horizontal="center" vertical="center" wrapText="1"/>
    </xf>
    <xf numFmtId="0" fontId="97" fillId="0" borderId="0" xfId="174" applyFont="1" applyAlignment="1">
      <alignment vertical="center"/>
    </xf>
    <xf numFmtId="178" fontId="84" fillId="0" borderId="0" xfId="174" applyNumberFormat="1" applyFont="1"/>
    <xf numFmtId="3" fontId="84" fillId="0" borderId="0" xfId="174" applyNumberFormat="1" applyFont="1"/>
    <xf numFmtId="0" fontId="90" fillId="0" borderId="0" xfId="174" applyFont="1"/>
    <xf numFmtId="0" fontId="96" fillId="67" borderId="120" xfId="177" quotePrefix="1" applyFont="1" applyFill="1" applyBorder="1" applyAlignment="1">
      <alignment vertical="center" wrapText="1"/>
    </xf>
    <xf numFmtId="0" fontId="84" fillId="0" borderId="120" xfId="177" applyFont="1" applyBorder="1" applyAlignment="1">
      <alignment horizontal="left" vertical="center" wrapText="1" indent="2"/>
    </xf>
    <xf numFmtId="0" fontId="96" fillId="0" borderId="67" xfId="174" applyFont="1" applyBorder="1" applyAlignment="1">
      <alignment horizontal="center" vertical="center" wrapText="1"/>
    </xf>
    <xf numFmtId="0" fontId="84" fillId="6" borderId="0" xfId="174" applyFont="1" applyFill="1"/>
    <xf numFmtId="0" fontId="96" fillId="6" borderId="0" xfId="174" applyFont="1" applyFill="1"/>
    <xf numFmtId="0" fontId="96" fillId="0" borderId="0" xfId="174" applyFont="1"/>
    <xf numFmtId="0" fontId="82" fillId="0" borderId="0" xfId="174" applyFont="1"/>
    <xf numFmtId="0" fontId="99" fillId="0" borderId="0" xfId="174" applyFont="1" applyAlignment="1">
      <alignment horizontal="left"/>
    </xf>
    <xf numFmtId="0" fontId="100" fillId="0" borderId="0" xfId="174" applyFont="1" applyAlignment="1">
      <alignment wrapText="1"/>
    </xf>
    <xf numFmtId="0" fontId="91" fillId="0" borderId="0" xfId="177" applyFont="1"/>
    <xf numFmtId="1" fontId="91" fillId="0" borderId="0" xfId="177" applyNumberFormat="1" applyFont="1"/>
    <xf numFmtId="2" fontId="91" fillId="0" borderId="0" xfId="177" applyNumberFormat="1" applyFont="1"/>
    <xf numFmtId="10" fontId="91" fillId="0" borderId="0" xfId="173" applyNumberFormat="1" applyFont="1"/>
    <xf numFmtId="9" fontId="91" fillId="0" borderId="0" xfId="173" applyFont="1"/>
    <xf numFmtId="2" fontId="91" fillId="0" borderId="0" xfId="173" applyNumberFormat="1" applyFont="1"/>
    <xf numFmtId="1" fontId="91" fillId="41" borderId="120" xfId="11" applyNumberFormat="1" applyFont="1" applyBorder="1">
      <alignment horizontal="right" vertical="center"/>
      <protection locked="0"/>
    </xf>
    <xf numFmtId="2" fontId="91" fillId="41" borderId="120" xfId="11" applyNumberFormat="1" applyFont="1" applyBorder="1">
      <alignment horizontal="right" vertical="center"/>
      <protection locked="0"/>
    </xf>
    <xf numFmtId="10" fontId="91" fillId="41" borderId="120" xfId="173" applyNumberFormat="1" applyFont="1" applyFill="1" applyBorder="1" applyAlignment="1" applyProtection="1">
      <alignment horizontal="right" vertical="center"/>
      <protection locked="0"/>
    </xf>
    <xf numFmtId="0" fontId="2" fillId="0" borderId="120" xfId="177" applyBorder="1" applyAlignment="1">
      <alignment horizontal="left" vertical="center" wrapText="1" indent="3"/>
    </xf>
    <xf numFmtId="0" fontId="2" fillId="0" borderId="120" xfId="177" applyBorder="1" applyAlignment="1">
      <alignment horizontal="left" vertical="center" wrapText="1" indent="2"/>
    </xf>
    <xf numFmtId="0" fontId="82" fillId="66" borderId="120" xfId="177" applyFont="1" applyFill="1" applyBorder="1" applyAlignment="1">
      <alignment vertical="center" wrapText="1"/>
    </xf>
    <xf numFmtId="9" fontId="2" fillId="41" borderId="120" xfId="173" applyFont="1" applyFill="1" applyBorder="1" applyAlignment="1" applyProtection="1">
      <alignment horizontal="right" vertical="center"/>
      <protection locked="0"/>
    </xf>
    <xf numFmtId="0" fontId="91" fillId="0" borderId="120" xfId="177" applyFont="1" applyBorder="1" applyAlignment="1">
      <alignment horizontal="left" vertical="center" wrapText="1" indent="4"/>
    </xf>
    <xf numFmtId="0" fontId="98" fillId="66" borderId="120" xfId="177" applyFont="1" applyFill="1" applyBorder="1" applyAlignment="1">
      <alignment vertical="center" wrapText="1"/>
    </xf>
    <xf numFmtId="0" fontId="91" fillId="0" borderId="120" xfId="177" applyFont="1" applyBorder="1" applyAlignment="1">
      <alignment horizontal="left" vertical="center" wrapText="1" indent="1"/>
    </xf>
    <xf numFmtId="179" fontId="91" fillId="0" borderId="120" xfId="177" applyNumberFormat="1" applyFont="1" applyBorder="1" applyAlignment="1">
      <alignment horizontal="left" indent="1"/>
    </xf>
    <xf numFmtId="179" fontId="91" fillId="0" borderId="120" xfId="177" applyNumberFormat="1" applyFont="1" applyBorder="1" applyAlignment="1">
      <alignment horizontal="left" indent="3"/>
    </xf>
    <xf numFmtId="1" fontId="91" fillId="58" borderId="120" xfId="173" applyNumberFormat="1" applyFont="1" applyFill="1" applyBorder="1" applyAlignment="1">
      <alignment horizontal="right" vertical="center"/>
    </xf>
    <xf numFmtId="2" fontId="91" fillId="58" borderId="120" xfId="173" applyNumberFormat="1" applyFont="1" applyFill="1" applyBorder="1" applyAlignment="1">
      <alignment horizontal="right" vertical="center"/>
    </xf>
    <xf numFmtId="10" fontId="91" fillId="58" borderId="120" xfId="173" applyNumberFormat="1" applyFont="1" applyFill="1" applyBorder="1" applyAlignment="1">
      <alignment horizontal="right" vertical="center"/>
    </xf>
    <xf numFmtId="9" fontId="91" fillId="58" borderId="120" xfId="173" applyFont="1" applyFill="1" applyBorder="1" applyAlignment="1">
      <alignment horizontal="right" vertical="center"/>
    </xf>
    <xf numFmtId="9" fontId="91" fillId="41" borderId="120" xfId="173" applyFont="1" applyFill="1" applyBorder="1" applyAlignment="1" applyProtection="1">
      <alignment horizontal="right" vertical="center"/>
      <protection locked="0"/>
    </xf>
    <xf numFmtId="0" fontId="91" fillId="0" borderId="120" xfId="177" applyFont="1" applyBorder="1" applyAlignment="1">
      <alignment horizontal="left" vertical="center" wrapText="1" indent="2"/>
    </xf>
    <xf numFmtId="9" fontId="87" fillId="6" borderId="127" xfId="173" applyFont="1" applyFill="1" applyBorder="1" applyAlignment="1">
      <alignment horizontal="center" vertical="center" wrapText="1"/>
    </xf>
    <xf numFmtId="0" fontId="95" fillId="0" borderId="0" xfId="177" quotePrefix="1" applyFont="1" applyAlignment="1">
      <alignment vertical="center"/>
    </xf>
    <xf numFmtId="0" fontId="95" fillId="0" borderId="0" xfId="177" applyFont="1"/>
    <xf numFmtId="0" fontId="102" fillId="0" borderId="0" xfId="177" applyFont="1"/>
    <xf numFmtId="0" fontId="98" fillId="0" borderId="0" xfId="177" applyFont="1" applyAlignment="1">
      <alignment vertical="center"/>
    </xf>
    <xf numFmtId="1" fontId="103" fillId="41" borderId="120" xfId="11" applyNumberFormat="1" applyFont="1" applyBorder="1">
      <alignment horizontal="right" vertical="center"/>
      <protection locked="0"/>
    </xf>
    <xf numFmtId="1" fontId="91" fillId="65" borderId="58" xfId="177" applyNumberFormat="1" applyFont="1" applyFill="1" applyBorder="1"/>
    <xf numFmtId="1" fontId="91" fillId="65" borderId="72" xfId="177" applyNumberFormat="1" applyFont="1" applyFill="1" applyBorder="1"/>
    <xf numFmtId="1" fontId="102" fillId="65" borderId="72" xfId="177" applyNumberFormat="1" applyFont="1" applyFill="1" applyBorder="1"/>
    <xf numFmtId="1" fontId="102" fillId="65" borderId="74" xfId="177" applyNumberFormat="1" applyFont="1" applyFill="1" applyBorder="1"/>
    <xf numFmtId="179" fontId="102" fillId="65" borderId="74" xfId="177" applyNumberFormat="1" applyFont="1" applyFill="1" applyBorder="1"/>
    <xf numFmtId="1" fontId="95" fillId="0" borderId="128" xfId="177" applyNumberFormat="1" applyFont="1" applyBorder="1" applyAlignment="1">
      <alignment horizontal="center" vertical="center" wrapText="1"/>
    </xf>
    <xf numFmtId="1" fontId="95" fillId="6" borderId="128" xfId="160" quotePrefix="1" applyNumberFormat="1" applyFont="1" applyBorder="1" applyAlignment="1">
      <alignment horizontal="center" vertical="center"/>
    </xf>
    <xf numFmtId="179" fontId="82" fillId="46" borderId="120" xfId="177" applyNumberFormat="1" applyFont="1" applyFill="1" applyBorder="1" applyAlignment="1">
      <alignment horizontal="left" indent="1"/>
    </xf>
    <xf numFmtId="0" fontId="91" fillId="6" borderId="0" xfId="177" applyFont="1" applyFill="1"/>
    <xf numFmtId="0" fontId="2" fillId="6" borderId="0" xfId="177" applyFill="1" applyAlignment="1">
      <alignment horizontal="left" vertical="center" wrapText="1" indent="6"/>
    </xf>
    <xf numFmtId="0" fontId="2" fillId="0" borderId="120" xfId="177" applyBorder="1" applyAlignment="1">
      <alignment horizontal="left" vertical="center" wrapText="1" indent="1"/>
    </xf>
    <xf numFmtId="179" fontId="2" fillId="0" borderId="120" xfId="177" applyNumberFormat="1" applyBorder="1" applyAlignment="1">
      <alignment horizontal="left" indent="1"/>
    </xf>
    <xf numFmtId="179" fontId="2" fillId="0" borderId="120" xfId="177" applyNumberFormat="1" applyBorder="1" applyAlignment="1">
      <alignment horizontal="left" indent="3"/>
    </xf>
    <xf numFmtId="0" fontId="103" fillId="0" borderId="0" xfId="177" applyFont="1"/>
    <xf numFmtId="1" fontId="87" fillId="6" borderId="128" xfId="160" quotePrefix="1" applyNumberFormat="1" applyFont="1" applyBorder="1" applyAlignment="1">
      <alignment horizontal="center" vertical="center"/>
    </xf>
    <xf numFmtId="1" fontId="95" fillId="6" borderId="128" xfId="160" quotePrefix="1" applyNumberFormat="1" applyFont="1" applyBorder="1" applyAlignment="1">
      <alignment horizontal="center" vertical="center" wrapText="1"/>
    </xf>
    <xf numFmtId="1" fontId="95" fillId="6" borderId="0" xfId="160" quotePrefix="1" applyNumberFormat="1" applyFont="1" applyBorder="1" applyAlignment="1">
      <alignment horizontal="center" vertical="center"/>
    </xf>
    <xf numFmtId="1" fontId="87" fillId="6" borderId="0" xfId="160" quotePrefix="1" applyNumberFormat="1" applyFont="1" applyBorder="1" applyAlignment="1">
      <alignment horizontal="center" vertical="center"/>
    </xf>
    <xf numFmtId="0" fontId="98" fillId="0" borderId="0" xfId="177" applyFont="1"/>
    <xf numFmtId="0" fontId="2" fillId="0" borderId="0" xfId="177"/>
    <xf numFmtId="0" fontId="2" fillId="0" borderId="0" xfId="177" applyAlignment="1">
      <alignment horizontal="center"/>
    </xf>
    <xf numFmtId="0" fontId="2" fillId="0" borderId="0" xfId="177" applyAlignment="1">
      <alignment wrapText="1"/>
    </xf>
    <xf numFmtId="2" fontId="2" fillId="0" borderId="0" xfId="177" applyNumberFormat="1" applyAlignment="1">
      <alignment wrapText="1"/>
    </xf>
    <xf numFmtId="0" fontId="82" fillId="0" borderId="0" xfId="177" applyFont="1" applyAlignment="1">
      <alignment wrapText="1"/>
    </xf>
    <xf numFmtId="0" fontId="82" fillId="0" borderId="0" xfId="177" applyFont="1"/>
    <xf numFmtId="0" fontId="82" fillId="0" borderId="120" xfId="177" applyFont="1" applyBorder="1"/>
    <xf numFmtId="0" fontId="84" fillId="0" borderId="120" xfId="177" applyFont="1" applyBorder="1" applyAlignment="1">
      <alignment horizontal="center" vertical="center" wrapText="1"/>
    </xf>
    <xf numFmtId="0" fontId="2" fillId="0" borderId="120" xfId="177" applyBorder="1" applyAlignment="1">
      <alignment horizontal="center"/>
    </xf>
    <xf numFmtId="0" fontId="82" fillId="66" borderId="120" xfId="177" applyFont="1" applyFill="1" applyBorder="1"/>
    <xf numFmtId="4" fontId="91" fillId="41" borderId="120" xfId="11" applyNumberFormat="1" applyFont="1" applyBorder="1" applyAlignment="1">
      <alignment horizontal="right" vertical="center" wrapText="1"/>
      <protection locked="0"/>
    </xf>
    <xf numFmtId="10" fontId="91" fillId="41" borderId="120" xfId="173" applyNumberFormat="1" applyFont="1" applyFill="1" applyBorder="1" applyAlignment="1" applyProtection="1">
      <alignment horizontal="right" vertical="center" wrapText="1"/>
      <protection locked="0"/>
    </xf>
    <xf numFmtId="10" fontId="2" fillId="0" borderId="0" xfId="177" applyNumberFormat="1" applyAlignment="1">
      <alignment wrapText="1"/>
    </xf>
    <xf numFmtId="10" fontId="2" fillId="0" borderId="0" xfId="177" applyNumberFormat="1"/>
    <xf numFmtId="179" fontId="102" fillId="0" borderId="120" xfId="177" applyNumberFormat="1" applyFont="1" applyBorder="1" applyAlignment="1">
      <alignment horizontal="left" indent="1"/>
    </xf>
    <xf numFmtId="0" fontId="2" fillId="0" borderId="0" xfId="177" applyAlignment="1">
      <alignment horizontal="center" vertical="center" wrapText="1"/>
    </xf>
    <xf numFmtId="0" fontId="84" fillId="0" borderId="127" xfId="177" applyFont="1" applyBorder="1" applyAlignment="1">
      <alignment horizontal="center" vertical="center" wrapText="1"/>
    </xf>
    <xf numFmtId="2" fontId="84" fillId="0" borderId="127" xfId="177" applyNumberFormat="1" applyFont="1" applyBorder="1" applyAlignment="1">
      <alignment horizontal="center" vertical="center" wrapText="1"/>
    </xf>
    <xf numFmtId="0" fontId="84" fillId="0" borderId="128" xfId="177" quotePrefix="1" applyFont="1" applyBorder="1" applyAlignment="1">
      <alignment horizontal="center" vertical="center" wrapText="1"/>
    </xf>
    <xf numFmtId="0" fontId="84" fillId="0" borderId="128" xfId="177" applyFont="1" applyBorder="1" applyAlignment="1">
      <alignment horizontal="center" vertical="center" wrapText="1"/>
    </xf>
    <xf numFmtId="0" fontId="101" fillId="0" borderId="0" xfId="177" applyFont="1" applyAlignment="1">
      <alignment wrapText="1"/>
    </xf>
    <xf numFmtId="3" fontId="2" fillId="0" borderId="0" xfId="177" applyNumberFormat="1" applyAlignment="1">
      <alignment wrapText="1"/>
    </xf>
    <xf numFmtId="0" fontId="82" fillId="0" borderId="0" xfId="177" applyFont="1" applyAlignment="1">
      <alignment vertical="center"/>
    </xf>
    <xf numFmtId="179" fontId="91" fillId="0" borderId="120" xfId="177" applyNumberFormat="1" applyFont="1" applyBorder="1" applyAlignment="1">
      <alignment wrapText="1"/>
    </xf>
    <xf numFmtId="179" fontId="102" fillId="0" borderId="120" xfId="177" applyNumberFormat="1" applyFont="1" applyBorder="1"/>
    <xf numFmtId="0" fontId="101" fillId="0" borderId="0" xfId="177" applyFont="1"/>
    <xf numFmtId="3" fontId="101" fillId="0" borderId="0" xfId="177" applyNumberFormat="1" applyFont="1"/>
    <xf numFmtId="0" fontId="84" fillId="0" borderId="263" xfId="177" applyFont="1" applyBorder="1" applyAlignment="1">
      <alignment vertical="center" wrapText="1"/>
    </xf>
    <xf numFmtId="9" fontId="2" fillId="0" borderId="0" xfId="177" applyNumberFormat="1"/>
    <xf numFmtId="0" fontId="2" fillId="0" borderId="120" xfId="152" applyFont="1" applyFill="1" applyBorder="1" applyAlignment="1">
      <alignment horizontal="left" vertical="center"/>
    </xf>
    <xf numFmtId="0" fontId="91" fillId="0" borderId="120" xfId="152" applyFont="1" applyFill="1" applyBorder="1" applyAlignment="1">
      <alignment horizontal="left" vertical="center"/>
    </xf>
    <xf numFmtId="4" fontId="91" fillId="41" borderId="120" xfId="11" applyNumberFormat="1" applyFont="1" applyBorder="1">
      <alignment horizontal="right" vertical="center"/>
      <protection locked="0"/>
    </xf>
    <xf numFmtId="14" fontId="91" fillId="41" borderId="120" xfId="11" applyNumberFormat="1" applyFont="1" applyBorder="1">
      <alignment horizontal="right" vertical="center"/>
      <protection locked="0"/>
    </xf>
    <xf numFmtId="0" fontId="105" fillId="0" borderId="0" xfId="177" applyFont="1"/>
    <xf numFmtId="4" fontId="105" fillId="0" borderId="0" xfId="177" quotePrefix="1" applyNumberFormat="1" applyFont="1"/>
    <xf numFmtId="4" fontId="105" fillId="0" borderId="0" xfId="177" applyNumberFormat="1" applyFont="1"/>
    <xf numFmtId="3" fontId="105" fillId="0" borderId="0" xfId="173" applyNumberFormat="1" applyFont="1" applyFill="1" applyBorder="1" applyAlignment="1">
      <alignment horizontal="center"/>
    </xf>
    <xf numFmtId="9" fontId="105" fillId="0" borderId="0" xfId="173" applyFont="1" applyFill="1" applyBorder="1" applyAlignment="1">
      <alignment horizontal="center"/>
    </xf>
    <xf numFmtId="3" fontId="105" fillId="0" borderId="0" xfId="177" applyNumberFormat="1" applyFont="1" applyAlignment="1">
      <alignment horizontal="center"/>
    </xf>
    <xf numFmtId="0" fontId="106" fillId="0" borderId="0" xfId="177" applyFont="1" applyAlignment="1">
      <alignment horizontal="left" vertical="center" wrapText="1" indent="4"/>
    </xf>
    <xf numFmtId="0" fontId="95" fillId="0" borderId="120" xfId="177" applyFont="1" applyBorder="1" applyAlignment="1">
      <alignment horizontal="center" vertical="center" wrapText="1"/>
    </xf>
    <xf numFmtId="3" fontId="91" fillId="41" borderId="120" xfId="11" applyFont="1" applyBorder="1" applyAlignment="1">
      <alignment vertical="center"/>
      <protection locked="0"/>
    </xf>
    <xf numFmtId="0" fontId="91" fillId="6" borderId="74" xfId="177" applyFont="1" applyFill="1" applyBorder="1" applyAlignment="1">
      <alignment horizontal="center" vertical="center"/>
    </xf>
    <xf numFmtId="0" fontId="82" fillId="0" borderId="120" xfId="177" applyFont="1" applyBorder="1" applyAlignment="1">
      <alignment horizontal="center" vertical="center" wrapText="1"/>
    </xf>
    <xf numFmtId="0" fontId="98" fillId="0" borderId="120" xfId="177" applyFont="1" applyBorder="1" applyAlignment="1">
      <alignment horizontal="center" vertical="center" wrapText="1"/>
    </xf>
    <xf numFmtId="0" fontId="91" fillId="2" borderId="120" xfId="177" applyFont="1" applyFill="1" applyBorder="1" applyAlignment="1">
      <alignment horizontal="center" vertical="center"/>
    </xf>
    <xf numFmtId="0" fontId="87" fillId="6" borderId="74" xfId="160" applyFont="1" applyBorder="1" applyAlignment="1">
      <alignment horizontal="center" vertical="center" wrapText="1"/>
    </xf>
    <xf numFmtId="3" fontId="0" fillId="41" borderId="120" xfId="11" applyFont="1" applyBorder="1">
      <alignment horizontal="right" vertical="center"/>
      <protection locked="0"/>
    </xf>
    <xf numFmtId="1" fontId="0" fillId="41" borderId="120" xfId="11" applyNumberFormat="1" applyFont="1" applyBorder="1">
      <alignment horizontal="right" vertical="center"/>
      <protection locked="0"/>
    </xf>
    <xf numFmtId="3" fontId="0" fillId="41" borderId="127" xfId="11" applyFont="1" applyBorder="1">
      <alignment horizontal="right" vertical="center"/>
      <protection locked="0"/>
    </xf>
    <xf numFmtId="3" fontId="0" fillId="41" borderId="128" xfId="11" applyFont="1" applyBorder="1">
      <alignment horizontal="right" vertical="center"/>
      <protection locked="0"/>
    </xf>
    <xf numFmtId="0" fontId="2" fillId="0" borderId="127" xfId="177" applyBorder="1" applyAlignment="1">
      <alignment horizontal="center" vertical="center"/>
    </xf>
    <xf numFmtId="1" fontId="0" fillId="41" borderId="127" xfId="11" applyNumberFormat="1" applyFont="1" applyBorder="1">
      <alignment horizontal="right" vertical="center"/>
      <protection locked="0"/>
    </xf>
    <xf numFmtId="1" fontId="0" fillId="41" borderId="128" xfId="11" applyNumberFormat="1" applyFont="1" applyBorder="1">
      <alignment horizontal="right" vertical="center"/>
      <protection locked="0"/>
    </xf>
    <xf numFmtId="3" fontId="91" fillId="41" borderId="120" xfId="11" applyFont="1" applyBorder="1" applyAlignment="1">
      <alignment horizontal="center" vertical="center"/>
      <protection locked="0"/>
    </xf>
    <xf numFmtId="3" fontId="91" fillId="41" borderId="128" xfId="11" applyFont="1" applyBorder="1" applyAlignment="1">
      <alignment horizontal="center" vertical="center"/>
      <protection locked="0"/>
    </xf>
    <xf numFmtId="3" fontId="91" fillId="41" borderId="127" xfId="11" applyFont="1" applyBorder="1" applyAlignment="1">
      <alignment horizontal="center" vertical="center"/>
      <protection locked="0"/>
    </xf>
    <xf numFmtId="0" fontId="84" fillId="0" borderId="120" xfId="177" applyFont="1" applyBorder="1" applyAlignment="1">
      <alignment horizontal="left" vertical="center" wrapText="1"/>
    </xf>
    <xf numFmtId="0" fontId="84" fillId="0" borderId="120" xfId="177" applyFont="1" applyBorder="1" applyAlignment="1">
      <alignment horizontal="left" vertical="center" wrapText="1" indent="3"/>
    </xf>
    <xf numFmtId="0" fontId="82" fillId="0" borderId="120" xfId="177" applyFont="1" applyBorder="1" applyAlignment="1">
      <alignment horizontal="center" vertical="center"/>
    </xf>
    <xf numFmtId="0" fontId="2" fillId="0" borderId="0" xfId="177" applyAlignment="1">
      <alignment vertical="center"/>
    </xf>
    <xf numFmtId="0" fontId="82" fillId="2" borderId="0" xfId="177" applyFont="1" applyFill="1" applyAlignment="1">
      <alignment vertical="center"/>
    </xf>
    <xf numFmtId="0" fontId="2" fillId="2" borderId="0" xfId="177" applyFill="1" applyAlignment="1">
      <alignment horizontal="center" vertical="center" wrapText="1"/>
    </xf>
    <xf numFmtId="0" fontId="91" fillId="2" borderId="0" xfId="177" applyFont="1" applyFill="1" applyAlignment="1">
      <alignment horizontal="center" vertical="center" wrapText="1"/>
    </xf>
    <xf numFmtId="0" fontId="2" fillId="2" borderId="0" xfId="177" applyFill="1" applyAlignment="1">
      <alignment vertical="center"/>
    </xf>
    <xf numFmtId="0" fontId="2" fillId="0" borderId="41" xfId="177" applyBorder="1" applyAlignment="1">
      <alignment vertical="center"/>
    </xf>
    <xf numFmtId="3" fontId="91" fillId="41" borderId="120" xfId="11" applyFont="1" applyBorder="1" applyAlignment="1">
      <alignment horizontal="center" vertical="center" wrapText="1"/>
      <protection locked="0"/>
    </xf>
    <xf numFmtId="3" fontId="0" fillId="41" borderId="120" xfId="11" applyFont="1" applyBorder="1" applyAlignment="1">
      <alignment horizontal="center" vertical="center"/>
      <protection locked="0"/>
    </xf>
    <xf numFmtId="3" fontId="0" fillId="41" borderId="120" xfId="11" applyFont="1" applyBorder="1" applyAlignment="1">
      <alignment horizontal="center" vertical="center" wrapText="1"/>
      <protection locked="0"/>
    </xf>
    <xf numFmtId="0" fontId="91" fillId="0" borderId="71" xfId="177" applyFont="1" applyBorder="1" applyAlignment="1">
      <alignment vertical="center"/>
    </xf>
    <xf numFmtId="0" fontId="91" fillId="0" borderId="0" xfId="177" applyFont="1" applyAlignment="1">
      <alignment vertical="center"/>
    </xf>
    <xf numFmtId="0" fontId="109" fillId="6" borderId="0" xfId="177" applyFont="1" applyFill="1"/>
    <xf numFmtId="0" fontId="110" fillId="6" borderId="0" xfId="177" applyFont="1" applyFill="1" applyAlignment="1">
      <alignment horizontal="center" vertical="center" wrapText="1"/>
    </xf>
    <xf numFmtId="0" fontId="111" fillId="0" borderId="0" xfId="177" applyFont="1" applyAlignment="1">
      <alignment vertical="center"/>
    </xf>
    <xf numFmtId="0" fontId="1" fillId="0" borderId="0" xfId="177" applyFont="1"/>
    <xf numFmtId="3" fontId="91" fillId="58" borderId="120" xfId="11" applyFont="1" applyFill="1" applyBorder="1" applyProtection="1">
      <alignment horizontal="right" vertical="center"/>
    </xf>
    <xf numFmtId="3" fontId="91" fillId="66" borderId="120" xfId="11" applyFont="1" applyFill="1" applyBorder="1" applyProtection="1">
      <alignment horizontal="right" vertical="center"/>
    </xf>
    <xf numFmtId="9" fontId="91" fillId="66" borderId="120" xfId="173" applyFont="1" applyFill="1" applyBorder="1" applyAlignment="1" applyProtection="1">
      <alignment horizontal="right" vertical="center"/>
    </xf>
    <xf numFmtId="9" fontId="2" fillId="66" borderId="120" xfId="173" applyFont="1" applyFill="1" applyBorder="1" applyAlignment="1" applyProtection="1">
      <alignment horizontal="right" vertical="center"/>
    </xf>
    <xf numFmtId="1" fontId="91" fillId="66" borderId="120" xfId="11" applyNumberFormat="1" applyFont="1" applyFill="1" applyBorder="1" applyProtection="1">
      <alignment horizontal="right" vertical="center"/>
    </xf>
    <xf numFmtId="10" fontId="91" fillId="66" borderId="120" xfId="173" applyNumberFormat="1" applyFont="1" applyFill="1" applyBorder="1" applyAlignment="1" applyProtection="1">
      <alignment horizontal="right" vertical="center"/>
    </xf>
    <xf numFmtId="2" fontId="91" fillId="66" borderId="120" xfId="11" applyNumberFormat="1" applyFont="1" applyFill="1" applyBorder="1" applyProtection="1">
      <alignment horizontal="right" vertical="center"/>
    </xf>
    <xf numFmtId="10" fontId="101" fillId="66" borderId="120" xfId="173" applyNumberFormat="1" applyFont="1" applyFill="1" applyBorder="1" applyAlignment="1" applyProtection="1">
      <alignment horizontal="right" vertical="center"/>
    </xf>
    <xf numFmtId="1" fontId="91" fillId="66" borderId="120" xfId="173" applyNumberFormat="1" applyFont="1" applyFill="1" applyBorder="1" applyAlignment="1" applyProtection="1">
      <alignment horizontal="right" vertical="center"/>
    </xf>
    <xf numFmtId="2" fontId="91" fillId="66" borderId="120" xfId="173" applyNumberFormat="1" applyFont="1" applyFill="1" applyBorder="1" applyAlignment="1" applyProtection="1">
      <alignment horizontal="right" vertical="center"/>
    </xf>
    <xf numFmtId="1" fontId="103" fillId="66" borderId="120" xfId="11" applyNumberFormat="1" applyFont="1" applyFill="1" applyBorder="1" applyProtection="1">
      <alignment horizontal="right" vertical="center"/>
    </xf>
    <xf numFmtId="10" fontId="91" fillId="58" borderId="120" xfId="173" applyNumberFormat="1" applyFont="1" applyFill="1" applyBorder="1" applyAlignment="1" applyProtection="1">
      <alignment horizontal="right" vertical="center"/>
    </xf>
    <xf numFmtId="10" fontId="91" fillId="58" borderId="120" xfId="173" applyNumberFormat="1" applyFont="1" applyFill="1" applyBorder="1" applyAlignment="1" applyProtection="1">
      <alignment horizontal="right" vertical="center" wrapText="1"/>
    </xf>
    <xf numFmtId="2" fontId="91" fillId="58" borderId="120" xfId="11" applyNumberFormat="1" applyFont="1" applyFill="1" applyBorder="1" applyAlignment="1" applyProtection="1">
      <alignment horizontal="right" vertical="center" wrapText="1"/>
    </xf>
    <xf numFmtId="0" fontId="82" fillId="66" borderId="120" xfId="177" applyFont="1" applyFill="1" applyBorder="1" applyAlignment="1" applyProtection="1">
      <alignment wrapText="1"/>
    </xf>
    <xf numFmtId="2" fontId="82" fillId="66" borderId="120" xfId="177" applyNumberFormat="1" applyFont="1" applyFill="1" applyBorder="1" applyAlignment="1" applyProtection="1">
      <alignment wrapText="1"/>
    </xf>
    <xf numFmtId="4" fontId="91" fillId="58" borderId="120" xfId="11" applyNumberFormat="1" applyFont="1" applyFill="1" applyBorder="1" applyAlignment="1" applyProtection="1">
      <alignment horizontal="right" vertical="center" wrapText="1"/>
    </xf>
    <xf numFmtId="10" fontId="82" fillId="66" borderId="120" xfId="177" applyNumberFormat="1" applyFont="1" applyFill="1" applyBorder="1" applyAlignment="1" applyProtection="1">
      <alignment wrapText="1"/>
    </xf>
    <xf numFmtId="1" fontId="91" fillId="58" borderId="120" xfId="173" applyNumberFormat="1" applyFont="1" applyFill="1" applyBorder="1" applyAlignment="1" applyProtection="1">
      <alignment horizontal="right" vertical="center" wrapText="1"/>
    </xf>
    <xf numFmtId="3" fontId="0" fillId="46" borderId="120" xfId="11" applyFont="1" applyFill="1" applyBorder="1" applyProtection="1">
      <alignment horizontal="right" vertical="center"/>
    </xf>
    <xf numFmtId="3" fontId="0" fillId="65" borderId="120" xfId="11" applyFont="1" applyFill="1" applyBorder="1" applyProtection="1">
      <alignment horizontal="right" vertical="center"/>
    </xf>
    <xf numFmtId="3" fontId="0" fillId="58" borderId="120" xfId="11" applyFont="1" applyFill="1" applyBorder="1" applyProtection="1">
      <alignment horizontal="right" vertical="center"/>
    </xf>
    <xf numFmtId="3" fontId="0" fillId="58" borderId="58" xfId="11" applyFont="1" applyFill="1" applyBorder="1" applyProtection="1">
      <alignment horizontal="right" vertical="center"/>
    </xf>
    <xf numFmtId="3" fontId="0" fillId="58" borderId="74" xfId="11" applyFont="1" applyFill="1" applyBorder="1" applyProtection="1">
      <alignment horizontal="right" vertical="center"/>
    </xf>
    <xf numFmtId="0" fontId="96" fillId="67" borderId="120" xfId="177" quotePrefix="1" applyFont="1" applyFill="1" applyBorder="1" applyAlignment="1" applyProtection="1">
      <alignment vertical="center" wrapText="1"/>
    </xf>
    <xf numFmtId="3" fontId="2" fillId="58" borderId="120" xfId="177" applyNumberFormat="1" applyFill="1" applyBorder="1" applyProtection="1"/>
    <xf numFmtId="3" fontId="2" fillId="58" borderId="128" xfId="177" applyNumberFormat="1" applyFill="1" applyBorder="1" applyProtection="1"/>
    <xf numFmtId="10" fontId="91" fillId="66" borderId="120" xfId="11" applyNumberFormat="1" applyFont="1" applyFill="1" applyBorder="1" applyProtection="1">
      <alignment horizontal="right" vertical="center"/>
    </xf>
    <xf numFmtId="3" fontId="91" fillId="66" borderId="120" xfId="11" applyFont="1" applyFill="1" applyBorder="1" applyAlignment="1" applyProtection="1">
      <alignment horizontal="center" vertical="center" wrapText="1"/>
    </xf>
    <xf numFmtId="3" fontId="0" fillId="66" borderId="120" xfId="11" applyFont="1" applyFill="1" applyBorder="1" applyAlignment="1" applyProtection="1">
      <alignment horizontal="center" vertical="center" wrapText="1"/>
    </xf>
    <xf numFmtId="3" fontId="91" fillId="66" borderId="120" xfId="11" applyFont="1" applyFill="1" applyBorder="1" applyAlignment="1" applyProtection="1">
      <alignment horizontal="center" vertical="center"/>
    </xf>
    <xf numFmtId="3" fontId="2" fillId="41" borderId="120" xfId="177" applyNumberFormat="1" applyFill="1" applyBorder="1" applyProtection="1">
      <protection locked="0"/>
    </xf>
    <xf numFmtId="2" fontId="2" fillId="41" borderId="120" xfId="177" applyNumberFormat="1" applyFill="1" applyBorder="1" applyProtection="1">
      <protection locked="0"/>
    </xf>
    <xf numFmtId="10" fontId="2" fillId="41" borderId="120" xfId="177" applyNumberFormat="1" applyFill="1" applyBorder="1" applyProtection="1">
      <protection locked="0"/>
    </xf>
    <xf numFmtId="0" fontId="2" fillId="41" borderId="120" xfId="177" applyFill="1" applyBorder="1" applyProtection="1">
      <protection locked="0"/>
    </xf>
    <xf numFmtId="1" fontId="91" fillId="41" borderId="120" xfId="11" applyNumberFormat="1" applyFont="1" applyBorder="1" applyProtection="1">
      <alignment horizontal="right" vertical="center"/>
      <protection locked="0"/>
    </xf>
    <xf numFmtId="2" fontId="91" fillId="41" borderId="120" xfId="11" applyNumberFormat="1" applyFont="1" applyBorder="1" applyProtection="1">
      <alignment horizontal="right" vertical="center"/>
      <protection locked="0"/>
    </xf>
    <xf numFmtId="0" fontId="0" fillId="0" borderId="13" xfId="0" applyFill="1" applyBorder="1" applyAlignment="1">
      <alignment horizontal="center" vertical="center"/>
    </xf>
    <xf numFmtId="0" fontId="112" fillId="50" borderId="72" xfId="4" applyFont="1" applyFill="1" applyBorder="1" applyAlignment="1"/>
    <xf numFmtId="0" fontId="112" fillId="6" borderId="72" xfId="4" applyFont="1" applyFill="1" applyBorder="1" applyAlignment="1">
      <alignment horizontal="center"/>
    </xf>
    <xf numFmtId="0" fontId="28" fillId="6" borderId="120" xfId="0" applyFont="1" applyBorder="1" applyAlignment="1">
      <alignment horizontal="center" vertical="center" wrapText="1"/>
    </xf>
    <xf numFmtId="0" fontId="28" fillId="6" borderId="58" xfId="0" applyFont="1" applyBorder="1" applyAlignment="1">
      <alignment horizontal="center" vertical="center" wrapText="1"/>
    </xf>
    <xf numFmtId="0" fontId="91" fillId="0" borderId="0" xfId="177" applyFont="1" applyAlignment="1" applyProtection="1">
      <alignment horizontal="left" vertical="center" wrapText="1" indent="6"/>
    </xf>
    <xf numFmtId="1" fontId="91" fillId="0" borderId="0" xfId="11" applyNumberFormat="1" applyFont="1" applyFill="1" applyBorder="1" applyProtection="1">
      <alignment horizontal="right" vertical="center"/>
    </xf>
    <xf numFmtId="9" fontId="91" fillId="0" borderId="0" xfId="173" applyFont="1" applyFill="1" applyBorder="1" applyAlignment="1" applyProtection="1">
      <alignment horizontal="right" vertical="center"/>
    </xf>
    <xf numFmtId="10" fontId="91" fillId="0" borderId="0" xfId="173" applyNumberFormat="1" applyFont="1" applyFill="1" applyBorder="1" applyAlignment="1" applyProtection="1">
      <alignment horizontal="right" vertical="center"/>
    </xf>
    <xf numFmtId="2" fontId="91" fillId="0" borderId="0" xfId="11" applyNumberFormat="1" applyFont="1" applyFill="1" applyBorder="1" applyProtection="1">
      <alignment horizontal="right" vertical="center"/>
    </xf>
    <xf numFmtId="2" fontId="91" fillId="0" borderId="0" xfId="173" applyNumberFormat="1" applyFont="1" applyFill="1" applyBorder="1" applyAlignment="1" applyProtection="1">
      <alignment horizontal="right" vertical="center"/>
    </xf>
    <xf numFmtId="0" fontId="91" fillId="0" borderId="0" xfId="177" applyFont="1" applyProtection="1"/>
    <xf numFmtId="0" fontId="87" fillId="0" borderId="120" xfId="160" applyFont="1" applyFill="1" applyBorder="1" applyAlignment="1">
      <alignment horizontal="center" vertical="center" wrapText="1"/>
    </xf>
    <xf numFmtId="1" fontId="91" fillId="6" borderId="0" xfId="11" applyNumberFormat="1" applyFont="1" applyFill="1" applyBorder="1" applyProtection="1">
      <alignment horizontal="right" vertical="center"/>
    </xf>
    <xf numFmtId="1" fontId="91" fillId="0" borderId="0" xfId="177" applyNumberFormat="1" applyFont="1" applyProtection="1"/>
    <xf numFmtId="0" fontId="102" fillId="0" borderId="0" xfId="177" applyFont="1" applyProtection="1"/>
    <xf numFmtId="0" fontId="98" fillId="0" borderId="120" xfId="177" applyFont="1" applyBorder="1" applyProtection="1"/>
    <xf numFmtId="1" fontId="84" fillId="6" borderId="128" xfId="160" quotePrefix="1" applyNumberFormat="1" applyFont="1" applyBorder="1" applyAlignment="1" applyProtection="1">
      <alignment horizontal="center" vertical="center"/>
    </xf>
    <xf numFmtId="1" fontId="95" fillId="6" borderId="120" xfId="160" quotePrefix="1" applyNumberFormat="1" applyFont="1" applyBorder="1" applyAlignment="1" applyProtection="1">
      <alignment horizontal="center" vertical="center"/>
    </xf>
    <xf numFmtId="1" fontId="87" fillId="6" borderId="120" xfId="160" quotePrefix="1" applyNumberFormat="1" applyFont="1" applyBorder="1" applyAlignment="1" applyProtection="1">
      <alignment horizontal="center" vertical="center"/>
    </xf>
    <xf numFmtId="1" fontId="95" fillId="0" borderId="128" xfId="177" applyNumberFormat="1" applyFont="1" applyBorder="1" applyAlignment="1" applyProtection="1">
      <alignment horizontal="center" vertical="center" wrapText="1"/>
    </xf>
    <xf numFmtId="1" fontId="95" fillId="6" borderId="128" xfId="160" quotePrefix="1" applyNumberFormat="1" applyFont="1" applyBorder="1" applyAlignment="1" applyProtection="1">
      <alignment horizontal="center" vertical="center"/>
    </xf>
    <xf numFmtId="3" fontId="41" fillId="6" borderId="61" xfId="11" applyFont="1" applyFill="1" applyBorder="1" applyAlignment="1" applyProtection="1">
      <alignment vertical="center"/>
    </xf>
    <xf numFmtId="0" fontId="2" fillId="0" borderId="41" xfId="177" applyBorder="1" applyAlignment="1" applyProtection="1">
      <alignment vertical="center"/>
    </xf>
    <xf numFmtId="0" fontId="82" fillId="0" borderId="120" xfId="177" applyFont="1" applyBorder="1" applyAlignment="1" applyProtection="1">
      <alignment horizontal="center" vertical="center"/>
    </xf>
    <xf numFmtId="3" fontId="43" fillId="41" borderId="172" xfId="11" applyFont="1" applyBorder="1">
      <alignment horizontal="right" vertical="center"/>
      <protection locked="0"/>
    </xf>
    <xf numFmtId="3" fontId="43" fillId="41" borderId="171" xfId="11" applyFont="1" applyBorder="1">
      <alignment horizontal="right" vertical="center"/>
      <protection locked="0"/>
    </xf>
    <xf numFmtId="3" fontId="43" fillId="41" borderId="15" xfId="11" applyFont="1" applyBorder="1" applyProtection="1">
      <alignment horizontal="right" vertical="center"/>
      <protection locked="0"/>
    </xf>
    <xf numFmtId="3" fontId="43" fillId="41" borderId="25" xfId="11" applyFont="1" applyBorder="1" applyProtection="1">
      <alignment horizontal="right" vertical="center"/>
      <protection locked="0"/>
    </xf>
    <xf numFmtId="3" fontId="43" fillId="41" borderId="55" xfId="11" applyFont="1" applyBorder="1" applyProtection="1">
      <alignment horizontal="right" vertical="center"/>
      <protection locked="0"/>
    </xf>
    <xf numFmtId="3" fontId="43" fillId="41" borderId="14" xfId="11" applyFont="1" applyBorder="1" applyProtection="1">
      <alignment horizontal="right" vertical="center"/>
      <protection locked="0"/>
    </xf>
    <xf numFmtId="3" fontId="43" fillId="41" borderId="53" xfId="11" applyFont="1" applyBorder="1" applyProtection="1">
      <alignment horizontal="right" vertical="center"/>
      <protection locked="0"/>
    </xf>
    <xf numFmtId="3" fontId="43" fillId="41" borderId="17" xfId="11" applyFont="1" applyBorder="1" applyProtection="1">
      <alignment horizontal="right" vertical="center"/>
      <protection locked="0"/>
    </xf>
    <xf numFmtId="3" fontId="43" fillId="41" borderId="115" xfId="11" applyFont="1" applyBorder="1" applyProtection="1">
      <alignment horizontal="right" vertical="center"/>
      <protection locked="0"/>
    </xf>
    <xf numFmtId="3" fontId="43" fillId="41" borderId="22" xfId="11" applyFont="1" applyBorder="1" applyProtection="1">
      <alignment horizontal="right" vertical="center"/>
      <protection locked="0"/>
    </xf>
    <xf numFmtId="3" fontId="43" fillId="41" borderId="23" xfId="11" applyFont="1" applyBorder="1" applyProtection="1">
      <alignment horizontal="right" vertical="center"/>
      <protection locked="0"/>
    </xf>
    <xf numFmtId="3" fontId="43" fillId="41" borderId="16" xfId="11" applyFont="1" applyBorder="1" applyProtection="1">
      <alignment horizontal="right" vertical="center"/>
      <protection locked="0"/>
    </xf>
    <xf numFmtId="3" fontId="43" fillId="41" borderId="26" xfId="11" applyFont="1" applyBorder="1" applyProtection="1">
      <alignment horizontal="right" vertical="center"/>
      <protection locked="0"/>
    </xf>
    <xf numFmtId="3" fontId="5" fillId="47" borderId="13" xfId="20" applyFont="1" applyFill="1" applyProtection="1">
      <alignment horizontal="right" vertical="center"/>
      <protection locked="0"/>
    </xf>
    <xf numFmtId="3" fontId="5" fillId="47" borderId="16" xfId="20" applyFont="1" applyFill="1" applyBorder="1" applyProtection="1">
      <alignment horizontal="right" vertical="center"/>
      <protection locked="0"/>
    </xf>
    <xf numFmtId="3" fontId="43" fillId="41" borderId="13" xfId="11" applyFont="1" applyProtection="1">
      <alignment horizontal="right" vertical="center"/>
      <protection locked="0"/>
    </xf>
    <xf numFmtId="3" fontId="0" fillId="41" borderId="13" xfId="11" applyFont="1" applyProtection="1">
      <alignment horizontal="right" vertical="center"/>
      <protection locked="0"/>
    </xf>
    <xf numFmtId="3" fontId="0" fillId="41" borderId="25" xfId="11" applyFont="1" applyBorder="1" applyProtection="1">
      <alignment horizontal="right" vertical="center"/>
      <protection locked="0"/>
    </xf>
    <xf numFmtId="3" fontId="0" fillId="41" borderId="16" xfId="11" applyFont="1" applyBorder="1" applyProtection="1">
      <alignment horizontal="right" vertical="center"/>
      <protection locked="0"/>
    </xf>
    <xf numFmtId="3" fontId="43" fillId="41" borderId="13" xfId="11" applyFont="1" applyAlignment="1" applyProtection="1">
      <alignment horizontal="center" vertical="center"/>
      <protection locked="0"/>
    </xf>
    <xf numFmtId="175" fontId="43" fillId="41" borderId="13" xfId="11" applyNumberFormat="1" applyFont="1" applyProtection="1">
      <alignment horizontal="right" vertical="center"/>
      <protection locked="0"/>
    </xf>
    <xf numFmtId="3" fontId="43" fillId="41" borderId="15" xfId="11" applyFont="1" applyBorder="1" applyAlignment="1" applyProtection="1">
      <alignment horizontal="left" vertical="center"/>
      <protection locked="0"/>
    </xf>
    <xf numFmtId="3" fontId="26" fillId="41" borderId="13" xfId="11" applyFont="1" applyProtection="1">
      <alignment horizontal="right" vertical="center"/>
      <protection locked="0"/>
    </xf>
    <xf numFmtId="3" fontId="26" fillId="41" borderId="78" xfId="11" applyFont="1" applyBorder="1" applyProtection="1">
      <alignment horizontal="right" vertical="center"/>
      <protection locked="0"/>
    </xf>
    <xf numFmtId="3" fontId="26" fillId="41" borderId="21" xfId="11" applyFont="1" applyBorder="1" applyProtection="1">
      <alignment horizontal="right" vertical="center"/>
      <protection locked="0"/>
    </xf>
    <xf numFmtId="3" fontId="26" fillId="41" borderId="16" xfId="11" applyFont="1" applyBorder="1" applyProtection="1">
      <alignment horizontal="right" vertical="center"/>
      <protection locked="0"/>
    </xf>
    <xf numFmtId="3" fontId="26" fillId="41" borderId="101" xfId="11" applyFont="1" applyBorder="1" applyProtection="1">
      <alignment horizontal="right" vertical="center"/>
      <protection locked="0"/>
    </xf>
    <xf numFmtId="14" fontId="91" fillId="41" borderId="120" xfId="173" quotePrefix="1" applyNumberFormat="1" applyFont="1" applyFill="1" applyBorder="1" applyAlignment="1" applyProtection="1">
      <alignment horizontal="center" vertical="center"/>
      <protection locked="0"/>
    </xf>
    <xf numFmtId="14" fontId="91" fillId="41" borderId="120" xfId="11" quotePrefix="1" applyNumberFormat="1" applyFont="1" applyBorder="1">
      <alignment horizontal="right" vertical="center"/>
      <protection locked="0"/>
    </xf>
    <xf numFmtId="49" fontId="0" fillId="15" borderId="51" xfId="56" applyFont="1" applyBorder="1" applyAlignment="1">
      <alignment horizontal="center" vertical="center"/>
    </xf>
    <xf numFmtId="0" fontId="0" fillId="6" borderId="21" xfId="0" applyBorder="1" applyAlignment="1">
      <alignment horizontal="left" vertical="center" wrapText="1"/>
    </xf>
    <xf numFmtId="0" fontId="0" fillId="6" borderId="18" xfId="0" applyBorder="1" applyAlignment="1">
      <alignment horizontal="left" vertical="center" wrapText="1"/>
    </xf>
    <xf numFmtId="0" fontId="65" fillId="53" borderId="21" xfId="144" applyBorder="1" applyAlignment="1">
      <alignment horizontal="center" vertical="center"/>
    </xf>
    <xf numFmtId="0" fontId="65" fillId="53" borderId="18" xfId="144" applyBorder="1" applyAlignment="1">
      <alignment horizontal="center" vertical="center"/>
    </xf>
    <xf numFmtId="0" fontId="65" fillId="53" borderId="20" xfId="144" applyBorder="1" applyAlignment="1">
      <alignment horizontal="center" vertical="center"/>
    </xf>
    <xf numFmtId="0" fontId="65" fillId="53" borderId="19" xfId="144" applyBorder="1" applyAlignment="1">
      <alignment horizontal="center" vertical="center"/>
    </xf>
    <xf numFmtId="0" fontId="28" fillId="6" borderId="54" xfId="0" applyFont="1" applyBorder="1" applyAlignment="1">
      <alignment horizontal="center" vertical="center"/>
    </xf>
    <xf numFmtId="0" fontId="28" fillId="6" borderId="49" xfId="0" applyFont="1" applyBorder="1" applyAlignment="1">
      <alignment horizontal="center" vertical="center"/>
    </xf>
    <xf numFmtId="0" fontId="28" fillId="6" borderId="59" xfId="0" applyFont="1" applyBorder="1" applyAlignment="1">
      <alignment horizontal="center" vertical="center"/>
    </xf>
    <xf numFmtId="0" fontId="28" fillId="6" borderId="42" xfId="0" applyFont="1" applyBorder="1" applyAlignment="1">
      <alignment horizontal="center" vertical="center"/>
    </xf>
    <xf numFmtId="0" fontId="28" fillId="6" borderId="75" xfId="0" applyFont="1" applyBorder="1" applyAlignment="1">
      <alignment horizontal="center" vertical="center" wrapText="1"/>
    </xf>
    <xf numFmtId="0" fontId="28" fillId="6" borderId="72" xfId="0" applyFont="1" applyBorder="1" applyAlignment="1">
      <alignment horizontal="center" vertical="center" wrapText="1"/>
    </xf>
    <xf numFmtId="0" fontId="0" fillId="6" borderId="49" xfId="0" applyBorder="1" applyAlignment="1">
      <alignment horizontal="center" vertical="center" wrapText="1"/>
    </xf>
    <xf numFmtId="0" fontId="0" fillId="6" borderId="44" xfId="0" applyBorder="1" applyAlignment="1">
      <alignment horizontal="center" vertical="center" wrapText="1"/>
    </xf>
    <xf numFmtId="0" fontId="65" fillId="53" borderId="51" xfId="144" applyBorder="1" applyAlignment="1">
      <alignment horizontal="center" vertical="center"/>
    </xf>
    <xf numFmtId="0" fontId="65" fillId="53" borderId="52" xfId="144" applyBorder="1" applyAlignment="1">
      <alignment horizontal="center" vertical="center"/>
    </xf>
    <xf numFmtId="0" fontId="65" fillId="53" borderId="16" xfId="144" applyBorder="1" applyAlignment="1">
      <alignment horizontal="center" vertical="center"/>
    </xf>
    <xf numFmtId="0" fontId="28" fillId="6" borderId="50" xfId="0" applyFont="1" applyBorder="1" applyAlignment="1">
      <alignment horizontal="center" vertical="center" wrapText="1"/>
    </xf>
    <xf numFmtId="0" fontId="0" fillId="6" borderId="42" xfId="0" applyBorder="1" applyAlignment="1">
      <alignment horizontal="center" vertical="center" wrapText="1"/>
    </xf>
    <xf numFmtId="0" fontId="65" fillId="53" borderId="53" xfId="144" applyBorder="1" applyAlignment="1">
      <alignment horizontal="center" vertical="center"/>
    </xf>
    <xf numFmtId="0" fontId="65" fillId="53" borderId="17" xfId="144" applyBorder="1" applyAlignment="1">
      <alignment horizontal="center" vertical="center"/>
    </xf>
    <xf numFmtId="0" fontId="26" fillId="41" borderId="19" xfId="18" applyFont="1" applyBorder="1" applyAlignment="1">
      <alignment horizontal="center" vertical="center" wrapText="1"/>
      <protection locked="0"/>
    </xf>
    <xf numFmtId="0" fontId="33" fillId="6" borderId="41" xfId="116" applyBorder="1" applyAlignment="1">
      <alignment horizontal="left" vertical="center" wrapText="1"/>
    </xf>
    <xf numFmtId="0" fontId="33" fillId="6" borderId="0" xfId="116" applyAlignment="1">
      <alignment horizontal="left" vertical="center" wrapText="1"/>
    </xf>
    <xf numFmtId="0" fontId="33" fillId="6" borderId="41" xfId="116" applyBorder="1" applyAlignment="1">
      <alignment horizontal="left" vertical="top" wrapText="1"/>
    </xf>
    <xf numFmtId="0" fontId="33" fillId="6" borderId="0" xfId="116" applyAlignment="1">
      <alignment horizontal="left" vertical="top" wrapText="1"/>
    </xf>
    <xf numFmtId="0" fontId="77" fillId="2" borderId="0" xfId="0" applyFont="1" applyFill="1" applyAlignment="1">
      <alignment horizontal="left" vertical="top" wrapText="1"/>
    </xf>
    <xf numFmtId="0" fontId="77" fillId="2" borderId="54" xfId="0" applyFont="1" applyFill="1" applyBorder="1" applyAlignment="1">
      <alignment horizontal="left" vertical="center" wrapText="1"/>
    </xf>
    <xf numFmtId="0" fontId="77" fillId="2" borderId="71" xfId="0" applyFont="1" applyFill="1" applyBorder="1" applyAlignment="1">
      <alignment horizontal="left" vertical="center" wrapText="1"/>
    </xf>
    <xf numFmtId="0" fontId="0" fillId="2" borderId="71" xfId="0" applyFill="1" applyBorder="1" applyAlignment="1">
      <alignment vertical="center" wrapText="1"/>
    </xf>
    <xf numFmtId="0" fontId="49" fillId="6" borderId="50" xfId="0" applyFont="1" applyBorder="1" applyAlignment="1">
      <alignment horizontal="center" vertical="center" wrapText="1"/>
    </xf>
    <xf numFmtId="0" fontId="49" fillId="6" borderId="73" xfId="0" applyFont="1" applyBorder="1" applyAlignment="1">
      <alignment horizontal="center" vertical="center" wrapText="1"/>
    </xf>
    <xf numFmtId="0" fontId="49" fillId="6" borderId="75" xfId="0" applyFont="1" applyBorder="1" applyAlignment="1">
      <alignment horizontal="center" vertical="center" wrapText="1"/>
    </xf>
    <xf numFmtId="0" fontId="49" fillId="48" borderId="54" xfId="0" applyFont="1" applyFill="1" applyBorder="1" applyAlignment="1">
      <alignment horizontal="center" vertical="center"/>
    </xf>
    <xf numFmtId="0" fontId="49" fillId="48" borderId="71" xfId="0" applyFont="1" applyFill="1" applyBorder="1" applyAlignment="1">
      <alignment horizontal="center" vertical="center"/>
    </xf>
    <xf numFmtId="0" fontId="49" fillId="48" borderId="59" xfId="0" applyFont="1" applyFill="1" applyBorder="1" applyAlignment="1">
      <alignment horizontal="center" vertical="center"/>
    </xf>
    <xf numFmtId="0" fontId="49" fillId="48" borderId="49" xfId="0" applyFont="1" applyFill="1" applyBorder="1" applyAlignment="1">
      <alignment horizontal="center" vertical="center"/>
    </xf>
    <xf numFmtId="0" fontId="49" fillId="48" borderId="44" xfId="0" applyFont="1" applyFill="1" applyBorder="1" applyAlignment="1">
      <alignment horizontal="center" vertical="center"/>
    </xf>
    <xf numFmtId="0" fontId="49" fillId="48" borderId="42" xfId="0" applyFont="1" applyFill="1" applyBorder="1" applyAlignment="1">
      <alignment horizontal="center" vertical="center"/>
    </xf>
    <xf numFmtId="0" fontId="49" fillId="48" borderId="75" xfId="0" applyFont="1" applyFill="1" applyBorder="1" applyAlignment="1">
      <alignment horizontal="center" vertical="center"/>
    </xf>
    <xf numFmtId="0" fontId="49" fillId="48" borderId="72" xfId="0" applyFont="1" applyFill="1" applyBorder="1" applyAlignment="1">
      <alignment horizontal="center" vertical="center"/>
    </xf>
    <xf numFmtId="0" fontId="49" fillId="48" borderId="50" xfId="0" applyFont="1" applyFill="1" applyBorder="1" applyAlignment="1">
      <alignment horizontal="center" vertical="center"/>
    </xf>
    <xf numFmtId="0" fontId="49" fillId="6" borderId="75" xfId="0" applyFont="1" applyBorder="1" applyAlignment="1">
      <alignment horizontal="center" wrapText="1"/>
    </xf>
    <xf numFmtId="0" fontId="49" fillId="6" borderId="50" xfId="0" applyFont="1" applyBorder="1" applyAlignment="1">
      <alignment horizontal="center" wrapText="1"/>
    </xf>
    <xf numFmtId="0" fontId="49" fillId="52" borderId="73" xfId="0" applyFont="1" applyFill="1" applyBorder="1" applyAlignment="1">
      <alignment horizontal="center" vertical="center"/>
    </xf>
    <xf numFmtId="0" fontId="49" fillId="52" borderId="75" xfId="0" applyFont="1" applyFill="1" applyBorder="1" applyAlignment="1">
      <alignment horizontal="center" vertical="center"/>
    </xf>
    <xf numFmtId="0" fontId="49" fillId="41" borderId="73" xfId="0" applyFont="1" applyFill="1" applyBorder="1" applyAlignment="1">
      <alignment horizontal="center" vertical="center"/>
    </xf>
    <xf numFmtId="0" fontId="49" fillId="41" borderId="75" xfId="0" applyFont="1" applyFill="1" applyBorder="1" applyAlignment="1">
      <alignment horizontal="center" vertical="center"/>
    </xf>
    <xf numFmtId="0" fontId="49" fillId="6" borderId="72" xfId="5" applyFont="1" applyBorder="1" applyAlignment="1">
      <alignment horizontal="center" vertical="center" wrapText="1"/>
    </xf>
    <xf numFmtId="0" fontId="49" fillId="6" borderId="50" xfId="5" applyFont="1" applyBorder="1" applyAlignment="1">
      <alignment horizontal="center" vertical="center" wrapText="1"/>
    </xf>
    <xf numFmtId="0" fontId="49" fillId="2" borderId="50" xfId="0" applyFont="1" applyFill="1" applyBorder="1" applyAlignment="1">
      <alignment horizontal="center" vertical="center"/>
    </xf>
    <xf numFmtId="0" fontId="49" fillId="2" borderId="73" xfId="0" applyFont="1" applyFill="1" applyBorder="1" applyAlignment="1">
      <alignment horizontal="center" vertical="center"/>
    </xf>
    <xf numFmtId="0" fontId="49" fillId="2" borderId="73" xfId="0" applyFont="1" applyFill="1" applyBorder="1" applyAlignment="1">
      <alignment horizontal="center" vertical="center" wrapText="1"/>
    </xf>
    <xf numFmtId="0" fontId="49" fillId="2" borderId="75" xfId="0" applyFont="1" applyFill="1" applyBorder="1" applyAlignment="1">
      <alignment horizontal="center" vertical="center" wrapText="1"/>
    </xf>
    <xf numFmtId="0" fontId="49" fillId="50" borderId="60" xfId="0" applyFont="1" applyFill="1" applyBorder="1" applyAlignment="1">
      <alignment horizontal="center" vertical="center"/>
    </xf>
    <xf numFmtId="0" fontId="49" fillId="50" borderId="54" xfId="0" applyFont="1" applyFill="1" applyBorder="1" applyAlignment="1">
      <alignment horizontal="center" vertical="center"/>
    </xf>
    <xf numFmtId="0" fontId="49" fillId="50" borderId="48" xfId="0" applyFont="1" applyFill="1" applyBorder="1" applyAlignment="1">
      <alignment horizontal="center" vertical="center"/>
    </xf>
    <xf numFmtId="0" fontId="49" fillId="50" borderId="49" xfId="0" applyFont="1" applyFill="1" applyBorder="1" applyAlignment="1">
      <alignment horizontal="center" vertical="center"/>
    </xf>
    <xf numFmtId="0" fontId="27" fillId="6" borderId="71" xfId="0" applyFont="1" applyBorder="1" applyAlignment="1">
      <alignment horizontal="center" vertical="center"/>
    </xf>
    <xf numFmtId="0" fontId="27" fillId="6" borderId="0" xfId="0" applyFont="1" applyAlignment="1">
      <alignment horizontal="center" vertical="center"/>
    </xf>
    <xf numFmtId="0" fontId="27" fillId="6" borderId="44" xfId="0" applyFont="1" applyBorder="1" applyAlignment="1">
      <alignment horizontal="center" vertical="center"/>
    </xf>
    <xf numFmtId="0" fontId="49" fillId="49" borderId="50" xfId="0" applyFont="1" applyFill="1" applyBorder="1" applyAlignment="1">
      <alignment horizontal="center" vertical="center"/>
    </xf>
    <xf numFmtId="0" fontId="49" fillId="49" borderId="73" xfId="0" applyFont="1" applyFill="1" applyBorder="1" applyAlignment="1">
      <alignment horizontal="center" vertical="center"/>
    </xf>
    <xf numFmtId="0" fontId="49" fillId="50" borderId="71" xfId="0" applyFont="1" applyFill="1" applyBorder="1" applyAlignment="1">
      <alignment horizontal="center" vertical="center"/>
    </xf>
    <xf numFmtId="0" fontId="49" fillId="50" borderId="44" xfId="0" applyFont="1" applyFill="1" applyBorder="1" applyAlignment="1">
      <alignment horizontal="center" vertical="center"/>
    </xf>
    <xf numFmtId="0" fontId="49" fillId="52" borderId="72" xfId="0" applyFont="1" applyFill="1" applyBorder="1" applyAlignment="1">
      <alignment horizontal="center" vertical="center"/>
    </xf>
    <xf numFmtId="0" fontId="49" fillId="52" borderId="50" xfId="0" applyFont="1" applyFill="1" applyBorder="1" applyAlignment="1">
      <alignment horizontal="center" vertical="center"/>
    </xf>
    <xf numFmtId="0" fontId="49" fillId="6" borderId="73" xfId="0" applyFont="1" applyBorder="1" applyAlignment="1">
      <alignment horizontal="center" wrapText="1"/>
    </xf>
    <xf numFmtId="0" fontId="49" fillId="6" borderId="50" xfId="5" applyFont="1" applyBorder="1" applyAlignment="1">
      <alignment horizontal="center" wrapText="1"/>
    </xf>
    <xf numFmtId="0" fontId="49" fillId="6" borderId="73" xfId="5" applyFont="1" applyBorder="1" applyAlignment="1">
      <alignment horizontal="center" wrapText="1"/>
    </xf>
    <xf numFmtId="0" fontId="49" fillId="49" borderId="59" xfId="0" applyFont="1" applyFill="1" applyBorder="1" applyAlignment="1">
      <alignment horizontal="center" vertical="center" wrapText="1"/>
    </xf>
    <xf numFmtId="0" fontId="49" fillId="49" borderId="60" xfId="0" applyFont="1" applyFill="1" applyBorder="1" applyAlignment="1">
      <alignment horizontal="center" vertical="center" wrapText="1"/>
    </xf>
    <xf numFmtId="0" fontId="49" fillId="49" borderId="42" xfId="0" applyFont="1" applyFill="1" applyBorder="1" applyAlignment="1">
      <alignment horizontal="center" vertical="center" wrapText="1"/>
    </xf>
    <xf numFmtId="0" fontId="49" fillId="49" borderId="48" xfId="0" applyFont="1" applyFill="1" applyBorder="1" applyAlignment="1">
      <alignment horizontal="center" vertical="center" wrapText="1"/>
    </xf>
    <xf numFmtId="0" fontId="49" fillId="48" borderId="73" xfId="0" applyFont="1" applyFill="1" applyBorder="1" applyAlignment="1">
      <alignment horizontal="center" vertical="center"/>
    </xf>
    <xf numFmtId="0" fontId="49" fillId="48" borderId="60" xfId="0" applyFont="1" applyFill="1" applyBorder="1" applyAlignment="1">
      <alignment horizontal="center" vertical="center"/>
    </xf>
    <xf numFmtId="0" fontId="49" fillId="48" borderId="48" xfId="0" applyFont="1" applyFill="1" applyBorder="1" applyAlignment="1">
      <alignment horizontal="center" vertical="center"/>
    </xf>
    <xf numFmtId="0" fontId="49" fillId="41" borderId="50" xfId="0" applyFont="1" applyFill="1" applyBorder="1" applyAlignment="1">
      <alignment horizontal="center" vertical="center"/>
    </xf>
    <xf numFmtId="0" fontId="28" fillId="6" borderId="73" xfId="0" applyFont="1" applyBorder="1" applyAlignment="1">
      <alignment horizontal="center" vertical="center" wrapText="1"/>
    </xf>
    <xf numFmtId="0" fontId="28" fillId="6" borderId="71" xfId="5" applyBorder="1" applyAlignment="1">
      <alignment horizontal="center" vertical="center" wrapText="1"/>
    </xf>
    <xf numFmtId="0" fontId="28" fillId="6" borderId="44" xfId="5" applyBorder="1" applyAlignment="1">
      <alignment horizontal="center" vertical="center" wrapText="1"/>
    </xf>
    <xf numFmtId="0" fontId="28" fillId="6" borderId="72" xfId="5" applyBorder="1" applyAlignment="1">
      <alignment horizontal="center" vertical="center" wrapText="1"/>
    </xf>
    <xf numFmtId="0" fontId="28" fillId="6" borderId="71" xfId="0" applyFont="1" applyBorder="1" applyAlignment="1">
      <alignment horizontal="center" vertical="center" wrapText="1"/>
    </xf>
    <xf numFmtId="0" fontId="28" fillId="6" borderId="44" xfId="0" applyFont="1" applyBorder="1" applyAlignment="1">
      <alignment horizontal="center" vertical="center" wrapText="1"/>
    </xf>
    <xf numFmtId="0" fontId="28" fillId="6" borderId="52" xfId="0" applyFont="1" applyBorder="1" applyAlignment="1">
      <alignment horizontal="left" vertical="center"/>
    </xf>
    <xf numFmtId="0" fontId="28" fillId="6" borderId="24" xfId="0" applyFont="1" applyBorder="1" applyAlignment="1">
      <alignment horizontal="left" vertical="center"/>
    </xf>
    <xf numFmtId="0" fontId="28" fillId="6" borderId="52" xfId="0" applyFont="1" applyBorder="1" applyAlignment="1">
      <alignment horizontal="center" vertical="center"/>
    </xf>
    <xf numFmtId="0" fontId="28" fillId="6" borderId="19" xfId="0" applyFont="1" applyBorder="1" applyAlignment="1">
      <alignment horizontal="center" vertical="center"/>
    </xf>
    <xf numFmtId="0" fontId="0" fillId="2" borderId="0" xfId="0" applyFill="1">
      <alignment vertical="center"/>
    </xf>
    <xf numFmtId="0" fontId="0" fillId="6" borderId="75" xfId="0" applyBorder="1" applyAlignment="1">
      <alignment horizontal="center" vertical="center"/>
    </xf>
    <xf numFmtId="0" fontId="0" fillId="6" borderId="72" xfId="0" applyBorder="1" applyAlignment="1">
      <alignment horizontal="center" vertical="center"/>
    </xf>
    <xf numFmtId="0" fontId="0" fillId="6" borderId="21" xfId="0" applyBorder="1" applyAlignment="1">
      <alignment horizontal="left" vertical="top" wrapText="1" indent="5"/>
    </xf>
    <xf numFmtId="0" fontId="26" fillId="6" borderId="18" xfId="0" applyFont="1" applyBorder="1" applyAlignment="1">
      <alignment horizontal="left" vertical="top" wrapText="1" indent="5"/>
    </xf>
    <xf numFmtId="0" fontId="29" fillId="6" borderId="20" xfId="83" applyFont="1" applyFill="1" applyBorder="1" applyAlignment="1">
      <alignment horizontal="left" vertical="center"/>
    </xf>
    <xf numFmtId="0" fontId="29" fillId="6" borderId="19" xfId="83" applyFont="1" applyFill="1" applyBorder="1" applyAlignment="1">
      <alignment horizontal="left" vertical="center"/>
    </xf>
    <xf numFmtId="0" fontId="0" fillId="2" borderId="21" xfId="0" applyFill="1" applyBorder="1" applyAlignment="1">
      <alignment horizontal="left" vertical="center" wrapText="1" indent="1"/>
    </xf>
    <xf numFmtId="0" fontId="0" fillId="2" borderId="18" xfId="0" applyFill="1" applyBorder="1" applyAlignment="1">
      <alignment horizontal="left" vertical="center" wrapText="1" indent="1"/>
    </xf>
    <xf numFmtId="0" fontId="0" fillId="2" borderId="16" xfId="0" applyFill="1" applyBorder="1" applyAlignment="1">
      <alignment horizontal="left" vertical="center" wrapText="1" indent="1"/>
    </xf>
    <xf numFmtId="0" fontId="26" fillId="43" borderId="72" xfId="9" applyFont="1" applyBorder="1" applyAlignment="1">
      <alignment horizontal="left" vertical="center"/>
    </xf>
    <xf numFmtId="0" fontId="26" fillId="43" borderId="50" xfId="9" applyFont="1" applyBorder="1" applyAlignment="1">
      <alignment horizontal="left" vertical="center"/>
    </xf>
    <xf numFmtId="0" fontId="28" fillId="2" borderId="74" xfId="0" applyFont="1" applyFill="1" applyBorder="1" applyAlignment="1">
      <alignment horizontal="center" vertical="center"/>
    </xf>
    <xf numFmtId="0" fontId="28" fillId="2" borderId="72" xfId="0" applyFont="1" applyFill="1" applyBorder="1" applyAlignment="1">
      <alignment horizontal="center" vertical="center"/>
    </xf>
    <xf numFmtId="0" fontId="28" fillId="2" borderId="58" xfId="0" applyFont="1" applyFill="1" applyBorder="1" applyAlignment="1">
      <alignment horizontal="center" vertical="center"/>
    </xf>
    <xf numFmtId="0" fontId="28" fillId="6" borderId="73" xfId="5" applyBorder="1" applyAlignment="1">
      <alignment horizontal="center" wrapText="1"/>
    </xf>
    <xf numFmtId="0" fontId="28" fillId="6" borderId="113" xfId="5" applyBorder="1" applyAlignment="1">
      <alignment horizontal="center" wrapText="1"/>
    </xf>
    <xf numFmtId="0" fontId="32" fillId="2" borderId="26" xfId="0" applyFont="1" applyFill="1" applyBorder="1" applyAlignment="1">
      <alignment horizontal="center" vertical="center" wrapText="1"/>
    </xf>
    <xf numFmtId="0" fontId="32" fillId="2" borderId="32" xfId="0" applyFont="1" applyFill="1" applyBorder="1" applyAlignment="1">
      <alignment horizontal="center" vertical="center" wrapText="1"/>
    </xf>
    <xf numFmtId="0" fontId="32" fillId="2" borderId="23" xfId="0" applyFont="1" applyFill="1" applyBorder="1" applyAlignment="1">
      <alignment horizontal="center" vertical="center" wrapText="1"/>
    </xf>
    <xf numFmtId="0" fontId="28" fillId="2" borderId="59" xfId="5" applyFill="1" applyBorder="1" applyAlignment="1">
      <alignment horizontal="center" vertical="center" wrapText="1"/>
    </xf>
    <xf numFmtId="0" fontId="28" fillId="2" borderId="42" xfId="5" applyFill="1" applyBorder="1" applyAlignment="1">
      <alignment horizontal="center" vertical="center" wrapText="1"/>
    </xf>
    <xf numFmtId="0" fontId="0" fillId="2" borderId="71" xfId="0" applyFill="1" applyBorder="1" applyAlignment="1">
      <alignment horizontal="center" vertical="center"/>
    </xf>
    <xf numFmtId="0" fontId="0" fillId="2" borderId="44" xfId="0" applyFill="1" applyBorder="1" applyAlignment="1">
      <alignment horizontal="center" vertical="center"/>
    </xf>
    <xf numFmtId="0" fontId="28" fillId="6" borderId="75" xfId="148" applyBorder="1" applyAlignment="1">
      <alignment horizontal="center" wrapText="1"/>
    </xf>
    <xf numFmtId="0" fontId="28" fillId="6" borderId="72" xfId="148" applyBorder="1" applyAlignment="1">
      <alignment horizontal="center" wrapText="1"/>
    </xf>
    <xf numFmtId="0" fontId="28" fillId="6" borderId="58" xfId="148" applyBorder="1" applyAlignment="1">
      <alignment horizontal="center" wrapText="1"/>
    </xf>
    <xf numFmtId="0" fontId="30" fillId="49" borderId="74" xfId="0" applyFont="1" applyFill="1" applyBorder="1" applyAlignment="1">
      <alignment horizontal="center" vertical="center" wrapText="1"/>
    </xf>
    <xf numFmtId="0" fontId="30" fillId="49" borderId="72" xfId="0" applyFont="1" applyFill="1" applyBorder="1" applyAlignment="1">
      <alignment horizontal="center" vertical="center" wrapText="1"/>
    </xf>
    <xf numFmtId="0" fontId="28" fillId="6" borderId="112" xfId="0" applyFont="1" applyBorder="1" applyAlignment="1">
      <alignment horizontal="center" vertical="center" wrapText="1"/>
    </xf>
    <xf numFmtId="0" fontId="60" fillId="6" borderId="54" xfId="0" applyFont="1" applyBorder="1" applyAlignment="1">
      <alignment horizontal="center" vertical="center" wrapText="1"/>
    </xf>
    <xf numFmtId="0" fontId="60" fillId="6" borderId="59" xfId="0" applyFont="1" applyBorder="1" applyAlignment="1">
      <alignment horizontal="center" vertical="center" wrapText="1"/>
    </xf>
    <xf numFmtId="0" fontId="60" fillId="6" borderId="49" xfId="0" applyFont="1" applyBorder="1" applyAlignment="1">
      <alignment horizontal="center" vertical="center" wrapText="1"/>
    </xf>
    <xf numFmtId="0" fontId="60" fillId="6" borderId="42" xfId="0" applyFont="1" applyBorder="1" applyAlignment="1">
      <alignment horizontal="center" vertical="center" wrapText="1"/>
    </xf>
    <xf numFmtId="0" fontId="41" fillId="41" borderId="75" xfId="0" applyFont="1" applyFill="1" applyBorder="1" applyAlignment="1">
      <alignment horizontal="center" vertical="center" wrapText="1"/>
    </xf>
    <xf numFmtId="0" fontId="41" fillId="41" borderId="50" xfId="0" applyFont="1" applyFill="1" applyBorder="1" applyAlignment="1">
      <alignment horizontal="center" vertical="center" wrapText="1"/>
    </xf>
    <xf numFmtId="0" fontId="28" fillId="6" borderId="54" xfId="0" applyFont="1" applyBorder="1" applyAlignment="1">
      <alignment horizontal="center" vertical="center" wrapText="1"/>
    </xf>
    <xf numFmtId="0" fontId="28" fillId="6" borderId="49" xfId="0" applyFont="1" applyBorder="1" applyAlignment="1">
      <alignment horizontal="center" vertical="center" wrapText="1"/>
    </xf>
    <xf numFmtId="0" fontId="41" fillId="50" borderId="75" xfId="0" applyFont="1" applyFill="1" applyBorder="1" applyAlignment="1">
      <alignment horizontal="center" vertical="center" wrapText="1"/>
    </xf>
    <xf numFmtId="0" fontId="41" fillId="50" borderId="72" xfId="0" applyFont="1" applyFill="1" applyBorder="1" applyAlignment="1">
      <alignment horizontal="center" vertical="center" wrapText="1"/>
    </xf>
    <xf numFmtId="0" fontId="28" fillId="48" borderId="75" xfId="0" applyFont="1" applyFill="1" applyBorder="1" applyAlignment="1">
      <alignment horizontal="center" vertical="center" wrapText="1"/>
    </xf>
    <xf numFmtId="0" fontId="28" fillId="48" borderId="72" xfId="0" applyFont="1" applyFill="1" applyBorder="1" applyAlignment="1">
      <alignment horizontal="center" vertical="center" wrapText="1"/>
    </xf>
    <xf numFmtId="0" fontId="28" fillId="48" borderId="50" xfId="0" applyFont="1" applyFill="1" applyBorder="1" applyAlignment="1">
      <alignment horizontal="center" vertical="center" wrapText="1"/>
    </xf>
    <xf numFmtId="0" fontId="28" fillId="6" borderId="60" xfId="0" applyFont="1" applyBorder="1" applyAlignment="1">
      <alignment horizontal="center" vertical="center" wrapText="1"/>
    </xf>
    <xf numFmtId="0" fontId="28" fillId="6" borderId="48" xfId="0" applyFont="1" applyBorder="1" applyAlignment="1">
      <alignment horizontal="center" vertical="center" wrapText="1"/>
    </xf>
    <xf numFmtId="0" fontId="41" fillId="6" borderId="75" xfId="0" applyFont="1" applyBorder="1" applyAlignment="1">
      <alignment horizontal="center" vertical="center" wrapText="1"/>
    </xf>
    <xf numFmtId="0" fontId="41" fillId="6" borderId="72" xfId="0" applyFont="1" applyBorder="1" applyAlignment="1">
      <alignment horizontal="center" vertical="center" wrapText="1"/>
    </xf>
    <xf numFmtId="0" fontId="41" fillId="6" borderId="50" xfId="0" applyFont="1" applyBorder="1" applyAlignment="1">
      <alignment horizontal="center" vertical="center" wrapText="1"/>
    </xf>
    <xf numFmtId="0" fontId="28" fillId="6" borderId="28" xfId="0" applyFont="1" applyBorder="1" applyAlignment="1">
      <alignment horizontal="center" vertical="center" wrapText="1"/>
    </xf>
    <xf numFmtId="0" fontId="29" fillId="0" borderId="60" xfId="83" applyFont="1" applyBorder="1" applyAlignment="1">
      <alignment horizontal="center" vertical="center" wrapText="1"/>
    </xf>
    <xf numFmtId="0" fontId="29" fillId="0" borderId="28" xfId="83" applyFont="1" applyBorder="1" applyAlignment="1">
      <alignment horizontal="center" vertical="center" wrapText="1"/>
    </xf>
    <xf numFmtId="0" fontId="29" fillId="0" borderId="48" xfId="83" applyFont="1" applyBorder="1" applyAlignment="1">
      <alignment horizontal="center" vertical="center" wrapText="1"/>
    </xf>
    <xf numFmtId="0" fontId="41" fillId="6" borderId="60" xfId="0" applyFont="1" applyBorder="1" applyAlignment="1">
      <alignment horizontal="center" vertical="center" wrapText="1"/>
    </xf>
    <xf numFmtId="0" fontId="41" fillId="6" borderId="48" xfId="0" applyFont="1" applyBorder="1" applyAlignment="1">
      <alignment horizontal="center" vertical="center" wrapText="1"/>
    </xf>
    <xf numFmtId="0" fontId="55" fillId="49" borderId="50" xfId="0" applyFont="1" applyFill="1" applyBorder="1" applyAlignment="1">
      <alignment horizontal="center"/>
    </xf>
    <xf numFmtId="0" fontId="55" fillId="49" borderId="73" xfId="0" applyFont="1" applyFill="1" applyBorder="1" applyAlignment="1">
      <alignment horizontal="center"/>
    </xf>
    <xf numFmtId="0" fontId="55" fillId="49" borderId="75" xfId="0" applyFont="1" applyFill="1" applyBorder="1" applyAlignment="1">
      <alignment horizontal="center"/>
    </xf>
    <xf numFmtId="0" fontId="28" fillId="6" borderId="29" xfId="0" applyFont="1" applyBorder="1" applyAlignment="1">
      <alignment horizontal="center" vertical="center" wrapText="1"/>
    </xf>
    <xf numFmtId="0" fontId="41" fillId="6" borderId="0" xfId="0" applyFont="1" applyAlignment="1">
      <alignment horizontal="center" vertical="center" wrapText="1"/>
    </xf>
    <xf numFmtId="0" fontId="41" fillId="6" borderId="32" xfId="0" applyFont="1" applyBorder="1" applyAlignment="1">
      <alignment horizontal="center" vertical="center" wrapText="1"/>
    </xf>
    <xf numFmtId="0" fontId="28" fillId="49" borderId="75" xfId="0" applyFont="1" applyFill="1" applyBorder="1" applyAlignment="1">
      <alignment horizontal="center" vertical="center" wrapText="1"/>
    </xf>
    <xf numFmtId="0" fontId="28" fillId="49" borderId="72" xfId="0" applyFont="1" applyFill="1" applyBorder="1" applyAlignment="1">
      <alignment horizontal="center" vertical="center" wrapText="1"/>
    </xf>
    <xf numFmtId="0" fontId="28" fillId="49" borderId="50" xfId="0" applyFont="1" applyFill="1" applyBorder="1" applyAlignment="1">
      <alignment horizontal="center" vertical="center" wrapText="1"/>
    </xf>
    <xf numFmtId="0" fontId="41" fillId="6" borderId="75" xfId="0" applyFont="1" applyBorder="1" applyAlignment="1">
      <alignment horizontal="center" vertical="center"/>
    </xf>
    <xf numFmtId="0" fontId="41" fillId="6" borderId="50" xfId="0" applyFont="1" applyBorder="1" applyAlignment="1">
      <alignment horizontal="center" vertical="center"/>
    </xf>
    <xf numFmtId="0" fontId="28" fillId="6" borderId="42" xfId="0" applyFont="1" applyBorder="1" applyAlignment="1">
      <alignment horizontal="center" vertical="center" wrapText="1"/>
    </xf>
    <xf numFmtId="0" fontId="28" fillId="6" borderId="120" xfId="0" applyFont="1" applyBorder="1" applyAlignment="1">
      <alignment horizontal="center" vertical="center" wrapText="1"/>
    </xf>
    <xf numFmtId="0" fontId="28" fillId="6" borderId="74" xfId="0" applyFont="1" applyBorder="1" applyAlignment="1">
      <alignment horizontal="center" vertical="center" wrapText="1"/>
    </xf>
    <xf numFmtId="0" fontId="60" fillId="6" borderId="75" xfId="0" applyFont="1" applyBorder="1" applyAlignment="1">
      <alignment horizontal="center" vertical="center" wrapText="1"/>
    </xf>
    <xf numFmtId="0" fontId="60" fillId="6" borderId="72" xfId="0" applyFont="1" applyBorder="1" applyAlignment="1">
      <alignment horizontal="center" vertical="center" wrapText="1"/>
    </xf>
    <xf numFmtId="0" fontId="60" fillId="6" borderId="58" xfId="0" applyFont="1" applyBorder="1" applyAlignment="1">
      <alignment horizontal="center" vertical="center" wrapText="1"/>
    </xf>
    <xf numFmtId="0" fontId="28" fillId="6" borderId="62" xfId="0" applyFont="1" applyBorder="1" applyAlignment="1">
      <alignment horizontal="center" vertical="center" wrapText="1"/>
    </xf>
    <xf numFmtId="0" fontId="28" fillId="6" borderId="47" xfId="0" applyFont="1" applyBorder="1" applyAlignment="1">
      <alignment horizontal="center" vertical="center" wrapText="1"/>
    </xf>
    <xf numFmtId="0" fontId="28" fillId="6" borderId="63" xfId="0" applyFont="1" applyBorder="1" applyAlignment="1">
      <alignment horizontal="center" vertical="center" wrapText="1"/>
    </xf>
    <xf numFmtId="0" fontId="28" fillId="49" borderId="120" xfId="0" applyFont="1" applyFill="1" applyBorder="1" applyAlignment="1">
      <alignment horizontal="center" vertical="center"/>
    </xf>
    <xf numFmtId="0" fontId="28" fillId="48" borderId="120" xfId="0" applyFont="1" applyFill="1" applyBorder="1" applyAlignment="1">
      <alignment horizontal="center" vertical="center" wrapText="1"/>
    </xf>
    <xf numFmtId="0" fontId="28" fillId="58" borderId="74" xfId="0" applyFont="1" applyFill="1" applyBorder="1" applyAlignment="1">
      <alignment horizontal="center" vertical="center" wrapText="1"/>
    </xf>
    <xf numFmtId="0" fontId="28" fillId="58" borderId="72" xfId="0" applyFont="1" applyFill="1" applyBorder="1" applyAlignment="1">
      <alignment horizontal="center" vertical="center" wrapText="1"/>
    </xf>
    <xf numFmtId="0" fontId="28" fillId="58" borderId="58" xfId="0" applyFont="1" applyFill="1" applyBorder="1" applyAlignment="1">
      <alignment horizontal="center" vertical="center" wrapText="1"/>
    </xf>
    <xf numFmtId="0" fontId="41" fillId="50" borderId="74" xfId="0" applyFont="1" applyFill="1" applyBorder="1" applyAlignment="1">
      <alignment horizontal="center" vertical="center" wrapText="1"/>
    </xf>
    <xf numFmtId="0" fontId="41" fillId="50" borderId="58" xfId="0" applyFont="1" applyFill="1" applyBorder="1" applyAlignment="1">
      <alignment horizontal="center" vertical="center" wrapText="1"/>
    </xf>
    <xf numFmtId="0" fontId="28" fillId="6" borderId="127" xfId="0" applyFont="1" applyBorder="1" applyAlignment="1">
      <alignment horizontal="center" vertical="center" wrapText="1"/>
    </xf>
    <xf numFmtId="0" fontId="28" fillId="6" borderId="128" xfId="0" applyFont="1" applyBorder="1" applyAlignment="1">
      <alignment horizontal="center" vertical="center" wrapText="1"/>
    </xf>
    <xf numFmtId="0" fontId="28" fillId="6" borderId="120" xfId="0" applyFont="1" applyBorder="1" applyAlignment="1">
      <alignment horizontal="center" vertical="center"/>
    </xf>
    <xf numFmtId="0" fontId="28" fillId="6" borderId="77" xfId="0" applyFont="1" applyBorder="1" applyAlignment="1">
      <alignment horizontal="center" vertical="center" wrapText="1"/>
    </xf>
    <xf numFmtId="0" fontId="28" fillId="6" borderId="88" xfId="0" applyFont="1" applyBorder="1" applyAlignment="1">
      <alignment horizontal="center" vertical="center" wrapText="1"/>
    </xf>
    <xf numFmtId="0" fontId="28" fillId="6" borderId="58" xfId="0" applyFont="1" applyBorder="1" applyAlignment="1">
      <alignment horizontal="center" vertical="center" wrapText="1"/>
    </xf>
    <xf numFmtId="0" fontId="28" fillId="49" borderId="120" xfId="0" applyFont="1" applyFill="1" applyBorder="1" applyAlignment="1">
      <alignment horizontal="center" vertical="center" wrapText="1"/>
    </xf>
    <xf numFmtId="0" fontId="28" fillId="60" borderId="120" xfId="0" applyFont="1" applyFill="1" applyBorder="1" applyAlignment="1">
      <alignment horizontal="center" vertical="center" wrapText="1"/>
    </xf>
    <xf numFmtId="0" fontId="28" fillId="50" borderId="120" xfId="0" applyFont="1" applyFill="1" applyBorder="1" applyAlignment="1">
      <alignment horizontal="center" vertical="center" wrapText="1"/>
    </xf>
    <xf numFmtId="0" fontId="30" fillId="49" borderId="120" xfId="0" applyFont="1" applyFill="1" applyBorder="1" applyAlignment="1">
      <alignment horizontal="center" vertical="center" wrapText="1"/>
    </xf>
    <xf numFmtId="0" fontId="28" fillId="58" borderId="120" xfId="0" applyFont="1" applyFill="1" applyBorder="1" applyAlignment="1">
      <alignment horizontal="center" vertical="center" wrapText="1"/>
    </xf>
    <xf numFmtId="0" fontId="28" fillId="6" borderId="59" xfId="0" applyFont="1" applyBorder="1" applyAlignment="1">
      <alignment horizontal="center" vertical="center" wrapText="1"/>
    </xf>
    <xf numFmtId="0" fontId="28" fillId="52" borderId="120" xfId="0" applyFont="1" applyFill="1" applyBorder="1" applyAlignment="1">
      <alignment horizontal="center" vertical="center" wrapText="1"/>
    </xf>
    <xf numFmtId="0" fontId="41" fillId="6" borderId="72" xfId="0" applyFont="1" applyBorder="1" applyAlignment="1">
      <alignment horizontal="center" vertical="center"/>
    </xf>
    <xf numFmtId="0" fontId="55" fillId="41" borderId="75" xfId="0" applyFont="1" applyFill="1" applyBorder="1" applyAlignment="1">
      <alignment horizontal="center" vertical="center" wrapText="1"/>
    </xf>
    <xf numFmtId="0" fontId="55" fillId="41" borderId="72" xfId="0" applyFont="1" applyFill="1" applyBorder="1" applyAlignment="1">
      <alignment horizontal="center" vertical="center" wrapText="1"/>
    </xf>
    <xf numFmtId="0" fontId="55" fillId="41" borderId="50" xfId="0" applyFont="1" applyFill="1" applyBorder="1" applyAlignment="1">
      <alignment horizontal="center" vertical="center" wrapText="1"/>
    </xf>
    <xf numFmtId="0" fontId="55" fillId="50" borderId="75" xfId="0" applyFont="1" applyFill="1" applyBorder="1" applyAlignment="1">
      <alignment horizontal="center" vertical="center" wrapText="1"/>
    </xf>
    <xf numFmtId="0" fontId="55" fillId="50" borderId="72" xfId="0" applyFont="1" applyFill="1" applyBorder="1" applyAlignment="1">
      <alignment horizontal="center" vertical="center" wrapText="1"/>
    </xf>
    <xf numFmtId="0" fontId="30" fillId="0" borderId="54" xfId="0" applyFont="1" applyFill="1" applyBorder="1" applyAlignment="1">
      <alignment horizontal="center" vertical="center"/>
    </xf>
    <xf numFmtId="0" fontId="30" fillId="0" borderId="71" xfId="0" applyFont="1" applyFill="1" applyBorder="1" applyAlignment="1">
      <alignment horizontal="center" vertical="center"/>
    </xf>
    <xf numFmtId="0" fontId="30" fillId="0" borderId="49" xfId="0" applyFont="1" applyFill="1" applyBorder="1" applyAlignment="1">
      <alignment horizontal="center" vertical="center"/>
    </xf>
    <xf numFmtId="0" fontId="30" fillId="0" borderId="44" xfId="0" applyFont="1" applyFill="1" applyBorder="1" applyAlignment="1">
      <alignment horizontal="center" vertical="center"/>
    </xf>
    <xf numFmtId="0" fontId="41" fillId="48" borderId="75" xfId="0" applyFont="1" applyFill="1" applyBorder="1" applyAlignment="1">
      <alignment horizontal="center" vertical="center" wrapText="1"/>
    </xf>
    <xf numFmtId="0" fontId="41" fillId="48" borderId="72" xfId="0" applyFont="1" applyFill="1" applyBorder="1" applyAlignment="1">
      <alignment horizontal="center" vertical="center" wrapText="1"/>
    </xf>
    <xf numFmtId="0" fontId="41" fillId="48" borderId="50" xfId="0" applyFont="1" applyFill="1" applyBorder="1" applyAlignment="1">
      <alignment horizontal="center" vertical="center" wrapText="1"/>
    </xf>
    <xf numFmtId="0" fontId="28" fillId="6" borderId="75" xfId="0" applyFont="1" applyBorder="1" applyAlignment="1">
      <alignment horizontal="center" vertical="center"/>
    </xf>
    <xf numFmtId="0" fontId="28" fillId="6" borderId="72" xfId="0" applyFont="1" applyBorder="1" applyAlignment="1">
      <alignment horizontal="center" vertical="center"/>
    </xf>
    <xf numFmtId="0" fontId="28" fillId="6" borderId="50" xfId="0" applyFont="1" applyBorder="1" applyAlignment="1">
      <alignment horizontal="center" vertical="center"/>
    </xf>
    <xf numFmtId="0" fontId="28" fillId="6" borderId="32" xfId="0" applyFont="1" applyBorder="1" applyAlignment="1">
      <alignment horizontal="center" vertical="center" wrapText="1"/>
    </xf>
    <xf numFmtId="0" fontId="28" fillId="0" borderId="60" xfId="0" applyFont="1" applyFill="1" applyBorder="1" applyAlignment="1">
      <alignment horizontal="center" vertical="center" wrapText="1"/>
    </xf>
    <xf numFmtId="0" fontId="28" fillId="0" borderId="28" xfId="0" applyFont="1" applyFill="1" applyBorder="1" applyAlignment="1">
      <alignment horizontal="center" vertical="center" wrapText="1"/>
    </xf>
    <xf numFmtId="0" fontId="28" fillId="0" borderId="48" xfId="0" applyFont="1" applyFill="1" applyBorder="1" applyAlignment="1">
      <alignment horizontal="center" vertical="center" wrapText="1"/>
    </xf>
    <xf numFmtId="0" fontId="28" fillId="6" borderId="73" xfId="0" applyFont="1" applyBorder="1" applyAlignment="1">
      <alignment horizontal="center" wrapText="1"/>
    </xf>
    <xf numFmtId="0" fontId="28" fillId="6" borderId="75" xfId="0" applyFont="1" applyBorder="1" applyAlignment="1">
      <alignment horizontal="center" wrapText="1"/>
    </xf>
    <xf numFmtId="0" fontId="41" fillId="6" borderId="60" xfId="0" applyFont="1" applyBorder="1" applyAlignment="1">
      <alignment horizontal="center" wrapText="1"/>
    </xf>
    <xf numFmtId="0" fontId="41" fillId="6" borderId="48" xfId="0" applyFont="1" applyBorder="1" applyAlignment="1">
      <alignment horizontal="center" wrapText="1"/>
    </xf>
    <xf numFmtId="0" fontId="28" fillId="6" borderId="72" xfId="0" applyFont="1" applyBorder="1" applyAlignment="1">
      <alignment horizontal="center" wrapText="1"/>
    </xf>
    <xf numFmtId="0" fontId="41" fillId="49" borderId="112" xfId="0" applyFont="1" applyFill="1" applyBorder="1" applyAlignment="1">
      <alignment horizontal="center" vertical="center" wrapText="1"/>
    </xf>
    <xf numFmtId="0" fontId="41" fillId="49" borderId="73" xfId="0" applyFont="1" applyFill="1" applyBorder="1" applyAlignment="1">
      <alignment horizontal="center" vertical="center" wrapText="1"/>
    </xf>
    <xf numFmtId="0" fontId="41" fillId="49" borderId="75" xfId="0" applyFont="1" applyFill="1" applyBorder="1" applyAlignment="1">
      <alignment horizontal="center" vertical="center" wrapText="1"/>
    </xf>
    <xf numFmtId="0" fontId="55" fillId="49" borderId="72" xfId="0" applyFont="1" applyFill="1" applyBorder="1" applyAlignment="1">
      <alignment horizontal="center"/>
    </xf>
    <xf numFmtId="0" fontId="28" fillId="6" borderId="73" xfId="0" applyFont="1" applyBorder="1" applyAlignment="1">
      <alignment horizontal="center" vertical="center"/>
    </xf>
    <xf numFmtId="0" fontId="55" fillId="49" borderId="75" xfId="0" applyFont="1" applyFill="1" applyBorder="1" applyAlignment="1">
      <alignment horizontal="center" vertical="center" wrapText="1"/>
    </xf>
    <xf numFmtId="0" fontId="55" fillId="49" borderId="72" xfId="0" applyFont="1" applyFill="1" applyBorder="1" applyAlignment="1">
      <alignment horizontal="center" vertical="center" wrapText="1"/>
    </xf>
    <xf numFmtId="0" fontId="55" fillId="49" borderId="50" xfId="0" applyFont="1" applyFill="1" applyBorder="1" applyAlignment="1">
      <alignment horizontal="center" vertical="center" wrapText="1"/>
    </xf>
    <xf numFmtId="0" fontId="55" fillId="6" borderId="71" xfId="0" applyFont="1" applyBorder="1" applyAlignment="1">
      <alignment horizontal="center" vertical="center" wrapText="1"/>
    </xf>
    <xf numFmtId="0" fontId="55" fillId="6" borderId="0" xfId="0" applyFont="1" applyAlignment="1">
      <alignment horizontal="center" vertical="center" wrapText="1"/>
    </xf>
    <xf numFmtId="0" fontId="55" fillId="6" borderId="44" xfId="0" applyFont="1" applyBorder="1" applyAlignment="1">
      <alignment horizontal="center" vertical="center" wrapText="1"/>
    </xf>
    <xf numFmtId="0" fontId="41" fillId="49" borderId="72" xfId="0" applyFont="1" applyFill="1" applyBorder="1" applyAlignment="1">
      <alignment horizontal="center" vertical="center" wrapText="1"/>
    </xf>
    <xf numFmtId="0" fontId="55" fillId="49" borderId="120" xfId="0" applyFont="1" applyFill="1" applyBorder="1" applyAlignment="1">
      <alignment horizontal="center" vertical="center" wrapText="1"/>
    </xf>
    <xf numFmtId="0" fontId="55" fillId="48" borderId="120" xfId="0" applyFont="1" applyFill="1" applyBorder="1" applyAlignment="1">
      <alignment horizontal="center" vertical="center" wrapText="1"/>
    </xf>
    <xf numFmtId="0" fontId="55" fillId="58" borderId="120" xfId="0" applyFont="1" applyFill="1" applyBorder="1" applyAlignment="1">
      <alignment horizontal="center" vertical="center" wrapText="1"/>
    </xf>
    <xf numFmtId="0" fontId="41" fillId="50" borderId="120" xfId="0" applyFont="1" applyFill="1" applyBorder="1" applyAlignment="1">
      <alignment horizontal="center" vertical="center" wrapText="1"/>
    </xf>
    <xf numFmtId="0" fontId="41" fillId="49" borderId="120" xfId="0" applyFont="1" applyFill="1" applyBorder="1" applyAlignment="1">
      <alignment horizontal="center" vertical="center" wrapText="1"/>
    </xf>
    <xf numFmtId="0" fontId="41" fillId="6" borderId="120" xfId="0" applyFont="1" applyBorder="1" applyAlignment="1">
      <alignment horizontal="center" vertical="center" wrapText="1"/>
    </xf>
    <xf numFmtId="0" fontId="55" fillId="6" borderId="62" xfId="0" applyFont="1" applyBorder="1" applyAlignment="1">
      <alignment horizontal="center" vertical="center" wrapText="1"/>
    </xf>
    <xf numFmtId="0" fontId="55" fillId="6" borderId="47" xfId="0" applyFont="1" applyBorder="1" applyAlignment="1">
      <alignment horizontal="center" vertical="center" wrapText="1"/>
    </xf>
    <xf numFmtId="0" fontId="55" fillId="6" borderId="63" xfId="0" applyFont="1" applyBorder="1" applyAlignment="1">
      <alignment horizontal="center" vertical="center" wrapText="1"/>
    </xf>
    <xf numFmtId="0" fontId="55" fillId="6" borderId="0" xfId="0" applyFont="1" applyBorder="1" applyAlignment="1">
      <alignment horizontal="center" vertical="center" wrapText="1"/>
    </xf>
    <xf numFmtId="0" fontId="55" fillId="50" borderId="120" xfId="0" applyFont="1" applyFill="1" applyBorder="1" applyAlignment="1">
      <alignment horizontal="center" vertical="center" wrapText="1"/>
    </xf>
    <xf numFmtId="0" fontId="28" fillId="6" borderId="85" xfId="0" applyFont="1" applyBorder="1" applyAlignment="1">
      <alignment horizontal="center" vertical="center" wrapText="1"/>
    </xf>
    <xf numFmtId="0" fontId="28" fillId="6" borderId="89" xfId="0" applyFont="1" applyBorder="1" applyAlignment="1">
      <alignment horizontal="center" vertical="center" wrapText="1"/>
    </xf>
    <xf numFmtId="0" fontId="27" fillId="47" borderId="120" xfId="0" applyFont="1" applyFill="1" applyBorder="1" applyAlignment="1">
      <alignment horizontal="center" vertical="center" wrapText="1"/>
    </xf>
    <xf numFmtId="0" fontId="41" fillId="6" borderId="61" xfId="0" applyFont="1" applyBorder="1" applyAlignment="1">
      <alignment horizontal="center" vertical="center" wrapText="1"/>
    </xf>
    <xf numFmtId="0" fontId="41" fillId="6" borderId="71" xfId="0" applyFont="1" applyBorder="1" applyAlignment="1">
      <alignment horizontal="center" vertical="center" wrapText="1"/>
    </xf>
    <xf numFmtId="0" fontId="41" fillId="6" borderId="62" xfId="0" applyFont="1" applyBorder="1" applyAlignment="1">
      <alignment horizontal="center" vertical="center" wrapText="1"/>
    </xf>
    <xf numFmtId="0" fontId="41" fillId="6" borderId="41" xfId="0" applyFont="1" applyBorder="1" applyAlignment="1">
      <alignment horizontal="center" vertical="center" wrapText="1"/>
    </xf>
    <xf numFmtId="0" fontId="41" fillId="6" borderId="47" xfId="0" applyFont="1" applyBorder="1" applyAlignment="1">
      <alignment horizontal="center" vertical="center" wrapText="1"/>
    </xf>
    <xf numFmtId="0" fontId="41" fillId="6" borderId="67" xfId="0" applyFont="1" applyBorder="1" applyAlignment="1">
      <alignment horizontal="center" vertical="center" wrapText="1"/>
    </xf>
    <xf numFmtId="0" fontId="41" fillId="6" borderId="44" xfId="0" applyFont="1" applyBorder="1" applyAlignment="1">
      <alignment horizontal="center" vertical="center" wrapText="1"/>
    </xf>
    <xf numFmtId="0" fontId="41" fillId="6" borderId="63" xfId="0" applyFont="1" applyBorder="1" applyAlignment="1">
      <alignment horizontal="center" vertical="center" wrapText="1"/>
    </xf>
    <xf numFmtId="0" fontId="28" fillId="6" borderId="61" xfId="0" applyFont="1" applyBorder="1" applyAlignment="1">
      <alignment horizontal="center" vertical="center" wrapText="1"/>
    </xf>
    <xf numFmtId="0" fontId="28" fillId="6" borderId="41" xfId="0" applyFont="1" applyBorder="1" applyAlignment="1">
      <alignment horizontal="center" vertical="center" wrapText="1"/>
    </xf>
    <xf numFmtId="0" fontId="28" fillId="6" borderId="0" xfId="0" applyFont="1" applyAlignment="1">
      <alignment horizontal="center" vertical="center" wrapText="1"/>
    </xf>
    <xf numFmtId="0" fontId="28" fillId="6" borderId="67" xfId="0" applyFont="1" applyBorder="1" applyAlignment="1">
      <alignment horizontal="center" vertical="center" wrapText="1"/>
    </xf>
    <xf numFmtId="0" fontId="28" fillId="6" borderId="74" xfId="0" applyFont="1" applyBorder="1" applyAlignment="1">
      <alignment horizontal="center" vertical="center"/>
    </xf>
    <xf numFmtId="0" fontId="28" fillId="6" borderId="58" xfId="0" applyFont="1" applyBorder="1" applyAlignment="1">
      <alignment horizontal="center" vertical="center"/>
    </xf>
    <xf numFmtId="0" fontId="28" fillId="49" borderId="74" xfId="0" applyFont="1" applyFill="1" applyBorder="1" applyAlignment="1">
      <alignment horizontal="center" vertical="center" wrapText="1"/>
    </xf>
    <xf numFmtId="0" fontId="28" fillId="49" borderId="58" xfId="0" applyFont="1" applyFill="1" applyBorder="1" applyAlignment="1">
      <alignment horizontal="center" vertical="center" wrapText="1"/>
    </xf>
    <xf numFmtId="0" fontId="28" fillId="48" borderId="74" xfId="0" applyFont="1" applyFill="1" applyBorder="1" applyAlignment="1">
      <alignment horizontal="center" vertical="center" wrapText="1"/>
    </xf>
    <xf numFmtId="0" fontId="28" fillId="48" borderId="58" xfId="0" applyFont="1" applyFill="1" applyBorder="1" applyAlignment="1">
      <alignment horizontal="center" vertical="center" wrapText="1"/>
    </xf>
    <xf numFmtId="0" fontId="28" fillId="6" borderId="61" xfId="0" applyFont="1" applyBorder="1" applyAlignment="1">
      <alignment horizontal="center" vertical="center"/>
    </xf>
    <xf numFmtId="0" fontId="28" fillId="6" borderId="41" xfId="0" applyFont="1" applyBorder="1" applyAlignment="1">
      <alignment horizontal="center" vertical="center"/>
    </xf>
    <xf numFmtId="0" fontId="28" fillId="6" borderId="67" xfId="0" applyFont="1" applyBorder="1" applyAlignment="1">
      <alignment horizontal="center" vertical="center"/>
    </xf>
    <xf numFmtId="0" fontId="28" fillId="6" borderId="172" xfId="0" applyFont="1" applyBorder="1" applyAlignment="1">
      <alignment horizontal="center" vertical="center" wrapText="1"/>
    </xf>
    <xf numFmtId="0" fontId="28" fillId="6" borderId="171" xfId="0" applyFont="1" applyBorder="1" applyAlignment="1">
      <alignment horizontal="center" vertical="center" wrapText="1"/>
    </xf>
    <xf numFmtId="0" fontId="55" fillId="50" borderId="44" xfId="0" applyFont="1" applyFill="1" applyBorder="1" applyAlignment="1">
      <alignment horizontal="center" vertical="center" wrapText="1"/>
    </xf>
    <xf numFmtId="0" fontId="41" fillId="48" borderId="173" xfId="0" applyFont="1" applyFill="1" applyBorder="1" applyAlignment="1">
      <alignment horizontal="center" vertical="center" wrapText="1"/>
    </xf>
    <xf numFmtId="0" fontId="28" fillId="6" borderId="264" xfId="0" applyFont="1" applyBorder="1" applyAlignment="1">
      <alignment horizontal="center" vertical="center" wrapText="1"/>
    </xf>
    <xf numFmtId="0" fontId="28" fillId="6" borderId="265" xfId="0" applyFont="1" applyBorder="1" applyAlignment="1">
      <alignment horizontal="center" vertical="center" wrapText="1"/>
    </xf>
    <xf numFmtId="0" fontId="28" fillId="6" borderId="180" xfId="0" applyFont="1" applyBorder="1" applyAlignment="1">
      <alignment horizontal="center" vertical="center" wrapText="1"/>
    </xf>
    <xf numFmtId="0" fontId="28" fillId="6" borderId="179" xfId="0" applyFont="1" applyBorder="1" applyAlignment="1">
      <alignment horizontal="center" vertical="center" wrapText="1"/>
    </xf>
    <xf numFmtId="0" fontId="0" fillId="6" borderId="178" xfId="0" applyBorder="1" applyAlignment="1">
      <alignment horizontal="center" vertical="center" wrapText="1"/>
    </xf>
    <xf numFmtId="0" fontId="0" fillId="6" borderId="127" xfId="0" applyBorder="1" applyAlignment="1">
      <alignment horizontal="center" vertical="center" wrapText="1"/>
    </xf>
    <xf numFmtId="0" fontId="55" fillId="6" borderId="165" xfId="0" applyFont="1" applyBorder="1" applyAlignment="1">
      <alignment horizontal="center" vertical="center" wrapText="1"/>
    </xf>
    <xf numFmtId="0" fontId="55" fillId="6" borderId="137" xfId="0" applyFont="1" applyBorder="1" applyAlignment="1">
      <alignment horizontal="center" vertical="center" wrapText="1"/>
    </xf>
    <xf numFmtId="0" fontId="41" fillId="48" borderId="181" xfId="0" applyFont="1" applyFill="1" applyBorder="1" applyAlignment="1">
      <alignment horizontal="center" vertical="center" wrapText="1"/>
    </xf>
    <xf numFmtId="0" fontId="41" fillId="48" borderId="122" xfId="0" applyFont="1" applyFill="1" applyBorder="1" applyAlignment="1">
      <alignment horizontal="center" vertical="center" wrapText="1"/>
    </xf>
    <xf numFmtId="0" fontId="55" fillId="50" borderId="168" xfId="0" applyFont="1" applyFill="1" applyBorder="1" applyAlignment="1">
      <alignment horizontal="center" vertical="center" wrapText="1"/>
    </xf>
    <xf numFmtId="0" fontId="55" fillId="50" borderId="167" xfId="0" applyFont="1" applyFill="1" applyBorder="1" applyAlignment="1">
      <alignment horizontal="center" vertical="center" wrapText="1"/>
    </xf>
    <xf numFmtId="0" fontId="0" fillId="6" borderId="120" xfId="0" applyBorder="1" applyAlignment="1">
      <alignment horizontal="center" vertical="center" wrapText="1"/>
    </xf>
    <xf numFmtId="0" fontId="29" fillId="6" borderId="19" xfId="0" applyFont="1" applyBorder="1" applyAlignment="1">
      <alignment horizontal="left"/>
    </xf>
    <xf numFmtId="0" fontId="29" fillId="6" borderId="17" xfId="0" applyFont="1" applyBorder="1" applyAlignment="1">
      <alignment horizontal="left"/>
    </xf>
    <xf numFmtId="0" fontId="28" fillId="41" borderId="72" xfId="5" applyFill="1" applyBorder="1" applyAlignment="1">
      <alignment horizontal="center" vertical="center" wrapText="1"/>
    </xf>
    <xf numFmtId="0" fontId="28" fillId="41" borderId="75" xfId="5" applyFill="1" applyBorder="1" applyAlignment="1">
      <alignment horizontal="center" vertical="center" wrapText="1"/>
    </xf>
    <xf numFmtId="0" fontId="0" fillId="6" borderId="71" xfId="0" applyBorder="1" applyAlignment="1">
      <alignment horizontal="center"/>
    </xf>
    <xf numFmtId="0" fontId="0" fillId="6" borderId="44" xfId="0" applyBorder="1" applyAlignment="1">
      <alignment horizontal="center"/>
    </xf>
    <xf numFmtId="0" fontId="29" fillId="6" borderId="18" xfId="0" applyFont="1" applyBorder="1" applyAlignment="1">
      <alignment horizontal="left"/>
    </xf>
    <xf numFmtId="0" fontId="29" fillId="6" borderId="16" xfId="0" applyFont="1" applyBorder="1" applyAlignment="1">
      <alignment horizontal="left"/>
    </xf>
    <xf numFmtId="0" fontId="28" fillId="6" borderId="75" xfId="5" applyBorder="1" applyAlignment="1">
      <alignment horizontal="center" wrapText="1"/>
    </xf>
    <xf numFmtId="0" fontId="28" fillId="6" borderId="50" xfId="5" applyBorder="1" applyAlignment="1">
      <alignment horizontal="center" wrapText="1"/>
    </xf>
    <xf numFmtId="0" fontId="28" fillId="49" borderId="72" xfId="0" applyFont="1" applyFill="1" applyBorder="1" applyAlignment="1">
      <alignment horizontal="center" vertical="center"/>
    </xf>
    <xf numFmtId="0" fontId="28" fillId="50" borderId="72" xfId="5" applyFill="1" applyBorder="1" applyAlignment="1">
      <alignment horizontal="center" vertical="center" wrapText="1"/>
    </xf>
    <xf numFmtId="0" fontId="28" fillId="50" borderId="50" xfId="5" applyFill="1" applyBorder="1" applyAlignment="1">
      <alignment horizontal="center" vertical="center" wrapText="1"/>
    </xf>
    <xf numFmtId="0" fontId="28" fillId="49" borderId="72" xfId="5" applyFill="1" applyBorder="1" applyAlignment="1">
      <alignment horizontal="center" wrapText="1"/>
    </xf>
    <xf numFmtId="0" fontId="28" fillId="49" borderId="50" xfId="5" applyFill="1" applyBorder="1" applyAlignment="1">
      <alignment horizontal="center" wrapText="1"/>
    </xf>
    <xf numFmtId="0" fontId="28" fillId="48" borderId="75" xfId="5" applyFill="1" applyBorder="1" applyAlignment="1">
      <alignment horizontal="center" wrapText="1"/>
    </xf>
    <xf numFmtId="0" fontId="28" fillId="48" borderId="72" xfId="5" applyFill="1" applyBorder="1" applyAlignment="1">
      <alignment horizontal="center" wrapText="1"/>
    </xf>
    <xf numFmtId="0" fontId="28" fillId="48" borderId="50" xfId="5" applyFill="1" applyBorder="1" applyAlignment="1">
      <alignment horizontal="center" wrapText="1"/>
    </xf>
    <xf numFmtId="0" fontId="28" fillId="6" borderId="73" xfId="5" applyBorder="1" applyAlignment="1">
      <alignment horizontal="center" vertical="center" wrapText="1"/>
    </xf>
    <xf numFmtId="0" fontId="28" fillId="6" borderId="75" xfId="5" applyBorder="1" applyAlignment="1">
      <alignment horizontal="center" vertical="center" wrapText="1"/>
    </xf>
    <xf numFmtId="0" fontId="28" fillId="6" borderId="50" xfId="5" applyBorder="1" applyAlignment="1">
      <alignment horizontal="center" vertical="center" wrapText="1"/>
    </xf>
    <xf numFmtId="0" fontId="0" fillId="54" borderId="21" xfId="55" applyFont="1" applyFill="1" applyBorder="1" applyAlignment="1">
      <alignment horizontal="center" vertical="center" wrapText="1"/>
    </xf>
    <xf numFmtId="0" fontId="0" fillId="54" borderId="18" xfId="55" applyFont="1" applyFill="1" applyBorder="1" applyAlignment="1">
      <alignment horizontal="center" vertical="center" wrapText="1"/>
    </xf>
    <xf numFmtId="0" fontId="0" fillId="54" borderId="18" xfId="0" applyFill="1" applyBorder="1" applyAlignment="1">
      <alignment horizontal="left" vertical="center"/>
    </xf>
    <xf numFmtId="0" fontId="0" fillId="54" borderId="16" xfId="0" applyFill="1" applyBorder="1" applyAlignment="1">
      <alignment horizontal="left" vertical="center"/>
    </xf>
    <xf numFmtId="0" fontId="0" fillId="54" borderId="19" xfId="0" applyFill="1" applyBorder="1" applyAlignment="1">
      <alignment horizontal="left" vertical="center"/>
    </xf>
    <xf numFmtId="0" fontId="0" fillId="54" borderId="17" xfId="0" applyFill="1" applyBorder="1" applyAlignment="1">
      <alignment horizontal="left" vertical="center"/>
    </xf>
    <xf numFmtId="0" fontId="0" fillId="54" borderId="20" xfId="55" applyFont="1" applyFill="1" applyBorder="1" applyAlignment="1">
      <alignment horizontal="center" vertical="center" wrapText="1"/>
    </xf>
    <xf numFmtId="0" fontId="0" fillId="54" borderId="19" xfId="55" applyFont="1" applyFill="1" applyBorder="1" applyAlignment="1">
      <alignment horizontal="center" vertical="center" wrapText="1"/>
    </xf>
    <xf numFmtId="0" fontId="28" fillId="49" borderId="72" xfId="5" applyFill="1" applyBorder="1" applyAlignment="1">
      <alignment horizontal="center" vertical="center" wrapText="1"/>
    </xf>
    <xf numFmtId="0" fontId="28" fillId="49" borderId="50" xfId="5" applyFill="1" applyBorder="1" applyAlignment="1">
      <alignment horizontal="center" vertical="center" wrapText="1"/>
    </xf>
    <xf numFmtId="0" fontId="28" fillId="48" borderId="73" xfId="5" applyFill="1" applyBorder="1" applyAlignment="1">
      <alignment horizontal="center" vertical="center" wrapText="1"/>
    </xf>
    <xf numFmtId="0" fontId="28" fillId="48" borderId="75" xfId="5" applyFill="1" applyBorder="1" applyAlignment="1">
      <alignment horizontal="center" vertical="center" wrapText="1"/>
    </xf>
    <xf numFmtId="0" fontId="28" fillId="48" borderId="72" xfId="5" applyFill="1" applyBorder="1" applyAlignment="1">
      <alignment horizontal="center" vertical="center" wrapText="1"/>
    </xf>
    <xf numFmtId="0" fontId="28" fillId="48" borderId="50" xfId="5" applyFill="1" applyBorder="1" applyAlignment="1">
      <alignment horizontal="center" vertical="center" wrapText="1"/>
    </xf>
    <xf numFmtId="0" fontId="41" fillId="48" borderId="74" xfId="0" applyFont="1" applyFill="1" applyBorder="1" applyAlignment="1">
      <alignment horizontal="center" vertical="center" wrapText="1"/>
    </xf>
    <xf numFmtId="0" fontId="28" fillId="6" borderId="72" xfId="5" applyBorder="1" applyAlignment="1">
      <alignment horizontal="center" wrapText="1"/>
    </xf>
    <xf numFmtId="3" fontId="43" fillId="47" borderId="51" xfId="20" applyFont="1" applyFill="1" applyBorder="1" applyAlignment="1">
      <alignment horizontal="center" vertical="center"/>
      <protection locked="0"/>
    </xf>
    <xf numFmtId="3" fontId="43" fillId="47" borderId="52" xfId="20" applyFont="1" applyFill="1" applyBorder="1" applyAlignment="1">
      <alignment horizontal="center" vertical="center"/>
      <protection locked="0"/>
    </xf>
    <xf numFmtId="0" fontId="26" fillId="41" borderId="20" xfId="18" applyFont="1" applyBorder="1" applyAlignment="1">
      <alignment horizontal="center" vertical="top" wrapText="1"/>
      <protection locked="0"/>
    </xf>
    <xf numFmtId="0" fontId="26" fillId="41" borderId="19" xfId="18" applyFont="1" applyBorder="1" applyAlignment="1">
      <alignment horizontal="center" vertical="top" wrapText="1"/>
      <protection locked="0"/>
    </xf>
    <xf numFmtId="0" fontId="26" fillId="41" borderId="17" xfId="18" applyFont="1" applyBorder="1" applyAlignment="1">
      <alignment horizontal="center" vertical="top" wrapText="1"/>
      <protection locked="0"/>
    </xf>
    <xf numFmtId="49" fontId="26" fillId="47" borderId="21" xfId="19" applyFont="1" applyFill="1" applyBorder="1" applyAlignment="1">
      <alignment horizontal="center" vertical="center"/>
      <protection locked="0"/>
    </xf>
    <xf numFmtId="49" fontId="26" fillId="47" borderId="18" xfId="19" applyFont="1" applyFill="1" applyBorder="1" applyAlignment="1">
      <alignment horizontal="center" vertical="center"/>
      <protection locked="0"/>
    </xf>
    <xf numFmtId="49" fontId="26" fillId="47" borderId="20" xfId="19" applyFont="1" applyFill="1" applyBorder="1" applyAlignment="1">
      <alignment horizontal="center" vertical="center"/>
      <protection locked="0"/>
    </xf>
    <xf numFmtId="49" fontId="26" fillId="47" borderId="19" xfId="19" applyFont="1" applyFill="1" applyBorder="1" applyAlignment="1">
      <alignment horizontal="center" vertical="center"/>
      <protection locked="0"/>
    </xf>
    <xf numFmtId="0" fontId="26" fillId="41" borderId="51" xfId="18" applyFont="1" applyBorder="1" applyAlignment="1">
      <alignment horizontal="center" vertical="top" wrapText="1"/>
      <protection locked="0"/>
    </xf>
    <xf numFmtId="0" fontId="26" fillId="41" borderId="52" xfId="18" applyFont="1" applyBorder="1" applyAlignment="1">
      <alignment horizontal="center" vertical="top" wrapText="1"/>
      <protection locked="0"/>
    </xf>
    <xf numFmtId="0" fontId="26" fillId="41" borderId="53" xfId="18" applyFont="1" applyBorder="1" applyAlignment="1">
      <alignment horizontal="center" vertical="top" wrapText="1"/>
      <protection locked="0"/>
    </xf>
    <xf numFmtId="0" fontId="26" fillId="41" borderId="21" xfId="18" applyFont="1" applyBorder="1" applyAlignment="1">
      <alignment horizontal="center" vertical="top" wrapText="1"/>
      <protection locked="0"/>
    </xf>
    <xf numFmtId="0" fontId="26" fillId="41" borderId="18" xfId="18" applyFont="1" applyBorder="1" applyAlignment="1">
      <alignment horizontal="center" vertical="top" wrapText="1"/>
      <protection locked="0"/>
    </xf>
    <xf numFmtId="0" fontId="26" fillId="41" borderId="16" xfId="18" applyFont="1" applyBorder="1" applyAlignment="1">
      <alignment horizontal="center" vertical="top" wrapText="1"/>
      <protection locked="0"/>
    </xf>
    <xf numFmtId="0" fontId="43" fillId="6" borderId="19" xfId="0" applyFont="1" applyBorder="1" applyAlignment="1">
      <alignment horizontal="left" vertical="center" wrapText="1" indent="1"/>
    </xf>
    <xf numFmtId="3" fontId="43" fillId="41" borderId="71" xfId="11" applyFont="1" applyBorder="1" applyAlignment="1">
      <alignment horizontal="right" vertical="center"/>
      <protection locked="0"/>
    </xf>
    <xf numFmtId="3" fontId="43" fillId="41" borderId="59" xfId="11" applyFont="1" applyBorder="1" applyAlignment="1">
      <alignment horizontal="right" vertical="center"/>
      <protection locked="0"/>
    </xf>
    <xf numFmtId="0" fontId="65" fillId="53" borderId="44" xfId="144" applyBorder="1" applyAlignment="1">
      <alignment horizontal="center" vertical="center"/>
    </xf>
    <xf numFmtId="0" fontId="65" fillId="53" borderId="42" xfId="144" applyBorder="1" applyAlignment="1">
      <alignment horizontal="center" vertical="center"/>
    </xf>
    <xf numFmtId="0" fontId="30" fillId="6" borderId="54" xfId="5" applyFont="1" applyBorder="1" applyAlignment="1">
      <alignment horizontal="center" vertical="center" wrapText="1"/>
    </xf>
    <xf numFmtId="0" fontId="30" fillId="6" borderId="49" xfId="5" applyFont="1" applyBorder="1" applyAlignment="1">
      <alignment horizontal="center" vertical="center" wrapText="1"/>
    </xf>
    <xf numFmtId="0" fontId="43" fillId="41" borderId="19" xfId="18" applyFont="1" applyBorder="1" applyAlignment="1">
      <alignment horizontal="center" vertical="center" wrapText="1"/>
      <protection locked="0"/>
    </xf>
    <xf numFmtId="0" fontId="43" fillId="41" borderId="18" xfId="18" applyFont="1" applyBorder="1" applyAlignment="1">
      <alignment horizontal="center" vertical="center" wrapText="1"/>
      <protection locked="0"/>
    </xf>
    <xf numFmtId="49" fontId="43" fillId="47" borderId="21" xfId="19" applyFont="1" applyFill="1" applyBorder="1" applyAlignment="1">
      <alignment horizontal="left" vertical="top"/>
      <protection locked="0"/>
    </xf>
    <xf numFmtId="49" fontId="43" fillId="47" borderId="18" xfId="19" applyFont="1" applyFill="1" applyBorder="1" applyAlignment="1">
      <alignment horizontal="left" vertical="top"/>
      <protection locked="0"/>
    </xf>
    <xf numFmtId="49" fontId="43" fillId="47" borderId="20" xfId="19" applyFont="1" applyFill="1" applyBorder="1" applyAlignment="1">
      <alignment horizontal="left" vertical="top"/>
      <protection locked="0"/>
    </xf>
    <xf numFmtId="49" fontId="43" fillId="47" borderId="19" xfId="19" applyFont="1" applyFill="1" applyBorder="1" applyAlignment="1">
      <alignment horizontal="left" vertical="top"/>
      <protection locked="0"/>
    </xf>
    <xf numFmtId="0" fontId="41" fillId="6" borderId="72" xfId="0" applyFont="1" applyBorder="1" applyAlignment="1">
      <alignment horizontal="center" wrapText="1"/>
    </xf>
    <xf numFmtId="0" fontId="29" fillId="6" borderId="0" xfId="0" applyFont="1" applyAlignment="1">
      <alignment horizontal="left" vertical="center" wrapText="1"/>
    </xf>
    <xf numFmtId="0" fontId="43" fillId="6" borderId="18" xfId="0" applyFont="1" applyBorder="1" applyAlignment="1">
      <alignment horizontal="left" wrapText="1"/>
    </xf>
    <xf numFmtId="0" fontId="43" fillId="6" borderId="52" xfId="0" applyFont="1" applyBorder="1" applyAlignment="1">
      <alignment horizontal="left" wrapText="1"/>
    </xf>
    <xf numFmtId="0" fontId="43" fillId="6" borderId="71" xfId="0" applyFont="1" applyBorder="1" applyAlignment="1">
      <alignment horizontal="center" vertical="center"/>
    </xf>
    <xf numFmtId="0" fontId="43" fillId="6" borderId="44" xfId="0" applyFont="1" applyBorder="1" applyAlignment="1">
      <alignment horizontal="center" vertical="center"/>
    </xf>
    <xf numFmtId="0" fontId="28" fillId="54" borderId="72" xfId="0" applyFont="1" applyFill="1" applyBorder="1" applyAlignment="1">
      <alignment horizontal="center" vertical="center"/>
    </xf>
    <xf numFmtId="0" fontId="28" fillId="13" borderId="72" xfId="0" applyFont="1" applyFill="1" applyBorder="1" applyAlignment="1">
      <alignment horizontal="center" vertical="center"/>
    </xf>
    <xf numFmtId="0" fontId="28" fillId="13" borderId="75" xfId="0" applyFont="1" applyFill="1" applyBorder="1" applyAlignment="1">
      <alignment horizontal="center" vertical="center" wrapText="1"/>
    </xf>
    <xf numFmtId="0" fontId="28" fillId="13" borderId="44" xfId="0" applyFont="1" applyFill="1" applyBorder="1" applyAlignment="1">
      <alignment horizontal="center" vertical="center" wrapText="1"/>
    </xf>
    <xf numFmtId="0" fontId="28" fillId="54" borderId="75" xfId="0" applyFont="1" applyFill="1" applyBorder="1" applyAlignment="1">
      <alignment horizontal="center" vertical="center" wrapText="1"/>
    </xf>
    <xf numFmtId="0" fontId="28" fillId="54" borderId="72" xfId="0" applyFont="1" applyFill="1" applyBorder="1" applyAlignment="1">
      <alignment horizontal="center" vertical="center" wrapText="1"/>
    </xf>
    <xf numFmtId="0" fontId="62" fillId="49" borderId="72" xfId="0" applyFont="1" applyFill="1" applyBorder="1" applyAlignment="1">
      <alignment horizontal="center" vertical="center" wrapText="1"/>
    </xf>
    <xf numFmtId="0" fontId="62" fillId="49" borderId="50" xfId="0" applyFont="1" applyFill="1" applyBorder="1" applyAlignment="1">
      <alignment horizontal="center" vertical="center" wrapText="1"/>
    </xf>
    <xf numFmtId="0" fontId="26" fillId="54" borderId="51" xfId="0" applyFont="1" applyFill="1" applyBorder="1" applyAlignment="1">
      <alignment horizontal="left" vertical="center"/>
    </xf>
    <xf numFmtId="0" fontId="26" fillId="54" borderId="53" xfId="0" applyFont="1" applyFill="1" applyBorder="1" applyAlignment="1">
      <alignment horizontal="left" vertical="center"/>
    </xf>
    <xf numFmtId="0" fontId="26" fillId="54" borderId="21" xfId="0" applyFont="1" applyFill="1" applyBorder="1" applyAlignment="1">
      <alignment horizontal="left" vertical="center"/>
    </xf>
    <xf numFmtId="0" fontId="26" fillId="54" borderId="16" xfId="0" applyFont="1" applyFill="1" applyBorder="1" applyAlignment="1">
      <alignment horizontal="left" vertical="center"/>
    </xf>
    <xf numFmtId="0" fontId="26" fillId="54" borderId="20" xfId="0" applyFont="1" applyFill="1" applyBorder="1" applyAlignment="1">
      <alignment horizontal="left" vertical="center"/>
    </xf>
    <xf numFmtId="0" fontId="26" fillId="54" borderId="17" xfId="0" applyFont="1" applyFill="1" applyBorder="1" applyAlignment="1">
      <alignment horizontal="left" vertical="center"/>
    </xf>
    <xf numFmtId="0" fontId="28" fillId="54" borderId="75" xfId="156" applyFont="1" applyFill="1" applyBorder="1" applyAlignment="1">
      <alignment horizontal="center" vertical="center"/>
    </xf>
    <xf numFmtId="0" fontId="28" fillId="54" borderId="72" xfId="156" applyFont="1" applyFill="1" applyBorder="1" applyAlignment="1">
      <alignment horizontal="center" vertical="center"/>
    </xf>
    <xf numFmtId="0" fontId="28" fillId="54" borderId="50" xfId="156" applyFont="1" applyFill="1" applyBorder="1" applyAlignment="1">
      <alignment horizontal="center" vertical="center"/>
    </xf>
    <xf numFmtId="0" fontId="28" fillId="54" borderId="75" xfId="156" applyFont="1" applyFill="1" applyBorder="1" applyAlignment="1">
      <alignment horizontal="center" vertical="center" wrapText="1"/>
    </xf>
    <xf numFmtId="0" fontId="28" fillId="54" borderId="50" xfId="156" applyFont="1" applyFill="1" applyBorder="1" applyAlignment="1">
      <alignment horizontal="center" vertical="center" wrapText="1"/>
    </xf>
    <xf numFmtId="0" fontId="28" fillId="54" borderId="72" xfId="156" applyFont="1" applyFill="1" applyBorder="1" applyAlignment="1">
      <alignment horizontal="center" vertical="center" wrapText="1"/>
    </xf>
    <xf numFmtId="0" fontId="28" fillId="54" borderId="71" xfId="156" applyFont="1" applyFill="1" applyBorder="1" applyAlignment="1">
      <alignment horizontal="left" vertical="center"/>
    </xf>
    <xf numFmtId="0" fontId="28" fillId="54" borderId="44" xfId="156" applyFont="1" applyFill="1" applyBorder="1" applyAlignment="1">
      <alignment horizontal="left" vertical="center"/>
    </xf>
    <xf numFmtId="0" fontId="28" fillId="54" borderId="157" xfId="156" applyFont="1" applyFill="1" applyBorder="1" applyAlignment="1">
      <alignment horizontal="center" vertical="center"/>
    </xf>
    <xf numFmtId="3" fontId="26" fillId="0" borderId="52" xfId="11" applyFont="1" applyFill="1" applyBorder="1" applyAlignment="1" applyProtection="1">
      <alignment horizontal="left" vertical="center"/>
    </xf>
    <xf numFmtId="3" fontId="26" fillId="0" borderId="53" xfId="11" applyFont="1" applyFill="1" applyBorder="1" applyAlignment="1" applyProtection="1">
      <alignment horizontal="left" vertical="center"/>
    </xf>
    <xf numFmtId="3" fontId="26" fillId="0" borderId="18" xfId="11" applyFont="1" applyFill="1" applyBorder="1" applyAlignment="1" applyProtection="1">
      <alignment horizontal="left" vertical="center"/>
    </xf>
    <xf numFmtId="3" fontId="26" fillId="0" borderId="16" xfId="11" applyFont="1" applyFill="1" applyBorder="1" applyAlignment="1" applyProtection="1">
      <alignment horizontal="left" vertical="center"/>
    </xf>
    <xf numFmtId="0" fontId="26" fillId="6" borderId="44" xfId="156" applyBorder="1" applyAlignment="1">
      <alignment horizontal="left" vertical="center" wrapText="1"/>
    </xf>
    <xf numFmtId="0" fontId="28" fillId="0" borderId="75" xfId="172" applyFont="1" applyBorder="1" applyAlignment="1">
      <alignment horizontal="center" vertical="center" wrapText="1"/>
    </xf>
    <xf numFmtId="0" fontId="28" fillId="0" borderId="50" xfId="172" applyFont="1" applyBorder="1" applyAlignment="1">
      <alignment horizontal="center" vertical="center" wrapText="1"/>
    </xf>
    <xf numFmtId="0" fontId="28" fillId="0" borderId="29" xfId="172" applyFont="1" applyBorder="1" applyAlignment="1">
      <alignment horizontal="center" vertical="center" wrapText="1"/>
    </xf>
    <xf numFmtId="0" fontId="28" fillId="0" borderId="49" xfId="172" applyFont="1" applyBorder="1" applyAlignment="1">
      <alignment horizontal="center" vertical="center" wrapText="1"/>
    </xf>
    <xf numFmtId="0" fontId="28" fillId="0" borderId="72" xfId="172" applyFont="1" applyBorder="1" applyAlignment="1">
      <alignment horizontal="center" vertical="center" wrapText="1"/>
    </xf>
    <xf numFmtId="0" fontId="28" fillId="0" borderId="157" xfId="172" applyFont="1" applyBorder="1" applyAlignment="1">
      <alignment horizontal="center" vertical="center" wrapText="1"/>
    </xf>
    <xf numFmtId="0" fontId="28" fillId="0" borderId="156" xfId="172" applyFont="1" applyBorder="1" applyAlignment="1">
      <alignment horizontal="center" vertical="center" wrapText="1"/>
    </xf>
    <xf numFmtId="0" fontId="28" fillId="0" borderId="216" xfId="172" applyFont="1" applyBorder="1" applyAlignment="1">
      <alignment horizontal="center" vertical="center" wrapText="1"/>
    </xf>
    <xf numFmtId="0" fontId="28" fillId="0" borderId="72" xfId="172" applyFont="1" applyBorder="1" applyAlignment="1">
      <alignment horizontal="center" wrapText="1"/>
    </xf>
    <xf numFmtId="0" fontId="28" fillId="0" borderId="225" xfId="172" applyFont="1" applyBorder="1" applyAlignment="1">
      <alignment horizontal="center" wrapText="1"/>
    </xf>
    <xf numFmtId="0" fontId="28" fillId="0" borderId="223" xfId="172" applyFont="1" applyBorder="1" applyAlignment="1">
      <alignment horizontal="center" vertical="center" wrapText="1"/>
    </xf>
    <xf numFmtId="0" fontId="28" fillId="0" borderId="214" xfId="172" applyFont="1" applyBorder="1" applyAlignment="1">
      <alignment horizontal="center" vertical="center" wrapText="1"/>
    </xf>
    <xf numFmtId="0" fontId="28" fillId="0" borderId="204" xfId="172" applyFont="1" applyBorder="1" applyAlignment="1">
      <alignment horizontal="center" vertical="center" wrapText="1"/>
    </xf>
    <xf numFmtId="0" fontId="28" fillId="0" borderId="215" xfId="172" applyFont="1" applyBorder="1" applyAlignment="1">
      <alignment horizontal="center" vertical="center" wrapText="1"/>
    </xf>
    <xf numFmtId="0" fontId="28" fillId="0" borderId="209" xfId="172" applyFont="1" applyBorder="1" applyAlignment="1">
      <alignment horizontal="center" vertical="center" wrapText="1"/>
    </xf>
    <xf numFmtId="0" fontId="28" fillId="0" borderId="206" xfId="172" applyFont="1" applyBorder="1" applyAlignment="1">
      <alignment horizontal="center" vertical="center" wrapText="1"/>
    </xf>
    <xf numFmtId="0" fontId="28" fillId="0" borderId="211" xfId="172" applyFont="1" applyBorder="1" applyAlignment="1">
      <alignment horizontal="center" vertical="center" wrapText="1"/>
    </xf>
    <xf numFmtId="0" fontId="28" fillId="6" borderId="197" xfId="156" applyFont="1" applyBorder="1" applyAlignment="1">
      <alignment horizontal="center" vertical="center" wrapText="1"/>
    </xf>
    <xf numFmtId="0" fontId="28" fillId="6" borderId="195" xfId="156" applyFont="1" applyBorder="1" applyAlignment="1">
      <alignment horizontal="center" vertical="center" wrapText="1"/>
    </xf>
    <xf numFmtId="0" fontId="30" fillId="6" borderId="223" xfId="160" applyFont="1" applyBorder="1" applyAlignment="1">
      <alignment horizontal="center" vertical="center" wrapText="1"/>
    </xf>
    <xf numFmtId="0" fontId="30" fillId="6" borderId="214" xfId="160" applyFont="1" applyBorder="1" applyAlignment="1">
      <alignment horizontal="center" vertical="center" wrapText="1"/>
    </xf>
    <xf numFmtId="0" fontId="30" fillId="6" borderId="204" xfId="160" applyFont="1" applyBorder="1" applyAlignment="1">
      <alignment horizontal="center" vertical="center" wrapText="1"/>
    </xf>
    <xf numFmtId="0" fontId="28" fillId="0" borderId="210" xfId="172" applyFont="1" applyBorder="1" applyAlignment="1">
      <alignment horizontal="center" vertical="center" wrapText="1"/>
    </xf>
    <xf numFmtId="0" fontId="28" fillId="0" borderId="44" xfId="172" applyFont="1" applyBorder="1" applyAlignment="1">
      <alignment horizontal="center" vertical="center" wrapText="1"/>
    </xf>
    <xf numFmtId="0" fontId="28" fillId="0" borderId="224" xfId="172" applyFont="1" applyBorder="1" applyAlignment="1">
      <alignment horizontal="center" vertical="center" wrapText="1"/>
    </xf>
    <xf numFmtId="0" fontId="28" fillId="0" borderId="218" xfId="172" applyFont="1" applyBorder="1" applyAlignment="1">
      <alignment horizontal="center" vertical="center" wrapText="1"/>
    </xf>
    <xf numFmtId="0" fontId="28" fillId="0" borderId="208" xfId="172" applyFont="1" applyBorder="1" applyAlignment="1">
      <alignment horizontal="center" vertical="center" wrapText="1"/>
    </xf>
    <xf numFmtId="0" fontId="28" fillId="0" borderId="217" xfId="172" applyFont="1" applyBorder="1" applyAlignment="1">
      <alignment horizontal="center" vertical="center" wrapText="1"/>
    </xf>
    <xf numFmtId="0" fontId="30" fillId="6" borderId="215" xfId="160" applyFont="1" applyBorder="1" applyAlignment="1">
      <alignment horizontal="center" vertical="center" wrapText="1"/>
    </xf>
    <xf numFmtId="0" fontId="30" fillId="6" borderId="209" xfId="160" applyFont="1" applyBorder="1" applyAlignment="1">
      <alignment horizontal="center" vertical="center" wrapText="1"/>
    </xf>
    <xf numFmtId="0" fontId="28" fillId="6" borderId="0" xfId="156" applyFont="1" applyAlignment="1">
      <alignment horizontal="center" vertical="center" wrapText="1"/>
    </xf>
    <xf numFmtId="0" fontId="28" fillId="0" borderId="219" xfId="172" applyFont="1" applyBorder="1" applyAlignment="1">
      <alignment horizontal="center" vertical="center" wrapText="1"/>
    </xf>
    <xf numFmtId="0" fontId="30" fillId="6" borderId="226" xfId="160" applyFont="1" applyBorder="1" applyAlignment="1">
      <alignment horizontal="center" vertical="center" wrapText="1"/>
    </xf>
    <xf numFmtId="0" fontId="30" fillId="6" borderId="221" xfId="160" applyFont="1" applyBorder="1" applyAlignment="1">
      <alignment horizontal="center" vertical="center" wrapText="1"/>
    </xf>
    <xf numFmtId="0" fontId="30" fillId="6" borderId="213" xfId="160" applyFont="1" applyBorder="1" applyAlignment="1">
      <alignment horizontal="center" vertical="center" wrapText="1"/>
    </xf>
    <xf numFmtId="0" fontId="28" fillId="0" borderId="155" xfId="172" applyFont="1" applyBorder="1" applyAlignment="1">
      <alignment horizontal="center" vertical="center" wrapText="1"/>
    </xf>
    <xf numFmtId="0" fontId="28" fillId="0" borderId="0" xfId="172" applyFont="1" applyAlignment="1">
      <alignment horizontal="center" vertical="center" wrapText="1"/>
    </xf>
    <xf numFmtId="0" fontId="30" fillId="6" borderId="220" xfId="160" applyFont="1" applyBorder="1" applyAlignment="1">
      <alignment horizontal="center" vertical="center" wrapText="1"/>
    </xf>
    <xf numFmtId="0" fontId="30" fillId="6" borderId="212" xfId="160" applyFont="1" applyBorder="1" applyAlignment="1">
      <alignment horizontal="center" vertical="center" wrapText="1"/>
    </xf>
    <xf numFmtId="0" fontId="28" fillId="0" borderId="227" xfId="172" applyFont="1" applyBorder="1" applyAlignment="1">
      <alignment horizontal="center" vertical="center" wrapText="1"/>
    </xf>
    <xf numFmtId="0" fontId="28" fillId="0" borderId="222" xfId="172" applyFont="1" applyBorder="1" applyAlignment="1">
      <alignment horizontal="center" vertical="center" wrapText="1"/>
    </xf>
    <xf numFmtId="0" fontId="28" fillId="0" borderId="207" xfId="172" applyFont="1" applyBorder="1" applyAlignment="1">
      <alignment horizontal="center" vertical="center" wrapText="1"/>
    </xf>
    <xf numFmtId="0" fontId="28" fillId="0" borderId="26" xfId="175" applyFont="1" applyBorder="1" applyAlignment="1">
      <alignment horizontal="center" vertical="center" wrapText="1"/>
    </xf>
    <xf numFmtId="0" fontId="28" fillId="0" borderId="42" xfId="175" applyFont="1" applyBorder="1" applyAlignment="1">
      <alignment horizontal="center" vertical="center" wrapText="1"/>
    </xf>
    <xf numFmtId="0" fontId="28" fillId="0" borderId="25" xfId="175" applyFont="1" applyBorder="1" applyAlignment="1">
      <alignment horizontal="center" vertical="center" wrapText="1"/>
    </xf>
    <xf numFmtId="0" fontId="28" fillId="0" borderId="48" xfId="175" applyFont="1" applyBorder="1" applyAlignment="1">
      <alignment horizontal="center" vertical="center" wrapText="1"/>
    </xf>
    <xf numFmtId="0" fontId="28" fillId="0" borderId="27" xfId="175" applyFont="1" applyBorder="1" applyAlignment="1">
      <alignment horizontal="center" vertical="center" wrapText="1"/>
    </xf>
    <xf numFmtId="0" fontId="28" fillId="0" borderId="49" xfId="175" applyFont="1" applyBorder="1" applyAlignment="1">
      <alignment horizontal="center" vertical="center" wrapText="1"/>
    </xf>
    <xf numFmtId="0" fontId="41" fillId="0" borderId="21" xfId="174" applyFont="1" applyBorder="1" applyAlignment="1">
      <alignment horizontal="center"/>
    </xf>
    <xf numFmtId="0" fontId="41" fillId="0" borderId="18" xfId="174" applyFont="1" applyBorder="1" applyAlignment="1">
      <alignment horizontal="center"/>
    </xf>
    <xf numFmtId="0" fontId="41" fillId="0" borderId="16" xfId="174" applyFont="1" applyBorder="1" applyAlignment="1">
      <alignment horizontal="center"/>
    </xf>
    <xf numFmtId="0" fontId="33" fillId="0" borderId="71" xfId="176" applyFont="1" applyBorder="1" applyAlignment="1">
      <alignment vertical="center" wrapText="1"/>
    </xf>
    <xf numFmtId="0" fontId="33" fillId="0" borderId="71" xfId="176" applyFont="1" applyBorder="1" applyAlignment="1">
      <alignment vertical="center"/>
    </xf>
    <xf numFmtId="0" fontId="41" fillId="0" borderId="25" xfId="174" applyFont="1" applyBorder="1" applyAlignment="1">
      <alignment horizontal="center" vertical="center" wrapText="1"/>
    </xf>
    <xf numFmtId="0" fontId="41" fillId="0" borderId="48" xfId="174" applyFont="1" applyBorder="1" applyAlignment="1">
      <alignment horizontal="center" vertical="center" wrapText="1"/>
    </xf>
    <xf numFmtId="0" fontId="28" fillId="0" borderId="18" xfId="175" applyFont="1" applyBorder="1" applyAlignment="1">
      <alignment horizontal="center" vertical="center" wrapText="1"/>
    </xf>
    <xf numFmtId="0" fontId="28" fillId="0" borderId="16" xfId="175" applyFont="1" applyBorder="1" applyAlignment="1">
      <alignment horizontal="center" vertical="center" wrapText="1"/>
    </xf>
    <xf numFmtId="0" fontId="28" fillId="0" borderId="233" xfId="175" applyFont="1" applyBorder="1" applyAlignment="1">
      <alignment horizontal="center" vertical="center" wrapText="1"/>
    </xf>
    <xf numFmtId="0" fontId="28" fillId="0" borderId="28" xfId="175" applyFont="1" applyBorder="1" applyAlignment="1">
      <alignment horizontal="center" vertical="center" wrapText="1"/>
    </xf>
    <xf numFmtId="0" fontId="41" fillId="0" borderId="232" xfId="174" applyFont="1" applyBorder="1" applyAlignment="1">
      <alignment horizontal="center" vertical="center"/>
    </xf>
    <xf numFmtId="0" fontId="41" fillId="0" borderId="231" xfId="174" applyFont="1" applyBorder="1" applyAlignment="1">
      <alignment horizontal="center" vertical="center"/>
    </xf>
    <xf numFmtId="0" fontId="28" fillId="0" borderId="30" xfId="175" applyFont="1" applyBorder="1" applyAlignment="1">
      <alignment horizontal="center" vertical="center" wrapText="1"/>
    </xf>
    <xf numFmtId="0" fontId="28" fillId="0" borderId="23" xfId="175" applyFont="1" applyBorder="1" applyAlignment="1">
      <alignment horizontal="center" vertical="center" wrapText="1"/>
    </xf>
    <xf numFmtId="0" fontId="41" fillId="0" borderId="22" xfId="174" applyFont="1" applyBorder="1" applyAlignment="1">
      <alignment horizontal="center" vertical="center"/>
    </xf>
    <xf numFmtId="0" fontId="41" fillId="0" borderId="30" xfId="174" applyFont="1" applyBorder="1" applyAlignment="1">
      <alignment horizontal="center" vertical="center"/>
    </xf>
    <xf numFmtId="0" fontId="28" fillId="54" borderId="72" xfId="174" applyFont="1" applyFill="1" applyBorder="1" applyAlignment="1">
      <alignment horizontal="left" vertical="center" wrapText="1"/>
    </xf>
    <xf numFmtId="0" fontId="30" fillId="6" borderId="14" xfId="0" applyFont="1" applyBorder="1" applyAlignment="1">
      <alignment horizontal="center" vertical="center"/>
    </xf>
    <xf numFmtId="0" fontId="30" fillId="6" borderId="20" xfId="0" applyFont="1" applyBorder="1" applyAlignment="1">
      <alignment horizontal="center" vertical="center"/>
    </xf>
    <xf numFmtId="3" fontId="56" fillId="54" borderId="43" xfId="1" applyFont="1" applyFill="1" applyBorder="1" applyAlignment="1">
      <alignment horizontal="center" vertical="center"/>
    </xf>
    <xf numFmtId="3" fontId="56" fillId="54" borderId="80" xfId="1" applyFont="1" applyFill="1" applyBorder="1" applyAlignment="1">
      <alignment horizontal="center" vertical="center"/>
    </xf>
    <xf numFmtId="3" fontId="56" fillId="54" borderId="88" xfId="1" applyFont="1" applyFill="1" applyBorder="1" applyAlignment="1">
      <alignment horizontal="center" vertical="center"/>
    </xf>
    <xf numFmtId="3" fontId="56" fillId="54" borderId="29" xfId="1" applyFont="1" applyFill="1" applyBorder="1" applyAlignment="1">
      <alignment horizontal="center" vertical="center" wrapText="1"/>
    </xf>
    <xf numFmtId="3" fontId="56" fillId="54" borderId="0" xfId="1" applyFont="1" applyFill="1" applyBorder="1" applyAlignment="1">
      <alignment horizontal="center" vertical="center" wrapText="1"/>
    </xf>
    <xf numFmtId="3" fontId="56" fillId="54" borderId="27" xfId="1" applyFont="1" applyFill="1" applyBorder="1" applyAlignment="1">
      <alignment horizontal="center" vertical="center" wrapText="1"/>
    </xf>
    <xf numFmtId="3" fontId="56" fillId="54" borderId="24" xfId="1" applyFont="1" applyFill="1" applyBorder="1" applyAlignment="1">
      <alignment horizontal="center" vertical="center" wrapText="1"/>
    </xf>
    <xf numFmtId="3" fontId="56" fillId="54" borderId="49" xfId="1" applyFont="1" applyFill="1" applyBorder="1" applyAlignment="1">
      <alignment horizontal="center" vertical="center" wrapText="1"/>
    </xf>
    <xf numFmtId="3" fontId="56" fillId="54" borderId="44" xfId="1" applyFont="1" applyFill="1" applyBorder="1" applyAlignment="1">
      <alignment horizontal="center" vertical="center" wrapText="1"/>
    </xf>
    <xf numFmtId="0" fontId="28" fillId="45" borderId="74" xfId="0" applyFont="1" applyFill="1" applyBorder="1" applyAlignment="1">
      <alignment horizontal="center" vertical="top"/>
    </xf>
    <xf numFmtId="0" fontId="28" fillId="45" borderId="72" xfId="0" applyFont="1" applyFill="1" applyBorder="1" applyAlignment="1">
      <alignment horizontal="center" vertical="top"/>
    </xf>
    <xf numFmtId="0" fontId="28" fillId="45" borderId="58" xfId="0" applyFont="1" applyFill="1" applyBorder="1" applyAlignment="1">
      <alignment horizontal="center" vertical="top"/>
    </xf>
    <xf numFmtId="0" fontId="30" fillId="0" borderId="21" xfId="0" applyFont="1" applyFill="1" applyBorder="1" applyAlignment="1">
      <alignment horizontal="center" vertical="center"/>
    </xf>
    <xf numFmtId="0" fontId="30" fillId="0" borderId="18" xfId="0" applyFont="1" applyFill="1" applyBorder="1" applyAlignment="1">
      <alignment horizontal="center" vertical="center"/>
    </xf>
    <xf numFmtId="0" fontId="29" fillId="13" borderId="21" xfId="3" applyFont="1" applyBorder="1" applyAlignment="1">
      <alignment horizontal="center" vertical="center"/>
    </xf>
    <xf numFmtId="0" fontId="29" fillId="13" borderId="18" xfId="3" applyFont="1" applyBorder="1" applyAlignment="1">
      <alignment horizontal="center" vertical="center"/>
    </xf>
    <xf numFmtId="0" fontId="30" fillId="0" borderId="51" xfId="0" applyFont="1" applyFill="1" applyBorder="1" applyAlignment="1">
      <alignment horizontal="center" vertical="center"/>
    </xf>
    <xf numFmtId="0" fontId="30" fillId="0" borderId="52" xfId="0" applyFont="1" applyFill="1" applyBorder="1" applyAlignment="1">
      <alignment horizontal="center" vertical="center"/>
    </xf>
    <xf numFmtId="0" fontId="26" fillId="41" borderId="21" xfId="18" applyFont="1" applyBorder="1" applyAlignment="1">
      <alignment horizontal="center" vertical="center" wrapText="1"/>
      <protection locked="0"/>
    </xf>
    <xf numFmtId="0" fontId="26" fillId="41" borderId="16" xfId="18" applyFont="1" applyBorder="1" applyAlignment="1">
      <alignment horizontal="center" vertical="center" wrapText="1"/>
      <protection locked="0"/>
    </xf>
    <xf numFmtId="0" fontId="30" fillId="0" borderId="20" xfId="0" applyFont="1" applyFill="1" applyBorder="1" applyAlignment="1">
      <alignment horizontal="center" vertical="center"/>
    </xf>
    <xf numFmtId="0" fontId="30" fillId="0" borderId="19" xfId="0" applyFont="1" applyFill="1" applyBorder="1" applyAlignment="1">
      <alignment horizontal="center" vertical="center"/>
    </xf>
    <xf numFmtId="0" fontId="29" fillId="13" borderId="75" xfId="3" applyFont="1" applyBorder="1" applyAlignment="1">
      <alignment horizontal="center" vertical="center"/>
    </xf>
    <xf numFmtId="0" fontId="29" fillId="13" borderId="72" xfId="3" applyFont="1" applyBorder="1" applyAlignment="1">
      <alignment horizontal="center" vertical="center"/>
    </xf>
    <xf numFmtId="0" fontId="26" fillId="41" borderId="20" xfId="18" applyFont="1" applyBorder="1" applyAlignment="1">
      <alignment horizontal="center" vertical="center" wrapText="1"/>
      <protection locked="0"/>
    </xf>
    <xf numFmtId="0" fontId="26" fillId="41" borderId="17" xfId="18" applyFont="1" applyBorder="1" applyAlignment="1">
      <alignment horizontal="center" vertical="center" wrapText="1"/>
      <protection locked="0"/>
    </xf>
    <xf numFmtId="49" fontId="26" fillId="14" borderId="21" xfId="27" applyNumberFormat="1" applyFont="1" applyBorder="1" applyAlignment="1">
      <alignment horizontal="left" vertical="center" wrapText="1"/>
      <protection locked="0"/>
    </xf>
    <xf numFmtId="49" fontId="26" fillId="14" borderId="18" xfId="27" applyNumberFormat="1" applyFont="1" applyBorder="1" applyAlignment="1">
      <alignment horizontal="left" vertical="center" wrapText="1"/>
      <protection locked="0"/>
    </xf>
    <xf numFmtId="49" fontId="26" fillId="14" borderId="16" xfId="27" applyNumberFormat="1" applyFont="1" applyBorder="1" applyAlignment="1">
      <alignment horizontal="left" vertical="center" wrapText="1"/>
      <protection locked="0"/>
    </xf>
    <xf numFmtId="49" fontId="26" fillId="14" borderId="20" xfId="27" applyNumberFormat="1" applyFont="1" applyBorder="1" applyAlignment="1">
      <alignment horizontal="left" vertical="center" wrapText="1"/>
      <protection locked="0"/>
    </xf>
    <xf numFmtId="49" fontId="26" fillId="14" borderId="19" xfId="27" applyNumberFormat="1" applyFont="1" applyBorder="1" applyAlignment="1">
      <alignment horizontal="left" vertical="center" wrapText="1"/>
      <protection locked="0"/>
    </xf>
    <xf numFmtId="49" fontId="26" fillId="14" borderId="17" xfId="27" applyNumberFormat="1" applyFont="1" applyBorder="1" applyAlignment="1">
      <alignment horizontal="left" vertical="center" wrapText="1"/>
      <protection locked="0"/>
    </xf>
    <xf numFmtId="0" fontId="28" fillId="43" borderId="75" xfId="0" applyFont="1" applyFill="1" applyBorder="1" applyAlignment="1">
      <alignment horizontal="center" wrapText="1"/>
    </xf>
    <xf numFmtId="0" fontId="28" fillId="43" borderId="50" xfId="0" applyFont="1" applyFill="1" applyBorder="1" applyAlignment="1">
      <alignment horizontal="center" wrapText="1"/>
    </xf>
    <xf numFmtId="0" fontId="26" fillId="41" borderId="51" xfId="18" applyFont="1" applyBorder="1" applyAlignment="1">
      <alignment horizontal="center" vertical="center" wrapText="1"/>
      <protection locked="0"/>
    </xf>
    <xf numFmtId="0" fontId="26" fillId="41" borderId="53" xfId="18" applyFont="1" applyBorder="1" applyAlignment="1">
      <alignment horizontal="center" vertical="center" wrapText="1"/>
      <protection locked="0"/>
    </xf>
    <xf numFmtId="0" fontId="28" fillId="6" borderId="16" xfId="0" applyFont="1" applyBorder="1" applyAlignment="1">
      <alignment horizontal="left" vertical="center" wrapText="1"/>
    </xf>
    <xf numFmtId="0" fontId="28" fillId="6" borderId="13" xfId="0" applyFont="1" applyBorder="1" applyAlignment="1">
      <alignment horizontal="left" vertical="center" wrapText="1"/>
    </xf>
    <xf numFmtId="0" fontId="28" fillId="6" borderId="21" xfId="0" applyFont="1" applyBorder="1" applyAlignment="1">
      <alignment horizontal="left" vertical="center" wrapText="1"/>
    </xf>
    <xf numFmtId="0" fontId="28" fillId="6" borderId="71" xfId="0" applyFont="1" applyBorder="1" applyAlignment="1">
      <alignment horizontal="center" vertical="top" wrapText="1"/>
    </xf>
    <xf numFmtId="0" fontId="28" fillId="6" borderId="44" xfId="0" applyFont="1" applyBorder="1" applyAlignment="1">
      <alignment horizontal="center" vertical="top" wrapText="1"/>
    </xf>
    <xf numFmtId="0" fontId="28" fillId="6" borderId="50" xfId="0" applyFont="1" applyBorder="1" applyAlignment="1">
      <alignment horizontal="center" wrapText="1"/>
    </xf>
    <xf numFmtId="49" fontId="26" fillId="14" borderId="51" xfId="27" applyNumberFormat="1" applyFont="1" applyBorder="1" applyAlignment="1">
      <alignment horizontal="left" vertical="center" wrapText="1"/>
      <protection locked="0"/>
    </xf>
    <xf numFmtId="49" fontId="26" fillId="14" borderId="52" xfId="27" applyNumberFormat="1" applyFont="1" applyBorder="1" applyAlignment="1">
      <alignment horizontal="left" vertical="center" wrapText="1"/>
      <protection locked="0"/>
    </xf>
    <xf numFmtId="49" fontId="26" fillId="14" borderId="53" xfId="27" applyNumberFormat="1" applyFont="1" applyBorder="1" applyAlignment="1">
      <alignment horizontal="left" vertical="center" wrapText="1"/>
      <protection locked="0"/>
    </xf>
    <xf numFmtId="0" fontId="28" fillId="6" borderId="44" xfId="0" applyFont="1" applyBorder="1" applyAlignment="1">
      <alignment horizontal="left" vertical="top" wrapText="1"/>
    </xf>
    <xf numFmtId="0" fontId="33" fillId="6" borderId="41" xfId="116" applyBorder="1" applyAlignment="1">
      <alignment horizontal="left" vertical="center"/>
    </xf>
    <xf numFmtId="0" fontId="33" fillId="6" borderId="0" xfId="116" applyAlignment="1">
      <alignment horizontal="left" vertical="center"/>
    </xf>
    <xf numFmtId="0" fontId="28" fillId="6" borderId="0" xfId="0" applyFont="1" applyAlignment="1">
      <alignment horizontal="left" vertical="top" wrapText="1"/>
    </xf>
    <xf numFmtId="0" fontId="0" fillId="6" borderId="0" xfId="0" applyAlignment="1">
      <alignment horizontal="left" vertical="center" wrapText="1"/>
    </xf>
    <xf numFmtId="0" fontId="33" fillId="6" borderId="47" xfId="116" applyBorder="1" applyAlignment="1">
      <alignment horizontal="left" vertical="center" wrapText="1"/>
    </xf>
    <xf numFmtId="0" fontId="28" fillId="6" borderId="18" xfId="0" applyFont="1" applyBorder="1" applyAlignment="1">
      <alignment horizontal="left" vertical="center" wrapText="1"/>
    </xf>
    <xf numFmtId="0" fontId="28" fillId="6" borderId="71" xfId="0" applyFont="1" applyBorder="1" applyAlignment="1">
      <alignment horizontal="center" vertical="top"/>
    </xf>
    <xf numFmtId="0" fontId="28" fillId="6" borderId="44" xfId="0" applyFont="1" applyBorder="1" applyAlignment="1">
      <alignment horizontal="center" vertical="top"/>
    </xf>
    <xf numFmtId="0" fontId="0" fillId="2" borderId="18" xfId="0" applyFill="1" applyBorder="1" applyAlignment="1">
      <alignment horizontal="left" vertical="center" wrapText="1" indent="2"/>
    </xf>
    <xf numFmtId="0" fontId="29" fillId="6" borderId="18" xfId="0" applyFont="1" applyBorder="1" applyAlignment="1">
      <alignment horizontal="left" vertical="center" wrapText="1" indent="2"/>
    </xf>
    <xf numFmtId="0" fontId="29" fillId="6" borderId="16" xfId="0" applyFont="1" applyBorder="1" applyAlignment="1">
      <alignment horizontal="left" vertical="center" wrapText="1" indent="2"/>
    </xf>
    <xf numFmtId="0" fontId="43" fillId="6" borderId="18" xfId="0" applyFont="1" applyBorder="1" applyAlignment="1">
      <alignment horizontal="left" vertical="center" wrapText="1" indent="1"/>
    </xf>
    <xf numFmtId="0" fontId="43" fillId="6" borderId="16" xfId="0" applyFont="1" applyBorder="1" applyAlignment="1">
      <alignment horizontal="left" vertical="center" wrapText="1" indent="1"/>
    </xf>
    <xf numFmtId="49" fontId="26" fillId="41" borderId="51" xfId="19" applyFont="1" applyBorder="1" applyAlignment="1">
      <alignment horizontal="left" vertical="center"/>
      <protection locked="0"/>
    </xf>
    <xf numFmtId="49" fontId="26" fillId="41" borderId="52" xfId="19" applyFont="1" applyBorder="1" applyAlignment="1">
      <alignment horizontal="left" vertical="center"/>
      <protection locked="0"/>
    </xf>
    <xf numFmtId="49" fontId="26" fillId="41" borderId="21" xfId="19" applyFont="1" applyBorder="1" applyAlignment="1">
      <alignment horizontal="left" vertical="center"/>
      <protection locked="0"/>
    </xf>
    <xf numFmtId="49" fontId="26" fillId="41" borderId="18" xfId="19" applyFont="1" applyBorder="1" applyAlignment="1">
      <alignment horizontal="left" vertical="center"/>
      <protection locked="0"/>
    </xf>
    <xf numFmtId="0" fontId="0" fillId="6" borderId="52" xfId="0" applyBorder="1" applyAlignment="1">
      <alignment vertical="center" wrapText="1"/>
    </xf>
    <xf numFmtId="0" fontId="0" fillId="6" borderId="18" xfId="0" applyBorder="1" applyAlignment="1">
      <alignment vertical="center" wrapText="1"/>
    </xf>
    <xf numFmtId="49" fontId="26" fillId="41" borderId="20" xfId="19" applyFont="1" applyBorder="1" applyAlignment="1">
      <alignment horizontal="left" vertical="center"/>
      <protection locked="0"/>
    </xf>
    <xf numFmtId="49" fontId="26" fillId="41" borderId="19" xfId="19" applyFont="1" applyBorder="1" applyAlignment="1">
      <alignment horizontal="left" vertical="center"/>
      <protection locked="0"/>
    </xf>
    <xf numFmtId="0" fontId="0" fillId="13" borderId="18" xfId="3" applyFont="1" applyBorder="1" applyAlignment="1">
      <alignment horizontal="center" vertical="center"/>
    </xf>
    <xf numFmtId="0" fontId="41" fillId="6" borderId="72" xfId="5" applyFont="1" applyBorder="1" applyAlignment="1">
      <alignment horizontal="center" wrapText="1"/>
    </xf>
    <xf numFmtId="0" fontId="26" fillId="6" borderId="13" xfId="0" applyFont="1" applyBorder="1" applyAlignment="1">
      <alignment horizontal="left" vertical="center" wrapText="1"/>
    </xf>
    <xf numFmtId="0" fontId="26" fillId="6" borderId="21" xfId="0" applyFont="1" applyBorder="1" applyAlignment="1">
      <alignment horizontal="left" vertical="center" wrapText="1"/>
    </xf>
    <xf numFmtId="0" fontId="26" fillId="6" borderId="25" xfId="0" applyFont="1" applyBorder="1" applyAlignment="1">
      <alignment horizontal="center" vertical="center" wrapText="1"/>
    </xf>
    <xf numFmtId="0" fontId="26" fillId="6" borderId="15" xfId="0" applyFont="1" applyBorder="1" applyAlignment="1">
      <alignment horizontal="center" vertical="center" wrapText="1"/>
    </xf>
    <xf numFmtId="0" fontId="0" fillId="6" borderId="20" xfId="0" applyBorder="1" applyAlignment="1">
      <alignment horizontal="left" vertical="center" wrapText="1"/>
    </xf>
    <xf numFmtId="0" fontId="26" fillId="6" borderId="19" xfId="0" applyFont="1" applyBorder="1" applyAlignment="1">
      <alignment horizontal="left" vertical="center" wrapText="1"/>
    </xf>
    <xf numFmtId="0" fontId="41" fillId="6" borderId="59" xfId="0" applyFont="1" applyBorder="1" applyAlignment="1">
      <alignment horizontal="center" vertical="center" wrapText="1"/>
    </xf>
    <xf numFmtId="0" fontId="41" fillId="6" borderId="42" xfId="0" applyFont="1" applyBorder="1" applyAlignment="1">
      <alignment horizontal="center" vertical="center" wrapText="1"/>
    </xf>
    <xf numFmtId="0" fontId="26" fillId="6" borderId="18" xfId="0" applyFont="1" applyBorder="1" applyAlignment="1">
      <alignment horizontal="left" vertical="center" wrapText="1"/>
    </xf>
    <xf numFmtId="0" fontId="26" fillId="6" borderId="55" xfId="0" applyFont="1" applyBorder="1" applyAlignment="1">
      <alignment horizontal="center" vertical="center" wrapText="1"/>
    </xf>
    <xf numFmtId="0" fontId="26" fillId="6" borderId="13" xfId="0" applyFont="1" applyBorder="1" applyAlignment="1">
      <alignment horizontal="center" vertical="center" wrapText="1"/>
    </xf>
    <xf numFmtId="0" fontId="26" fillId="6" borderId="55" xfId="0" applyFont="1" applyBorder="1" applyAlignment="1">
      <alignment horizontal="left" vertical="center" wrapText="1"/>
    </xf>
    <xf numFmtId="0" fontId="26" fillId="6" borderId="51" xfId="0" applyFont="1" applyBorder="1" applyAlignment="1">
      <alignment horizontal="left" vertical="center" wrapText="1"/>
    </xf>
    <xf numFmtId="0" fontId="0" fillId="6" borderId="13" xfId="0" applyBorder="1" applyAlignment="1">
      <alignment horizontal="left" vertical="center" wrapText="1"/>
    </xf>
    <xf numFmtId="0" fontId="41" fillId="6" borderId="73" xfId="0" applyFont="1" applyBorder="1" applyAlignment="1">
      <alignment horizontal="center" vertical="center" wrapText="1"/>
    </xf>
    <xf numFmtId="0" fontId="0" fillId="6" borderId="13" xfId="0" applyBorder="1" applyAlignment="1">
      <alignment horizontal="left" vertical="center"/>
    </xf>
    <xf numFmtId="0" fontId="0" fillId="6" borderId="21" xfId="0" applyBorder="1" applyAlignment="1">
      <alignment horizontal="left" vertical="center"/>
    </xf>
    <xf numFmtId="0" fontId="0" fillId="2" borderId="18" xfId="0" applyFill="1" applyBorder="1" applyAlignment="1">
      <alignment horizontal="left" vertical="center" wrapText="1"/>
    </xf>
    <xf numFmtId="0" fontId="0" fillId="6" borderId="14" xfId="0" applyBorder="1" applyAlignment="1">
      <alignment horizontal="left" vertical="center"/>
    </xf>
    <xf numFmtId="0" fontId="0" fillId="6" borderId="20" xfId="0" applyBorder="1" applyAlignment="1">
      <alignment horizontal="left" vertical="center"/>
    </xf>
    <xf numFmtId="0" fontId="41" fillId="6" borderId="58" xfId="5" applyFont="1" applyBorder="1" applyAlignment="1">
      <alignment horizontal="center" wrapText="1"/>
    </xf>
    <xf numFmtId="0" fontId="41" fillId="6" borderId="74" xfId="5" applyFont="1" applyBorder="1" applyAlignment="1">
      <alignment horizontal="center" wrapText="1"/>
    </xf>
    <xf numFmtId="0" fontId="26" fillId="6" borderId="60" xfId="0" applyFont="1" applyBorder="1" applyAlignment="1">
      <alignment horizontal="center" vertical="center" wrapText="1"/>
    </xf>
    <xf numFmtId="0" fontId="26" fillId="6" borderId="28" xfId="0" applyFont="1" applyBorder="1" applyAlignment="1">
      <alignment horizontal="center" vertical="center" wrapText="1"/>
    </xf>
    <xf numFmtId="0" fontId="41" fillId="6" borderId="54" xfId="0" applyFont="1" applyBorder="1" applyAlignment="1">
      <alignment horizontal="center" vertical="center" wrapText="1"/>
    </xf>
    <xf numFmtId="0" fontId="41" fillId="6" borderId="49" xfId="0" applyFont="1" applyBorder="1" applyAlignment="1">
      <alignment horizontal="center" vertical="center" wrapText="1"/>
    </xf>
    <xf numFmtId="0" fontId="41" fillId="6" borderId="50" xfId="5" applyFont="1" applyBorder="1" applyAlignment="1">
      <alignment horizontal="center" wrapText="1"/>
    </xf>
    <xf numFmtId="0" fontId="41" fillId="6" borderId="113" xfId="5" applyFont="1" applyBorder="1" applyAlignment="1">
      <alignment horizontal="center" wrapText="1"/>
    </xf>
    <xf numFmtId="0" fontId="41" fillId="6" borderId="112" xfId="5" applyFont="1" applyBorder="1" applyAlignment="1">
      <alignment horizontal="center" wrapText="1"/>
    </xf>
    <xf numFmtId="0" fontId="41" fillId="6" borderId="75" xfId="5" applyFont="1" applyBorder="1" applyAlignment="1">
      <alignment horizontal="center" wrapText="1"/>
    </xf>
    <xf numFmtId="2" fontId="28" fillId="6" borderId="74" xfId="0" applyNumberFormat="1" applyFont="1" applyBorder="1" applyAlignment="1">
      <alignment horizontal="center" vertical="center" wrapText="1"/>
    </xf>
    <xf numFmtId="2" fontId="28" fillId="6" borderId="72" xfId="0" applyNumberFormat="1" applyFont="1" applyBorder="1" applyAlignment="1">
      <alignment horizontal="center" vertical="center" wrapText="1"/>
    </xf>
    <xf numFmtId="2" fontId="28" fillId="6" borderId="58" xfId="0" applyNumberFormat="1" applyFont="1" applyBorder="1" applyAlignment="1">
      <alignment horizontal="center" vertical="center" wrapText="1"/>
    </xf>
    <xf numFmtId="0" fontId="0" fillId="41" borderId="19" xfId="18" applyFont="1" applyBorder="1" applyAlignment="1">
      <alignment horizontal="center" vertical="center" wrapText="1"/>
      <protection locked="0"/>
    </xf>
    <xf numFmtId="0" fontId="26" fillId="6" borderId="26" xfId="0" applyFont="1" applyBorder="1" applyAlignment="1">
      <alignment horizontal="center" vertical="center"/>
    </xf>
    <xf numFmtId="0" fontId="26" fillId="6" borderId="23" xfId="0" applyFont="1" applyBorder="1" applyAlignment="1">
      <alignment horizontal="center" vertical="center"/>
    </xf>
    <xf numFmtId="0" fontId="26" fillId="6" borderId="54" xfId="0" applyFont="1" applyBorder="1" applyAlignment="1">
      <alignment horizontal="left" vertical="center" wrapText="1"/>
    </xf>
    <xf numFmtId="0" fontId="26" fillId="6" borderId="71" xfId="0" applyFont="1" applyBorder="1" applyAlignment="1">
      <alignment horizontal="left" vertical="center" wrapText="1"/>
    </xf>
    <xf numFmtId="0" fontId="0" fillId="6" borderId="52" xfId="0" applyBorder="1" applyAlignment="1">
      <alignment horizontal="left" vertical="center"/>
    </xf>
    <xf numFmtId="0" fontId="26" fillId="6" borderId="27" xfId="0" applyFont="1" applyBorder="1" applyAlignment="1">
      <alignment horizontal="left" vertical="center" wrapText="1"/>
    </xf>
    <xf numFmtId="0" fontId="26" fillId="6" borderId="24" xfId="0" applyFont="1" applyBorder="1" applyAlignment="1">
      <alignment horizontal="left" vertical="center" wrapText="1"/>
    </xf>
    <xf numFmtId="0" fontId="26" fillId="6" borderId="19" xfId="0" applyFont="1" applyBorder="1" applyAlignment="1">
      <alignment horizontal="left" vertical="center"/>
    </xf>
    <xf numFmtId="0" fontId="43" fillId="56" borderId="72" xfId="0" applyFont="1" applyFill="1" applyBorder="1" applyAlignment="1">
      <alignment horizontal="left" vertical="center" wrapText="1"/>
    </xf>
    <xf numFmtId="0" fontId="28" fillId="6" borderId="112" xfId="0" applyFont="1" applyBorder="1" applyAlignment="1">
      <alignment horizontal="center" vertical="center"/>
    </xf>
    <xf numFmtId="0" fontId="0" fillId="6" borderId="21" xfId="0" applyBorder="1" applyAlignment="1">
      <alignment horizontal="left" vertical="center" wrapText="1" indent="1"/>
    </xf>
    <xf numFmtId="0" fontId="0" fillId="6" borderId="18" xfId="0" applyBorder="1" applyAlignment="1">
      <alignment horizontal="left" vertical="center" wrapText="1" indent="1"/>
    </xf>
    <xf numFmtId="0" fontId="0" fillId="6" borderId="16" xfId="0" applyBorder="1" applyAlignment="1">
      <alignment horizontal="left" vertical="center" wrapText="1" indent="1"/>
    </xf>
    <xf numFmtId="0" fontId="26" fillId="6" borderId="16" xfId="0" applyFont="1" applyBorder="1" applyAlignment="1">
      <alignment horizontal="left" vertical="center" wrapText="1"/>
    </xf>
    <xf numFmtId="0" fontId="26" fillId="6" borderId="22" xfId="0" applyFont="1" applyBorder="1" applyAlignment="1">
      <alignment horizontal="left" vertical="center" wrapText="1"/>
    </xf>
    <xf numFmtId="0" fontId="26" fillId="6" borderId="30" xfId="0" applyFont="1" applyBorder="1" applyAlignment="1">
      <alignment horizontal="left" vertical="center" wrapText="1"/>
    </xf>
    <xf numFmtId="0" fontId="26" fillId="6" borderId="23" xfId="0" applyFont="1" applyBorder="1" applyAlignment="1">
      <alignment horizontal="left" vertical="center" wrapText="1"/>
    </xf>
    <xf numFmtId="0" fontId="41" fillId="6" borderId="28" xfId="0" applyFont="1" applyBorder="1" applyAlignment="1">
      <alignment horizontal="center" vertical="center" wrapText="1"/>
    </xf>
    <xf numFmtId="0" fontId="43" fillId="2" borderId="71" xfId="0" applyFont="1" applyFill="1" applyBorder="1" applyAlignment="1">
      <alignment horizontal="center" vertical="center" wrapText="1"/>
    </xf>
    <xf numFmtId="0" fontId="43" fillId="2" borderId="44" xfId="0" applyFont="1" applyFill="1" applyBorder="1" applyAlignment="1">
      <alignment horizontal="center" vertical="center" wrapText="1"/>
    </xf>
    <xf numFmtId="0" fontId="0" fillId="56" borderId="72" xfId="0" applyFill="1" applyBorder="1" applyAlignment="1">
      <alignment horizontal="left" vertical="center" wrapText="1"/>
    </xf>
    <xf numFmtId="0" fontId="0" fillId="6" borderId="55" xfId="0" applyBorder="1" applyAlignment="1">
      <alignment horizontal="center" vertical="center" wrapText="1"/>
    </xf>
    <xf numFmtId="0" fontId="0" fillId="6" borderId="20" xfId="0" applyBorder="1" applyAlignment="1">
      <alignment horizontal="center" vertical="center"/>
    </xf>
    <xf numFmtId="0" fontId="26" fillId="6" borderId="19" xfId="0" applyFont="1" applyBorder="1" applyAlignment="1">
      <alignment horizontal="center" vertical="center"/>
    </xf>
    <xf numFmtId="0" fontId="0" fillId="6" borderId="13" xfId="0" applyBorder="1" applyAlignment="1">
      <alignment horizontal="center" vertical="center" wrapText="1"/>
    </xf>
    <xf numFmtId="0" fontId="0" fillId="49" borderId="19" xfId="0" applyFill="1" applyBorder="1" applyAlignment="1">
      <alignment horizontal="left" vertical="center" wrapText="1"/>
    </xf>
    <xf numFmtId="0" fontId="0" fillId="6" borderId="19" xfId="0" applyBorder="1" applyAlignment="1">
      <alignment horizontal="left" vertical="center" wrapText="1"/>
    </xf>
    <xf numFmtId="0" fontId="0" fillId="2" borderId="19" xfId="0" applyFill="1" applyBorder="1" applyAlignment="1">
      <alignment horizontal="left" vertical="center" wrapText="1"/>
    </xf>
    <xf numFmtId="0" fontId="0" fillId="6" borderId="52" xfId="0" applyBorder="1" applyAlignment="1">
      <alignment horizontal="left" vertical="center" wrapText="1"/>
    </xf>
    <xf numFmtId="0" fontId="0" fillId="2" borderId="52" xfId="0" applyFill="1" applyBorder="1" applyAlignment="1">
      <alignment horizontal="left" vertical="center"/>
    </xf>
    <xf numFmtId="3" fontId="0" fillId="6" borderId="13" xfId="30" applyFont="1" applyBorder="1" applyAlignment="1">
      <alignment horizontal="right" vertical="center"/>
    </xf>
    <xf numFmtId="0" fontId="56" fillId="6" borderId="75" xfId="83" applyFont="1" applyFill="1" applyBorder="1" applyAlignment="1">
      <alignment horizontal="center" wrapText="1"/>
    </xf>
    <xf numFmtId="0" fontId="56" fillId="6" borderId="72" xfId="83" applyFont="1" applyFill="1" applyBorder="1" applyAlignment="1">
      <alignment horizontal="center" wrapText="1"/>
    </xf>
    <xf numFmtId="0" fontId="65" fillId="53" borderId="72" xfId="144" applyBorder="1" applyAlignment="1">
      <alignment horizontal="center" vertical="center"/>
    </xf>
    <xf numFmtId="0" fontId="56" fillId="6" borderId="72" xfId="83" applyFont="1" applyFill="1" applyBorder="1" applyAlignment="1">
      <alignment horizontal="center" vertical="center" wrapText="1"/>
    </xf>
    <xf numFmtId="0" fontId="28" fillId="56" borderId="71" xfId="0" applyFont="1" applyFill="1" applyBorder="1" applyAlignment="1">
      <alignment horizontal="left" vertical="center"/>
    </xf>
    <xf numFmtId="0" fontId="0" fillId="6" borderId="60" xfId="0" applyBorder="1" applyAlignment="1">
      <alignment horizontal="center" vertical="center"/>
    </xf>
    <xf numFmtId="0" fontId="0" fillId="6" borderId="28" xfId="0" applyBorder="1" applyAlignment="1">
      <alignment horizontal="center" vertical="center"/>
    </xf>
    <xf numFmtId="0" fontId="0" fillId="6" borderId="48" xfId="0" applyBorder="1" applyAlignment="1">
      <alignment horizontal="center" vertical="center"/>
    </xf>
    <xf numFmtId="0" fontId="28" fillId="2" borderId="156" xfId="0" applyFont="1" applyFill="1" applyBorder="1" applyAlignment="1">
      <alignment horizontal="center" vertical="center"/>
    </xf>
    <xf numFmtId="0" fontId="0" fillId="2" borderId="0" xfId="0" applyFill="1" applyAlignment="1">
      <alignment horizontal="left" vertical="center" wrapText="1"/>
    </xf>
    <xf numFmtId="0" fontId="28" fillId="6" borderId="0" xfId="0" applyFont="1" applyAlignment="1">
      <alignment horizontal="center" vertical="top"/>
    </xf>
    <xf numFmtId="0" fontId="30" fillId="0" borderId="75" xfId="0" applyFont="1" applyFill="1" applyBorder="1" applyAlignment="1">
      <alignment horizontal="center" vertical="center" wrapText="1"/>
    </xf>
    <xf numFmtId="0" fontId="30" fillId="0" borderId="72" xfId="0" applyFont="1" applyFill="1" applyBorder="1" applyAlignment="1">
      <alignment horizontal="center" vertical="center" wrapText="1"/>
    </xf>
    <xf numFmtId="0" fontId="28" fillId="0" borderId="85" xfId="0" applyFont="1" applyFill="1" applyBorder="1" applyAlignment="1">
      <alignment horizontal="center" vertical="center" wrapText="1"/>
    </xf>
    <xf numFmtId="0" fontId="28" fillId="0" borderId="123" xfId="0" applyFont="1" applyFill="1" applyBorder="1" applyAlignment="1">
      <alignment horizontal="center" vertical="center" wrapText="1"/>
    </xf>
    <xf numFmtId="0" fontId="28" fillId="0" borderId="89" xfId="0" applyFont="1" applyFill="1" applyBorder="1" applyAlignment="1">
      <alignment horizontal="center" vertical="center" wrapText="1"/>
    </xf>
    <xf numFmtId="0" fontId="28" fillId="0" borderId="75" xfId="0" applyFont="1" applyFill="1" applyBorder="1" applyAlignment="1">
      <alignment horizontal="center" vertical="center" wrapText="1"/>
    </xf>
    <xf numFmtId="0" fontId="28" fillId="0" borderId="72" xfId="0" applyFont="1" applyFill="1" applyBorder="1" applyAlignment="1">
      <alignment horizontal="center" vertical="center" wrapText="1"/>
    </xf>
    <xf numFmtId="0" fontId="33" fillId="6" borderId="41" xfId="116" applyFill="1" applyBorder="1" applyAlignment="1" applyProtection="1">
      <alignment horizontal="left" vertical="top" wrapText="1"/>
    </xf>
    <xf numFmtId="0" fontId="33" fillId="6" borderId="0" xfId="116" applyFill="1" applyBorder="1" applyAlignment="1" applyProtection="1">
      <alignment horizontal="left" vertical="top" wrapText="1"/>
    </xf>
    <xf numFmtId="0" fontId="30" fillId="6" borderId="75" xfId="0" applyFont="1" applyBorder="1" applyAlignment="1">
      <alignment horizontal="center" vertical="center" wrapText="1"/>
    </xf>
    <xf numFmtId="0" fontId="30" fillId="6" borderId="72" xfId="0" applyFont="1" applyBorder="1" applyAlignment="1">
      <alignment horizontal="center" vertical="center" wrapText="1"/>
    </xf>
    <xf numFmtId="0" fontId="33" fillId="6" borderId="41" xfId="116" applyFill="1" applyBorder="1" applyAlignment="1" applyProtection="1">
      <alignment horizontal="left" vertical="center" wrapText="1"/>
    </xf>
    <xf numFmtId="0" fontId="33" fillId="6" borderId="0" xfId="116" applyFill="1" applyBorder="1" applyAlignment="1" applyProtection="1">
      <alignment horizontal="left" vertical="center" wrapText="1"/>
    </xf>
    <xf numFmtId="0" fontId="28" fillId="2" borderId="157" xfId="0" applyFont="1" applyFill="1" applyBorder="1" applyAlignment="1">
      <alignment horizontal="center" vertical="center"/>
    </xf>
    <xf numFmtId="0" fontId="30" fillId="6" borderId="50" xfId="0" applyFont="1" applyBorder="1" applyAlignment="1">
      <alignment horizontal="center" vertical="center" wrapText="1"/>
    </xf>
    <xf numFmtId="0" fontId="28" fillId="6" borderId="0" xfId="0" applyFont="1" applyAlignment="1">
      <alignment horizontal="center" vertical="top" wrapText="1"/>
    </xf>
    <xf numFmtId="0" fontId="43" fillId="6" borderId="0" xfId="0" applyFont="1" applyAlignment="1">
      <alignment horizontal="left" vertical="center" wrapText="1"/>
    </xf>
    <xf numFmtId="0" fontId="41" fillId="6" borderId="73" xfId="5" applyFont="1" applyBorder="1" applyAlignment="1">
      <alignment horizontal="center" vertical="center" textRotation="90" wrapText="1"/>
    </xf>
    <xf numFmtId="0" fontId="41" fillId="6" borderId="73" xfId="5" applyFont="1" applyBorder="1" applyAlignment="1">
      <alignment horizontal="center" vertical="center" wrapText="1"/>
    </xf>
    <xf numFmtId="0" fontId="28" fillId="6" borderId="61" xfId="5" applyBorder="1" applyAlignment="1">
      <alignment horizontal="center" vertical="center" wrapText="1"/>
    </xf>
    <xf numFmtId="0" fontId="28" fillId="6" borderId="59" xfId="5" applyBorder="1" applyAlignment="1">
      <alignment horizontal="center" vertical="center" wrapText="1"/>
    </xf>
    <xf numFmtId="0" fontId="28" fillId="6" borderId="67" xfId="5" applyBorder="1" applyAlignment="1">
      <alignment horizontal="center" vertical="center" wrapText="1"/>
    </xf>
    <xf numFmtId="0" fontId="28" fillId="6" borderId="42" xfId="5" applyBorder="1" applyAlignment="1">
      <alignment horizontal="center" vertical="center" wrapText="1"/>
    </xf>
    <xf numFmtId="0" fontId="41" fillId="6" borderId="61" xfId="5" applyFont="1" applyBorder="1" applyAlignment="1">
      <alignment horizontal="center" vertical="center" wrapText="1"/>
    </xf>
    <xf numFmtId="0" fontId="41" fillId="6" borderId="59" xfId="5" applyFont="1" applyBorder="1" applyAlignment="1">
      <alignment horizontal="center" vertical="center" wrapText="1"/>
    </xf>
    <xf numFmtId="0" fontId="41" fillId="6" borderId="67" xfId="5" applyFont="1" applyBorder="1" applyAlignment="1">
      <alignment horizontal="center" vertical="center" wrapText="1"/>
    </xf>
    <xf numFmtId="0" fontId="41" fillId="6" borderId="42" xfId="5" applyFont="1" applyBorder="1" applyAlignment="1">
      <alignment horizontal="center" vertical="center" wrapText="1"/>
    </xf>
    <xf numFmtId="0" fontId="41" fillId="6" borderId="85" xfId="5" applyFont="1" applyBorder="1" applyAlignment="1">
      <alignment horizontal="center" vertical="center" wrapText="1"/>
    </xf>
    <xf numFmtId="0" fontId="41" fillId="6" borderId="123" xfId="5" applyFont="1" applyBorder="1" applyAlignment="1">
      <alignment horizontal="center" vertical="center" wrapText="1"/>
    </xf>
    <xf numFmtId="0" fontId="41" fillId="6" borderId="89" xfId="5" applyFont="1" applyBorder="1" applyAlignment="1">
      <alignment horizontal="center" vertical="center" wrapText="1"/>
    </xf>
    <xf numFmtId="0" fontId="28" fillId="6" borderId="85" xfId="5" applyBorder="1" applyAlignment="1">
      <alignment horizontal="center" vertical="center" wrapText="1"/>
    </xf>
    <xf numFmtId="0" fontId="28" fillId="6" borderId="123" xfId="5" applyBorder="1" applyAlignment="1">
      <alignment horizontal="center" vertical="center" wrapText="1"/>
    </xf>
    <xf numFmtId="0" fontId="28" fillId="6" borderId="89" xfId="5" applyBorder="1" applyAlignment="1">
      <alignment horizontal="center" vertical="center" wrapText="1"/>
    </xf>
    <xf numFmtId="0" fontId="28" fillId="2" borderId="73" xfId="0" applyFont="1" applyFill="1" applyBorder="1" applyAlignment="1">
      <alignment horizontal="center" vertical="center" wrapText="1"/>
    </xf>
    <xf numFmtId="0" fontId="41" fillId="6" borderId="113" xfId="0" applyFont="1" applyBorder="1" applyAlignment="1">
      <alignment horizontal="center" vertical="center" wrapText="1"/>
    </xf>
    <xf numFmtId="0" fontId="28" fillId="6" borderId="74" xfId="5" applyBorder="1" applyAlignment="1">
      <alignment horizontal="center" vertical="center" wrapText="1"/>
    </xf>
    <xf numFmtId="0" fontId="28" fillId="6" borderId="60" xfId="5" applyBorder="1" applyAlignment="1">
      <alignment horizontal="center" vertical="center" wrapText="1"/>
    </xf>
    <xf numFmtId="0" fontId="28" fillId="6" borderId="28" xfId="5" applyBorder="1" applyAlignment="1">
      <alignment horizontal="center" vertical="center" wrapText="1"/>
    </xf>
    <xf numFmtId="0" fontId="28" fillId="6" borderId="48" xfId="5" applyBorder="1" applyAlignment="1">
      <alignment horizontal="center" vertical="center" wrapText="1"/>
    </xf>
    <xf numFmtId="0" fontId="28" fillId="48" borderId="112" xfId="5" applyFill="1" applyBorder="1" applyAlignment="1">
      <alignment horizontal="center" vertical="center" wrapText="1"/>
    </xf>
    <xf numFmtId="0" fontId="28" fillId="48" borderId="113" xfId="5" applyFill="1" applyBorder="1" applyAlignment="1">
      <alignment horizontal="center" vertical="center" wrapText="1"/>
    </xf>
    <xf numFmtId="0" fontId="28" fillId="6" borderId="54" xfId="5" applyBorder="1" applyAlignment="1">
      <alignment horizontal="center" vertical="center" wrapText="1"/>
    </xf>
    <xf numFmtId="0" fontId="28" fillId="6" borderId="49" xfId="5" applyBorder="1" applyAlignment="1">
      <alignment horizontal="center" vertical="center" wrapText="1"/>
    </xf>
    <xf numFmtId="0" fontId="28" fillId="6" borderId="77" xfId="5" applyBorder="1" applyAlignment="1">
      <alignment horizontal="center" vertical="center" wrapText="1"/>
    </xf>
    <xf numFmtId="0" fontId="28" fillId="6" borderId="80" xfId="5" applyBorder="1" applyAlignment="1">
      <alignment horizontal="center" vertical="center" wrapText="1"/>
    </xf>
    <xf numFmtId="0" fontId="28" fillId="6" borderId="88" xfId="5" applyBorder="1" applyAlignment="1">
      <alignment horizontal="center" vertical="center" wrapText="1"/>
    </xf>
    <xf numFmtId="0" fontId="28" fillId="49" borderId="74" xfId="5" applyFill="1" applyBorder="1" applyAlignment="1">
      <alignment horizontal="center" vertical="center" wrapText="1"/>
    </xf>
    <xf numFmtId="0" fontId="41" fillId="6" borderId="77" xfId="5" applyFont="1" applyBorder="1" applyAlignment="1">
      <alignment horizontal="center" vertical="center" wrapText="1"/>
    </xf>
    <xf numFmtId="0" fontId="41" fillId="6" borderId="80" xfId="5" applyFont="1" applyBorder="1" applyAlignment="1">
      <alignment horizontal="center" vertical="center" wrapText="1"/>
    </xf>
    <xf numFmtId="0" fontId="41" fillId="6" borderId="88" xfId="5" applyFont="1" applyBorder="1" applyAlignment="1">
      <alignment horizontal="center" vertical="center" wrapText="1"/>
    </xf>
    <xf numFmtId="0" fontId="41" fillId="6" borderId="54" xfId="5" applyFont="1" applyBorder="1" applyAlignment="1">
      <alignment horizontal="center" vertical="center" wrapText="1"/>
    </xf>
    <xf numFmtId="0" fontId="41" fillId="6" borderId="29" xfId="5" applyFont="1" applyBorder="1" applyAlignment="1">
      <alignment horizontal="center" vertical="center" wrapText="1"/>
    </xf>
    <xf numFmtId="0" fontId="41" fillId="6" borderId="49" xfId="5" applyFont="1" applyBorder="1" applyAlignment="1">
      <alignment horizontal="center" vertical="center" wrapText="1"/>
    </xf>
    <xf numFmtId="0" fontId="28" fillId="6" borderId="29" xfId="5" applyBorder="1" applyAlignment="1">
      <alignment horizontal="center" vertical="center" wrapText="1"/>
    </xf>
    <xf numFmtId="0" fontId="28" fillId="50" borderId="112" xfId="5" applyFill="1" applyBorder="1" applyAlignment="1">
      <alignment horizontal="center" vertical="center" wrapText="1"/>
    </xf>
    <xf numFmtId="0" fontId="28" fillId="50" borderId="73" xfId="5" applyFill="1" applyBorder="1" applyAlignment="1">
      <alignment horizontal="center" vertical="center" wrapText="1"/>
    </xf>
    <xf numFmtId="0" fontId="28" fillId="50" borderId="113" xfId="5" applyFill="1" applyBorder="1" applyAlignment="1">
      <alignment horizontal="center" vertical="center" wrapText="1"/>
    </xf>
    <xf numFmtId="0" fontId="28" fillId="41" borderId="74" xfId="5" applyFill="1" applyBorder="1" applyAlignment="1">
      <alignment horizontal="center" vertical="center" wrapText="1"/>
    </xf>
    <xf numFmtId="0" fontId="28" fillId="41" borderId="58" xfId="5" applyFill="1" applyBorder="1" applyAlignment="1">
      <alignment horizontal="center" vertical="center" wrapText="1"/>
    </xf>
    <xf numFmtId="0" fontId="41" fillId="6" borderId="41" xfId="5" applyFont="1" applyBorder="1" applyAlignment="1">
      <alignment horizontal="center" vertical="center" wrapText="1"/>
    </xf>
    <xf numFmtId="0" fontId="43" fillId="6" borderId="52" xfId="0" applyFont="1" applyBorder="1" applyAlignment="1">
      <alignment horizontal="left" vertical="center" wrapText="1"/>
    </xf>
    <xf numFmtId="0" fontId="43" fillId="6" borderId="53" xfId="0" applyFont="1" applyBorder="1" applyAlignment="1">
      <alignment horizontal="left" vertical="center" wrapText="1"/>
    </xf>
    <xf numFmtId="0" fontId="28" fillId="50" borderId="75" xfId="5" applyFill="1" applyBorder="1" applyAlignment="1">
      <alignment horizontal="center" vertical="center" wrapText="1"/>
    </xf>
    <xf numFmtId="0" fontId="28" fillId="49" borderId="112" xfId="5" applyFill="1" applyBorder="1" applyAlignment="1">
      <alignment horizontal="center" vertical="center" wrapText="1"/>
    </xf>
    <xf numFmtId="0" fontId="28" fillId="49" borderId="73" xfId="5" applyFill="1" applyBorder="1" applyAlignment="1">
      <alignment horizontal="center" vertical="center" wrapText="1"/>
    </xf>
    <xf numFmtId="0" fontId="28" fillId="49" borderId="113" xfId="5" applyFill="1" applyBorder="1" applyAlignment="1">
      <alignment horizontal="center" vertical="center" wrapText="1"/>
    </xf>
    <xf numFmtId="0" fontId="28" fillId="50" borderId="74" xfId="5" applyFill="1" applyBorder="1" applyAlignment="1">
      <alignment horizontal="center" vertical="center" wrapText="1"/>
    </xf>
    <xf numFmtId="0" fontId="28" fillId="50" borderId="58" xfId="5" applyFill="1" applyBorder="1" applyAlignment="1">
      <alignment horizontal="center" vertical="center" wrapText="1"/>
    </xf>
    <xf numFmtId="0" fontId="28" fillId="48" borderId="112" xfId="5" applyFill="1" applyBorder="1" applyAlignment="1">
      <alignment horizontal="center" wrapText="1"/>
    </xf>
    <xf numFmtId="0" fontId="28" fillId="6" borderId="112" xfId="5" applyBorder="1" applyAlignment="1">
      <alignment horizontal="center" vertical="center" wrapText="1"/>
    </xf>
    <xf numFmtId="0" fontId="28" fillId="41" borderId="112" xfId="5" applyFill="1" applyBorder="1" applyAlignment="1">
      <alignment horizontal="center" vertical="center" wrapText="1"/>
    </xf>
    <xf numFmtId="0" fontId="28" fillId="41" borderId="73" xfId="5" applyFill="1" applyBorder="1" applyAlignment="1">
      <alignment horizontal="center" vertical="center" wrapText="1"/>
    </xf>
    <xf numFmtId="0" fontId="28" fillId="41" borderId="113" xfId="5" applyFill="1" applyBorder="1" applyAlignment="1">
      <alignment horizontal="center" vertical="center" wrapText="1"/>
    </xf>
    <xf numFmtId="0" fontId="28" fillId="6" borderId="62" xfId="5" applyBorder="1" applyAlignment="1">
      <alignment horizontal="center" vertical="center" wrapText="1"/>
    </xf>
    <xf numFmtId="0" fontId="28" fillId="6" borderId="63" xfId="5" applyBorder="1" applyAlignment="1">
      <alignment horizontal="center" vertical="center" wrapText="1"/>
    </xf>
    <xf numFmtId="0" fontId="28" fillId="6" borderId="41" xfId="5" applyBorder="1" applyAlignment="1">
      <alignment horizontal="center" vertical="center" wrapText="1"/>
    </xf>
    <xf numFmtId="0" fontId="41" fillId="6" borderId="112" xfId="5" applyFont="1" applyBorder="1" applyAlignment="1">
      <alignment horizontal="center" vertical="center" textRotation="90" wrapText="1"/>
    </xf>
    <xf numFmtId="0" fontId="28" fillId="6" borderId="113" xfId="0" applyFont="1" applyBorder="1" applyAlignment="1">
      <alignment horizontal="center" vertical="center" wrapText="1"/>
    </xf>
    <xf numFmtId="0" fontId="28" fillId="6" borderId="114" xfId="0" applyFont="1" applyBorder="1" applyAlignment="1">
      <alignment horizontal="center" vertical="center" wrapText="1"/>
    </xf>
    <xf numFmtId="3" fontId="26" fillId="13" borderId="78" xfId="0" applyNumberFormat="1" applyFont="1" applyFill="1" applyBorder="1" applyAlignment="1">
      <alignment horizontal="center" vertical="center"/>
    </xf>
    <xf numFmtId="3" fontId="26" fillId="13" borderId="13" xfId="0" applyNumberFormat="1" applyFont="1" applyFill="1" applyBorder="1" applyAlignment="1">
      <alignment horizontal="center" vertical="center"/>
    </xf>
    <xf numFmtId="3" fontId="26" fillId="13" borderId="21" xfId="0" applyNumberFormat="1" applyFont="1" applyFill="1" applyBorder="1" applyAlignment="1">
      <alignment horizontal="center" vertical="center"/>
    </xf>
    <xf numFmtId="3" fontId="26" fillId="13" borderId="78" xfId="3" applyNumberFormat="1" applyFont="1" applyBorder="1" applyAlignment="1">
      <alignment horizontal="center" vertical="center"/>
    </xf>
    <xf numFmtId="3" fontId="26" fillId="13" borderId="13" xfId="3" applyNumberFormat="1" applyFont="1" applyBorder="1" applyAlignment="1">
      <alignment horizontal="center" vertical="center"/>
    </xf>
    <xf numFmtId="3" fontId="26" fillId="13" borderId="21" xfId="3" applyNumberFormat="1" applyFont="1" applyBorder="1" applyAlignment="1">
      <alignment horizontal="center" vertical="center"/>
    </xf>
    <xf numFmtId="3" fontId="26" fillId="13" borderId="37" xfId="0" applyNumberFormat="1" applyFont="1" applyFill="1" applyBorder="1" applyAlignment="1">
      <alignment horizontal="center" vertical="center"/>
    </xf>
    <xf numFmtId="3" fontId="26" fillId="13" borderId="14" xfId="0" applyNumberFormat="1" applyFont="1" applyFill="1" applyBorder="1" applyAlignment="1">
      <alignment horizontal="center" vertical="center"/>
    </xf>
    <xf numFmtId="3" fontId="26" fillId="13" borderId="20" xfId="0" applyNumberFormat="1" applyFont="1" applyFill="1" applyBorder="1" applyAlignment="1">
      <alignment horizontal="center" vertical="center"/>
    </xf>
    <xf numFmtId="0" fontId="28" fillId="6" borderId="82" xfId="0" applyFont="1" applyBorder="1" applyAlignment="1">
      <alignment horizontal="center" vertical="center" wrapText="1"/>
    </xf>
    <xf numFmtId="0" fontId="28" fillId="6" borderId="53" xfId="5" applyBorder="1" applyAlignment="1">
      <alignment horizontal="center" wrapText="1"/>
    </xf>
    <xf numFmtId="0" fontId="28" fillId="6" borderId="55" xfId="5" applyBorder="1" applyAlignment="1">
      <alignment horizontal="center" wrapText="1"/>
    </xf>
    <xf numFmtId="0" fontId="28" fillId="6" borderId="51" xfId="5" applyBorder="1" applyAlignment="1">
      <alignment horizontal="center" wrapText="1"/>
    </xf>
    <xf numFmtId="0" fontId="28" fillId="6" borderId="65" xfId="5" applyBorder="1" applyAlignment="1">
      <alignment horizontal="center" wrapText="1"/>
    </xf>
    <xf numFmtId="0" fontId="28" fillId="6" borderId="110" xfId="5" applyBorder="1" applyAlignment="1">
      <alignment horizontal="center" wrapText="1"/>
    </xf>
    <xf numFmtId="0" fontId="40" fillId="6" borderId="71" xfId="0" applyFont="1" applyBorder="1" applyAlignment="1">
      <alignment horizontal="center" vertical="center"/>
    </xf>
    <xf numFmtId="0" fontId="40" fillId="6" borderId="0" xfId="0" applyFont="1" applyAlignment="1">
      <alignment horizontal="center" vertical="center"/>
    </xf>
    <xf numFmtId="0" fontId="40" fillId="6" borderId="44" xfId="0" applyFont="1" applyBorder="1" applyAlignment="1">
      <alignment horizontal="center" vertical="center"/>
    </xf>
    <xf numFmtId="0" fontId="28" fillId="6" borderId="58" xfId="5" applyBorder="1" applyAlignment="1">
      <alignment horizontal="center" wrapText="1"/>
    </xf>
    <xf numFmtId="0" fontId="28" fillId="6" borderId="77" xfId="5" applyBorder="1" applyAlignment="1">
      <alignment horizontal="center" wrapText="1"/>
    </xf>
    <xf numFmtId="0" fontId="28" fillId="6" borderId="85" xfId="5" applyBorder="1" applyAlignment="1">
      <alignment horizontal="center" wrapText="1"/>
    </xf>
    <xf numFmtId="0" fontId="28" fillId="6" borderId="88" xfId="5" applyBorder="1" applyAlignment="1">
      <alignment horizontal="center" wrapText="1"/>
    </xf>
    <xf numFmtId="0" fontId="28" fillId="6" borderId="89" xfId="5" applyBorder="1" applyAlignment="1">
      <alignment horizontal="center" wrapText="1"/>
    </xf>
    <xf numFmtId="0" fontId="41" fillId="6" borderId="77" xfId="5" applyFont="1" applyBorder="1" applyAlignment="1">
      <alignment horizontal="center" wrapText="1"/>
    </xf>
    <xf numFmtId="0" fontId="41" fillId="6" borderId="85" xfId="5" applyFont="1" applyBorder="1" applyAlignment="1">
      <alignment horizontal="center" wrapText="1"/>
    </xf>
    <xf numFmtId="0" fontId="41" fillId="6" borderId="88" xfId="5" applyFont="1" applyBorder="1" applyAlignment="1">
      <alignment horizontal="center" wrapText="1"/>
    </xf>
    <xf numFmtId="0" fontId="41" fillId="6" borderId="89" xfId="5" applyFont="1" applyBorder="1" applyAlignment="1">
      <alignment horizontal="center" wrapText="1"/>
    </xf>
    <xf numFmtId="0" fontId="28" fillId="6" borderId="112" xfId="5" applyBorder="1" applyAlignment="1">
      <alignment horizontal="center" wrapText="1"/>
    </xf>
    <xf numFmtId="0" fontId="28" fillId="6" borderId="86" xfId="5" applyBorder="1" applyAlignment="1">
      <alignment horizontal="center" wrapText="1"/>
    </xf>
    <xf numFmtId="0" fontId="28" fillId="6" borderId="90" xfId="5" applyBorder="1" applyAlignment="1">
      <alignment horizontal="center" wrapText="1"/>
    </xf>
    <xf numFmtId="0" fontId="28" fillId="6" borderId="91" xfId="5" applyBorder="1" applyAlignment="1">
      <alignment horizontal="center" wrapText="1"/>
    </xf>
    <xf numFmtId="0" fontId="28" fillId="49" borderId="74" xfId="0" applyFont="1" applyFill="1" applyBorder="1" applyAlignment="1">
      <alignment horizontal="center" vertical="center"/>
    </xf>
    <xf numFmtId="3" fontId="0" fillId="41" borderId="18" xfId="11" applyFont="1" applyBorder="1" applyAlignment="1">
      <alignment horizontal="center" vertical="center"/>
      <protection locked="0"/>
    </xf>
    <xf numFmtId="0" fontId="96" fillId="0" borderId="127" xfId="174" applyFont="1" applyBorder="1" applyAlignment="1">
      <alignment horizontal="center" vertical="center" wrapText="1"/>
    </xf>
    <xf numFmtId="0" fontId="96" fillId="0" borderId="128" xfId="174" applyFont="1" applyBorder="1" applyAlignment="1">
      <alignment horizontal="center" vertical="center" wrapText="1"/>
    </xf>
    <xf numFmtId="0" fontId="96" fillId="0" borderId="120" xfId="174" applyFont="1" applyBorder="1" applyAlignment="1">
      <alignment horizontal="center" vertical="center"/>
    </xf>
    <xf numFmtId="3" fontId="98" fillId="0" borderId="127" xfId="11" applyFont="1" applyFill="1" applyBorder="1" applyAlignment="1" applyProtection="1">
      <alignment horizontal="center" vertical="center" wrapText="1"/>
    </xf>
    <xf numFmtId="3" fontId="98" fillId="0" borderId="261" xfId="11" applyFont="1" applyFill="1" applyBorder="1" applyAlignment="1" applyProtection="1">
      <alignment horizontal="center" vertical="center" wrapText="1"/>
    </xf>
    <xf numFmtId="3" fontId="98" fillId="0" borderId="128" xfId="11" applyFont="1" applyFill="1" applyBorder="1" applyAlignment="1" applyProtection="1">
      <alignment horizontal="center" vertical="center" wrapText="1"/>
    </xf>
    <xf numFmtId="0" fontId="96" fillId="0" borderId="74" xfId="174" applyFont="1" applyBorder="1" applyAlignment="1">
      <alignment horizontal="center" vertical="center" wrapText="1"/>
    </xf>
    <xf numFmtId="0" fontId="96" fillId="0" borderId="58" xfId="174" applyFont="1" applyBorder="1" applyAlignment="1">
      <alignment horizontal="center" vertical="center" wrapText="1"/>
    </xf>
    <xf numFmtId="0" fontId="96" fillId="0" borderId="72" xfId="174" applyFont="1" applyBorder="1" applyAlignment="1">
      <alignment horizontal="center" vertical="center" wrapText="1"/>
    </xf>
    <xf numFmtId="0" fontId="87" fillId="6" borderId="74" xfId="160" applyFont="1" applyBorder="1" applyAlignment="1">
      <alignment horizontal="center" vertical="center" wrapText="1"/>
    </xf>
    <xf numFmtId="0" fontId="87" fillId="6" borderId="58" xfId="160" applyFont="1" applyBorder="1" applyAlignment="1">
      <alignment horizontal="center" vertical="center" wrapText="1"/>
    </xf>
    <xf numFmtId="0" fontId="82" fillId="0" borderId="0" xfId="174" applyFont="1" applyAlignment="1">
      <alignment horizontal="left" vertical="center" wrapText="1"/>
    </xf>
    <xf numFmtId="0" fontId="82" fillId="0" borderId="47" xfId="174" applyFont="1" applyBorder="1" applyAlignment="1">
      <alignment horizontal="left" vertical="center" wrapText="1"/>
    </xf>
    <xf numFmtId="0" fontId="87" fillId="6" borderId="74" xfId="160" applyFont="1" applyBorder="1" applyAlignment="1">
      <alignment horizontal="center" vertical="center"/>
    </xf>
    <xf numFmtId="0" fontId="87" fillId="6" borderId="72" xfId="160" applyFont="1" applyBorder="1" applyAlignment="1">
      <alignment horizontal="center" vertical="center"/>
    </xf>
    <xf numFmtId="0" fontId="87" fillId="6" borderId="58" xfId="160" applyFont="1" applyBorder="1" applyAlignment="1">
      <alignment horizontal="center" vertical="center"/>
    </xf>
    <xf numFmtId="1" fontId="87" fillId="6" borderId="120" xfId="160" applyNumberFormat="1" applyFont="1" applyBorder="1" applyAlignment="1">
      <alignment horizontal="center" vertical="center" wrapText="1"/>
    </xf>
    <xf numFmtId="1" fontId="87" fillId="6" borderId="127" xfId="160" applyNumberFormat="1" applyFont="1" applyBorder="1" applyAlignment="1">
      <alignment horizontal="center" vertical="center" wrapText="1"/>
    </xf>
    <xf numFmtId="10" fontId="87" fillId="6" borderId="120" xfId="173" applyNumberFormat="1" applyFont="1" applyFill="1" applyBorder="1" applyAlignment="1">
      <alignment horizontal="center" vertical="center" wrapText="1"/>
    </xf>
    <xf numFmtId="10" fontId="87" fillId="6" borderId="127" xfId="173" applyNumberFormat="1" applyFont="1" applyFill="1" applyBorder="1" applyAlignment="1">
      <alignment horizontal="center" vertical="center" wrapText="1"/>
    </xf>
    <xf numFmtId="2" fontId="87" fillId="6" borderId="120" xfId="160" applyNumberFormat="1" applyFont="1" applyBorder="1" applyAlignment="1">
      <alignment horizontal="center" vertical="center" wrapText="1"/>
    </xf>
    <xf numFmtId="2" fontId="87" fillId="6" borderId="127" xfId="160" applyNumberFormat="1" applyFont="1" applyBorder="1" applyAlignment="1">
      <alignment horizontal="center" vertical="center" wrapText="1"/>
    </xf>
    <xf numFmtId="2" fontId="87" fillId="6" borderId="120" xfId="173" applyNumberFormat="1" applyFont="1" applyFill="1" applyBorder="1" applyAlignment="1">
      <alignment horizontal="center" vertical="center" wrapText="1"/>
    </xf>
    <xf numFmtId="2" fontId="87" fillId="6" borderId="127" xfId="173" applyNumberFormat="1" applyFont="1" applyFill="1" applyBorder="1" applyAlignment="1">
      <alignment horizontal="center" vertical="center" wrapText="1"/>
    </xf>
    <xf numFmtId="9" fontId="96" fillId="6" borderId="120" xfId="173" applyFont="1" applyFill="1" applyBorder="1" applyAlignment="1">
      <alignment horizontal="center" vertical="center" wrapText="1"/>
    </xf>
    <xf numFmtId="1" fontId="87" fillId="6" borderId="128" xfId="160" applyNumberFormat="1" applyFont="1" applyBorder="1" applyAlignment="1">
      <alignment horizontal="center" vertical="center" wrapText="1"/>
    </xf>
    <xf numFmtId="171" fontId="87" fillId="6" borderId="120" xfId="173" applyNumberFormat="1" applyFont="1" applyFill="1" applyBorder="1" applyAlignment="1">
      <alignment horizontal="center" vertical="center" wrapText="1"/>
    </xf>
    <xf numFmtId="171" fontId="87" fillId="6" borderId="127" xfId="173" applyNumberFormat="1" applyFont="1" applyFill="1" applyBorder="1" applyAlignment="1">
      <alignment horizontal="center" vertical="center" wrapText="1"/>
    </xf>
    <xf numFmtId="0" fontId="87" fillId="6" borderId="120" xfId="160" applyFont="1" applyBorder="1" applyAlignment="1">
      <alignment horizontal="center" vertical="center" wrapText="1"/>
    </xf>
    <xf numFmtId="0" fontId="87" fillId="6" borderId="120" xfId="160" applyFont="1" applyBorder="1" applyAlignment="1">
      <alignment horizontal="center" vertical="center"/>
    </xf>
    <xf numFmtId="9" fontId="87" fillId="6" borderId="120" xfId="173" applyFont="1" applyFill="1" applyBorder="1" applyAlignment="1">
      <alignment horizontal="center" vertical="center" wrapText="1"/>
    </xf>
    <xf numFmtId="9" fontId="87" fillId="6" borderId="127" xfId="173" applyFont="1" applyFill="1" applyBorder="1" applyAlignment="1">
      <alignment horizontal="center" vertical="center" wrapText="1"/>
    </xf>
    <xf numFmtId="0" fontId="98" fillId="0" borderId="74" xfId="177" applyFont="1" applyBorder="1" applyAlignment="1" applyProtection="1">
      <alignment horizontal="center" vertical="center" wrapText="1"/>
    </xf>
    <xf numFmtId="0" fontId="98" fillId="0" borderId="72" xfId="177" applyFont="1" applyBorder="1" applyAlignment="1" applyProtection="1">
      <alignment horizontal="center" vertical="center" wrapText="1"/>
    </xf>
    <xf numFmtId="0" fontId="98" fillId="0" borderId="58" xfId="177" applyFont="1" applyBorder="1" applyAlignment="1" applyProtection="1">
      <alignment horizontal="center" vertical="center" wrapText="1"/>
    </xf>
    <xf numFmtId="1" fontId="98" fillId="0" borderId="74" xfId="177" applyNumberFormat="1" applyFont="1" applyBorder="1" applyAlignment="1" applyProtection="1">
      <alignment horizontal="center" vertical="center" wrapText="1"/>
    </xf>
    <xf numFmtId="1" fontId="98" fillId="0" borderId="72" xfId="177" applyNumberFormat="1" applyFont="1" applyBorder="1" applyAlignment="1" applyProtection="1">
      <alignment horizontal="center" vertical="center" wrapText="1"/>
    </xf>
    <xf numFmtId="1" fontId="98" fillId="0" borderId="58" xfId="177" applyNumberFormat="1" applyFont="1" applyBorder="1" applyAlignment="1" applyProtection="1">
      <alignment horizontal="center" vertical="center" wrapText="1"/>
    </xf>
    <xf numFmtId="1" fontId="98" fillId="0" borderId="74" xfId="177" applyNumberFormat="1" applyFont="1" applyBorder="1" applyAlignment="1">
      <alignment horizontal="center" vertical="center" wrapText="1"/>
    </xf>
    <xf numFmtId="1" fontId="98" fillId="0" borderId="72" xfId="177" applyNumberFormat="1" applyFont="1" applyBorder="1" applyAlignment="1">
      <alignment horizontal="center" vertical="center" wrapText="1"/>
    </xf>
    <xf numFmtId="1" fontId="98" fillId="0" borderId="58" xfId="177" applyNumberFormat="1" applyFont="1" applyBorder="1" applyAlignment="1">
      <alignment horizontal="center" vertical="center" wrapText="1"/>
    </xf>
    <xf numFmtId="1" fontId="98" fillId="0" borderId="72" xfId="177" applyNumberFormat="1" applyFont="1" applyBorder="1" applyAlignment="1">
      <alignment horizontal="center" vertical="center"/>
    </xf>
    <xf numFmtId="1" fontId="98" fillId="0" borderId="58" xfId="177" applyNumberFormat="1" applyFont="1" applyBorder="1" applyAlignment="1">
      <alignment horizontal="center" vertical="center"/>
    </xf>
    <xf numFmtId="0" fontId="98" fillId="0" borderId="74" xfId="177" applyFont="1" applyBorder="1" applyAlignment="1">
      <alignment horizontal="center" vertical="center" wrapText="1"/>
    </xf>
    <xf numFmtId="0" fontId="98" fillId="0" borderId="72" xfId="177" applyFont="1" applyBorder="1" applyAlignment="1">
      <alignment horizontal="center" vertical="center" wrapText="1"/>
    </xf>
    <xf numFmtId="0" fontId="98" fillId="0" borderId="58" xfId="177" applyFont="1" applyBorder="1" applyAlignment="1">
      <alignment horizontal="center" vertical="center" wrapText="1"/>
    </xf>
    <xf numFmtId="0" fontId="87" fillId="0" borderId="74" xfId="160" applyFont="1" applyFill="1" applyBorder="1" applyAlignment="1" applyProtection="1">
      <alignment horizontal="center" vertical="center"/>
    </xf>
    <xf numFmtId="0" fontId="87" fillId="0" borderId="72" xfId="160" applyFont="1" applyFill="1" applyBorder="1" applyAlignment="1" applyProtection="1">
      <alignment horizontal="center" vertical="center"/>
    </xf>
    <xf numFmtId="0" fontId="87" fillId="0" borderId="58" xfId="160" applyFont="1" applyFill="1" applyBorder="1" applyAlignment="1" applyProtection="1">
      <alignment horizontal="center" vertical="center"/>
    </xf>
    <xf numFmtId="1" fontId="87" fillId="6" borderId="74" xfId="160" applyNumberFormat="1" applyFont="1" applyBorder="1" applyAlignment="1" applyProtection="1">
      <alignment horizontal="center" vertical="center"/>
    </xf>
    <xf numFmtId="1" fontId="87" fillId="6" borderId="72" xfId="160" applyNumberFormat="1" applyFont="1" applyBorder="1" applyAlignment="1" applyProtection="1">
      <alignment horizontal="center" vertical="center"/>
    </xf>
    <xf numFmtId="1" fontId="87" fillId="6" borderId="58" xfId="160" applyNumberFormat="1" applyFont="1" applyBorder="1" applyAlignment="1" applyProtection="1">
      <alignment horizontal="center" vertical="center"/>
    </xf>
    <xf numFmtId="0" fontId="87" fillId="0" borderId="120" xfId="160" applyFont="1" applyFill="1" applyBorder="1" applyAlignment="1">
      <alignment horizontal="center" vertical="center"/>
    </xf>
    <xf numFmtId="1" fontId="87" fillId="0" borderId="120" xfId="160" applyNumberFormat="1" applyFont="1" applyFill="1" applyBorder="1" applyAlignment="1">
      <alignment horizontal="center" vertical="center"/>
    </xf>
    <xf numFmtId="0" fontId="87" fillId="6" borderId="61" xfId="160" applyFont="1" applyBorder="1" applyAlignment="1">
      <alignment horizontal="center" vertical="center"/>
    </xf>
    <xf numFmtId="0" fontId="87" fillId="6" borderId="71" xfId="160" applyFont="1" applyBorder="1" applyAlignment="1">
      <alignment horizontal="center" vertical="center"/>
    </xf>
    <xf numFmtId="1" fontId="87" fillId="6" borderId="74" xfId="160" applyNumberFormat="1" applyFont="1" applyBorder="1" applyAlignment="1">
      <alignment horizontal="center" vertical="center"/>
    </xf>
    <xf numFmtId="1" fontId="87" fillId="6" borderId="72" xfId="160" applyNumberFormat="1" applyFont="1" applyBorder="1" applyAlignment="1">
      <alignment horizontal="center" vertical="center"/>
    </xf>
    <xf numFmtId="1" fontId="87" fillId="6" borderId="58" xfId="160" applyNumberFormat="1" applyFont="1" applyBorder="1" applyAlignment="1">
      <alignment horizontal="center" vertical="center"/>
    </xf>
    <xf numFmtId="1" fontId="87" fillId="6" borderId="74" xfId="160" applyNumberFormat="1" applyFont="1" applyBorder="1" applyAlignment="1">
      <alignment horizontal="center" vertical="center" wrapText="1"/>
    </xf>
    <xf numFmtId="1" fontId="87" fillId="6" borderId="72" xfId="160" applyNumberFormat="1" applyFont="1" applyBorder="1" applyAlignment="1">
      <alignment horizontal="center" vertical="center" wrapText="1"/>
    </xf>
    <xf numFmtId="1" fontId="87" fillId="6" borderId="58" xfId="160" applyNumberFormat="1" applyFont="1" applyBorder="1" applyAlignment="1">
      <alignment horizontal="center" vertical="center" wrapText="1"/>
    </xf>
    <xf numFmtId="1" fontId="87" fillId="6" borderId="61" xfId="160" applyNumberFormat="1" applyFont="1" applyBorder="1" applyAlignment="1">
      <alignment horizontal="center" vertical="center"/>
    </xf>
    <xf numFmtId="1" fontId="87" fillId="6" borderId="71" xfId="160" applyNumberFormat="1" applyFont="1" applyBorder="1" applyAlignment="1">
      <alignment horizontal="center" vertical="center"/>
    </xf>
    <xf numFmtId="0" fontId="98" fillId="0" borderId="120" xfId="177" applyFont="1" applyBorder="1" applyAlignment="1">
      <alignment horizontal="center" vertical="center" wrapText="1"/>
    </xf>
    <xf numFmtId="0" fontId="98" fillId="0" borderId="120" xfId="177" applyFont="1" applyBorder="1" applyAlignment="1">
      <alignment horizontal="center" vertical="center"/>
    </xf>
    <xf numFmtId="0" fontId="84" fillId="0" borderId="263" xfId="177" applyFont="1" applyBorder="1" applyAlignment="1">
      <alignment horizontal="center" vertical="center" wrapText="1"/>
    </xf>
    <xf numFmtId="0" fontId="84" fillId="0" borderId="262" xfId="177" applyFont="1" applyBorder="1" applyAlignment="1">
      <alignment horizontal="center" vertical="center" wrapText="1"/>
    </xf>
    <xf numFmtId="0" fontId="96" fillId="0" borderId="74" xfId="177" applyFont="1" applyBorder="1" applyAlignment="1">
      <alignment horizontal="center" vertical="center" wrapText="1"/>
    </xf>
    <xf numFmtId="0" fontId="96" fillId="0" borderId="58" xfId="177" applyFont="1" applyBorder="1" applyAlignment="1">
      <alignment horizontal="center" vertical="center" wrapText="1"/>
    </xf>
    <xf numFmtId="0" fontId="87" fillId="0" borderId="74" xfId="177" applyFont="1" applyBorder="1" applyAlignment="1">
      <alignment horizontal="center" vertical="center" wrapText="1"/>
    </xf>
    <xf numFmtId="0" fontId="87" fillId="0" borderId="72" xfId="177" applyFont="1" applyBorder="1" applyAlignment="1">
      <alignment horizontal="center" vertical="center" wrapText="1"/>
    </xf>
    <xf numFmtId="0" fontId="87" fillId="0" borderId="58" xfId="177" applyFont="1" applyBorder="1" applyAlignment="1">
      <alignment horizontal="center" vertical="center" wrapText="1"/>
    </xf>
    <xf numFmtId="0" fontId="2" fillId="0" borderId="61" xfId="177" applyBorder="1" applyAlignment="1">
      <alignment horizontal="center" wrapText="1"/>
    </xf>
    <xf numFmtId="0" fontId="2" fillId="0" borderId="62" xfId="177" applyBorder="1" applyAlignment="1">
      <alignment horizontal="center" wrapText="1"/>
    </xf>
    <xf numFmtId="0" fontId="2" fillId="0" borderId="67" xfId="177" applyBorder="1" applyAlignment="1">
      <alignment horizontal="center" wrapText="1"/>
    </xf>
    <xf numFmtId="0" fontId="2" fillId="0" borderId="63" xfId="177" applyBorder="1" applyAlignment="1">
      <alignment horizontal="center" wrapText="1"/>
    </xf>
    <xf numFmtId="0" fontId="84" fillId="0" borderId="127" xfId="177" applyFont="1" applyBorder="1" applyAlignment="1">
      <alignment horizontal="center" vertical="center" wrapText="1"/>
    </xf>
    <xf numFmtId="0" fontId="84" fillId="0" borderId="261" xfId="177" applyFont="1" applyBorder="1" applyAlignment="1">
      <alignment horizontal="center" vertical="center" wrapText="1"/>
    </xf>
    <xf numFmtId="0" fontId="84" fillId="0" borderId="128" xfId="177" applyFont="1" applyBorder="1" applyAlignment="1">
      <alignment horizontal="center" vertical="center" wrapText="1"/>
    </xf>
    <xf numFmtId="0" fontId="82" fillId="0" borderId="120" xfId="177" applyFont="1" applyBorder="1" applyAlignment="1">
      <alignment horizontal="center"/>
    </xf>
    <xf numFmtId="0" fontId="98" fillId="66" borderId="74" xfId="177" applyFont="1" applyFill="1" applyBorder="1" applyAlignment="1" applyProtection="1">
      <alignment horizontal="left"/>
    </xf>
    <xf numFmtId="0" fontId="98" fillId="66" borderId="72" xfId="177" applyFont="1" applyFill="1" applyBorder="1" applyAlignment="1" applyProtection="1">
      <alignment horizontal="left"/>
    </xf>
    <xf numFmtId="0" fontId="98" fillId="66" borderId="58" xfId="177" applyFont="1" applyFill="1" applyBorder="1" applyAlignment="1" applyProtection="1">
      <alignment horizontal="left"/>
    </xf>
    <xf numFmtId="0" fontId="91" fillId="6" borderId="120" xfId="177" applyFont="1" applyFill="1" applyBorder="1" applyAlignment="1">
      <alignment horizontal="center" vertical="center"/>
    </xf>
    <xf numFmtId="0" fontId="91" fillId="6" borderId="74" xfId="177" applyFont="1" applyFill="1" applyBorder="1" applyAlignment="1">
      <alignment horizontal="center" vertical="center"/>
    </xf>
    <xf numFmtId="0" fontId="87" fillId="6" borderId="72" xfId="160" applyFont="1" applyBorder="1" applyAlignment="1">
      <alignment horizontal="center" vertical="center" wrapText="1"/>
    </xf>
    <xf numFmtId="179" fontId="102" fillId="66" borderId="74" xfId="177" applyNumberFormat="1" applyFont="1" applyFill="1" applyBorder="1" applyAlignment="1">
      <alignment horizontal="left" vertical="center"/>
    </xf>
    <xf numFmtId="179" fontId="102" fillId="66" borderId="72" xfId="177" applyNumberFormat="1" applyFont="1" applyFill="1" applyBorder="1" applyAlignment="1">
      <alignment horizontal="left" vertical="center"/>
    </xf>
    <xf numFmtId="0" fontId="91" fillId="2" borderId="120" xfId="177" applyFont="1" applyFill="1" applyBorder="1" applyAlignment="1">
      <alignment horizontal="center" vertical="center" wrapText="1"/>
    </xf>
    <xf numFmtId="3" fontId="95" fillId="6" borderId="120" xfId="178" applyFont="1" applyAlignment="1" applyProtection="1">
      <alignment horizontal="center" vertical="center"/>
    </xf>
    <xf numFmtId="0" fontId="82" fillId="0" borderId="74" xfId="177" applyFont="1" applyBorder="1" applyAlignment="1">
      <alignment horizontal="center" vertical="center" wrapText="1"/>
    </xf>
    <xf numFmtId="0" fontId="82" fillId="0" borderId="72" xfId="177" applyFont="1" applyBorder="1" applyAlignment="1">
      <alignment horizontal="center" vertical="center" wrapText="1"/>
    </xf>
    <xf numFmtId="0" fontId="82" fillId="0" borderId="120" xfId="177" applyFont="1" applyBorder="1" applyAlignment="1">
      <alignment horizontal="center" vertical="center" wrapText="1"/>
    </xf>
    <xf numFmtId="0" fontId="82" fillId="0" borderId="127" xfId="177" applyFont="1" applyBorder="1" applyAlignment="1">
      <alignment horizontal="center" vertical="center" wrapText="1"/>
    </xf>
    <xf numFmtId="0" fontId="82" fillId="0" borderId="128" xfId="177" applyFont="1" applyBorder="1" applyAlignment="1">
      <alignment horizontal="center" vertical="center" wrapText="1"/>
    </xf>
    <xf numFmtId="0" fontId="82" fillId="0" borderId="120" xfId="177" applyFont="1" applyBorder="1" applyAlignment="1">
      <alignment horizontal="center" vertical="center"/>
    </xf>
    <xf numFmtId="0" fontId="2" fillId="0" borderId="72" xfId="177" applyBorder="1" applyAlignment="1">
      <alignment horizontal="left" vertical="center" indent="1"/>
    </xf>
    <xf numFmtId="0" fontId="2" fillId="0" borderId="58" xfId="177" applyBorder="1" applyAlignment="1">
      <alignment horizontal="left" vertical="center" indent="1"/>
    </xf>
    <xf numFmtId="0" fontId="2" fillId="0" borderId="120" xfId="177" applyBorder="1" applyAlignment="1">
      <alignment horizontal="left" vertical="center" indent="1"/>
    </xf>
    <xf numFmtId="0" fontId="2" fillId="0" borderId="72" xfId="177" applyBorder="1" applyAlignment="1">
      <alignment horizontal="left" vertical="center" wrapText="1"/>
    </xf>
    <xf numFmtId="0" fontId="2" fillId="0" borderId="58" xfId="177" applyBorder="1" applyAlignment="1">
      <alignment horizontal="left" vertical="center" wrapText="1"/>
    </xf>
    <xf numFmtId="0" fontId="2" fillId="0" borderId="58" xfId="177" applyBorder="1" applyAlignment="1">
      <alignment horizontal="left" vertical="center"/>
    </xf>
    <xf numFmtId="0" fontId="2" fillId="0" borderId="120" xfId="177" applyBorder="1" applyAlignment="1">
      <alignment horizontal="left" vertical="center"/>
    </xf>
    <xf numFmtId="3" fontId="41" fillId="6" borderId="127" xfId="11" applyFont="1" applyFill="1" applyBorder="1" applyAlignment="1" applyProtection="1">
      <alignment horizontal="center" vertical="center" wrapText="1"/>
    </xf>
    <xf numFmtId="3" fontId="41" fillId="6" borderId="128" xfId="11" applyFont="1" applyFill="1" applyBorder="1" applyAlignment="1" applyProtection="1">
      <alignment horizontal="center" vertical="center" wrapText="1"/>
    </xf>
    <xf numFmtId="0" fontId="2" fillId="0" borderId="127" xfId="177" applyBorder="1" applyAlignment="1">
      <alignment horizontal="center" vertical="center"/>
    </xf>
    <xf numFmtId="0" fontId="2" fillId="0" borderId="261" xfId="177" applyBorder="1" applyAlignment="1">
      <alignment horizontal="center" vertical="center"/>
    </xf>
    <xf numFmtId="0" fontId="2" fillId="0" borderId="128" xfId="177" applyBorder="1" applyAlignment="1">
      <alignment horizontal="center" vertical="center"/>
    </xf>
    <xf numFmtId="0" fontId="91" fillId="0" borderId="58" xfId="177" applyFont="1" applyBorder="1" applyAlignment="1">
      <alignment horizontal="left" vertical="center" wrapText="1"/>
    </xf>
    <xf numFmtId="0" fontId="91" fillId="0" borderId="120" xfId="177" applyFont="1" applyBorder="1" applyAlignment="1">
      <alignment horizontal="left" vertical="center" wrapText="1"/>
    </xf>
    <xf numFmtId="0" fontId="91" fillId="0" borderId="74" xfId="177" applyFont="1" applyBorder="1" applyAlignment="1">
      <alignment horizontal="left" vertical="center" wrapText="1"/>
    </xf>
    <xf numFmtId="0" fontId="28" fillId="6" borderId="127" xfId="160" applyFont="1" applyBorder="1">
      <alignment horizontal="center" wrapText="1"/>
    </xf>
    <xf numFmtId="0" fontId="28" fillId="6" borderId="261" xfId="160" applyFont="1" applyBorder="1">
      <alignment horizontal="center" wrapText="1"/>
    </xf>
    <xf numFmtId="0" fontId="28" fillId="6" borderId="61" xfId="160" applyFont="1" applyBorder="1" applyAlignment="1">
      <alignment horizontal="center" vertical="center" wrapText="1"/>
    </xf>
    <xf numFmtId="0" fontId="28" fillId="6" borderId="71" xfId="160" applyFont="1" applyBorder="1" applyAlignment="1">
      <alignment horizontal="center" vertical="center" wrapText="1"/>
    </xf>
    <xf numFmtId="0" fontId="28" fillId="6" borderId="62" xfId="160" applyFont="1" applyBorder="1" applyAlignment="1">
      <alignment horizontal="center" vertical="center" wrapText="1"/>
    </xf>
    <xf numFmtId="0" fontId="28" fillId="6" borderId="41" xfId="160" applyFont="1" applyBorder="1" applyAlignment="1">
      <alignment horizontal="center" vertical="center" wrapText="1"/>
    </xf>
    <xf numFmtId="0" fontId="28" fillId="6" borderId="0" xfId="160" applyFont="1" applyBorder="1" applyAlignment="1">
      <alignment horizontal="center" vertical="center" wrapText="1"/>
    </xf>
    <xf numFmtId="0" fontId="28" fillId="6" borderId="47" xfId="160" applyFont="1" applyBorder="1" applyAlignment="1">
      <alignment horizontal="center" vertical="center" wrapText="1"/>
    </xf>
    <xf numFmtId="0" fontId="28" fillId="6" borderId="67" xfId="160" applyFont="1" applyBorder="1" applyAlignment="1">
      <alignment horizontal="center" vertical="center" wrapText="1"/>
    </xf>
    <xf numFmtId="0" fontId="28" fillId="6" borderId="44" xfId="160" applyFont="1" applyBorder="1" applyAlignment="1">
      <alignment horizontal="center" vertical="center" wrapText="1"/>
    </xf>
    <xf numFmtId="0" fontId="28" fillId="6" borderId="63" xfId="160" applyFont="1" applyBorder="1" applyAlignment="1">
      <alignment horizontal="center" vertical="center" wrapText="1"/>
    </xf>
    <xf numFmtId="0" fontId="41" fillId="6" borderId="127" xfId="160" applyFont="1" applyBorder="1" applyAlignment="1">
      <alignment horizontal="center" vertical="center" wrapText="1"/>
    </xf>
    <xf numFmtId="0" fontId="41" fillId="6" borderId="261" xfId="160" applyFont="1" applyBorder="1" applyAlignment="1">
      <alignment horizontal="center" vertical="center" wrapText="1"/>
    </xf>
    <xf numFmtId="0" fontId="41" fillId="6" borderId="128" xfId="160" applyFont="1" applyBorder="1" applyAlignment="1">
      <alignment horizontal="center" vertical="center" wrapText="1"/>
    </xf>
    <xf numFmtId="0" fontId="82" fillId="0" borderId="74" xfId="177" applyFont="1" applyBorder="1" applyAlignment="1">
      <alignment horizontal="center" vertical="center"/>
    </xf>
    <xf numFmtId="0" fontId="82" fillId="0" borderId="72" xfId="177" applyFont="1" applyBorder="1" applyAlignment="1">
      <alignment horizontal="center" vertical="center"/>
    </xf>
    <xf numFmtId="0" fontId="82" fillId="0" borderId="58" xfId="177" applyFont="1" applyBorder="1" applyAlignment="1">
      <alignment horizontal="center" vertical="center"/>
    </xf>
    <xf numFmtId="0" fontId="91" fillId="0" borderId="58" xfId="177" applyFont="1" applyBorder="1" applyAlignment="1">
      <alignment horizontal="left" vertical="center"/>
    </xf>
    <xf numFmtId="0" fontId="91" fillId="0" borderId="120" xfId="177" applyFont="1" applyBorder="1" applyAlignment="1">
      <alignment horizontal="left" vertical="center"/>
    </xf>
    <xf numFmtId="0" fontId="2" fillId="0" borderId="261" xfId="177" applyBorder="1" applyAlignment="1">
      <alignment horizontal="center" vertical="center" wrapText="1"/>
    </xf>
    <xf numFmtId="0" fontId="2" fillId="0" borderId="120" xfId="177" applyBorder="1" applyAlignment="1">
      <alignment horizontal="center" vertical="center" wrapText="1"/>
    </xf>
    <xf numFmtId="0" fontId="91" fillId="0" borderId="127" xfId="177" applyFont="1" applyBorder="1" applyAlignment="1">
      <alignment horizontal="center" vertical="center"/>
    </xf>
    <xf numFmtId="0" fontId="91" fillId="0" borderId="261" xfId="177" applyFont="1" applyBorder="1" applyAlignment="1">
      <alignment horizontal="center" vertical="center"/>
    </xf>
    <xf numFmtId="0" fontId="91" fillId="0" borderId="128" xfId="177" applyFont="1" applyBorder="1" applyAlignment="1">
      <alignment horizontal="center" vertical="center"/>
    </xf>
    <xf numFmtId="0" fontId="2" fillId="0" borderId="128" xfId="177" applyBorder="1" applyAlignment="1">
      <alignment horizontal="center" vertical="center" wrapText="1"/>
    </xf>
    <xf numFmtId="179" fontId="102" fillId="46" borderId="74" xfId="177" applyNumberFormat="1" applyFont="1" applyFill="1" applyBorder="1" applyAlignment="1" applyProtection="1">
      <alignment horizontal="center" vertical="center"/>
    </xf>
    <xf numFmtId="179" fontId="102" fillId="46" borderId="72" xfId="177" applyNumberFormat="1" applyFont="1" applyFill="1" applyBorder="1" applyAlignment="1" applyProtection="1">
      <alignment horizontal="center" vertical="center"/>
    </xf>
    <xf numFmtId="179" fontId="102" fillId="46" borderId="58" xfId="177" applyNumberFormat="1" applyFont="1" applyFill="1" applyBorder="1" applyAlignment="1" applyProtection="1">
      <alignment horizontal="center" vertical="center"/>
    </xf>
    <xf numFmtId="0" fontId="28" fillId="6" borderId="120" xfId="160" applyFont="1" applyBorder="1">
      <alignment horizontal="center" wrapText="1"/>
    </xf>
    <xf numFmtId="0" fontId="28" fillId="6" borderId="120" xfId="160" applyFont="1" applyBorder="1" applyAlignment="1">
      <alignment horizontal="center" vertical="center" wrapText="1"/>
    </xf>
    <xf numFmtId="3" fontId="41" fillId="6" borderId="120" xfId="11" applyFont="1" applyFill="1" applyBorder="1" applyAlignment="1" applyProtection="1">
      <alignment horizontal="center" vertical="center"/>
    </xf>
    <xf numFmtId="3" fontId="41" fillId="6" borderId="74" xfId="11" applyFont="1" applyFill="1" applyBorder="1" applyAlignment="1" applyProtection="1">
      <alignment horizontal="center" vertical="center"/>
    </xf>
    <xf numFmtId="3" fontId="41" fillId="6" borderId="72" xfId="11" applyFont="1" applyFill="1" applyBorder="1" applyAlignment="1" applyProtection="1">
      <alignment horizontal="center" vertical="center"/>
    </xf>
    <xf numFmtId="3" fontId="41" fillId="6" borderId="58" xfId="11" applyFont="1" applyFill="1" applyBorder="1" applyAlignment="1" applyProtection="1">
      <alignment horizontal="center" vertical="center"/>
    </xf>
    <xf numFmtId="0" fontId="2" fillId="0" borderId="74" xfId="177" applyBorder="1" applyAlignment="1">
      <alignment horizontal="center" vertical="center" wrapText="1"/>
    </xf>
    <xf numFmtId="0" fontId="2" fillId="0" borderId="120" xfId="177" applyBorder="1" applyAlignment="1">
      <alignment horizontal="left" vertical="center" wrapText="1"/>
    </xf>
    <xf numFmtId="0" fontId="2" fillId="0" borderId="74" xfId="177" applyBorder="1" applyAlignment="1">
      <alignment horizontal="left" vertical="center" wrapText="1"/>
    </xf>
    <xf numFmtId="0" fontId="2" fillId="0" borderId="74" xfId="177" applyBorder="1" applyAlignment="1">
      <alignment horizontal="left" vertical="center"/>
    </xf>
    <xf numFmtId="0" fontId="96" fillId="0" borderId="127" xfId="177" applyFont="1" applyBorder="1" applyAlignment="1">
      <alignment horizontal="center" vertical="center" wrapText="1"/>
    </xf>
    <xf numFmtId="0" fontId="96" fillId="0" borderId="128" xfId="177" applyFont="1" applyBorder="1" applyAlignment="1">
      <alignment horizontal="center" vertical="center" wrapText="1"/>
    </xf>
    <xf numFmtId="0" fontId="82" fillId="0" borderId="58" xfId="177" applyFont="1" applyBorder="1" applyAlignment="1">
      <alignment horizontal="center" vertical="center" wrapText="1"/>
    </xf>
    <xf numFmtId="0" fontId="82" fillId="0" borderId="61" xfId="177" applyFont="1" applyBorder="1" applyAlignment="1">
      <alignment horizontal="center" vertical="center" wrapText="1"/>
    </xf>
    <xf numFmtId="0" fontId="82" fillId="0" borderId="71" xfId="177" applyFont="1" applyBorder="1" applyAlignment="1">
      <alignment horizontal="center" vertical="center" wrapText="1"/>
    </xf>
    <xf numFmtId="0" fontId="82" fillId="0" borderId="62" xfId="177" applyFont="1" applyBorder="1" applyAlignment="1">
      <alignment horizontal="center" vertical="center" wrapText="1"/>
    </xf>
    <xf numFmtId="0" fontId="82" fillId="0" borderId="67" xfId="177" applyFont="1" applyBorder="1" applyAlignment="1">
      <alignment horizontal="center" vertical="center" wrapText="1"/>
    </xf>
    <xf numFmtId="0" fontId="82" fillId="0" borderId="44" xfId="177" applyFont="1" applyBorder="1" applyAlignment="1">
      <alignment horizontal="center" vertical="center" wrapText="1"/>
    </xf>
    <xf numFmtId="0" fontId="82" fillId="0" borderId="63" xfId="177" applyFont="1" applyBorder="1" applyAlignment="1">
      <alignment horizontal="center" vertical="center" wrapText="1"/>
    </xf>
    <xf numFmtId="0" fontId="96" fillId="0" borderId="61" xfId="177" applyFont="1" applyBorder="1" applyAlignment="1">
      <alignment horizontal="center" vertical="center" wrapText="1"/>
    </xf>
    <xf numFmtId="0" fontId="96" fillId="0" borderId="62" xfId="177" applyFont="1" applyBorder="1" applyAlignment="1">
      <alignment horizontal="center" vertical="center" wrapText="1"/>
    </xf>
    <xf numFmtId="0" fontId="96" fillId="0" borderId="67" xfId="177" applyFont="1" applyBorder="1" applyAlignment="1">
      <alignment horizontal="center" vertical="center" wrapText="1"/>
    </xf>
    <xf numFmtId="0" fontId="96" fillId="0" borderId="63" xfId="177" applyFont="1" applyBorder="1" applyAlignment="1">
      <alignment horizontal="center" vertical="center" wrapText="1"/>
    </xf>
    <xf numFmtId="0" fontId="82" fillId="0" borderId="261" xfId="177" applyFont="1" applyBorder="1" applyAlignment="1">
      <alignment horizontal="center" vertical="center" wrapText="1"/>
    </xf>
    <xf numFmtId="0" fontId="82" fillId="0" borderId="127" xfId="177" applyFont="1" applyBorder="1" applyAlignment="1">
      <alignment horizontal="center" vertical="center"/>
    </xf>
    <xf numFmtId="0" fontId="82" fillId="0" borderId="128" xfId="177" applyFont="1" applyBorder="1" applyAlignment="1">
      <alignment horizontal="center" vertical="center"/>
    </xf>
    <xf numFmtId="49" fontId="91" fillId="6" borderId="120" xfId="19" applyFont="1" applyFill="1" applyBorder="1" applyAlignment="1" applyProtection="1">
      <alignment horizontal="left" vertical="center" wrapText="1"/>
    </xf>
    <xf numFmtId="49" fontId="98" fillId="66" borderId="74" xfId="19" applyFont="1" applyFill="1" applyBorder="1" applyAlignment="1" applyProtection="1">
      <alignment horizontal="left" vertical="center"/>
    </xf>
    <xf numFmtId="49" fontId="98" fillId="66" borderId="72" xfId="19" applyFont="1" applyFill="1" applyBorder="1" applyAlignment="1" applyProtection="1">
      <alignment horizontal="left" vertical="center"/>
    </xf>
    <xf numFmtId="49" fontId="98" fillId="66" borderId="58" xfId="19" applyFont="1" applyFill="1" applyBorder="1" applyAlignment="1" applyProtection="1">
      <alignment horizontal="left" vertical="center"/>
    </xf>
    <xf numFmtId="49" fontId="98" fillId="0" borderId="120" xfId="19" applyFont="1" applyFill="1" applyBorder="1" applyAlignment="1" applyProtection="1">
      <alignment horizontal="left" vertical="center" wrapText="1"/>
    </xf>
    <xf numFmtId="0" fontId="87" fillId="0" borderId="120" xfId="160" applyFont="1" applyFill="1" applyBorder="1" applyAlignment="1">
      <alignment horizontal="center" vertical="center" wrapText="1"/>
    </xf>
    <xf numFmtId="49" fontId="98" fillId="66" borderId="74" xfId="19" applyFont="1" applyFill="1" applyBorder="1" applyAlignment="1" applyProtection="1">
      <alignment horizontal="left" vertical="center" wrapText="1"/>
    </xf>
    <xf numFmtId="49" fontId="98" fillId="66" borderId="72" xfId="19" applyFont="1" applyFill="1" applyBorder="1" applyAlignment="1" applyProtection="1">
      <alignment horizontal="left" vertical="center" wrapText="1"/>
    </xf>
    <xf numFmtId="49" fontId="98" fillId="66" borderId="58" xfId="19" applyFont="1" applyFill="1" applyBorder="1" applyAlignment="1" applyProtection="1">
      <alignment horizontal="left" vertical="center" wrapText="1"/>
    </xf>
    <xf numFmtId="49" fontId="98" fillId="6" borderId="120" xfId="19" applyFont="1" applyFill="1" applyBorder="1" applyAlignment="1" applyProtection="1">
      <alignment horizontal="left" vertical="center" wrapText="1"/>
    </xf>
    <xf numFmtId="49" fontId="103" fillId="6" borderId="120" xfId="19" applyFont="1" applyFill="1" applyBorder="1" applyAlignment="1" applyProtection="1">
      <alignment horizontal="left" vertical="center" wrapText="1"/>
    </xf>
    <xf numFmtId="49" fontId="91" fillId="6" borderId="120" xfId="19" applyFont="1" applyFill="1" applyBorder="1" applyAlignment="1" applyProtection="1">
      <alignment vertical="center" wrapText="1"/>
    </xf>
    <xf numFmtId="49" fontId="103" fillId="6" borderId="120" xfId="19" applyFont="1" applyFill="1" applyBorder="1" applyAlignment="1" applyProtection="1">
      <alignment vertical="center" wrapText="1"/>
    </xf>
    <xf numFmtId="0" fontId="91" fillId="0" borderId="120" xfId="177" applyFont="1" applyBorder="1" applyAlignment="1" applyProtection="1">
      <alignment horizontal="left" vertical="center" wrapText="1"/>
    </xf>
    <xf numFmtId="0" fontId="98" fillId="0" borderId="120" xfId="177" applyFont="1" applyBorder="1" applyAlignment="1" applyProtection="1">
      <alignment horizontal="left" vertical="center" wrapText="1"/>
    </xf>
    <xf numFmtId="0" fontId="0" fillId="6" borderId="53" xfId="0" applyBorder="1" applyAlignment="1">
      <alignment horizontal="left" vertical="center" wrapText="1"/>
    </xf>
    <xf numFmtId="0" fontId="0" fillId="6" borderId="16" xfId="0" applyBorder="1" applyAlignment="1">
      <alignment horizontal="left" vertical="center" wrapText="1"/>
    </xf>
    <xf numFmtId="0" fontId="0" fillId="6" borderId="72" xfId="0" applyBorder="1" applyAlignment="1">
      <alignment horizontal="left" vertical="center" wrapText="1"/>
    </xf>
    <xf numFmtId="0" fontId="0" fillId="6" borderId="50" xfId="0" applyBorder="1" applyAlignment="1">
      <alignment horizontal="left" vertical="center" wrapText="1"/>
    </xf>
    <xf numFmtId="0" fontId="26" fillId="6" borderId="72" xfId="0" applyFont="1" applyBorder="1" applyAlignment="1">
      <alignment horizontal="center" vertical="center"/>
    </xf>
    <xf numFmtId="0" fontId="26" fillId="2" borderId="18" xfId="0" applyFont="1" applyFill="1" applyBorder="1" applyAlignment="1">
      <alignment horizontal="left" vertical="center" wrapText="1"/>
    </xf>
    <xf numFmtId="0" fontId="26" fillId="2" borderId="16" xfId="0" applyFont="1" applyFill="1" applyBorder="1" applyAlignment="1">
      <alignment horizontal="left" vertical="center" wrapText="1"/>
    </xf>
    <xf numFmtId="0" fontId="26" fillId="2" borderId="19" xfId="0" applyFont="1" applyFill="1" applyBorder="1" applyAlignment="1">
      <alignment horizontal="left" vertical="center" wrapText="1"/>
    </xf>
    <xf numFmtId="0" fontId="26" fillId="2" borderId="17" xfId="0" applyFont="1" applyFill="1" applyBorder="1" applyAlignment="1">
      <alignment horizontal="left" vertical="center" wrapText="1"/>
    </xf>
    <xf numFmtId="0" fontId="26" fillId="6" borderId="52" xfId="0" applyFont="1" applyBorder="1" applyAlignment="1">
      <alignment horizontal="center" vertical="center"/>
    </xf>
    <xf numFmtId="0" fontId="26" fillId="2" borderId="18" xfId="0" applyFont="1" applyFill="1" applyBorder="1" applyAlignment="1">
      <alignment horizontal="left" vertical="center" wrapText="1" indent="1"/>
    </xf>
    <xf numFmtId="0" fontId="26" fillId="2" borderId="16" xfId="0" applyFont="1" applyFill="1" applyBorder="1" applyAlignment="1">
      <alignment horizontal="left" vertical="center" wrapText="1" indent="1"/>
    </xf>
    <xf numFmtId="0" fontId="0" fillId="2" borderId="16" xfId="0" applyFill="1" applyBorder="1" applyAlignment="1">
      <alignment horizontal="left" vertical="center" wrapText="1"/>
    </xf>
    <xf numFmtId="0" fontId="28" fillId="6" borderId="53" xfId="0" applyFont="1" applyBorder="1" applyAlignment="1">
      <alignment horizontal="left" vertical="center"/>
    </xf>
    <xf numFmtId="0" fontId="28" fillId="6" borderId="16" xfId="0" applyFont="1" applyBorder="1" applyAlignment="1">
      <alignment horizontal="left" vertical="center"/>
    </xf>
    <xf numFmtId="0" fontId="28" fillId="6" borderId="17" xfId="0" applyFont="1" applyBorder="1" applyAlignment="1">
      <alignment horizontal="left" vertical="center"/>
    </xf>
    <xf numFmtId="0" fontId="28" fillId="6" borderId="71" xfId="0" applyFont="1" applyBorder="1" applyAlignment="1">
      <alignment horizontal="center" vertical="center"/>
    </xf>
    <xf numFmtId="0" fontId="28" fillId="6" borderId="0" xfId="0" applyFont="1" applyAlignment="1">
      <alignment horizontal="center" vertical="center"/>
    </xf>
    <xf numFmtId="0" fontId="28" fillId="6" borderId="44" xfId="0" applyFont="1" applyBorder="1" applyAlignment="1">
      <alignment horizontal="center" vertical="center"/>
    </xf>
    <xf numFmtId="0" fontId="28" fillId="46" borderId="71" xfId="0" applyFont="1" applyFill="1" applyBorder="1" applyAlignment="1">
      <alignment horizontal="left" vertical="center"/>
    </xf>
    <xf numFmtId="0" fontId="28" fillId="46" borderId="72" xfId="0" applyFont="1" applyFill="1" applyBorder="1" applyAlignment="1">
      <alignment horizontal="left"/>
    </xf>
    <xf numFmtId="0" fontId="28" fillId="6" borderId="23" xfId="0" applyFont="1" applyBorder="1" applyAlignment="1">
      <alignment horizontal="left" vertical="center"/>
    </xf>
    <xf numFmtId="0" fontId="28" fillId="6" borderId="32" xfId="0" applyFont="1" applyBorder="1" applyAlignment="1">
      <alignment horizontal="center" vertical="center"/>
    </xf>
  </cellXfs>
  <cellStyles count="179">
    <cellStyle name="20% - Colore 1" xfId="85" builtinId="30" hidden="1"/>
    <cellStyle name="20% - Colore 2" xfId="89" builtinId="34" hidden="1"/>
    <cellStyle name="20% - Colore 3" xfId="93" builtinId="38" hidden="1"/>
    <cellStyle name="20% - Colore 4" xfId="97" builtinId="42" hidden="1"/>
    <cellStyle name="20% - Colore 5" xfId="101" builtinId="46" hidden="1"/>
    <cellStyle name="20% - Colore 6" xfId="105" builtinId="50" hidden="1"/>
    <cellStyle name="40% - Colore 1" xfId="86" builtinId="31" hidden="1"/>
    <cellStyle name="40% - Colore 2" xfId="90" builtinId="35" hidden="1"/>
    <cellStyle name="40% - Colore 3" xfId="94" builtinId="39" hidden="1"/>
    <cellStyle name="40% - Colore 4" xfId="98" builtinId="43" hidden="1"/>
    <cellStyle name="40% - Colore 5" xfId="102" builtinId="47" hidden="1"/>
    <cellStyle name="40% - Colore 6" xfId="106" builtinId="51" hidden="1"/>
    <cellStyle name="60% - Colore 1" xfId="87" builtinId="32" hidden="1"/>
    <cellStyle name="60% - Colore 2" xfId="91" builtinId="36" hidden="1"/>
    <cellStyle name="60% - Colore 3" xfId="95" builtinId="40" hidden="1"/>
    <cellStyle name="60% - Colore 4" xfId="99" builtinId="44" hidden="1"/>
    <cellStyle name="60% - Colore 5" xfId="103" builtinId="48" hidden="1"/>
    <cellStyle name="60% - Colore 6" xfId="107" builtinId="52" hidden="1"/>
    <cellStyle name="Calcolo" xfId="130" builtinId="22" hidden="1"/>
    <cellStyle name="Calcolo" xfId="65" builtinId="22" hidden="1"/>
    <cellStyle name="Calcolo" xfId="78" builtinId="22" hidden="1"/>
    <cellStyle name="Cella collegata" xfId="66" builtinId="24" hidden="1"/>
    <cellStyle name="Cella collegata" xfId="79" builtinId="24" hidden="1"/>
    <cellStyle name="Cella da controllare" xfId="67" builtinId="23" hidden="1"/>
    <cellStyle name="Cella da controllare" xfId="80" builtinId="23" hidden="1"/>
    <cellStyle name="checkExposure" xfId="1"/>
    <cellStyle name="checkExposure 2" xfId="178"/>
    <cellStyle name="checkResult" xfId="2"/>
    <cellStyle name="Colore 1" xfId="84" builtinId="29" hidden="1"/>
    <cellStyle name="Colore 1" xfId="115" builtinId="29" hidden="1"/>
    <cellStyle name="Colore 2" xfId="88" builtinId="33" hidden="1"/>
    <cellStyle name="Colore 3" xfId="92" builtinId="37" hidden="1"/>
    <cellStyle name="Colore 4" xfId="96" builtinId="41" hidden="1"/>
    <cellStyle name="Colore 5" xfId="100" builtinId="45" hidden="1"/>
    <cellStyle name="Colore 6" xfId="104" builtinId="49" hidden="1"/>
    <cellStyle name="greyed" xfId="3"/>
    <cellStyle name="greyed 2" xfId="152"/>
    <cellStyle name="Heading 1" xfId="4"/>
    <cellStyle name="Heading 1 2" xfId="155"/>
    <cellStyle name="Heading 2" xfId="114" hidden="1"/>
    <cellStyle name="Heading 2" xfId="117" hidden="1"/>
    <cellStyle name="Heading 2" xfId="116"/>
    <cellStyle name="Heading 2 2" xfId="128" hidden="1"/>
    <cellStyle name="Heading 2 2" xfId="126" hidden="1"/>
    <cellStyle name="Heading 2 2" xfId="118" hidden="1"/>
    <cellStyle name="Heading 2 2" xfId="124" hidden="1"/>
    <cellStyle name="Heading 2 2" xfId="120" hidden="1"/>
    <cellStyle name="Heading 2 2" xfId="122" hidden="1"/>
    <cellStyle name="Heading 2 2" xfId="141" hidden="1"/>
    <cellStyle name="Heading 2 2" xfId="139" hidden="1"/>
    <cellStyle name="Heading 2 2" xfId="133" hidden="1"/>
    <cellStyle name="Heading 2 2" xfId="137" hidden="1"/>
    <cellStyle name="Heading 2 2" xfId="135" hidden="1"/>
    <cellStyle name="Heading 2 2" xfId="131" hidden="1"/>
    <cellStyle name="Heading 2 2" xfId="157"/>
    <cellStyle name="Heading 2 3" xfId="119" hidden="1"/>
    <cellStyle name="Heading 2 3" xfId="123" hidden="1"/>
    <cellStyle name="Heading 2 3" xfId="121" hidden="1"/>
    <cellStyle name="Heading 2 3" xfId="125" hidden="1"/>
    <cellStyle name="Heading 2 3" xfId="129" hidden="1"/>
    <cellStyle name="Heading 2 3" xfId="127" hidden="1"/>
    <cellStyle name="Heading 2 3" xfId="134" hidden="1"/>
    <cellStyle name="Heading 2 3" xfId="132" hidden="1"/>
    <cellStyle name="Heading 2 3" xfId="136" hidden="1"/>
    <cellStyle name="Heading 2 3" xfId="142" hidden="1"/>
    <cellStyle name="Heading 2 3" xfId="140" hidden="1"/>
    <cellStyle name="Heading 2 3" xfId="138" hidden="1"/>
    <cellStyle name="HeadingTable" xfId="5"/>
    <cellStyle name="HeadingTable 2" xfId="148"/>
    <cellStyle name="HeadingTable 2 2" xfId="160"/>
    <cellStyle name="HeadingTable 3" xfId="162"/>
    <cellStyle name="highlightExposure" xfId="6"/>
    <cellStyle name="highlightPD" xfId="7"/>
    <cellStyle name="highlightPercentage" xfId="8"/>
    <cellStyle name="highlightText" xfId="9"/>
    <cellStyle name="Input" xfId="63" builtinId="20" hidden="1"/>
    <cellStyle name="Input" xfId="76" builtinId="20" hidden="1"/>
    <cellStyle name="inputDate" xfId="10"/>
    <cellStyle name="inputExposure" xfId="11"/>
    <cellStyle name="inputMaturity" xfId="12"/>
    <cellStyle name="inputParameterE" xfId="13"/>
    <cellStyle name="inputPD" xfId="14"/>
    <cellStyle name="inputPercentage" xfId="15"/>
    <cellStyle name="inputPercentageL" xfId="16"/>
    <cellStyle name="inputPercentageS" xfId="17"/>
    <cellStyle name="inputSelection" xfId="18"/>
    <cellStyle name="inputText" xfId="19"/>
    <cellStyle name="Migliaia" xfId="111" builtinId="3" hidden="1"/>
    <cellStyle name="Migliaia [0]" xfId="108" builtinId="6" hidden="1"/>
    <cellStyle name="Neutrale" xfId="62" builtinId="28" hidden="1"/>
    <cellStyle name="Neutrale" xfId="75" builtinId="28" hidden="1"/>
    <cellStyle name="Normal 2" xfId="156"/>
    <cellStyle name="Normal 2 2" xfId="177"/>
    <cellStyle name="Normal 3" xfId="149"/>
    <cellStyle name="Normal 3 2" xfId="164"/>
    <cellStyle name="Normal 3 2 2" xfId="169"/>
    <cellStyle name="Normal 3 2 3" xfId="174"/>
    <cellStyle name="Normal 3 6 2 3 2" xfId="151"/>
    <cellStyle name="Normal 3 6 2 3 2 2" xfId="165"/>
    <cellStyle name="Normal 3 6 2 3 2 2 2" xfId="170"/>
    <cellStyle name="Normal 3 6 2 3 2 2 3" xfId="175"/>
    <cellStyle name="Normale" xfId="0" builtinId="0" customBuiltin="1"/>
    <cellStyle name="optionalDate" xfId="110"/>
    <cellStyle name="optionalExposure" xfId="20"/>
    <cellStyle name="optionalMaturity" xfId="21"/>
    <cellStyle name="optionalPD" xfId="22"/>
    <cellStyle name="optionalPercentage" xfId="23"/>
    <cellStyle name="optionalPercentageL" xfId="24"/>
    <cellStyle name="optionalPercentageS" xfId="25"/>
    <cellStyle name="optionalSelection" xfId="26"/>
    <cellStyle name="optionalText" xfId="27"/>
    <cellStyle name="Output" xfId="64" builtinId="21" hidden="1"/>
    <cellStyle name="Output" xfId="77" builtinId="21" hidden="1"/>
    <cellStyle name="Percent" xfId="113" hidden="1"/>
    <cellStyle name="Percent 2 2 3" xfId="159"/>
    <cellStyle name="Percent 2 2 3 2" xfId="168"/>
    <cellStyle name="Percent 2 2 3 3" xfId="173"/>
    <cellStyle name="Percentuale" xfId="143" builtinId="5" hidden="1"/>
    <cellStyle name="reviseExposure" xfId="28"/>
    <cellStyle name="showCheck" xfId="144"/>
    <cellStyle name="showCheck 2" xfId="153"/>
    <cellStyle name="showCheckYN" xfId="29"/>
    <cellStyle name="showCheckYN 2" xfId="161"/>
    <cellStyle name="showDate" xfId="146"/>
    <cellStyle name="showExposure" xfId="30"/>
    <cellStyle name="showExposure 2 2" xfId="147"/>
    <cellStyle name="showExposure 2 2 2" xfId="163"/>
    <cellStyle name="showParameterE" xfId="31"/>
    <cellStyle name="showParameterS" xfId="32"/>
    <cellStyle name="showPD" xfId="33"/>
    <cellStyle name="showPercentage" xfId="34"/>
    <cellStyle name="showSelection" xfId="35"/>
    <cellStyle name="Standard" xfId="145"/>
    <cellStyle name="Standard 2 2 2 2 2 2 3" xfId="167"/>
    <cellStyle name="Standard 2 2 2 2 2 2 3 2" xfId="150"/>
    <cellStyle name="Standard 2 2 2 2 2 2 3 2 2" xfId="166"/>
    <cellStyle name="Standard 2 2 2 2 2 2 3 2 2 2" xfId="171"/>
    <cellStyle name="Standard 2 2 2 2 2 2 3 2 2 3" xfId="176"/>
    <cellStyle name="Standard 2 2 2 2 2 2 3 3" xfId="172"/>
    <cellStyle name="sup2Date" xfId="36"/>
    <cellStyle name="sup2Int" xfId="37"/>
    <cellStyle name="sup2Int 2" xfId="154"/>
    <cellStyle name="sup2ParameterE" xfId="38"/>
    <cellStyle name="sup2Percentage" xfId="39"/>
    <cellStyle name="sup2PercentageL" xfId="40"/>
    <cellStyle name="sup2PercentageM" xfId="41"/>
    <cellStyle name="sup2Selection" xfId="42"/>
    <cellStyle name="sup2Text" xfId="43"/>
    <cellStyle name="sup3ParameterE" xfId="44"/>
    <cellStyle name="sup3Percentage" xfId="45"/>
    <cellStyle name="supDate" xfId="46"/>
    <cellStyle name="supFloat" xfId="47"/>
    <cellStyle name="supInt" xfId="48"/>
    <cellStyle name="supParameterE" xfId="49"/>
    <cellStyle name="supParameterS" xfId="50"/>
    <cellStyle name="supPD" xfId="51"/>
    <cellStyle name="supPercentage" xfId="52"/>
    <cellStyle name="supPercentageL" xfId="53"/>
    <cellStyle name="supPercentageM" xfId="54"/>
    <cellStyle name="supSelection" xfId="55"/>
    <cellStyle name="supSelection 2" xfId="158"/>
    <cellStyle name="supText" xfId="56"/>
    <cellStyle name="Testo avviso" xfId="83" builtinId="11" customBuiltin="1"/>
    <cellStyle name="Testo descrittivo" xfId="68" builtinId="53" hidden="1"/>
    <cellStyle name="Testo descrittivo" xfId="81" builtinId="53" hidden="1"/>
    <cellStyle name="Titolo" xfId="57" builtinId="15" hidden="1"/>
    <cellStyle name="Titolo" xfId="70" builtinId="15" hidden="1"/>
    <cellStyle name="Titolo 3" xfId="58" builtinId="18" hidden="1"/>
    <cellStyle name="Titolo 3" xfId="71" builtinId="18" hidden="1"/>
    <cellStyle name="Titolo 4" xfId="59" builtinId="19" hidden="1"/>
    <cellStyle name="Titolo 4" xfId="72" builtinId="19" hidden="1"/>
    <cellStyle name="Totale" xfId="69" builtinId="25" hidden="1"/>
    <cellStyle name="Totale" xfId="82" builtinId="25" hidden="1"/>
    <cellStyle name="Valore non valido" xfId="61" builtinId="27" hidden="1"/>
    <cellStyle name="Valore non valido" xfId="74" builtinId="27" hidden="1"/>
    <cellStyle name="Valore valido" xfId="60" builtinId="26" hidden="1"/>
    <cellStyle name="Valore valido" xfId="73" builtinId="26" hidden="1"/>
    <cellStyle name="Valuta" xfId="112" builtinId="4" hidden="1"/>
    <cellStyle name="Valuta [0]" xfId="109" builtinId="7" hidden="1"/>
  </cellStyles>
  <dxfs count="10124">
    <dxf>
      <font>
        <color rgb="FF006100"/>
      </font>
      <fill>
        <patternFill>
          <bgColor rgb="FFC6EFCE"/>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AA322F"/>
      </font>
      <fill>
        <patternFill patternType="solid">
          <bgColor theme="0"/>
        </patternFill>
      </fill>
    </dxf>
    <dxf>
      <fill>
        <patternFill>
          <bgColor rgb="FF6CADE1"/>
        </patternFill>
      </fill>
    </dxf>
    <dxf>
      <fill>
        <patternFill>
          <bgColor rgb="FF6CADE1"/>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AA322F"/>
      </font>
    </dxf>
    <dxf>
      <font>
        <b/>
        <i val="0"/>
        <color rgb="FFAA322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b/>
        <i val="0"/>
        <color rgb="FF427F6D"/>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FFEC72"/>
      <color rgb="FFBCBDBC"/>
      <color rgb="FF6CADE1"/>
      <color rgb="FF8BB19A"/>
      <color rgb="FFAA322F"/>
      <color rgb="FFC28191"/>
      <color rgb="FFD5D6D2"/>
      <color rgb="FF427F6D"/>
      <color rgb="FFE3C291"/>
      <color rgb="FFEAA1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2.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952FAE22\EU%20Specific%20Basel%20III%20monitoring%20reporting%20template%20v4.6%20(EBA%20v1.0)_EUCC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FAMIL\Bankit\QIS\QIS_2022\RequisitoFondi_202212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ervisory information"/>
      <sheetName val="Checks"/>
      <sheetName val="General Info"/>
      <sheetName val="EU General Info"/>
      <sheetName val="Requirements"/>
      <sheetName val="DefCap"/>
      <sheetName val="TLAC holdings"/>
      <sheetName val="TLAC"/>
      <sheetName val="Leverage ratio"/>
      <sheetName val="Leverage ratio additional"/>
      <sheetName val="NSFR"/>
      <sheetName val="Credit risk (SA)"/>
      <sheetName val="Credit risk (IRB)"/>
      <sheetName val="EU RRE"/>
      <sheetName val="Securitisation"/>
      <sheetName val="CCR and CVA"/>
      <sheetName val="EU CVA"/>
      <sheetName val="EUCCP"/>
      <sheetName val="TB"/>
      <sheetName val="TB risk class"/>
      <sheetName val="EU TB SSRM"/>
      <sheetName val="TB IMA Backtesting-P&amp;L"/>
      <sheetName val="Crypto"/>
      <sheetName val="Sovereigns"/>
      <sheetName val="OpRisk"/>
      <sheetName val="Parameters"/>
      <sheetName val="EU Parameters"/>
      <sheetName val="fx_tria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1">
          <cell r="D11" t="str">
            <v>No</v>
          </cell>
        </row>
        <row r="12">
          <cell r="D12" t="str">
            <v>Yes, as clearing member according to Article 2(14) EMIR</v>
          </cell>
        </row>
        <row r="13">
          <cell r="D13" t="str">
            <v>Yes, as client of a clearing member according to Article 2(15) EMIR</v>
          </cell>
        </row>
        <row r="14">
          <cell r="D14" t="str">
            <v>Yes, as client that has established indirect clearing arrangements with a clearing member in accordance with Article 4(3) EMIR</v>
          </cell>
        </row>
        <row r="15">
          <cell r="D15" t="str">
            <v>Reporting entity is clearing member</v>
          </cell>
        </row>
        <row r="16">
          <cell r="D16" t="str">
            <v>Intragroup transaction</v>
          </cell>
        </row>
        <row r="17">
          <cell r="D17" t="str">
            <v>Clearing member: Article 303 CRR</v>
          </cell>
        </row>
        <row r="18">
          <cell r="D18" t="str">
            <v xml:space="preserve">Client: Article 305(1) CRR </v>
          </cell>
        </row>
        <row r="19">
          <cell r="D19" t="str">
            <v>Client: Article 305(2) CRR</v>
          </cell>
        </row>
        <row r="20">
          <cell r="D20" t="str">
            <v>Client: Article 305(3) CRR</v>
          </cell>
        </row>
        <row r="21">
          <cell r="D21" t="str">
            <v>IMM</v>
          </cell>
        </row>
        <row r="22">
          <cell r="D22" t="str">
            <v>SA-CCR</v>
          </cell>
        </row>
        <row r="23">
          <cell r="D23" t="str">
            <v>Simplified SA-CCR</v>
          </cell>
        </row>
        <row r="24">
          <cell r="D24" t="str">
            <v>OEM</v>
          </cell>
        </row>
        <row r="25">
          <cell r="D25" t="str">
            <v>AT</v>
          </cell>
        </row>
        <row r="26">
          <cell r="D26" t="str">
            <v>BE</v>
          </cell>
        </row>
        <row r="27">
          <cell r="D27" t="str">
            <v>BG</v>
          </cell>
        </row>
        <row r="28">
          <cell r="D28" t="str">
            <v>HR</v>
          </cell>
        </row>
        <row r="29">
          <cell r="D29" t="str">
            <v>CY</v>
          </cell>
        </row>
        <row r="30">
          <cell r="D30" t="str">
            <v>CZ</v>
          </cell>
        </row>
        <row r="31">
          <cell r="D31" t="str">
            <v>DK</v>
          </cell>
        </row>
        <row r="32">
          <cell r="D32" t="str">
            <v>EE</v>
          </cell>
        </row>
        <row r="33">
          <cell r="D33" t="str">
            <v>FI</v>
          </cell>
        </row>
        <row r="34">
          <cell r="D34" t="str">
            <v>FR</v>
          </cell>
        </row>
        <row r="35">
          <cell r="D35" t="str">
            <v>DE</v>
          </cell>
        </row>
        <row r="36">
          <cell r="D36" t="str">
            <v>GR</v>
          </cell>
        </row>
        <row r="37">
          <cell r="D37" t="str">
            <v>HU</v>
          </cell>
        </row>
        <row r="38">
          <cell r="D38" t="str">
            <v>IE</v>
          </cell>
        </row>
        <row r="39">
          <cell r="D39" t="str">
            <v>IT</v>
          </cell>
        </row>
        <row r="40">
          <cell r="D40" t="str">
            <v>LV</v>
          </cell>
        </row>
        <row r="41">
          <cell r="D41" t="str">
            <v>LT</v>
          </cell>
        </row>
        <row r="42">
          <cell r="D42" t="str">
            <v>LU</v>
          </cell>
        </row>
        <row r="43">
          <cell r="D43" t="str">
            <v>MT</v>
          </cell>
        </row>
        <row r="44">
          <cell r="D44" t="str">
            <v>NL</v>
          </cell>
        </row>
        <row r="45">
          <cell r="D45" t="str">
            <v>PL</v>
          </cell>
        </row>
        <row r="46">
          <cell r="D46" t="str">
            <v>PT</v>
          </cell>
        </row>
        <row r="47">
          <cell r="D47" t="str">
            <v>RO</v>
          </cell>
        </row>
        <row r="48">
          <cell r="D48" t="str">
            <v>SK</v>
          </cell>
        </row>
        <row r="49">
          <cell r="D49" t="str">
            <v>SI</v>
          </cell>
        </row>
        <row r="50">
          <cell r="D50" t="str">
            <v>ES</v>
          </cell>
        </row>
        <row r="51">
          <cell r="D51" t="str">
            <v>SE</v>
          </cell>
        </row>
        <row r="52">
          <cell r="D52" t="str">
            <v>-------</v>
          </cell>
        </row>
        <row r="53">
          <cell r="D53" t="str">
            <v>GB</v>
          </cell>
        </row>
        <row r="54">
          <cell r="D54" t="str">
            <v>US</v>
          </cell>
        </row>
        <row r="55">
          <cell r="D55" t="str">
            <v>NO</v>
          </cell>
        </row>
        <row r="56">
          <cell r="D56" t="str">
            <v>LI</v>
          </cell>
        </row>
        <row r="57">
          <cell r="D57" t="str">
            <v>IS</v>
          </cell>
        </row>
        <row r="58">
          <cell r="D58" t="str">
            <v>-------</v>
          </cell>
        </row>
        <row r="59">
          <cell r="D59" t="str">
            <v>AF</v>
          </cell>
        </row>
        <row r="60">
          <cell r="D60" t="str">
            <v>AX</v>
          </cell>
        </row>
        <row r="61">
          <cell r="D61" t="str">
            <v>AL</v>
          </cell>
        </row>
        <row r="62">
          <cell r="D62" t="str">
            <v>DZ</v>
          </cell>
        </row>
        <row r="63">
          <cell r="D63" t="str">
            <v>AS</v>
          </cell>
        </row>
        <row r="64">
          <cell r="D64" t="str">
            <v>AD</v>
          </cell>
        </row>
        <row r="65">
          <cell r="D65" t="str">
            <v>AO</v>
          </cell>
        </row>
        <row r="66">
          <cell r="D66" t="str">
            <v>AI</v>
          </cell>
        </row>
        <row r="67">
          <cell r="D67" t="str">
            <v>AQ</v>
          </cell>
        </row>
        <row r="68">
          <cell r="D68" t="str">
            <v>AG</v>
          </cell>
        </row>
        <row r="69">
          <cell r="D69" t="str">
            <v>AR</v>
          </cell>
        </row>
        <row r="70">
          <cell r="D70" t="str">
            <v>AM</v>
          </cell>
        </row>
        <row r="71">
          <cell r="D71" t="str">
            <v>AW</v>
          </cell>
        </row>
        <row r="72">
          <cell r="D72" t="str">
            <v>AU</v>
          </cell>
        </row>
        <row r="73">
          <cell r="D73" t="str">
            <v>AZ</v>
          </cell>
        </row>
        <row r="74">
          <cell r="D74" t="str">
            <v>BS</v>
          </cell>
        </row>
        <row r="75">
          <cell r="D75" t="str">
            <v>BH</v>
          </cell>
        </row>
        <row r="76">
          <cell r="D76" t="str">
            <v>BD</v>
          </cell>
        </row>
        <row r="77">
          <cell r="D77" t="str">
            <v>BB</v>
          </cell>
        </row>
        <row r="78">
          <cell r="D78" t="str">
            <v>BY</v>
          </cell>
        </row>
        <row r="79">
          <cell r="D79" t="str">
            <v>BZ</v>
          </cell>
        </row>
        <row r="80">
          <cell r="D80" t="str">
            <v>BJ</v>
          </cell>
        </row>
        <row r="81">
          <cell r="D81" t="str">
            <v>BM</v>
          </cell>
        </row>
        <row r="82">
          <cell r="D82" t="str">
            <v>BT</v>
          </cell>
        </row>
        <row r="83">
          <cell r="D83" t="str">
            <v>BO</v>
          </cell>
        </row>
        <row r="84">
          <cell r="D84" t="str">
            <v>BA</v>
          </cell>
        </row>
        <row r="85">
          <cell r="D85" t="str">
            <v>BW</v>
          </cell>
        </row>
        <row r="86">
          <cell r="D86" t="str">
            <v>BV</v>
          </cell>
        </row>
        <row r="87">
          <cell r="D87" t="str">
            <v>BR</v>
          </cell>
        </row>
        <row r="88">
          <cell r="D88" t="str">
            <v>VG</v>
          </cell>
        </row>
        <row r="89">
          <cell r="D89" t="str">
            <v>IO</v>
          </cell>
        </row>
        <row r="90">
          <cell r="D90" t="str">
            <v>BN</v>
          </cell>
        </row>
        <row r="91">
          <cell r="D91" t="str">
            <v>BF</v>
          </cell>
        </row>
        <row r="92">
          <cell r="D92" t="str">
            <v>BI</v>
          </cell>
        </row>
        <row r="93">
          <cell r="D93" t="str">
            <v>KH</v>
          </cell>
        </row>
        <row r="94">
          <cell r="D94" t="str">
            <v>CM</v>
          </cell>
        </row>
        <row r="95">
          <cell r="D95" t="str">
            <v>CA</v>
          </cell>
        </row>
        <row r="96">
          <cell r="D96" t="str">
            <v>CV</v>
          </cell>
        </row>
        <row r="97">
          <cell r="D97" t="str">
            <v>KY</v>
          </cell>
        </row>
        <row r="98">
          <cell r="D98" t="str">
            <v>CF</v>
          </cell>
        </row>
        <row r="99">
          <cell r="D99" t="str">
            <v>TD</v>
          </cell>
        </row>
        <row r="100">
          <cell r="D100" t="str">
            <v>CL</v>
          </cell>
        </row>
        <row r="101">
          <cell r="D101" t="str">
            <v>CN</v>
          </cell>
        </row>
        <row r="102">
          <cell r="D102" t="str">
            <v>HK</v>
          </cell>
        </row>
        <row r="103">
          <cell r="D103" t="str">
            <v>MO</v>
          </cell>
        </row>
        <row r="104">
          <cell r="D104" t="str">
            <v>CX</v>
          </cell>
        </row>
        <row r="105">
          <cell r="D105" t="str">
            <v>CC</v>
          </cell>
        </row>
        <row r="106">
          <cell r="D106" t="str">
            <v>CO</v>
          </cell>
        </row>
        <row r="107">
          <cell r="D107" t="str">
            <v>KM</v>
          </cell>
        </row>
        <row r="108">
          <cell r="D108" t="str">
            <v>CG</v>
          </cell>
        </row>
        <row r="109">
          <cell r="D109" t="str">
            <v>CD</v>
          </cell>
        </row>
        <row r="110">
          <cell r="D110" t="str">
            <v>CK</v>
          </cell>
        </row>
        <row r="111">
          <cell r="D111" t="str">
            <v>CR</v>
          </cell>
        </row>
        <row r="112">
          <cell r="D112" t="str">
            <v>CI</v>
          </cell>
        </row>
        <row r="113">
          <cell r="D113" t="str">
            <v>CU</v>
          </cell>
        </row>
        <row r="114">
          <cell r="D114" t="str">
            <v>DJ</v>
          </cell>
        </row>
        <row r="115">
          <cell r="D115" t="str">
            <v>DM</v>
          </cell>
        </row>
        <row r="116">
          <cell r="D116" t="str">
            <v>DO</v>
          </cell>
        </row>
        <row r="117">
          <cell r="D117" t="str">
            <v>EC</v>
          </cell>
        </row>
        <row r="118">
          <cell r="D118" t="str">
            <v>EG</v>
          </cell>
        </row>
        <row r="119">
          <cell r="D119" t="str">
            <v>SV</v>
          </cell>
        </row>
        <row r="120">
          <cell r="D120" t="str">
            <v>GQ</v>
          </cell>
        </row>
        <row r="121">
          <cell r="D121" t="str">
            <v>ER</v>
          </cell>
        </row>
        <row r="122">
          <cell r="D122" t="str">
            <v>ET</v>
          </cell>
        </row>
        <row r="123">
          <cell r="D123" t="str">
            <v>FK</v>
          </cell>
        </row>
        <row r="124">
          <cell r="D124" t="str">
            <v>FO</v>
          </cell>
        </row>
        <row r="125">
          <cell r="D125" t="str">
            <v>FJ</v>
          </cell>
        </row>
        <row r="126">
          <cell r="D126" t="str">
            <v>GF</v>
          </cell>
        </row>
        <row r="127">
          <cell r="D127" t="str">
            <v>PF</v>
          </cell>
        </row>
        <row r="128">
          <cell r="D128" t="str">
            <v>TF</v>
          </cell>
        </row>
        <row r="129">
          <cell r="D129" t="str">
            <v>GA</v>
          </cell>
        </row>
        <row r="130">
          <cell r="D130" t="str">
            <v>GM</v>
          </cell>
        </row>
        <row r="131">
          <cell r="D131" t="str">
            <v>GE</v>
          </cell>
        </row>
        <row r="132">
          <cell r="D132" t="str">
            <v>GH</v>
          </cell>
        </row>
        <row r="133">
          <cell r="D133" t="str">
            <v>GI</v>
          </cell>
        </row>
        <row r="134">
          <cell r="D134" t="str">
            <v>GL</v>
          </cell>
        </row>
        <row r="135">
          <cell r="D135" t="str">
            <v>GD</v>
          </cell>
        </row>
        <row r="136">
          <cell r="D136" t="str">
            <v>GP</v>
          </cell>
        </row>
        <row r="137">
          <cell r="D137" t="str">
            <v>GU</v>
          </cell>
        </row>
        <row r="138">
          <cell r="D138" t="str">
            <v>GT</v>
          </cell>
        </row>
        <row r="139">
          <cell r="D139" t="str">
            <v>GG</v>
          </cell>
        </row>
        <row r="140">
          <cell r="D140" t="str">
            <v>GN</v>
          </cell>
        </row>
        <row r="141">
          <cell r="D141" t="str">
            <v>GW</v>
          </cell>
        </row>
        <row r="142">
          <cell r="D142" t="str">
            <v>GY</v>
          </cell>
        </row>
        <row r="143">
          <cell r="D143" t="str">
            <v>HT</v>
          </cell>
        </row>
        <row r="144">
          <cell r="D144" t="str">
            <v>HM</v>
          </cell>
        </row>
        <row r="145">
          <cell r="D145" t="str">
            <v>VA</v>
          </cell>
        </row>
        <row r="146">
          <cell r="D146" t="str">
            <v>HN</v>
          </cell>
        </row>
        <row r="147">
          <cell r="D147" t="str">
            <v>IN</v>
          </cell>
        </row>
        <row r="148">
          <cell r="D148" t="str">
            <v>ID</v>
          </cell>
        </row>
        <row r="149">
          <cell r="D149" t="str">
            <v>IR</v>
          </cell>
        </row>
        <row r="150">
          <cell r="D150" t="str">
            <v>IQ</v>
          </cell>
        </row>
        <row r="151">
          <cell r="D151" t="str">
            <v>IM</v>
          </cell>
        </row>
        <row r="152">
          <cell r="D152" t="str">
            <v>IL</v>
          </cell>
        </row>
        <row r="153">
          <cell r="D153" t="str">
            <v>JM</v>
          </cell>
        </row>
        <row r="154">
          <cell r="D154" t="str">
            <v>JP</v>
          </cell>
        </row>
        <row r="155">
          <cell r="D155" t="str">
            <v>JE</v>
          </cell>
        </row>
        <row r="156">
          <cell r="D156" t="str">
            <v>JO</v>
          </cell>
        </row>
        <row r="157">
          <cell r="D157" t="str">
            <v>KZ</v>
          </cell>
        </row>
        <row r="158">
          <cell r="D158" t="str">
            <v>KE</v>
          </cell>
        </row>
        <row r="159">
          <cell r="D159" t="str">
            <v>KI</v>
          </cell>
        </row>
        <row r="160">
          <cell r="D160" t="str">
            <v>KP</v>
          </cell>
        </row>
        <row r="161">
          <cell r="D161" t="str">
            <v>KR</v>
          </cell>
        </row>
        <row r="162">
          <cell r="D162" t="str">
            <v>KW</v>
          </cell>
        </row>
        <row r="163">
          <cell r="D163" t="str">
            <v>KG</v>
          </cell>
        </row>
        <row r="164">
          <cell r="D164" t="str">
            <v>LA</v>
          </cell>
        </row>
        <row r="165">
          <cell r="D165" t="str">
            <v>LB</v>
          </cell>
        </row>
        <row r="166">
          <cell r="D166" t="str">
            <v>LS</v>
          </cell>
        </row>
        <row r="167">
          <cell r="D167" t="str">
            <v>LR</v>
          </cell>
        </row>
        <row r="168">
          <cell r="D168" t="str">
            <v>LY</v>
          </cell>
        </row>
        <row r="169">
          <cell r="D169" t="str">
            <v>MK</v>
          </cell>
        </row>
        <row r="170">
          <cell r="D170" t="str">
            <v>MG</v>
          </cell>
        </row>
        <row r="171">
          <cell r="D171" t="str">
            <v>MW</v>
          </cell>
        </row>
        <row r="172">
          <cell r="D172" t="str">
            <v>MY</v>
          </cell>
        </row>
        <row r="173">
          <cell r="D173" t="str">
            <v>MV</v>
          </cell>
        </row>
        <row r="174">
          <cell r="D174" t="str">
            <v>ML</v>
          </cell>
        </row>
        <row r="175">
          <cell r="D175" t="str">
            <v>MH</v>
          </cell>
        </row>
        <row r="176">
          <cell r="D176" t="str">
            <v>MQ</v>
          </cell>
        </row>
        <row r="177">
          <cell r="D177" t="str">
            <v>MR</v>
          </cell>
        </row>
        <row r="178">
          <cell r="D178" t="str">
            <v>MU</v>
          </cell>
        </row>
        <row r="179">
          <cell r="D179" t="str">
            <v>YT</v>
          </cell>
        </row>
        <row r="180">
          <cell r="D180" t="str">
            <v>MX</v>
          </cell>
        </row>
        <row r="181">
          <cell r="D181" t="str">
            <v>FM</v>
          </cell>
        </row>
        <row r="182">
          <cell r="D182" t="str">
            <v>MD</v>
          </cell>
        </row>
        <row r="183">
          <cell r="D183" t="str">
            <v>MC</v>
          </cell>
        </row>
        <row r="184">
          <cell r="D184" t="str">
            <v>MN</v>
          </cell>
        </row>
        <row r="185">
          <cell r="D185" t="str">
            <v>ME</v>
          </cell>
        </row>
        <row r="186">
          <cell r="D186" t="str">
            <v>MS</v>
          </cell>
        </row>
        <row r="187">
          <cell r="D187" t="str">
            <v>MA</v>
          </cell>
        </row>
        <row r="188">
          <cell r="D188" t="str">
            <v>MZ</v>
          </cell>
        </row>
        <row r="189">
          <cell r="D189" t="str">
            <v>MM</v>
          </cell>
        </row>
        <row r="190">
          <cell r="D190" t="str">
            <v>NA</v>
          </cell>
        </row>
        <row r="191">
          <cell r="D191" t="str">
            <v>NR</v>
          </cell>
        </row>
        <row r="192">
          <cell r="D192" t="str">
            <v>NP</v>
          </cell>
        </row>
        <row r="193">
          <cell r="D193" t="str">
            <v>AN</v>
          </cell>
        </row>
        <row r="194">
          <cell r="D194" t="str">
            <v>NC</v>
          </cell>
        </row>
        <row r="195">
          <cell r="D195" t="str">
            <v>NZ</v>
          </cell>
        </row>
        <row r="196">
          <cell r="D196" t="str">
            <v>NI</v>
          </cell>
        </row>
        <row r="197">
          <cell r="D197" t="str">
            <v>NE</v>
          </cell>
        </row>
        <row r="198">
          <cell r="D198" t="str">
            <v>NG</v>
          </cell>
        </row>
        <row r="199">
          <cell r="D199" t="str">
            <v>NU</v>
          </cell>
        </row>
        <row r="200">
          <cell r="D200" t="str">
            <v>NF</v>
          </cell>
        </row>
        <row r="201">
          <cell r="D201" t="str">
            <v>MP</v>
          </cell>
        </row>
        <row r="202">
          <cell r="D202" t="str">
            <v>OM</v>
          </cell>
        </row>
        <row r="203">
          <cell r="D203" t="str">
            <v>PK</v>
          </cell>
        </row>
        <row r="204">
          <cell r="D204" t="str">
            <v>PW</v>
          </cell>
        </row>
        <row r="205">
          <cell r="D205" t="str">
            <v>PS</v>
          </cell>
        </row>
        <row r="206">
          <cell r="D206" t="str">
            <v>PA</v>
          </cell>
        </row>
        <row r="207">
          <cell r="D207" t="str">
            <v>PG</v>
          </cell>
        </row>
        <row r="208">
          <cell r="D208" t="str">
            <v>PY</v>
          </cell>
        </row>
        <row r="209">
          <cell r="D209" t="str">
            <v>PE</v>
          </cell>
        </row>
        <row r="210">
          <cell r="D210" t="str">
            <v>PH</v>
          </cell>
        </row>
        <row r="211">
          <cell r="D211" t="str">
            <v>PN</v>
          </cell>
        </row>
        <row r="212">
          <cell r="D212" t="str">
            <v>PR</v>
          </cell>
        </row>
        <row r="213">
          <cell r="D213" t="str">
            <v>QA</v>
          </cell>
        </row>
        <row r="214">
          <cell r="D214" t="str">
            <v>RE</v>
          </cell>
        </row>
        <row r="215">
          <cell r="D215" t="str">
            <v>RU</v>
          </cell>
        </row>
        <row r="216">
          <cell r="D216" t="str">
            <v>RW</v>
          </cell>
        </row>
        <row r="217">
          <cell r="D217" t="str">
            <v>BL</v>
          </cell>
        </row>
        <row r="218">
          <cell r="D218" t="str">
            <v>SH</v>
          </cell>
        </row>
        <row r="219">
          <cell r="D219" t="str">
            <v>KN</v>
          </cell>
        </row>
        <row r="220">
          <cell r="D220" t="str">
            <v>LC</v>
          </cell>
        </row>
        <row r="221">
          <cell r="D221" t="str">
            <v>MF</v>
          </cell>
        </row>
        <row r="222">
          <cell r="D222" t="str">
            <v>PM</v>
          </cell>
        </row>
        <row r="223">
          <cell r="D223" t="str">
            <v>VC</v>
          </cell>
        </row>
        <row r="224">
          <cell r="D224" t="str">
            <v>WS</v>
          </cell>
        </row>
        <row r="225">
          <cell r="D225" t="str">
            <v>SM</v>
          </cell>
        </row>
        <row r="226">
          <cell r="D226" t="str">
            <v>ST</v>
          </cell>
        </row>
        <row r="227">
          <cell r="D227" t="str">
            <v>SA</v>
          </cell>
        </row>
        <row r="228">
          <cell r="D228" t="str">
            <v>SN</v>
          </cell>
        </row>
        <row r="229">
          <cell r="D229" t="str">
            <v>RS</v>
          </cell>
        </row>
        <row r="230">
          <cell r="D230" t="str">
            <v>SC</v>
          </cell>
        </row>
        <row r="231">
          <cell r="D231" t="str">
            <v>SL</v>
          </cell>
        </row>
        <row r="232">
          <cell r="D232" t="str">
            <v>SG</v>
          </cell>
        </row>
        <row r="233">
          <cell r="D233" t="str">
            <v>SB</v>
          </cell>
        </row>
        <row r="234">
          <cell r="D234" t="str">
            <v>SO</v>
          </cell>
        </row>
        <row r="235">
          <cell r="D235" t="str">
            <v>ZA</v>
          </cell>
        </row>
        <row r="236">
          <cell r="D236" t="str">
            <v>GS</v>
          </cell>
        </row>
        <row r="237">
          <cell r="D237" t="str">
            <v>SS</v>
          </cell>
        </row>
        <row r="238">
          <cell r="D238" t="str">
            <v>LK</v>
          </cell>
        </row>
        <row r="239">
          <cell r="D239" t="str">
            <v>SD</v>
          </cell>
        </row>
        <row r="240">
          <cell r="D240" t="str">
            <v>SR</v>
          </cell>
        </row>
        <row r="241">
          <cell r="D241" t="str">
            <v>SJ</v>
          </cell>
        </row>
        <row r="242">
          <cell r="D242" t="str">
            <v>SZ</v>
          </cell>
        </row>
        <row r="243">
          <cell r="D243" t="str">
            <v>CH</v>
          </cell>
        </row>
        <row r="244">
          <cell r="D244" t="str">
            <v>SY</v>
          </cell>
        </row>
        <row r="245">
          <cell r="D245" t="str">
            <v>TW</v>
          </cell>
        </row>
        <row r="246">
          <cell r="D246" t="str">
            <v>TJ</v>
          </cell>
        </row>
        <row r="247">
          <cell r="D247" t="str">
            <v>TZ</v>
          </cell>
        </row>
        <row r="248">
          <cell r="D248" t="str">
            <v>TH</v>
          </cell>
        </row>
        <row r="249">
          <cell r="D249" t="str">
            <v>TL</v>
          </cell>
        </row>
        <row r="250">
          <cell r="D250" t="str">
            <v>TG</v>
          </cell>
        </row>
        <row r="251">
          <cell r="D251" t="str">
            <v>TK</v>
          </cell>
        </row>
        <row r="252">
          <cell r="D252" t="str">
            <v>TO</v>
          </cell>
        </row>
        <row r="253">
          <cell r="D253" t="str">
            <v>TT</v>
          </cell>
        </row>
        <row r="254">
          <cell r="D254" t="str">
            <v>TN</v>
          </cell>
        </row>
        <row r="255">
          <cell r="D255" t="str">
            <v>TR</v>
          </cell>
        </row>
        <row r="256">
          <cell r="D256" t="str">
            <v>TM</v>
          </cell>
        </row>
        <row r="257">
          <cell r="D257" t="str">
            <v>TC</v>
          </cell>
        </row>
        <row r="258">
          <cell r="D258" t="str">
            <v>TV</v>
          </cell>
        </row>
        <row r="259">
          <cell r="D259" t="str">
            <v>UG</v>
          </cell>
        </row>
        <row r="260">
          <cell r="D260" t="str">
            <v>UA</v>
          </cell>
        </row>
        <row r="261">
          <cell r="D261" t="str">
            <v>AE</v>
          </cell>
        </row>
        <row r="262">
          <cell r="D262" t="str">
            <v>UM</v>
          </cell>
        </row>
        <row r="263">
          <cell r="D263" t="str">
            <v>UY</v>
          </cell>
        </row>
        <row r="264">
          <cell r="D264" t="str">
            <v>UZ</v>
          </cell>
        </row>
        <row r="265">
          <cell r="D265" t="str">
            <v>VU</v>
          </cell>
        </row>
        <row r="266">
          <cell r="D266" t="str">
            <v>VE</v>
          </cell>
        </row>
        <row r="267">
          <cell r="D267" t="str">
            <v>VN</v>
          </cell>
        </row>
        <row r="268">
          <cell r="D268" t="str">
            <v>VI</v>
          </cell>
        </row>
        <row r="269">
          <cell r="D269" t="str">
            <v>WF</v>
          </cell>
        </row>
        <row r="270">
          <cell r="D270" t="str">
            <v>EH</v>
          </cell>
        </row>
        <row r="271">
          <cell r="D271" t="str">
            <v>YE</v>
          </cell>
        </row>
        <row r="272">
          <cell r="D272" t="str">
            <v>ZM</v>
          </cell>
        </row>
        <row r="273">
          <cell r="D273" t="str">
            <v>ZW</v>
          </cell>
        </row>
      </sheetData>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zione"/>
      <sheetName val="Bond"/>
    </sheetNames>
    <sheetDataSet>
      <sheetData sheetId="0">
        <row r="2">
          <cell r="J2">
            <v>2311328.6560000004</v>
          </cell>
        </row>
        <row r="3">
          <cell r="J3">
            <v>10445713.987199999</v>
          </cell>
        </row>
      </sheetData>
      <sheetData sheetId="1"/>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28191"/>
  </sheetPr>
  <dimension ref="A1:XFD59"/>
  <sheetViews>
    <sheetView tabSelected="1" zoomScale="75" zoomScaleNormal="75" workbookViewId="0">
      <pane ySplit="1" topLeftCell="A20" activePane="bottomLeft" state="frozen"/>
      <selection activeCell="P35" sqref="P35"/>
      <selection pane="bottomLeft" activeCell="D51" sqref="D51"/>
    </sheetView>
  </sheetViews>
  <sheetFormatPr defaultColWidth="0" defaultRowHeight="15" customHeight="1" zeroHeight="1" x14ac:dyDescent="0.35"/>
  <cols>
    <col min="1" max="1" width="1.6640625" style="55" customWidth="1"/>
    <col min="2" max="2" width="100.6640625" style="85" customWidth="1"/>
    <col min="3" max="4" width="16.6640625" style="85" customWidth="1"/>
    <col min="5" max="5" width="1.6640625" style="279" customWidth="1"/>
    <col min="6" max="16384" width="16.88671875" hidden="1"/>
  </cols>
  <sheetData>
    <row r="1" spans="1:5" ht="30" customHeight="1" x14ac:dyDescent="0.65">
      <c r="A1" s="1748" t="s">
        <v>0</v>
      </c>
      <c r="B1" s="1749"/>
      <c r="C1" s="1750" t="str">
        <f>CONCATENATE("v",Parameters!C4,".",Parameters!D4,".",Parameters!E4)</f>
        <v>v4.6.1</v>
      </c>
      <c r="D1" s="2501" t="str">
        <f>CONCATENATE("EBA Version",".",'EU Parameters'!C4,".",'EU Parameters'!D4)</f>
        <v>EBA Version.2.1</v>
      </c>
      <c r="E1" s="1370"/>
    </row>
    <row r="2" spans="1:5" ht="45" customHeight="1" x14ac:dyDescent="0.35">
      <c r="A2" s="676" t="s">
        <v>1</v>
      </c>
      <c r="B2" s="858"/>
      <c r="C2" s="846"/>
      <c r="D2" s="846"/>
      <c r="E2" s="728"/>
    </row>
    <row r="3" spans="1:5" ht="15" customHeight="1" x14ac:dyDescent="0.35">
      <c r="A3" s="291"/>
      <c r="B3" s="1751" t="s">
        <v>2</v>
      </c>
      <c r="C3" s="2554" t="s">
        <v>2722</v>
      </c>
      <c r="D3" s="889"/>
    </row>
    <row r="4" spans="1:5" ht="15" customHeight="1" x14ac:dyDescent="0.35">
      <c r="A4" s="291"/>
      <c r="B4" s="87" t="s">
        <v>3</v>
      </c>
      <c r="C4" s="3"/>
      <c r="D4" s="4"/>
    </row>
    <row r="5" spans="1:5" ht="15" customHeight="1" x14ac:dyDescent="0.35">
      <c r="A5" s="291"/>
      <c r="B5" s="87" t="s">
        <v>4</v>
      </c>
      <c r="C5" s="3">
        <v>2</v>
      </c>
      <c r="D5" s="4"/>
    </row>
    <row r="6" spans="1:5" ht="15" customHeight="1" x14ac:dyDescent="0.35">
      <c r="A6" s="291"/>
      <c r="B6" s="712" t="s">
        <v>5</v>
      </c>
      <c r="C6" s="4"/>
      <c r="D6" s="4"/>
    </row>
    <row r="7" spans="1:5" ht="15" customHeight="1" x14ac:dyDescent="0.35">
      <c r="A7" s="291"/>
      <c r="B7" s="87" t="s">
        <v>6</v>
      </c>
      <c r="C7" s="5" t="s">
        <v>7</v>
      </c>
      <c r="D7" s="4"/>
    </row>
    <row r="8" spans="1:5" ht="15" customHeight="1" x14ac:dyDescent="0.35">
      <c r="A8" s="291"/>
      <c r="B8" s="87" t="s">
        <v>8</v>
      </c>
      <c r="C8" s="5" t="s">
        <v>7</v>
      </c>
      <c r="D8" s="4"/>
    </row>
    <row r="9" spans="1:5" ht="15" customHeight="1" x14ac:dyDescent="0.35">
      <c r="A9" s="291"/>
      <c r="B9" s="87" t="s">
        <v>9</v>
      </c>
      <c r="C9" s="5" t="s">
        <v>7</v>
      </c>
      <c r="D9" s="4"/>
    </row>
    <row r="10" spans="1:5" ht="30" customHeight="1" x14ac:dyDescent="0.35">
      <c r="A10" s="291"/>
      <c r="B10" s="87" t="s">
        <v>10</v>
      </c>
      <c r="C10" s="5" t="s">
        <v>11</v>
      </c>
      <c r="D10" s="4"/>
    </row>
    <row r="11" spans="1:5" ht="15" customHeight="1" x14ac:dyDescent="0.35">
      <c r="A11" s="291"/>
      <c r="B11" s="87" t="s">
        <v>12</v>
      </c>
      <c r="C11" s="5">
        <v>2</v>
      </c>
      <c r="D11" s="4"/>
    </row>
    <row r="12" spans="1:5" ht="15" customHeight="1" x14ac:dyDescent="0.35">
      <c r="A12" s="291"/>
      <c r="B12" s="87" t="s">
        <v>13</v>
      </c>
      <c r="C12" s="6">
        <v>2</v>
      </c>
      <c r="D12" s="4"/>
    </row>
    <row r="13" spans="1:5" ht="15" hidden="1" customHeight="1" x14ac:dyDescent="0.35">
      <c r="A13" s="291"/>
      <c r="B13" s="712" t="s">
        <v>5</v>
      </c>
      <c r="C13" s="4"/>
      <c r="D13" s="4"/>
    </row>
    <row r="14" spans="1:5" ht="15" hidden="1" customHeight="1" x14ac:dyDescent="0.35">
      <c r="A14" s="291"/>
      <c r="B14" s="712" t="s">
        <v>5</v>
      </c>
      <c r="C14" s="4"/>
      <c r="D14" s="4"/>
    </row>
    <row r="15" spans="1:5" ht="15" customHeight="1" x14ac:dyDescent="0.35">
      <c r="A15" s="291"/>
      <c r="B15" s="88" t="s">
        <v>14</v>
      </c>
      <c r="C15" s="7">
        <v>1</v>
      </c>
      <c r="D15" s="90">
        <f>C15*'General Info'!C7</f>
        <v>1000</v>
      </c>
    </row>
    <row r="16" spans="1:5" ht="15" customHeight="1" x14ac:dyDescent="0.35">
      <c r="A16" s="291"/>
      <c r="B16" s="293" t="s">
        <v>15</v>
      </c>
      <c r="C16" s="348">
        <v>45021</v>
      </c>
      <c r="D16" s="10"/>
    </row>
    <row r="17" spans="1:5" ht="15" customHeight="1" x14ac:dyDescent="0.35">
      <c r="A17" s="291"/>
      <c r="B17" s="84"/>
      <c r="C17" s="84"/>
      <c r="D17" s="84"/>
    </row>
    <row r="18" spans="1:5" ht="45" customHeight="1" x14ac:dyDescent="0.35">
      <c r="A18" s="676" t="s">
        <v>16</v>
      </c>
      <c r="B18" s="858"/>
      <c r="C18" s="846"/>
      <c r="D18" s="846"/>
      <c r="E18" s="728"/>
    </row>
    <row r="19" spans="1:5" ht="15" customHeight="1" x14ac:dyDescent="0.35">
      <c r="A19" s="291"/>
      <c r="B19" s="1752" t="s">
        <v>17</v>
      </c>
      <c r="C19" s="1753" t="s">
        <v>18</v>
      </c>
      <c r="D19" s="889"/>
    </row>
    <row r="20" spans="1:5" ht="15" customHeight="1" x14ac:dyDescent="0.35">
      <c r="A20" s="291"/>
      <c r="B20" s="89" t="s">
        <v>19</v>
      </c>
      <c r="C20" s="5" t="s">
        <v>18</v>
      </c>
      <c r="D20" s="4"/>
    </row>
    <row r="21" spans="1:5" ht="15" hidden="1" customHeight="1" x14ac:dyDescent="0.35">
      <c r="A21" s="291"/>
      <c r="B21" s="1461"/>
      <c r="C21" s="1433"/>
      <c r="D21" s="4"/>
    </row>
    <row r="22" spans="1:5" ht="15" hidden="1" customHeight="1" x14ac:dyDescent="0.35">
      <c r="A22" s="291"/>
      <c r="B22" s="1462"/>
      <c r="C22" s="1433"/>
      <c r="D22" s="4"/>
    </row>
    <row r="23" spans="1:5" ht="15" customHeight="1" x14ac:dyDescent="0.35">
      <c r="A23" s="291"/>
      <c r="B23" s="88" t="s">
        <v>20</v>
      </c>
      <c r="C23" s="5" t="s">
        <v>18</v>
      </c>
      <c r="D23" s="4"/>
    </row>
    <row r="24" spans="1:5" ht="15" customHeight="1" x14ac:dyDescent="0.35">
      <c r="A24" s="291"/>
      <c r="B24" s="89" t="s">
        <v>19</v>
      </c>
      <c r="C24" s="5" t="s">
        <v>18</v>
      </c>
      <c r="D24" s="4"/>
    </row>
    <row r="25" spans="1:5" ht="15" customHeight="1" x14ac:dyDescent="0.35">
      <c r="A25" s="291"/>
      <c r="B25" s="88" t="s">
        <v>21</v>
      </c>
      <c r="C25" s="5" t="s">
        <v>7</v>
      </c>
      <c r="D25" s="4"/>
    </row>
    <row r="26" spans="1:5" ht="15" customHeight="1" x14ac:dyDescent="0.35">
      <c r="A26" s="291"/>
      <c r="B26" s="89" t="s">
        <v>19</v>
      </c>
      <c r="C26" s="5" t="s">
        <v>7</v>
      </c>
      <c r="D26" s="4"/>
    </row>
    <row r="27" spans="1:5" ht="15" customHeight="1" x14ac:dyDescent="0.35">
      <c r="A27" s="291"/>
      <c r="B27" s="88" t="s">
        <v>22</v>
      </c>
      <c r="C27" s="5" t="s">
        <v>18</v>
      </c>
      <c r="D27" s="4"/>
    </row>
    <row r="28" spans="1:5" ht="15" customHeight="1" x14ac:dyDescent="0.35">
      <c r="A28" s="291"/>
      <c r="B28" s="89" t="s">
        <v>19</v>
      </c>
      <c r="C28" s="5" t="s">
        <v>18</v>
      </c>
      <c r="D28" s="4"/>
    </row>
    <row r="29" spans="1:5" ht="15" customHeight="1" x14ac:dyDescent="0.35">
      <c r="A29" s="291"/>
      <c r="B29" s="593" t="s">
        <v>23</v>
      </c>
      <c r="C29" s="5" t="s">
        <v>18</v>
      </c>
      <c r="D29" s="4"/>
    </row>
    <row r="30" spans="1:5" ht="15" customHeight="1" x14ac:dyDescent="0.35">
      <c r="A30" s="291"/>
      <c r="B30" s="89" t="s">
        <v>19</v>
      </c>
      <c r="C30" s="5" t="s">
        <v>18</v>
      </c>
      <c r="D30" s="4"/>
    </row>
    <row r="31" spans="1:5" ht="15" customHeight="1" x14ac:dyDescent="0.35">
      <c r="A31" s="291"/>
      <c r="B31" s="593" t="s">
        <v>24</v>
      </c>
      <c r="C31" s="5" t="s">
        <v>18</v>
      </c>
      <c r="D31" s="4"/>
    </row>
    <row r="32" spans="1:5" ht="15" customHeight="1" x14ac:dyDescent="0.35">
      <c r="A32" s="291"/>
      <c r="B32" s="89" t="s">
        <v>19</v>
      </c>
      <c r="C32" s="5" t="s">
        <v>18</v>
      </c>
      <c r="D32" s="4"/>
    </row>
    <row r="33" spans="1:4" ht="15" customHeight="1" x14ac:dyDescent="0.35">
      <c r="A33" s="291"/>
      <c r="B33" s="88" t="s">
        <v>25</v>
      </c>
      <c r="C33" s="5" t="s">
        <v>7</v>
      </c>
      <c r="D33" s="4"/>
    </row>
    <row r="34" spans="1:4" ht="15" customHeight="1" x14ac:dyDescent="0.35">
      <c r="A34" s="291"/>
      <c r="B34" s="89" t="s">
        <v>19</v>
      </c>
      <c r="C34" s="5" t="s">
        <v>7</v>
      </c>
      <c r="D34" s="4"/>
    </row>
    <row r="35" spans="1:4" ht="15" customHeight="1" x14ac:dyDescent="0.35">
      <c r="A35" s="291"/>
      <c r="B35" s="593" t="s">
        <v>26</v>
      </c>
      <c r="C35" s="5" t="s">
        <v>18</v>
      </c>
      <c r="D35" s="4"/>
    </row>
    <row r="36" spans="1:4" ht="15" customHeight="1" x14ac:dyDescent="0.35">
      <c r="A36" s="291"/>
      <c r="B36" s="89" t="s">
        <v>19</v>
      </c>
      <c r="C36" s="5" t="s">
        <v>18</v>
      </c>
      <c r="D36" s="4"/>
    </row>
    <row r="37" spans="1:4" ht="15" customHeight="1" x14ac:dyDescent="0.35">
      <c r="A37" s="291"/>
      <c r="B37" s="593" t="s">
        <v>27</v>
      </c>
      <c r="C37" s="5" t="s">
        <v>18</v>
      </c>
      <c r="D37" s="4"/>
    </row>
    <row r="38" spans="1:4" ht="15" customHeight="1" x14ac:dyDescent="0.35">
      <c r="A38" s="291"/>
      <c r="B38" s="89" t="s">
        <v>19</v>
      </c>
      <c r="C38" s="5" t="s">
        <v>18</v>
      </c>
      <c r="D38" s="4"/>
    </row>
    <row r="39" spans="1:4" ht="15" customHeight="1" x14ac:dyDescent="0.35">
      <c r="A39" s="291"/>
      <c r="B39" s="88" t="s">
        <v>28</v>
      </c>
      <c r="C39" s="5" t="s">
        <v>18</v>
      </c>
      <c r="D39" s="4"/>
    </row>
    <row r="40" spans="1:4" ht="15" customHeight="1" x14ac:dyDescent="0.35">
      <c r="A40" s="291"/>
      <c r="B40" s="89" t="s">
        <v>19</v>
      </c>
      <c r="C40" s="5" t="s">
        <v>18</v>
      </c>
      <c r="D40" s="4"/>
    </row>
    <row r="41" spans="1:4" ht="15" customHeight="1" x14ac:dyDescent="0.35">
      <c r="A41" s="291"/>
      <c r="B41" s="593" t="s">
        <v>29</v>
      </c>
      <c r="C41" s="5" t="s">
        <v>18</v>
      </c>
      <c r="D41" s="4"/>
    </row>
    <row r="42" spans="1:4" ht="15" customHeight="1" x14ac:dyDescent="0.35">
      <c r="A42" s="291"/>
      <c r="B42" s="89" t="s">
        <v>19</v>
      </c>
      <c r="C42" s="5" t="s">
        <v>18</v>
      </c>
      <c r="D42" s="4"/>
    </row>
    <row r="43" spans="1:4" ht="15" customHeight="1" x14ac:dyDescent="0.35">
      <c r="A43" s="291"/>
      <c r="B43" s="88" t="s">
        <v>30</v>
      </c>
      <c r="C43" s="5" t="s">
        <v>18</v>
      </c>
      <c r="D43" s="4"/>
    </row>
    <row r="44" spans="1:4" ht="15" customHeight="1" x14ac:dyDescent="0.35">
      <c r="A44" s="291"/>
      <c r="B44" s="89" t="s">
        <v>19</v>
      </c>
      <c r="C44" s="5" t="s">
        <v>18</v>
      </c>
      <c r="D44" s="4"/>
    </row>
    <row r="45" spans="1:4" ht="15" customHeight="1" x14ac:dyDescent="0.35">
      <c r="A45" s="291"/>
      <c r="B45" s="88" t="s">
        <v>31</v>
      </c>
      <c r="C45" s="5" t="s">
        <v>18</v>
      </c>
      <c r="D45" s="4"/>
    </row>
    <row r="46" spans="1:4" ht="15" customHeight="1" x14ac:dyDescent="0.35">
      <c r="A46" s="291"/>
      <c r="B46" s="89" t="s">
        <v>19</v>
      </c>
      <c r="C46" s="5" t="s">
        <v>18</v>
      </c>
      <c r="D46" s="4"/>
    </row>
    <row r="47" spans="1:4" ht="15" customHeight="1" x14ac:dyDescent="0.35">
      <c r="A47" s="291"/>
      <c r="B47" s="593" t="s">
        <v>32</v>
      </c>
      <c r="C47" s="5" t="s">
        <v>7</v>
      </c>
      <c r="D47" s="4"/>
    </row>
    <row r="48" spans="1:4" ht="15" customHeight="1" x14ac:dyDescent="0.35">
      <c r="A48" s="291"/>
      <c r="B48" s="89" t="s">
        <v>19</v>
      </c>
      <c r="C48" s="5" t="s">
        <v>7</v>
      </c>
      <c r="D48" s="4"/>
    </row>
    <row r="49" spans="1:16384" ht="15" customHeight="1" x14ac:dyDescent="0.35">
      <c r="A49" s="291"/>
      <c r="B49" s="88" t="s">
        <v>33</v>
      </c>
      <c r="C49" s="5" t="s">
        <v>7</v>
      </c>
      <c r="D49" s="4"/>
    </row>
    <row r="50" spans="1:16384" ht="15" customHeight="1" x14ac:dyDescent="0.35">
      <c r="A50" s="291"/>
      <c r="B50" s="89" t="s">
        <v>19</v>
      </c>
      <c r="C50" s="5" t="s">
        <v>7</v>
      </c>
      <c r="D50" s="4"/>
    </row>
    <row r="51" spans="1:16384" ht="15" customHeight="1" x14ac:dyDescent="0.35">
      <c r="A51" s="291"/>
      <c r="B51" s="593" t="s">
        <v>34</v>
      </c>
      <c r="C51" s="5" t="s">
        <v>7</v>
      </c>
      <c r="D51" s="4"/>
    </row>
    <row r="52" spans="1:16384" ht="15" customHeight="1" x14ac:dyDescent="0.35">
      <c r="A52" s="291"/>
      <c r="B52" s="89" t="s">
        <v>19</v>
      </c>
      <c r="C52" s="5" t="s">
        <v>7</v>
      </c>
      <c r="D52" s="4"/>
    </row>
    <row r="53" spans="1:16384" ht="15" customHeight="1" x14ac:dyDescent="0.35">
      <c r="A53" s="291"/>
      <c r="B53" s="88" t="s">
        <v>35</v>
      </c>
      <c r="C53" s="5" t="s">
        <v>18</v>
      </c>
      <c r="D53" s="4"/>
    </row>
    <row r="54" spans="1:16384" ht="15" customHeight="1" x14ac:dyDescent="0.35">
      <c r="A54" s="291"/>
      <c r="B54" s="89" t="s">
        <v>19</v>
      </c>
      <c r="C54" s="5" t="s">
        <v>18</v>
      </c>
      <c r="D54" s="4"/>
    </row>
    <row r="55" spans="1:16384" ht="15" customHeight="1" x14ac:dyDescent="0.35">
      <c r="A55" s="291"/>
      <c r="B55" s="593" t="s">
        <v>36</v>
      </c>
      <c r="C55" s="5" t="s">
        <v>18</v>
      </c>
      <c r="D55" s="1009"/>
    </row>
    <row r="56" spans="1:16384" ht="15" customHeight="1" x14ac:dyDescent="0.35">
      <c r="A56" s="291"/>
      <c r="B56" s="89" t="s">
        <v>19</v>
      </c>
      <c r="C56" s="5" t="s">
        <v>18</v>
      </c>
      <c r="D56" s="4"/>
      <c r="F56" s="89"/>
      <c r="G56" s="5"/>
      <c r="H56" s="4"/>
      <c r="I56" s="279"/>
      <c r="J56" s="89"/>
      <c r="K56" s="5"/>
      <c r="L56" s="4"/>
      <c r="M56" s="279"/>
      <c r="N56" s="89"/>
      <c r="O56" s="5"/>
      <c r="P56" s="4"/>
      <c r="Q56" s="279"/>
      <c r="R56" s="89"/>
      <c r="S56" s="5"/>
      <c r="T56" s="4"/>
      <c r="U56" s="279"/>
      <c r="V56" s="89"/>
      <c r="W56" s="5"/>
      <c r="X56" s="4"/>
      <c r="Y56" s="279"/>
      <c r="Z56" s="89"/>
      <c r="AA56" s="5"/>
      <c r="AB56" s="4"/>
      <c r="AC56" s="279"/>
      <c r="AD56" s="89"/>
      <c r="AE56" s="5"/>
      <c r="AF56" s="4"/>
      <c r="AG56" s="279"/>
      <c r="AH56" s="89"/>
      <c r="AI56" s="5"/>
      <c r="AJ56" s="4"/>
      <c r="AK56" s="279"/>
      <c r="AL56" s="89"/>
      <c r="AM56" s="5"/>
      <c r="AN56" s="4"/>
      <c r="AO56" s="279"/>
      <c r="AP56" s="89"/>
      <c r="AQ56" s="5"/>
      <c r="AR56" s="4"/>
      <c r="AS56" s="279"/>
      <c r="AT56" s="89"/>
      <c r="AU56" s="5"/>
      <c r="AV56" s="4"/>
      <c r="AW56" s="279"/>
      <c r="AX56" s="89"/>
      <c r="AY56" s="5"/>
      <c r="AZ56" s="4"/>
      <c r="BA56" s="279"/>
      <c r="BB56" s="89"/>
      <c r="BC56" s="5"/>
      <c r="BD56" s="4"/>
      <c r="BE56" s="279"/>
      <c r="BF56" s="89"/>
      <c r="BG56" s="5"/>
      <c r="BH56" s="4"/>
      <c r="BI56" s="279"/>
      <c r="BJ56" s="89"/>
      <c r="BK56" s="5"/>
      <c r="BL56" s="4"/>
      <c r="BM56" s="279"/>
      <c r="BN56" s="89"/>
      <c r="BO56" s="5"/>
      <c r="BP56" s="4"/>
      <c r="BQ56" s="279"/>
      <c r="BR56" s="89"/>
      <c r="BS56" s="5"/>
      <c r="BT56" s="4"/>
      <c r="BU56" s="279"/>
      <c r="BV56" s="89"/>
      <c r="BW56" s="5"/>
      <c r="BX56" s="4"/>
      <c r="BY56" s="279"/>
      <c r="BZ56" s="89"/>
      <c r="CA56" s="5"/>
      <c r="CB56" s="4"/>
      <c r="CC56" s="279"/>
      <c r="CD56" s="89"/>
      <c r="CE56" s="5"/>
      <c r="CF56" s="4"/>
      <c r="CG56" s="279"/>
      <c r="CH56" s="89"/>
      <c r="CI56" s="5"/>
      <c r="CJ56" s="4"/>
      <c r="CK56" s="279"/>
      <c r="CL56" s="89"/>
      <c r="CM56" s="5"/>
      <c r="CN56" s="4"/>
      <c r="CO56" s="279"/>
      <c r="CP56" s="89"/>
      <c r="CQ56" s="5"/>
      <c r="CR56" s="4"/>
      <c r="CS56" s="279"/>
      <c r="CT56" s="89"/>
      <c r="CU56" s="5"/>
      <c r="CV56" s="4"/>
      <c r="CW56" s="279"/>
      <c r="CX56" s="89"/>
      <c r="CY56" s="5"/>
      <c r="CZ56" s="4"/>
      <c r="DA56" s="279"/>
      <c r="DB56" s="89"/>
      <c r="DC56" s="5"/>
      <c r="DD56" s="4"/>
      <c r="DE56" s="279"/>
      <c r="DF56" s="89"/>
      <c r="DG56" s="5"/>
      <c r="DH56" s="4"/>
      <c r="DI56" s="279"/>
      <c r="DJ56" s="89"/>
      <c r="DK56" s="5"/>
      <c r="DL56" s="4"/>
      <c r="DM56" s="279"/>
      <c r="DN56" s="89"/>
      <c r="DO56" s="5"/>
      <c r="DP56" s="4"/>
      <c r="DQ56" s="279"/>
      <c r="DR56" s="89"/>
      <c r="DS56" s="5"/>
      <c r="DT56" s="4"/>
      <c r="DU56" s="279"/>
      <c r="DV56" s="89"/>
      <c r="DW56" s="5"/>
      <c r="DX56" s="4"/>
      <c r="DY56" s="279"/>
      <c r="DZ56" s="89"/>
      <c r="EA56" s="5"/>
      <c r="EB56" s="4"/>
      <c r="EC56" s="279"/>
      <c r="ED56" s="89"/>
      <c r="EE56" s="5"/>
      <c r="EF56" s="4"/>
      <c r="EG56" s="279"/>
      <c r="EH56" s="89"/>
      <c r="EI56" s="5"/>
      <c r="EJ56" s="4"/>
      <c r="EK56" s="279"/>
      <c r="EL56" s="89"/>
      <c r="EM56" s="5"/>
      <c r="EN56" s="4"/>
      <c r="EO56" s="279"/>
      <c r="EP56" s="89"/>
      <c r="EQ56" s="5"/>
      <c r="ER56" s="4"/>
      <c r="ES56" s="279"/>
      <c r="ET56" s="89"/>
      <c r="EU56" s="5"/>
      <c r="EV56" s="4"/>
      <c r="EW56" s="279"/>
      <c r="EX56" s="89"/>
      <c r="EY56" s="5"/>
      <c r="EZ56" s="4"/>
      <c r="FA56" s="279"/>
      <c r="FB56" s="89"/>
      <c r="FC56" s="5"/>
      <c r="FD56" s="4"/>
      <c r="FE56" s="279"/>
      <c r="FF56" s="89"/>
      <c r="FG56" s="5"/>
      <c r="FH56" s="4"/>
      <c r="FI56" s="279"/>
      <c r="FJ56" s="89"/>
      <c r="FK56" s="5"/>
      <c r="FL56" s="4"/>
      <c r="FM56" s="279"/>
      <c r="FN56" s="89"/>
      <c r="FO56" s="5"/>
      <c r="FP56" s="4"/>
      <c r="FQ56" s="279"/>
      <c r="FR56" s="89"/>
      <c r="FS56" s="5"/>
      <c r="FT56" s="4"/>
      <c r="FU56" s="279"/>
      <c r="FV56" s="89"/>
      <c r="FW56" s="5"/>
      <c r="FX56" s="4"/>
      <c r="FY56" s="279"/>
      <c r="FZ56" s="89"/>
      <c r="GA56" s="5"/>
      <c r="GB56" s="4"/>
      <c r="GC56" s="279"/>
      <c r="GD56" s="89"/>
      <c r="GE56" s="5"/>
      <c r="GF56" s="4"/>
      <c r="GG56" s="279"/>
      <c r="GH56" s="89"/>
      <c r="GI56" s="5"/>
      <c r="GJ56" s="4"/>
      <c r="GK56" s="279"/>
      <c r="GL56" s="89"/>
      <c r="GM56" s="5"/>
      <c r="GN56" s="4"/>
      <c r="GO56" s="279"/>
      <c r="GP56" s="89"/>
      <c r="GQ56" s="5"/>
      <c r="GR56" s="4"/>
      <c r="GS56" s="279"/>
      <c r="GT56" s="89"/>
      <c r="GU56" s="5"/>
      <c r="GV56" s="4"/>
      <c r="GW56" s="279"/>
      <c r="GX56" s="89"/>
      <c r="GY56" s="5"/>
      <c r="GZ56" s="4"/>
      <c r="HA56" s="279"/>
      <c r="HB56" s="89"/>
      <c r="HC56" s="5"/>
      <c r="HD56" s="4"/>
      <c r="HE56" s="279"/>
      <c r="HF56" s="89"/>
      <c r="HG56" s="5"/>
      <c r="HH56" s="4"/>
      <c r="HI56" s="279"/>
      <c r="HJ56" s="89"/>
      <c r="HK56" s="5"/>
      <c r="HL56" s="4"/>
      <c r="HM56" s="279"/>
      <c r="HN56" s="89"/>
      <c r="HO56" s="5"/>
      <c r="HP56" s="4"/>
      <c r="HQ56" s="279"/>
      <c r="HR56" s="89"/>
      <c r="HS56" s="5"/>
      <c r="HT56" s="4"/>
      <c r="HU56" s="279"/>
      <c r="HV56" s="89"/>
      <c r="HW56" s="5"/>
      <c r="HX56" s="4"/>
      <c r="HY56" s="279"/>
      <c r="HZ56" s="89"/>
      <c r="IA56" s="5"/>
      <c r="IB56" s="4"/>
      <c r="IC56" s="279"/>
      <c r="ID56" s="89"/>
      <c r="IE56" s="5"/>
      <c r="IF56" s="4"/>
      <c r="IG56" s="279"/>
      <c r="IH56" s="89"/>
      <c r="II56" s="5"/>
      <c r="IJ56" s="4"/>
      <c r="IK56" s="279"/>
      <c r="IL56" s="89"/>
      <c r="IM56" s="5"/>
      <c r="IN56" s="4"/>
      <c r="IO56" s="279"/>
      <c r="IP56" s="89"/>
      <c r="IQ56" s="5"/>
      <c r="IR56" s="4"/>
      <c r="IS56" s="279"/>
      <c r="IT56" s="89"/>
      <c r="IU56" s="5"/>
      <c r="IV56" s="4"/>
      <c r="IW56" s="279"/>
      <c r="IX56" s="89"/>
      <c r="IY56" s="5"/>
      <c r="IZ56" s="4"/>
      <c r="JA56" s="279"/>
      <c r="JB56" s="89"/>
      <c r="JC56" s="5"/>
      <c r="JD56" s="4"/>
      <c r="JE56" s="279"/>
      <c r="JF56" s="89"/>
      <c r="JG56" s="5"/>
      <c r="JH56" s="4"/>
      <c r="JI56" s="279"/>
      <c r="JJ56" s="89"/>
      <c r="JK56" s="5"/>
      <c r="JL56" s="4"/>
      <c r="JM56" s="279"/>
      <c r="JN56" s="89"/>
      <c r="JO56" s="5"/>
      <c r="JP56" s="4"/>
      <c r="JQ56" s="279"/>
      <c r="JR56" s="89"/>
      <c r="JS56" s="5"/>
      <c r="JT56" s="4"/>
      <c r="JU56" s="279"/>
      <c r="JV56" s="89"/>
      <c r="JW56" s="5"/>
      <c r="JX56" s="4"/>
      <c r="JY56" s="279"/>
      <c r="JZ56" s="89"/>
      <c r="KA56" s="5"/>
      <c r="KB56" s="4"/>
      <c r="KC56" s="279"/>
      <c r="KD56" s="89"/>
      <c r="KE56" s="5"/>
      <c r="KF56" s="4"/>
      <c r="KG56" s="279"/>
      <c r="KH56" s="89"/>
      <c r="KI56" s="5"/>
      <c r="KJ56" s="4"/>
      <c r="KK56" s="279"/>
      <c r="KL56" s="89"/>
      <c r="KM56" s="5"/>
      <c r="KN56" s="4"/>
      <c r="KO56" s="279"/>
      <c r="KP56" s="89"/>
      <c r="KQ56" s="5"/>
      <c r="KR56" s="4"/>
      <c r="KS56" s="279"/>
      <c r="KT56" s="89"/>
      <c r="KU56" s="5"/>
      <c r="KV56" s="4"/>
      <c r="KW56" s="279"/>
      <c r="KX56" s="89"/>
      <c r="KY56" s="5"/>
      <c r="KZ56" s="4"/>
      <c r="LA56" s="279"/>
      <c r="LB56" s="89"/>
      <c r="LC56" s="5"/>
      <c r="LD56" s="4"/>
      <c r="LE56" s="279"/>
      <c r="LF56" s="89"/>
      <c r="LG56" s="5"/>
      <c r="LH56" s="4"/>
      <c r="LI56" s="279"/>
      <c r="LJ56" s="89"/>
      <c r="LK56" s="5"/>
      <c r="LL56" s="4"/>
      <c r="LM56" s="279"/>
      <c r="LN56" s="89"/>
      <c r="LO56" s="5"/>
      <c r="LP56" s="4"/>
      <c r="LQ56" s="279"/>
      <c r="LR56" s="89"/>
      <c r="LS56" s="5"/>
      <c r="LT56" s="4"/>
      <c r="LU56" s="279"/>
      <c r="LV56" s="89"/>
      <c r="LW56" s="5"/>
      <c r="LX56" s="4"/>
      <c r="LY56" s="279"/>
      <c r="LZ56" s="89"/>
      <c r="MA56" s="5"/>
      <c r="MB56" s="4"/>
      <c r="MC56" s="279"/>
      <c r="MD56" s="89"/>
      <c r="ME56" s="5"/>
      <c r="MF56" s="4"/>
      <c r="MG56" s="279"/>
      <c r="MH56" s="89"/>
      <c r="MI56" s="5"/>
      <c r="MJ56" s="4"/>
      <c r="MK56" s="279"/>
      <c r="ML56" s="89"/>
      <c r="MM56" s="5"/>
      <c r="MN56" s="4"/>
      <c r="MO56" s="279"/>
      <c r="MP56" s="89"/>
      <c r="MQ56" s="5"/>
      <c r="MR56" s="4"/>
      <c r="MS56" s="279"/>
      <c r="MT56" s="89"/>
      <c r="MU56" s="5"/>
      <c r="MV56" s="4"/>
      <c r="MW56" s="279"/>
      <c r="MX56" s="89"/>
      <c r="MY56" s="5"/>
      <c r="MZ56" s="4"/>
      <c r="NA56" s="279"/>
      <c r="NB56" s="89"/>
      <c r="NC56" s="5"/>
      <c r="ND56" s="4"/>
      <c r="NE56" s="279"/>
      <c r="NF56" s="89"/>
      <c r="NG56" s="5"/>
      <c r="NH56" s="4"/>
      <c r="NI56" s="279"/>
      <c r="NJ56" s="89"/>
      <c r="NK56" s="5"/>
      <c r="NL56" s="4"/>
      <c r="NM56" s="279"/>
      <c r="NN56" s="89"/>
      <c r="NO56" s="5"/>
      <c r="NP56" s="4"/>
      <c r="NQ56" s="279"/>
      <c r="NR56" s="89"/>
      <c r="NS56" s="5"/>
      <c r="NT56" s="4"/>
      <c r="NU56" s="279"/>
      <c r="NV56" s="89"/>
      <c r="NW56" s="5"/>
      <c r="NX56" s="4"/>
      <c r="NY56" s="279"/>
      <c r="NZ56" s="89"/>
      <c r="OA56" s="5"/>
      <c r="OB56" s="4"/>
      <c r="OC56" s="279"/>
      <c r="OD56" s="89"/>
      <c r="OE56" s="5"/>
      <c r="OF56" s="4"/>
      <c r="OG56" s="279"/>
      <c r="OH56" s="89"/>
      <c r="OI56" s="5"/>
      <c r="OJ56" s="4"/>
      <c r="OK56" s="279"/>
      <c r="OL56" s="89"/>
      <c r="OM56" s="5"/>
      <c r="ON56" s="4"/>
      <c r="OO56" s="279"/>
      <c r="OP56" s="89"/>
      <c r="OQ56" s="5"/>
      <c r="OR56" s="4"/>
      <c r="OS56" s="279"/>
      <c r="OT56" s="89"/>
      <c r="OU56" s="5"/>
      <c r="OV56" s="4"/>
      <c r="OW56" s="279"/>
      <c r="OX56" s="89"/>
      <c r="OY56" s="5"/>
      <c r="OZ56" s="4"/>
      <c r="PA56" s="279"/>
      <c r="PB56" s="89"/>
      <c r="PC56" s="5"/>
      <c r="PD56" s="4"/>
      <c r="PE56" s="279"/>
      <c r="PF56" s="89"/>
      <c r="PG56" s="5"/>
      <c r="PH56" s="4"/>
      <c r="PI56" s="279"/>
      <c r="PJ56" s="89"/>
      <c r="PK56" s="5"/>
      <c r="PL56" s="4"/>
      <c r="PM56" s="279"/>
      <c r="PN56" s="89"/>
      <c r="PO56" s="5"/>
      <c r="PP56" s="4"/>
      <c r="PQ56" s="279"/>
      <c r="PR56" s="89"/>
      <c r="PS56" s="5"/>
      <c r="PT56" s="4"/>
      <c r="PU56" s="279"/>
      <c r="PV56" s="89"/>
      <c r="PW56" s="5"/>
      <c r="PX56" s="4"/>
      <c r="PY56" s="279"/>
      <c r="PZ56" s="89"/>
      <c r="QA56" s="5"/>
      <c r="QB56" s="4"/>
      <c r="QC56" s="279"/>
      <c r="QD56" s="89"/>
      <c r="QE56" s="5"/>
      <c r="QF56" s="4"/>
      <c r="QG56" s="279"/>
      <c r="QH56" s="89"/>
      <c r="QI56" s="5"/>
      <c r="QJ56" s="4"/>
      <c r="QK56" s="279"/>
      <c r="QL56" s="89"/>
      <c r="QM56" s="5"/>
      <c r="QN56" s="4"/>
      <c r="QO56" s="279"/>
      <c r="QP56" s="89"/>
      <c r="QQ56" s="5"/>
      <c r="QR56" s="4"/>
      <c r="QS56" s="279"/>
      <c r="QT56" s="89"/>
      <c r="QU56" s="5"/>
      <c r="QV56" s="4"/>
      <c r="QW56" s="279"/>
      <c r="QX56" s="89"/>
      <c r="QY56" s="5"/>
      <c r="QZ56" s="4"/>
      <c r="RA56" s="279"/>
      <c r="RB56" s="89"/>
      <c r="RC56" s="5"/>
      <c r="RD56" s="4"/>
      <c r="RE56" s="279"/>
      <c r="RF56" s="89"/>
      <c r="RG56" s="5"/>
      <c r="RH56" s="4"/>
      <c r="RI56" s="279"/>
      <c r="RJ56" s="89"/>
      <c r="RK56" s="5"/>
      <c r="RL56" s="4"/>
      <c r="RM56" s="279"/>
      <c r="RN56" s="89"/>
      <c r="RO56" s="5"/>
      <c r="RP56" s="4"/>
      <c r="RQ56" s="279"/>
      <c r="RR56" s="89"/>
      <c r="RS56" s="5"/>
      <c r="RT56" s="4"/>
      <c r="RU56" s="279"/>
      <c r="RV56" s="89"/>
      <c r="RW56" s="5"/>
      <c r="RX56" s="4"/>
      <c r="RY56" s="279"/>
      <c r="RZ56" s="89"/>
      <c r="SA56" s="5"/>
      <c r="SB56" s="4"/>
      <c r="SC56" s="279"/>
      <c r="SD56" s="89"/>
      <c r="SE56" s="5"/>
      <c r="SF56" s="4"/>
      <c r="SG56" s="279"/>
      <c r="SH56" s="89"/>
      <c r="SI56" s="5"/>
      <c r="SJ56" s="4"/>
      <c r="SK56" s="279"/>
      <c r="SL56" s="89"/>
      <c r="SM56" s="5"/>
      <c r="SN56" s="4"/>
      <c r="SO56" s="279"/>
      <c r="SP56" s="89"/>
      <c r="SQ56" s="5"/>
      <c r="SR56" s="4"/>
      <c r="SS56" s="279"/>
      <c r="ST56" s="89"/>
      <c r="SU56" s="5"/>
      <c r="SV56" s="4"/>
      <c r="SW56" s="279"/>
      <c r="SX56" s="89"/>
      <c r="SY56" s="5"/>
      <c r="SZ56" s="4"/>
      <c r="TA56" s="279"/>
      <c r="TB56" s="89"/>
      <c r="TC56" s="5"/>
      <c r="TD56" s="4"/>
      <c r="TE56" s="279"/>
      <c r="TF56" s="89"/>
      <c r="TG56" s="5"/>
      <c r="TH56" s="4"/>
      <c r="TI56" s="279"/>
      <c r="TJ56" s="89"/>
      <c r="TK56" s="5"/>
      <c r="TL56" s="4"/>
      <c r="TM56" s="279"/>
      <c r="TN56" s="89"/>
      <c r="TO56" s="5"/>
      <c r="TP56" s="4"/>
      <c r="TQ56" s="279"/>
      <c r="TR56" s="89"/>
      <c r="TS56" s="5"/>
      <c r="TT56" s="4"/>
      <c r="TU56" s="279"/>
      <c r="TV56" s="89"/>
      <c r="TW56" s="5"/>
      <c r="TX56" s="4"/>
      <c r="TY56" s="279"/>
      <c r="TZ56" s="89"/>
      <c r="UA56" s="5"/>
      <c r="UB56" s="4"/>
      <c r="UC56" s="279"/>
      <c r="UD56" s="89"/>
      <c r="UE56" s="5"/>
      <c r="UF56" s="4"/>
      <c r="UG56" s="279"/>
      <c r="UH56" s="89"/>
      <c r="UI56" s="5"/>
      <c r="UJ56" s="4"/>
      <c r="UK56" s="279"/>
      <c r="UL56" s="89"/>
      <c r="UM56" s="5"/>
      <c r="UN56" s="4"/>
      <c r="UO56" s="279"/>
      <c r="UP56" s="89"/>
      <c r="UQ56" s="5"/>
      <c r="UR56" s="4"/>
      <c r="US56" s="279"/>
      <c r="UT56" s="89"/>
      <c r="UU56" s="5"/>
      <c r="UV56" s="4"/>
      <c r="UW56" s="279"/>
      <c r="UX56" s="89"/>
      <c r="UY56" s="5"/>
      <c r="UZ56" s="4"/>
      <c r="VA56" s="279"/>
      <c r="VB56" s="89"/>
      <c r="VC56" s="5"/>
      <c r="VD56" s="4"/>
      <c r="VE56" s="279"/>
      <c r="VF56" s="89"/>
      <c r="VG56" s="5"/>
      <c r="VH56" s="4"/>
      <c r="VI56" s="279"/>
      <c r="VJ56" s="89"/>
      <c r="VK56" s="5"/>
      <c r="VL56" s="4"/>
      <c r="VM56" s="279"/>
      <c r="VN56" s="89"/>
      <c r="VO56" s="5"/>
      <c r="VP56" s="4"/>
      <c r="VQ56" s="279"/>
      <c r="VR56" s="89"/>
      <c r="VS56" s="5"/>
      <c r="VT56" s="4"/>
      <c r="VU56" s="279"/>
      <c r="VV56" s="89"/>
      <c r="VW56" s="5"/>
      <c r="VX56" s="4"/>
      <c r="VY56" s="279"/>
      <c r="VZ56" s="89"/>
      <c r="WA56" s="5"/>
      <c r="WB56" s="4"/>
      <c r="WC56" s="279"/>
      <c r="WD56" s="89"/>
      <c r="WE56" s="5"/>
      <c r="WF56" s="4"/>
      <c r="WG56" s="279"/>
      <c r="WH56" s="89"/>
      <c r="WI56" s="5"/>
      <c r="WJ56" s="4"/>
      <c r="WK56" s="279"/>
      <c r="WL56" s="89"/>
      <c r="WM56" s="5"/>
      <c r="WN56" s="4"/>
      <c r="WO56" s="279"/>
      <c r="WP56" s="89"/>
      <c r="WQ56" s="5"/>
      <c r="WR56" s="4"/>
      <c r="WS56" s="279"/>
      <c r="WT56" s="89"/>
      <c r="WU56" s="5"/>
      <c r="WV56" s="4"/>
      <c r="WW56" s="279"/>
      <c r="WX56" s="89"/>
      <c r="WY56" s="5"/>
      <c r="WZ56" s="4"/>
      <c r="XA56" s="279"/>
      <c r="XB56" s="89"/>
      <c r="XC56" s="5"/>
      <c r="XD56" s="4"/>
      <c r="XE56" s="279"/>
      <c r="XF56" s="89"/>
      <c r="XG56" s="5"/>
      <c r="XH56" s="4"/>
      <c r="XI56" s="279"/>
      <c r="XJ56" s="89"/>
      <c r="XK56" s="5"/>
      <c r="XL56" s="4"/>
      <c r="XM56" s="279"/>
      <c r="XN56" s="89"/>
      <c r="XO56" s="5"/>
      <c r="XP56" s="4"/>
      <c r="XQ56" s="279"/>
      <c r="XR56" s="89"/>
      <c r="XS56" s="5"/>
      <c r="XT56" s="4"/>
      <c r="XU56" s="279"/>
      <c r="XV56" s="89"/>
      <c r="XW56" s="5"/>
      <c r="XX56" s="4"/>
      <c r="XY56" s="279"/>
      <c r="XZ56" s="89"/>
      <c r="YA56" s="5"/>
      <c r="YB56" s="4"/>
      <c r="YC56" s="279"/>
      <c r="YD56" s="89"/>
      <c r="YE56" s="5"/>
      <c r="YF56" s="4"/>
      <c r="YG56" s="279"/>
      <c r="YH56" s="89"/>
      <c r="YI56" s="5"/>
      <c r="YJ56" s="4"/>
      <c r="YK56" s="279"/>
      <c r="YL56" s="89"/>
      <c r="YM56" s="5"/>
      <c r="YN56" s="4"/>
      <c r="YO56" s="279"/>
      <c r="YP56" s="89"/>
      <c r="YQ56" s="5"/>
      <c r="YR56" s="4"/>
      <c r="YS56" s="279"/>
      <c r="YT56" s="89"/>
      <c r="YU56" s="5"/>
      <c r="YV56" s="4"/>
      <c r="YW56" s="279"/>
      <c r="YX56" s="89"/>
      <c r="YY56" s="5"/>
      <c r="YZ56" s="4"/>
      <c r="ZA56" s="279"/>
      <c r="ZB56" s="89"/>
      <c r="ZC56" s="5"/>
      <c r="ZD56" s="4"/>
      <c r="ZE56" s="279"/>
      <c r="ZF56" s="89"/>
      <c r="ZG56" s="5"/>
      <c r="ZH56" s="4"/>
      <c r="ZI56" s="279"/>
      <c r="ZJ56" s="89"/>
      <c r="ZK56" s="5"/>
      <c r="ZL56" s="4"/>
      <c r="ZM56" s="279"/>
      <c r="ZN56" s="89"/>
      <c r="ZO56" s="5"/>
      <c r="ZP56" s="4"/>
      <c r="ZQ56" s="279"/>
      <c r="ZR56" s="89"/>
      <c r="ZS56" s="5"/>
      <c r="ZT56" s="4"/>
      <c r="ZU56" s="279"/>
      <c r="ZV56" s="89"/>
      <c r="ZW56" s="5"/>
      <c r="ZX56" s="4"/>
      <c r="ZY56" s="279"/>
      <c r="ZZ56" s="89"/>
      <c r="AAA56" s="5"/>
      <c r="AAB56" s="4"/>
      <c r="AAC56" s="279"/>
      <c r="AAD56" s="89"/>
      <c r="AAE56" s="5"/>
      <c r="AAF56" s="4"/>
      <c r="AAG56" s="279"/>
      <c r="AAH56" s="89"/>
      <c r="AAI56" s="5"/>
      <c r="AAJ56" s="4"/>
      <c r="AAK56" s="279"/>
      <c r="AAL56" s="89"/>
      <c r="AAM56" s="5"/>
      <c r="AAN56" s="4"/>
      <c r="AAO56" s="279"/>
      <c r="AAP56" s="89"/>
      <c r="AAQ56" s="5"/>
      <c r="AAR56" s="4"/>
      <c r="AAS56" s="279"/>
      <c r="AAT56" s="89"/>
      <c r="AAU56" s="5"/>
      <c r="AAV56" s="4"/>
      <c r="AAW56" s="279"/>
      <c r="AAX56" s="89"/>
      <c r="AAY56" s="5"/>
      <c r="AAZ56" s="4"/>
      <c r="ABA56" s="279"/>
      <c r="ABB56" s="89"/>
      <c r="ABC56" s="5"/>
      <c r="ABD56" s="4"/>
      <c r="ABE56" s="279"/>
      <c r="ABF56" s="89"/>
      <c r="ABG56" s="5"/>
      <c r="ABH56" s="4"/>
      <c r="ABI56" s="279"/>
      <c r="ABJ56" s="89"/>
      <c r="ABK56" s="5"/>
      <c r="ABL56" s="4"/>
      <c r="ABM56" s="279"/>
      <c r="ABN56" s="89"/>
      <c r="ABO56" s="5"/>
      <c r="ABP56" s="4"/>
      <c r="ABQ56" s="279"/>
      <c r="ABR56" s="89"/>
      <c r="ABS56" s="5"/>
      <c r="ABT56" s="4"/>
      <c r="ABU56" s="279"/>
      <c r="ABV56" s="89"/>
      <c r="ABW56" s="5"/>
      <c r="ABX56" s="4"/>
      <c r="ABY56" s="279"/>
      <c r="ABZ56" s="89"/>
      <c r="ACA56" s="5"/>
      <c r="ACB56" s="4"/>
      <c r="ACC56" s="279"/>
      <c r="ACD56" s="89"/>
      <c r="ACE56" s="5"/>
      <c r="ACF56" s="4"/>
      <c r="ACG56" s="279"/>
      <c r="ACH56" s="89"/>
      <c r="ACI56" s="5"/>
      <c r="ACJ56" s="4"/>
      <c r="ACK56" s="279"/>
      <c r="ACL56" s="89"/>
      <c r="ACM56" s="5"/>
      <c r="ACN56" s="4"/>
      <c r="ACO56" s="279"/>
      <c r="ACP56" s="89"/>
      <c r="ACQ56" s="5"/>
      <c r="ACR56" s="4"/>
      <c r="ACS56" s="279"/>
      <c r="ACT56" s="89"/>
      <c r="ACU56" s="5"/>
      <c r="ACV56" s="4"/>
      <c r="ACW56" s="279"/>
      <c r="ACX56" s="89"/>
      <c r="ACY56" s="5"/>
      <c r="ACZ56" s="4"/>
      <c r="ADA56" s="279"/>
      <c r="ADB56" s="89"/>
      <c r="ADC56" s="5"/>
      <c r="ADD56" s="4"/>
      <c r="ADE56" s="279"/>
      <c r="ADF56" s="89"/>
      <c r="ADG56" s="5"/>
      <c r="ADH56" s="4"/>
      <c r="ADI56" s="279"/>
      <c r="ADJ56" s="89"/>
      <c r="ADK56" s="5"/>
      <c r="ADL56" s="4"/>
      <c r="ADM56" s="279"/>
      <c r="ADN56" s="89"/>
      <c r="ADO56" s="5"/>
      <c r="ADP56" s="4"/>
      <c r="ADQ56" s="279"/>
      <c r="ADR56" s="89"/>
      <c r="ADS56" s="5"/>
      <c r="ADT56" s="4"/>
      <c r="ADU56" s="279"/>
      <c r="ADV56" s="89"/>
      <c r="ADW56" s="5"/>
      <c r="ADX56" s="4"/>
      <c r="ADY56" s="279"/>
      <c r="ADZ56" s="89"/>
      <c r="AEA56" s="5"/>
      <c r="AEB56" s="4"/>
      <c r="AEC56" s="279"/>
      <c r="AED56" s="89"/>
      <c r="AEE56" s="5"/>
      <c r="AEF56" s="4"/>
      <c r="AEG56" s="279"/>
      <c r="AEH56" s="89"/>
      <c r="AEI56" s="5"/>
      <c r="AEJ56" s="4"/>
      <c r="AEK56" s="279"/>
      <c r="AEL56" s="89"/>
      <c r="AEM56" s="5"/>
      <c r="AEN56" s="4"/>
      <c r="AEO56" s="279"/>
      <c r="AEP56" s="89"/>
      <c r="AEQ56" s="5"/>
      <c r="AER56" s="4"/>
      <c r="AES56" s="279"/>
      <c r="AET56" s="89"/>
      <c r="AEU56" s="5"/>
      <c r="AEV56" s="4"/>
      <c r="AEW56" s="279"/>
      <c r="AEX56" s="89"/>
      <c r="AEY56" s="5"/>
      <c r="AEZ56" s="4"/>
      <c r="AFA56" s="279"/>
      <c r="AFB56" s="89"/>
      <c r="AFC56" s="5"/>
      <c r="AFD56" s="4"/>
      <c r="AFE56" s="279"/>
      <c r="AFF56" s="89"/>
      <c r="AFG56" s="5"/>
      <c r="AFH56" s="4"/>
      <c r="AFI56" s="279"/>
      <c r="AFJ56" s="89"/>
      <c r="AFK56" s="5"/>
      <c r="AFL56" s="4"/>
      <c r="AFM56" s="279"/>
      <c r="AFN56" s="89"/>
      <c r="AFO56" s="5"/>
      <c r="AFP56" s="4"/>
      <c r="AFQ56" s="279"/>
      <c r="AFR56" s="89"/>
      <c r="AFS56" s="5"/>
      <c r="AFT56" s="4"/>
      <c r="AFU56" s="279"/>
      <c r="AFV56" s="89"/>
      <c r="AFW56" s="5"/>
      <c r="AFX56" s="4"/>
      <c r="AFY56" s="279"/>
      <c r="AFZ56" s="89"/>
      <c r="AGA56" s="5"/>
      <c r="AGB56" s="4"/>
      <c r="AGC56" s="279"/>
      <c r="AGD56" s="89"/>
      <c r="AGE56" s="5"/>
      <c r="AGF56" s="4"/>
      <c r="AGG56" s="279"/>
      <c r="AGH56" s="89"/>
      <c r="AGI56" s="5"/>
      <c r="AGJ56" s="4"/>
      <c r="AGK56" s="279"/>
      <c r="AGL56" s="89"/>
      <c r="AGM56" s="5"/>
      <c r="AGN56" s="4"/>
      <c r="AGO56" s="279"/>
      <c r="AGP56" s="89"/>
      <c r="AGQ56" s="5"/>
      <c r="AGR56" s="4"/>
      <c r="AGS56" s="279"/>
      <c r="AGT56" s="89"/>
      <c r="AGU56" s="5"/>
      <c r="AGV56" s="4"/>
      <c r="AGW56" s="279"/>
      <c r="AGX56" s="89"/>
      <c r="AGY56" s="5"/>
      <c r="AGZ56" s="4"/>
      <c r="AHA56" s="279"/>
      <c r="AHB56" s="89"/>
      <c r="AHC56" s="5"/>
      <c r="AHD56" s="4"/>
      <c r="AHE56" s="279"/>
      <c r="AHF56" s="89"/>
      <c r="AHG56" s="5"/>
      <c r="AHH56" s="4"/>
      <c r="AHI56" s="279"/>
      <c r="AHJ56" s="89"/>
      <c r="AHK56" s="5"/>
      <c r="AHL56" s="4"/>
      <c r="AHM56" s="279"/>
      <c r="AHN56" s="89"/>
      <c r="AHO56" s="5"/>
      <c r="AHP56" s="4"/>
      <c r="AHQ56" s="279"/>
      <c r="AHR56" s="89"/>
      <c r="AHS56" s="5"/>
      <c r="AHT56" s="4"/>
      <c r="AHU56" s="279"/>
      <c r="AHV56" s="89"/>
      <c r="AHW56" s="5"/>
      <c r="AHX56" s="4"/>
      <c r="AHY56" s="279"/>
      <c r="AHZ56" s="89"/>
      <c r="AIA56" s="5"/>
      <c r="AIB56" s="4"/>
      <c r="AIC56" s="279"/>
      <c r="AID56" s="89"/>
      <c r="AIE56" s="5"/>
      <c r="AIF56" s="4"/>
      <c r="AIG56" s="279"/>
      <c r="AIH56" s="89"/>
      <c r="AII56" s="5"/>
      <c r="AIJ56" s="4"/>
      <c r="AIK56" s="279"/>
      <c r="AIL56" s="89"/>
      <c r="AIM56" s="5"/>
      <c r="AIN56" s="4"/>
      <c r="AIO56" s="279"/>
      <c r="AIP56" s="89"/>
      <c r="AIQ56" s="5"/>
      <c r="AIR56" s="4"/>
      <c r="AIS56" s="279"/>
      <c r="AIT56" s="89"/>
      <c r="AIU56" s="5"/>
      <c r="AIV56" s="4"/>
      <c r="AIW56" s="279"/>
      <c r="AIX56" s="89"/>
      <c r="AIY56" s="5"/>
      <c r="AIZ56" s="4"/>
      <c r="AJA56" s="279"/>
      <c r="AJB56" s="89"/>
      <c r="AJC56" s="5"/>
      <c r="AJD56" s="4"/>
      <c r="AJE56" s="279"/>
      <c r="AJF56" s="89"/>
      <c r="AJG56" s="5"/>
      <c r="AJH56" s="4"/>
      <c r="AJI56" s="279"/>
      <c r="AJJ56" s="89"/>
      <c r="AJK56" s="5"/>
      <c r="AJL56" s="4"/>
      <c r="AJM56" s="279"/>
      <c r="AJN56" s="89"/>
      <c r="AJO56" s="5"/>
      <c r="AJP56" s="4"/>
      <c r="AJQ56" s="279"/>
      <c r="AJR56" s="89"/>
      <c r="AJS56" s="5"/>
      <c r="AJT56" s="4"/>
      <c r="AJU56" s="279"/>
      <c r="AJV56" s="89"/>
      <c r="AJW56" s="5"/>
      <c r="AJX56" s="4"/>
      <c r="AJY56" s="279"/>
      <c r="AJZ56" s="89"/>
      <c r="AKA56" s="5"/>
      <c r="AKB56" s="4"/>
      <c r="AKC56" s="279"/>
      <c r="AKD56" s="89"/>
      <c r="AKE56" s="5"/>
      <c r="AKF56" s="4"/>
      <c r="AKG56" s="279"/>
      <c r="AKH56" s="89"/>
      <c r="AKI56" s="5"/>
      <c r="AKJ56" s="4"/>
      <c r="AKK56" s="279"/>
      <c r="AKL56" s="89"/>
      <c r="AKM56" s="5"/>
      <c r="AKN56" s="4"/>
      <c r="AKO56" s="279"/>
      <c r="AKP56" s="89"/>
      <c r="AKQ56" s="5"/>
      <c r="AKR56" s="4"/>
      <c r="AKS56" s="279"/>
      <c r="AKT56" s="89"/>
      <c r="AKU56" s="5"/>
      <c r="AKV56" s="4"/>
      <c r="AKW56" s="279"/>
      <c r="AKX56" s="89"/>
      <c r="AKY56" s="5"/>
      <c r="AKZ56" s="4"/>
      <c r="ALA56" s="279"/>
      <c r="ALB56" s="89"/>
      <c r="ALC56" s="5"/>
      <c r="ALD56" s="4"/>
      <c r="ALE56" s="279"/>
      <c r="ALF56" s="89"/>
      <c r="ALG56" s="5"/>
      <c r="ALH56" s="4"/>
      <c r="ALI56" s="279"/>
      <c r="ALJ56" s="89"/>
      <c r="ALK56" s="5"/>
      <c r="ALL56" s="4"/>
      <c r="ALM56" s="279"/>
      <c r="ALN56" s="89"/>
      <c r="ALO56" s="5"/>
      <c r="ALP56" s="4"/>
      <c r="ALQ56" s="279"/>
      <c r="ALR56" s="89"/>
      <c r="ALS56" s="5"/>
      <c r="ALT56" s="4"/>
      <c r="ALU56" s="279"/>
      <c r="ALV56" s="89"/>
      <c r="ALW56" s="5"/>
      <c r="ALX56" s="4"/>
      <c r="ALY56" s="279"/>
      <c r="ALZ56" s="89"/>
      <c r="AMA56" s="5"/>
      <c r="AMB56" s="4"/>
      <c r="AMC56" s="279"/>
      <c r="AMD56" s="89"/>
      <c r="AME56" s="5"/>
      <c r="AMF56" s="4"/>
      <c r="AMG56" s="279"/>
      <c r="AMH56" s="89"/>
      <c r="AMI56" s="5"/>
      <c r="AMJ56" s="4"/>
      <c r="AMK56" s="279"/>
      <c r="AML56" s="89"/>
      <c r="AMM56" s="5"/>
      <c r="AMN56" s="4"/>
      <c r="AMO56" s="279"/>
      <c r="AMP56" s="89"/>
      <c r="AMQ56" s="5"/>
      <c r="AMR56" s="4"/>
      <c r="AMS56" s="279"/>
      <c r="AMT56" s="89"/>
      <c r="AMU56" s="5"/>
      <c r="AMV56" s="4"/>
      <c r="AMW56" s="279"/>
      <c r="AMX56" s="89"/>
      <c r="AMY56" s="5"/>
      <c r="AMZ56" s="4"/>
      <c r="ANA56" s="279"/>
      <c r="ANB56" s="89"/>
      <c r="ANC56" s="5"/>
      <c r="AND56" s="4"/>
      <c r="ANE56" s="279"/>
      <c r="ANF56" s="89"/>
      <c r="ANG56" s="5"/>
      <c r="ANH56" s="4"/>
      <c r="ANI56" s="279"/>
      <c r="ANJ56" s="89"/>
      <c r="ANK56" s="5"/>
      <c r="ANL56" s="4"/>
      <c r="ANM56" s="279"/>
      <c r="ANN56" s="89"/>
      <c r="ANO56" s="5"/>
      <c r="ANP56" s="4"/>
      <c r="ANQ56" s="279"/>
      <c r="ANR56" s="89"/>
      <c r="ANS56" s="5"/>
      <c r="ANT56" s="4"/>
      <c r="ANU56" s="279"/>
      <c r="ANV56" s="89"/>
      <c r="ANW56" s="5"/>
      <c r="ANX56" s="4"/>
      <c r="ANY56" s="279"/>
      <c r="ANZ56" s="89"/>
      <c r="AOA56" s="5"/>
      <c r="AOB56" s="4"/>
      <c r="AOC56" s="279"/>
      <c r="AOD56" s="89"/>
      <c r="AOE56" s="5"/>
      <c r="AOF56" s="4"/>
      <c r="AOG56" s="279"/>
      <c r="AOH56" s="89"/>
      <c r="AOI56" s="5"/>
      <c r="AOJ56" s="4"/>
      <c r="AOK56" s="279"/>
      <c r="AOL56" s="89"/>
      <c r="AOM56" s="5"/>
      <c r="AON56" s="4"/>
      <c r="AOO56" s="279"/>
      <c r="AOP56" s="89"/>
      <c r="AOQ56" s="5"/>
      <c r="AOR56" s="4"/>
      <c r="AOS56" s="279"/>
      <c r="AOT56" s="89"/>
      <c r="AOU56" s="5"/>
      <c r="AOV56" s="4"/>
      <c r="AOW56" s="279"/>
      <c r="AOX56" s="89"/>
      <c r="AOY56" s="5"/>
      <c r="AOZ56" s="4"/>
      <c r="APA56" s="279"/>
      <c r="APB56" s="89"/>
      <c r="APC56" s="5"/>
      <c r="APD56" s="4"/>
      <c r="APE56" s="279"/>
      <c r="APF56" s="89"/>
      <c r="APG56" s="5"/>
      <c r="APH56" s="4"/>
      <c r="API56" s="279"/>
      <c r="APJ56" s="89"/>
      <c r="APK56" s="5"/>
      <c r="APL56" s="4"/>
      <c r="APM56" s="279"/>
      <c r="APN56" s="89"/>
      <c r="APO56" s="5"/>
      <c r="APP56" s="4"/>
      <c r="APQ56" s="279"/>
      <c r="APR56" s="89"/>
      <c r="APS56" s="5"/>
      <c r="APT56" s="4"/>
      <c r="APU56" s="279"/>
      <c r="APV56" s="89"/>
      <c r="APW56" s="5"/>
      <c r="APX56" s="4"/>
      <c r="APY56" s="279"/>
      <c r="APZ56" s="89"/>
      <c r="AQA56" s="5"/>
      <c r="AQB56" s="4"/>
      <c r="AQC56" s="279"/>
      <c r="AQD56" s="89"/>
      <c r="AQE56" s="5"/>
      <c r="AQF56" s="4"/>
      <c r="AQG56" s="279"/>
      <c r="AQH56" s="89"/>
      <c r="AQI56" s="5"/>
      <c r="AQJ56" s="4"/>
      <c r="AQK56" s="279"/>
      <c r="AQL56" s="89"/>
      <c r="AQM56" s="5"/>
      <c r="AQN56" s="4"/>
      <c r="AQO56" s="279"/>
      <c r="AQP56" s="89"/>
      <c r="AQQ56" s="5"/>
      <c r="AQR56" s="4"/>
      <c r="AQS56" s="279"/>
      <c r="AQT56" s="89"/>
      <c r="AQU56" s="5"/>
      <c r="AQV56" s="4"/>
      <c r="AQW56" s="279"/>
      <c r="AQX56" s="89"/>
      <c r="AQY56" s="5"/>
      <c r="AQZ56" s="4"/>
      <c r="ARA56" s="279"/>
      <c r="ARB56" s="89"/>
      <c r="ARC56" s="5"/>
      <c r="ARD56" s="4"/>
      <c r="ARE56" s="279"/>
      <c r="ARF56" s="89"/>
      <c r="ARG56" s="5"/>
      <c r="ARH56" s="4"/>
      <c r="ARI56" s="279"/>
      <c r="ARJ56" s="89"/>
      <c r="ARK56" s="5"/>
      <c r="ARL56" s="4"/>
      <c r="ARM56" s="279"/>
      <c r="ARN56" s="89"/>
      <c r="ARO56" s="5"/>
      <c r="ARP56" s="4"/>
      <c r="ARQ56" s="279"/>
      <c r="ARR56" s="89"/>
      <c r="ARS56" s="5"/>
      <c r="ART56" s="4"/>
      <c r="ARU56" s="279"/>
      <c r="ARV56" s="89"/>
      <c r="ARW56" s="5"/>
      <c r="ARX56" s="4"/>
      <c r="ARY56" s="279"/>
      <c r="ARZ56" s="89"/>
      <c r="ASA56" s="5"/>
      <c r="ASB56" s="4"/>
      <c r="ASC56" s="279"/>
      <c r="ASD56" s="89"/>
      <c r="ASE56" s="5"/>
      <c r="ASF56" s="4"/>
      <c r="ASG56" s="279"/>
      <c r="ASH56" s="89"/>
      <c r="ASI56" s="5"/>
      <c r="ASJ56" s="4"/>
      <c r="ASK56" s="279"/>
      <c r="ASL56" s="89"/>
      <c r="ASM56" s="5"/>
      <c r="ASN56" s="4"/>
      <c r="ASO56" s="279"/>
      <c r="ASP56" s="89"/>
      <c r="ASQ56" s="5"/>
      <c r="ASR56" s="4"/>
      <c r="ASS56" s="279"/>
      <c r="AST56" s="89"/>
      <c r="ASU56" s="5"/>
      <c r="ASV56" s="4"/>
      <c r="ASW56" s="279"/>
      <c r="ASX56" s="89"/>
      <c r="ASY56" s="5"/>
      <c r="ASZ56" s="4"/>
      <c r="ATA56" s="279"/>
      <c r="ATB56" s="89"/>
      <c r="ATC56" s="5"/>
      <c r="ATD56" s="4"/>
      <c r="ATE56" s="279"/>
      <c r="ATF56" s="89"/>
      <c r="ATG56" s="5"/>
      <c r="ATH56" s="4"/>
      <c r="ATI56" s="279"/>
      <c r="ATJ56" s="89"/>
      <c r="ATK56" s="5"/>
      <c r="ATL56" s="4"/>
      <c r="ATM56" s="279"/>
      <c r="ATN56" s="89"/>
      <c r="ATO56" s="5"/>
      <c r="ATP56" s="4"/>
      <c r="ATQ56" s="279"/>
      <c r="ATR56" s="89"/>
      <c r="ATS56" s="5"/>
      <c r="ATT56" s="4"/>
      <c r="ATU56" s="279"/>
      <c r="ATV56" s="89"/>
      <c r="ATW56" s="5"/>
      <c r="ATX56" s="4"/>
      <c r="ATY56" s="279"/>
      <c r="ATZ56" s="89"/>
      <c r="AUA56" s="5"/>
      <c r="AUB56" s="4"/>
      <c r="AUC56" s="279"/>
      <c r="AUD56" s="89"/>
      <c r="AUE56" s="5"/>
      <c r="AUF56" s="4"/>
      <c r="AUG56" s="279"/>
      <c r="AUH56" s="89"/>
      <c r="AUI56" s="5"/>
      <c r="AUJ56" s="4"/>
      <c r="AUK56" s="279"/>
      <c r="AUL56" s="89"/>
      <c r="AUM56" s="5"/>
      <c r="AUN56" s="4"/>
      <c r="AUO56" s="279"/>
      <c r="AUP56" s="89"/>
      <c r="AUQ56" s="5"/>
      <c r="AUR56" s="4"/>
      <c r="AUS56" s="279"/>
      <c r="AUT56" s="89"/>
      <c r="AUU56" s="5"/>
      <c r="AUV56" s="4"/>
      <c r="AUW56" s="279"/>
      <c r="AUX56" s="89"/>
      <c r="AUY56" s="5"/>
      <c r="AUZ56" s="4"/>
      <c r="AVA56" s="279"/>
      <c r="AVB56" s="89"/>
      <c r="AVC56" s="5"/>
      <c r="AVD56" s="4"/>
      <c r="AVE56" s="279"/>
      <c r="AVF56" s="89"/>
      <c r="AVG56" s="5"/>
      <c r="AVH56" s="4"/>
      <c r="AVI56" s="279"/>
      <c r="AVJ56" s="89"/>
      <c r="AVK56" s="5"/>
      <c r="AVL56" s="4"/>
      <c r="AVM56" s="279"/>
      <c r="AVN56" s="89"/>
      <c r="AVO56" s="5"/>
      <c r="AVP56" s="4"/>
      <c r="AVQ56" s="279"/>
      <c r="AVR56" s="89"/>
      <c r="AVS56" s="5"/>
      <c r="AVT56" s="4"/>
      <c r="AVU56" s="279"/>
      <c r="AVV56" s="89"/>
      <c r="AVW56" s="5"/>
      <c r="AVX56" s="4"/>
      <c r="AVY56" s="279"/>
      <c r="AVZ56" s="89"/>
      <c r="AWA56" s="5"/>
      <c r="AWB56" s="4"/>
      <c r="AWC56" s="279"/>
      <c r="AWD56" s="89"/>
      <c r="AWE56" s="5"/>
      <c r="AWF56" s="4"/>
      <c r="AWG56" s="279"/>
      <c r="AWH56" s="89"/>
      <c r="AWI56" s="5"/>
      <c r="AWJ56" s="4"/>
      <c r="AWK56" s="279"/>
      <c r="AWL56" s="89"/>
      <c r="AWM56" s="5"/>
      <c r="AWN56" s="4"/>
      <c r="AWO56" s="279"/>
      <c r="AWP56" s="89"/>
      <c r="AWQ56" s="5"/>
      <c r="AWR56" s="4"/>
      <c r="AWS56" s="279"/>
      <c r="AWT56" s="89"/>
      <c r="AWU56" s="5"/>
      <c r="AWV56" s="4"/>
      <c r="AWW56" s="279"/>
      <c r="AWX56" s="89"/>
      <c r="AWY56" s="5"/>
      <c r="AWZ56" s="4"/>
      <c r="AXA56" s="279"/>
      <c r="AXB56" s="89"/>
      <c r="AXC56" s="5"/>
      <c r="AXD56" s="4"/>
      <c r="AXE56" s="279"/>
      <c r="AXF56" s="89"/>
      <c r="AXG56" s="5"/>
      <c r="AXH56" s="4"/>
      <c r="AXI56" s="279"/>
      <c r="AXJ56" s="89"/>
      <c r="AXK56" s="5"/>
      <c r="AXL56" s="4"/>
      <c r="AXM56" s="279"/>
      <c r="AXN56" s="89"/>
      <c r="AXO56" s="5"/>
      <c r="AXP56" s="4"/>
      <c r="AXQ56" s="279"/>
      <c r="AXR56" s="89"/>
      <c r="AXS56" s="5"/>
      <c r="AXT56" s="4"/>
      <c r="AXU56" s="279"/>
      <c r="AXV56" s="89"/>
      <c r="AXW56" s="5"/>
      <c r="AXX56" s="4"/>
      <c r="AXY56" s="279"/>
      <c r="AXZ56" s="89"/>
      <c r="AYA56" s="5"/>
      <c r="AYB56" s="4"/>
      <c r="AYC56" s="279"/>
      <c r="AYD56" s="89"/>
      <c r="AYE56" s="5"/>
      <c r="AYF56" s="4"/>
      <c r="AYG56" s="279"/>
      <c r="AYH56" s="89"/>
      <c r="AYI56" s="5"/>
      <c r="AYJ56" s="4"/>
      <c r="AYK56" s="279"/>
      <c r="AYL56" s="89"/>
      <c r="AYM56" s="5"/>
      <c r="AYN56" s="4"/>
      <c r="AYO56" s="279"/>
      <c r="AYP56" s="89"/>
      <c r="AYQ56" s="5"/>
      <c r="AYR56" s="4"/>
      <c r="AYS56" s="279"/>
      <c r="AYT56" s="89"/>
      <c r="AYU56" s="5"/>
      <c r="AYV56" s="4"/>
      <c r="AYW56" s="279"/>
      <c r="AYX56" s="89"/>
      <c r="AYY56" s="5"/>
      <c r="AYZ56" s="4"/>
      <c r="AZA56" s="279"/>
      <c r="AZB56" s="89"/>
      <c r="AZC56" s="5"/>
      <c r="AZD56" s="4"/>
      <c r="AZE56" s="279"/>
      <c r="AZF56" s="89"/>
      <c r="AZG56" s="5"/>
      <c r="AZH56" s="4"/>
      <c r="AZI56" s="279"/>
      <c r="AZJ56" s="89"/>
      <c r="AZK56" s="5"/>
      <c r="AZL56" s="4"/>
      <c r="AZM56" s="279"/>
      <c r="AZN56" s="89"/>
      <c r="AZO56" s="5"/>
      <c r="AZP56" s="4"/>
      <c r="AZQ56" s="279"/>
      <c r="AZR56" s="89"/>
      <c r="AZS56" s="5"/>
      <c r="AZT56" s="4"/>
      <c r="AZU56" s="279"/>
      <c r="AZV56" s="89"/>
      <c r="AZW56" s="5"/>
      <c r="AZX56" s="4"/>
      <c r="AZY56" s="279"/>
      <c r="AZZ56" s="89"/>
      <c r="BAA56" s="5"/>
      <c r="BAB56" s="4"/>
      <c r="BAC56" s="279"/>
      <c r="BAD56" s="89"/>
      <c r="BAE56" s="5"/>
      <c r="BAF56" s="4"/>
      <c r="BAG56" s="279"/>
      <c r="BAH56" s="89"/>
      <c r="BAI56" s="5"/>
      <c r="BAJ56" s="4"/>
      <c r="BAK56" s="279"/>
      <c r="BAL56" s="89"/>
      <c r="BAM56" s="5"/>
      <c r="BAN56" s="4"/>
      <c r="BAO56" s="279"/>
      <c r="BAP56" s="89"/>
      <c r="BAQ56" s="5"/>
      <c r="BAR56" s="4"/>
      <c r="BAS56" s="279"/>
      <c r="BAT56" s="89"/>
      <c r="BAU56" s="5"/>
      <c r="BAV56" s="4"/>
      <c r="BAW56" s="279"/>
      <c r="BAX56" s="89"/>
      <c r="BAY56" s="5"/>
      <c r="BAZ56" s="4"/>
      <c r="BBA56" s="279"/>
      <c r="BBB56" s="89"/>
      <c r="BBC56" s="5"/>
      <c r="BBD56" s="4"/>
      <c r="BBE56" s="279"/>
      <c r="BBF56" s="89"/>
      <c r="BBG56" s="5"/>
      <c r="BBH56" s="4"/>
      <c r="BBI56" s="279"/>
      <c r="BBJ56" s="89"/>
      <c r="BBK56" s="5"/>
      <c r="BBL56" s="4"/>
      <c r="BBM56" s="279"/>
      <c r="BBN56" s="89"/>
      <c r="BBO56" s="5"/>
      <c r="BBP56" s="4"/>
      <c r="BBQ56" s="279"/>
      <c r="BBR56" s="89"/>
      <c r="BBS56" s="5"/>
      <c r="BBT56" s="4"/>
      <c r="BBU56" s="279"/>
      <c r="BBV56" s="89"/>
      <c r="BBW56" s="5"/>
      <c r="BBX56" s="4"/>
      <c r="BBY56" s="279"/>
      <c r="BBZ56" s="89"/>
      <c r="BCA56" s="5"/>
      <c r="BCB56" s="4"/>
      <c r="BCC56" s="279"/>
      <c r="BCD56" s="89"/>
      <c r="BCE56" s="5"/>
      <c r="BCF56" s="4"/>
      <c r="BCG56" s="279"/>
      <c r="BCH56" s="89"/>
      <c r="BCI56" s="5"/>
      <c r="BCJ56" s="4"/>
      <c r="BCK56" s="279"/>
      <c r="BCL56" s="89"/>
      <c r="BCM56" s="5"/>
      <c r="BCN56" s="4"/>
      <c r="BCO56" s="279"/>
      <c r="BCP56" s="89"/>
      <c r="BCQ56" s="5"/>
      <c r="BCR56" s="4"/>
      <c r="BCS56" s="279"/>
      <c r="BCT56" s="89"/>
      <c r="BCU56" s="5"/>
      <c r="BCV56" s="4"/>
      <c r="BCW56" s="279"/>
      <c r="BCX56" s="89"/>
      <c r="BCY56" s="5"/>
      <c r="BCZ56" s="4"/>
      <c r="BDA56" s="279"/>
      <c r="BDB56" s="89"/>
      <c r="BDC56" s="5"/>
      <c r="BDD56" s="4"/>
      <c r="BDE56" s="279"/>
      <c r="BDF56" s="89"/>
      <c r="BDG56" s="5"/>
      <c r="BDH56" s="4"/>
      <c r="BDI56" s="279"/>
      <c r="BDJ56" s="89"/>
      <c r="BDK56" s="5"/>
      <c r="BDL56" s="4"/>
      <c r="BDM56" s="279"/>
      <c r="BDN56" s="89"/>
      <c r="BDO56" s="5"/>
      <c r="BDP56" s="4"/>
      <c r="BDQ56" s="279"/>
      <c r="BDR56" s="89"/>
      <c r="BDS56" s="5"/>
      <c r="BDT56" s="4"/>
      <c r="BDU56" s="279"/>
      <c r="BDV56" s="89"/>
      <c r="BDW56" s="5"/>
      <c r="BDX56" s="4"/>
      <c r="BDY56" s="279"/>
      <c r="BDZ56" s="89"/>
      <c r="BEA56" s="5"/>
      <c r="BEB56" s="4"/>
      <c r="BEC56" s="279"/>
      <c r="BED56" s="89"/>
      <c r="BEE56" s="5"/>
      <c r="BEF56" s="4"/>
      <c r="BEG56" s="279"/>
      <c r="BEH56" s="89"/>
      <c r="BEI56" s="5"/>
      <c r="BEJ56" s="4"/>
      <c r="BEK56" s="279"/>
      <c r="BEL56" s="89"/>
      <c r="BEM56" s="5"/>
      <c r="BEN56" s="4"/>
      <c r="BEO56" s="279"/>
      <c r="BEP56" s="89"/>
      <c r="BEQ56" s="5"/>
      <c r="BER56" s="4"/>
      <c r="BES56" s="279"/>
      <c r="BET56" s="89"/>
      <c r="BEU56" s="5"/>
      <c r="BEV56" s="4"/>
      <c r="BEW56" s="279"/>
      <c r="BEX56" s="89"/>
      <c r="BEY56" s="5"/>
      <c r="BEZ56" s="4"/>
      <c r="BFA56" s="279"/>
      <c r="BFB56" s="89"/>
      <c r="BFC56" s="5"/>
      <c r="BFD56" s="4"/>
      <c r="BFE56" s="279"/>
      <c r="BFF56" s="89"/>
      <c r="BFG56" s="5"/>
      <c r="BFH56" s="4"/>
      <c r="BFI56" s="279"/>
      <c r="BFJ56" s="89"/>
      <c r="BFK56" s="5"/>
      <c r="BFL56" s="4"/>
      <c r="BFM56" s="279"/>
      <c r="BFN56" s="89"/>
      <c r="BFO56" s="5"/>
      <c r="BFP56" s="4"/>
      <c r="BFQ56" s="279"/>
      <c r="BFR56" s="89"/>
      <c r="BFS56" s="5"/>
      <c r="BFT56" s="4"/>
      <c r="BFU56" s="279"/>
      <c r="BFV56" s="89"/>
      <c r="BFW56" s="5"/>
      <c r="BFX56" s="4"/>
      <c r="BFY56" s="279"/>
      <c r="BFZ56" s="89"/>
      <c r="BGA56" s="5"/>
      <c r="BGB56" s="4"/>
      <c r="BGC56" s="279"/>
      <c r="BGD56" s="89"/>
      <c r="BGE56" s="5"/>
      <c r="BGF56" s="4"/>
      <c r="BGG56" s="279"/>
      <c r="BGH56" s="89"/>
      <c r="BGI56" s="5"/>
      <c r="BGJ56" s="4"/>
      <c r="BGK56" s="279"/>
      <c r="BGL56" s="89"/>
      <c r="BGM56" s="5"/>
      <c r="BGN56" s="4"/>
      <c r="BGO56" s="279"/>
      <c r="BGP56" s="89"/>
      <c r="BGQ56" s="5"/>
      <c r="BGR56" s="4"/>
      <c r="BGS56" s="279"/>
      <c r="BGT56" s="89"/>
      <c r="BGU56" s="5"/>
      <c r="BGV56" s="4"/>
      <c r="BGW56" s="279"/>
      <c r="BGX56" s="89"/>
      <c r="BGY56" s="5"/>
      <c r="BGZ56" s="4"/>
      <c r="BHA56" s="279"/>
      <c r="BHB56" s="89"/>
      <c r="BHC56" s="5"/>
      <c r="BHD56" s="4"/>
      <c r="BHE56" s="279"/>
      <c r="BHF56" s="89"/>
      <c r="BHG56" s="5"/>
      <c r="BHH56" s="4"/>
      <c r="BHI56" s="279"/>
      <c r="BHJ56" s="89"/>
      <c r="BHK56" s="5"/>
      <c r="BHL56" s="4"/>
      <c r="BHM56" s="279"/>
      <c r="BHN56" s="89"/>
      <c r="BHO56" s="5"/>
      <c r="BHP56" s="4"/>
      <c r="BHQ56" s="279"/>
      <c r="BHR56" s="89"/>
      <c r="BHS56" s="5"/>
      <c r="BHT56" s="4"/>
      <c r="BHU56" s="279"/>
      <c r="BHV56" s="89"/>
      <c r="BHW56" s="5"/>
      <c r="BHX56" s="4"/>
      <c r="BHY56" s="279"/>
      <c r="BHZ56" s="89"/>
      <c r="BIA56" s="5"/>
      <c r="BIB56" s="4"/>
      <c r="BIC56" s="279"/>
      <c r="BID56" s="89"/>
      <c r="BIE56" s="5"/>
      <c r="BIF56" s="4"/>
      <c r="BIG56" s="279"/>
      <c r="BIH56" s="89"/>
      <c r="BII56" s="5"/>
      <c r="BIJ56" s="4"/>
      <c r="BIK56" s="279"/>
      <c r="BIL56" s="89"/>
      <c r="BIM56" s="5"/>
      <c r="BIN56" s="4"/>
      <c r="BIO56" s="279"/>
      <c r="BIP56" s="89"/>
      <c r="BIQ56" s="5"/>
      <c r="BIR56" s="4"/>
      <c r="BIS56" s="279"/>
      <c r="BIT56" s="89"/>
      <c r="BIU56" s="5"/>
      <c r="BIV56" s="4"/>
      <c r="BIW56" s="279"/>
      <c r="BIX56" s="89"/>
      <c r="BIY56" s="5"/>
      <c r="BIZ56" s="4"/>
      <c r="BJA56" s="279"/>
      <c r="BJB56" s="89"/>
      <c r="BJC56" s="5"/>
      <c r="BJD56" s="4"/>
      <c r="BJE56" s="279"/>
      <c r="BJF56" s="89"/>
      <c r="BJG56" s="5"/>
      <c r="BJH56" s="4"/>
      <c r="BJI56" s="279"/>
      <c r="BJJ56" s="89"/>
      <c r="BJK56" s="5"/>
      <c r="BJL56" s="4"/>
      <c r="BJM56" s="279"/>
      <c r="BJN56" s="89"/>
      <c r="BJO56" s="5"/>
      <c r="BJP56" s="4"/>
      <c r="BJQ56" s="279"/>
      <c r="BJR56" s="89"/>
      <c r="BJS56" s="5"/>
      <c r="BJT56" s="4"/>
      <c r="BJU56" s="279"/>
      <c r="BJV56" s="89"/>
      <c r="BJW56" s="5"/>
      <c r="BJX56" s="4"/>
      <c r="BJY56" s="279"/>
      <c r="BJZ56" s="89"/>
      <c r="BKA56" s="5"/>
      <c r="BKB56" s="4"/>
      <c r="BKC56" s="279"/>
      <c r="BKD56" s="89"/>
      <c r="BKE56" s="5"/>
      <c r="BKF56" s="4"/>
      <c r="BKG56" s="279"/>
      <c r="BKH56" s="89"/>
      <c r="BKI56" s="5"/>
      <c r="BKJ56" s="4"/>
      <c r="BKK56" s="279"/>
      <c r="BKL56" s="89"/>
      <c r="BKM56" s="5"/>
      <c r="BKN56" s="4"/>
      <c r="BKO56" s="279"/>
      <c r="BKP56" s="89"/>
      <c r="BKQ56" s="5"/>
      <c r="BKR56" s="4"/>
      <c r="BKS56" s="279"/>
      <c r="BKT56" s="89"/>
      <c r="BKU56" s="5"/>
      <c r="BKV56" s="4"/>
      <c r="BKW56" s="279"/>
      <c r="BKX56" s="89"/>
      <c r="BKY56" s="5"/>
      <c r="BKZ56" s="4"/>
      <c r="BLA56" s="279"/>
      <c r="BLB56" s="89"/>
      <c r="BLC56" s="5"/>
      <c r="BLD56" s="4"/>
      <c r="BLE56" s="279"/>
      <c r="BLF56" s="89"/>
      <c r="BLG56" s="5"/>
      <c r="BLH56" s="4"/>
      <c r="BLI56" s="279"/>
      <c r="BLJ56" s="89"/>
      <c r="BLK56" s="5"/>
      <c r="BLL56" s="4"/>
      <c r="BLM56" s="279"/>
      <c r="BLN56" s="89"/>
      <c r="BLO56" s="5"/>
      <c r="BLP56" s="4"/>
      <c r="BLQ56" s="279"/>
      <c r="BLR56" s="89"/>
      <c r="BLS56" s="5"/>
      <c r="BLT56" s="4"/>
      <c r="BLU56" s="279"/>
      <c r="BLV56" s="89"/>
      <c r="BLW56" s="5"/>
      <c r="BLX56" s="4"/>
      <c r="BLY56" s="279"/>
      <c r="BLZ56" s="89"/>
      <c r="BMA56" s="5"/>
      <c r="BMB56" s="4"/>
      <c r="BMC56" s="279"/>
      <c r="BMD56" s="89"/>
      <c r="BME56" s="5"/>
      <c r="BMF56" s="4"/>
      <c r="BMG56" s="279"/>
      <c r="BMH56" s="89"/>
      <c r="BMI56" s="5"/>
      <c r="BMJ56" s="4"/>
      <c r="BMK56" s="279"/>
      <c r="BML56" s="89"/>
      <c r="BMM56" s="5"/>
      <c r="BMN56" s="4"/>
      <c r="BMO56" s="279"/>
      <c r="BMP56" s="89"/>
      <c r="BMQ56" s="5"/>
      <c r="BMR56" s="4"/>
      <c r="BMS56" s="279"/>
      <c r="BMT56" s="89"/>
      <c r="BMU56" s="5"/>
      <c r="BMV56" s="4"/>
      <c r="BMW56" s="279"/>
      <c r="BMX56" s="89"/>
      <c r="BMY56" s="5"/>
      <c r="BMZ56" s="4"/>
      <c r="BNA56" s="279"/>
      <c r="BNB56" s="89"/>
      <c r="BNC56" s="5"/>
      <c r="BND56" s="4"/>
      <c r="BNE56" s="279"/>
      <c r="BNF56" s="89"/>
      <c r="BNG56" s="5"/>
      <c r="BNH56" s="4"/>
      <c r="BNI56" s="279"/>
      <c r="BNJ56" s="89"/>
      <c r="BNK56" s="5"/>
      <c r="BNL56" s="4"/>
      <c r="BNM56" s="279"/>
      <c r="BNN56" s="89"/>
      <c r="BNO56" s="5"/>
      <c r="BNP56" s="4"/>
      <c r="BNQ56" s="279"/>
      <c r="BNR56" s="89"/>
      <c r="BNS56" s="5"/>
      <c r="BNT56" s="4"/>
      <c r="BNU56" s="279"/>
      <c r="BNV56" s="89"/>
      <c r="BNW56" s="5"/>
      <c r="BNX56" s="4"/>
      <c r="BNY56" s="279"/>
      <c r="BNZ56" s="89"/>
      <c r="BOA56" s="5"/>
      <c r="BOB56" s="4"/>
      <c r="BOC56" s="279"/>
      <c r="BOD56" s="89"/>
      <c r="BOE56" s="5"/>
      <c r="BOF56" s="4"/>
      <c r="BOG56" s="279"/>
      <c r="BOH56" s="89"/>
      <c r="BOI56" s="5"/>
      <c r="BOJ56" s="4"/>
      <c r="BOK56" s="279"/>
      <c r="BOL56" s="89"/>
      <c r="BOM56" s="5"/>
      <c r="BON56" s="4"/>
      <c r="BOO56" s="279"/>
      <c r="BOP56" s="89"/>
      <c r="BOQ56" s="5"/>
      <c r="BOR56" s="4"/>
      <c r="BOS56" s="279"/>
      <c r="BOT56" s="89"/>
      <c r="BOU56" s="5"/>
      <c r="BOV56" s="4"/>
      <c r="BOW56" s="279"/>
      <c r="BOX56" s="89"/>
      <c r="BOY56" s="5"/>
      <c r="BOZ56" s="4"/>
      <c r="BPA56" s="279"/>
      <c r="BPB56" s="89"/>
      <c r="BPC56" s="5"/>
      <c r="BPD56" s="4"/>
      <c r="BPE56" s="279"/>
      <c r="BPF56" s="89"/>
      <c r="BPG56" s="5"/>
      <c r="BPH56" s="4"/>
      <c r="BPI56" s="279"/>
      <c r="BPJ56" s="89"/>
      <c r="BPK56" s="5"/>
      <c r="BPL56" s="4"/>
      <c r="BPM56" s="279"/>
      <c r="BPN56" s="89"/>
      <c r="BPO56" s="5"/>
      <c r="BPP56" s="4"/>
      <c r="BPQ56" s="279"/>
      <c r="BPR56" s="89"/>
      <c r="BPS56" s="5"/>
      <c r="BPT56" s="4"/>
      <c r="BPU56" s="279"/>
      <c r="BPV56" s="89"/>
      <c r="BPW56" s="5"/>
      <c r="BPX56" s="4"/>
      <c r="BPY56" s="279"/>
      <c r="BPZ56" s="89"/>
      <c r="BQA56" s="5"/>
      <c r="BQB56" s="4"/>
      <c r="BQC56" s="279"/>
      <c r="BQD56" s="89"/>
      <c r="BQE56" s="5"/>
      <c r="BQF56" s="4"/>
      <c r="BQG56" s="279"/>
      <c r="BQH56" s="89"/>
      <c r="BQI56" s="5"/>
      <c r="BQJ56" s="4"/>
      <c r="BQK56" s="279"/>
      <c r="BQL56" s="89"/>
      <c r="BQM56" s="5"/>
      <c r="BQN56" s="4"/>
      <c r="BQO56" s="279"/>
      <c r="BQP56" s="89"/>
      <c r="BQQ56" s="5"/>
      <c r="BQR56" s="4"/>
      <c r="BQS56" s="279"/>
      <c r="BQT56" s="89"/>
      <c r="BQU56" s="5"/>
      <c r="BQV56" s="4"/>
      <c r="BQW56" s="279"/>
      <c r="BQX56" s="89"/>
      <c r="BQY56" s="5"/>
      <c r="BQZ56" s="4"/>
      <c r="BRA56" s="279"/>
      <c r="BRB56" s="89"/>
      <c r="BRC56" s="5"/>
      <c r="BRD56" s="4"/>
      <c r="BRE56" s="279"/>
      <c r="BRF56" s="89"/>
      <c r="BRG56" s="5"/>
      <c r="BRH56" s="4"/>
      <c r="BRI56" s="279"/>
      <c r="BRJ56" s="89"/>
      <c r="BRK56" s="5"/>
      <c r="BRL56" s="4"/>
      <c r="BRM56" s="279"/>
      <c r="BRN56" s="89"/>
      <c r="BRO56" s="5"/>
      <c r="BRP56" s="4"/>
      <c r="BRQ56" s="279"/>
      <c r="BRR56" s="89"/>
      <c r="BRS56" s="5"/>
      <c r="BRT56" s="4"/>
      <c r="BRU56" s="279"/>
      <c r="BRV56" s="89"/>
      <c r="BRW56" s="5"/>
      <c r="BRX56" s="4"/>
      <c r="BRY56" s="279"/>
      <c r="BRZ56" s="89"/>
      <c r="BSA56" s="5"/>
      <c r="BSB56" s="4"/>
      <c r="BSC56" s="279"/>
      <c r="BSD56" s="89"/>
      <c r="BSE56" s="5"/>
      <c r="BSF56" s="4"/>
      <c r="BSG56" s="279"/>
      <c r="BSH56" s="89"/>
      <c r="BSI56" s="5"/>
      <c r="BSJ56" s="4"/>
      <c r="BSK56" s="279"/>
      <c r="BSL56" s="89"/>
      <c r="BSM56" s="5"/>
      <c r="BSN56" s="4"/>
      <c r="BSO56" s="279"/>
      <c r="BSP56" s="89"/>
      <c r="BSQ56" s="5"/>
      <c r="BSR56" s="4"/>
      <c r="BSS56" s="279"/>
      <c r="BST56" s="89"/>
      <c r="BSU56" s="5"/>
      <c r="BSV56" s="4"/>
      <c r="BSW56" s="279"/>
      <c r="BSX56" s="89"/>
      <c r="BSY56" s="5"/>
      <c r="BSZ56" s="4"/>
      <c r="BTA56" s="279"/>
      <c r="BTB56" s="89"/>
      <c r="BTC56" s="5"/>
      <c r="BTD56" s="4"/>
      <c r="BTE56" s="279"/>
      <c r="BTF56" s="89"/>
      <c r="BTG56" s="5"/>
      <c r="BTH56" s="4"/>
      <c r="BTI56" s="279"/>
      <c r="BTJ56" s="89"/>
      <c r="BTK56" s="5"/>
      <c r="BTL56" s="4"/>
      <c r="BTM56" s="279"/>
      <c r="BTN56" s="89"/>
      <c r="BTO56" s="5"/>
      <c r="BTP56" s="4"/>
      <c r="BTQ56" s="279"/>
      <c r="BTR56" s="89"/>
      <c r="BTS56" s="5"/>
      <c r="BTT56" s="4"/>
      <c r="BTU56" s="279"/>
      <c r="BTV56" s="89"/>
      <c r="BTW56" s="5"/>
      <c r="BTX56" s="4"/>
      <c r="BTY56" s="279"/>
      <c r="BTZ56" s="89"/>
      <c r="BUA56" s="5"/>
      <c r="BUB56" s="4"/>
      <c r="BUC56" s="279"/>
      <c r="BUD56" s="89"/>
      <c r="BUE56" s="5"/>
      <c r="BUF56" s="4"/>
      <c r="BUG56" s="279"/>
      <c r="BUH56" s="89"/>
      <c r="BUI56" s="5"/>
      <c r="BUJ56" s="4"/>
      <c r="BUK56" s="279"/>
      <c r="BUL56" s="89"/>
      <c r="BUM56" s="5"/>
      <c r="BUN56" s="4"/>
      <c r="BUO56" s="279"/>
      <c r="BUP56" s="89"/>
      <c r="BUQ56" s="5"/>
      <c r="BUR56" s="4"/>
      <c r="BUS56" s="279"/>
      <c r="BUT56" s="89"/>
      <c r="BUU56" s="5"/>
      <c r="BUV56" s="4"/>
      <c r="BUW56" s="279"/>
      <c r="BUX56" s="89"/>
      <c r="BUY56" s="5"/>
      <c r="BUZ56" s="4"/>
      <c r="BVA56" s="279"/>
      <c r="BVB56" s="89"/>
      <c r="BVC56" s="5"/>
      <c r="BVD56" s="4"/>
      <c r="BVE56" s="279"/>
      <c r="BVF56" s="89"/>
      <c r="BVG56" s="5"/>
      <c r="BVH56" s="4"/>
      <c r="BVI56" s="279"/>
      <c r="BVJ56" s="89"/>
      <c r="BVK56" s="5"/>
      <c r="BVL56" s="4"/>
      <c r="BVM56" s="279"/>
      <c r="BVN56" s="89"/>
      <c r="BVO56" s="5"/>
      <c r="BVP56" s="4"/>
      <c r="BVQ56" s="279"/>
      <c r="BVR56" s="89"/>
      <c r="BVS56" s="5"/>
      <c r="BVT56" s="4"/>
      <c r="BVU56" s="279"/>
      <c r="BVV56" s="89"/>
      <c r="BVW56" s="5"/>
      <c r="BVX56" s="4"/>
      <c r="BVY56" s="279"/>
      <c r="BVZ56" s="89"/>
      <c r="BWA56" s="5"/>
      <c r="BWB56" s="4"/>
      <c r="BWC56" s="279"/>
      <c r="BWD56" s="89"/>
      <c r="BWE56" s="5"/>
      <c r="BWF56" s="4"/>
      <c r="BWG56" s="279"/>
      <c r="BWH56" s="89"/>
      <c r="BWI56" s="5"/>
      <c r="BWJ56" s="4"/>
      <c r="BWK56" s="279"/>
      <c r="BWL56" s="89"/>
      <c r="BWM56" s="5"/>
      <c r="BWN56" s="4"/>
      <c r="BWO56" s="279"/>
      <c r="BWP56" s="89"/>
      <c r="BWQ56" s="5"/>
      <c r="BWR56" s="4"/>
      <c r="BWS56" s="279"/>
      <c r="BWT56" s="89"/>
      <c r="BWU56" s="5"/>
      <c r="BWV56" s="4"/>
      <c r="BWW56" s="279"/>
      <c r="BWX56" s="89"/>
      <c r="BWY56" s="5"/>
      <c r="BWZ56" s="4"/>
      <c r="BXA56" s="279"/>
      <c r="BXB56" s="89"/>
      <c r="BXC56" s="5"/>
      <c r="BXD56" s="4"/>
      <c r="BXE56" s="279"/>
      <c r="BXF56" s="89"/>
      <c r="BXG56" s="5"/>
      <c r="BXH56" s="4"/>
      <c r="BXI56" s="279"/>
      <c r="BXJ56" s="89"/>
      <c r="BXK56" s="5"/>
      <c r="BXL56" s="4"/>
      <c r="BXM56" s="279"/>
      <c r="BXN56" s="89"/>
      <c r="BXO56" s="5"/>
      <c r="BXP56" s="4"/>
      <c r="BXQ56" s="279"/>
      <c r="BXR56" s="89"/>
      <c r="BXS56" s="5"/>
      <c r="BXT56" s="4"/>
      <c r="BXU56" s="279"/>
      <c r="BXV56" s="89"/>
      <c r="BXW56" s="5"/>
      <c r="BXX56" s="4"/>
      <c r="BXY56" s="279"/>
      <c r="BXZ56" s="89"/>
      <c r="BYA56" s="5"/>
      <c r="BYB56" s="4"/>
      <c r="BYC56" s="279"/>
      <c r="BYD56" s="89"/>
      <c r="BYE56" s="5"/>
      <c r="BYF56" s="4"/>
      <c r="BYG56" s="279"/>
      <c r="BYH56" s="89"/>
      <c r="BYI56" s="5"/>
      <c r="BYJ56" s="4"/>
      <c r="BYK56" s="279"/>
      <c r="BYL56" s="89"/>
      <c r="BYM56" s="5"/>
      <c r="BYN56" s="4"/>
      <c r="BYO56" s="279"/>
      <c r="BYP56" s="89"/>
      <c r="BYQ56" s="5"/>
      <c r="BYR56" s="4"/>
      <c r="BYS56" s="279"/>
      <c r="BYT56" s="89"/>
      <c r="BYU56" s="5"/>
      <c r="BYV56" s="4"/>
      <c r="BYW56" s="279"/>
      <c r="BYX56" s="89"/>
      <c r="BYY56" s="5"/>
      <c r="BYZ56" s="4"/>
      <c r="BZA56" s="279"/>
      <c r="BZB56" s="89"/>
      <c r="BZC56" s="5"/>
      <c r="BZD56" s="4"/>
      <c r="BZE56" s="279"/>
      <c r="BZF56" s="89"/>
      <c r="BZG56" s="5"/>
      <c r="BZH56" s="4"/>
      <c r="BZI56" s="279"/>
      <c r="BZJ56" s="89"/>
      <c r="BZK56" s="5"/>
      <c r="BZL56" s="4"/>
      <c r="BZM56" s="279"/>
      <c r="BZN56" s="89"/>
      <c r="BZO56" s="5"/>
      <c r="BZP56" s="4"/>
      <c r="BZQ56" s="279"/>
      <c r="BZR56" s="89"/>
      <c r="BZS56" s="5"/>
      <c r="BZT56" s="4"/>
      <c r="BZU56" s="279"/>
      <c r="BZV56" s="89"/>
      <c r="BZW56" s="5"/>
      <c r="BZX56" s="4"/>
      <c r="BZY56" s="279"/>
      <c r="BZZ56" s="89"/>
      <c r="CAA56" s="5"/>
      <c r="CAB56" s="4"/>
      <c r="CAC56" s="279"/>
      <c r="CAD56" s="89"/>
      <c r="CAE56" s="5"/>
      <c r="CAF56" s="4"/>
      <c r="CAG56" s="279"/>
      <c r="CAH56" s="89"/>
      <c r="CAI56" s="5"/>
      <c r="CAJ56" s="4"/>
      <c r="CAK56" s="279"/>
      <c r="CAL56" s="89"/>
      <c r="CAM56" s="5"/>
      <c r="CAN56" s="4"/>
      <c r="CAO56" s="279"/>
      <c r="CAP56" s="89"/>
      <c r="CAQ56" s="5"/>
      <c r="CAR56" s="4"/>
      <c r="CAS56" s="279"/>
      <c r="CAT56" s="89"/>
      <c r="CAU56" s="5"/>
      <c r="CAV56" s="4"/>
      <c r="CAW56" s="279"/>
      <c r="CAX56" s="89"/>
      <c r="CAY56" s="5"/>
      <c r="CAZ56" s="4"/>
      <c r="CBA56" s="279"/>
      <c r="CBB56" s="89"/>
      <c r="CBC56" s="5"/>
      <c r="CBD56" s="4"/>
      <c r="CBE56" s="279"/>
      <c r="CBF56" s="89"/>
      <c r="CBG56" s="5"/>
      <c r="CBH56" s="4"/>
      <c r="CBI56" s="279"/>
      <c r="CBJ56" s="89"/>
      <c r="CBK56" s="5"/>
      <c r="CBL56" s="4"/>
      <c r="CBM56" s="279"/>
      <c r="CBN56" s="89"/>
      <c r="CBO56" s="5"/>
      <c r="CBP56" s="4"/>
      <c r="CBQ56" s="279"/>
      <c r="CBR56" s="89"/>
      <c r="CBS56" s="5"/>
      <c r="CBT56" s="4"/>
      <c r="CBU56" s="279"/>
      <c r="CBV56" s="89"/>
      <c r="CBW56" s="5"/>
      <c r="CBX56" s="4"/>
      <c r="CBY56" s="279"/>
      <c r="CBZ56" s="89"/>
      <c r="CCA56" s="5"/>
      <c r="CCB56" s="4"/>
      <c r="CCC56" s="279"/>
      <c r="CCD56" s="89"/>
      <c r="CCE56" s="5"/>
      <c r="CCF56" s="4"/>
      <c r="CCG56" s="279"/>
      <c r="CCH56" s="89"/>
      <c r="CCI56" s="5"/>
      <c r="CCJ56" s="4"/>
      <c r="CCK56" s="279"/>
      <c r="CCL56" s="89"/>
      <c r="CCM56" s="5"/>
      <c r="CCN56" s="4"/>
      <c r="CCO56" s="279"/>
      <c r="CCP56" s="89"/>
      <c r="CCQ56" s="5"/>
      <c r="CCR56" s="4"/>
      <c r="CCS56" s="279"/>
      <c r="CCT56" s="89"/>
      <c r="CCU56" s="5"/>
      <c r="CCV56" s="4"/>
      <c r="CCW56" s="279"/>
      <c r="CCX56" s="89"/>
      <c r="CCY56" s="5"/>
      <c r="CCZ56" s="4"/>
      <c r="CDA56" s="279"/>
      <c r="CDB56" s="89"/>
      <c r="CDC56" s="5"/>
      <c r="CDD56" s="4"/>
      <c r="CDE56" s="279"/>
      <c r="CDF56" s="89"/>
      <c r="CDG56" s="5"/>
      <c r="CDH56" s="4"/>
      <c r="CDI56" s="279"/>
      <c r="CDJ56" s="89"/>
      <c r="CDK56" s="5"/>
      <c r="CDL56" s="4"/>
      <c r="CDM56" s="279"/>
      <c r="CDN56" s="89"/>
      <c r="CDO56" s="5"/>
      <c r="CDP56" s="4"/>
      <c r="CDQ56" s="279"/>
      <c r="CDR56" s="89"/>
      <c r="CDS56" s="5"/>
      <c r="CDT56" s="4"/>
      <c r="CDU56" s="279"/>
      <c r="CDV56" s="89"/>
      <c r="CDW56" s="5"/>
      <c r="CDX56" s="4"/>
      <c r="CDY56" s="279"/>
      <c r="CDZ56" s="89"/>
      <c r="CEA56" s="5"/>
      <c r="CEB56" s="4"/>
      <c r="CEC56" s="279"/>
      <c r="CED56" s="89"/>
      <c r="CEE56" s="5"/>
      <c r="CEF56" s="4"/>
      <c r="CEG56" s="279"/>
      <c r="CEH56" s="89"/>
      <c r="CEI56" s="5"/>
      <c r="CEJ56" s="4"/>
      <c r="CEK56" s="279"/>
      <c r="CEL56" s="89"/>
      <c r="CEM56" s="5"/>
      <c r="CEN56" s="4"/>
      <c r="CEO56" s="279"/>
      <c r="CEP56" s="89"/>
      <c r="CEQ56" s="5"/>
      <c r="CER56" s="4"/>
      <c r="CES56" s="279"/>
      <c r="CET56" s="89"/>
      <c r="CEU56" s="5"/>
      <c r="CEV56" s="4"/>
      <c r="CEW56" s="279"/>
      <c r="CEX56" s="89"/>
      <c r="CEY56" s="5"/>
      <c r="CEZ56" s="4"/>
      <c r="CFA56" s="279"/>
      <c r="CFB56" s="89"/>
      <c r="CFC56" s="5"/>
      <c r="CFD56" s="4"/>
      <c r="CFE56" s="279"/>
      <c r="CFF56" s="89"/>
      <c r="CFG56" s="5"/>
      <c r="CFH56" s="4"/>
      <c r="CFI56" s="279"/>
      <c r="CFJ56" s="89"/>
      <c r="CFK56" s="5"/>
      <c r="CFL56" s="4"/>
      <c r="CFM56" s="279"/>
      <c r="CFN56" s="89"/>
      <c r="CFO56" s="5"/>
      <c r="CFP56" s="4"/>
      <c r="CFQ56" s="279"/>
      <c r="CFR56" s="89"/>
      <c r="CFS56" s="5"/>
      <c r="CFT56" s="4"/>
      <c r="CFU56" s="279"/>
      <c r="CFV56" s="89"/>
      <c r="CFW56" s="5"/>
      <c r="CFX56" s="4"/>
      <c r="CFY56" s="279"/>
      <c r="CFZ56" s="89"/>
      <c r="CGA56" s="5"/>
      <c r="CGB56" s="4"/>
      <c r="CGC56" s="279"/>
      <c r="CGD56" s="89"/>
      <c r="CGE56" s="5"/>
      <c r="CGF56" s="4"/>
      <c r="CGG56" s="279"/>
      <c r="CGH56" s="89"/>
      <c r="CGI56" s="5"/>
      <c r="CGJ56" s="4"/>
      <c r="CGK56" s="279"/>
      <c r="CGL56" s="89"/>
      <c r="CGM56" s="5"/>
      <c r="CGN56" s="4"/>
      <c r="CGO56" s="279"/>
      <c r="CGP56" s="89"/>
      <c r="CGQ56" s="5"/>
      <c r="CGR56" s="4"/>
      <c r="CGS56" s="279"/>
      <c r="CGT56" s="89"/>
      <c r="CGU56" s="5"/>
      <c r="CGV56" s="4"/>
      <c r="CGW56" s="279"/>
      <c r="CGX56" s="89"/>
      <c r="CGY56" s="5"/>
      <c r="CGZ56" s="4"/>
      <c r="CHA56" s="279"/>
      <c r="CHB56" s="89"/>
      <c r="CHC56" s="5"/>
      <c r="CHD56" s="4"/>
      <c r="CHE56" s="279"/>
      <c r="CHF56" s="89"/>
      <c r="CHG56" s="5"/>
      <c r="CHH56" s="4"/>
      <c r="CHI56" s="279"/>
      <c r="CHJ56" s="89"/>
      <c r="CHK56" s="5"/>
      <c r="CHL56" s="4"/>
      <c r="CHM56" s="279"/>
      <c r="CHN56" s="89"/>
      <c r="CHO56" s="5"/>
      <c r="CHP56" s="4"/>
      <c r="CHQ56" s="279"/>
      <c r="CHR56" s="89"/>
      <c r="CHS56" s="5"/>
      <c r="CHT56" s="4"/>
      <c r="CHU56" s="279"/>
      <c r="CHV56" s="89"/>
      <c r="CHW56" s="5"/>
      <c r="CHX56" s="4"/>
      <c r="CHY56" s="279"/>
      <c r="CHZ56" s="89"/>
      <c r="CIA56" s="5"/>
      <c r="CIB56" s="4"/>
      <c r="CIC56" s="279"/>
      <c r="CID56" s="89"/>
      <c r="CIE56" s="5"/>
      <c r="CIF56" s="4"/>
      <c r="CIG56" s="279"/>
      <c r="CIH56" s="89"/>
      <c r="CII56" s="5"/>
      <c r="CIJ56" s="4"/>
      <c r="CIK56" s="279"/>
      <c r="CIL56" s="89"/>
      <c r="CIM56" s="5"/>
      <c r="CIN56" s="4"/>
      <c r="CIO56" s="279"/>
      <c r="CIP56" s="89"/>
      <c r="CIQ56" s="5"/>
      <c r="CIR56" s="4"/>
      <c r="CIS56" s="279"/>
      <c r="CIT56" s="89"/>
      <c r="CIU56" s="5"/>
      <c r="CIV56" s="4"/>
      <c r="CIW56" s="279"/>
      <c r="CIX56" s="89"/>
      <c r="CIY56" s="5"/>
      <c r="CIZ56" s="4"/>
      <c r="CJA56" s="279"/>
      <c r="CJB56" s="89"/>
      <c r="CJC56" s="5"/>
      <c r="CJD56" s="4"/>
      <c r="CJE56" s="279"/>
      <c r="CJF56" s="89"/>
      <c r="CJG56" s="5"/>
      <c r="CJH56" s="4"/>
      <c r="CJI56" s="279"/>
      <c r="CJJ56" s="89"/>
      <c r="CJK56" s="5"/>
      <c r="CJL56" s="4"/>
      <c r="CJM56" s="279"/>
      <c r="CJN56" s="89"/>
      <c r="CJO56" s="5"/>
      <c r="CJP56" s="4"/>
      <c r="CJQ56" s="279"/>
      <c r="CJR56" s="89"/>
      <c r="CJS56" s="5"/>
      <c r="CJT56" s="4"/>
      <c r="CJU56" s="279"/>
      <c r="CJV56" s="89"/>
      <c r="CJW56" s="5"/>
      <c r="CJX56" s="4"/>
      <c r="CJY56" s="279"/>
      <c r="CJZ56" s="89"/>
      <c r="CKA56" s="5"/>
      <c r="CKB56" s="4"/>
      <c r="CKC56" s="279"/>
      <c r="CKD56" s="89"/>
      <c r="CKE56" s="5"/>
      <c r="CKF56" s="4"/>
      <c r="CKG56" s="279"/>
      <c r="CKH56" s="89"/>
      <c r="CKI56" s="5"/>
      <c r="CKJ56" s="4"/>
      <c r="CKK56" s="279"/>
      <c r="CKL56" s="89"/>
      <c r="CKM56" s="5"/>
      <c r="CKN56" s="4"/>
      <c r="CKO56" s="279"/>
      <c r="CKP56" s="89"/>
      <c r="CKQ56" s="5"/>
      <c r="CKR56" s="4"/>
      <c r="CKS56" s="279"/>
      <c r="CKT56" s="89"/>
      <c r="CKU56" s="5"/>
      <c r="CKV56" s="4"/>
      <c r="CKW56" s="279"/>
      <c r="CKX56" s="89"/>
      <c r="CKY56" s="5"/>
      <c r="CKZ56" s="4"/>
      <c r="CLA56" s="279"/>
      <c r="CLB56" s="89"/>
      <c r="CLC56" s="5"/>
      <c r="CLD56" s="4"/>
      <c r="CLE56" s="279"/>
      <c r="CLF56" s="89"/>
      <c r="CLG56" s="5"/>
      <c r="CLH56" s="4"/>
      <c r="CLI56" s="279"/>
      <c r="CLJ56" s="89"/>
      <c r="CLK56" s="5"/>
      <c r="CLL56" s="4"/>
      <c r="CLM56" s="279"/>
      <c r="CLN56" s="89"/>
      <c r="CLO56" s="5"/>
      <c r="CLP56" s="4"/>
      <c r="CLQ56" s="279"/>
      <c r="CLR56" s="89"/>
      <c r="CLS56" s="5"/>
      <c r="CLT56" s="4"/>
      <c r="CLU56" s="279"/>
      <c r="CLV56" s="89"/>
      <c r="CLW56" s="5"/>
      <c r="CLX56" s="4"/>
      <c r="CLY56" s="279"/>
      <c r="CLZ56" s="89"/>
      <c r="CMA56" s="5"/>
      <c r="CMB56" s="4"/>
      <c r="CMC56" s="279"/>
      <c r="CMD56" s="89"/>
      <c r="CME56" s="5"/>
      <c r="CMF56" s="4"/>
      <c r="CMG56" s="279"/>
      <c r="CMH56" s="89"/>
      <c r="CMI56" s="5"/>
      <c r="CMJ56" s="4"/>
      <c r="CMK56" s="279"/>
      <c r="CML56" s="89"/>
      <c r="CMM56" s="5"/>
      <c r="CMN56" s="4"/>
      <c r="CMO56" s="279"/>
      <c r="CMP56" s="89"/>
      <c r="CMQ56" s="5"/>
      <c r="CMR56" s="4"/>
      <c r="CMS56" s="279"/>
      <c r="CMT56" s="89"/>
      <c r="CMU56" s="5"/>
      <c r="CMV56" s="4"/>
      <c r="CMW56" s="279"/>
      <c r="CMX56" s="89"/>
      <c r="CMY56" s="5"/>
      <c r="CMZ56" s="4"/>
      <c r="CNA56" s="279"/>
      <c r="CNB56" s="89"/>
      <c r="CNC56" s="5"/>
      <c r="CND56" s="4"/>
      <c r="CNE56" s="279"/>
      <c r="CNF56" s="89"/>
      <c r="CNG56" s="5"/>
      <c r="CNH56" s="4"/>
      <c r="CNI56" s="279"/>
      <c r="CNJ56" s="89"/>
      <c r="CNK56" s="5"/>
      <c r="CNL56" s="4"/>
      <c r="CNM56" s="279"/>
      <c r="CNN56" s="89"/>
      <c r="CNO56" s="5"/>
      <c r="CNP56" s="4"/>
      <c r="CNQ56" s="279"/>
      <c r="CNR56" s="89"/>
      <c r="CNS56" s="5"/>
      <c r="CNT56" s="4"/>
      <c r="CNU56" s="279"/>
      <c r="CNV56" s="89"/>
      <c r="CNW56" s="5"/>
      <c r="CNX56" s="4"/>
      <c r="CNY56" s="279"/>
      <c r="CNZ56" s="89"/>
      <c r="COA56" s="5"/>
      <c r="COB56" s="4"/>
      <c r="COC56" s="279"/>
      <c r="COD56" s="89"/>
      <c r="COE56" s="5"/>
      <c r="COF56" s="4"/>
      <c r="COG56" s="279"/>
      <c r="COH56" s="89"/>
      <c r="COI56" s="5"/>
      <c r="COJ56" s="4"/>
      <c r="COK56" s="279"/>
      <c r="COL56" s="89"/>
      <c r="COM56" s="5"/>
      <c r="CON56" s="4"/>
      <c r="COO56" s="279"/>
      <c r="COP56" s="89"/>
      <c r="COQ56" s="5"/>
      <c r="COR56" s="4"/>
      <c r="COS56" s="279"/>
      <c r="COT56" s="89"/>
      <c r="COU56" s="5"/>
      <c r="COV56" s="4"/>
      <c r="COW56" s="279"/>
      <c r="COX56" s="89"/>
      <c r="COY56" s="5"/>
      <c r="COZ56" s="4"/>
      <c r="CPA56" s="279"/>
      <c r="CPB56" s="89"/>
      <c r="CPC56" s="5"/>
      <c r="CPD56" s="4"/>
      <c r="CPE56" s="279"/>
      <c r="CPF56" s="89"/>
      <c r="CPG56" s="5"/>
      <c r="CPH56" s="4"/>
      <c r="CPI56" s="279"/>
      <c r="CPJ56" s="89"/>
      <c r="CPK56" s="5"/>
      <c r="CPL56" s="4"/>
      <c r="CPM56" s="279"/>
      <c r="CPN56" s="89"/>
      <c r="CPO56" s="5"/>
      <c r="CPP56" s="4"/>
      <c r="CPQ56" s="279"/>
      <c r="CPR56" s="89"/>
      <c r="CPS56" s="5"/>
      <c r="CPT56" s="4"/>
      <c r="CPU56" s="279"/>
      <c r="CPV56" s="89"/>
      <c r="CPW56" s="5"/>
      <c r="CPX56" s="4"/>
      <c r="CPY56" s="279"/>
      <c r="CPZ56" s="89"/>
      <c r="CQA56" s="5"/>
      <c r="CQB56" s="4"/>
      <c r="CQC56" s="279"/>
      <c r="CQD56" s="89"/>
      <c r="CQE56" s="5"/>
      <c r="CQF56" s="4"/>
      <c r="CQG56" s="279"/>
      <c r="CQH56" s="89"/>
      <c r="CQI56" s="5"/>
      <c r="CQJ56" s="4"/>
      <c r="CQK56" s="279"/>
      <c r="CQL56" s="89"/>
      <c r="CQM56" s="5"/>
      <c r="CQN56" s="4"/>
      <c r="CQO56" s="279"/>
      <c r="CQP56" s="89"/>
      <c r="CQQ56" s="5"/>
      <c r="CQR56" s="4"/>
      <c r="CQS56" s="279"/>
      <c r="CQT56" s="89"/>
      <c r="CQU56" s="5"/>
      <c r="CQV56" s="4"/>
      <c r="CQW56" s="279"/>
      <c r="CQX56" s="89"/>
      <c r="CQY56" s="5"/>
      <c r="CQZ56" s="4"/>
      <c r="CRA56" s="279"/>
      <c r="CRB56" s="89"/>
      <c r="CRC56" s="5"/>
      <c r="CRD56" s="4"/>
      <c r="CRE56" s="279"/>
      <c r="CRF56" s="89"/>
      <c r="CRG56" s="5"/>
      <c r="CRH56" s="4"/>
      <c r="CRI56" s="279"/>
      <c r="CRJ56" s="89"/>
      <c r="CRK56" s="5"/>
      <c r="CRL56" s="4"/>
      <c r="CRM56" s="279"/>
      <c r="CRN56" s="89"/>
      <c r="CRO56" s="5"/>
      <c r="CRP56" s="4"/>
      <c r="CRQ56" s="279"/>
      <c r="CRR56" s="89"/>
      <c r="CRS56" s="5"/>
      <c r="CRT56" s="4"/>
      <c r="CRU56" s="279"/>
      <c r="CRV56" s="89"/>
      <c r="CRW56" s="5"/>
      <c r="CRX56" s="4"/>
      <c r="CRY56" s="279"/>
      <c r="CRZ56" s="89"/>
      <c r="CSA56" s="5"/>
      <c r="CSB56" s="4"/>
      <c r="CSC56" s="279"/>
      <c r="CSD56" s="89"/>
      <c r="CSE56" s="5"/>
      <c r="CSF56" s="4"/>
      <c r="CSG56" s="279"/>
      <c r="CSH56" s="89"/>
      <c r="CSI56" s="5"/>
      <c r="CSJ56" s="4"/>
      <c r="CSK56" s="279"/>
      <c r="CSL56" s="89"/>
      <c r="CSM56" s="5"/>
      <c r="CSN56" s="4"/>
      <c r="CSO56" s="279"/>
      <c r="CSP56" s="89"/>
      <c r="CSQ56" s="5"/>
      <c r="CSR56" s="4"/>
      <c r="CSS56" s="279"/>
      <c r="CST56" s="89"/>
      <c r="CSU56" s="5"/>
      <c r="CSV56" s="4"/>
      <c r="CSW56" s="279"/>
      <c r="CSX56" s="89"/>
      <c r="CSY56" s="5"/>
      <c r="CSZ56" s="4"/>
      <c r="CTA56" s="279"/>
      <c r="CTB56" s="89"/>
      <c r="CTC56" s="5"/>
      <c r="CTD56" s="4"/>
      <c r="CTE56" s="279"/>
      <c r="CTF56" s="89"/>
      <c r="CTG56" s="5"/>
      <c r="CTH56" s="4"/>
      <c r="CTI56" s="279"/>
      <c r="CTJ56" s="89"/>
      <c r="CTK56" s="5"/>
      <c r="CTL56" s="4"/>
      <c r="CTM56" s="279"/>
      <c r="CTN56" s="89"/>
      <c r="CTO56" s="5"/>
      <c r="CTP56" s="4"/>
      <c r="CTQ56" s="279"/>
      <c r="CTR56" s="89"/>
      <c r="CTS56" s="5"/>
      <c r="CTT56" s="4"/>
      <c r="CTU56" s="279"/>
      <c r="CTV56" s="89"/>
      <c r="CTW56" s="5"/>
      <c r="CTX56" s="4"/>
      <c r="CTY56" s="279"/>
      <c r="CTZ56" s="89"/>
      <c r="CUA56" s="5"/>
      <c r="CUB56" s="4"/>
      <c r="CUC56" s="279"/>
      <c r="CUD56" s="89"/>
      <c r="CUE56" s="5"/>
      <c r="CUF56" s="4"/>
      <c r="CUG56" s="279"/>
      <c r="CUH56" s="89"/>
      <c r="CUI56" s="5"/>
      <c r="CUJ56" s="4"/>
      <c r="CUK56" s="279"/>
      <c r="CUL56" s="89"/>
      <c r="CUM56" s="5"/>
      <c r="CUN56" s="4"/>
      <c r="CUO56" s="279"/>
      <c r="CUP56" s="89"/>
      <c r="CUQ56" s="5"/>
      <c r="CUR56" s="4"/>
      <c r="CUS56" s="279"/>
      <c r="CUT56" s="89"/>
      <c r="CUU56" s="5"/>
      <c r="CUV56" s="4"/>
      <c r="CUW56" s="279"/>
      <c r="CUX56" s="89"/>
      <c r="CUY56" s="5"/>
      <c r="CUZ56" s="4"/>
      <c r="CVA56" s="279"/>
      <c r="CVB56" s="89"/>
      <c r="CVC56" s="5"/>
      <c r="CVD56" s="4"/>
      <c r="CVE56" s="279"/>
      <c r="CVF56" s="89"/>
      <c r="CVG56" s="5"/>
      <c r="CVH56" s="4"/>
      <c r="CVI56" s="279"/>
      <c r="CVJ56" s="89"/>
      <c r="CVK56" s="5"/>
      <c r="CVL56" s="4"/>
      <c r="CVM56" s="279"/>
      <c r="CVN56" s="89"/>
      <c r="CVO56" s="5"/>
      <c r="CVP56" s="4"/>
      <c r="CVQ56" s="279"/>
      <c r="CVR56" s="89"/>
      <c r="CVS56" s="5"/>
      <c r="CVT56" s="4"/>
      <c r="CVU56" s="279"/>
      <c r="CVV56" s="89"/>
      <c r="CVW56" s="5"/>
      <c r="CVX56" s="4"/>
      <c r="CVY56" s="279"/>
      <c r="CVZ56" s="89"/>
      <c r="CWA56" s="5"/>
      <c r="CWB56" s="4"/>
      <c r="CWC56" s="279"/>
      <c r="CWD56" s="89"/>
      <c r="CWE56" s="5"/>
      <c r="CWF56" s="4"/>
      <c r="CWG56" s="279"/>
      <c r="CWH56" s="89"/>
      <c r="CWI56" s="5"/>
      <c r="CWJ56" s="4"/>
      <c r="CWK56" s="279"/>
      <c r="CWL56" s="89"/>
      <c r="CWM56" s="5"/>
      <c r="CWN56" s="4"/>
      <c r="CWO56" s="279"/>
      <c r="CWP56" s="89"/>
      <c r="CWQ56" s="5"/>
      <c r="CWR56" s="4"/>
      <c r="CWS56" s="279"/>
      <c r="CWT56" s="89"/>
      <c r="CWU56" s="5"/>
      <c r="CWV56" s="4"/>
      <c r="CWW56" s="279"/>
      <c r="CWX56" s="89"/>
      <c r="CWY56" s="5"/>
      <c r="CWZ56" s="4"/>
      <c r="CXA56" s="279"/>
      <c r="CXB56" s="89"/>
      <c r="CXC56" s="5"/>
      <c r="CXD56" s="4"/>
      <c r="CXE56" s="279"/>
      <c r="CXF56" s="89"/>
      <c r="CXG56" s="5"/>
      <c r="CXH56" s="4"/>
      <c r="CXI56" s="279"/>
      <c r="CXJ56" s="89"/>
      <c r="CXK56" s="5"/>
      <c r="CXL56" s="4"/>
      <c r="CXM56" s="279"/>
      <c r="CXN56" s="89"/>
      <c r="CXO56" s="5"/>
      <c r="CXP56" s="4"/>
      <c r="CXQ56" s="279"/>
      <c r="CXR56" s="89"/>
      <c r="CXS56" s="5"/>
      <c r="CXT56" s="4"/>
      <c r="CXU56" s="279"/>
      <c r="CXV56" s="89"/>
      <c r="CXW56" s="5"/>
      <c r="CXX56" s="4"/>
      <c r="CXY56" s="279"/>
      <c r="CXZ56" s="89"/>
      <c r="CYA56" s="5"/>
      <c r="CYB56" s="4"/>
      <c r="CYC56" s="279"/>
      <c r="CYD56" s="89"/>
      <c r="CYE56" s="5"/>
      <c r="CYF56" s="4"/>
      <c r="CYG56" s="279"/>
      <c r="CYH56" s="89"/>
      <c r="CYI56" s="5"/>
      <c r="CYJ56" s="4"/>
      <c r="CYK56" s="279"/>
      <c r="CYL56" s="89"/>
      <c r="CYM56" s="5"/>
      <c r="CYN56" s="4"/>
      <c r="CYO56" s="279"/>
      <c r="CYP56" s="89"/>
      <c r="CYQ56" s="5"/>
      <c r="CYR56" s="4"/>
      <c r="CYS56" s="279"/>
      <c r="CYT56" s="89"/>
      <c r="CYU56" s="5"/>
      <c r="CYV56" s="4"/>
      <c r="CYW56" s="279"/>
      <c r="CYX56" s="89"/>
      <c r="CYY56" s="5"/>
      <c r="CYZ56" s="4"/>
      <c r="CZA56" s="279"/>
      <c r="CZB56" s="89"/>
      <c r="CZC56" s="5"/>
      <c r="CZD56" s="4"/>
      <c r="CZE56" s="279"/>
      <c r="CZF56" s="89"/>
      <c r="CZG56" s="5"/>
      <c r="CZH56" s="4"/>
      <c r="CZI56" s="279"/>
      <c r="CZJ56" s="89"/>
      <c r="CZK56" s="5"/>
      <c r="CZL56" s="4"/>
      <c r="CZM56" s="279"/>
      <c r="CZN56" s="89"/>
      <c r="CZO56" s="5"/>
      <c r="CZP56" s="4"/>
      <c r="CZQ56" s="279"/>
      <c r="CZR56" s="89"/>
      <c r="CZS56" s="5"/>
      <c r="CZT56" s="4"/>
      <c r="CZU56" s="279"/>
      <c r="CZV56" s="89"/>
      <c r="CZW56" s="5"/>
      <c r="CZX56" s="4"/>
      <c r="CZY56" s="279"/>
      <c r="CZZ56" s="89"/>
      <c r="DAA56" s="5"/>
      <c r="DAB56" s="4"/>
      <c r="DAC56" s="279"/>
      <c r="DAD56" s="89"/>
      <c r="DAE56" s="5"/>
      <c r="DAF56" s="4"/>
      <c r="DAG56" s="279"/>
      <c r="DAH56" s="89"/>
      <c r="DAI56" s="5"/>
      <c r="DAJ56" s="4"/>
      <c r="DAK56" s="279"/>
      <c r="DAL56" s="89"/>
      <c r="DAM56" s="5"/>
      <c r="DAN56" s="4"/>
      <c r="DAO56" s="279"/>
      <c r="DAP56" s="89"/>
      <c r="DAQ56" s="5"/>
      <c r="DAR56" s="4"/>
      <c r="DAS56" s="279"/>
      <c r="DAT56" s="89"/>
      <c r="DAU56" s="5"/>
      <c r="DAV56" s="4"/>
      <c r="DAW56" s="279"/>
      <c r="DAX56" s="89"/>
      <c r="DAY56" s="5"/>
      <c r="DAZ56" s="4"/>
      <c r="DBA56" s="279"/>
      <c r="DBB56" s="89"/>
      <c r="DBC56" s="5"/>
      <c r="DBD56" s="4"/>
      <c r="DBE56" s="279"/>
      <c r="DBF56" s="89"/>
      <c r="DBG56" s="5"/>
      <c r="DBH56" s="4"/>
      <c r="DBI56" s="279"/>
      <c r="DBJ56" s="89"/>
      <c r="DBK56" s="5"/>
      <c r="DBL56" s="4"/>
      <c r="DBM56" s="279"/>
      <c r="DBN56" s="89"/>
      <c r="DBO56" s="5"/>
      <c r="DBP56" s="4"/>
      <c r="DBQ56" s="279"/>
      <c r="DBR56" s="89"/>
      <c r="DBS56" s="5"/>
      <c r="DBT56" s="4"/>
      <c r="DBU56" s="279"/>
      <c r="DBV56" s="89"/>
      <c r="DBW56" s="5"/>
      <c r="DBX56" s="4"/>
      <c r="DBY56" s="279"/>
      <c r="DBZ56" s="89"/>
      <c r="DCA56" s="5"/>
      <c r="DCB56" s="4"/>
      <c r="DCC56" s="279"/>
      <c r="DCD56" s="89"/>
      <c r="DCE56" s="5"/>
      <c r="DCF56" s="4"/>
      <c r="DCG56" s="279"/>
      <c r="DCH56" s="89"/>
      <c r="DCI56" s="5"/>
      <c r="DCJ56" s="4"/>
      <c r="DCK56" s="279"/>
      <c r="DCL56" s="89"/>
      <c r="DCM56" s="5"/>
      <c r="DCN56" s="4"/>
      <c r="DCO56" s="279"/>
      <c r="DCP56" s="89"/>
      <c r="DCQ56" s="5"/>
      <c r="DCR56" s="4"/>
      <c r="DCS56" s="279"/>
      <c r="DCT56" s="89"/>
      <c r="DCU56" s="5"/>
      <c r="DCV56" s="4"/>
      <c r="DCW56" s="279"/>
      <c r="DCX56" s="89"/>
      <c r="DCY56" s="5"/>
      <c r="DCZ56" s="4"/>
      <c r="DDA56" s="279"/>
      <c r="DDB56" s="89"/>
      <c r="DDC56" s="5"/>
      <c r="DDD56" s="4"/>
      <c r="DDE56" s="279"/>
      <c r="DDF56" s="89"/>
      <c r="DDG56" s="5"/>
      <c r="DDH56" s="4"/>
      <c r="DDI56" s="279"/>
      <c r="DDJ56" s="89"/>
      <c r="DDK56" s="5"/>
      <c r="DDL56" s="4"/>
      <c r="DDM56" s="279"/>
      <c r="DDN56" s="89"/>
      <c r="DDO56" s="5"/>
      <c r="DDP56" s="4"/>
      <c r="DDQ56" s="279"/>
      <c r="DDR56" s="89"/>
      <c r="DDS56" s="5"/>
      <c r="DDT56" s="4"/>
      <c r="DDU56" s="279"/>
      <c r="DDV56" s="89"/>
      <c r="DDW56" s="5"/>
      <c r="DDX56" s="4"/>
      <c r="DDY56" s="279"/>
      <c r="DDZ56" s="89"/>
      <c r="DEA56" s="5"/>
      <c r="DEB56" s="4"/>
      <c r="DEC56" s="279"/>
      <c r="DED56" s="89"/>
      <c r="DEE56" s="5"/>
      <c r="DEF56" s="4"/>
      <c r="DEG56" s="279"/>
      <c r="DEH56" s="89"/>
      <c r="DEI56" s="5"/>
      <c r="DEJ56" s="4"/>
      <c r="DEK56" s="279"/>
      <c r="DEL56" s="89"/>
      <c r="DEM56" s="5"/>
      <c r="DEN56" s="4"/>
      <c r="DEO56" s="279"/>
      <c r="DEP56" s="89"/>
      <c r="DEQ56" s="5"/>
      <c r="DER56" s="4"/>
      <c r="DES56" s="279"/>
      <c r="DET56" s="89"/>
      <c r="DEU56" s="5"/>
      <c r="DEV56" s="4"/>
      <c r="DEW56" s="279"/>
      <c r="DEX56" s="89"/>
      <c r="DEY56" s="5"/>
      <c r="DEZ56" s="4"/>
      <c r="DFA56" s="279"/>
      <c r="DFB56" s="89"/>
      <c r="DFC56" s="5"/>
      <c r="DFD56" s="4"/>
      <c r="DFE56" s="279"/>
      <c r="DFF56" s="89"/>
      <c r="DFG56" s="5"/>
      <c r="DFH56" s="4"/>
      <c r="DFI56" s="279"/>
      <c r="DFJ56" s="89"/>
      <c r="DFK56" s="5"/>
      <c r="DFL56" s="4"/>
      <c r="DFM56" s="279"/>
      <c r="DFN56" s="89"/>
      <c r="DFO56" s="5"/>
      <c r="DFP56" s="4"/>
      <c r="DFQ56" s="279"/>
      <c r="DFR56" s="89"/>
      <c r="DFS56" s="5"/>
      <c r="DFT56" s="4"/>
      <c r="DFU56" s="279"/>
      <c r="DFV56" s="89"/>
      <c r="DFW56" s="5"/>
      <c r="DFX56" s="4"/>
      <c r="DFY56" s="279"/>
      <c r="DFZ56" s="89"/>
      <c r="DGA56" s="5"/>
      <c r="DGB56" s="4"/>
      <c r="DGC56" s="279"/>
      <c r="DGD56" s="89"/>
      <c r="DGE56" s="5"/>
      <c r="DGF56" s="4"/>
      <c r="DGG56" s="279"/>
      <c r="DGH56" s="89"/>
      <c r="DGI56" s="5"/>
      <c r="DGJ56" s="4"/>
      <c r="DGK56" s="279"/>
      <c r="DGL56" s="89"/>
      <c r="DGM56" s="5"/>
      <c r="DGN56" s="4"/>
      <c r="DGO56" s="279"/>
      <c r="DGP56" s="89"/>
      <c r="DGQ56" s="5"/>
      <c r="DGR56" s="4"/>
      <c r="DGS56" s="279"/>
      <c r="DGT56" s="89"/>
      <c r="DGU56" s="5"/>
      <c r="DGV56" s="4"/>
      <c r="DGW56" s="279"/>
      <c r="DGX56" s="89"/>
      <c r="DGY56" s="5"/>
      <c r="DGZ56" s="4"/>
      <c r="DHA56" s="279"/>
      <c r="DHB56" s="89"/>
      <c r="DHC56" s="5"/>
      <c r="DHD56" s="4"/>
      <c r="DHE56" s="279"/>
      <c r="DHF56" s="89"/>
      <c r="DHG56" s="5"/>
      <c r="DHH56" s="4"/>
      <c r="DHI56" s="279"/>
      <c r="DHJ56" s="89"/>
      <c r="DHK56" s="5"/>
      <c r="DHL56" s="4"/>
      <c r="DHM56" s="279"/>
      <c r="DHN56" s="89"/>
      <c r="DHO56" s="5"/>
      <c r="DHP56" s="4"/>
      <c r="DHQ56" s="279"/>
      <c r="DHR56" s="89"/>
      <c r="DHS56" s="5"/>
      <c r="DHT56" s="4"/>
      <c r="DHU56" s="279"/>
      <c r="DHV56" s="89"/>
      <c r="DHW56" s="5"/>
      <c r="DHX56" s="4"/>
      <c r="DHY56" s="279"/>
      <c r="DHZ56" s="89"/>
      <c r="DIA56" s="5"/>
      <c r="DIB56" s="4"/>
      <c r="DIC56" s="279"/>
      <c r="DID56" s="89"/>
      <c r="DIE56" s="5"/>
      <c r="DIF56" s="4"/>
      <c r="DIG56" s="279"/>
      <c r="DIH56" s="89"/>
      <c r="DII56" s="5"/>
      <c r="DIJ56" s="4"/>
      <c r="DIK56" s="279"/>
      <c r="DIL56" s="89"/>
      <c r="DIM56" s="5"/>
      <c r="DIN56" s="4"/>
      <c r="DIO56" s="279"/>
      <c r="DIP56" s="89"/>
      <c r="DIQ56" s="5"/>
      <c r="DIR56" s="4"/>
      <c r="DIS56" s="279"/>
      <c r="DIT56" s="89"/>
      <c r="DIU56" s="5"/>
      <c r="DIV56" s="4"/>
      <c r="DIW56" s="279"/>
      <c r="DIX56" s="89"/>
      <c r="DIY56" s="5"/>
      <c r="DIZ56" s="4"/>
      <c r="DJA56" s="279"/>
      <c r="DJB56" s="89"/>
      <c r="DJC56" s="5"/>
      <c r="DJD56" s="4"/>
      <c r="DJE56" s="279"/>
      <c r="DJF56" s="89"/>
      <c r="DJG56" s="5"/>
      <c r="DJH56" s="4"/>
      <c r="DJI56" s="279"/>
      <c r="DJJ56" s="89"/>
      <c r="DJK56" s="5"/>
      <c r="DJL56" s="4"/>
      <c r="DJM56" s="279"/>
      <c r="DJN56" s="89"/>
      <c r="DJO56" s="5"/>
      <c r="DJP56" s="4"/>
      <c r="DJQ56" s="279"/>
      <c r="DJR56" s="89"/>
      <c r="DJS56" s="5"/>
      <c r="DJT56" s="4"/>
      <c r="DJU56" s="279"/>
      <c r="DJV56" s="89"/>
      <c r="DJW56" s="5"/>
      <c r="DJX56" s="4"/>
      <c r="DJY56" s="279"/>
      <c r="DJZ56" s="89"/>
      <c r="DKA56" s="5"/>
      <c r="DKB56" s="4"/>
      <c r="DKC56" s="279"/>
      <c r="DKD56" s="89"/>
      <c r="DKE56" s="5"/>
      <c r="DKF56" s="4"/>
      <c r="DKG56" s="279"/>
      <c r="DKH56" s="89"/>
      <c r="DKI56" s="5"/>
      <c r="DKJ56" s="4"/>
      <c r="DKK56" s="279"/>
      <c r="DKL56" s="89"/>
      <c r="DKM56" s="5"/>
      <c r="DKN56" s="4"/>
      <c r="DKO56" s="279"/>
      <c r="DKP56" s="89"/>
      <c r="DKQ56" s="5"/>
      <c r="DKR56" s="4"/>
      <c r="DKS56" s="279"/>
      <c r="DKT56" s="89"/>
      <c r="DKU56" s="5"/>
      <c r="DKV56" s="4"/>
      <c r="DKW56" s="279"/>
      <c r="DKX56" s="89"/>
      <c r="DKY56" s="5"/>
      <c r="DKZ56" s="4"/>
      <c r="DLA56" s="279"/>
      <c r="DLB56" s="89"/>
      <c r="DLC56" s="5"/>
      <c r="DLD56" s="4"/>
      <c r="DLE56" s="279"/>
      <c r="DLF56" s="89"/>
      <c r="DLG56" s="5"/>
      <c r="DLH56" s="4"/>
      <c r="DLI56" s="279"/>
      <c r="DLJ56" s="89"/>
      <c r="DLK56" s="5"/>
      <c r="DLL56" s="4"/>
      <c r="DLM56" s="279"/>
      <c r="DLN56" s="89"/>
      <c r="DLO56" s="5"/>
      <c r="DLP56" s="4"/>
      <c r="DLQ56" s="279"/>
      <c r="DLR56" s="89"/>
      <c r="DLS56" s="5"/>
      <c r="DLT56" s="4"/>
      <c r="DLU56" s="279"/>
      <c r="DLV56" s="89"/>
      <c r="DLW56" s="5"/>
      <c r="DLX56" s="4"/>
      <c r="DLY56" s="279"/>
      <c r="DLZ56" s="89"/>
      <c r="DMA56" s="5"/>
      <c r="DMB56" s="4"/>
      <c r="DMC56" s="279"/>
      <c r="DMD56" s="89"/>
      <c r="DME56" s="5"/>
      <c r="DMF56" s="4"/>
      <c r="DMG56" s="279"/>
      <c r="DMH56" s="89"/>
      <c r="DMI56" s="5"/>
      <c r="DMJ56" s="4"/>
      <c r="DMK56" s="279"/>
      <c r="DML56" s="89"/>
      <c r="DMM56" s="5"/>
      <c r="DMN56" s="4"/>
      <c r="DMO56" s="279"/>
      <c r="DMP56" s="89"/>
      <c r="DMQ56" s="5"/>
      <c r="DMR56" s="4"/>
      <c r="DMS56" s="279"/>
      <c r="DMT56" s="89"/>
      <c r="DMU56" s="5"/>
      <c r="DMV56" s="4"/>
      <c r="DMW56" s="279"/>
      <c r="DMX56" s="89"/>
      <c r="DMY56" s="5"/>
      <c r="DMZ56" s="4"/>
      <c r="DNA56" s="279"/>
      <c r="DNB56" s="89"/>
      <c r="DNC56" s="5"/>
      <c r="DND56" s="4"/>
      <c r="DNE56" s="279"/>
      <c r="DNF56" s="89"/>
      <c r="DNG56" s="5"/>
      <c r="DNH56" s="4"/>
      <c r="DNI56" s="279"/>
      <c r="DNJ56" s="89"/>
      <c r="DNK56" s="5"/>
      <c r="DNL56" s="4"/>
      <c r="DNM56" s="279"/>
      <c r="DNN56" s="89"/>
      <c r="DNO56" s="5"/>
      <c r="DNP56" s="4"/>
      <c r="DNQ56" s="279"/>
      <c r="DNR56" s="89"/>
      <c r="DNS56" s="5"/>
      <c r="DNT56" s="4"/>
      <c r="DNU56" s="279"/>
      <c r="DNV56" s="89"/>
      <c r="DNW56" s="5"/>
      <c r="DNX56" s="4"/>
      <c r="DNY56" s="279"/>
      <c r="DNZ56" s="89"/>
      <c r="DOA56" s="5"/>
      <c r="DOB56" s="4"/>
      <c r="DOC56" s="279"/>
      <c r="DOD56" s="89"/>
      <c r="DOE56" s="5"/>
      <c r="DOF56" s="4"/>
      <c r="DOG56" s="279"/>
      <c r="DOH56" s="89"/>
      <c r="DOI56" s="5"/>
      <c r="DOJ56" s="4"/>
      <c r="DOK56" s="279"/>
      <c r="DOL56" s="89"/>
      <c r="DOM56" s="5"/>
      <c r="DON56" s="4"/>
      <c r="DOO56" s="279"/>
      <c r="DOP56" s="89"/>
      <c r="DOQ56" s="5"/>
      <c r="DOR56" s="4"/>
      <c r="DOS56" s="279"/>
      <c r="DOT56" s="89"/>
      <c r="DOU56" s="5"/>
      <c r="DOV56" s="4"/>
      <c r="DOW56" s="279"/>
      <c r="DOX56" s="89"/>
      <c r="DOY56" s="5"/>
      <c r="DOZ56" s="4"/>
      <c r="DPA56" s="279"/>
      <c r="DPB56" s="89"/>
      <c r="DPC56" s="5"/>
      <c r="DPD56" s="4"/>
      <c r="DPE56" s="279"/>
      <c r="DPF56" s="89"/>
      <c r="DPG56" s="5"/>
      <c r="DPH56" s="4"/>
      <c r="DPI56" s="279"/>
      <c r="DPJ56" s="89"/>
      <c r="DPK56" s="5"/>
      <c r="DPL56" s="4"/>
      <c r="DPM56" s="279"/>
      <c r="DPN56" s="89"/>
      <c r="DPO56" s="5"/>
      <c r="DPP56" s="4"/>
      <c r="DPQ56" s="279"/>
      <c r="DPR56" s="89"/>
      <c r="DPS56" s="5"/>
      <c r="DPT56" s="4"/>
      <c r="DPU56" s="279"/>
      <c r="DPV56" s="89"/>
      <c r="DPW56" s="5"/>
      <c r="DPX56" s="4"/>
      <c r="DPY56" s="279"/>
      <c r="DPZ56" s="89"/>
      <c r="DQA56" s="5"/>
      <c r="DQB56" s="4"/>
      <c r="DQC56" s="279"/>
      <c r="DQD56" s="89"/>
      <c r="DQE56" s="5"/>
      <c r="DQF56" s="4"/>
      <c r="DQG56" s="279"/>
      <c r="DQH56" s="89"/>
      <c r="DQI56" s="5"/>
      <c r="DQJ56" s="4"/>
      <c r="DQK56" s="279"/>
      <c r="DQL56" s="89"/>
      <c r="DQM56" s="5"/>
      <c r="DQN56" s="4"/>
      <c r="DQO56" s="279"/>
      <c r="DQP56" s="89"/>
      <c r="DQQ56" s="5"/>
      <c r="DQR56" s="4"/>
      <c r="DQS56" s="279"/>
      <c r="DQT56" s="89"/>
      <c r="DQU56" s="5"/>
      <c r="DQV56" s="4"/>
      <c r="DQW56" s="279"/>
      <c r="DQX56" s="89"/>
      <c r="DQY56" s="5"/>
      <c r="DQZ56" s="4"/>
      <c r="DRA56" s="279"/>
      <c r="DRB56" s="89"/>
      <c r="DRC56" s="5"/>
      <c r="DRD56" s="4"/>
      <c r="DRE56" s="279"/>
      <c r="DRF56" s="89"/>
      <c r="DRG56" s="5"/>
      <c r="DRH56" s="4"/>
      <c r="DRI56" s="279"/>
      <c r="DRJ56" s="89"/>
      <c r="DRK56" s="5"/>
      <c r="DRL56" s="4"/>
      <c r="DRM56" s="279"/>
      <c r="DRN56" s="89"/>
      <c r="DRO56" s="5"/>
      <c r="DRP56" s="4"/>
      <c r="DRQ56" s="279"/>
      <c r="DRR56" s="89"/>
      <c r="DRS56" s="5"/>
      <c r="DRT56" s="4"/>
      <c r="DRU56" s="279"/>
      <c r="DRV56" s="89"/>
      <c r="DRW56" s="5"/>
      <c r="DRX56" s="4"/>
      <c r="DRY56" s="279"/>
      <c r="DRZ56" s="89"/>
      <c r="DSA56" s="5"/>
      <c r="DSB56" s="4"/>
      <c r="DSC56" s="279"/>
      <c r="DSD56" s="89"/>
      <c r="DSE56" s="5"/>
      <c r="DSF56" s="4"/>
      <c r="DSG56" s="279"/>
      <c r="DSH56" s="89"/>
      <c r="DSI56" s="5"/>
      <c r="DSJ56" s="4"/>
      <c r="DSK56" s="279"/>
      <c r="DSL56" s="89"/>
      <c r="DSM56" s="5"/>
      <c r="DSN56" s="4"/>
      <c r="DSO56" s="279"/>
      <c r="DSP56" s="89"/>
      <c r="DSQ56" s="5"/>
      <c r="DSR56" s="4"/>
      <c r="DSS56" s="279"/>
      <c r="DST56" s="89"/>
      <c r="DSU56" s="5"/>
      <c r="DSV56" s="4"/>
      <c r="DSW56" s="279"/>
      <c r="DSX56" s="89"/>
      <c r="DSY56" s="5"/>
      <c r="DSZ56" s="4"/>
      <c r="DTA56" s="279"/>
      <c r="DTB56" s="89"/>
      <c r="DTC56" s="5"/>
      <c r="DTD56" s="4"/>
      <c r="DTE56" s="279"/>
      <c r="DTF56" s="89"/>
      <c r="DTG56" s="5"/>
      <c r="DTH56" s="4"/>
      <c r="DTI56" s="279"/>
      <c r="DTJ56" s="89"/>
      <c r="DTK56" s="5"/>
      <c r="DTL56" s="4"/>
      <c r="DTM56" s="279"/>
      <c r="DTN56" s="89"/>
      <c r="DTO56" s="5"/>
      <c r="DTP56" s="4"/>
      <c r="DTQ56" s="279"/>
      <c r="DTR56" s="89"/>
      <c r="DTS56" s="5"/>
      <c r="DTT56" s="4"/>
      <c r="DTU56" s="279"/>
      <c r="DTV56" s="89"/>
      <c r="DTW56" s="5"/>
      <c r="DTX56" s="4"/>
      <c r="DTY56" s="279"/>
      <c r="DTZ56" s="89"/>
      <c r="DUA56" s="5"/>
      <c r="DUB56" s="4"/>
      <c r="DUC56" s="279"/>
      <c r="DUD56" s="89"/>
      <c r="DUE56" s="5"/>
      <c r="DUF56" s="4"/>
      <c r="DUG56" s="279"/>
      <c r="DUH56" s="89"/>
      <c r="DUI56" s="5"/>
      <c r="DUJ56" s="4"/>
      <c r="DUK56" s="279"/>
      <c r="DUL56" s="89"/>
      <c r="DUM56" s="5"/>
      <c r="DUN56" s="4"/>
      <c r="DUO56" s="279"/>
      <c r="DUP56" s="89"/>
      <c r="DUQ56" s="5"/>
      <c r="DUR56" s="4"/>
      <c r="DUS56" s="279"/>
      <c r="DUT56" s="89"/>
      <c r="DUU56" s="5"/>
      <c r="DUV56" s="4"/>
      <c r="DUW56" s="279"/>
      <c r="DUX56" s="89"/>
      <c r="DUY56" s="5"/>
      <c r="DUZ56" s="4"/>
      <c r="DVA56" s="279"/>
      <c r="DVB56" s="89"/>
      <c r="DVC56" s="5"/>
      <c r="DVD56" s="4"/>
      <c r="DVE56" s="279"/>
      <c r="DVF56" s="89"/>
      <c r="DVG56" s="5"/>
      <c r="DVH56" s="4"/>
      <c r="DVI56" s="279"/>
      <c r="DVJ56" s="89"/>
      <c r="DVK56" s="5"/>
      <c r="DVL56" s="4"/>
      <c r="DVM56" s="279"/>
      <c r="DVN56" s="89"/>
      <c r="DVO56" s="5"/>
      <c r="DVP56" s="4"/>
      <c r="DVQ56" s="279"/>
      <c r="DVR56" s="89"/>
      <c r="DVS56" s="5"/>
      <c r="DVT56" s="4"/>
      <c r="DVU56" s="279"/>
      <c r="DVV56" s="89"/>
      <c r="DVW56" s="5"/>
      <c r="DVX56" s="4"/>
      <c r="DVY56" s="279"/>
      <c r="DVZ56" s="89"/>
      <c r="DWA56" s="5"/>
      <c r="DWB56" s="4"/>
      <c r="DWC56" s="279"/>
      <c r="DWD56" s="89"/>
      <c r="DWE56" s="5"/>
      <c r="DWF56" s="4"/>
      <c r="DWG56" s="279"/>
      <c r="DWH56" s="89"/>
      <c r="DWI56" s="5"/>
      <c r="DWJ56" s="4"/>
      <c r="DWK56" s="279"/>
      <c r="DWL56" s="89"/>
      <c r="DWM56" s="5"/>
      <c r="DWN56" s="4"/>
      <c r="DWO56" s="279"/>
      <c r="DWP56" s="89"/>
      <c r="DWQ56" s="5"/>
      <c r="DWR56" s="4"/>
      <c r="DWS56" s="279"/>
      <c r="DWT56" s="89"/>
      <c r="DWU56" s="5"/>
      <c r="DWV56" s="4"/>
      <c r="DWW56" s="279"/>
      <c r="DWX56" s="89"/>
      <c r="DWY56" s="5"/>
      <c r="DWZ56" s="4"/>
      <c r="DXA56" s="279"/>
      <c r="DXB56" s="89"/>
      <c r="DXC56" s="5"/>
      <c r="DXD56" s="4"/>
      <c r="DXE56" s="279"/>
      <c r="DXF56" s="89"/>
      <c r="DXG56" s="5"/>
      <c r="DXH56" s="4"/>
      <c r="DXI56" s="279"/>
      <c r="DXJ56" s="89"/>
      <c r="DXK56" s="5"/>
      <c r="DXL56" s="4"/>
      <c r="DXM56" s="279"/>
      <c r="DXN56" s="89"/>
      <c r="DXO56" s="5"/>
      <c r="DXP56" s="4"/>
      <c r="DXQ56" s="279"/>
      <c r="DXR56" s="89"/>
      <c r="DXS56" s="5"/>
      <c r="DXT56" s="4"/>
      <c r="DXU56" s="279"/>
      <c r="DXV56" s="89"/>
      <c r="DXW56" s="5"/>
      <c r="DXX56" s="4"/>
      <c r="DXY56" s="279"/>
      <c r="DXZ56" s="89"/>
      <c r="DYA56" s="5"/>
      <c r="DYB56" s="4"/>
      <c r="DYC56" s="279"/>
      <c r="DYD56" s="89"/>
      <c r="DYE56" s="5"/>
      <c r="DYF56" s="4"/>
      <c r="DYG56" s="279"/>
      <c r="DYH56" s="89"/>
      <c r="DYI56" s="5"/>
      <c r="DYJ56" s="4"/>
      <c r="DYK56" s="279"/>
      <c r="DYL56" s="89"/>
      <c r="DYM56" s="5"/>
      <c r="DYN56" s="4"/>
      <c r="DYO56" s="279"/>
      <c r="DYP56" s="89"/>
      <c r="DYQ56" s="5"/>
      <c r="DYR56" s="4"/>
      <c r="DYS56" s="279"/>
      <c r="DYT56" s="89"/>
      <c r="DYU56" s="5"/>
      <c r="DYV56" s="4"/>
      <c r="DYW56" s="279"/>
      <c r="DYX56" s="89"/>
      <c r="DYY56" s="5"/>
      <c r="DYZ56" s="4"/>
      <c r="DZA56" s="279"/>
      <c r="DZB56" s="89"/>
      <c r="DZC56" s="5"/>
      <c r="DZD56" s="4"/>
      <c r="DZE56" s="279"/>
      <c r="DZF56" s="89"/>
      <c r="DZG56" s="5"/>
      <c r="DZH56" s="4"/>
      <c r="DZI56" s="279"/>
      <c r="DZJ56" s="89"/>
      <c r="DZK56" s="5"/>
      <c r="DZL56" s="4"/>
      <c r="DZM56" s="279"/>
      <c r="DZN56" s="89"/>
      <c r="DZO56" s="5"/>
      <c r="DZP56" s="4"/>
      <c r="DZQ56" s="279"/>
      <c r="DZR56" s="89"/>
      <c r="DZS56" s="5"/>
      <c r="DZT56" s="4"/>
      <c r="DZU56" s="279"/>
      <c r="DZV56" s="89"/>
      <c r="DZW56" s="5"/>
      <c r="DZX56" s="4"/>
      <c r="DZY56" s="279"/>
      <c r="DZZ56" s="89"/>
      <c r="EAA56" s="5"/>
      <c r="EAB56" s="4"/>
      <c r="EAC56" s="279"/>
      <c r="EAD56" s="89"/>
      <c r="EAE56" s="5"/>
      <c r="EAF56" s="4"/>
      <c r="EAG56" s="279"/>
      <c r="EAH56" s="89"/>
      <c r="EAI56" s="5"/>
      <c r="EAJ56" s="4"/>
      <c r="EAK56" s="279"/>
      <c r="EAL56" s="89"/>
      <c r="EAM56" s="5"/>
      <c r="EAN56" s="4"/>
      <c r="EAO56" s="279"/>
      <c r="EAP56" s="89"/>
      <c r="EAQ56" s="5"/>
      <c r="EAR56" s="4"/>
      <c r="EAS56" s="279"/>
      <c r="EAT56" s="89"/>
      <c r="EAU56" s="5"/>
      <c r="EAV56" s="4"/>
      <c r="EAW56" s="279"/>
      <c r="EAX56" s="89"/>
      <c r="EAY56" s="5"/>
      <c r="EAZ56" s="4"/>
      <c r="EBA56" s="279"/>
      <c r="EBB56" s="89"/>
      <c r="EBC56" s="5"/>
      <c r="EBD56" s="4"/>
      <c r="EBE56" s="279"/>
      <c r="EBF56" s="89"/>
      <c r="EBG56" s="5"/>
      <c r="EBH56" s="4"/>
      <c r="EBI56" s="279"/>
      <c r="EBJ56" s="89"/>
      <c r="EBK56" s="5"/>
      <c r="EBL56" s="4"/>
      <c r="EBM56" s="279"/>
      <c r="EBN56" s="89"/>
      <c r="EBO56" s="5"/>
      <c r="EBP56" s="4"/>
      <c r="EBQ56" s="279"/>
      <c r="EBR56" s="89"/>
      <c r="EBS56" s="5"/>
      <c r="EBT56" s="4"/>
      <c r="EBU56" s="279"/>
      <c r="EBV56" s="89"/>
      <c r="EBW56" s="5"/>
      <c r="EBX56" s="4"/>
      <c r="EBY56" s="279"/>
      <c r="EBZ56" s="89"/>
      <c r="ECA56" s="5"/>
      <c r="ECB56" s="4"/>
      <c r="ECC56" s="279"/>
      <c r="ECD56" s="89"/>
      <c r="ECE56" s="5"/>
      <c r="ECF56" s="4"/>
      <c r="ECG56" s="279"/>
      <c r="ECH56" s="89"/>
      <c r="ECI56" s="5"/>
      <c r="ECJ56" s="4"/>
      <c r="ECK56" s="279"/>
      <c r="ECL56" s="89"/>
      <c r="ECM56" s="5"/>
      <c r="ECN56" s="4"/>
      <c r="ECO56" s="279"/>
      <c r="ECP56" s="89"/>
      <c r="ECQ56" s="5"/>
      <c r="ECR56" s="4"/>
      <c r="ECS56" s="279"/>
      <c r="ECT56" s="89"/>
      <c r="ECU56" s="5"/>
      <c r="ECV56" s="4"/>
      <c r="ECW56" s="279"/>
      <c r="ECX56" s="89"/>
      <c r="ECY56" s="5"/>
      <c r="ECZ56" s="4"/>
      <c r="EDA56" s="279"/>
      <c r="EDB56" s="89"/>
      <c r="EDC56" s="5"/>
      <c r="EDD56" s="4"/>
      <c r="EDE56" s="279"/>
      <c r="EDF56" s="89"/>
      <c r="EDG56" s="5"/>
      <c r="EDH56" s="4"/>
      <c r="EDI56" s="279"/>
      <c r="EDJ56" s="89"/>
      <c r="EDK56" s="5"/>
      <c r="EDL56" s="4"/>
      <c r="EDM56" s="279"/>
      <c r="EDN56" s="89"/>
      <c r="EDO56" s="5"/>
      <c r="EDP56" s="4"/>
      <c r="EDQ56" s="279"/>
      <c r="EDR56" s="89"/>
      <c r="EDS56" s="5"/>
      <c r="EDT56" s="4"/>
      <c r="EDU56" s="279"/>
      <c r="EDV56" s="89"/>
      <c r="EDW56" s="5"/>
      <c r="EDX56" s="4"/>
      <c r="EDY56" s="279"/>
      <c r="EDZ56" s="89"/>
      <c r="EEA56" s="5"/>
      <c r="EEB56" s="4"/>
      <c r="EEC56" s="279"/>
      <c r="EED56" s="89"/>
      <c r="EEE56" s="5"/>
      <c r="EEF56" s="4"/>
      <c r="EEG56" s="279"/>
      <c r="EEH56" s="89"/>
      <c r="EEI56" s="5"/>
      <c r="EEJ56" s="4"/>
      <c r="EEK56" s="279"/>
      <c r="EEL56" s="89"/>
      <c r="EEM56" s="5"/>
      <c r="EEN56" s="4"/>
      <c r="EEO56" s="279"/>
      <c r="EEP56" s="89"/>
      <c r="EEQ56" s="5"/>
      <c r="EER56" s="4"/>
      <c r="EES56" s="279"/>
      <c r="EET56" s="89"/>
      <c r="EEU56" s="5"/>
      <c r="EEV56" s="4"/>
      <c r="EEW56" s="279"/>
      <c r="EEX56" s="89"/>
      <c r="EEY56" s="5"/>
      <c r="EEZ56" s="4"/>
      <c r="EFA56" s="279"/>
      <c r="EFB56" s="89"/>
      <c r="EFC56" s="5"/>
      <c r="EFD56" s="4"/>
      <c r="EFE56" s="279"/>
      <c r="EFF56" s="89"/>
      <c r="EFG56" s="5"/>
      <c r="EFH56" s="4"/>
      <c r="EFI56" s="279"/>
      <c r="EFJ56" s="89"/>
      <c r="EFK56" s="5"/>
      <c r="EFL56" s="4"/>
      <c r="EFM56" s="279"/>
      <c r="EFN56" s="89"/>
      <c r="EFO56" s="5"/>
      <c r="EFP56" s="4"/>
      <c r="EFQ56" s="279"/>
      <c r="EFR56" s="89"/>
      <c r="EFS56" s="5"/>
      <c r="EFT56" s="4"/>
      <c r="EFU56" s="279"/>
      <c r="EFV56" s="89"/>
      <c r="EFW56" s="5"/>
      <c r="EFX56" s="4"/>
      <c r="EFY56" s="279"/>
      <c r="EFZ56" s="89"/>
      <c r="EGA56" s="5"/>
      <c r="EGB56" s="4"/>
      <c r="EGC56" s="279"/>
      <c r="EGD56" s="89"/>
      <c r="EGE56" s="5"/>
      <c r="EGF56" s="4"/>
      <c r="EGG56" s="279"/>
      <c r="EGH56" s="89"/>
      <c r="EGI56" s="5"/>
      <c r="EGJ56" s="4"/>
      <c r="EGK56" s="279"/>
      <c r="EGL56" s="89"/>
      <c r="EGM56" s="5"/>
      <c r="EGN56" s="4"/>
      <c r="EGO56" s="279"/>
      <c r="EGP56" s="89"/>
      <c r="EGQ56" s="5"/>
      <c r="EGR56" s="4"/>
      <c r="EGS56" s="279"/>
      <c r="EGT56" s="89"/>
      <c r="EGU56" s="5"/>
      <c r="EGV56" s="4"/>
      <c r="EGW56" s="279"/>
      <c r="EGX56" s="89"/>
      <c r="EGY56" s="5"/>
      <c r="EGZ56" s="4"/>
      <c r="EHA56" s="279"/>
      <c r="EHB56" s="89"/>
      <c r="EHC56" s="5"/>
      <c r="EHD56" s="4"/>
      <c r="EHE56" s="279"/>
      <c r="EHF56" s="89"/>
      <c r="EHG56" s="5"/>
      <c r="EHH56" s="4"/>
      <c r="EHI56" s="279"/>
      <c r="EHJ56" s="89"/>
      <c r="EHK56" s="5"/>
      <c r="EHL56" s="4"/>
      <c r="EHM56" s="279"/>
      <c r="EHN56" s="89"/>
      <c r="EHO56" s="5"/>
      <c r="EHP56" s="4"/>
      <c r="EHQ56" s="279"/>
      <c r="EHR56" s="89"/>
      <c r="EHS56" s="5"/>
      <c r="EHT56" s="4"/>
      <c r="EHU56" s="279"/>
      <c r="EHV56" s="89"/>
      <c r="EHW56" s="5"/>
      <c r="EHX56" s="4"/>
      <c r="EHY56" s="279"/>
      <c r="EHZ56" s="89"/>
      <c r="EIA56" s="5"/>
      <c r="EIB56" s="4"/>
      <c r="EIC56" s="279"/>
      <c r="EID56" s="89"/>
      <c r="EIE56" s="5"/>
      <c r="EIF56" s="4"/>
      <c r="EIG56" s="279"/>
      <c r="EIH56" s="89"/>
      <c r="EII56" s="5"/>
      <c r="EIJ56" s="4"/>
      <c r="EIK56" s="279"/>
      <c r="EIL56" s="89"/>
      <c r="EIM56" s="5"/>
      <c r="EIN56" s="4"/>
      <c r="EIO56" s="279"/>
      <c r="EIP56" s="89"/>
      <c r="EIQ56" s="5"/>
      <c r="EIR56" s="4"/>
      <c r="EIS56" s="279"/>
      <c r="EIT56" s="89"/>
      <c r="EIU56" s="5"/>
      <c r="EIV56" s="4"/>
      <c r="EIW56" s="279"/>
      <c r="EIX56" s="89"/>
      <c r="EIY56" s="5"/>
      <c r="EIZ56" s="4"/>
      <c r="EJA56" s="279"/>
      <c r="EJB56" s="89"/>
      <c r="EJC56" s="5"/>
      <c r="EJD56" s="4"/>
      <c r="EJE56" s="279"/>
      <c r="EJF56" s="89"/>
      <c r="EJG56" s="5"/>
      <c r="EJH56" s="4"/>
      <c r="EJI56" s="279"/>
      <c r="EJJ56" s="89"/>
      <c r="EJK56" s="5"/>
      <c r="EJL56" s="4"/>
      <c r="EJM56" s="279"/>
      <c r="EJN56" s="89"/>
      <c r="EJO56" s="5"/>
      <c r="EJP56" s="4"/>
      <c r="EJQ56" s="279"/>
      <c r="EJR56" s="89"/>
      <c r="EJS56" s="5"/>
      <c r="EJT56" s="4"/>
      <c r="EJU56" s="279"/>
      <c r="EJV56" s="89"/>
      <c r="EJW56" s="5"/>
      <c r="EJX56" s="4"/>
      <c r="EJY56" s="279"/>
      <c r="EJZ56" s="89"/>
      <c r="EKA56" s="5"/>
      <c r="EKB56" s="4"/>
      <c r="EKC56" s="279"/>
      <c r="EKD56" s="89"/>
      <c r="EKE56" s="5"/>
      <c r="EKF56" s="4"/>
      <c r="EKG56" s="279"/>
      <c r="EKH56" s="89"/>
      <c r="EKI56" s="5"/>
      <c r="EKJ56" s="4"/>
      <c r="EKK56" s="279"/>
      <c r="EKL56" s="89"/>
      <c r="EKM56" s="5"/>
      <c r="EKN56" s="4"/>
      <c r="EKO56" s="279"/>
      <c r="EKP56" s="89"/>
      <c r="EKQ56" s="5"/>
      <c r="EKR56" s="4"/>
      <c r="EKS56" s="279"/>
      <c r="EKT56" s="89"/>
      <c r="EKU56" s="5"/>
      <c r="EKV56" s="4"/>
      <c r="EKW56" s="279"/>
      <c r="EKX56" s="89"/>
      <c r="EKY56" s="5"/>
      <c r="EKZ56" s="4"/>
      <c r="ELA56" s="279"/>
      <c r="ELB56" s="89"/>
      <c r="ELC56" s="5"/>
      <c r="ELD56" s="4"/>
      <c r="ELE56" s="279"/>
      <c r="ELF56" s="89"/>
      <c r="ELG56" s="5"/>
      <c r="ELH56" s="4"/>
      <c r="ELI56" s="279"/>
      <c r="ELJ56" s="89"/>
      <c r="ELK56" s="5"/>
      <c r="ELL56" s="4"/>
      <c r="ELM56" s="279"/>
      <c r="ELN56" s="89"/>
      <c r="ELO56" s="5"/>
      <c r="ELP56" s="4"/>
      <c r="ELQ56" s="279"/>
      <c r="ELR56" s="89"/>
      <c r="ELS56" s="5"/>
      <c r="ELT56" s="4"/>
      <c r="ELU56" s="279"/>
      <c r="ELV56" s="89"/>
      <c r="ELW56" s="5"/>
      <c r="ELX56" s="4"/>
      <c r="ELY56" s="279"/>
      <c r="ELZ56" s="89"/>
      <c r="EMA56" s="5"/>
      <c r="EMB56" s="4"/>
      <c r="EMC56" s="279"/>
      <c r="EMD56" s="89"/>
      <c r="EME56" s="5"/>
      <c r="EMF56" s="4"/>
      <c r="EMG56" s="279"/>
      <c r="EMH56" s="89"/>
      <c r="EMI56" s="5"/>
      <c r="EMJ56" s="4"/>
      <c r="EMK56" s="279"/>
      <c r="EML56" s="89"/>
      <c r="EMM56" s="5"/>
      <c r="EMN56" s="4"/>
      <c r="EMO56" s="279"/>
      <c r="EMP56" s="89"/>
      <c r="EMQ56" s="5"/>
      <c r="EMR56" s="4"/>
      <c r="EMS56" s="279"/>
      <c r="EMT56" s="89"/>
      <c r="EMU56" s="5"/>
      <c r="EMV56" s="4"/>
      <c r="EMW56" s="279"/>
      <c r="EMX56" s="89"/>
      <c r="EMY56" s="5"/>
      <c r="EMZ56" s="4"/>
      <c r="ENA56" s="279"/>
      <c r="ENB56" s="89"/>
      <c r="ENC56" s="5"/>
      <c r="END56" s="4"/>
      <c r="ENE56" s="279"/>
      <c r="ENF56" s="89"/>
      <c r="ENG56" s="5"/>
      <c r="ENH56" s="4"/>
      <c r="ENI56" s="279"/>
      <c r="ENJ56" s="89"/>
      <c r="ENK56" s="5"/>
      <c r="ENL56" s="4"/>
      <c r="ENM56" s="279"/>
      <c r="ENN56" s="89"/>
      <c r="ENO56" s="5"/>
      <c r="ENP56" s="4"/>
      <c r="ENQ56" s="279"/>
      <c r="ENR56" s="89"/>
      <c r="ENS56" s="5"/>
      <c r="ENT56" s="4"/>
      <c r="ENU56" s="279"/>
      <c r="ENV56" s="89"/>
      <c r="ENW56" s="5"/>
      <c r="ENX56" s="4"/>
      <c r="ENY56" s="279"/>
      <c r="ENZ56" s="89"/>
      <c r="EOA56" s="5"/>
      <c r="EOB56" s="4"/>
      <c r="EOC56" s="279"/>
      <c r="EOD56" s="89"/>
      <c r="EOE56" s="5"/>
      <c r="EOF56" s="4"/>
      <c r="EOG56" s="279"/>
      <c r="EOH56" s="89"/>
      <c r="EOI56" s="5"/>
      <c r="EOJ56" s="4"/>
      <c r="EOK56" s="279"/>
      <c r="EOL56" s="89"/>
      <c r="EOM56" s="5"/>
      <c r="EON56" s="4"/>
      <c r="EOO56" s="279"/>
      <c r="EOP56" s="89"/>
      <c r="EOQ56" s="5"/>
      <c r="EOR56" s="4"/>
      <c r="EOS56" s="279"/>
      <c r="EOT56" s="89"/>
      <c r="EOU56" s="5"/>
      <c r="EOV56" s="4"/>
      <c r="EOW56" s="279"/>
      <c r="EOX56" s="89"/>
      <c r="EOY56" s="5"/>
      <c r="EOZ56" s="4"/>
      <c r="EPA56" s="279"/>
      <c r="EPB56" s="89"/>
      <c r="EPC56" s="5"/>
      <c r="EPD56" s="4"/>
      <c r="EPE56" s="279"/>
      <c r="EPF56" s="89"/>
      <c r="EPG56" s="5"/>
      <c r="EPH56" s="4"/>
      <c r="EPI56" s="279"/>
      <c r="EPJ56" s="89"/>
      <c r="EPK56" s="5"/>
      <c r="EPL56" s="4"/>
      <c r="EPM56" s="279"/>
      <c r="EPN56" s="89"/>
      <c r="EPO56" s="5"/>
      <c r="EPP56" s="4"/>
      <c r="EPQ56" s="279"/>
      <c r="EPR56" s="89"/>
      <c r="EPS56" s="5"/>
      <c r="EPT56" s="4"/>
      <c r="EPU56" s="279"/>
      <c r="EPV56" s="89"/>
      <c r="EPW56" s="5"/>
      <c r="EPX56" s="4"/>
      <c r="EPY56" s="279"/>
      <c r="EPZ56" s="89"/>
      <c r="EQA56" s="5"/>
      <c r="EQB56" s="4"/>
      <c r="EQC56" s="279"/>
      <c r="EQD56" s="89"/>
      <c r="EQE56" s="5"/>
      <c r="EQF56" s="4"/>
      <c r="EQG56" s="279"/>
      <c r="EQH56" s="89"/>
      <c r="EQI56" s="5"/>
      <c r="EQJ56" s="4"/>
      <c r="EQK56" s="279"/>
      <c r="EQL56" s="89"/>
      <c r="EQM56" s="5"/>
      <c r="EQN56" s="4"/>
      <c r="EQO56" s="279"/>
      <c r="EQP56" s="89"/>
      <c r="EQQ56" s="5"/>
      <c r="EQR56" s="4"/>
      <c r="EQS56" s="279"/>
      <c r="EQT56" s="89"/>
      <c r="EQU56" s="5"/>
      <c r="EQV56" s="4"/>
      <c r="EQW56" s="279"/>
      <c r="EQX56" s="89"/>
      <c r="EQY56" s="5"/>
      <c r="EQZ56" s="4"/>
      <c r="ERA56" s="279"/>
      <c r="ERB56" s="89"/>
      <c r="ERC56" s="5"/>
      <c r="ERD56" s="4"/>
      <c r="ERE56" s="279"/>
      <c r="ERF56" s="89"/>
      <c r="ERG56" s="5"/>
      <c r="ERH56" s="4"/>
      <c r="ERI56" s="279"/>
      <c r="ERJ56" s="89"/>
      <c r="ERK56" s="5"/>
      <c r="ERL56" s="4"/>
      <c r="ERM56" s="279"/>
      <c r="ERN56" s="89"/>
      <c r="ERO56" s="5"/>
      <c r="ERP56" s="4"/>
      <c r="ERQ56" s="279"/>
      <c r="ERR56" s="89"/>
      <c r="ERS56" s="5"/>
      <c r="ERT56" s="4"/>
      <c r="ERU56" s="279"/>
      <c r="ERV56" s="89"/>
      <c r="ERW56" s="5"/>
      <c r="ERX56" s="4"/>
      <c r="ERY56" s="279"/>
      <c r="ERZ56" s="89"/>
      <c r="ESA56" s="5"/>
      <c r="ESB56" s="4"/>
      <c r="ESC56" s="279"/>
      <c r="ESD56" s="89"/>
      <c r="ESE56" s="5"/>
      <c r="ESF56" s="4"/>
      <c r="ESG56" s="279"/>
      <c r="ESH56" s="89"/>
      <c r="ESI56" s="5"/>
      <c r="ESJ56" s="4"/>
      <c r="ESK56" s="279"/>
      <c r="ESL56" s="89"/>
      <c r="ESM56" s="5"/>
      <c r="ESN56" s="4"/>
      <c r="ESO56" s="279"/>
      <c r="ESP56" s="89"/>
      <c r="ESQ56" s="5"/>
      <c r="ESR56" s="4"/>
      <c r="ESS56" s="279"/>
      <c r="EST56" s="89"/>
      <c r="ESU56" s="5"/>
      <c r="ESV56" s="4"/>
      <c r="ESW56" s="279"/>
      <c r="ESX56" s="89"/>
      <c r="ESY56" s="5"/>
      <c r="ESZ56" s="4"/>
      <c r="ETA56" s="279"/>
      <c r="ETB56" s="89"/>
      <c r="ETC56" s="5"/>
      <c r="ETD56" s="4"/>
      <c r="ETE56" s="279"/>
      <c r="ETF56" s="89"/>
      <c r="ETG56" s="5"/>
      <c r="ETH56" s="4"/>
      <c r="ETI56" s="279"/>
      <c r="ETJ56" s="89"/>
      <c r="ETK56" s="5"/>
      <c r="ETL56" s="4"/>
      <c r="ETM56" s="279"/>
      <c r="ETN56" s="89"/>
      <c r="ETO56" s="5"/>
      <c r="ETP56" s="4"/>
      <c r="ETQ56" s="279"/>
      <c r="ETR56" s="89"/>
      <c r="ETS56" s="5"/>
      <c r="ETT56" s="4"/>
      <c r="ETU56" s="279"/>
      <c r="ETV56" s="89"/>
      <c r="ETW56" s="5"/>
      <c r="ETX56" s="4"/>
      <c r="ETY56" s="279"/>
      <c r="ETZ56" s="89"/>
      <c r="EUA56" s="5"/>
      <c r="EUB56" s="4"/>
      <c r="EUC56" s="279"/>
      <c r="EUD56" s="89"/>
      <c r="EUE56" s="5"/>
      <c r="EUF56" s="4"/>
      <c r="EUG56" s="279"/>
      <c r="EUH56" s="89"/>
      <c r="EUI56" s="5"/>
      <c r="EUJ56" s="4"/>
      <c r="EUK56" s="279"/>
      <c r="EUL56" s="89"/>
      <c r="EUM56" s="5"/>
      <c r="EUN56" s="4"/>
      <c r="EUO56" s="279"/>
      <c r="EUP56" s="89"/>
      <c r="EUQ56" s="5"/>
      <c r="EUR56" s="4"/>
      <c r="EUS56" s="279"/>
      <c r="EUT56" s="89"/>
      <c r="EUU56" s="5"/>
      <c r="EUV56" s="4"/>
      <c r="EUW56" s="279"/>
      <c r="EUX56" s="89"/>
      <c r="EUY56" s="5"/>
      <c r="EUZ56" s="4"/>
      <c r="EVA56" s="279"/>
      <c r="EVB56" s="89"/>
      <c r="EVC56" s="5"/>
      <c r="EVD56" s="4"/>
      <c r="EVE56" s="279"/>
      <c r="EVF56" s="89"/>
      <c r="EVG56" s="5"/>
      <c r="EVH56" s="4"/>
      <c r="EVI56" s="279"/>
      <c r="EVJ56" s="89"/>
      <c r="EVK56" s="5"/>
      <c r="EVL56" s="4"/>
      <c r="EVM56" s="279"/>
      <c r="EVN56" s="89"/>
      <c r="EVO56" s="5"/>
      <c r="EVP56" s="4"/>
      <c r="EVQ56" s="279"/>
      <c r="EVR56" s="89"/>
      <c r="EVS56" s="5"/>
      <c r="EVT56" s="4"/>
      <c r="EVU56" s="279"/>
      <c r="EVV56" s="89"/>
      <c r="EVW56" s="5"/>
      <c r="EVX56" s="4"/>
      <c r="EVY56" s="279"/>
      <c r="EVZ56" s="89"/>
      <c r="EWA56" s="5"/>
      <c r="EWB56" s="4"/>
      <c r="EWC56" s="279"/>
      <c r="EWD56" s="89"/>
      <c r="EWE56" s="5"/>
      <c r="EWF56" s="4"/>
      <c r="EWG56" s="279"/>
      <c r="EWH56" s="89"/>
      <c r="EWI56" s="5"/>
      <c r="EWJ56" s="4"/>
      <c r="EWK56" s="279"/>
      <c r="EWL56" s="89"/>
      <c r="EWM56" s="5"/>
      <c r="EWN56" s="4"/>
      <c r="EWO56" s="279"/>
      <c r="EWP56" s="89"/>
      <c r="EWQ56" s="5"/>
      <c r="EWR56" s="4"/>
      <c r="EWS56" s="279"/>
      <c r="EWT56" s="89"/>
      <c r="EWU56" s="5"/>
      <c r="EWV56" s="4"/>
      <c r="EWW56" s="279"/>
      <c r="EWX56" s="89"/>
      <c r="EWY56" s="5"/>
      <c r="EWZ56" s="4"/>
      <c r="EXA56" s="279"/>
      <c r="EXB56" s="89"/>
      <c r="EXC56" s="5"/>
      <c r="EXD56" s="4"/>
      <c r="EXE56" s="279"/>
      <c r="EXF56" s="89"/>
      <c r="EXG56" s="5"/>
      <c r="EXH56" s="4"/>
      <c r="EXI56" s="279"/>
      <c r="EXJ56" s="89"/>
      <c r="EXK56" s="5"/>
      <c r="EXL56" s="4"/>
      <c r="EXM56" s="279"/>
      <c r="EXN56" s="89"/>
      <c r="EXO56" s="5"/>
      <c r="EXP56" s="4"/>
      <c r="EXQ56" s="279"/>
      <c r="EXR56" s="89"/>
      <c r="EXS56" s="5"/>
      <c r="EXT56" s="4"/>
      <c r="EXU56" s="279"/>
      <c r="EXV56" s="89"/>
      <c r="EXW56" s="5"/>
      <c r="EXX56" s="4"/>
      <c r="EXY56" s="279"/>
      <c r="EXZ56" s="89"/>
      <c r="EYA56" s="5"/>
      <c r="EYB56" s="4"/>
      <c r="EYC56" s="279"/>
      <c r="EYD56" s="89"/>
      <c r="EYE56" s="5"/>
      <c r="EYF56" s="4"/>
      <c r="EYG56" s="279"/>
      <c r="EYH56" s="89"/>
      <c r="EYI56" s="5"/>
      <c r="EYJ56" s="4"/>
      <c r="EYK56" s="279"/>
      <c r="EYL56" s="89"/>
      <c r="EYM56" s="5"/>
      <c r="EYN56" s="4"/>
      <c r="EYO56" s="279"/>
      <c r="EYP56" s="89"/>
      <c r="EYQ56" s="5"/>
      <c r="EYR56" s="4"/>
      <c r="EYS56" s="279"/>
      <c r="EYT56" s="89"/>
      <c r="EYU56" s="5"/>
      <c r="EYV56" s="4"/>
      <c r="EYW56" s="279"/>
      <c r="EYX56" s="89"/>
      <c r="EYY56" s="5"/>
      <c r="EYZ56" s="4"/>
      <c r="EZA56" s="279"/>
      <c r="EZB56" s="89"/>
      <c r="EZC56" s="5"/>
      <c r="EZD56" s="4"/>
      <c r="EZE56" s="279"/>
      <c r="EZF56" s="89"/>
      <c r="EZG56" s="5"/>
      <c r="EZH56" s="4"/>
      <c r="EZI56" s="279"/>
      <c r="EZJ56" s="89"/>
      <c r="EZK56" s="5"/>
      <c r="EZL56" s="4"/>
      <c r="EZM56" s="279"/>
      <c r="EZN56" s="89"/>
      <c r="EZO56" s="5"/>
      <c r="EZP56" s="4"/>
      <c r="EZQ56" s="279"/>
      <c r="EZR56" s="89"/>
      <c r="EZS56" s="5"/>
      <c r="EZT56" s="4"/>
      <c r="EZU56" s="279"/>
      <c r="EZV56" s="89"/>
      <c r="EZW56" s="5"/>
      <c r="EZX56" s="4"/>
      <c r="EZY56" s="279"/>
      <c r="EZZ56" s="89"/>
      <c r="FAA56" s="5"/>
      <c r="FAB56" s="4"/>
      <c r="FAC56" s="279"/>
      <c r="FAD56" s="89"/>
      <c r="FAE56" s="5"/>
      <c r="FAF56" s="4"/>
      <c r="FAG56" s="279"/>
      <c r="FAH56" s="89"/>
      <c r="FAI56" s="5"/>
      <c r="FAJ56" s="4"/>
      <c r="FAK56" s="279"/>
      <c r="FAL56" s="89"/>
      <c r="FAM56" s="5"/>
      <c r="FAN56" s="4"/>
      <c r="FAO56" s="279"/>
      <c r="FAP56" s="89"/>
      <c r="FAQ56" s="5"/>
      <c r="FAR56" s="4"/>
      <c r="FAS56" s="279"/>
      <c r="FAT56" s="89"/>
      <c r="FAU56" s="5"/>
      <c r="FAV56" s="4"/>
      <c r="FAW56" s="279"/>
      <c r="FAX56" s="89"/>
      <c r="FAY56" s="5"/>
      <c r="FAZ56" s="4"/>
      <c r="FBA56" s="279"/>
      <c r="FBB56" s="89"/>
      <c r="FBC56" s="5"/>
      <c r="FBD56" s="4"/>
      <c r="FBE56" s="279"/>
      <c r="FBF56" s="89"/>
      <c r="FBG56" s="5"/>
      <c r="FBH56" s="4"/>
      <c r="FBI56" s="279"/>
      <c r="FBJ56" s="89"/>
      <c r="FBK56" s="5"/>
      <c r="FBL56" s="4"/>
      <c r="FBM56" s="279"/>
      <c r="FBN56" s="89"/>
      <c r="FBO56" s="5"/>
      <c r="FBP56" s="4"/>
      <c r="FBQ56" s="279"/>
      <c r="FBR56" s="89"/>
      <c r="FBS56" s="5"/>
      <c r="FBT56" s="4"/>
      <c r="FBU56" s="279"/>
      <c r="FBV56" s="89"/>
      <c r="FBW56" s="5"/>
      <c r="FBX56" s="4"/>
      <c r="FBY56" s="279"/>
      <c r="FBZ56" s="89"/>
      <c r="FCA56" s="5"/>
      <c r="FCB56" s="4"/>
      <c r="FCC56" s="279"/>
      <c r="FCD56" s="89"/>
      <c r="FCE56" s="5"/>
      <c r="FCF56" s="4"/>
      <c r="FCG56" s="279"/>
      <c r="FCH56" s="89"/>
      <c r="FCI56" s="5"/>
      <c r="FCJ56" s="4"/>
      <c r="FCK56" s="279"/>
      <c r="FCL56" s="89"/>
      <c r="FCM56" s="5"/>
      <c r="FCN56" s="4"/>
      <c r="FCO56" s="279"/>
      <c r="FCP56" s="89"/>
      <c r="FCQ56" s="5"/>
      <c r="FCR56" s="4"/>
      <c r="FCS56" s="279"/>
      <c r="FCT56" s="89"/>
      <c r="FCU56" s="5"/>
      <c r="FCV56" s="4"/>
      <c r="FCW56" s="279"/>
      <c r="FCX56" s="89"/>
      <c r="FCY56" s="5"/>
      <c r="FCZ56" s="4"/>
      <c r="FDA56" s="279"/>
      <c r="FDB56" s="89"/>
      <c r="FDC56" s="5"/>
      <c r="FDD56" s="4"/>
      <c r="FDE56" s="279"/>
      <c r="FDF56" s="89"/>
      <c r="FDG56" s="5"/>
      <c r="FDH56" s="4"/>
      <c r="FDI56" s="279"/>
      <c r="FDJ56" s="89"/>
      <c r="FDK56" s="5"/>
      <c r="FDL56" s="4"/>
      <c r="FDM56" s="279"/>
      <c r="FDN56" s="89"/>
      <c r="FDO56" s="5"/>
      <c r="FDP56" s="4"/>
      <c r="FDQ56" s="279"/>
      <c r="FDR56" s="89"/>
      <c r="FDS56" s="5"/>
      <c r="FDT56" s="4"/>
      <c r="FDU56" s="279"/>
      <c r="FDV56" s="89"/>
      <c r="FDW56" s="5"/>
      <c r="FDX56" s="4"/>
      <c r="FDY56" s="279"/>
      <c r="FDZ56" s="89"/>
      <c r="FEA56" s="5"/>
      <c r="FEB56" s="4"/>
      <c r="FEC56" s="279"/>
      <c r="FED56" s="89"/>
      <c r="FEE56" s="5"/>
      <c r="FEF56" s="4"/>
      <c r="FEG56" s="279"/>
      <c r="FEH56" s="89"/>
      <c r="FEI56" s="5"/>
      <c r="FEJ56" s="4"/>
      <c r="FEK56" s="279"/>
      <c r="FEL56" s="89"/>
      <c r="FEM56" s="5"/>
      <c r="FEN56" s="4"/>
      <c r="FEO56" s="279"/>
      <c r="FEP56" s="89"/>
      <c r="FEQ56" s="5"/>
      <c r="FER56" s="4"/>
      <c r="FES56" s="279"/>
      <c r="FET56" s="89"/>
      <c r="FEU56" s="5"/>
      <c r="FEV56" s="4"/>
      <c r="FEW56" s="279"/>
      <c r="FEX56" s="89"/>
      <c r="FEY56" s="5"/>
      <c r="FEZ56" s="4"/>
      <c r="FFA56" s="279"/>
      <c r="FFB56" s="89"/>
      <c r="FFC56" s="5"/>
      <c r="FFD56" s="4"/>
      <c r="FFE56" s="279"/>
      <c r="FFF56" s="89"/>
      <c r="FFG56" s="5"/>
      <c r="FFH56" s="4"/>
      <c r="FFI56" s="279"/>
      <c r="FFJ56" s="89"/>
      <c r="FFK56" s="5"/>
      <c r="FFL56" s="4"/>
      <c r="FFM56" s="279"/>
      <c r="FFN56" s="89"/>
      <c r="FFO56" s="5"/>
      <c r="FFP56" s="4"/>
      <c r="FFQ56" s="279"/>
      <c r="FFR56" s="89"/>
      <c r="FFS56" s="5"/>
      <c r="FFT56" s="4"/>
      <c r="FFU56" s="279"/>
      <c r="FFV56" s="89"/>
      <c r="FFW56" s="5"/>
      <c r="FFX56" s="4"/>
      <c r="FFY56" s="279"/>
      <c r="FFZ56" s="89"/>
      <c r="FGA56" s="5"/>
      <c r="FGB56" s="4"/>
      <c r="FGC56" s="279"/>
      <c r="FGD56" s="89"/>
      <c r="FGE56" s="5"/>
      <c r="FGF56" s="4"/>
      <c r="FGG56" s="279"/>
      <c r="FGH56" s="89"/>
      <c r="FGI56" s="5"/>
      <c r="FGJ56" s="4"/>
      <c r="FGK56" s="279"/>
      <c r="FGL56" s="89"/>
      <c r="FGM56" s="5"/>
      <c r="FGN56" s="4"/>
      <c r="FGO56" s="279"/>
      <c r="FGP56" s="89"/>
      <c r="FGQ56" s="5"/>
      <c r="FGR56" s="4"/>
      <c r="FGS56" s="279"/>
      <c r="FGT56" s="89"/>
      <c r="FGU56" s="5"/>
      <c r="FGV56" s="4"/>
      <c r="FGW56" s="279"/>
      <c r="FGX56" s="89"/>
      <c r="FGY56" s="5"/>
      <c r="FGZ56" s="4"/>
      <c r="FHA56" s="279"/>
      <c r="FHB56" s="89"/>
      <c r="FHC56" s="5"/>
      <c r="FHD56" s="4"/>
      <c r="FHE56" s="279"/>
      <c r="FHF56" s="89"/>
      <c r="FHG56" s="5"/>
      <c r="FHH56" s="4"/>
      <c r="FHI56" s="279"/>
      <c r="FHJ56" s="89"/>
      <c r="FHK56" s="5"/>
      <c r="FHL56" s="4"/>
      <c r="FHM56" s="279"/>
      <c r="FHN56" s="89"/>
      <c r="FHO56" s="5"/>
      <c r="FHP56" s="4"/>
      <c r="FHQ56" s="279"/>
      <c r="FHR56" s="89"/>
      <c r="FHS56" s="5"/>
      <c r="FHT56" s="4"/>
      <c r="FHU56" s="279"/>
      <c r="FHV56" s="89"/>
      <c r="FHW56" s="5"/>
      <c r="FHX56" s="4"/>
      <c r="FHY56" s="279"/>
      <c r="FHZ56" s="89"/>
      <c r="FIA56" s="5"/>
      <c r="FIB56" s="4"/>
      <c r="FIC56" s="279"/>
      <c r="FID56" s="89"/>
      <c r="FIE56" s="5"/>
      <c r="FIF56" s="4"/>
      <c r="FIG56" s="279"/>
      <c r="FIH56" s="89"/>
      <c r="FII56" s="5"/>
      <c r="FIJ56" s="4"/>
      <c r="FIK56" s="279"/>
      <c r="FIL56" s="89"/>
      <c r="FIM56" s="5"/>
      <c r="FIN56" s="4"/>
      <c r="FIO56" s="279"/>
      <c r="FIP56" s="89"/>
      <c r="FIQ56" s="5"/>
      <c r="FIR56" s="4"/>
      <c r="FIS56" s="279"/>
      <c r="FIT56" s="89"/>
      <c r="FIU56" s="5"/>
      <c r="FIV56" s="4"/>
      <c r="FIW56" s="279"/>
      <c r="FIX56" s="89"/>
      <c r="FIY56" s="5"/>
      <c r="FIZ56" s="4"/>
      <c r="FJA56" s="279"/>
      <c r="FJB56" s="89"/>
      <c r="FJC56" s="5"/>
      <c r="FJD56" s="4"/>
      <c r="FJE56" s="279"/>
      <c r="FJF56" s="89"/>
      <c r="FJG56" s="5"/>
      <c r="FJH56" s="4"/>
      <c r="FJI56" s="279"/>
      <c r="FJJ56" s="89"/>
      <c r="FJK56" s="5"/>
      <c r="FJL56" s="4"/>
      <c r="FJM56" s="279"/>
      <c r="FJN56" s="89"/>
      <c r="FJO56" s="5"/>
      <c r="FJP56" s="4"/>
      <c r="FJQ56" s="279"/>
      <c r="FJR56" s="89"/>
      <c r="FJS56" s="5"/>
      <c r="FJT56" s="4"/>
      <c r="FJU56" s="279"/>
      <c r="FJV56" s="89"/>
      <c r="FJW56" s="5"/>
      <c r="FJX56" s="4"/>
      <c r="FJY56" s="279"/>
      <c r="FJZ56" s="89"/>
      <c r="FKA56" s="5"/>
      <c r="FKB56" s="4"/>
      <c r="FKC56" s="279"/>
      <c r="FKD56" s="89"/>
      <c r="FKE56" s="5"/>
      <c r="FKF56" s="4"/>
      <c r="FKG56" s="279"/>
      <c r="FKH56" s="89"/>
      <c r="FKI56" s="5"/>
      <c r="FKJ56" s="4"/>
      <c r="FKK56" s="279"/>
      <c r="FKL56" s="89"/>
      <c r="FKM56" s="5"/>
      <c r="FKN56" s="4"/>
      <c r="FKO56" s="279"/>
      <c r="FKP56" s="89"/>
      <c r="FKQ56" s="5"/>
      <c r="FKR56" s="4"/>
      <c r="FKS56" s="279"/>
      <c r="FKT56" s="89"/>
      <c r="FKU56" s="5"/>
      <c r="FKV56" s="4"/>
      <c r="FKW56" s="279"/>
      <c r="FKX56" s="89"/>
      <c r="FKY56" s="5"/>
      <c r="FKZ56" s="4"/>
      <c r="FLA56" s="279"/>
      <c r="FLB56" s="89"/>
      <c r="FLC56" s="5"/>
      <c r="FLD56" s="4"/>
      <c r="FLE56" s="279"/>
      <c r="FLF56" s="89"/>
      <c r="FLG56" s="5"/>
      <c r="FLH56" s="4"/>
      <c r="FLI56" s="279"/>
      <c r="FLJ56" s="89"/>
      <c r="FLK56" s="5"/>
      <c r="FLL56" s="4"/>
      <c r="FLM56" s="279"/>
      <c r="FLN56" s="89"/>
      <c r="FLO56" s="5"/>
      <c r="FLP56" s="4"/>
      <c r="FLQ56" s="279"/>
      <c r="FLR56" s="89"/>
      <c r="FLS56" s="5"/>
      <c r="FLT56" s="4"/>
      <c r="FLU56" s="279"/>
      <c r="FLV56" s="89"/>
      <c r="FLW56" s="5"/>
      <c r="FLX56" s="4"/>
      <c r="FLY56" s="279"/>
      <c r="FLZ56" s="89"/>
      <c r="FMA56" s="5"/>
      <c r="FMB56" s="4"/>
      <c r="FMC56" s="279"/>
      <c r="FMD56" s="89"/>
      <c r="FME56" s="5"/>
      <c r="FMF56" s="4"/>
      <c r="FMG56" s="279"/>
      <c r="FMH56" s="89"/>
      <c r="FMI56" s="5"/>
      <c r="FMJ56" s="4"/>
      <c r="FMK56" s="279"/>
      <c r="FML56" s="89"/>
      <c r="FMM56" s="5"/>
      <c r="FMN56" s="4"/>
      <c r="FMO56" s="279"/>
      <c r="FMP56" s="89"/>
      <c r="FMQ56" s="5"/>
      <c r="FMR56" s="4"/>
      <c r="FMS56" s="279"/>
      <c r="FMT56" s="89"/>
      <c r="FMU56" s="5"/>
      <c r="FMV56" s="4"/>
      <c r="FMW56" s="279"/>
      <c r="FMX56" s="89"/>
      <c r="FMY56" s="5"/>
      <c r="FMZ56" s="4"/>
      <c r="FNA56" s="279"/>
      <c r="FNB56" s="89"/>
      <c r="FNC56" s="5"/>
      <c r="FND56" s="4"/>
      <c r="FNE56" s="279"/>
      <c r="FNF56" s="89"/>
      <c r="FNG56" s="5"/>
      <c r="FNH56" s="4"/>
      <c r="FNI56" s="279"/>
      <c r="FNJ56" s="89"/>
      <c r="FNK56" s="5"/>
      <c r="FNL56" s="4"/>
      <c r="FNM56" s="279"/>
      <c r="FNN56" s="89"/>
      <c r="FNO56" s="5"/>
      <c r="FNP56" s="4"/>
      <c r="FNQ56" s="279"/>
      <c r="FNR56" s="89"/>
      <c r="FNS56" s="5"/>
      <c r="FNT56" s="4"/>
      <c r="FNU56" s="279"/>
      <c r="FNV56" s="89"/>
      <c r="FNW56" s="5"/>
      <c r="FNX56" s="4"/>
      <c r="FNY56" s="279"/>
      <c r="FNZ56" s="89"/>
      <c r="FOA56" s="5"/>
      <c r="FOB56" s="4"/>
      <c r="FOC56" s="279"/>
      <c r="FOD56" s="89"/>
      <c r="FOE56" s="5"/>
      <c r="FOF56" s="4"/>
      <c r="FOG56" s="279"/>
      <c r="FOH56" s="89"/>
      <c r="FOI56" s="5"/>
      <c r="FOJ56" s="4"/>
      <c r="FOK56" s="279"/>
      <c r="FOL56" s="89"/>
      <c r="FOM56" s="5"/>
      <c r="FON56" s="4"/>
      <c r="FOO56" s="279"/>
      <c r="FOP56" s="89"/>
      <c r="FOQ56" s="5"/>
      <c r="FOR56" s="4"/>
      <c r="FOS56" s="279"/>
      <c r="FOT56" s="89"/>
      <c r="FOU56" s="5"/>
      <c r="FOV56" s="4"/>
      <c r="FOW56" s="279"/>
      <c r="FOX56" s="89"/>
      <c r="FOY56" s="5"/>
      <c r="FOZ56" s="4"/>
      <c r="FPA56" s="279"/>
      <c r="FPB56" s="89"/>
      <c r="FPC56" s="5"/>
      <c r="FPD56" s="4"/>
      <c r="FPE56" s="279"/>
      <c r="FPF56" s="89"/>
      <c r="FPG56" s="5"/>
      <c r="FPH56" s="4"/>
      <c r="FPI56" s="279"/>
      <c r="FPJ56" s="89"/>
      <c r="FPK56" s="5"/>
      <c r="FPL56" s="4"/>
      <c r="FPM56" s="279"/>
      <c r="FPN56" s="89"/>
      <c r="FPO56" s="5"/>
      <c r="FPP56" s="4"/>
      <c r="FPQ56" s="279"/>
      <c r="FPR56" s="89"/>
      <c r="FPS56" s="5"/>
      <c r="FPT56" s="4"/>
      <c r="FPU56" s="279"/>
      <c r="FPV56" s="89"/>
      <c r="FPW56" s="5"/>
      <c r="FPX56" s="4"/>
      <c r="FPY56" s="279"/>
      <c r="FPZ56" s="89"/>
      <c r="FQA56" s="5"/>
      <c r="FQB56" s="4"/>
      <c r="FQC56" s="279"/>
      <c r="FQD56" s="89"/>
      <c r="FQE56" s="5"/>
      <c r="FQF56" s="4"/>
      <c r="FQG56" s="279"/>
      <c r="FQH56" s="89"/>
      <c r="FQI56" s="5"/>
      <c r="FQJ56" s="4"/>
      <c r="FQK56" s="279"/>
      <c r="FQL56" s="89"/>
      <c r="FQM56" s="5"/>
      <c r="FQN56" s="4"/>
      <c r="FQO56" s="279"/>
      <c r="FQP56" s="89"/>
      <c r="FQQ56" s="5"/>
      <c r="FQR56" s="4"/>
      <c r="FQS56" s="279"/>
      <c r="FQT56" s="89"/>
      <c r="FQU56" s="5"/>
      <c r="FQV56" s="4"/>
      <c r="FQW56" s="279"/>
      <c r="FQX56" s="89"/>
      <c r="FQY56" s="5"/>
      <c r="FQZ56" s="4"/>
      <c r="FRA56" s="279"/>
      <c r="FRB56" s="89"/>
      <c r="FRC56" s="5"/>
      <c r="FRD56" s="4"/>
      <c r="FRE56" s="279"/>
      <c r="FRF56" s="89"/>
      <c r="FRG56" s="5"/>
      <c r="FRH56" s="4"/>
      <c r="FRI56" s="279"/>
      <c r="FRJ56" s="89"/>
      <c r="FRK56" s="5"/>
      <c r="FRL56" s="4"/>
      <c r="FRM56" s="279"/>
      <c r="FRN56" s="89"/>
      <c r="FRO56" s="5"/>
      <c r="FRP56" s="4"/>
      <c r="FRQ56" s="279"/>
      <c r="FRR56" s="89"/>
      <c r="FRS56" s="5"/>
      <c r="FRT56" s="4"/>
      <c r="FRU56" s="279"/>
      <c r="FRV56" s="89"/>
      <c r="FRW56" s="5"/>
      <c r="FRX56" s="4"/>
      <c r="FRY56" s="279"/>
      <c r="FRZ56" s="89"/>
      <c r="FSA56" s="5"/>
      <c r="FSB56" s="4"/>
      <c r="FSC56" s="279"/>
      <c r="FSD56" s="89"/>
      <c r="FSE56" s="5"/>
      <c r="FSF56" s="4"/>
      <c r="FSG56" s="279"/>
      <c r="FSH56" s="89"/>
      <c r="FSI56" s="5"/>
      <c r="FSJ56" s="4"/>
      <c r="FSK56" s="279"/>
      <c r="FSL56" s="89"/>
      <c r="FSM56" s="5"/>
      <c r="FSN56" s="4"/>
      <c r="FSO56" s="279"/>
      <c r="FSP56" s="89"/>
      <c r="FSQ56" s="5"/>
      <c r="FSR56" s="4"/>
      <c r="FSS56" s="279"/>
      <c r="FST56" s="89"/>
      <c r="FSU56" s="5"/>
      <c r="FSV56" s="4"/>
      <c r="FSW56" s="279"/>
      <c r="FSX56" s="89"/>
      <c r="FSY56" s="5"/>
      <c r="FSZ56" s="4"/>
      <c r="FTA56" s="279"/>
      <c r="FTB56" s="89"/>
      <c r="FTC56" s="5"/>
      <c r="FTD56" s="4"/>
      <c r="FTE56" s="279"/>
      <c r="FTF56" s="89"/>
      <c r="FTG56" s="5"/>
      <c r="FTH56" s="4"/>
      <c r="FTI56" s="279"/>
      <c r="FTJ56" s="89"/>
      <c r="FTK56" s="5"/>
      <c r="FTL56" s="4"/>
      <c r="FTM56" s="279"/>
      <c r="FTN56" s="89"/>
      <c r="FTO56" s="5"/>
      <c r="FTP56" s="4"/>
      <c r="FTQ56" s="279"/>
      <c r="FTR56" s="89"/>
      <c r="FTS56" s="5"/>
      <c r="FTT56" s="4"/>
      <c r="FTU56" s="279"/>
      <c r="FTV56" s="89"/>
      <c r="FTW56" s="5"/>
      <c r="FTX56" s="4"/>
      <c r="FTY56" s="279"/>
      <c r="FTZ56" s="89"/>
      <c r="FUA56" s="5"/>
      <c r="FUB56" s="4"/>
      <c r="FUC56" s="279"/>
      <c r="FUD56" s="89"/>
      <c r="FUE56" s="5"/>
      <c r="FUF56" s="4"/>
      <c r="FUG56" s="279"/>
      <c r="FUH56" s="89"/>
      <c r="FUI56" s="5"/>
      <c r="FUJ56" s="4"/>
      <c r="FUK56" s="279"/>
      <c r="FUL56" s="89"/>
      <c r="FUM56" s="5"/>
      <c r="FUN56" s="4"/>
      <c r="FUO56" s="279"/>
      <c r="FUP56" s="89"/>
      <c r="FUQ56" s="5"/>
      <c r="FUR56" s="4"/>
      <c r="FUS56" s="279"/>
      <c r="FUT56" s="89"/>
      <c r="FUU56" s="5"/>
      <c r="FUV56" s="4"/>
      <c r="FUW56" s="279"/>
      <c r="FUX56" s="89"/>
      <c r="FUY56" s="5"/>
      <c r="FUZ56" s="4"/>
      <c r="FVA56" s="279"/>
      <c r="FVB56" s="89"/>
      <c r="FVC56" s="5"/>
      <c r="FVD56" s="4"/>
      <c r="FVE56" s="279"/>
      <c r="FVF56" s="89"/>
      <c r="FVG56" s="5"/>
      <c r="FVH56" s="4"/>
      <c r="FVI56" s="279"/>
      <c r="FVJ56" s="89"/>
      <c r="FVK56" s="5"/>
      <c r="FVL56" s="4"/>
      <c r="FVM56" s="279"/>
      <c r="FVN56" s="89"/>
      <c r="FVO56" s="5"/>
      <c r="FVP56" s="4"/>
      <c r="FVQ56" s="279"/>
      <c r="FVR56" s="89"/>
      <c r="FVS56" s="5"/>
      <c r="FVT56" s="4"/>
      <c r="FVU56" s="279"/>
      <c r="FVV56" s="89"/>
      <c r="FVW56" s="5"/>
      <c r="FVX56" s="4"/>
      <c r="FVY56" s="279"/>
      <c r="FVZ56" s="89"/>
      <c r="FWA56" s="5"/>
      <c r="FWB56" s="4"/>
      <c r="FWC56" s="279"/>
      <c r="FWD56" s="89"/>
      <c r="FWE56" s="5"/>
      <c r="FWF56" s="4"/>
      <c r="FWG56" s="279"/>
      <c r="FWH56" s="89"/>
      <c r="FWI56" s="5"/>
      <c r="FWJ56" s="4"/>
      <c r="FWK56" s="279"/>
      <c r="FWL56" s="89"/>
      <c r="FWM56" s="5"/>
      <c r="FWN56" s="4"/>
      <c r="FWO56" s="279"/>
      <c r="FWP56" s="89"/>
      <c r="FWQ56" s="5"/>
      <c r="FWR56" s="4"/>
      <c r="FWS56" s="279"/>
      <c r="FWT56" s="89"/>
      <c r="FWU56" s="5"/>
      <c r="FWV56" s="4"/>
      <c r="FWW56" s="279"/>
      <c r="FWX56" s="89"/>
      <c r="FWY56" s="5"/>
      <c r="FWZ56" s="4"/>
      <c r="FXA56" s="279"/>
      <c r="FXB56" s="89"/>
      <c r="FXC56" s="5"/>
      <c r="FXD56" s="4"/>
      <c r="FXE56" s="279"/>
      <c r="FXF56" s="89"/>
      <c r="FXG56" s="5"/>
      <c r="FXH56" s="4"/>
      <c r="FXI56" s="279"/>
      <c r="FXJ56" s="89"/>
      <c r="FXK56" s="5"/>
      <c r="FXL56" s="4"/>
      <c r="FXM56" s="279"/>
      <c r="FXN56" s="89"/>
      <c r="FXO56" s="5"/>
      <c r="FXP56" s="4"/>
      <c r="FXQ56" s="279"/>
      <c r="FXR56" s="89"/>
      <c r="FXS56" s="5"/>
      <c r="FXT56" s="4"/>
      <c r="FXU56" s="279"/>
      <c r="FXV56" s="89"/>
      <c r="FXW56" s="5"/>
      <c r="FXX56" s="4"/>
      <c r="FXY56" s="279"/>
      <c r="FXZ56" s="89"/>
      <c r="FYA56" s="5"/>
      <c r="FYB56" s="4"/>
      <c r="FYC56" s="279"/>
      <c r="FYD56" s="89"/>
      <c r="FYE56" s="5"/>
      <c r="FYF56" s="4"/>
      <c r="FYG56" s="279"/>
      <c r="FYH56" s="89"/>
      <c r="FYI56" s="5"/>
      <c r="FYJ56" s="4"/>
      <c r="FYK56" s="279"/>
      <c r="FYL56" s="89"/>
      <c r="FYM56" s="5"/>
      <c r="FYN56" s="4"/>
      <c r="FYO56" s="279"/>
      <c r="FYP56" s="89"/>
      <c r="FYQ56" s="5"/>
      <c r="FYR56" s="4"/>
      <c r="FYS56" s="279"/>
      <c r="FYT56" s="89"/>
      <c r="FYU56" s="5"/>
      <c r="FYV56" s="4"/>
      <c r="FYW56" s="279"/>
      <c r="FYX56" s="89"/>
      <c r="FYY56" s="5"/>
      <c r="FYZ56" s="4"/>
      <c r="FZA56" s="279"/>
      <c r="FZB56" s="89"/>
      <c r="FZC56" s="5"/>
      <c r="FZD56" s="4"/>
      <c r="FZE56" s="279"/>
      <c r="FZF56" s="89"/>
      <c r="FZG56" s="5"/>
      <c r="FZH56" s="4"/>
      <c r="FZI56" s="279"/>
      <c r="FZJ56" s="89"/>
      <c r="FZK56" s="5"/>
      <c r="FZL56" s="4"/>
      <c r="FZM56" s="279"/>
      <c r="FZN56" s="89"/>
      <c r="FZO56" s="5"/>
      <c r="FZP56" s="4"/>
      <c r="FZQ56" s="279"/>
      <c r="FZR56" s="89"/>
      <c r="FZS56" s="5"/>
      <c r="FZT56" s="4"/>
      <c r="FZU56" s="279"/>
      <c r="FZV56" s="89"/>
      <c r="FZW56" s="5"/>
      <c r="FZX56" s="4"/>
      <c r="FZY56" s="279"/>
      <c r="FZZ56" s="89"/>
      <c r="GAA56" s="5"/>
      <c r="GAB56" s="4"/>
      <c r="GAC56" s="279"/>
      <c r="GAD56" s="89"/>
      <c r="GAE56" s="5"/>
      <c r="GAF56" s="4"/>
      <c r="GAG56" s="279"/>
      <c r="GAH56" s="89"/>
      <c r="GAI56" s="5"/>
      <c r="GAJ56" s="4"/>
      <c r="GAK56" s="279"/>
      <c r="GAL56" s="89"/>
      <c r="GAM56" s="5"/>
      <c r="GAN56" s="4"/>
      <c r="GAO56" s="279"/>
      <c r="GAP56" s="89"/>
      <c r="GAQ56" s="5"/>
      <c r="GAR56" s="4"/>
      <c r="GAS56" s="279"/>
      <c r="GAT56" s="89"/>
      <c r="GAU56" s="5"/>
      <c r="GAV56" s="4"/>
      <c r="GAW56" s="279"/>
      <c r="GAX56" s="89"/>
      <c r="GAY56" s="5"/>
      <c r="GAZ56" s="4"/>
      <c r="GBA56" s="279"/>
      <c r="GBB56" s="89"/>
      <c r="GBC56" s="5"/>
      <c r="GBD56" s="4"/>
      <c r="GBE56" s="279"/>
      <c r="GBF56" s="89"/>
      <c r="GBG56" s="5"/>
      <c r="GBH56" s="4"/>
      <c r="GBI56" s="279"/>
      <c r="GBJ56" s="89"/>
      <c r="GBK56" s="5"/>
      <c r="GBL56" s="4"/>
      <c r="GBM56" s="279"/>
      <c r="GBN56" s="89"/>
      <c r="GBO56" s="5"/>
      <c r="GBP56" s="4"/>
      <c r="GBQ56" s="279"/>
      <c r="GBR56" s="89"/>
      <c r="GBS56" s="5"/>
      <c r="GBT56" s="4"/>
      <c r="GBU56" s="279"/>
      <c r="GBV56" s="89"/>
      <c r="GBW56" s="5"/>
      <c r="GBX56" s="4"/>
      <c r="GBY56" s="279"/>
      <c r="GBZ56" s="89"/>
      <c r="GCA56" s="5"/>
      <c r="GCB56" s="4"/>
      <c r="GCC56" s="279"/>
      <c r="GCD56" s="89"/>
      <c r="GCE56" s="5"/>
      <c r="GCF56" s="4"/>
      <c r="GCG56" s="279"/>
      <c r="GCH56" s="89"/>
      <c r="GCI56" s="5"/>
      <c r="GCJ56" s="4"/>
      <c r="GCK56" s="279"/>
      <c r="GCL56" s="89"/>
      <c r="GCM56" s="5"/>
      <c r="GCN56" s="4"/>
      <c r="GCO56" s="279"/>
      <c r="GCP56" s="89"/>
      <c r="GCQ56" s="5"/>
      <c r="GCR56" s="4"/>
      <c r="GCS56" s="279"/>
      <c r="GCT56" s="89"/>
      <c r="GCU56" s="5"/>
      <c r="GCV56" s="4"/>
      <c r="GCW56" s="279"/>
      <c r="GCX56" s="89"/>
      <c r="GCY56" s="5"/>
      <c r="GCZ56" s="4"/>
      <c r="GDA56" s="279"/>
      <c r="GDB56" s="89"/>
      <c r="GDC56" s="5"/>
      <c r="GDD56" s="4"/>
      <c r="GDE56" s="279"/>
      <c r="GDF56" s="89"/>
      <c r="GDG56" s="5"/>
      <c r="GDH56" s="4"/>
      <c r="GDI56" s="279"/>
      <c r="GDJ56" s="89"/>
      <c r="GDK56" s="5"/>
      <c r="GDL56" s="4"/>
      <c r="GDM56" s="279"/>
      <c r="GDN56" s="89"/>
      <c r="GDO56" s="5"/>
      <c r="GDP56" s="4"/>
      <c r="GDQ56" s="279"/>
      <c r="GDR56" s="89"/>
      <c r="GDS56" s="5"/>
      <c r="GDT56" s="4"/>
      <c r="GDU56" s="279"/>
      <c r="GDV56" s="89"/>
      <c r="GDW56" s="5"/>
      <c r="GDX56" s="4"/>
      <c r="GDY56" s="279"/>
      <c r="GDZ56" s="89"/>
      <c r="GEA56" s="5"/>
      <c r="GEB56" s="4"/>
      <c r="GEC56" s="279"/>
      <c r="GED56" s="89"/>
      <c r="GEE56" s="5"/>
      <c r="GEF56" s="4"/>
      <c r="GEG56" s="279"/>
      <c r="GEH56" s="89"/>
      <c r="GEI56" s="5"/>
      <c r="GEJ56" s="4"/>
      <c r="GEK56" s="279"/>
      <c r="GEL56" s="89"/>
      <c r="GEM56" s="5"/>
      <c r="GEN56" s="4"/>
      <c r="GEO56" s="279"/>
      <c r="GEP56" s="89"/>
      <c r="GEQ56" s="5"/>
      <c r="GER56" s="4"/>
      <c r="GES56" s="279"/>
      <c r="GET56" s="89"/>
      <c r="GEU56" s="5"/>
      <c r="GEV56" s="4"/>
      <c r="GEW56" s="279"/>
      <c r="GEX56" s="89"/>
      <c r="GEY56" s="5"/>
      <c r="GEZ56" s="4"/>
      <c r="GFA56" s="279"/>
      <c r="GFB56" s="89"/>
      <c r="GFC56" s="5"/>
      <c r="GFD56" s="4"/>
      <c r="GFE56" s="279"/>
      <c r="GFF56" s="89"/>
      <c r="GFG56" s="5"/>
      <c r="GFH56" s="4"/>
      <c r="GFI56" s="279"/>
      <c r="GFJ56" s="89"/>
      <c r="GFK56" s="5"/>
      <c r="GFL56" s="4"/>
      <c r="GFM56" s="279"/>
      <c r="GFN56" s="89"/>
      <c r="GFO56" s="5"/>
      <c r="GFP56" s="4"/>
      <c r="GFQ56" s="279"/>
      <c r="GFR56" s="89"/>
      <c r="GFS56" s="5"/>
      <c r="GFT56" s="4"/>
      <c r="GFU56" s="279"/>
      <c r="GFV56" s="89"/>
      <c r="GFW56" s="5"/>
      <c r="GFX56" s="4"/>
      <c r="GFY56" s="279"/>
      <c r="GFZ56" s="89"/>
      <c r="GGA56" s="5"/>
      <c r="GGB56" s="4"/>
      <c r="GGC56" s="279"/>
      <c r="GGD56" s="89"/>
      <c r="GGE56" s="5"/>
      <c r="GGF56" s="4"/>
      <c r="GGG56" s="279"/>
      <c r="GGH56" s="89"/>
      <c r="GGI56" s="5"/>
      <c r="GGJ56" s="4"/>
      <c r="GGK56" s="279"/>
      <c r="GGL56" s="89"/>
      <c r="GGM56" s="5"/>
      <c r="GGN56" s="4"/>
      <c r="GGO56" s="279"/>
      <c r="GGP56" s="89"/>
      <c r="GGQ56" s="5"/>
      <c r="GGR56" s="4"/>
      <c r="GGS56" s="279"/>
      <c r="GGT56" s="89"/>
      <c r="GGU56" s="5"/>
      <c r="GGV56" s="4"/>
      <c r="GGW56" s="279"/>
      <c r="GGX56" s="89"/>
      <c r="GGY56" s="5"/>
      <c r="GGZ56" s="4"/>
      <c r="GHA56" s="279"/>
      <c r="GHB56" s="89"/>
      <c r="GHC56" s="5"/>
      <c r="GHD56" s="4"/>
      <c r="GHE56" s="279"/>
      <c r="GHF56" s="89"/>
      <c r="GHG56" s="5"/>
      <c r="GHH56" s="4"/>
      <c r="GHI56" s="279"/>
      <c r="GHJ56" s="89"/>
      <c r="GHK56" s="5"/>
      <c r="GHL56" s="4"/>
      <c r="GHM56" s="279"/>
      <c r="GHN56" s="89"/>
      <c r="GHO56" s="5"/>
      <c r="GHP56" s="4"/>
      <c r="GHQ56" s="279"/>
      <c r="GHR56" s="89"/>
      <c r="GHS56" s="5"/>
      <c r="GHT56" s="4"/>
      <c r="GHU56" s="279"/>
      <c r="GHV56" s="89"/>
      <c r="GHW56" s="5"/>
      <c r="GHX56" s="4"/>
      <c r="GHY56" s="279"/>
      <c r="GHZ56" s="89"/>
      <c r="GIA56" s="5"/>
      <c r="GIB56" s="4"/>
      <c r="GIC56" s="279"/>
      <c r="GID56" s="89"/>
      <c r="GIE56" s="5"/>
      <c r="GIF56" s="4"/>
      <c r="GIG56" s="279"/>
      <c r="GIH56" s="89"/>
      <c r="GII56" s="5"/>
      <c r="GIJ56" s="4"/>
      <c r="GIK56" s="279"/>
      <c r="GIL56" s="89"/>
      <c r="GIM56" s="5"/>
      <c r="GIN56" s="4"/>
      <c r="GIO56" s="279"/>
      <c r="GIP56" s="89"/>
      <c r="GIQ56" s="5"/>
      <c r="GIR56" s="4"/>
      <c r="GIS56" s="279"/>
      <c r="GIT56" s="89"/>
      <c r="GIU56" s="5"/>
      <c r="GIV56" s="4"/>
      <c r="GIW56" s="279"/>
      <c r="GIX56" s="89"/>
      <c r="GIY56" s="5"/>
      <c r="GIZ56" s="4"/>
      <c r="GJA56" s="279"/>
      <c r="GJB56" s="89"/>
      <c r="GJC56" s="5"/>
      <c r="GJD56" s="4"/>
      <c r="GJE56" s="279"/>
      <c r="GJF56" s="89"/>
      <c r="GJG56" s="5"/>
      <c r="GJH56" s="4"/>
      <c r="GJI56" s="279"/>
      <c r="GJJ56" s="89"/>
      <c r="GJK56" s="5"/>
      <c r="GJL56" s="4"/>
      <c r="GJM56" s="279"/>
      <c r="GJN56" s="89"/>
      <c r="GJO56" s="5"/>
      <c r="GJP56" s="4"/>
      <c r="GJQ56" s="279"/>
      <c r="GJR56" s="89"/>
      <c r="GJS56" s="5"/>
      <c r="GJT56" s="4"/>
      <c r="GJU56" s="279"/>
      <c r="GJV56" s="89"/>
      <c r="GJW56" s="5"/>
      <c r="GJX56" s="4"/>
      <c r="GJY56" s="279"/>
      <c r="GJZ56" s="89"/>
      <c r="GKA56" s="5"/>
      <c r="GKB56" s="4"/>
      <c r="GKC56" s="279"/>
      <c r="GKD56" s="89"/>
      <c r="GKE56" s="5"/>
      <c r="GKF56" s="4"/>
      <c r="GKG56" s="279"/>
      <c r="GKH56" s="89"/>
      <c r="GKI56" s="5"/>
      <c r="GKJ56" s="4"/>
      <c r="GKK56" s="279"/>
      <c r="GKL56" s="89"/>
      <c r="GKM56" s="5"/>
      <c r="GKN56" s="4"/>
      <c r="GKO56" s="279"/>
      <c r="GKP56" s="89"/>
      <c r="GKQ56" s="5"/>
      <c r="GKR56" s="4"/>
      <c r="GKS56" s="279"/>
      <c r="GKT56" s="89"/>
      <c r="GKU56" s="5"/>
      <c r="GKV56" s="4"/>
      <c r="GKW56" s="279"/>
      <c r="GKX56" s="89"/>
      <c r="GKY56" s="5"/>
      <c r="GKZ56" s="4"/>
      <c r="GLA56" s="279"/>
      <c r="GLB56" s="89"/>
      <c r="GLC56" s="5"/>
      <c r="GLD56" s="4"/>
      <c r="GLE56" s="279"/>
      <c r="GLF56" s="89"/>
      <c r="GLG56" s="5"/>
      <c r="GLH56" s="4"/>
      <c r="GLI56" s="279"/>
      <c r="GLJ56" s="89"/>
      <c r="GLK56" s="5"/>
      <c r="GLL56" s="4"/>
      <c r="GLM56" s="279"/>
      <c r="GLN56" s="89"/>
      <c r="GLO56" s="5"/>
      <c r="GLP56" s="4"/>
      <c r="GLQ56" s="279"/>
      <c r="GLR56" s="89"/>
      <c r="GLS56" s="5"/>
      <c r="GLT56" s="4"/>
      <c r="GLU56" s="279"/>
      <c r="GLV56" s="89"/>
      <c r="GLW56" s="5"/>
      <c r="GLX56" s="4"/>
      <c r="GLY56" s="279"/>
      <c r="GLZ56" s="89"/>
      <c r="GMA56" s="5"/>
      <c r="GMB56" s="4"/>
      <c r="GMC56" s="279"/>
      <c r="GMD56" s="89"/>
      <c r="GME56" s="5"/>
      <c r="GMF56" s="4"/>
      <c r="GMG56" s="279"/>
      <c r="GMH56" s="89"/>
      <c r="GMI56" s="5"/>
      <c r="GMJ56" s="4"/>
      <c r="GMK56" s="279"/>
      <c r="GML56" s="89"/>
      <c r="GMM56" s="5"/>
      <c r="GMN56" s="4"/>
      <c r="GMO56" s="279"/>
      <c r="GMP56" s="89"/>
      <c r="GMQ56" s="5"/>
      <c r="GMR56" s="4"/>
      <c r="GMS56" s="279"/>
      <c r="GMT56" s="89"/>
      <c r="GMU56" s="5"/>
      <c r="GMV56" s="4"/>
      <c r="GMW56" s="279"/>
      <c r="GMX56" s="89"/>
      <c r="GMY56" s="5"/>
      <c r="GMZ56" s="4"/>
      <c r="GNA56" s="279"/>
      <c r="GNB56" s="89"/>
      <c r="GNC56" s="5"/>
      <c r="GND56" s="4"/>
      <c r="GNE56" s="279"/>
      <c r="GNF56" s="89"/>
      <c r="GNG56" s="5"/>
      <c r="GNH56" s="4"/>
      <c r="GNI56" s="279"/>
      <c r="GNJ56" s="89"/>
      <c r="GNK56" s="5"/>
      <c r="GNL56" s="4"/>
      <c r="GNM56" s="279"/>
      <c r="GNN56" s="89"/>
      <c r="GNO56" s="5"/>
      <c r="GNP56" s="4"/>
      <c r="GNQ56" s="279"/>
      <c r="GNR56" s="89"/>
      <c r="GNS56" s="5"/>
      <c r="GNT56" s="4"/>
      <c r="GNU56" s="279"/>
      <c r="GNV56" s="89"/>
      <c r="GNW56" s="5"/>
      <c r="GNX56" s="4"/>
      <c r="GNY56" s="279"/>
      <c r="GNZ56" s="89"/>
      <c r="GOA56" s="5"/>
      <c r="GOB56" s="4"/>
      <c r="GOC56" s="279"/>
      <c r="GOD56" s="89"/>
      <c r="GOE56" s="5"/>
      <c r="GOF56" s="4"/>
      <c r="GOG56" s="279"/>
      <c r="GOH56" s="89"/>
      <c r="GOI56" s="5"/>
      <c r="GOJ56" s="4"/>
      <c r="GOK56" s="279"/>
      <c r="GOL56" s="89"/>
      <c r="GOM56" s="5"/>
      <c r="GON56" s="4"/>
      <c r="GOO56" s="279"/>
      <c r="GOP56" s="89"/>
      <c r="GOQ56" s="5"/>
      <c r="GOR56" s="4"/>
      <c r="GOS56" s="279"/>
      <c r="GOT56" s="89"/>
      <c r="GOU56" s="5"/>
      <c r="GOV56" s="4"/>
      <c r="GOW56" s="279"/>
      <c r="GOX56" s="89"/>
      <c r="GOY56" s="5"/>
      <c r="GOZ56" s="4"/>
      <c r="GPA56" s="279"/>
      <c r="GPB56" s="89"/>
      <c r="GPC56" s="5"/>
      <c r="GPD56" s="4"/>
      <c r="GPE56" s="279"/>
      <c r="GPF56" s="89"/>
      <c r="GPG56" s="5"/>
      <c r="GPH56" s="4"/>
      <c r="GPI56" s="279"/>
      <c r="GPJ56" s="89"/>
      <c r="GPK56" s="5"/>
      <c r="GPL56" s="4"/>
      <c r="GPM56" s="279"/>
      <c r="GPN56" s="89"/>
      <c r="GPO56" s="5"/>
      <c r="GPP56" s="4"/>
      <c r="GPQ56" s="279"/>
      <c r="GPR56" s="89"/>
      <c r="GPS56" s="5"/>
      <c r="GPT56" s="4"/>
      <c r="GPU56" s="279"/>
      <c r="GPV56" s="89"/>
      <c r="GPW56" s="5"/>
      <c r="GPX56" s="4"/>
      <c r="GPY56" s="279"/>
      <c r="GPZ56" s="89"/>
      <c r="GQA56" s="5"/>
      <c r="GQB56" s="4"/>
      <c r="GQC56" s="279"/>
      <c r="GQD56" s="89"/>
      <c r="GQE56" s="5"/>
      <c r="GQF56" s="4"/>
      <c r="GQG56" s="279"/>
      <c r="GQH56" s="89"/>
      <c r="GQI56" s="5"/>
      <c r="GQJ56" s="4"/>
      <c r="GQK56" s="279"/>
      <c r="GQL56" s="89"/>
      <c r="GQM56" s="5"/>
      <c r="GQN56" s="4"/>
      <c r="GQO56" s="279"/>
      <c r="GQP56" s="89"/>
      <c r="GQQ56" s="5"/>
      <c r="GQR56" s="4"/>
      <c r="GQS56" s="279"/>
      <c r="GQT56" s="89"/>
      <c r="GQU56" s="5"/>
      <c r="GQV56" s="4"/>
      <c r="GQW56" s="279"/>
      <c r="GQX56" s="89"/>
      <c r="GQY56" s="5"/>
      <c r="GQZ56" s="4"/>
      <c r="GRA56" s="279"/>
      <c r="GRB56" s="89"/>
      <c r="GRC56" s="5"/>
      <c r="GRD56" s="4"/>
      <c r="GRE56" s="279"/>
      <c r="GRF56" s="89"/>
      <c r="GRG56" s="5"/>
      <c r="GRH56" s="4"/>
      <c r="GRI56" s="279"/>
      <c r="GRJ56" s="89"/>
      <c r="GRK56" s="5"/>
      <c r="GRL56" s="4"/>
      <c r="GRM56" s="279"/>
      <c r="GRN56" s="89"/>
      <c r="GRO56" s="5"/>
      <c r="GRP56" s="4"/>
      <c r="GRQ56" s="279"/>
      <c r="GRR56" s="89"/>
      <c r="GRS56" s="5"/>
      <c r="GRT56" s="4"/>
      <c r="GRU56" s="279"/>
      <c r="GRV56" s="89"/>
      <c r="GRW56" s="5"/>
      <c r="GRX56" s="4"/>
      <c r="GRY56" s="279"/>
      <c r="GRZ56" s="89"/>
      <c r="GSA56" s="5"/>
      <c r="GSB56" s="4"/>
      <c r="GSC56" s="279"/>
      <c r="GSD56" s="89"/>
      <c r="GSE56" s="5"/>
      <c r="GSF56" s="4"/>
      <c r="GSG56" s="279"/>
      <c r="GSH56" s="89"/>
      <c r="GSI56" s="5"/>
      <c r="GSJ56" s="4"/>
      <c r="GSK56" s="279"/>
      <c r="GSL56" s="89"/>
      <c r="GSM56" s="5"/>
      <c r="GSN56" s="4"/>
      <c r="GSO56" s="279"/>
      <c r="GSP56" s="89"/>
      <c r="GSQ56" s="5"/>
      <c r="GSR56" s="4"/>
      <c r="GSS56" s="279"/>
      <c r="GST56" s="89"/>
      <c r="GSU56" s="5"/>
      <c r="GSV56" s="4"/>
      <c r="GSW56" s="279"/>
      <c r="GSX56" s="89"/>
      <c r="GSY56" s="5"/>
      <c r="GSZ56" s="4"/>
      <c r="GTA56" s="279"/>
      <c r="GTB56" s="89"/>
      <c r="GTC56" s="5"/>
      <c r="GTD56" s="4"/>
      <c r="GTE56" s="279"/>
      <c r="GTF56" s="89"/>
      <c r="GTG56" s="5"/>
      <c r="GTH56" s="4"/>
      <c r="GTI56" s="279"/>
      <c r="GTJ56" s="89"/>
      <c r="GTK56" s="5"/>
      <c r="GTL56" s="4"/>
      <c r="GTM56" s="279"/>
      <c r="GTN56" s="89"/>
      <c r="GTO56" s="5"/>
      <c r="GTP56" s="4"/>
      <c r="GTQ56" s="279"/>
      <c r="GTR56" s="89"/>
      <c r="GTS56" s="5"/>
      <c r="GTT56" s="4"/>
      <c r="GTU56" s="279"/>
      <c r="GTV56" s="89"/>
      <c r="GTW56" s="5"/>
      <c r="GTX56" s="4"/>
      <c r="GTY56" s="279"/>
      <c r="GTZ56" s="89"/>
      <c r="GUA56" s="5"/>
      <c r="GUB56" s="4"/>
      <c r="GUC56" s="279"/>
      <c r="GUD56" s="89"/>
      <c r="GUE56" s="5"/>
      <c r="GUF56" s="4"/>
      <c r="GUG56" s="279"/>
      <c r="GUH56" s="89"/>
      <c r="GUI56" s="5"/>
      <c r="GUJ56" s="4"/>
      <c r="GUK56" s="279"/>
      <c r="GUL56" s="89"/>
      <c r="GUM56" s="5"/>
      <c r="GUN56" s="4"/>
      <c r="GUO56" s="279"/>
      <c r="GUP56" s="89"/>
      <c r="GUQ56" s="5"/>
      <c r="GUR56" s="4"/>
      <c r="GUS56" s="279"/>
      <c r="GUT56" s="89"/>
      <c r="GUU56" s="5"/>
      <c r="GUV56" s="4"/>
      <c r="GUW56" s="279"/>
      <c r="GUX56" s="89"/>
      <c r="GUY56" s="5"/>
      <c r="GUZ56" s="4"/>
      <c r="GVA56" s="279"/>
      <c r="GVB56" s="89"/>
      <c r="GVC56" s="5"/>
      <c r="GVD56" s="4"/>
      <c r="GVE56" s="279"/>
      <c r="GVF56" s="89"/>
      <c r="GVG56" s="5"/>
      <c r="GVH56" s="4"/>
      <c r="GVI56" s="279"/>
      <c r="GVJ56" s="89"/>
      <c r="GVK56" s="5"/>
      <c r="GVL56" s="4"/>
      <c r="GVM56" s="279"/>
      <c r="GVN56" s="89"/>
      <c r="GVO56" s="5"/>
      <c r="GVP56" s="4"/>
      <c r="GVQ56" s="279"/>
      <c r="GVR56" s="89"/>
      <c r="GVS56" s="5"/>
      <c r="GVT56" s="4"/>
      <c r="GVU56" s="279"/>
      <c r="GVV56" s="89"/>
      <c r="GVW56" s="5"/>
      <c r="GVX56" s="4"/>
      <c r="GVY56" s="279"/>
      <c r="GVZ56" s="89"/>
      <c r="GWA56" s="5"/>
      <c r="GWB56" s="4"/>
      <c r="GWC56" s="279"/>
      <c r="GWD56" s="89"/>
      <c r="GWE56" s="5"/>
      <c r="GWF56" s="4"/>
      <c r="GWG56" s="279"/>
      <c r="GWH56" s="89"/>
      <c r="GWI56" s="5"/>
      <c r="GWJ56" s="4"/>
      <c r="GWK56" s="279"/>
      <c r="GWL56" s="89"/>
      <c r="GWM56" s="5"/>
      <c r="GWN56" s="4"/>
      <c r="GWO56" s="279"/>
      <c r="GWP56" s="89"/>
      <c r="GWQ56" s="5"/>
      <c r="GWR56" s="4"/>
      <c r="GWS56" s="279"/>
      <c r="GWT56" s="89"/>
      <c r="GWU56" s="5"/>
      <c r="GWV56" s="4"/>
      <c r="GWW56" s="279"/>
      <c r="GWX56" s="89"/>
      <c r="GWY56" s="5"/>
      <c r="GWZ56" s="4"/>
      <c r="GXA56" s="279"/>
      <c r="GXB56" s="89"/>
      <c r="GXC56" s="5"/>
      <c r="GXD56" s="4"/>
      <c r="GXE56" s="279"/>
      <c r="GXF56" s="89"/>
      <c r="GXG56" s="5"/>
      <c r="GXH56" s="4"/>
      <c r="GXI56" s="279"/>
      <c r="GXJ56" s="89"/>
      <c r="GXK56" s="5"/>
      <c r="GXL56" s="4"/>
      <c r="GXM56" s="279"/>
      <c r="GXN56" s="89"/>
      <c r="GXO56" s="5"/>
      <c r="GXP56" s="4"/>
      <c r="GXQ56" s="279"/>
      <c r="GXR56" s="89"/>
      <c r="GXS56" s="5"/>
      <c r="GXT56" s="4"/>
      <c r="GXU56" s="279"/>
      <c r="GXV56" s="89"/>
      <c r="GXW56" s="5"/>
      <c r="GXX56" s="4"/>
      <c r="GXY56" s="279"/>
      <c r="GXZ56" s="89"/>
      <c r="GYA56" s="5"/>
      <c r="GYB56" s="4"/>
      <c r="GYC56" s="279"/>
      <c r="GYD56" s="89"/>
      <c r="GYE56" s="5"/>
      <c r="GYF56" s="4"/>
      <c r="GYG56" s="279"/>
      <c r="GYH56" s="89"/>
      <c r="GYI56" s="5"/>
      <c r="GYJ56" s="4"/>
      <c r="GYK56" s="279"/>
      <c r="GYL56" s="89"/>
      <c r="GYM56" s="5"/>
      <c r="GYN56" s="4"/>
      <c r="GYO56" s="279"/>
      <c r="GYP56" s="89"/>
      <c r="GYQ56" s="5"/>
      <c r="GYR56" s="4"/>
      <c r="GYS56" s="279"/>
      <c r="GYT56" s="89"/>
      <c r="GYU56" s="5"/>
      <c r="GYV56" s="4"/>
      <c r="GYW56" s="279"/>
      <c r="GYX56" s="89"/>
      <c r="GYY56" s="5"/>
      <c r="GYZ56" s="4"/>
      <c r="GZA56" s="279"/>
      <c r="GZB56" s="89"/>
      <c r="GZC56" s="5"/>
      <c r="GZD56" s="4"/>
      <c r="GZE56" s="279"/>
      <c r="GZF56" s="89"/>
      <c r="GZG56" s="5"/>
      <c r="GZH56" s="4"/>
      <c r="GZI56" s="279"/>
      <c r="GZJ56" s="89"/>
      <c r="GZK56" s="5"/>
      <c r="GZL56" s="4"/>
      <c r="GZM56" s="279"/>
      <c r="GZN56" s="89"/>
      <c r="GZO56" s="5"/>
      <c r="GZP56" s="4"/>
      <c r="GZQ56" s="279"/>
      <c r="GZR56" s="89"/>
      <c r="GZS56" s="5"/>
      <c r="GZT56" s="4"/>
      <c r="GZU56" s="279"/>
      <c r="GZV56" s="89"/>
      <c r="GZW56" s="5"/>
      <c r="GZX56" s="4"/>
      <c r="GZY56" s="279"/>
      <c r="GZZ56" s="89"/>
      <c r="HAA56" s="5"/>
      <c r="HAB56" s="4"/>
      <c r="HAC56" s="279"/>
      <c r="HAD56" s="89"/>
      <c r="HAE56" s="5"/>
      <c r="HAF56" s="4"/>
      <c r="HAG56" s="279"/>
      <c r="HAH56" s="89"/>
      <c r="HAI56" s="5"/>
      <c r="HAJ56" s="4"/>
      <c r="HAK56" s="279"/>
      <c r="HAL56" s="89"/>
      <c r="HAM56" s="5"/>
      <c r="HAN56" s="4"/>
      <c r="HAO56" s="279"/>
      <c r="HAP56" s="89"/>
      <c r="HAQ56" s="5"/>
      <c r="HAR56" s="4"/>
      <c r="HAS56" s="279"/>
      <c r="HAT56" s="89"/>
      <c r="HAU56" s="5"/>
      <c r="HAV56" s="4"/>
      <c r="HAW56" s="279"/>
      <c r="HAX56" s="89"/>
      <c r="HAY56" s="5"/>
      <c r="HAZ56" s="4"/>
      <c r="HBA56" s="279"/>
      <c r="HBB56" s="89"/>
      <c r="HBC56" s="5"/>
      <c r="HBD56" s="4"/>
      <c r="HBE56" s="279"/>
      <c r="HBF56" s="89"/>
      <c r="HBG56" s="5"/>
      <c r="HBH56" s="4"/>
      <c r="HBI56" s="279"/>
      <c r="HBJ56" s="89"/>
      <c r="HBK56" s="5"/>
      <c r="HBL56" s="4"/>
      <c r="HBM56" s="279"/>
      <c r="HBN56" s="89"/>
      <c r="HBO56" s="5"/>
      <c r="HBP56" s="4"/>
      <c r="HBQ56" s="279"/>
      <c r="HBR56" s="89"/>
      <c r="HBS56" s="5"/>
      <c r="HBT56" s="4"/>
      <c r="HBU56" s="279"/>
      <c r="HBV56" s="89"/>
      <c r="HBW56" s="5"/>
      <c r="HBX56" s="4"/>
      <c r="HBY56" s="279"/>
      <c r="HBZ56" s="89"/>
      <c r="HCA56" s="5"/>
      <c r="HCB56" s="4"/>
      <c r="HCC56" s="279"/>
      <c r="HCD56" s="89"/>
      <c r="HCE56" s="5"/>
      <c r="HCF56" s="4"/>
      <c r="HCG56" s="279"/>
      <c r="HCH56" s="89"/>
      <c r="HCI56" s="5"/>
      <c r="HCJ56" s="4"/>
      <c r="HCK56" s="279"/>
      <c r="HCL56" s="89"/>
      <c r="HCM56" s="5"/>
      <c r="HCN56" s="4"/>
      <c r="HCO56" s="279"/>
      <c r="HCP56" s="89"/>
      <c r="HCQ56" s="5"/>
      <c r="HCR56" s="4"/>
      <c r="HCS56" s="279"/>
      <c r="HCT56" s="89"/>
      <c r="HCU56" s="5"/>
      <c r="HCV56" s="4"/>
      <c r="HCW56" s="279"/>
      <c r="HCX56" s="89"/>
      <c r="HCY56" s="5"/>
      <c r="HCZ56" s="4"/>
      <c r="HDA56" s="279"/>
      <c r="HDB56" s="89"/>
      <c r="HDC56" s="5"/>
      <c r="HDD56" s="4"/>
      <c r="HDE56" s="279"/>
      <c r="HDF56" s="89"/>
      <c r="HDG56" s="5"/>
      <c r="HDH56" s="4"/>
      <c r="HDI56" s="279"/>
      <c r="HDJ56" s="89"/>
      <c r="HDK56" s="5"/>
      <c r="HDL56" s="4"/>
      <c r="HDM56" s="279"/>
      <c r="HDN56" s="89"/>
      <c r="HDO56" s="5"/>
      <c r="HDP56" s="4"/>
      <c r="HDQ56" s="279"/>
      <c r="HDR56" s="89"/>
      <c r="HDS56" s="5"/>
      <c r="HDT56" s="4"/>
      <c r="HDU56" s="279"/>
      <c r="HDV56" s="89"/>
      <c r="HDW56" s="5"/>
      <c r="HDX56" s="4"/>
      <c r="HDY56" s="279"/>
      <c r="HDZ56" s="89"/>
      <c r="HEA56" s="5"/>
      <c r="HEB56" s="4"/>
      <c r="HEC56" s="279"/>
      <c r="HED56" s="89"/>
      <c r="HEE56" s="5"/>
      <c r="HEF56" s="4"/>
      <c r="HEG56" s="279"/>
      <c r="HEH56" s="89"/>
      <c r="HEI56" s="5"/>
      <c r="HEJ56" s="4"/>
      <c r="HEK56" s="279"/>
      <c r="HEL56" s="89"/>
      <c r="HEM56" s="5"/>
      <c r="HEN56" s="4"/>
      <c r="HEO56" s="279"/>
      <c r="HEP56" s="89"/>
      <c r="HEQ56" s="5"/>
      <c r="HER56" s="4"/>
      <c r="HES56" s="279"/>
      <c r="HET56" s="89"/>
      <c r="HEU56" s="5"/>
      <c r="HEV56" s="4"/>
      <c r="HEW56" s="279"/>
      <c r="HEX56" s="89"/>
      <c r="HEY56" s="5"/>
      <c r="HEZ56" s="4"/>
      <c r="HFA56" s="279"/>
      <c r="HFB56" s="89"/>
      <c r="HFC56" s="5"/>
      <c r="HFD56" s="4"/>
      <c r="HFE56" s="279"/>
      <c r="HFF56" s="89"/>
      <c r="HFG56" s="5"/>
      <c r="HFH56" s="4"/>
      <c r="HFI56" s="279"/>
      <c r="HFJ56" s="89"/>
      <c r="HFK56" s="5"/>
      <c r="HFL56" s="4"/>
      <c r="HFM56" s="279"/>
      <c r="HFN56" s="89"/>
      <c r="HFO56" s="5"/>
      <c r="HFP56" s="4"/>
      <c r="HFQ56" s="279"/>
      <c r="HFR56" s="89"/>
      <c r="HFS56" s="5"/>
      <c r="HFT56" s="4"/>
      <c r="HFU56" s="279"/>
      <c r="HFV56" s="89"/>
      <c r="HFW56" s="5"/>
      <c r="HFX56" s="4"/>
      <c r="HFY56" s="279"/>
      <c r="HFZ56" s="89"/>
      <c r="HGA56" s="5"/>
      <c r="HGB56" s="4"/>
      <c r="HGC56" s="279"/>
      <c r="HGD56" s="89"/>
      <c r="HGE56" s="5"/>
      <c r="HGF56" s="4"/>
      <c r="HGG56" s="279"/>
      <c r="HGH56" s="89"/>
      <c r="HGI56" s="5"/>
      <c r="HGJ56" s="4"/>
      <c r="HGK56" s="279"/>
      <c r="HGL56" s="89"/>
      <c r="HGM56" s="5"/>
      <c r="HGN56" s="4"/>
      <c r="HGO56" s="279"/>
      <c r="HGP56" s="89"/>
      <c r="HGQ56" s="5"/>
      <c r="HGR56" s="4"/>
      <c r="HGS56" s="279"/>
      <c r="HGT56" s="89"/>
      <c r="HGU56" s="5"/>
      <c r="HGV56" s="4"/>
      <c r="HGW56" s="279"/>
      <c r="HGX56" s="89"/>
      <c r="HGY56" s="5"/>
      <c r="HGZ56" s="4"/>
      <c r="HHA56" s="279"/>
      <c r="HHB56" s="89"/>
      <c r="HHC56" s="5"/>
      <c r="HHD56" s="4"/>
      <c r="HHE56" s="279"/>
      <c r="HHF56" s="89"/>
      <c r="HHG56" s="5"/>
      <c r="HHH56" s="4"/>
      <c r="HHI56" s="279"/>
      <c r="HHJ56" s="89"/>
      <c r="HHK56" s="5"/>
      <c r="HHL56" s="4"/>
      <c r="HHM56" s="279"/>
      <c r="HHN56" s="89"/>
      <c r="HHO56" s="5"/>
      <c r="HHP56" s="4"/>
      <c r="HHQ56" s="279"/>
      <c r="HHR56" s="89"/>
      <c r="HHS56" s="5"/>
      <c r="HHT56" s="4"/>
      <c r="HHU56" s="279"/>
      <c r="HHV56" s="89"/>
      <c r="HHW56" s="5"/>
      <c r="HHX56" s="4"/>
      <c r="HHY56" s="279"/>
      <c r="HHZ56" s="89"/>
      <c r="HIA56" s="5"/>
      <c r="HIB56" s="4"/>
      <c r="HIC56" s="279"/>
      <c r="HID56" s="89"/>
      <c r="HIE56" s="5"/>
      <c r="HIF56" s="4"/>
      <c r="HIG56" s="279"/>
      <c r="HIH56" s="89"/>
      <c r="HII56" s="5"/>
      <c r="HIJ56" s="4"/>
      <c r="HIK56" s="279"/>
      <c r="HIL56" s="89"/>
      <c r="HIM56" s="5"/>
      <c r="HIN56" s="4"/>
      <c r="HIO56" s="279"/>
      <c r="HIP56" s="89"/>
      <c r="HIQ56" s="5"/>
      <c r="HIR56" s="4"/>
      <c r="HIS56" s="279"/>
      <c r="HIT56" s="89"/>
      <c r="HIU56" s="5"/>
      <c r="HIV56" s="4"/>
      <c r="HIW56" s="279"/>
      <c r="HIX56" s="89"/>
      <c r="HIY56" s="5"/>
      <c r="HIZ56" s="4"/>
      <c r="HJA56" s="279"/>
      <c r="HJB56" s="89"/>
      <c r="HJC56" s="5"/>
      <c r="HJD56" s="4"/>
      <c r="HJE56" s="279"/>
      <c r="HJF56" s="89"/>
      <c r="HJG56" s="5"/>
      <c r="HJH56" s="4"/>
      <c r="HJI56" s="279"/>
      <c r="HJJ56" s="89"/>
      <c r="HJK56" s="5"/>
      <c r="HJL56" s="4"/>
      <c r="HJM56" s="279"/>
      <c r="HJN56" s="89"/>
      <c r="HJO56" s="5"/>
      <c r="HJP56" s="4"/>
      <c r="HJQ56" s="279"/>
      <c r="HJR56" s="89"/>
      <c r="HJS56" s="5"/>
      <c r="HJT56" s="4"/>
      <c r="HJU56" s="279"/>
      <c r="HJV56" s="89"/>
      <c r="HJW56" s="5"/>
      <c r="HJX56" s="4"/>
      <c r="HJY56" s="279"/>
      <c r="HJZ56" s="89"/>
      <c r="HKA56" s="5"/>
      <c r="HKB56" s="4"/>
      <c r="HKC56" s="279"/>
      <c r="HKD56" s="89"/>
      <c r="HKE56" s="5"/>
      <c r="HKF56" s="4"/>
      <c r="HKG56" s="279"/>
      <c r="HKH56" s="89"/>
      <c r="HKI56" s="5"/>
      <c r="HKJ56" s="4"/>
      <c r="HKK56" s="279"/>
      <c r="HKL56" s="89"/>
      <c r="HKM56" s="5"/>
      <c r="HKN56" s="4"/>
      <c r="HKO56" s="279"/>
      <c r="HKP56" s="89"/>
      <c r="HKQ56" s="5"/>
      <c r="HKR56" s="4"/>
      <c r="HKS56" s="279"/>
      <c r="HKT56" s="89"/>
      <c r="HKU56" s="5"/>
      <c r="HKV56" s="4"/>
      <c r="HKW56" s="279"/>
      <c r="HKX56" s="89"/>
      <c r="HKY56" s="5"/>
      <c r="HKZ56" s="4"/>
      <c r="HLA56" s="279"/>
      <c r="HLB56" s="89"/>
      <c r="HLC56" s="5"/>
      <c r="HLD56" s="4"/>
      <c r="HLE56" s="279"/>
      <c r="HLF56" s="89"/>
      <c r="HLG56" s="5"/>
      <c r="HLH56" s="4"/>
      <c r="HLI56" s="279"/>
      <c r="HLJ56" s="89"/>
      <c r="HLK56" s="5"/>
      <c r="HLL56" s="4"/>
      <c r="HLM56" s="279"/>
      <c r="HLN56" s="89"/>
      <c r="HLO56" s="5"/>
      <c r="HLP56" s="4"/>
      <c r="HLQ56" s="279"/>
      <c r="HLR56" s="89"/>
      <c r="HLS56" s="5"/>
      <c r="HLT56" s="4"/>
      <c r="HLU56" s="279"/>
      <c r="HLV56" s="89"/>
      <c r="HLW56" s="5"/>
      <c r="HLX56" s="4"/>
      <c r="HLY56" s="279"/>
      <c r="HLZ56" s="89"/>
      <c r="HMA56" s="5"/>
      <c r="HMB56" s="4"/>
      <c r="HMC56" s="279"/>
      <c r="HMD56" s="89"/>
      <c r="HME56" s="5"/>
      <c r="HMF56" s="4"/>
      <c r="HMG56" s="279"/>
      <c r="HMH56" s="89"/>
      <c r="HMI56" s="5"/>
      <c r="HMJ56" s="4"/>
      <c r="HMK56" s="279"/>
      <c r="HML56" s="89"/>
      <c r="HMM56" s="5"/>
      <c r="HMN56" s="4"/>
      <c r="HMO56" s="279"/>
      <c r="HMP56" s="89"/>
      <c r="HMQ56" s="5"/>
      <c r="HMR56" s="4"/>
      <c r="HMS56" s="279"/>
      <c r="HMT56" s="89"/>
      <c r="HMU56" s="5"/>
      <c r="HMV56" s="4"/>
      <c r="HMW56" s="279"/>
      <c r="HMX56" s="89"/>
      <c r="HMY56" s="5"/>
      <c r="HMZ56" s="4"/>
      <c r="HNA56" s="279"/>
      <c r="HNB56" s="89"/>
      <c r="HNC56" s="5"/>
      <c r="HND56" s="4"/>
      <c r="HNE56" s="279"/>
      <c r="HNF56" s="89"/>
      <c r="HNG56" s="5"/>
      <c r="HNH56" s="4"/>
      <c r="HNI56" s="279"/>
      <c r="HNJ56" s="89"/>
      <c r="HNK56" s="5"/>
      <c r="HNL56" s="4"/>
      <c r="HNM56" s="279"/>
      <c r="HNN56" s="89"/>
      <c r="HNO56" s="5"/>
      <c r="HNP56" s="4"/>
      <c r="HNQ56" s="279"/>
      <c r="HNR56" s="89"/>
      <c r="HNS56" s="5"/>
      <c r="HNT56" s="4"/>
      <c r="HNU56" s="279"/>
      <c r="HNV56" s="89"/>
      <c r="HNW56" s="5"/>
      <c r="HNX56" s="4"/>
      <c r="HNY56" s="279"/>
      <c r="HNZ56" s="89"/>
      <c r="HOA56" s="5"/>
      <c r="HOB56" s="4"/>
      <c r="HOC56" s="279"/>
      <c r="HOD56" s="89"/>
      <c r="HOE56" s="5"/>
      <c r="HOF56" s="4"/>
      <c r="HOG56" s="279"/>
      <c r="HOH56" s="89"/>
      <c r="HOI56" s="5"/>
      <c r="HOJ56" s="4"/>
      <c r="HOK56" s="279"/>
      <c r="HOL56" s="89"/>
      <c r="HOM56" s="5"/>
      <c r="HON56" s="4"/>
      <c r="HOO56" s="279"/>
      <c r="HOP56" s="89"/>
      <c r="HOQ56" s="5"/>
      <c r="HOR56" s="4"/>
      <c r="HOS56" s="279"/>
      <c r="HOT56" s="89"/>
      <c r="HOU56" s="5"/>
      <c r="HOV56" s="4"/>
      <c r="HOW56" s="279"/>
      <c r="HOX56" s="89"/>
      <c r="HOY56" s="5"/>
      <c r="HOZ56" s="4"/>
      <c r="HPA56" s="279"/>
      <c r="HPB56" s="89"/>
      <c r="HPC56" s="5"/>
      <c r="HPD56" s="4"/>
      <c r="HPE56" s="279"/>
      <c r="HPF56" s="89"/>
      <c r="HPG56" s="5"/>
      <c r="HPH56" s="4"/>
      <c r="HPI56" s="279"/>
      <c r="HPJ56" s="89"/>
      <c r="HPK56" s="5"/>
      <c r="HPL56" s="4"/>
      <c r="HPM56" s="279"/>
      <c r="HPN56" s="89"/>
      <c r="HPO56" s="5"/>
      <c r="HPP56" s="4"/>
      <c r="HPQ56" s="279"/>
      <c r="HPR56" s="89"/>
      <c r="HPS56" s="5"/>
      <c r="HPT56" s="4"/>
      <c r="HPU56" s="279"/>
      <c r="HPV56" s="89"/>
      <c r="HPW56" s="5"/>
      <c r="HPX56" s="4"/>
      <c r="HPY56" s="279"/>
      <c r="HPZ56" s="89"/>
      <c r="HQA56" s="5"/>
      <c r="HQB56" s="4"/>
      <c r="HQC56" s="279"/>
      <c r="HQD56" s="89"/>
      <c r="HQE56" s="5"/>
      <c r="HQF56" s="4"/>
      <c r="HQG56" s="279"/>
      <c r="HQH56" s="89"/>
      <c r="HQI56" s="5"/>
      <c r="HQJ56" s="4"/>
      <c r="HQK56" s="279"/>
      <c r="HQL56" s="89"/>
      <c r="HQM56" s="5"/>
      <c r="HQN56" s="4"/>
      <c r="HQO56" s="279"/>
      <c r="HQP56" s="89"/>
      <c r="HQQ56" s="5"/>
      <c r="HQR56" s="4"/>
      <c r="HQS56" s="279"/>
      <c r="HQT56" s="89"/>
      <c r="HQU56" s="5"/>
      <c r="HQV56" s="4"/>
      <c r="HQW56" s="279"/>
      <c r="HQX56" s="89"/>
      <c r="HQY56" s="5"/>
      <c r="HQZ56" s="4"/>
      <c r="HRA56" s="279"/>
      <c r="HRB56" s="89"/>
      <c r="HRC56" s="5"/>
      <c r="HRD56" s="4"/>
      <c r="HRE56" s="279"/>
      <c r="HRF56" s="89"/>
      <c r="HRG56" s="5"/>
      <c r="HRH56" s="4"/>
      <c r="HRI56" s="279"/>
      <c r="HRJ56" s="89"/>
      <c r="HRK56" s="5"/>
      <c r="HRL56" s="4"/>
      <c r="HRM56" s="279"/>
      <c r="HRN56" s="89"/>
      <c r="HRO56" s="5"/>
      <c r="HRP56" s="4"/>
      <c r="HRQ56" s="279"/>
      <c r="HRR56" s="89"/>
      <c r="HRS56" s="5"/>
      <c r="HRT56" s="4"/>
      <c r="HRU56" s="279"/>
      <c r="HRV56" s="89"/>
      <c r="HRW56" s="5"/>
      <c r="HRX56" s="4"/>
      <c r="HRY56" s="279"/>
      <c r="HRZ56" s="89"/>
      <c r="HSA56" s="5"/>
      <c r="HSB56" s="4"/>
      <c r="HSC56" s="279"/>
      <c r="HSD56" s="89"/>
      <c r="HSE56" s="5"/>
      <c r="HSF56" s="4"/>
      <c r="HSG56" s="279"/>
      <c r="HSH56" s="89"/>
      <c r="HSI56" s="5"/>
      <c r="HSJ56" s="4"/>
      <c r="HSK56" s="279"/>
      <c r="HSL56" s="89"/>
      <c r="HSM56" s="5"/>
      <c r="HSN56" s="4"/>
      <c r="HSO56" s="279"/>
      <c r="HSP56" s="89"/>
      <c r="HSQ56" s="5"/>
      <c r="HSR56" s="4"/>
      <c r="HSS56" s="279"/>
      <c r="HST56" s="89"/>
      <c r="HSU56" s="5"/>
      <c r="HSV56" s="4"/>
      <c r="HSW56" s="279"/>
      <c r="HSX56" s="89"/>
      <c r="HSY56" s="5"/>
      <c r="HSZ56" s="4"/>
      <c r="HTA56" s="279"/>
      <c r="HTB56" s="89"/>
      <c r="HTC56" s="5"/>
      <c r="HTD56" s="4"/>
      <c r="HTE56" s="279"/>
      <c r="HTF56" s="89"/>
      <c r="HTG56" s="5"/>
      <c r="HTH56" s="4"/>
      <c r="HTI56" s="279"/>
      <c r="HTJ56" s="89"/>
      <c r="HTK56" s="5"/>
      <c r="HTL56" s="4"/>
      <c r="HTM56" s="279"/>
      <c r="HTN56" s="89"/>
      <c r="HTO56" s="5"/>
      <c r="HTP56" s="4"/>
      <c r="HTQ56" s="279"/>
      <c r="HTR56" s="89"/>
      <c r="HTS56" s="5"/>
      <c r="HTT56" s="4"/>
      <c r="HTU56" s="279"/>
      <c r="HTV56" s="89"/>
      <c r="HTW56" s="5"/>
      <c r="HTX56" s="4"/>
      <c r="HTY56" s="279"/>
      <c r="HTZ56" s="89"/>
      <c r="HUA56" s="5"/>
      <c r="HUB56" s="4"/>
      <c r="HUC56" s="279"/>
      <c r="HUD56" s="89"/>
      <c r="HUE56" s="5"/>
      <c r="HUF56" s="4"/>
      <c r="HUG56" s="279"/>
      <c r="HUH56" s="89"/>
      <c r="HUI56" s="5"/>
      <c r="HUJ56" s="4"/>
      <c r="HUK56" s="279"/>
      <c r="HUL56" s="89"/>
      <c r="HUM56" s="5"/>
      <c r="HUN56" s="4"/>
      <c r="HUO56" s="279"/>
      <c r="HUP56" s="89"/>
      <c r="HUQ56" s="5"/>
      <c r="HUR56" s="4"/>
      <c r="HUS56" s="279"/>
      <c r="HUT56" s="89"/>
      <c r="HUU56" s="5"/>
      <c r="HUV56" s="4"/>
      <c r="HUW56" s="279"/>
      <c r="HUX56" s="89"/>
      <c r="HUY56" s="5"/>
      <c r="HUZ56" s="4"/>
      <c r="HVA56" s="279"/>
      <c r="HVB56" s="89"/>
      <c r="HVC56" s="5"/>
      <c r="HVD56" s="4"/>
      <c r="HVE56" s="279"/>
      <c r="HVF56" s="89"/>
      <c r="HVG56" s="5"/>
      <c r="HVH56" s="4"/>
      <c r="HVI56" s="279"/>
      <c r="HVJ56" s="89"/>
      <c r="HVK56" s="5"/>
      <c r="HVL56" s="4"/>
      <c r="HVM56" s="279"/>
      <c r="HVN56" s="89"/>
      <c r="HVO56" s="5"/>
      <c r="HVP56" s="4"/>
      <c r="HVQ56" s="279"/>
      <c r="HVR56" s="89"/>
      <c r="HVS56" s="5"/>
      <c r="HVT56" s="4"/>
      <c r="HVU56" s="279"/>
      <c r="HVV56" s="89"/>
      <c r="HVW56" s="5"/>
      <c r="HVX56" s="4"/>
      <c r="HVY56" s="279"/>
      <c r="HVZ56" s="89"/>
      <c r="HWA56" s="5"/>
      <c r="HWB56" s="4"/>
      <c r="HWC56" s="279"/>
      <c r="HWD56" s="89"/>
      <c r="HWE56" s="5"/>
      <c r="HWF56" s="4"/>
      <c r="HWG56" s="279"/>
      <c r="HWH56" s="89"/>
      <c r="HWI56" s="5"/>
      <c r="HWJ56" s="4"/>
      <c r="HWK56" s="279"/>
      <c r="HWL56" s="89"/>
      <c r="HWM56" s="5"/>
      <c r="HWN56" s="4"/>
      <c r="HWO56" s="279"/>
      <c r="HWP56" s="89"/>
      <c r="HWQ56" s="5"/>
      <c r="HWR56" s="4"/>
      <c r="HWS56" s="279"/>
      <c r="HWT56" s="89"/>
      <c r="HWU56" s="5"/>
      <c r="HWV56" s="4"/>
      <c r="HWW56" s="279"/>
      <c r="HWX56" s="89"/>
      <c r="HWY56" s="5"/>
      <c r="HWZ56" s="4"/>
      <c r="HXA56" s="279"/>
      <c r="HXB56" s="89"/>
      <c r="HXC56" s="5"/>
      <c r="HXD56" s="4"/>
      <c r="HXE56" s="279"/>
      <c r="HXF56" s="89"/>
      <c r="HXG56" s="5"/>
      <c r="HXH56" s="4"/>
      <c r="HXI56" s="279"/>
      <c r="HXJ56" s="89"/>
      <c r="HXK56" s="5"/>
      <c r="HXL56" s="4"/>
      <c r="HXM56" s="279"/>
      <c r="HXN56" s="89"/>
      <c r="HXO56" s="5"/>
      <c r="HXP56" s="4"/>
      <c r="HXQ56" s="279"/>
      <c r="HXR56" s="89"/>
      <c r="HXS56" s="5"/>
      <c r="HXT56" s="4"/>
      <c r="HXU56" s="279"/>
      <c r="HXV56" s="89"/>
      <c r="HXW56" s="5"/>
      <c r="HXX56" s="4"/>
      <c r="HXY56" s="279"/>
      <c r="HXZ56" s="89"/>
      <c r="HYA56" s="5"/>
      <c r="HYB56" s="4"/>
      <c r="HYC56" s="279"/>
      <c r="HYD56" s="89"/>
      <c r="HYE56" s="5"/>
      <c r="HYF56" s="4"/>
      <c r="HYG56" s="279"/>
      <c r="HYH56" s="89"/>
      <c r="HYI56" s="5"/>
      <c r="HYJ56" s="4"/>
      <c r="HYK56" s="279"/>
      <c r="HYL56" s="89"/>
      <c r="HYM56" s="5"/>
      <c r="HYN56" s="4"/>
      <c r="HYO56" s="279"/>
      <c r="HYP56" s="89"/>
      <c r="HYQ56" s="5"/>
      <c r="HYR56" s="4"/>
      <c r="HYS56" s="279"/>
      <c r="HYT56" s="89"/>
      <c r="HYU56" s="5"/>
      <c r="HYV56" s="4"/>
      <c r="HYW56" s="279"/>
      <c r="HYX56" s="89"/>
      <c r="HYY56" s="5"/>
      <c r="HYZ56" s="4"/>
      <c r="HZA56" s="279"/>
      <c r="HZB56" s="89"/>
      <c r="HZC56" s="5"/>
      <c r="HZD56" s="4"/>
      <c r="HZE56" s="279"/>
      <c r="HZF56" s="89"/>
      <c r="HZG56" s="5"/>
      <c r="HZH56" s="4"/>
      <c r="HZI56" s="279"/>
      <c r="HZJ56" s="89"/>
      <c r="HZK56" s="5"/>
      <c r="HZL56" s="4"/>
      <c r="HZM56" s="279"/>
      <c r="HZN56" s="89"/>
      <c r="HZO56" s="5"/>
      <c r="HZP56" s="4"/>
      <c r="HZQ56" s="279"/>
      <c r="HZR56" s="89"/>
      <c r="HZS56" s="5"/>
      <c r="HZT56" s="4"/>
      <c r="HZU56" s="279"/>
      <c r="HZV56" s="89"/>
      <c r="HZW56" s="5"/>
      <c r="HZX56" s="4"/>
      <c r="HZY56" s="279"/>
      <c r="HZZ56" s="89"/>
      <c r="IAA56" s="5"/>
      <c r="IAB56" s="4"/>
      <c r="IAC56" s="279"/>
      <c r="IAD56" s="89"/>
      <c r="IAE56" s="5"/>
      <c r="IAF56" s="4"/>
      <c r="IAG56" s="279"/>
      <c r="IAH56" s="89"/>
      <c r="IAI56" s="5"/>
      <c r="IAJ56" s="4"/>
      <c r="IAK56" s="279"/>
      <c r="IAL56" s="89"/>
      <c r="IAM56" s="5"/>
      <c r="IAN56" s="4"/>
      <c r="IAO56" s="279"/>
      <c r="IAP56" s="89"/>
      <c r="IAQ56" s="5"/>
      <c r="IAR56" s="4"/>
      <c r="IAS56" s="279"/>
      <c r="IAT56" s="89"/>
      <c r="IAU56" s="5"/>
      <c r="IAV56" s="4"/>
      <c r="IAW56" s="279"/>
      <c r="IAX56" s="89"/>
      <c r="IAY56" s="5"/>
      <c r="IAZ56" s="4"/>
      <c r="IBA56" s="279"/>
      <c r="IBB56" s="89"/>
      <c r="IBC56" s="5"/>
      <c r="IBD56" s="4"/>
      <c r="IBE56" s="279"/>
      <c r="IBF56" s="89"/>
      <c r="IBG56" s="5"/>
      <c r="IBH56" s="4"/>
      <c r="IBI56" s="279"/>
      <c r="IBJ56" s="89"/>
      <c r="IBK56" s="5"/>
      <c r="IBL56" s="4"/>
      <c r="IBM56" s="279"/>
      <c r="IBN56" s="89"/>
      <c r="IBO56" s="5"/>
      <c r="IBP56" s="4"/>
      <c r="IBQ56" s="279"/>
      <c r="IBR56" s="89"/>
      <c r="IBS56" s="5"/>
      <c r="IBT56" s="4"/>
      <c r="IBU56" s="279"/>
      <c r="IBV56" s="89"/>
      <c r="IBW56" s="5"/>
      <c r="IBX56" s="4"/>
      <c r="IBY56" s="279"/>
      <c r="IBZ56" s="89"/>
      <c r="ICA56" s="5"/>
      <c r="ICB56" s="4"/>
      <c r="ICC56" s="279"/>
      <c r="ICD56" s="89"/>
      <c r="ICE56" s="5"/>
      <c r="ICF56" s="4"/>
      <c r="ICG56" s="279"/>
      <c r="ICH56" s="89"/>
      <c r="ICI56" s="5"/>
      <c r="ICJ56" s="4"/>
      <c r="ICK56" s="279"/>
      <c r="ICL56" s="89"/>
      <c r="ICM56" s="5"/>
      <c r="ICN56" s="4"/>
      <c r="ICO56" s="279"/>
      <c r="ICP56" s="89"/>
      <c r="ICQ56" s="5"/>
      <c r="ICR56" s="4"/>
      <c r="ICS56" s="279"/>
      <c r="ICT56" s="89"/>
      <c r="ICU56" s="5"/>
      <c r="ICV56" s="4"/>
      <c r="ICW56" s="279"/>
      <c r="ICX56" s="89"/>
      <c r="ICY56" s="5"/>
      <c r="ICZ56" s="4"/>
      <c r="IDA56" s="279"/>
      <c r="IDB56" s="89"/>
      <c r="IDC56" s="5"/>
      <c r="IDD56" s="4"/>
      <c r="IDE56" s="279"/>
      <c r="IDF56" s="89"/>
      <c r="IDG56" s="5"/>
      <c r="IDH56" s="4"/>
      <c r="IDI56" s="279"/>
      <c r="IDJ56" s="89"/>
      <c r="IDK56" s="5"/>
      <c r="IDL56" s="4"/>
      <c r="IDM56" s="279"/>
      <c r="IDN56" s="89"/>
      <c r="IDO56" s="5"/>
      <c r="IDP56" s="4"/>
      <c r="IDQ56" s="279"/>
      <c r="IDR56" s="89"/>
      <c r="IDS56" s="5"/>
      <c r="IDT56" s="4"/>
      <c r="IDU56" s="279"/>
      <c r="IDV56" s="89"/>
      <c r="IDW56" s="5"/>
      <c r="IDX56" s="4"/>
      <c r="IDY56" s="279"/>
      <c r="IDZ56" s="89"/>
      <c r="IEA56" s="5"/>
      <c r="IEB56" s="4"/>
      <c r="IEC56" s="279"/>
      <c r="IED56" s="89"/>
      <c r="IEE56" s="5"/>
      <c r="IEF56" s="4"/>
      <c r="IEG56" s="279"/>
      <c r="IEH56" s="89"/>
      <c r="IEI56" s="5"/>
      <c r="IEJ56" s="4"/>
      <c r="IEK56" s="279"/>
      <c r="IEL56" s="89"/>
      <c r="IEM56" s="5"/>
      <c r="IEN56" s="4"/>
      <c r="IEO56" s="279"/>
      <c r="IEP56" s="89"/>
      <c r="IEQ56" s="5"/>
      <c r="IER56" s="4"/>
      <c r="IES56" s="279"/>
      <c r="IET56" s="89"/>
      <c r="IEU56" s="5"/>
      <c r="IEV56" s="4"/>
      <c r="IEW56" s="279"/>
      <c r="IEX56" s="89"/>
      <c r="IEY56" s="5"/>
      <c r="IEZ56" s="4"/>
      <c r="IFA56" s="279"/>
      <c r="IFB56" s="89"/>
      <c r="IFC56" s="5"/>
      <c r="IFD56" s="4"/>
      <c r="IFE56" s="279"/>
      <c r="IFF56" s="89"/>
      <c r="IFG56" s="5"/>
      <c r="IFH56" s="4"/>
      <c r="IFI56" s="279"/>
      <c r="IFJ56" s="89"/>
      <c r="IFK56" s="5"/>
      <c r="IFL56" s="4"/>
      <c r="IFM56" s="279"/>
      <c r="IFN56" s="89"/>
      <c r="IFO56" s="5"/>
      <c r="IFP56" s="4"/>
      <c r="IFQ56" s="279"/>
      <c r="IFR56" s="89"/>
      <c r="IFS56" s="5"/>
      <c r="IFT56" s="4"/>
      <c r="IFU56" s="279"/>
      <c r="IFV56" s="89"/>
      <c r="IFW56" s="5"/>
      <c r="IFX56" s="4"/>
      <c r="IFY56" s="279"/>
      <c r="IFZ56" s="89"/>
      <c r="IGA56" s="5"/>
      <c r="IGB56" s="4"/>
      <c r="IGC56" s="279"/>
      <c r="IGD56" s="89"/>
      <c r="IGE56" s="5"/>
      <c r="IGF56" s="4"/>
      <c r="IGG56" s="279"/>
      <c r="IGH56" s="89"/>
      <c r="IGI56" s="5"/>
      <c r="IGJ56" s="4"/>
      <c r="IGK56" s="279"/>
      <c r="IGL56" s="89"/>
      <c r="IGM56" s="5"/>
      <c r="IGN56" s="4"/>
      <c r="IGO56" s="279"/>
      <c r="IGP56" s="89"/>
      <c r="IGQ56" s="5"/>
      <c r="IGR56" s="4"/>
      <c r="IGS56" s="279"/>
      <c r="IGT56" s="89"/>
      <c r="IGU56" s="5"/>
      <c r="IGV56" s="4"/>
      <c r="IGW56" s="279"/>
      <c r="IGX56" s="89"/>
      <c r="IGY56" s="5"/>
      <c r="IGZ56" s="4"/>
      <c r="IHA56" s="279"/>
      <c r="IHB56" s="89"/>
      <c r="IHC56" s="5"/>
      <c r="IHD56" s="4"/>
      <c r="IHE56" s="279"/>
      <c r="IHF56" s="89"/>
      <c r="IHG56" s="5"/>
      <c r="IHH56" s="4"/>
      <c r="IHI56" s="279"/>
      <c r="IHJ56" s="89"/>
      <c r="IHK56" s="5"/>
      <c r="IHL56" s="4"/>
      <c r="IHM56" s="279"/>
      <c r="IHN56" s="89"/>
      <c r="IHO56" s="5"/>
      <c r="IHP56" s="4"/>
      <c r="IHQ56" s="279"/>
      <c r="IHR56" s="89"/>
      <c r="IHS56" s="5"/>
      <c r="IHT56" s="4"/>
      <c r="IHU56" s="279"/>
      <c r="IHV56" s="89"/>
      <c r="IHW56" s="5"/>
      <c r="IHX56" s="4"/>
      <c r="IHY56" s="279"/>
      <c r="IHZ56" s="89"/>
      <c r="IIA56" s="5"/>
      <c r="IIB56" s="4"/>
      <c r="IIC56" s="279"/>
      <c r="IID56" s="89"/>
      <c r="IIE56" s="5"/>
      <c r="IIF56" s="4"/>
      <c r="IIG56" s="279"/>
      <c r="IIH56" s="89"/>
      <c r="III56" s="5"/>
      <c r="IIJ56" s="4"/>
      <c r="IIK56" s="279"/>
      <c r="IIL56" s="89"/>
      <c r="IIM56" s="5"/>
      <c r="IIN56" s="4"/>
      <c r="IIO56" s="279"/>
      <c r="IIP56" s="89"/>
      <c r="IIQ56" s="5"/>
      <c r="IIR56" s="4"/>
      <c r="IIS56" s="279"/>
      <c r="IIT56" s="89"/>
      <c r="IIU56" s="5"/>
      <c r="IIV56" s="4"/>
      <c r="IIW56" s="279"/>
      <c r="IIX56" s="89"/>
      <c r="IIY56" s="5"/>
      <c r="IIZ56" s="4"/>
      <c r="IJA56" s="279"/>
      <c r="IJB56" s="89"/>
      <c r="IJC56" s="5"/>
      <c r="IJD56" s="4"/>
      <c r="IJE56" s="279"/>
      <c r="IJF56" s="89"/>
      <c r="IJG56" s="5"/>
      <c r="IJH56" s="4"/>
      <c r="IJI56" s="279"/>
      <c r="IJJ56" s="89"/>
      <c r="IJK56" s="5"/>
      <c r="IJL56" s="4"/>
      <c r="IJM56" s="279"/>
      <c r="IJN56" s="89"/>
      <c r="IJO56" s="5"/>
      <c r="IJP56" s="4"/>
      <c r="IJQ56" s="279"/>
      <c r="IJR56" s="89"/>
      <c r="IJS56" s="5"/>
      <c r="IJT56" s="4"/>
      <c r="IJU56" s="279"/>
      <c r="IJV56" s="89"/>
      <c r="IJW56" s="5"/>
      <c r="IJX56" s="4"/>
      <c r="IJY56" s="279"/>
      <c r="IJZ56" s="89"/>
      <c r="IKA56" s="5"/>
      <c r="IKB56" s="4"/>
      <c r="IKC56" s="279"/>
      <c r="IKD56" s="89"/>
      <c r="IKE56" s="5"/>
      <c r="IKF56" s="4"/>
      <c r="IKG56" s="279"/>
      <c r="IKH56" s="89"/>
      <c r="IKI56" s="5"/>
      <c r="IKJ56" s="4"/>
      <c r="IKK56" s="279"/>
      <c r="IKL56" s="89"/>
      <c r="IKM56" s="5"/>
      <c r="IKN56" s="4"/>
      <c r="IKO56" s="279"/>
      <c r="IKP56" s="89"/>
      <c r="IKQ56" s="5"/>
      <c r="IKR56" s="4"/>
      <c r="IKS56" s="279"/>
      <c r="IKT56" s="89"/>
      <c r="IKU56" s="5"/>
      <c r="IKV56" s="4"/>
      <c r="IKW56" s="279"/>
      <c r="IKX56" s="89"/>
      <c r="IKY56" s="5"/>
      <c r="IKZ56" s="4"/>
      <c r="ILA56" s="279"/>
      <c r="ILB56" s="89"/>
      <c r="ILC56" s="5"/>
      <c r="ILD56" s="4"/>
      <c r="ILE56" s="279"/>
      <c r="ILF56" s="89"/>
      <c r="ILG56" s="5"/>
      <c r="ILH56" s="4"/>
      <c r="ILI56" s="279"/>
      <c r="ILJ56" s="89"/>
      <c r="ILK56" s="5"/>
      <c r="ILL56" s="4"/>
      <c r="ILM56" s="279"/>
      <c r="ILN56" s="89"/>
      <c r="ILO56" s="5"/>
      <c r="ILP56" s="4"/>
      <c r="ILQ56" s="279"/>
      <c r="ILR56" s="89"/>
      <c r="ILS56" s="5"/>
      <c r="ILT56" s="4"/>
      <c r="ILU56" s="279"/>
      <c r="ILV56" s="89"/>
      <c r="ILW56" s="5"/>
      <c r="ILX56" s="4"/>
      <c r="ILY56" s="279"/>
      <c r="ILZ56" s="89"/>
      <c r="IMA56" s="5"/>
      <c r="IMB56" s="4"/>
      <c r="IMC56" s="279"/>
      <c r="IMD56" s="89"/>
      <c r="IME56" s="5"/>
      <c r="IMF56" s="4"/>
      <c r="IMG56" s="279"/>
      <c r="IMH56" s="89"/>
      <c r="IMI56" s="5"/>
      <c r="IMJ56" s="4"/>
      <c r="IMK56" s="279"/>
      <c r="IML56" s="89"/>
      <c r="IMM56" s="5"/>
      <c r="IMN56" s="4"/>
      <c r="IMO56" s="279"/>
      <c r="IMP56" s="89"/>
      <c r="IMQ56" s="5"/>
      <c r="IMR56" s="4"/>
      <c r="IMS56" s="279"/>
      <c r="IMT56" s="89"/>
      <c r="IMU56" s="5"/>
      <c r="IMV56" s="4"/>
      <c r="IMW56" s="279"/>
      <c r="IMX56" s="89"/>
      <c r="IMY56" s="5"/>
      <c r="IMZ56" s="4"/>
      <c r="INA56" s="279"/>
      <c r="INB56" s="89"/>
      <c r="INC56" s="5"/>
      <c r="IND56" s="4"/>
      <c r="INE56" s="279"/>
      <c r="INF56" s="89"/>
      <c r="ING56" s="5"/>
      <c r="INH56" s="4"/>
      <c r="INI56" s="279"/>
      <c r="INJ56" s="89"/>
      <c r="INK56" s="5"/>
      <c r="INL56" s="4"/>
      <c r="INM56" s="279"/>
      <c r="INN56" s="89"/>
      <c r="INO56" s="5"/>
      <c r="INP56" s="4"/>
      <c r="INQ56" s="279"/>
      <c r="INR56" s="89"/>
      <c r="INS56" s="5"/>
      <c r="INT56" s="4"/>
      <c r="INU56" s="279"/>
      <c r="INV56" s="89"/>
      <c r="INW56" s="5"/>
      <c r="INX56" s="4"/>
      <c r="INY56" s="279"/>
      <c r="INZ56" s="89"/>
      <c r="IOA56" s="5"/>
      <c r="IOB56" s="4"/>
      <c r="IOC56" s="279"/>
      <c r="IOD56" s="89"/>
      <c r="IOE56" s="5"/>
      <c r="IOF56" s="4"/>
      <c r="IOG56" s="279"/>
      <c r="IOH56" s="89"/>
      <c r="IOI56" s="5"/>
      <c r="IOJ56" s="4"/>
      <c r="IOK56" s="279"/>
      <c r="IOL56" s="89"/>
      <c r="IOM56" s="5"/>
      <c r="ION56" s="4"/>
      <c r="IOO56" s="279"/>
      <c r="IOP56" s="89"/>
      <c r="IOQ56" s="5"/>
      <c r="IOR56" s="4"/>
      <c r="IOS56" s="279"/>
      <c r="IOT56" s="89"/>
      <c r="IOU56" s="5"/>
      <c r="IOV56" s="4"/>
      <c r="IOW56" s="279"/>
      <c r="IOX56" s="89"/>
      <c r="IOY56" s="5"/>
      <c r="IOZ56" s="4"/>
      <c r="IPA56" s="279"/>
      <c r="IPB56" s="89"/>
      <c r="IPC56" s="5"/>
      <c r="IPD56" s="4"/>
      <c r="IPE56" s="279"/>
      <c r="IPF56" s="89"/>
      <c r="IPG56" s="5"/>
      <c r="IPH56" s="4"/>
      <c r="IPI56" s="279"/>
      <c r="IPJ56" s="89"/>
      <c r="IPK56" s="5"/>
      <c r="IPL56" s="4"/>
      <c r="IPM56" s="279"/>
      <c r="IPN56" s="89"/>
      <c r="IPO56" s="5"/>
      <c r="IPP56" s="4"/>
      <c r="IPQ56" s="279"/>
      <c r="IPR56" s="89"/>
      <c r="IPS56" s="5"/>
      <c r="IPT56" s="4"/>
      <c r="IPU56" s="279"/>
      <c r="IPV56" s="89"/>
      <c r="IPW56" s="5"/>
      <c r="IPX56" s="4"/>
      <c r="IPY56" s="279"/>
      <c r="IPZ56" s="89"/>
      <c r="IQA56" s="5"/>
      <c r="IQB56" s="4"/>
      <c r="IQC56" s="279"/>
      <c r="IQD56" s="89"/>
      <c r="IQE56" s="5"/>
      <c r="IQF56" s="4"/>
      <c r="IQG56" s="279"/>
      <c r="IQH56" s="89"/>
      <c r="IQI56" s="5"/>
      <c r="IQJ56" s="4"/>
      <c r="IQK56" s="279"/>
      <c r="IQL56" s="89"/>
      <c r="IQM56" s="5"/>
      <c r="IQN56" s="4"/>
      <c r="IQO56" s="279"/>
      <c r="IQP56" s="89"/>
      <c r="IQQ56" s="5"/>
      <c r="IQR56" s="4"/>
      <c r="IQS56" s="279"/>
      <c r="IQT56" s="89"/>
      <c r="IQU56" s="5"/>
      <c r="IQV56" s="4"/>
      <c r="IQW56" s="279"/>
      <c r="IQX56" s="89"/>
      <c r="IQY56" s="5"/>
      <c r="IQZ56" s="4"/>
      <c r="IRA56" s="279"/>
      <c r="IRB56" s="89"/>
      <c r="IRC56" s="5"/>
      <c r="IRD56" s="4"/>
      <c r="IRE56" s="279"/>
      <c r="IRF56" s="89"/>
      <c r="IRG56" s="5"/>
      <c r="IRH56" s="4"/>
      <c r="IRI56" s="279"/>
      <c r="IRJ56" s="89"/>
      <c r="IRK56" s="5"/>
      <c r="IRL56" s="4"/>
      <c r="IRM56" s="279"/>
      <c r="IRN56" s="89"/>
      <c r="IRO56" s="5"/>
      <c r="IRP56" s="4"/>
      <c r="IRQ56" s="279"/>
      <c r="IRR56" s="89"/>
      <c r="IRS56" s="5"/>
      <c r="IRT56" s="4"/>
      <c r="IRU56" s="279"/>
      <c r="IRV56" s="89"/>
      <c r="IRW56" s="5"/>
      <c r="IRX56" s="4"/>
      <c r="IRY56" s="279"/>
      <c r="IRZ56" s="89"/>
      <c r="ISA56" s="5"/>
      <c r="ISB56" s="4"/>
      <c r="ISC56" s="279"/>
      <c r="ISD56" s="89"/>
      <c r="ISE56" s="5"/>
      <c r="ISF56" s="4"/>
      <c r="ISG56" s="279"/>
      <c r="ISH56" s="89"/>
      <c r="ISI56" s="5"/>
      <c r="ISJ56" s="4"/>
      <c r="ISK56" s="279"/>
      <c r="ISL56" s="89"/>
      <c r="ISM56" s="5"/>
      <c r="ISN56" s="4"/>
      <c r="ISO56" s="279"/>
      <c r="ISP56" s="89"/>
      <c r="ISQ56" s="5"/>
      <c r="ISR56" s="4"/>
      <c r="ISS56" s="279"/>
      <c r="IST56" s="89"/>
      <c r="ISU56" s="5"/>
      <c r="ISV56" s="4"/>
      <c r="ISW56" s="279"/>
      <c r="ISX56" s="89"/>
      <c r="ISY56" s="5"/>
      <c r="ISZ56" s="4"/>
      <c r="ITA56" s="279"/>
      <c r="ITB56" s="89"/>
      <c r="ITC56" s="5"/>
      <c r="ITD56" s="4"/>
      <c r="ITE56" s="279"/>
      <c r="ITF56" s="89"/>
      <c r="ITG56" s="5"/>
      <c r="ITH56" s="4"/>
      <c r="ITI56" s="279"/>
      <c r="ITJ56" s="89"/>
      <c r="ITK56" s="5"/>
      <c r="ITL56" s="4"/>
      <c r="ITM56" s="279"/>
      <c r="ITN56" s="89"/>
      <c r="ITO56" s="5"/>
      <c r="ITP56" s="4"/>
      <c r="ITQ56" s="279"/>
      <c r="ITR56" s="89"/>
      <c r="ITS56" s="5"/>
      <c r="ITT56" s="4"/>
      <c r="ITU56" s="279"/>
      <c r="ITV56" s="89"/>
      <c r="ITW56" s="5"/>
      <c r="ITX56" s="4"/>
      <c r="ITY56" s="279"/>
      <c r="ITZ56" s="89"/>
      <c r="IUA56" s="5"/>
      <c r="IUB56" s="4"/>
      <c r="IUC56" s="279"/>
      <c r="IUD56" s="89"/>
      <c r="IUE56" s="5"/>
      <c r="IUF56" s="4"/>
      <c r="IUG56" s="279"/>
      <c r="IUH56" s="89"/>
      <c r="IUI56" s="5"/>
      <c r="IUJ56" s="4"/>
      <c r="IUK56" s="279"/>
      <c r="IUL56" s="89"/>
      <c r="IUM56" s="5"/>
      <c r="IUN56" s="4"/>
      <c r="IUO56" s="279"/>
      <c r="IUP56" s="89"/>
      <c r="IUQ56" s="5"/>
      <c r="IUR56" s="4"/>
      <c r="IUS56" s="279"/>
      <c r="IUT56" s="89"/>
      <c r="IUU56" s="5"/>
      <c r="IUV56" s="4"/>
      <c r="IUW56" s="279"/>
      <c r="IUX56" s="89"/>
      <c r="IUY56" s="5"/>
      <c r="IUZ56" s="4"/>
      <c r="IVA56" s="279"/>
      <c r="IVB56" s="89"/>
      <c r="IVC56" s="5"/>
      <c r="IVD56" s="4"/>
      <c r="IVE56" s="279"/>
      <c r="IVF56" s="89"/>
      <c r="IVG56" s="5"/>
      <c r="IVH56" s="4"/>
      <c r="IVI56" s="279"/>
      <c r="IVJ56" s="89"/>
      <c r="IVK56" s="5"/>
      <c r="IVL56" s="4"/>
      <c r="IVM56" s="279"/>
      <c r="IVN56" s="89"/>
      <c r="IVO56" s="5"/>
      <c r="IVP56" s="4"/>
      <c r="IVQ56" s="279"/>
      <c r="IVR56" s="89"/>
      <c r="IVS56" s="5"/>
      <c r="IVT56" s="4"/>
      <c r="IVU56" s="279"/>
      <c r="IVV56" s="89"/>
      <c r="IVW56" s="5"/>
      <c r="IVX56" s="4"/>
      <c r="IVY56" s="279"/>
      <c r="IVZ56" s="89"/>
      <c r="IWA56" s="5"/>
      <c r="IWB56" s="4"/>
      <c r="IWC56" s="279"/>
      <c r="IWD56" s="89"/>
      <c r="IWE56" s="5"/>
      <c r="IWF56" s="4"/>
      <c r="IWG56" s="279"/>
      <c r="IWH56" s="89"/>
      <c r="IWI56" s="5"/>
      <c r="IWJ56" s="4"/>
      <c r="IWK56" s="279"/>
      <c r="IWL56" s="89"/>
      <c r="IWM56" s="5"/>
      <c r="IWN56" s="4"/>
      <c r="IWO56" s="279"/>
      <c r="IWP56" s="89"/>
      <c r="IWQ56" s="5"/>
      <c r="IWR56" s="4"/>
      <c r="IWS56" s="279"/>
      <c r="IWT56" s="89"/>
      <c r="IWU56" s="5"/>
      <c r="IWV56" s="4"/>
      <c r="IWW56" s="279"/>
      <c r="IWX56" s="89"/>
      <c r="IWY56" s="5"/>
      <c r="IWZ56" s="4"/>
      <c r="IXA56" s="279"/>
      <c r="IXB56" s="89"/>
      <c r="IXC56" s="5"/>
      <c r="IXD56" s="4"/>
      <c r="IXE56" s="279"/>
      <c r="IXF56" s="89"/>
      <c r="IXG56" s="5"/>
      <c r="IXH56" s="4"/>
      <c r="IXI56" s="279"/>
      <c r="IXJ56" s="89"/>
      <c r="IXK56" s="5"/>
      <c r="IXL56" s="4"/>
      <c r="IXM56" s="279"/>
      <c r="IXN56" s="89"/>
      <c r="IXO56" s="5"/>
      <c r="IXP56" s="4"/>
      <c r="IXQ56" s="279"/>
      <c r="IXR56" s="89"/>
      <c r="IXS56" s="5"/>
      <c r="IXT56" s="4"/>
      <c r="IXU56" s="279"/>
      <c r="IXV56" s="89"/>
      <c r="IXW56" s="5"/>
      <c r="IXX56" s="4"/>
      <c r="IXY56" s="279"/>
      <c r="IXZ56" s="89"/>
      <c r="IYA56" s="5"/>
      <c r="IYB56" s="4"/>
      <c r="IYC56" s="279"/>
      <c r="IYD56" s="89"/>
      <c r="IYE56" s="5"/>
      <c r="IYF56" s="4"/>
      <c r="IYG56" s="279"/>
      <c r="IYH56" s="89"/>
      <c r="IYI56" s="5"/>
      <c r="IYJ56" s="4"/>
      <c r="IYK56" s="279"/>
      <c r="IYL56" s="89"/>
      <c r="IYM56" s="5"/>
      <c r="IYN56" s="4"/>
      <c r="IYO56" s="279"/>
      <c r="IYP56" s="89"/>
      <c r="IYQ56" s="5"/>
      <c r="IYR56" s="4"/>
      <c r="IYS56" s="279"/>
      <c r="IYT56" s="89"/>
      <c r="IYU56" s="5"/>
      <c r="IYV56" s="4"/>
      <c r="IYW56" s="279"/>
      <c r="IYX56" s="89"/>
      <c r="IYY56" s="5"/>
      <c r="IYZ56" s="4"/>
      <c r="IZA56" s="279"/>
      <c r="IZB56" s="89"/>
      <c r="IZC56" s="5"/>
      <c r="IZD56" s="4"/>
      <c r="IZE56" s="279"/>
      <c r="IZF56" s="89"/>
      <c r="IZG56" s="5"/>
      <c r="IZH56" s="4"/>
      <c r="IZI56" s="279"/>
      <c r="IZJ56" s="89"/>
      <c r="IZK56" s="5"/>
      <c r="IZL56" s="4"/>
      <c r="IZM56" s="279"/>
      <c r="IZN56" s="89"/>
      <c r="IZO56" s="5"/>
      <c r="IZP56" s="4"/>
      <c r="IZQ56" s="279"/>
      <c r="IZR56" s="89"/>
      <c r="IZS56" s="5"/>
      <c r="IZT56" s="4"/>
      <c r="IZU56" s="279"/>
      <c r="IZV56" s="89"/>
      <c r="IZW56" s="5"/>
      <c r="IZX56" s="4"/>
      <c r="IZY56" s="279"/>
      <c r="IZZ56" s="89"/>
      <c r="JAA56" s="5"/>
      <c r="JAB56" s="4"/>
      <c r="JAC56" s="279"/>
      <c r="JAD56" s="89"/>
      <c r="JAE56" s="5"/>
      <c r="JAF56" s="4"/>
      <c r="JAG56" s="279"/>
      <c r="JAH56" s="89"/>
      <c r="JAI56" s="5"/>
      <c r="JAJ56" s="4"/>
      <c r="JAK56" s="279"/>
      <c r="JAL56" s="89"/>
      <c r="JAM56" s="5"/>
      <c r="JAN56" s="4"/>
      <c r="JAO56" s="279"/>
      <c r="JAP56" s="89"/>
      <c r="JAQ56" s="5"/>
      <c r="JAR56" s="4"/>
      <c r="JAS56" s="279"/>
      <c r="JAT56" s="89"/>
      <c r="JAU56" s="5"/>
      <c r="JAV56" s="4"/>
      <c r="JAW56" s="279"/>
      <c r="JAX56" s="89"/>
      <c r="JAY56" s="5"/>
      <c r="JAZ56" s="4"/>
      <c r="JBA56" s="279"/>
      <c r="JBB56" s="89"/>
      <c r="JBC56" s="5"/>
      <c r="JBD56" s="4"/>
      <c r="JBE56" s="279"/>
      <c r="JBF56" s="89"/>
      <c r="JBG56" s="5"/>
      <c r="JBH56" s="4"/>
      <c r="JBI56" s="279"/>
      <c r="JBJ56" s="89"/>
      <c r="JBK56" s="5"/>
      <c r="JBL56" s="4"/>
      <c r="JBM56" s="279"/>
      <c r="JBN56" s="89"/>
      <c r="JBO56" s="5"/>
      <c r="JBP56" s="4"/>
      <c r="JBQ56" s="279"/>
      <c r="JBR56" s="89"/>
      <c r="JBS56" s="5"/>
      <c r="JBT56" s="4"/>
      <c r="JBU56" s="279"/>
      <c r="JBV56" s="89"/>
      <c r="JBW56" s="5"/>
      <c r="JBX56" s="4"/>
      <c r="JBY56" s="279"/>
      <c r="JBZ56" s="89"/>
      <c r="JCA56" s="5"/>
      <c r="JCB56" s="4"/>
      <c r="JCC56" s="279"/>
      <c r="JCD56" s="89"/>
      <c r="JCE56" s="5"/>
      <c r="JCF56" s="4"/>
      <c r="JCG56" s="279"/>
      <c r="JCH56" s="89"/>
      <c r="JCI56" s="5"/>
      <c r="JCJ56" s="4"/>
      <c r="JCK56" s="279"/>
      <c r="JCL56" s="89"/>
      <c r="JCM56" s="5"/>
      <c r="JCN56" s="4"/>
      <c r="JCO56" s="279"/>
      <c r="JCP56" s="89"/>
      <c r="JCQ56" s="5"/>
      <c r="JCR56" s="4"/>
      <c r="JCS56" s="279"/>
      <c r="JCT56" s="89"/>
      <c r="JCU56" s="5"/>
      <c r="JCV56" s="4"/>
      <c r="JCW56" s="279"/>
      <c r="JCX56" s="89"/>
      <c r="JCY56" s="5"/>
      <c r="JCZ56" s="4"/>
      <c r="JDA56" s="279"/>
      <c r="JDB56" s="89"/>
      <c r="JDC56" s="5"/>
      <c r="JDD56" s="4"/>
      <c r="JDE56" s="279"/>
      <c r="JDF56" s="89"/>
      <c r="JDG56" s="5"/>
      <c r="JDH56" s="4"/>
      <c r="JDI56" s="279"/>
      <c r="JDJ56" s="89"/>
      <c r="JDK56" s="5"/>
      <c r="JDL56" s="4"/>
      <c r="JDM56" s="279"/>
      <c r="JDN56" s="89"/>
      <c r="JDO56" s="5"/>
      <c r="JDP56" s="4"/>
      <c r="JDQ56" s="279"/>
      <c r="JDR56" s="89"/>
      <c r="JDS56" s="5"/>
      <c r="JDT56" s="4"/>
      <c r="JDU56" s="279"/>
      <c r="JDV56" s="89"/>
      <c r="JDW56" s="5"/>
      <c r="JDX56" s="4"/>
      <c r="JDY56" s="279"/>
      <c r="JDZ56" s="89"/>
      <c r="JEA56" s="5"/>
      <c r="JEB56" s="4"/>
      <c r="JEC56" s="279"/>
      <c r="JED56" s="89"/>
      <c r="JEE56" s="5"/>
      <c r="JEF56" s="4"/>
      <c r="JEG56" s="279"/>
      <c r="JEH56" s="89"/>
      <c r="JEI56" s="5"/>
      <c r="JEJ56" s="4"/>
      <c r="JEK56" s="279"/>
      <c r="JEL56" s="89"/>
      <c r="JEM56" s="5"/>
      <c r="JEN56" s="4"/>
      <c r="JEO56" s="279"/>
      <c r="JEP56" s="89"/>
      <c r="JEQ56" s="5"/>
      <c r="JER56" s="4"/>
      <c r="JES56" s="279"/>
      <c r="JET56" s="89"/>
      <c r="JEU56" s="5"/>
      <c r="JEV56" s="4"/>
      <c r="JEW56" s="279"/>
      <c r="JEX56" s="89"/>
      <c r="JEY56" s="5"/>
      <c r="JEZ56" s="4"/>
      <c r="JFA56" s="279"/>
      <c r="JFB56" s="89"/>
      <c r="JFC56" s="5"/>
      <c r="JFD56" s="4"/>
      <c r="JFE56" s="279"/>
      <c r="JFF56" s="89"/>
      <c r="JFG56" s="5"/>
      <c r="JFH56" s="4"/>
      <c r="JFI56" s="279"/>
      <c r="JFJ56" s="89"/>
      <c r="JFK56" s="5"/>
      <c r="JFL56" s="4"/>
      <c r="JFM56" s="279"/>
      <c r="JFN56" s="89"/>
      <c r="JFO56" s="5"/>
      <c r="JFP56" s="4"/>
      <c r="JFQ56" s="279"/>
      <c r="JFR56" s="89"/>
      <c r="JFS56" s="5"/>
      <c r="JFT56" s="4"/>
      <c r="JFU56" s="279"/>
      <c r="JFV56" s="89"/>
      <c r="JFW56" s="5"/>
      <c r="JFX56" s="4"/>
      <c r="JFY56" s="279"/>
      <c r="JFZ56" s="89"/>
      <c r="JGA56" s="5"/>
      <c r="JGB56" s="4"/>
      <c r="JGC56" s="279"/>
      <c r="JGD56" s="89"/>
      <c r="JGE56" s="5"/>
      <c r="JGF56" s="4"/>
      <c r="JGG56" s="279"/>
      <c r="JGH56" s="89"/>
      <c r="JGI56" s="5"/>
      <c r="JGJ56" s="4"/>
      <c r="JGK56" s="279"/>
      <c r="JGL56" s="89"/>
      <c r="JGM56" s="5"/>
      <c r="JGN56" s="4"/>
      <c r="JGO56" s="279"/>
      <c r="JGP56" s="89"/>
      <c r="JGQ56" s="5"/>
      <c r="JGR56" s="4"/>
      <c r="JGS56" s="279"/>
      <c r="JGT56" s="89"/>
      <c r="JGU56" s="5"/>
      <c r="JGV56" s="4"/>
      <c r="JGW56" s="279"/>
      <c r="JGX56" s="89"/>
      <c r="JGY56" s="5"/>
      <c r="JGZ56" s="4"/>
      <c r="JHA56" s="279"/>
      <c r="JHB56" s="89"/>
      <c r="JHC56" s="5"/>
      <c r="JHD56" s="4"/>
      <c r="JHE56" s="279"/>
      <c r="JHF56" s="89"/>
      <c r="JHG56" s="5"/>
      <c r="JHH56" s="4"/>
      <c r="JHI56" s="279"/>
      <c r="JHJ56" s="89"/>
      <c r="JHK56" s="5"/>
      <c r="JHL56" s="4"/>
      <c r="JHM56" s="279"/>
      <c r="JHN56" s="89"/>
      <c r="JHO56" s="5"/>
      <c r="JHP56" s="4"/>
      <c r="JHQ56" s="279"/>
      <c r="JHR56" s="89"/>
      <c r="JHS56" s="5"/>
      <c r="JHT56" s="4"/>
      <c r="JHU56" s="279"/>
      <c r="JHV56" s="89"/>
      <c r="JHW56" s="5"/>
      <c r="JHX56" s="4"/>
      <c r="JHY56" s="279"/>
      <c r="JHZ56" s="89"/>
      <c r="JIA56" s="5"/>
      <c r="JIB56" s="4"/>
      <c r="JIC56" s="279"/>
      <c r="JID56" s="89"/>
      <c r="JIE56" s="5"/>
      <c r="JIF56" s="4"/>
      <c r="JIG56" s="279"/>
      <c r="JIH56" s="89"/>
      <c r="JII56" s="5"/>
      <c r="JIJ56" s="4"/>
      <c r="JIK56" s="279"/>
      <c r="JIL56" s="89"/>
      <c r="JIM56" s="5"/>
      <c r="JIN56" s="4"/>
      <c r="JIO56" s="279"/>
      <c r="JIP56" s="89"/>
      <c r="JIQ56" s="5"/>
      <c r="JIR56" s="4"/>
      <c r="JIS56" s="279"/>
      <c r="JIT56" s="89"/>
      <c r="JIU56" s="5"/>
      <c r="JIV56" s="4"/>
      <c r="JIW56" s="279"/>
      <c r="JIX56" s="89"/>
      <c r="JIY56" s="5"/>
      <c r="JIZ56" s="4"/>
      <c r="JJA56" s="279"/>
      <c r="JJB56" s="89"/>
      <c r="JJC56" s="5"/>
      <c r="JJD56" s="4"/>
      <c r="JJE56" s="279"/>
      <c r="JJF56" s="89"/>
      <c r="JJG56" s="5"/>
      <c r="JJH56" s="4"/>
      <c r="JJI56" s="279"/>
      <c r="JJJ56" s="89"/>
      <c r="JJK56" s="5"/>
      <c r="JJL56" s="4"/>
      <c r="JJM56" s="279"/>
      <c r="JJN56" s="89"/>
      <c r="JJO56" s="5"/>
      <c r="JJP56" s="4"/>
      <c r="JJQ56" s="279"/>
      <c r="JJR56" s="89"/>
      <c r="JJS56" s="5"/>
      <c r="JJT56" s="4"/>
      <c r="JJU56" s="279"/>
      <c r="JJV56" s="89"/>
      <c r="JJW56" s="5"/>
      <c r="JJX56" s="4"/>
      <c r="JJY56" s="279"/>
      <c r="JJZ56" s="89"/>
      <c r="JKA56" s="5"/>
      <c r="JKB56" s="4"/>
      <c r="JKC56" s="279"/>
      <c r="JKD56" s="89"/>
      <c r="JKE56" s="5"/>
      <c r="JKF56" s="4"/>
      <c r="JKG56" s="279"/>
      <c r="JKH56" s="89"/>
      <c r="JKI56" s="5"/>
      <c r="JKJ56" s="4"/>
      <c r="JKK56" s="279"/>
      <c r="JKL56" s="89"/>
      <c r="JKM56" s="5"/>
      <c r="JKN56" s="4"/>
      <c r="JKO56" s="279"/>
      <c r="JKP56" s="89"/>
      <c r="JKQ56" s="5"/>
      <c r="JKR56" s="4"/>
      <c r="JKS56" s="279"/>
      <c r="JKT56" s="89"/>
      <c r="JKU56" s="5"/>
      <c r="JKV56" s="4"/>
      <c r="JKW56" s="279"/>
      <c r="JKX56" s="89"/>
      <c r="JKY56" s="5"/>
      <c r="JKZ56" s="4"/>
      <c r="JLA56" s="279"/>
      <c r="JLB56" s="89"/>
      <c r="JLC56" s="5"/>
      <c r="JLD56" s="4"/>
      <c r="JLE56" s="279"/>
      <c r="JLF56" s="89"/>
      <c r="JLG56" s="5"/>
      <c r="JLH56" s="4"/>
      <c r="JLI56" s="279"/>
      <c r="JLJ56" s="89"/>
      <c r="JLK56" s="5"/>
      <c r="JLL56" s="4"/>
      <c r="JLM56" s="279"/>
      <c r="JLN56" s="89"/>
      <c r="JLO56" s="5"/>
      <c r="JLP56" s="4"/>
      <c r="JLQ56" s="279"/>
      <c r="JLR56" s="89"/>
      <c r="JLS56" s="5"/>
      <c r="JLT56" s="4"/>
      <c r="JLU56" s="279"/>
      <c r="JLV56" s="89"/>
      <c r="JLW56" s="5"/>
      <c r="JLX56" s="4"/>
      <c r="JLY56" s="279"/>
      <c r="JLZ56" s="89"/>
      <c r="JMA56" s="5"/>
      <c r="JMB56" s="4"/>
      <c r="JMC56" s="279"/>
      <c r="JMD56" s="89"/>
      <c r="JME56" s="5"/>
      <c r="JMF56" s="4"/>
      <c r="JMG56" s="279"/>
      <c r="JMH56" s="89"/>
      <c r="JMI56" s="5"/>
      <c r="JMJ56" s="4"/>
      <c r="JMK56" s="279"/>
      <c r="JML56" s="89"/>
      <c r="JMM56" s="5"/>
      <c r="JMN56" s="4"/>
      <c r="JMO56" s="279"/>
      <c r="JMP56" s="89"/>
      <c r="JMQ56" s="5"/>
      <c r="JMR56" s="4"/>
      <c r="JMS56" s="279"/>
      <c r="JMT56" s="89"/>
      <c r="JMU56" s="5"/>
      <c r="JMV56" s="4"/>
      <c r="JMW56" s="279"/>
      <c r="JMX56" s="89"/>
      <c r="JMY56" s="5"/>
      <c r="JMZ56" s="4"/>
      <c r="JNA56" s="279"/>
      <c r="JNB56" s="89"/>
      <c r="JNC56" s="5"/>
      <c r="JND56" s="4"/>
      <c r="JNE56" s="279"/>
      <c r="JNF56" s="89"/>
      <c r="JNG56" s="5"/>
      <c r="JNH56" s="4"/>
      <c r="JNI56" s="279"/>
      <c r="JNJ56" s="89"/>
      <c r="JNK56" s="5"/>
      <c r="JNL56" s="4"/>
      <c r="JNM56" s="279"/>
      <c r="JNN56" s="89"/>
      <c r="JNO56" s="5"/>
      <c r="JNP56" s="4"/>
      <c r="JNQ56" s="279"/>
      <c r="JNR56" s="89"/>
      <c r="JNS56" s="5"/>
      <c r="JNT56" s="4"/>
      <c r="JNU56" s="279"/>
      <c r="JNV56" s="89"/>
      <c r="JNW56" s="5"/>
      <c r="JNX56" s="4"/>
      <c r="JNY56" s="279"/>
      <c r="JNZ56" s="89"/>
      <c r="JOA56" s="5"/>
      <c r="JOB56" s="4"/>
      <c r="JOC56" s="279"/>
      <c r="JOD56" s="89"/>
      <c r="JOE56" s="5"/>
      <c r="JOF56" s="4"/>
      <c r="JOG56" s="279"/>
      <c r="JOH56" s="89"/>
      <c r="JOI56" s="5"/>
      <c r="JOJ56" s="4"/>
      <c r="JOK56" s="279"/>
      <c r="JOL56" s="89"/>
      <c r="JOM56" s="5"/>
      <c r="JON56" s="4"/>
      <c r="JOO56" s="279"/>
      <c r="JOP56" s="89"/>
      <c r="JOQ56" s="5"/>
      <c r="JOR56" s="4"/>
      <c r="JOS56" s="279"/>
      <c r="JOT56" s="89"/>
      <c r="JOU56" s="5"/>
      <c r="JOV56" s="4"/>
      <c r="JOW56" s="279"/>
      <c r="JOX56" s="89"/>
      <c r="JOY56" s="5"/>
      <c r="JOZ56" s="4"/>
      <c r="JPA56" s="279"/>
      <c r="JPB56" s="89"/>
      <c r="JPC56" s="5"/>
      <c r="JPD56" s="4"/>
      <c r="JPE56" s="279"/>
      <c r="JPF56" s="89"/>
      <c r="JPG56" s="5"/>
      <c r="JPH56" s="4"/>
      <c r="JPI56" s="279"/>
      <c r="JPJ56" s="89"/>
      <c r="JPK56" s="5"/>
      <c r="JPL56" s="4"/>
      <c r="JPM56" s="279"/>
      <c r="JPN56" s="89"/>
      <c r="JPO56" s="5"/>
      <c r="JPP56" s="4"/>
      <c r="JPQ56" s="279"/>
      <c r="JPR56" s="89"/>
      <c r="JPS56" s="5"/>
      <c r="JPT56" s="4"/>
      <c r="JPU56" s="279"/>
      <c r="JPV56" s="89"/>
      <c r="JPW56" s="5"/>
      <c r="JPX56" s="4"/>
      <c r="JPY56" s="279"/>
      <c r="JPZ56" s="89"/>
      <c r="JQA56" s="5"/>
      <c r="JQB56" s="4"/>
      <c r="JQC56" s="279"/>
      <c r="JQD56" s="89"/>
      <c r="JQE56" s="5"/>
      <c r="JQF56" s="4"/>
      <c r="JQG56" s="279"/>
      <c r="JQH56" s="89"/>
      <c r="JQI56" s="5"/>
      <c r="JQJ56" s="4"/>
      <c r="JQK56" s="279"/>
      <c r="JQL56" s="89"/>
      <c r="JQM56" s="5"/>
      <c r="JQN56" s="4"/>
      <c r="JQO56" s="279"/>
      <c r="JQP56" s="89"/>
      <c r="JQQ56" s="5"/>
      <c r="JQR56" s="4"/>
      <c r="JQS56" s="279"/>
      <c r="JQT56" s="89"/>
      <c r="JQU56" s="5"/>
      <c r="JQV56" s="4"/>
      <c r="JQW56" s="279"/>
      <c r="JQX56" s="89"/>
      <c r="JQY56" s="5"/>
      <c r="JQZ56" s="4"/>
      <c r="JRA56" s="279"/>
      <c r="JRB56" s="89"/>
      <c r="JRC56" s="5"/>
      <c r="JRD56" s="4"/>
      <c r="JRE56" s="279"/>
      <c r="JRF56" s="89"/>
      <c r="JRG56" s="5"/>
      <c r="JRH56" s="4"/>
      <c r="JRI56" s="279"/>
      <c r="JRJ56" s="89"/>
      <c r="JRK56" s="5"/>
      <c r="JRL56" s="4"/>
      <c r="JRM56" s="279"/>
      <c r="JRN56" s="89"/>
      <c r="JRO56" s="5"/>
      <c r="JRP56" s="4"/>
      <c r="JRQ56" s="279"/>
      <c r="JRR56" s="89"/>
      <c r="JRS56" s="5"/>
      <c r="JRT56" s="4"/>
      <c r="JRU56" s="279"/>
      <c r="JRV56" s="89"/>
      <c r="JRW56" s="5"/>
      <c r="JRX56" s="4"/>
      <c r="JRY56" s="279"/>
      <c r="JRZ56" s="89"/>
      <c r="JSA56" s="5"/>
      <c r="JSB56" s="4"/>
      <c r="JSC56" s="279"/>
      <c r="JSD56" s="89"/>
      <c r="JSE56" s="5"/>
      <c r="JSF56" s="4"/>
      <c r="JSG56" s="279"/>
      <c r="JSH56" s="89"/>
      <c r="JSI56" s="5"/>
      <c r="JSJ56" s="4"/>
      <c r="JSK56" s="279"/>
      <c r="JSL56" s="89"/>
      <c r="JSM56" s="5"/>
      <c r="JSN56" s="4"/>
      <c r="JSO56" s="279"/>
      <c r="JSP56" s="89"/>
      <c r="JSQ56" s="5"/>
      <c r="JSR56" s="4"/>
      <c r="JSS56" s="279"/>
      <c r="JST56" s="89"/>
      <c r="JSU56" s="5"/>
      <c r="JSV56" s="4"/>
      <c r="JSW56" s="279"/>
      <c r="JSX56" s="89"/>
      <c r="JSY56" s="5"/>
      <c r="JSZ56" s="4"/>
      <c r="JTA56" s="279"/>
      <c r="JTB56" s="89"/>
      <c r="JTC56" s="5"/>
      <c r="JTD56" s="4"/>
      <c r="JTE56" s="279"/>
      <c r="JTF56" s="89"/>
      <c r="JTG56" s="5"/>
      <c r="JTH56" s="4"/>
      <c r="JTI56" s="279"/>
      <c r="JTJ56" s="89"/>
      <c r="JTK56" s="5"/>
      <c r="JTL56" s="4"/>
      <c r="JTM56" s="279"/>
      <c r="JTN56" s="89"/>
      <c r="JTO56" s="5"/>
      <c r="JTP56" s="4"/>
      <c r="JTQ56" s="279"/>
      <c r="JTR56" s="89"/>
      <c r="JTS56" s="5"/>
      <c r="JTT56" s="4"/>
      <c r="JTU56" s="279"/>
      <c r="JTV56" s="89"/>
      <c r="JTW56" s="5"/>
      <c r="JTX56" s="4"/>
      <c r="JTY56" s="279"/>
      <c r="JTZ56" s="89"/>
      <c r="JUA56" s="5"/>
      <c r="JUB56" s="4"/>
      <c r="JUC56" s="279"/>
      <c r="JUD56" s="89"/>
      <c r="JUE56" s="5"/>
      <c r="JUF56" s="4"/>
      <c r="JUG56" s="279"/>
      <c r="JUH56" s="89"/>
      <c r="JUI56" s="5"/>
      <c r="JUJ56" s="4"/>
      <c r="JUK56" s="279"/>
      <c r="JUL56" s="89"/>
      <c r="JUM56" s="5"/>
      <c r="JUN56" s="4"/>
      <c r="JUO56" s="279"/>
      <c r="JUP56" s="89"/>
      <c r="JUQ56" s="5"/>
      <c r="JUR56" s="4"/>
      <c r="JUS56" s="279"/>
      <c r="JUT56" s="89"/>
      <c r="JUU56" s="5"/>
      <c r="JUV56" s="4"/>
      <c r="JUW56" s="279"/>
      <c r="JUX56" s="89"/>
      <c r="JUY56" s="5"/>
      <c r="JUZ56" s="4"/>
      <c r="JVA56" s="279"/>
      <c r="JVB56" s="89"/>
      <c r="JVC56" s="5"/>
      <c r="JVD56" s="4"/>
      <c r="JVE56" s="279"/>
      <c r="JVF56" s="89"/>
      <c r="JVG56" s="5"/>
      <c r="JVH56" s="4"/>
      <c r="JVI56" s="279"/>
      <c r="JVJ56" s="89"/>
      <c r="JVK56" s="5"/>
      <c r="JVL56" s="4"/>
      <c r="JVM56" s="279"/>
      <c r="JVN56" s="89"/>
      <c r="JVO56" s="5"/>
      <c r="JVP56" s="4"/>
      <c r="JVQ56" s="279"/>
      <c r="JVR56" s="89"/>
      <c r="JVS56" s="5"/>
      <c r="JVT56" s="4"/>
      <c r="JVU56" s="279"/>
      <c r="JVV56" s="89"/>
      <c r="JVW56" s="5"/>
      <c r="JVX56" s="4"/>
      <c r="JVY56" s="279"/>
      <c r="JVZ56" s="89"/>
      <c r="JWA56" s="5"/>
      <c r="JWB56" s="4"/>
      <c r="JWC56" s="279"/>
      <c r="JWD56" s="89"/>
      <c r="JWE56" s="5"/>
      <c r="JWF56" s="4"/>
      <c r="JWG56" s="279"/>
      <c r="JWH56" s="89"/>
      <c r="JWI56" s="5"/>
      <c r="JWJ56" s="4"/>
      <c r="JWK56" s="279"/>
      <c r="JWL56" s="89"/>
      <c r="JWM56" s="5"/>
      <c r="JWN56" s="4"/>
      <c r="JWO56" s="279"/>
      <c r="JWP56" s="89"/>
      <c r="JWQ56" s="5"/>
      <c r="JWR56" s="4"/>
      <c r="JWS56" s="279"/>
      <c r="JWT56" s="89"/>
      <c r="JWU56" s="5"/>
      <c r="JWV56" s="4"/>
      <c r="JWW56" s="279"/>
      <c r="JWX56" s="89"/>
      <c r="JWY56" s="5"/>
      <c r="JWZ56" s="4"/>
      <c r="JXA56" s="279"/>
      <c r="JXB56" s="89"/>
      <c r="JXC56" s="5"/>
      <c r="JXD56" s="4"/>
      <c r="JXE56" s="279"/>
      <c r="JXF56" s="89"/>
      <c r="JXG56" s="5"/>
      <c r="JXH56" s="4"/>
      <c r="JXI56" s="279"/>
      <c r="JXJ56" s="89"/>
      <c r="JXK56" s="5"/>
      <c r="JXL56" s="4"/>
      <c r="JXM56" s="279"/>
      <c r="JXN56" s="89"/>
      <c r="JXO56" s="5"/>
      <c r="JXP56" s="4"/>
      <c r="JXQ56" s="279"/>
      <c r="JXR56" s="89"/>
      <c r="JXS56" s="5"/>
      <c r="JXT56" s="4"/>
      <c r="JXU56" s="279"/>
      <c r="JXV56" s="89"/>
      <c r="JXW56" s="5"/>
      <c r="JXX56" s="4"/>
      <c r="JXY56" s="279"/>
      <c r="JXZ56" s="89"/>
      <c r="JYA56" s="5"/>
      <c r="JYB56" s="4"/>
      <c r="JYC56" s="279"/>
      <c r="JYD56" s="89"/>
      <c r="JYE56" s="5"/>
      <c r="JYF56" s="4"/>
      <c r="JYG56" s="279"/>
      <c r="JYH56" s="89"/>
      <c r="JYI56" s="5"/>
      <c r="JYJ56" s="4"/>
      <c r="JYK56" s="279"/>
      <c r="JYL56" s="89"/>
      <c r="JYM56" s="5"/>
      <c r="JYN56" s="4"/>
      <c r="JYO56" s="279"/>
      <c r="JYP56" s="89"/>
      <c r="JYQ56" s="5"/>
      <c r="JYR56" s="4"/>
      <c r="JYS56" s="279"/>
      <c r="JYT56" s="89"/>
      <c r="JYU56" s="5"/>
      <c r="JYV56" s="4"/>
      <c r="JYW56" s="279"/>
      <c r="JYX56" s="89"/>
      <c r="JYY56" s="5"/>
      <c r="JYZ56" s="4"/>
      <c r="JZA56" s="279"/>
      <c r="JZB56" s="89"/>
      <c r="JZC56" s="5"/>
      <c r="JZD56" s="4"/>
      <c r="JZE56" s="279"/>
      <c r="JZF56" s="89"/>
      <c r="JZG56" s="5"/>
      <c r="JZH56" s="4"/>
      <c r="JZI56" s="279"/>
      <c r="JZJ56" s="89"/>
      <c r="JZK56" s="5"/>
      <c r="JZL56" s="4"/>
      <c r="JZM56" s="279"/>
      <c r="JZN56" s="89"/>
      <c r="JZO56" s="5"/>
      <c r="JZP56" s="4"/>
      <c r="JZQ56" s="279"/>
      <c r="JZR56" s="89"/>
      <c r="JZS56" s="5"/>
      <c r="JZT56" s="4"/>
      <c r="JZU56" s="279"/>
      <c r="JZV56" s="89"/>
      <c r="JZW56" s="5"/>
      <c r="JZX56" s="4"/>
      <c r="JZY56" s="279"/>
      <c r="JZZ56" s="89"/>
      <c r="KAA56" s="5"/>
      <c r="KAB56" s="4"/>
      <c r="KAC56" s="279"/>
      <c r="KAD56" s="89"/>
      <c r="KAE56" s="5"/>
      <c r="KAF56" s="4"/>
      <c r="KAG56" s="279"/>
      <c r="KAH56" s="89"/>
      <c r="KAI56" s="5"/>
      <c r="KAJ56" s="4"/>
      <c r="KAK56" s="279"/>
      <c r="KAL56" s="89"/>
      <c r="KAM56" s="5"/>
      <c r="KAN56" s="4"/>
      <c r="KAO56" s="279"/>
      <c r="KAP56" s="89"/>
      <c r="KAQ56" s="5"/>
      <c r="KAR56" s="4"/>
      <c r="KAS56" s="279"/>
      <c r="KAT56" s="89"/>
      <c r="KAU56" s="5"/>
      <c r="KAV56" s="4"/>
      <c r="KAW56" s="279"/>
      <c r="KAX56" s="89"/>
      <c r="KAY56" s="5"/>
      <c r="KAZ56" s="4"/>
      <c r="KBA56" s="279"/>
      <c r="KBB56" s="89"/>
      <c r="KBC56" s="5"/>
      <c r="KBD56" s="4"/>
      <c r="KBE56" s="279"/>
      <c r="KBF56" s="89"/>
      <c r="KBG56" s="5"/>
      <c r="KBH56" s="4"/>
      <c r="KBI56" s="279"/>
      <c r="KBJ56" s="89"/>
      <c r="KBK56" s="5"/>
      <c r="KBL56" s="4"/>
      <c r="KBM56" s="279"/>
      <c r="KBN56" s="89"/>
      <c r="KBO56" s="5"/>
      <c r="KBP56" s="4"/>
      <c r="KBQ56" s="279"/>
      <c r="KBR56" s="89"/>
      <c r="KBS56" s="5"/>
      <c r="KBT56" s="4"/>
      <c r="KBU56" s="279"/>
      <c r="KBV56" s="89"/>
      <c r="KBW56" s="5"/>
      <c r="KBX56" s="4"/>
      <c r="KBY56" s="279"/>
      <c r="KBZ56" s="89"/>
      <c r="KCA56" s="5"/>
      <c r="KCB56" s="4"/>
      <c r="KCC56" s="279"/>
      <c r="KCD56" s="89"/>
      <c r="KCE56" s="5"/>
      <c r="KCF56" s="4"/>
      <c r="KCG56" s="279"/>
      <c r="KCH56" s="89"/>
      <c r="KCI56" s="5"/>
      <c r="KCJ56" s="4"/>
      <c r="KCK56" s="279"/>
      <c r="KCL56" s="89"/>
      <c r="KCM56" s="5"/>
      <c r="KCN56" s="4"/>
      <c r="KCO56" s="279"/>
      <c r="KCP56" s="89"/>
      <c r="KCQ56" s="5"/>
      <c r="KCR56" s="4"/>
      <c r="KCS56" s="279"/>
      <c r="KCT56" s="89"/>
      <c r="KCU56" s="5"/>
      <c r="KCV56" s="4"/>
      <c r="KCW56" s="279"/>
      <c r="KCX56" s="89"/>
      <c r="KCY56" s="5"/>
      <c r="KCZ56" s="4"/>
      <c r="KDA56" s="279"/>
      <c r="KDB56" s="89"/>
      <c r="KDC56" s="5"/>
      <c r="KDD56" s="4"/>
      <c r="KDE56" s="279"/>
      <c r="KDF56" s="89"/>
      <c r="KDG56" s="5"/>
      <c r="KDH56" s="4"/>
      <c r="KDI56" s="279"/>
      <c r="KDJ56" s="89"/>
      <c r="KDK56" s="5"/>
      <c r="KDL56" s="4"/>
      <c r="KDM56" s="279"/>
      <c r="KDN56" s="89"/>
      <c r="KDO56" s="5"/>
      <c r="KDP56" s="4"/>
      <c r="KDQ56" s="279"/>
      <c r="KDR56" s="89"/>
      <c r="KDS56" s="5"/>
      <c r="KDT56" s="4"/>
      <c r="KDU56" s="279"/>
      <c r="KDV56" s="89"/>
      <c r="KDW56" s="5"/>
      <c r="KDX56" s="4"/>
      <c r="KDY56" s="279"/>
      <c r="KDZ56" s="89"/>
      <c r="KEA56" s="5"/>
      <c r="KEB56" s="4"/>
      <c r="KEC56" s="279"/>
      <c r="KED56" s="89"/>
      <c r="KEE56" s="5"/>
      <c r="KEF56" s="4"/>
      <c r="KEG56" s="279"/>
      <c r="KEH56" s="89"/>
      <c r="KEI56" s="5"/>
      <c r="KEJ56" s="4"/>
      <c r="KEK56" s="279"/>
      <c r="KEL56" s="89"/>
      <c r="KEM56" s="5"/>
      <c r="KEN56" s="4"/>
      <c r="KEO56" s="279"/>
      <c r="KEP56" s="89"/>
      <c r="KEQ56" s="5"/>
      <c r="KER56" s="4"/>
      <c r="KES56" s="279"/>
      <c r="KET56" s="89"/>
      <c r="KEU56" s="5"/>
      <c r="KEV56" s="4"/>
      <c r="KEW56" s="279"/>
      <c r="KEX56" s="89"/>
      <c r="KEY56" s="5"/>
      <c r="KEZ56" s="4"/>
      <c r="KFA56" s="279"/>
      <c r="KFB56" s="89"/>
      <c r="KFC56" s="5"/>
      <c r="KFD56" s="4"/>
      <c r="KFE56" s="279"/>
      <c r="KFF56" s="89"/>
      <c r="KFG56" s="5"/>
      <c r="KFH56" s="4"/>
      <c r="KFI56" s="279"/>
      <c r="KFJ56" s="89"/>
      <c r="KFK56" s="5"/>
      <c r="KFL56" s="4"/>
      <c r="KFM56" s="279"/>
      <c r="KFN56" s="89"/>
      <c r="KFO56" s="5"/>
      <c r="KFP56" s="4"/>
      <c r="KFQ56" s="279"/>
      <c r="KFR56" s="89"/>
      <c r="KFS56" s="5"/>
      <c r="KFT56" s="4"/>
      <c r="KFU56" s="279"/>
      <c r="KFV56" s="89"/>
      <c r="KFW56" s="5"/>
      <c r="KFX56" s="4"/>
      <c r="KFY56" s="279"/>
      <c r="KFZ56" s="89"/>
      <c r="KGA56" s="5"/>
      <c r="KGB56" s="4"/>
      <c r="KGC56" s="279"/>
      <c r="KGD56" s="89"/>
      <c r="KGE56" s="5"/>
      <c r="KGF56" s="4"/>
      <c r="KGG56" s="279"/>
      <c r="KGH56" s="89"/>
      <c r="KGI56" s="5"/>
      <c r="KGJ56" s="4"/>
      <c r="KGK56" s="279"/>
      <c r="KGL56" s="89"/>
      <c r="KGM56" s="5"/>
      <c r="KGN56" s="4"/>
      <c r="KGO56" s="279"/>
      <c r="KGP56" s="89"/>
      <c r="KGQ56" s="5"/>
      <c r="KGR56" s="4"/>
      <c r="KGS56" s="279"/>
      <c r="KGT56" s="89"/>
      <c r="KGU56" s="5"/>
      <c r="KGV56" s="4"/>
      <c r="KGW56" s="279"/>
      <c r="KGX56" s="89"/>
      <c r="KGY56" s="5"/>
      <c r="KGZ56" s="4"/>
      <c r="KHA56" s="279"/>
      <c r="KHB56" s="89"/>
      <c r="KHC56" s="5"/>
      <c r="KHD56" s="4"/>
      <c r="KHE56" s="279"/>
      <c r="KHF56" s="89"/>
      <c r="KHG56" s="5"/>
      <c r="KHH56" s="4"/>
      <c r="KHI56" s="279"/>
      <c r="KHJ56" s="89"/>
      <c r="KHK56" s="5"/>
      <c r="KHL56" s="4"/>
      <c r="KHM56" s="279"/>
      <c r="KHN56" s="89"/>
      <c r="KHO56" s="5"/>
      <c r="KHP56" s="4"/>
      <c r="KHQ56" s="279"/>
      <c r="KHR56" s="89"/>
      <c r="KHS56" s="5"/>
      <c r="KHT56" s="4"/>
      <c r="KHU56" s="279"/>
      <c r="KHV56" s="89"/>
      <c r="KHW56" s="5"/>
      <c r="KHX56" s="4"/>
      <c r="KHY56" s="279"/>
      <c r="KHZ56" s="89"/>
      <c r="KIA56" s="5"/>
      <c r="KIB56" s="4"/>
      <c r="KIC56" s="279"/>
      <c r="KID56" s="89"/>
      <c r="KIE56" s="5"/>
      <c r="KIF56" s="4"/>
      <c r="KIG56" s="279"/>
      <c r="KIH56" s="89"/>
      <c r="KII56" s="5"/>
      <c r="KIJ56" s="4"/>
      <c r="KIK56" s="279"/>
      <c r="KIL56" s="89"/>
      <c r="KIM56" s="5"/>
      <c r="KIN56" s="4"/>
      <c r="KIO56" s="279"/>
      <c r="KIP56" s="89"/>
      <c r="KIQ56" s="5"/>
      <c r="KIR56" s="4"/>
      <c r="KIS56" s="279"/>
      <c r="KIT56" s="89"/>
      <c r="KIU56" s="5"/>
      <c r="KIV56" s="4"/>
      <c r="KIW56" s="279"/>
      <c r="KIX56" s="89"/>
      <c r="KIY56" s="5"/>
      <c r="KIZ56" s="4"/>
      <c r="KJA56" s="279"/>
      <c r="KJB56" s="89"/>
      <c r="KJC56" s="5"/>
      <c r="KJD56" s="4"/>
      <c r="KJE56" s="279"/>
      <c r="KJF56" s="89"/>
      <c r="KJG56" s="5"/>
      <c r="KJH56" s="4"/>
      <c r="KJI56" s="279"/>
      <c r="KJJ56" s="89"/>
      <c r="KJK56" s="5"/>
      <c r="KJL56" s="4"/>
      <c r="KJM56" s="279"/>
      <c r="KJN56" s="89"/>
      <c r="KJO56" s="5"/>
      <c r="KJP56" s="4"/>
      <c r="KJQ56" s="279"/>
      <c r="KJR56" s="89"/>
      <c r="KJS56" s="5"/>
      <c r="KJT56" s="4"/>
      <c r="KJU56" s="279"/>
      <c r="KJV56" s="89"/>
      <c r="KJW56" s="5"/>
      <c r="KJX56" s="4"/>
      <c r="KJY56" s="279"/>
      <c r="KJZ56" s="89"/>
      <c r="KKA56" s="5"/>
      <c r="KKB56" s="4"/>
      <c r="KKC56" s="279"/>
      <c r="KKD56" s="89"/>
      <c r="KKE56" s="5"/>
      <c r="KKF56" s="4"/>
      <c r="KKG56" s="279"/>
      <c r="KKH56" s="89"/>
      <c r="KKI56" s="5"/>
      <c r="KKJ56" s="4"/>
      <c r="KKK56" s="279"/>
      <c r="KKL56" s="89"/>
      <c r="KKM56" s="5"/>
      <c r="KKN56" s="4"/>
      <c r="KKO56" s="279"/>
      <c r="KKP56" s="89"/>
      <c r="KKQ56" s="5"/>
      <c r="KKR56" s="4"/>
      <c r="KKS56" s="279"/>
      <c r="KKT56" s="89"/>
      <c r="KKU56" s="5"/>
      <c r="KKV56" s="4"/>
      <c r="KKW56" s="279"/>
      <c r="KKX56" s="89"/>
      <c r="KKY56" s="5"/>
      <c r="KKZ56" s="4"/>
      <c r="KLA56" s="279"/>
      <c r="KLB56" s="89"/>
      <c r="KLC56" s="5"/>
      <c r="KLD56" s="4"/>
      <c r="KLE56" s="279"/>
      <c r="KLF56" s="89"/>
      <c r="KLG56" s="5"/>
      <c r="KLH56" s="4"/>
      <c r="KLI56" s="279"/>
      <c r="KLJ56" s="89"/>
      <c r="KLK56" s="5"/>
      <c r="KLL56" s="4"/>
      <c r="KLM56" s="279"/>
      <c r="KLN56" s="89"/>
      <c r="KLO56" s="5"/>
      <c r="KLP56" s="4"/>
      <c r="KLQ56" s="279"/>
      <c r="KLR56" s="89"/>
      <c r="KLS56" s="5"/>
      <c r="KLT56" s="4"/>
      <c r="KLU56" s="279"/>
      <c r="KLV56" s="89"/>
      <c r="KLW56" s="5"/>
      <c r="KLX56" s="4"/>
      <c r="KLY56" s="279"/>
      <c r="KLZ56" s="89"/>
      <c r="KMA56" s="5"/>
      <c r="KMB56" s="4"/>
      <c r="KMC56" s="279"/>
      <c r="KMD56" s="89"/>
      <c r="KME56" s="5"/>
      <c r="KMF56" s="4"/>
      <c r="KMG56" s="279"/>
      <c r="KMH56" s="89"/>
      <c r="KMI56" s="5"/>
      <c r="KMJ56" s="4"/>
      <c r="KMK56" s="279"/>
      <c r="KML56" s="89"/>
      <c r="KMM56" s="5"/>
      <c r="KMN56" s="4"/>
      <c r="KMO56" s="279"/>
      <c r="KMP56" s="89"/>
      <c r="KMQ56" s="5"/>
      <c r="KMR56" s="4"/>
      <c r="KMS56" s="279"/>
      <c r="KMT56" s="89"/>
      <c r="KMU56" s="5"/>
      <c r="KMV56" s="4"/>
      <c r="KMW56" s="279"/>
      <c r="KMX56" s="89"/>
      <c r="KMY56" s="5"/>
      <c r="KMZ56" s="4"/>
      <c r="KNA56" s="279"/>
      <c r="KNB56" s="89"/>
      <c r="KNC56" s="5"/>
      <c r="KND56" s="4"/>
      <c r="KNE56" s="279"/>
      <c r="KNF56" s="89"/>
      <c r="KNG56" s="5"/>
      <c r="KNH56" s="4"/>
      <c r="KNI56" s="279"/>
      <c r="KNJ56" s="89"/>
      <c r="KNK56" s="5"/>
      <c r="KNL56" s="4"/>
      <c r="KNM56" s="279"/>
      <c r="KNN56" s="89"/>
      <c r="KNO56" s="5"/>
      <c r="KNP56" s="4"/>
      <c r="KNQ56" s="279"/>
      <c r="KNR56" s="89"/>
      <c r="KNS56" s="5"/>
      <c r="KNT56" s="4"/>
      <c r="KNU56" s="279"/>
      <c r="KNV56" s="89"/>
      <c r="KNW56" s="5"/>
      <c r="KNX56" s="4"/>
      <c r="KNY56" s="279"/>
      <c r="KNZ56" s="89"/>
      <c r="KOA56" s="5"/>
      <c r="KOB56" s="4"/>
      <c r="KOC56" s="279"/>
      <c r="KOD56" s="89"/>
      <c r="KOE56" s="5"/>
      <c r="KOF56" s="4"/>
      <c r="KOG56" s="279"/>
      <c r="KOH56" s="89"/>
      <c r="KOI56" s="5"/>
      <c r="KOJ56" s="4"/>
      <c r="KOK56" s="279"/>
      <c r="KOL56" s="89"/>
      <c r="KOM56" s="5"/>
      <c r="KON56" s="4"/>
      <c r="KOO56" s="279"/>
      <c r="KOP56" s="89"/>
      <c r="KOQ56" s="5"/>
      <c r="KOR56" s="4"/>
      <c r="KOS56" s="279"/>
      <c r="KOT56" s="89"/>
      <c r="KOU56" s="5"/>
      <c r="KOV56" s="4"/>
      <c r="KOW56" s="279"/>
      <c r="KOX56" s="89"/>
      <c r="KOY56" s="5"/>
      <c r="KOZ56" s="4"/>
      <c r="KPA56" s="279"/>
      <c r="KPB56" s="89"/>
      <c r="KPC56" s="5"/>
      <c r="KPD56" s="4"/>
      <c r="KPE56" s="279"/>
      <c r="KPF56" s="89"/>
      <c r="KPG56" s="5"/>
      <c r="KPH56" s="4"/>
      <c r="KPI56" s="279"/>
      <c r="KPJ56" s="89"/>
      <c r="KPK56" s="5"/>
      <c r="KPL56" s="4"/>
      <c r="KPM56" s="279"/>
      <c r="KPN56" s="89"/>
      <c r="KPO56" s="5"/>
      <c r="KPP56" s="4"/>
      <c r="KPQ56" s="279"/>
      <c r="KPR56" s="89"/>
      <c r="KPS56" s="5"/>
      <c r="KPT56" s="4"/>
      <c r="KPU56" s="279"/>
      <c r="KPV56" s="89"/>
      <c r="KPW56" s="5"/>
      <c r="KPX56" s="4"/>
      <c r="KPY56" s="279"/>
      <c r="KPZ56" s="89"/>
      <c r="KQA56" s="5"/>
      <c r="KQB56" s="4"/>
      <c r="KQC56" s="279"/>
      <c r="KQD56" s="89"/>
      <c r="KQE56" s="5"/>
      <c r="KQF56" s="4"/>
      <c r="KQG56" s="279"/>
      <c r="KQH56" s="89"/>
      <c r="KQI56" s="5"/>
      <c r="KQJ56" s="4"/>
      <c r="KQK56" s="279"/>
      <c r="KQL56" s="89"/>
      <c r="KQM56" s="5"/>
      <c r="KQN56" s="4"/>
      <c r="KQO56" s="279"/>
      <c r="KQP56" s="89"/>
      <c r="KQQ56" s="5"/>
      <c r="KQR56" s="4"/>
      <c r="KQS56" s="279"/>
      <c r="KQT56" s="89"/>
      <c r="KQU56" s="5"/>
      <c r="KQV56" s="4"/>
      <c r="KQW56" s="279"/>
      <c r="KQX56" s="89"/>
      <c r="KQY56" s="5"/>
      <c r="KQZ56" s="4"/>
      <c r="KRA56" s="279"/>
      <c r="KRB56" s="89"/>
      <c r="KRC56" s="5"/>
      <c r="KRD56" s="4"/>
      <c r="KRE56" s="279"/>
      <c r="KRF56" s="89"/>
      <c r="KRG56" s="5"/>
      <c r="KRH56" s="4"/>
      <c r="KRI56" s="279"/>
      <c r="KRJ56" s="89"/>
      <c r="KRK56" s="5"/>
      <c r="KRL56" s="4"/>
      <c r="KRM56" s="279"/>
      <c r="KRN56" s="89"/>
      <c r="KRO56" s="5"/>
      <c r="KRP56" s="4"/>
      <c r="KRQ56" s="279"/>
      <c r="KRR56" s="89"/>
      <c r="KRS56" s="5"/>
      <c r="KRT56" s="4"/>
      <c r="KRU56" s="279"/>
      <c r="KRV56" s="89"/>
      <c r="KRW56" s="5"/>
      <c r="KRX56" s="4"/>
      <c r="KRY56" s="279"/>
      <c r="KRZ56" s="89"/>
      <c r="KSA56" s="5"/>
      <c r="KSB56" s="4"/>
      <c r="KSC56" s="279"/>
      <c r="KSD56" s="89"/>
      <c r="KSE56" s="5"/>
      <c r="KSF56" s="4"/>
      <c r="KSG56" s="279"/>
      <c r="KSH56" s="89"/>
      <c r="KSI56" s="5"/>
      <c r="KSJ56" s="4"/>
      <c r="KSK56" s="279"/>
      <c r="KSL56" s="89"/>
      <c r="KSM56" s="5"/>
      <c r="KSN56" s="4"/>
      <c r="KSO56" s="279"/>
      <c r="KSP56" s="89"/>
      <c r="KSQ56" s="5"/>
      <c r="KSR56" s="4"/>
      <c r="KSS56" s="279"/>
      <c r="KST56" s="89"/>
      <c r="KSU56" s="5"/>
      <c r="KSV56" s="4"/>
      <c r="KSW56" s="279"/>
      <c r="KSX56" s="89"/>
      <c r="KSY56" s="5"/>
      <c r="KSZ56" s="4"/>
      <c r="KTA56" s="279"/>
      <c r="KTB56" s="89"/>
      <c r="KTC56" s="5"/>
      <c r="KTD56" s="4"/>
      <c r="KTE56" s="279"/>
      <c r="KTF56" s="89"/>
      <c r="KTG56" s="5"/>
      <c r="KTH56" s="4"/>
      <c r="KTI56" s="279"/>
      <c r="KTJ56" s="89"/>
      <c r="KTK56" s="5"/>
      <c r="KTL56" s="4"/>
      <c r="KTM56" s="279"/>
      <c r="KTN56" s="89"/>
      <c r="KTO56" s="5"/>
      <c r="KTP56" s="4"/>
      <c r="KTQ56" s="279"/>
      <c r="KTR56" s="89"/>
      <c r="KTS56" s="5"/>
      <c r="KTT56" s="4"/>
      <c r="KTU56" s="279"/>
      <c r="KTV56" s="89"/>
      <c r="KTW56" s="5"/>
      <c r="KTX56" s="4"/>
      <c r="KTY56" s="279"/>
      <c r="KTZ56" s="89"/>
      <c r="KUA56" s="5"/>
      <c r="KUB56" s="4"/>
      <c r="KUC56" s="279"/>
      <c r="KUD56" s="89"/>
      <c r="KUE56" s="5"/>
      <c r="KUF56" s="4"/>
      <c r="KUG56" s="279"/>
      <c r="KUH56" s="89"/>
      <c r="KUI56" s="5"/>
      <c r="KUJ56" s="4"/>
      <c r="KUK56" s="279"/>
      <c r="KUL56" s="89"/>
      <c r="KUM56" s="5"/>
      <c r="KUN56" s="4"/>
      <c r="KUO56" s="279"/>
      <c r="KUP56" s="89"/>
      <c r="KUQ56" s="5"/>
      <c r="KUR56" s="4"/>
      <c r="KUS56" s="279"/>
      <c r="KUT56" s="89"/>
      <c r="KUU56" s="5"/>
      <c r="KUV56" s="4"/>
      <c r="KUW56" s="279"/>
      <c r="KUX56" s="89"/>
      <c r="KUY56" s="5"/>
      <c r="KUZ56" s="4"/>
      <c r="KVA56" s="279"/>
      <c r="KVB56" s="89"/>
      <c r="KVC56" s="5"/>
      <c r="KVD56" s="4"/>
      <c r="KVE56" s="279"/>
      <c r="KVF56" s="89"/>
      <c r="KVG56" s="5"/>
      <c r="KVH56" s="4"/>
      <c r="KVI56" s="279"/>
      <c r="KVJ56" s="89"/>
      <c r="KVK56" s="5"/>
      <c r="KVL56" s="4"/>
      <c r="KVM56" s="279"/>
      <c r="KVN56" s="89"/>
      <c r="KVO56" s="5"/>
      <c r="KVP56" s="4"/>
      <c r="KVQ56" s="279"/>
      <c r="KVR56" s="89"/>
      <c r="KVS56" s="5"/>
      <c r="KVT56" s="4"/>
      <c r="KVU56" s="279"/>
      <c r="KVV56" s="89"/>
      <c r="KVW56" s="5"/>
      <c r="KVX56" s="4"/>
      <c r="KVY56" s="279"/>
      <c r="KVZ56" s="89"/>
      <c r="KWA56" s="5"/>
      <c r="KWB56" s="4"/>
      <c r="KWC56" s="279"/>
      <c r="KWD56" s="89"/>
      <c r="KWE56" s="5"/>
      <c r="KWF56" s="4"/>
      <c r="KWG56" s="279"/>
      <c r="KWH56" s="89"/>
      <c r="KWI56" s="5"/>
      <c r="KWJ56" s="4"/>
      <c r="KWK56" s="279"/>
      <c r="KWL56" s="89"/>
      <c r="KWM56" s="5"/>
      <c r="KWN56" s="4"/>
      <c r="KWO56" s="279"/>
      <c r="KWP56" s="89"/>
      <c r="KWQ56" s="5"/>
      <c r="KWR56" s="4"/>
      <c r="KWS56" s="279"/>
      <c r="KWT56" s="89"/>
      <c r="KWU56" s="5"/>
      <c r="KWV56" s="4"/>
      <c r="KWW56" s="279"/>
      <c r="KWX56" s="89"/>
      <c r="KWY56" s="5"/>
      <c r="KWZ56" s="4"/>
      <c r="KXA56" s="279"/>
      <c r="KXB56" s="89"/>
      <c r="KXC56" s="5"/>
      <c r="KXD56" s="4"/>
      <c r="KXE56" s="279"/>
      <c r="KXF56" s="89"/>
      <c r="KXG56" s="5"/>
      <c r="KXH56" s="4"/>
      <c r="KXI56" s="279"/>
      <c r="KXJ56" s="89"/>
      <c r="KXK56" s="5"/>
      <c r="KXL56" s="4"/>
      <c r="KXM56" s="279"/>
      <c r="KXN56" s="89"/>
      <c r="KXO56" s="5"/>
      <c r="KXP56" s="4"/>
      <c r="KXQ56" s="279"/>
      <c r="KXR56" s="89"/>
      <c r="KXS56" s="5"/>
      <c r="KXT56" s="4"/>
      <c r="KXU56" s="279"/>
      <c r="KXV56" s="89"/>
      <c r="KXW56" s="5"/>
      <c r="KXX56" s="4"/>
      <c r="KXY56" s="279"/>
      <c r="KXZ56" s="89"/>
      <c r="KYA56" s="5"/>
      <c r="KYB56" s="4"/>
      <c r="KYC56" s="279"/>
      <c r="KYD56" s="89"/>
      <c r="KYE56" s="5"/>
      <c r="KYF56" s="4"/>
      <c r="KYG56" s="279"/>
      <c r="KYH56" s="89"/>
      <c r="KYI56" s="5"/>
      <c r="KYJ56" s="4"/>
      <c r="KYK56" s="279"/>
      <c r="KYL56" s="89"/>
      <c r="KYM56" s="5"/>
      <c r="KYN56" s="4"/>
      <c r="KYO56" s="279"/>
      <c r="KYP56" s="89"/>
      <c r="KYQ56" s="5"/>
      <c r="KYR56" s="4"/>
      <c r="KYS56" s="279"/>
      <c r="KYT56" s="89"/>
      <c r="KYU56" s="5"/>
      <c r="KYV56" s="4"/>
      <c r="KYW56" s="279"/>
      <c r="KYX56" s="89"/>
      <c r="KYY56" s="5"/>
      <c r="KYZ56" s="4"/>
      <c r="KZA56" s="279"/>
      <c r="KZB56" s="89"/>
      <c r="KZC56" s="5"/>
      <c r="KZD56" s="4"/>
      <c r="KZE56" s="279"/>
      <c r="KZF56" s="89"/>
      <c r="KZG56" s="5"/>
      <c r="KZH56" s="4"/>
      <c r="KZI56" s="279"/>
      <c r="KZJ56" s="89"/>
      <c r="KZK56" s="5"/>
      <c r="KZL56" s="4"/>
      <c r="KZM56" s="279"/>
      <c r="KZN56" s="89"/>
      <c r="KZO56" s="5"/>
      <c r="KZP56" s="4"/>
      <c r="KZQ56" s="279"/>
      <c r="KZR56" s="89"/>
      <c r="KZS56" s="5"/>
      <c r="KZT56" s="4"/>
      <c r="KZU56" s="279"/>
      <c r="KZV56" s="89"/>
      <c r="KZW56" s="5"/>
      <c r="KZX56" s="4"/>
      <c r="KZY56" s="279"/>
      <c r="KZZ56" s="89"/>
      <c r="LAA56" s="5"/>
      <c r="LAB56" s="4"/>
      <c r="LAC56" s="279"/>
      <c r="LAD56" s="89"/>
      <c r="LAE56" s="5"/>
      <c r="LAF56" s="4"/>
      <c r="LAG56" s="279"/>
      <c r="LAH56" s="89"/>
      <c r="LAI56" s="5"/>
      <c r="LAJ56" s="4"/>
      <c r="LAK56" s="279"/>
      <c r="LAL56" s="89"/>
      <c r="LAM56" s="5"/>
      <c r="LAN56" s="4"/>
      <c r="LAO56" s="279"/>
      <c r="LAP56" s="89"/>
      <c r="LAQ56" s="5"/>
      <c r="LAR56" s="4"/>
      <c r="LAS56" s="279"/>
      <c r="LAT56" s="89"/>
      <c r="LAU56" s="5"/>
      <c r="LAV56" s="4"/>
      <c r="LAW56" s="279"/>
      <c r="LAX56" s="89"/>
      <c r="LAY56" s="5"/>
      <c r="LAZ56" s="4"/>
      <c r="LBA56" s="279"/>
      <c r="LBB56" s="89"/>
      <c r="LBC56" s="5"/>
      <c r="LBD56" s="4"/>
      <c r="LBE56" s="279"/>
      <c r="LBF56" s="89"/>
      <c r="LBG56" s="5"/>
      <c r="LBH56" s="4"/>
      <c r="LBI56" s="279"/>
      <c r="LBJ56" s="89"/>
      <c r="LBK56" s="5"/>
      <c r="LBL56" s="4"/>
      <c r="LBM56" s="279"/>
      <c r="LBN56" s="89"/>
      <c r="LBO56" s="5"/>
      <c r="LBP56" s="4"/>
      <c r="LBQ56" s="279"/>
      <c r="LBR56" s="89"/>
      <c r="LBS56" s="5"/>
      <c r="LBT56" s="4"/>
      <c r="LBU56" s="279"/>
      <c r="LBV56" s="89"/>
      <c r="LBW56" s="5"/>
      <c r="LBX56" s="4"/>
      <c r="LBY56" s="279"/>
      <c r="LBZ56" s="89"/>
      <c r="LCA56" s="5"/>
      <c r="LCB56" s="4"/>
      <c r="LCC56" s="279"/>
      <c r="LCD56" s="89"/>
      <c r="LCE56" s="5"/>
      <c r="LCF56" s="4"/>
      <c r="LCG56" s="279"/>
      <c r="LCH56" s="89"/>
      <c r="LCI56" s="5"/>
      <c r="LCJ56" s="4"/>
      <c r="LCK56" s="279"/>
      <c r="LCL56" s="89"/>
      <c r="LCM56" s="5"/>
      <c r="LCN56" s="4"/>
      <c r="LCO56" s="279"/>
      <c r="LCP56" s="89"/>
      <c r="LCQ56" s="5"/>
      <c r="LCR56" s="4"/>
      <c r="LCS56" s="279"/>
      <c r="LCT56" s="89"/>
      <c r="LCU56" s="5"/>
      <c r="LCV56" s="4"/>
      <c r="LCW56" s="279"/>
      <c r="LCX56" s="89"/>
      <c r="LCY56" s="5"/>
      <c r="LCZ56" s="4"/>
      <c r="LDA56" s="279"/>
      <c r="LDB56" s="89"/>
      <c r="LDC56" s="5"/>
      <c r="LDD56" s="4"/>
      <c r="LDE56" s="279"/>
      <c r="LDF56" s="89"/>
      <c r="LDG56" s="5"/>
      <c r="LDH56" s="4"/>
      <c r="LDI56" s="279"/>
      <c r="LDJ56" s="89"/>
      <c r="LDK56" s="5"/>
      <c r="LDL56" s="4"/>
      <c r="LDM56" s="279"/>
      <c r="LDN56" s="89"/>
      <c r="LDO56" s="5"/>
      <c r="LDP56" s="4"/>
      <c r="LDQ56" s="279"/>
      <c r="LDR56" s="89"/>
      <c r="LDS56" s="5"/>
      <c r="LDT56" s="4"/>
      <c r="LDU56" s="279"/>
      <c r="LDV56" s="89"/>
      <c r="LDW56" s="5"/>
      <c r="LDX56" s="4"/>
      <c r="LDY56" s="279"/>
      <c r="LDZ56" s="89"/>
      <c r="LEA56" s="5"/>
      <c r="LEB56" s="4"/>
      <c r="LEC56" s="279"/>
      <c r="LED56" s="89"/>
      <c r="LEE56" s="5"/>
      <c r="LEF56" s="4"/>
      <c r="LEG56" s="279"/>
      <c r="LEH56" s="89"/>
      <c r="LEI56" s="5"/>
      <c r="LEJ56" s="4"/>
      <c r="LEK56" s="279"/>
      <c r="LEL56" s="89"/>
      <c r="LEM56" s="5"/>
      <c r="LEN56" s="4"/>
      <c r="LEO56" s="279"/>
      <c r="LEP56" s="89"/>
      <c r="LEQ56" s="5"/>
      <c r="LER56" s="4"/>
      <c r="LES56" s="279"/>
      <c r="LET56" s="89"/>
      <c r="LEU56" s="5"/>
      <c r="LEV56" s="4"/>
      <c r="LEW56" s="279"/>
      <c r="LEX56" s="89"/>
      <c r="LEY56" s="5"/>
      <c r="LEZ56" s="4"/>
      <c r="LFA56" s="279"/>
      <c r="LFB56" s="89"/>
      <c r="LFC56" s="5"/>
      <c r="LFD56" s="4"/>
      <c r="LFE56" s="279"/>
      <c r="LFF56" s="89"/>
      <c r="LFG56" s="5"/>
      <c r="LFH56" s="4"/>
      <c r="LFI56" s="279"/>
      <c r="LFJ56" s="89"/>
      <c r="LFK56" s="5"/>
      <c r="LFL56" s="4"/>
      <c r="LFM56" s="279"/>
      <c r="LFN56" s="89"/>
      <c r="LFO56" s="5"/>
      <c r="LFP56" s="4"/>
      <c r="LFQ56" s="279"/>
      <c r="LFR56" s="89"/>
      <c r="LFS56" s="5"/>
      <c r="LFT56" s="4"/>
      <c r="LFU56" s="279"/>
      <c r="LFV56" s="89"/>
      <c r="LFW56" s="5"/>
      <c r="LFX56" s="4"/>
      <c r="LFY56" s="279"/>
      <c r="LFZ56" s="89"/>
      <c r="LGA56" s="5"/>
      <c r="LGB56" s="4"/>
      <c r="LGC56" s="279"/>
      <c r="LGD56" s="89"/>
      <c r="LGE56" s="5"/>
      <c r="LGF56" s="4"/>
      <c r="LGG56" s="279"/>
      <c r="LGH56" s="89"/>
      <c r="LGI56" s="5"/>
      <c r="LGJ56" s="4"/>
      <c r="LGK56" s="279"/>
      <c r="LGL56" s="89"/>
      <c r="LGM56" s="5"/>
      <c r="LGN56" s="4"/>
      <c r="LGO56" s="279"/>
      <c r="LGP56" s="89"/>
      <c r="LGQ56" s="5"/>
      <c r="LGR56" s="4"/>
      <c r="LGS56" s="279"/>
      <c r="LGT56" s="89"/>
      <c r="LGU56" s="5"/>
      <c r="LGV56" s="4"/>
      <c r="LGW56" s="279"/>
      <c r="LGX56" s="89"/>
      <c r="LGY56" s="5"/>
      <c r="LGZ56" s="4"/>
      <c r="LHA56" s="279"/>
      <c r="LHB56" s="89"/>
      <c r="LHC56" s="5"/>
      <c r="LHD56" s="4"/>
      <c r="LHE56" s="279"/>
      <c r="LHF56" s="89"/>
      <c r="LHG56" s="5"/>
      <c r="LHH56" s="4"/>
      <c r="LHI56" s="279"/>
      <c r="LHJ56" s="89"/>
      <c r="LHK56" s="5"/>
      <c r="LHL56" s="4"/>
      <c r="LHM56" s="279"/>
      <c r="LHN56" s="89"/>
      <c r="LHO56" s="5"/>
      <c r="LHP56" s="4"/>
      <c r="LHQ56" s="279"/>
      <c r="LHR56" s="89"/>
      <c r="LHS56" s="5"/>
      <c r="LHT56" s="4"/>
      <c r="LHU56" s="279"/>
      <c r="LHV56" s="89"/>
      <c r="LHW56" s="5"/>
      <c r="LHX56" s="4"/>
      <c r="LHY56" s="279"/>
      <c r="LHZ56" s="89"/>
      <c r="LIA56" s="5"/>
      <c r="LIB56" s="4"/>
      <c r="LIC56" s="279"/>
      <c r="LID56" s="89"/>
      <c r="LIE56" s="5"/>
      <c r="LIF56" s="4"/>
      <c r="LIG56" s="279"/>
      <c r="LIH56" s="89"/>
      <c r="LII56" s="5"/>
      <c r="LIJ56" s="4"/>
      <c r="LIK56" s="279"/>
      <c r="LIL56" s="89"/>
      <c r="LIM56" s="5"/>
      <c r="LIN56" s="4"/>
      <c r="LIO56" s="279"/>
      <c r="LIP56" s="89"/>
      <c r="LIQ56" s="5"/>
      <c r="LIR56" s="4"/>
      <c r="LIS56" s="279"/>
      <c r="LIT56" s="89"/>
      <c r="LIU56" s="5"/>
      <c r="LIV56" s="4"/>
      <c r="LIW56" s="279"/>
      <c r="LIX56" s="89"/>
      <c r="LIY56" s="5"/>
      <c r="LIZ56" s="4"/>
      <c r="LJA56" s="279"/>
      <c r="LJB56" s="89"/>
      <c r="LJC56" s="5"/>
      <c r="LJD56" s="4"/>
      <c r="LJE56" s="279"/>
      <c r="LJF56" s="89"/>
      <c r="LJG56" s="5"/>
      <c r="LJH56" s="4"/>
      <c r="LJI56" s="279"/>
      <c r="LJJ56" s="89"/>
      <c r="LJK56" s="5"/>
      <c r="LJL56" s="4"/>
      <c r="LJM56" s="279"/>
      <c r="LJN56" s="89"/>
      <c r="LJO56" s="5"/>
      <c r="LJP56" s="4"/>
      <c r="LJQ56" s="279"/>
      <c r="LJR56" s="89"/>
      <c r="LJS56" s="5"/>
      <c r="LJT56" s="4"/>
      <c r="LJU56" s="279"/>
      <c r="LJV56" s="89"/>
      <c r="LJW56" s="5"/>
      <c r="LJX56" s="4"/>
      <c r="LJY56" s="279"/>
      <c r="LJZ56" s="89"/>
      <c r="LKA56" s="5"/>
      <c r="LKB56" s="4"/>
      <c r="LKC56" s="279"/>
      <c r="LKD56" s="89"/>
      <c r="LKE56" s="5"/>
      <c r="LKF56" s="4"/>
      <c r="LKG56" s="279"/>
      <c r="LKH56" s="89"/>
      <c r="LKI56" s="5"/>
      <c r="LKJ56" s="4"/>
      <c r="LKK56" s="279"/>
      <c r="LKL56" s="89"/>
      <c r="LKM56" s="5"/>
      <c r="LKN56" s="4"/>
      <c r="LKO56" s="279"/>
      <c r="LKP56" s="89"/>
      <c r="LKQ56" s="5"/>
      <c r="LKR56" s="4"/>
      <c r="LKS56" s="279"/>
      <c r="LKT56" s="89"/>
      <c r="LKU56" s="5"/>
      <c r="LKV56" s="4"/>
      <c r="LKW56" s="279"/>
      <c r="LKX56" s="89"/>
      <c r="LKY56" s="5"/>
      <c r="LKZ56" s="4"/>
      <c r="LLA56" s="279"/>
      <c r="LLB56" s="89"/>
      <c r="LLC56" s="5"/>
      <c r="LLD56" s="4"/>
      <c r="LLE56" s="279"/>
      <c r="LLF56" s="89"/>
      <c r="LLG56" s="5"/>
      <c r="LLH56" s="4"/>
      <c r="LLI56" s="279"/>
      <c r="LLJ56" s="89"/>
      <c r="LLK56" s="5"/>
      <c r="LLL56" s="4"/>
      <c r="LLM56" s="279"/>
      <c r="LLN56" s="89"/>
      <c r="LLO56" s="5"/>
      <c r="LLP56" s="4"/>
      <c r="LLQ56" s="279"/>
      <c r="LLR56" s="89"/>
      <c r="LLS56" s="5"/>
      <c r="LLT56" s="4"/>
      <c r="LLU56" s="279"/>
      <c r="LLV56" s="89"/>
      <c r="LLW56" s="5"/>
      <c r="LLX56" s="4"/>
      <c r="LLY56" s="279"/>
      <c r="LLZ56" s="89"/>
      <c r="LMA56" s="5"/>
      <c r="LMB56" s="4"/>
      <c r="LMC56" s="279"/>
      <c r="LMD56" s="89"/>
      <c r="LME56" s="5"/>
      <c r="LMF56" s="4"/>
      <c r="LMG56" s="279"/>
      <c r="LMH56" s="89"/>
      <c r="LMI56" s="5"/>
      <c r="LMJ56" s="4"/>
      <c r="LMK56" s="279"/>
      <c r="LML56" s="89"/>
      <c r="LMM56" s="5"/>
      <c r="LMN56" s="4"/>
      <c r="LMO56" s="279"/>
      <c r="LMP56" s="89"/>
      <c r="LMQ56" s="5"/>
      <c r="LMR56" s="4"/>
      <c r="LMS56" s="279"/>
      <c r="LMT56" s="89"/>
      <c r="LMU56" s="5"/>
      <c r="LMV56" s="4"/>
      <c r="LMW56" s="279"/>
      <c r="LMX56" s="89"/>
      <c r="LMY56" s="5"/>
      <c r="LMZ56" s="4"/>
      <c r="LNA56" s="279"/>
      <c r="LNB56" s="89"/>
      <c r="LNC56" s="5"/>
      <c r="LND56" s="4"/>
      <c r="LNE56" s="279"/>
      <c r="LNF56" s="89"/>
      <c r="LNG56" s="5"/>
      <c r="LNH56" s="4"/>
      <c r="LNI56" s="279"/>
      <c r="LNJ56" s="89"/>
      <c r="LNK56" s="5"/>
      <c r="LNL56" s="4"/>
      <c r="LNM56" s="279"/>
      <c r="LNN56" s="89"/>
      <c r="LNO56" s="5"/>
      <c r="LNP56" s="4"/>
      <c r="LNQ56" s="279"/>
      <c r="LNR56" s="89"/>
      <c r="LNS56" s="5"/>
      <c r="LNT56" s="4"/>
      <c r="LNU56" s="279"/>
      <c r="LNV56" s="89"/>
      <c r="LNW56" s="5"/>
      <c r="LNX56" s="4"/>
      <c r="LNY56" s="279"/>
      <c r="LNZ56" s="89"/>
      <c r="LOA56" s="5"/>
      <c r="LOB56" s="4"/>
      <c r="LOC56" s="279"/>
      <c r="LOD56" s="89"/>
      <c r="LOE56" s="5"/>
      <c r="LOF56" s="4"/>
      <c r="LOG56" s="279"/>
      <c r="LOH56" s="89"/>
      <c r="LOI56" s="5"/>
      <c r="LOJ56" s="4"/>
      <c r="LOK56" s="279"/>
      <c r="LOL56" s="89"/>
      <c r="LOM56" s="5"/>
      <c r="LON56" s="4"/>
      <c r="LOO56" s="279"/>
      <c r="LOP56" s="89"/>
      <c r="LOQ56" s="5"/>
      <c r="LOR56" s="4"/>
      <c r="LOS56" s="279"/>
      <c r="LOT56" s="89"/>
      <c r="LOU56" s="5"/>
      <c r="LOV56" s="4"/>
      <c r="LOW56" s="279"/>
      <c r="LOX56" s="89"/>
      <c r="LOY56" s="5"/>
      <c r="LOZ56" s="4"/>
      <c r="LPA56" s="279"/>
      <c r="LPB56" s="89"/>
      <c r="LPC56" s="5"/>
      <c r="LPD56" s="4"/>
      <c r="LPE56" s="279"/>
      <c r="LPF56" s="89"/>
      <c r="LPG56" s="5"/>
      <c r="LPH56" s="4"/>
      <c r="LPI56" s="279"/>
      <c r="LPJ56" s="89"/>
      <c r="LPK56" s="5"/>
      <c r="LPL56" s="4"/>
      <c r="LPM56" s="279"/>
      <c r="LPN56" s="89"/>
      <c r="LPO56" s="5"/>
      <c r="LPP56" s="4"/>
      <c r="LPQ56" s="279"/>
      <c r="LPR56" s="89"/>
      <c r="LPS56" s="5"/>
      <c r="LPT56" s="4"/>
      <c r="LPU56" s="279"/>
      <c r="LPV56" s="89"/>
      <c r="LPW56" s="5"/>
      <c r="LPX56" s="4"/>
      <c r="LPY56" s="279"/>
      <c r="LPZ56" s="89"/>
      <c r="LQA56" s="5"/>
      <c r="LQB56" s="4"/>
      <c r="LQC56" s="279"/>
      <c r="LQD56" s="89"/>
      <c r="LQE56" s="5"/>
      <c r="LQF56" s="4"/>
      <c r="LQG56" s="279"/>
      <c r="LQH56" s="89"/>
      <c r="LQI56" s="5"/>
      <c r="LQJ56" s="4"/>
      <c r="LQK56" s="279"/>
      <c r="LQL56" s="89"/>
      <c r="LQM56" s="5"/>
      <c r="LQN56" s="4"/>
      <c r="LQO56" s="279"/>
      <c r="LQP56" s="89"/>
      <c r="LQQ56" s="5"/>
      <c r="LQR56" s="4"/>
      <c r="LQS56" s="279"/>
      <c r="LQT56" s="89"/>
      <c r="LQU56" s="5"/>
      <c r="LQV56" s="4"/>
      <c r="LQW56" s="279"/>
      <c r="LQX56" s="89"/>
      <c r="LQY56" s="5"/>
      <c r="LQZ56" s="4"/>
      <c r="LRA56" s="279"/>
      <c r="LRB56" s="89"/>
      <c r="LRC56" s="5"/>
      <c r="LRD56" s="4"/>
      <c r="LRE56" s="279"/>
      <c r="LRF56" s="89"/>
      <c r="LRG56" s="5"/>
      <c r="LRH56" s="4"/>
      <c r="LRI56" s="279"/>
      <c r="LRJ56" s="89"/>
      <c r="LRK56" s="5"/>
      <c r="LRL56" s="4"/>
      <c r="LRM56" s="279"/>
      <c r="LRN56" s="89"/>
      <c r="LRO56" s="5"/>
      <c r="LRP56" s="4"/>
      <c r="LRQ56" s="279"/>
      <c r="LRR56" s="89"/>
      <c r="LRS56" s="5"/>
      <c r="LRT56" s="4"/>
      <c r="LRU56" s="279"/>
      <c r="LRV56" s="89"/>
      <c r="LRW56" s="5"/>
      <c r="LRX56" s="4"/>
      <c r="LRY56" s="279"/>
      <c r="LRZ56" s="89"/>
      <c r="LSA56" s="5"/>
      <c r="LSB56" s="4"/>
      <c r="LSC56" s="279"/>
      <c r="LSD56" s="89"/>
      <c r="LSE56" s="5"/>
      <c r="LSF56" s="4"/>
      <c r="LSG56" s="279"/>
      <c r="LSH56" s="89"/>
      <c r="LSI56" s="5"/>
      <c r="LSJ56" s="4"/>
      <c r="LSK56" s="279"/>
      <c r="LSL56" s="89"/>
      <c r="LSM56" s="5"/>
      <c r="LSN56" s="4"/>
      <c r="LSO56" s="279"/>
      <c r="LSP56" s="89"/>
      <c r="LSQ56" s="5"/>
      <c r="LSR56" s="4"/>
      <c r="LSS56" s="279"/>
      <c r="LST56" s="89"/>
      <c r="LSU56" s="5"/>
      <c r="LSV56" s="4"/>
      <c r="LSW56" s="279"/>
      <c r="LSX56" s="89"/>
      <c r="LSY56" s="5"/>
      <c r="LSZ56" s="4"/>
      <c r="LTA56" s="279"/>
      <c r="LTB56" s="89"/>
      <c r="LTC56" s="5"/>
      <c r="LTD56" s="4"/>
      <c r="LTE56" s="279"/>
      <c r="LTF56" s="89"/>
      <c r="LTG56" s="5"/>
      <c r="LTH56" s="4"/>
      <c r="LTI56" s="279"/>
      <c r="LTJ56" s="89"/>
      <c r="LTK56" s="5"/>
      <c r="LTL56" s="4"/>
      <c r="LTM56" s="279"/>
      <c r="LTN56" s="89"/>
      <c r="LTO56" s="5"/>
      <c r="LTP56" s="4"/>
      <c r="LTQ56" s="279"/>
      <c r="LTR56" s="89"/>
      <c r="LTS56" s="5"/>
      <c r="LTT56" s="4"/>
      <c r="LTU56" s="279"/>
      <c r="LTV56" s="89"/>
      <c r="LTW56" s="5"/>
      <c r="LTX56" s="4"/>
      <c r="LTY56" s="279"/>
      <c r="LTZ56" s="89"/>
      <c r="LUA56" s="5"/>
      <c r="LUB56" s="4"/>
      <c r="LUC56" s="279"/>
      <c r="LUD56" s="89"/>
      <c r="LUE56" s="5"/>
      <c r="LUF56" s="4"/>
      <c r="LUG56" s="279"/>
      <c r="LUH56" s="89"/>
      <c r="LUI56" s="5"/>
      <c r="LUJ56" s="4"/>
      <c r="LUK56" s="279"/>
      <c r="LUL56" s="89"/>
      <c r="LUM56" s="5"/>
      <c r="LUN56" s="4"/>
      <c r="LUO56" s="279"/>
      <c r="LUP56" s="89"/>
      <c r="LUQ56" s="5"/>
      <c r="LUR56" s="4"/>
      <c r="LUS56" s="279"/>
      <c r="LUT56" s="89"/>
      <c r="LUU56" s="5"/>
      <c r="LUV56" s="4"/>
      <c r="LUW56" s="279"/>
      <c r="LUX56" s="89"/>
      <c r="LUY56" s="5"/>
      <c r="LUZ56" s="4"/>
      <c r="LVA56" s="279"/>
      <c r="LVB56" s="89"/>
      <c r="LVC56" s="5"/>
      <c r="LVD56" s="4"/>
      <c r="LVE56" s="279"/>
      <c r="LVF56" s="89"/>
      <c r="LVG56" s="5"/>
      <c r="LVH56" s="4"/>
      <c r="LVI56" s="279"/>
      <c r="LVJ56" s="89"/>
      <c r="LVK56" s="5"/>
      <c r="LVL56" s="4"/>
      <c r="LVM56" s="279"/>
      <c r="LVN56" s="89"/>
      <c r="LVO56" s="5"/>
      <c r="LVP56" s="4"/>
      <c r="LVQ56" s="279"/>
      <c r="LVR56" s="89"/>
      <c r="LVS56" s="5"/>
      <c r="LVT56" s="4"/>
      <c r="LVU56" s="279"/>
      <c r="LVV56" s="89"/>
      <c r="LVW56" s="5"/>
      <c r="LVX56" s="4"/>
      <c r="LVY56" s="279"/>
      <c r="LVZ56" s="89"/>
      <c r="LWA56" s="5"/>
      <c r="LWB56" s="4"/>
      <c r="LWC56" s="279"/>
      <c r="LWD56" s="89"/>
      <c r="LWE56" s="5"/>
      <c r="LWF56" s="4"/>
      <c r="LWG56" s="279"/>
      <c r="LWH56" s="89"/>
      <c r="LWI56" s="5"/>
      <c r="LWJ56" s="4"/>
      <c r="LWK56" s="279"/>
      <c r="LWL56" s="89"/>
      <c r="LWM56" s="5"/>
      <c r="LWN56" s="4"/>
      <c r="LWO56" s="279"/>
      <c r="LWP56" s="89"/>
      <c r="LWQ56" s="5"/>
      <c r="LWR56" s="4"/>
      <c r="LWS56" s="279"/>
      <c r="LWT56" s="89"/>
      <c r="LWU56" s="5"/>
      <c r="LWV56" s="4"/>
      <c r="LWW56" s="279"/>
      <c r="LWX56" s="89"/>
      <c r="LWY56" s="5"/>
      <c r="LWZ56" s="4"/>
      <c r="LXA56" s="279"/>
      <c r="LXB56" s="89"/>
      <c r="LXC56" s="5"/>
      <c r="LXD56" s="4"/>
      <c r="LXE56" s="279"/>
      <c r="LXF56" s="89"/>
      <c r="LXG56" s="5"/>
      <c r="LXH56" s="4"/>
      <c r="LXI56" s="279"/>
      <c r="LXJ56" s="89"/>
      <c r="LXK56" s="5"/>
      <c r="LXL56" s="4"/>
      <c r="LXM56" s="279"/>
      <c r="LXN56" s="89"/>
      <c r="LXO56" s="5"/>
      <c r="LXP56" s="4"/>
      <c r="LXQ56" s="279"/>
      <c r="LXR56" s="89"/>
      <c r="LXS56" s="5"/>
      <c r="LXT56" s="4"/>
      <c r="LXU56" s="279"/>
      <c r="LXV56" s="89"/>
      <c r="LXW56" s="5"/>
      <c r="LXX56" s="4"/>
      <c r="LXY56" s="279"/>
      <c r="LXZ56" s="89"/>
      <c r="LYA56" s="5"/>
      <c r="LYB56" s="4"/>
      <c r="LYC56" s="279"/>
      <c r="LYD56" s="89"/>
      <c r="LYE56" s="5"/>
      <c r="LYF56" s="4"/>
      <c r="LYG56" s="279"/>
      <c r="LYH56" s="89"/>
      <c r="LYI56" s="5"/>
      <c r="LYJ56" s="4"/>
      <c r="LYK56" s="279"/>
      <c r="LYL56" s="89"/>
      <c r="LYM56" s="5"/>
      <c r="LYN56" s="4"/>
      <c r="LYO56" s="279"/>
      <c r="LYP56" s="89"/>
      <c r="LYQ56" s="5"/>
      <c r="LYR56" s="4"/>
      <c r="LYS56" s="279"/>
      <c r="LYT56" s="89"/>
      <c r="LYU56" s="5"/>
      <c r="LYV56" s="4"/>
      <c r="LYW56" s="279"/>
      <c r="LYX56" s="89"/>
      <c r="LYY56" s="5"/>
      <c r="LYZ56" s="4"/>
      <c r="LZA56" s="279"/>
      <c r="LZB56" s="89"/>
      <c r="LZC56" s="5"/>
      <c r="LZD56" s="4"/>
      <c r="LZE56" s="279"/>
      <c r="LZF56" s="89"/>
      <c r="LZG56" s="5"/>
      <c r="LZH56" s="4"/>
      <c r="LZI56" s="279"/>
      <c r="LZJ56" s="89"/>
      <c r="LZK56" s="5"/>
      <c r="LZL56" s="4"/>
      <c r="LZM56" s="279"/>
      <c r="LZN56" s="89"/>
      <c r="LZO56" s="5"/>
      <c r="LZP56" s="4"/>
      <c r="LZQ56" s="279"/>
      <c r="LZR56" s="89"/>
      <c r="LZS56" s="5"/>
      <c r="LZT56" s="4"/>
      <c r="LZU56" s="279"/>
      <c r="LZV56" s="89"/>
      <c r="LZW56" s="5"/>
      <c r="LZX56" s="4"/>
      <c r="LZY56" s="279"/>
      <c r="LZZ56" s="89"/>
      <c r="MAA56" s="5"/>
      <c r="MAB56" s="4"/>
      <c r="MAC56" s="279"/>
      <c r="MAD56" s="89"/>
      <c r="MAE56" s="5"/>
      <c r="MAF56" s="4"/>
      <c r="MAG56" s="279"/>
      <c r="MAH56" s="89"/>
      <c r="MAI56" s="5"/>
      <c r="MAJ56" s="4"/>
      <c r="MAK56" s="279"/>
      <c r="MAL56" s="89"/>
      <c r="MAM56" s="5"/>
      <c r="MAN56" s="4"/>
      <c r="MAO56" s="279"/>
      <c r="MAP56" s="89"/>
      <c r="MAQ56" s="5"/>
      <c r="MAR56" s="4"/>
      <c r="MAS56" s="279"/>
      <c r="MAT56" s="89"/>
      <c r="MAU56" s="5"/>
      <c r="MAV56" s="4"/>
      <c r="MAW56" s="279"/>
      <c r="MAX56" s="89"/>
      <c r="MAY56" s="5"/>
      <c r="MAZ56" s="4"/>
      <c r="MBA56" s="279"/>
      <c r="MBB56" s="89"/>
      <c r="MBC56" s="5"/>
      <c r="MBD56" s="4"/>
      <c r="MBE56" s="279"/>
      <c r="MBF56" s="89"/>
      <c r="MBG56" s="5"/>
      <c r="MBH56" s="4"/>
      <c r="MBI56" s="279"/>
      <c r="MBJ56" s="89"/>
      <c r="MBK56" s="5"/>
      <c r="MBL56" s="4"/>
      <c r="MBM56" s="279"/>
      <c r="MBN56" s="89"/>
      <c r="MBO56" s="5"/>
      <c r="MBP56" s="4"/>
      <c r="MBQ56" s="279"/>
      <c r="MBR56" s="89"/>
      <c r="MBS56" s="5"/>
      <c r="MBT56" s="4"/>
      <c r="MBU56" s="279"/>
      <c r="MBV56" s="89"/>
      <c r="MBW56" s="5"/>
      <c r="MBX56" s="4"/>
      <c r="MBY56" s="279"/>
      <c r="MBZ56" s="89"/>
      <c r="MCA56" s="5"/>
      <c r="MCB56" s="4"/>
      <c r="MCC56" s="279"/>
      <c r="MCD56" s="89"/>
      <c r="MCE56" s="5"/>
      <c r="MCF56" s="4"/>
      <c r="MCG56" s="279"/>
      <c r="MCH56" s="89"/>
      <c r="MCI56" s="5"/>
      <c r="MCJ56" s="4"/>
      <c r="MCK56" s="279"/>
      <c r="MCL56" s="89"/>
      <c r="MCM56" s="5"/>
      <c r="MCN56" s="4"/>
      <c r="MCO56" s="279"/>
      <c r="MCP56" s="89"/>
      <c r="MCQ56" s="5"/>
      <c r="MCR56" s="4"/>
      <c r="MCS56" s="279"/>
      <c r="MCT56" s="89"/>
      <c r="MCU56" s="5"/>
      <c r="MCV56" s="4"/>
      <c r="MCW56" s="279"/>
      <c r="MCX56" s="89"/>
      <c r="MCY56" s="5"/>
      <c r="MCZ56" s="4"/>
      <c r="MDA56" s="279"/>
      <c r="MDB56" s="89"/>
      <c r="MDC56" s="5"/>
      <c r="MDD56" s="4"/>
      <c r="MDE56" s="279"/>
      <c r="MDF56" s="89"/>
      <c r="MDG56" s="5"/>
      <c r="MDH56" s="4"/>
      <c r="MDI56" s="279"/>
      <c r="MDJ56" s="89"/>
      <c r="MDK56" s="5"/>
      <c r="MDL56" s="4"/>
      <c r="MDM56" s="279"/>
      <c r="MDN56" s="89"/>
      <c r="MDO56" s="5"/>
      <c r="MDP56" s="4"/>
      <c r="MDQ56" s="279"/>
      <c r="MDR56" s="89"/>
      <c r="MDS56" s="5"/>
      <c r="MDT56" s="4"/>
      <c r="MDU56" s="279"/>
      <c r="MDV56" s="89"/>
      <c r="MDW56" s="5"/>
      <c r="MDX56" s="4"/>
      <c r="MDY56" s="279"/>
      <c r="MDZ56" s="89"/>
      <c r="MEA56" s="5"/>
      <c r="MEB56" s="4"/>
      <c r="MEC56" s="279"/>
      <c r="MED56" s="89"/>
      <c r="MEE56" s="5"/>
      <c r="MEF56" s="4"/>
      <c r="MEG56" s="279"/>
      <c r="MEH56" s="89"/>
      <c r="MEI56" s="5"/>
      <c r="MEJ56" s="4"/>
      <c r="MEK56" s="279"/>
      <c r="MEL56" s="89"/>
      <c r="MEM56" s="5"/>
      <c r="MEN56" s="4"/>
      <c r="MEO56" s="279"/>
      <c r="MEP56" s="89"/>
      <c r="MEQ56" s="5"/>
      <c r="MER56" s="4"/>
      <c r="MES56" s="279"/>
      <c r="MET56" s="89"/>
      <c r="MEU56" s="5"/>
      <c r="MEV56" s="4"/>
      <c r="MEW56" s="279"/>
      <c r="MEX56" s="89"/>
      <c r="MEY56" s="5"/>
      <c r="MEZ56" s="4"/>
      <c r="MFA56" s="279"/>
      <c r="MFB56" s="89"/>
      <c r="MFC56" s="5"/>
      <c r="MFD56" s="4"/>
      <c r="MFE56" s="279"/>
      <c r="MFF56" s="89"/>
      <c r="MFG56" s="5"/>
      <c r="MFH56" s="4"/>
      <c r="MFI56" s="279"/>
      <c r="MFJ56" s="89"/>
      <c r="MFK56" s="5"/>
      <c r="MFL56" s="4"/>
      <c r="MFM56" s="279"/>
      <c r="MFN56" s="89"/>
      <c r="MFO56" s="5"/>
      <c r="MFP56" s="4"/>
      <c r="MFQ56" s="279"/>
      <c r="MFR56" s="89"/>
      <c r="MFS56" s="5"/>
      <c r="MFT56" s="4"/>
      <c r="MFU56" s="279"/>
      <c r="MFV56" s="89"/>
      <c r="MFW56" s="5"/>
      <c r="MFX56" s="4"/>
      <c r="MFY56" s="279"/>
      <c r="MFZ56" s="89"/>
      <c r="MGA56" s="5"/>
      <c r="MGB56" s="4"/>
      <c r="MGC56" s="279"/>
      <c r="MGD56" s="89"/>
      <c r="MGE56" s="5"/>
      <c r="MGF56" s="4"/>
      <c r="MGG56" s="279"/>
      <c r="MGH56" s="89"/>
      <c r="MGI56" s="5"/>
      <c r="MGJ56" s="4"/>
      <c r="MGK56" s="279"/>
      <c r="MGL56" s="89"/>
      <c r="MGM56" s="5"/>
      <c r="MGN56" s="4"/>
      <c r="MGO56" s="279"/>
      <c r="MGP56" s="89"/>
      <c r="MGQ56" s="5"/>
      <c r="MGR56" s="4"/>
      <c r="MGS56" s="279"/>
      <c r="MGT56" s="89"/>
      <c r="MGU56" s="5"/>
      <c r="MGV56" s="4"/>
      <c r="MGW56" s="279"/>
      <c r="MGX56" s="89"/>
      <c r="MGY56" s="5"/>
      <c r="MGZ56" s="4"/>
      <c r="MHA56" s="279"/>
      <c r="MHB56" s="89"/>
      <c r="MHC56" s="5"/>
      <c r="MHD56" s="4"/>
      <c r="MHE56" s="279"/>
      <c r="MHF56" s="89"/>
      <c r="MHG56" s="5"/>
      <c r="MHH56" s="4"/>
      <c r="MHI56" s="279"/>
      <c r="MHJ56" s="89"/>
      <c r="MHK56" s="5"/>
      <c r="MHL56" s="4"/>
      <c r="MHM56" s="279"/>
      <c r="MHN56" s="89"/>
      <c r="MHO56" s="5"/>
      <c r="MHP56" s="4"/>
      <c r="MHQ56" s="279"/>
      <c r="MHR56" s="89"/>
      <c r="MHS56" s="5"/>
      <c r="MHT56" s="4"/>
      <c r="MHU56" s="279"/>
      <c r="MHV56" s="89"/>
      <c r="MHW56" s="5"/>
      <c r="MHX56" s="4"/>
      <c r="MHY56" s="279"/>
      <c r="MHZ56" s="89"/>
      <c r="MIA56" s="5"/>
      <c r="MIB56" s="4"/>
      <c r="MIC56" s="279"/>
      <c r="MID56" s="89"/>
      <c r="MIE56" s="5"/>
      <c r="MIF56" s="4"/>
      <c r="MIG56" s="279"/>
      <c r="MIH56" s="89"/>
      <c r="MII56" s="5"/>
      <c r="MIJ56" s="4"/>
      <c r="MIK56" s="279"/>
      <c r="MIL56" s="89"/>
      <c r="MIM56" s="5"/>
      <c r="MIN56" s="4"/>
      <c r="MIO56" s="279"/>
      <c r="MIP56" s="89"/>
      <c r="MIQ56" s="5"/>
      <c r="MIR56" s="4"/>
      <c r="MIS56" s="279"/>
      <c r="MIT56" s="89"/>
      <c r="MIU56" s="5"/>
      <c r="MIV56" s="4"/>
      <c r="MIW56" s="279"/>
      <c r="MIX56" s="89"/>
      <c r="MIY56" s="5"/>
      <c r="MIZ56" s="4"/>
      <c r="MJA56" s="279"/>
      <c r="MJB56" s="89"/>
      <c r="MJC56" s="5"/>
      <c r="MJD56" s="4"/>
      <c r="MJE56" s="279"/>
      <c r="MJF56" s="89"/>
      <c r="MJG56" s="5"/>
      <c r="MJH56" s="4"/>
      <c r="MJI56" s="279"/>
      <c r="MJJ56" s="89"/>
      <c r="MJK56" s="5"/>
      <c r="MJL56" s="4"/>
      <c r="MJM56" s="279"/>
      <c r="MJN56" s="89"/>
      <c r="MJO56" s="5"/>
      <c r="MJP56" s="4"/>
      <c r="MJQ56" s="279"/>
      <c r="MJR56" s="89"/>
      <c r="MJS56" s="5"/>
      <c r="MJT56" s="4"/>
      <c r="MJU56" s="279"/>
      <c r="MJV56" s="89"/>
      <c r="MJW56" s="5"/>
      <c r="MJX56" s="4"/>
      <c r="MJY56" s="279"/>
      <c r="MJZ56" s="89"/>
      <c r="MKA56" s="5"/>
      <c r="MKB56" s="4"/>
      <c r="MKC56" s="279"/>
      <c r="MKD56" s="89"/>
      <c r="MKE56" s="5"/>
      <c r="MKF56" s="4"/>
      <c r="MKG56" s="279"/>
      <c r="MKH56" s="89"/>
      <c r="MKI56" s="5"/>
      <c r="MKJ56" s="4"/>
      <c r="MKK56" s="279"/>
      <c r="MKL56" s="89"/>
      <c r="MKM56" s="5"/>
      <c r="MKN56" s="4"/>
      <c r="MKO56" s="279"/>
      <c r="MKP56" s="89"/>
      <c r="MKQ56" s="5"/>
      <c r="MKR56" s="4"/>
      <c r="MKS56" s="279"/>
      <c r="MKT56" s="89"/>
      <c r="MKU56" s="5"/>
      <c r="MKV56" s="4"/>
      <c r="MKW56" s="279"/>
      <c r="MKX56" s="89"/>
      <c r="MKY56" s="5"/>
      <c r="MKZ56" s="4"/>
      <c r="MLA56" s="279"/>
      <c r="MLB56" s="89"/>
      <c r="MLC56" s="5"/>
      <c r="MLD56" s="4"/>
      <c r="MLE56" s="279"/>
      <c r="MLF56" s="89"/>
      <c r="MLG56" s="5"/>
      <c r="MLH56" s="4"/>
      <c r="MLI56" s="279"/>
      <c r="MLJ56" s="89"/>
      <c r="MLK56" s="5"/>
      <c r="MLL56" s="4"/>
      <c r="MLM56" s="279"/>
      <c r="MLN56" s="89"/>
      <c r="MLO56" s="5"/>
      <c r="MLP56" s="4"/>
      <c r="MLQ56" s="279"/>
      <c r="MLR56" s="89"/>
      <c r="MLS56" s="5"/>
      <c r="MLT56" s="4"/>
      <c r="MLU56" s="279"/>
      <c r="MLV56" s="89"/>
      <c r="MLW56" s="5"/>
      <c r="MLX56" s="4"/>
      <c r="MLY56" s="279"/>
      <c r="MLZ56" s="89"/>
      <c r="MMA56" s="5"/>
      <c r="MMB56" s="4"/>
      <c r="MMC56" s="279"/>
      <c r="MMD56" s="89"/>
      <c r="MME56" s="5"/>
      <c r="MMF56" s="4"/>
      <c r="MMG56" s="279"/>
      <c r="MMH56" s="89"/>
      <c r="MMI56" s="5"/>
      <c r="MMJ56" s="4"/>
      <c r="MMK56" s="279"/>
      <c r="MML56" s="89"/>
      <c r="MMM56" s="5"/>
      <c r="MMN56" s="4"/>
      <c r="MMO56" s="279"/>
      <c r="MMP56" s="89"/>
      <c r="MMQ56" s="5"/>
      <c r="MMR56" s="4"/>
      <c r="MMS56" s="279"/>
      <c r="MMT56" s="89"/>
      <c r="MMU56" s="5"/>
      <c r="MMV56" s="4"/>
      <c r="MMW56" s="279"/>
      <c r="MMX56" s="89"/>
      <c r="MMY56" s="5"/>
      <c r="MMZ56" s="4"/>
      <c r="MNA56" s="279"/>
      <c r="MNB56" s="89"/>
      <c r="MNC56" s="5"/>
      <c r="MND56" s="4"/>
      <c r="MNE56" s="279"/>
      <c r="MNF56" s="89"/>
      <c r="MNG56" s="5"/>
      <c r="MNH56" s="4"/>
      <c r="MNI56" s="279"/>
      <c r="MNJ56" s="89"/>
      <c r="MNK56" s="5"/>
      <c r="MNL56" s="4"/>
      <c r="MNM56" s="279"/>
      <c r="MNN56" s="89"/>
      <c r="MNO56" s="5"/>
      <c r="MNP56" s="4"/>
      <c r="MNQ56" s="279"/>
      <c r="MNR56" s="89"/>
      <c r="MNS56" s="5"/>
      <c r="MNT56" s="4"/>
      <c r="MNU56" s="279"/>
      <c r="MNV56" s="89"/>
      <c r="MNW56" s="5"/>
      <c r="MNX56" s="4"/>
      <c r="MNY56" s="279"/>
      <c r="MNZ56" s="89"/>
      <c r="MOA56" s="5"/>
      <c r="MOB56" s="4"/>
      <c r="MOC56" s="279"/>
      <c r="MOD56" s="89"/>
      <c r="MOE56" s="5"/>
      <c r="MOF56" s="4"/>
      <c r="MOG56" s="279"/>
      <c r="MOH56" s="89"/>
      <c r="MOI56" s="5"/>
      <c r="MOJ56" s="4"/>
      <c r="MOK56" s="279"/>
      <c r="MOL56" s="89"/>
      <c r="MOM56" s="5"/>
      <c r="MON56" s="4"/>
      <c r="MOO56" s="279"/>
      <c r="MOP56" s="89"/>
      <c r="MOQ56" s="5"/>
      <c r="MOR56" s="4"/>
      <c r="MOS56" s="279"/>
      <c r="MOT56" s="89"/>
      <c r="MOU56" s="5"/>
      <c r="MOV56" s="4"/>
      <c r="MOW56" s="279"/>
      <c r="MOX56" s="89"/>
      <c r="MOY56" s="5"/>
      <c r="MOZ56" s="4"/>
      <c r="MPA56" s="279"/>
      <c r="MPB56" s="89"/>
      <c r="MPC56" s="5"/>
      <c r="MPD56" s="4"/>
      <c r="MPE56" s="279"/>
      <c r="MPF56" s="89"/>
      <c r="MPG56" s="5"/>
      <c r="MPH56" s="4"/>
      <c r="MPI56" s="279"/>
      <c r="MPJ56" s="89"/>
      <c r="MPK56" s="5"/>
      <c r="MPL56" s="4"/>
      <c r="MPM56" s="279"/>
      <c r="MPN56" s="89"/>
      <c r="MPO56" s="5"/>
      <c r="MPP56" s="4"/>
      <c r="MPQ56" s="279"/>
      <c r="MPR56" s="89"/>
      <c r="MPS56" s="5"/>
      <c r="MPT56" s="4"/>
      <c r="MPU56" s="279"/>
      <c r="MPV56" s="89"/>
      <c r="MPW56" s="5"/>
      <c r="MPX56" s="4"/>
      <c r="MPY56" s="279"/>
      <c r="MPZ56" s="89"/>
      <c r="MQA56" s="5"/>
      <c r="MQB56" s="4"/>
      <c r="MQC56" s="279"/>
      <c r="MQD56" s="89"/>
      <c r="MQE56" s="5"/>
      <c r="MQF56" s="4"/>
      <c r="MQG56" s="279"/>
      <c r="MQH56" s="89"/>
      <c r="MQI56" s="5"/>
      <c r="MQJ56" s="4"/>
      <c r="MQK56" s="279"/>
      <c r="MQL56" s="89"/>
      <c r="MQM56" s="5"/>
      <c r="MQN56" s="4"/>
      <c r="MQO56" s="279"/>
      <c r="MQP56" s="89"/>
      <c r="MQQ56" s="5"/>
      <c r="MQR56" s="4"/>
      <c r="MQS56" s="279"/>
      <c r="MQT56" s="89"/>
      <c r="MQU56" s="5"/>
      <c r="MQV56" s="4"/>
      <c r="MQW56" s="279"/>
      <c r="MQX56" s="89"/>
      <c r="MQY56" s="5"/>
      <c r="MQZ56" s="4"/>
      <c r="MRA56" s="279"/>
      <c r="MRB56" s="89"/>
      <c r="MRC56" s="5"/>
      <c r="MRD56" s="4"/>
      <c r="MRE56" s="279"/>
      <c r="MRF56" s="89"/>
      <c r="MRG56" s="5"/>
      <c r="MRH56" s="4"/>
      <c r="MRI56" s="279"/>
      <c r="MRJ56" s="89"/>
      <c r="MRK56" s="5"/>
      <c r="MRL56" s="4"/>
      <c r="MRM56" s="279"/>
      <c r="MRN56" s="89"/>
      <c r="MRO56" s="5"/>
      <c r="MRP56" s="4"/>
      <c r="MRQ56" s="279"/>
      <c r="MRR56" s="89"/>
      <c r="MRS56" s="5"/>
      <c r="MRT56" s="4"/>
      <c r="MRU56" s="279"/>
      <c r="MRV56" s="89"/>
      <c r="MRW56" s="5"/>
      <c r="MRX56" s="4"/>
      <c r="MRY56" s="279"/>
      <c r="MRZ56" s="89"/>
      <c r="MSA56" s="5"/>
      <c r="MSB56" s="4"/>
      <c r="MSC56" s="279"/>
      <c r="MSD56" s="89"/>
      <c r="MSE56" s="5"/>
      <c r="MSF56" s="4"/>
      <c r="MSG56" s="279"/>
      <c r="MSH56" s="89"/>
      <c r="MSI56" s="5"/>
      <c r="MSJ56" s="4"/>
      <c r="MSK56" s="279"/>
      <c r="MSL56" s="89"/>
      <c r="MSM56" s="5"/>
      <c r="MSN56" s="4"/>
      <c r="MSO56" s="279"/>
      <c r="MSP56" s="89"/>
      <c r="MSQ56" s="5"/>
      <c r="MSR56" s="4"/>
      <c r="MSS56" s="279"/>
      <c r="MST56" s="89"/>
      <c r="MSU56" s="5"/>
      <c r="MSV56" s="4"/>
      <c r="MSW56" s="279"/>
      <c r="MSX56" s="89"/>
      <c r="MSY56" s="5"/>
      <c r="MSZ56" s="4"/>
      <c r="MTA56" s="279"/>
      <c r="MTB56" s="89"/>
      <c r="MTC56" s="5"/>
      <c r="MTD56" s="4"/>
      <c r="MTE56" s="279"/>
      <c r="MTF56" s="89"/>
      <c r="MTG56" s="5"/>
      <c r="MTH56" s="4"/>
      <c r="MTI56" s="279"/>
      <c r="MTJ56" s="89"/>
      <c r="MTK56" s="5"/>
      <c r="MTL56" s="4"/>
      <c r="MTM56" s="279"/>
      <c r="MTN56" s="89"/>
      <c r="MTO56" s="5"/>
      <c r="MTP56" s="4"/>
      <c r="MTQ56" s="279"/>
      <c r="MTR56" s="89"/>
      <c r="MTS56" s="5"/>
      <c r="MTT56" s="4"/>
      <c r="MTU56" s="279"/>
      <c r="MTV56" s="89"/>
      <c r="MTW56" s="5"/>
      <c r="MTX56" s="4"/>
      <c r="MTY56" s="279"/>
      <c r="MTZ56" s="89"/>
      <c r="MUA56" s="5"/>
      <c r="MUB56" s="4"/>
      <c r="MUC56" s="279"/>
      <c r="MUD56" s="89"/>
      <c r="MUE56" s="5"/>
      <c r="MUF56" s="4"/>
      <c r="MUG56" s="279"/>
      <c r="MUH56" s="89"/>
      <c r="MUI56" s="5"/>
      <c r="MUJ56" s="4"/>
      <c r="MUK56" s="279"/>
      <c r="MUL56" s="89"/>
      <c r="MUM56" s="5"/>
      <c r="MUN56" s="4"/>
      <c r="MUO56" s="279"/>
      <c r="MUP56" s="89"/>
      <c r="MUQ56" s="5"/>
      <c r="MUR56" s="4"/>
      <c r="MUS56" s="279"/>
      <c r="MUT56" s="89"/>
      <c r="MUU56" s="5"/>
      <c r="MUV56" s="4"/>
      <c r="MUW56" s="279"/>
      <c r="MUX56" s="89"/>
      <c r="MUY56" s="5"/>
      <c r="MUZ56" s="4"/>
      <c r="MVA56" s="279"/>
      <c r="MVB56" s="89"/>
      <c r="MVC56" s="5"/>
      <c r="MVD56" s="4"/>
      <c r="MVE56" s="279"/>
      <c r="MVF56" s="89"/>
      <c r="MVG56" s="5"/>
      <c r="MVH56" s="4"/>
      <c r="MVI56" s="279"/>
      <c r="MVJ56" s="89"/>
      <c r="MVK56" s="5"/>
      <c r="MVL56" s="4"/>
      <c r="MVM56" s="279"/>
      <c r="MVN56" s="89"/>
      <c r="MVO56" s="5"/>
      <c r="MVP56" s="4"/>
      <c r="MVQ56" s="279"/>
      <c r="MVR56" s="89"/>
      <c r="MVS56" s="5"/>
      <c r="MVT56" s="4"/>
      <c r="MVU56" s="279"/>
      <c r="MVV56" s="89"/>
      <c r="MVW56" s="5"/>
      <c r="MVX56" s="4"/>
      <c r="MVY56" s="279"/>
      <c r="MVZ56" s="89"/>
      <c r="MWA56" s="5"/>
      <c r="MWB56" s="4"/>
      <c r="MWC56" s="279"/>
      <c r="MWD56" s="89"/>
      <c r="MWE56" s="5"/>
      <c r="MWF56" s="4"/>
      <c r="MWG56" s="279"/>
      <c r="MWH56" s="89"/>
      <c r="MWI56" s="5"/>
      <c r="MWJ56" s="4"/>
      <c r="MWK56" s="279"/>
      <c r="MWL56" s="89"/>
      <c r="MWM56" s="5"/>
      <c r="MWN56" s="4"/>
      <c r="MWO56" s="279"/>
      <c r="MWP56" s="89"/>
      <c r="MWQ56" s="5"/>
      <c r="MWR56" s="4"/>
      <c r="MWS56" s="279"/>
      <c r="MWT56" s="89"/>
      <c r="MWU56" s="5"/>
      <c r="MWV56" s="4"/>
      <c r="MWW56" s="279"/>
      <c r="MWX56" s="89"/>
      <c r="MWY56" s="5"/>
      <c r="MWZ56" s="4"/>
      <c r="MXA56" s="279"/>
      <c r="MXB56" s="89"/>
      <c r="MXC56" s="5"/>
      <c r="MXD56" s="4"/>
      <c r="MXE56" s="279"/>
      <c r="MXF56" s="89"/>
      <c r="MXG56" s="5"/>
      <c r="MXH56" s="4"/>
      <c r="MXI56" s="279"/>
      <c r="MXJ56" s="89"/>
      <c r="MXK56" s="5"/>
      <c r="MXL56" s="4"/>
      <c r="MXM56" s="279"/>
      <c r="MXN56" s="89"/>
      <c r="MXO56" s="5"/>
      <c r="MXP56" s="4"/>
      <c r="MXQ56" s="279"/>
      <c r="MXR56" s="89"/>
      <c r="MXS56" s="5"/>
      <c r="MXT56" s="4"/>
      <c r="MXU56" s="279"/>
      <c r="MXV56" s="89"/>
      <c r="MXW56" s="5"/>
      <c r="MXX56" s="4"/>
      <c r="MXY56" s="279"/>
      <c r="MXZ56" s="89"/>
      <c r="MYA56" s="5"/>
      <c r="MYB56" s="4"/>
      <c r="MYC56" s="279"/>
      <c r="MYD56" s="89"/>
      <c r="MYE56" s="5"/>
      <c r="MYF56" s="4"/>
      <c r="MYG56" s="279"/>
      <c r="MYH56" s="89"/>
      <c r="MYI56" s="5"/>
      <c r="MYJ56" s="4"/>
      <c r="MYK56" s="279"/>
      <c r="MYL56" s="89"/>
      <c r="MYM56" s="5"/>
      <c r="MYN56" s="4"/>
      <c r="MYO56" s="279"/>
      <c r="MYP56" s="89"/>
      <c r="MYQ56" s="5"/>
      <c r="MYR56" s="4"/>
      <c r="MYS56" s="279"/>
      <c r="MYT56" s="89"/>
      <c r="MYU56" s="5"/>
      <c r="MYV56" s="4"/>
      <c r="MYW56" s="279"/>
      <c r="MYX56" s="89"/>
      <c r="MYY56" s="5"/>
      <c r="MYZ56" s="4"/>
      <c r="MZA56" s="279"/>
      <c r="MZB56" s="89"/>
      <c r="MZC56" s="5"/>
      <c r="MZD56" s="4"/>
      <c r="MZE56" s="279"/>
      <c r="MZF56" s="89"/>
      <c r="MZG56" s="5"/>
      <c r="MZH56" s="4"/>
      <c r="MZI56" s="279"/>
      <c r="MZJ56" s="89"/>
      <c r="MZK56" s="5"/>
      <c r="MZL56" s="4"/>
      <c r="MZM56" s="279"/>
      <c r="MZN56" s="89"/>
      <c r="MZO56" s="5"/>
      <c r="MZP56" s="4"/>
      <c r="MZQ56" s="279"/>
      <c r="MZR56" s="89"/>
      <c r="MZS56" s="5"/>
      <c r="MZT56" s="4"/>
      <c r="MZU56" s="279"/>
      <c r="MZV56" s="89"/>
      <c r="MZW56" s="5"/>
      <c r="MZX56" s="4"/>
      <c r="MZY56" s="279"/>
      <c r="MZZ56" s="89"/>
      <c r="NAA56" s="5"/>
      <c r="NAB56" s="4"/>
      <c r="NAC56" s="279"/>
      <c r="NAD56" s="89"/>
      <c r="NAE56" s="5"/>
      <c r="NAF56" s="4"/>
      <c r="NAG56" s="279"/>
      <c r="NAH56" s="89"/>
      <c r="NAI56" s="5"/>
      <c r="NAJ56" s="4"/>
      <c r="NAK56" s="279"/>
      <c r="NAL56" s="89"/>
      <c r="NAM56" s="5"/>
      <c r="NAN56" s="4"/>
      <c r="NAO56" s="279"/>
      <c r="NAP56" s="89"/>
      <c r="NAQ56" s="5"/>
      <c r="NAR56" s="4"/>
      <c r="NAS56" s="279"/>
      <c r="NAT56" s="89"/>
      <c r="NAU56" s="5"/>
      <c r="NAV56" s="4"/>
      <c r="NAW56" s="279"/>
      <c r="NAX56" s="89"/>
      <c r="NAY56" s="5"/>
      <c r="NAZ56" s="4"/>
      <c r="NBA56" s="279"/>
      <c r="NBB56" s="89"/>
      <c r="NBC56" s="5"/>
      <c r="NBD56" s="4"/>
      <c r="NBE56" s="279"/>
      <c r="NBF56" s="89"/>
      <c r="NBG56" s="5"/>
      <c r="NBH56" s="4"/>
      <c r="NBI56" s="279"/>
      <c r="NBJ56" s="89"/>
      <c r="NBK56" s="5"/>
      <c r="NBL56" s="4"/>
      <c r="NBM56" s="279"/>
      <c r="NBN56" s="89"/>
      <c r="NBO56" s="5"/>
      <c r="NBP56" s="4"/>
      <c r="NBQ56" s="279"/>
      <c r="NBR56" s="89"/>
      <c r="NBS56" s="5"/>
      <c r="NBT56" s="4"/>
      <c r="NBU56" s="279"/>
      <c r="NBV56" s="89"/>
      <c r="NBW56" s="5"/>
      <c r="NBX56" s="4"/>
      <c r="NBY56" s="279"/>
      <c r="NBZ56" s="89"/>
      <c r="NCA56" s="5"/>
      <c r="NCB56" s="4"/>
      <c r="NCC56" s="279"/>
      <c r="NCD56" s="89"/>
      <c r="NCE56" s="5"/>
      <c r="NCF56" s="4"/>
      <c r="NCG56" s="279"/>
      <c r="NCH56" s="89"/>
      <c r="NCI56" s="5"/>
      <c r="NCJ56" s="4"/>
      <c r="NCK56" s="279"/>
      <c r="NCL56" s="89"/>
      <c r="NCM56" s="5"/>
      <c r="NCN56" s="4"/>
      <c r="NCO56" s="279"/>
      <c r="NCP56" s="89"/>
      <c r="NCQ56" s="5"/>
      <c r="NCR56" s="4"/>
      <c r="NCS56" s="279"/>
      <c r="NCT56" s="89"/>
      <c r="NCU56" s="5"/>
      <c r="NCV56" s="4"/>
      <c r="NCW56" s="279"/>
      <c r="NCX56" s="89"/>
      <c r="NCY56" s="5"/>
      <c r="NCZ56" s="4"/>
      <c r="NDA56" s="279"/>
      <c r="NDB56" s="89"/>
      <c r="NDC56" s="5"/>
      <c r="NDD56" s="4"/>
      <c r="NDE56" s="279"/>
      <c r="NDF56" s="89"/>
      <c r="NDG56" s="5"/>
      <c r="NDH56" s="4"/>
      <c r="NDI56" s="279"/>
      <c r="NDJ56" s="89"/>
      <c r="NDK56" s="5"/>
      <c r="NDL56" s="4"/>
      <c r="NDM56" s="279"/>
      <c r="NDN56" s="89"/>
      <c r="NDO56" s="5"/>
      <c r="NDP56" s="4"/>
      <c r="NDQ56" s="279"/>
      <c r="NDR56" s="89"/>
      <c r="NDS56" s="5"/>
      <c r="NDT56" s="4"/>
      <c r="NDU56" s="279"/>
      <c r="NDV56" s="89"/>
      <c r="NDW56" s="5"/>
      <c r="NDX56" s="4"/>
      <c r="NDY56" s="279"/>
      <c r="NDZ56" s="89"/>
      <c r="NEA56" s="5"/>
      <c r="NEB56" s="4"/>
      <c r="NEC56" s="279"/>
      <c r="NED56" s="89"/>
      <c r="NEE56" s="5"/>
      <c r="NEF56" s="4"/>
      <c r="NEG56" s="279"/>
      <c r="NEH56" s="89"/>
      <c r="NEI56" s="5"/>
      <c r="NEJ56" s="4"/>
      <c r="NEK56" s="279"/>
      <c r="NEL56" s="89"/>
      <c r="NEM56" s="5"/>
      <c r="NEN56" s="4"/>
      <c r="NEO56" s="279"/>
      <c r="NEP56" s="89"/>
      <c r="NEQ56" s="5"/>
      <c r="NER56" s="4"/>
      <c r="NES56" s="279"/>
      <c r="NET56" s="89"/>
      <c r="NEU56" s="5"/>
      <c r="NEV56" s="4"/>
      <c r="NEW56" s="279"/>
      <c r="NEX56" s="89"/>
      <c r="NEY56" s="5"/>
      <c r="NEZ56" s="4"/>
      <c r="NFA56" s="279"/>
      <c r="NFB56" s="89"/>
      <c r="NFC56" s="5"/>
      <c r="NFD56" s="4"/>
      <c r="NFE56" s="279"/>
      <c r="NFF56" s="89"/>
      <c r="NFG56" s="5"/>
      <c r="NFH56" s="4"/>
      <c r="NFI56" s="279"/>
      <c r="NFJ56" s="89"/>
      <c r="NFK56" s="5"/>
      <c r="NFL56" s="4"/>
      <c r="NFM56" s="279"/>
      <c r="NFN56" s="89"/>
      <c r="NFO56" s="5"/>
      <c r="NFP56" s="4"/>
      <c r="NFQ56" s="279"/>
      <c r="NFR56" s="89"/>
      <c r="NFS56" s="5"/>
      <c r="NFT56" s="4"/>
      <c r="NFU56" s="279"/>
      <c r="NFV56" s="89"/>
      <c r="NFW56" s="5"/>
      <c r="NFX56" s="4"/>
      <c r="NFY56" s="279"/>
      <c r="NFZ56" s="89"/>
      <c r="NGA56" s="5"/>
      <c r="NGB56" s="4"/>
      <c r="NGC56" s="279"/>
      <c r="NGD56" s="89"/>
      <c r="NGE56" s="5"/>
      <c r="NGF56" s="4"/>
      <c r="NGG56" s="279"/>
      <c r="NGH56" s="89"/>
      <c r="NGI56" s="5"/>
      <c r="NGJ56" s="4"/>
      <c r="NGK56" s="279"/>
      <c r="NGL56" s="89"/>
      <c r="NGM56" s="5"/>
      <c r="NGN56" s="4"/>
      <c r="NGO56" s="279"/>
      <c r="NGP56" s="89"/>
      <c r="NGQ56" s="5"/>
      <c r="NGR56" s="4"/>
      <c r="NGS56" s="279"/>
      <c r="NGT56" s="89"/>
      <c r="NGU56" s="5"/>
      <c r="NGV56" s="4"/>
      <c r="NGW56" s="279"/>
      <c r="NGX56" s="89"/>
      <c r="NGY56" s="5"/>
      <c r="NGZ56" s="4"/>
      <c r="NHA56" s="279"/>
      <c r="NHB56" s="89"/>
      <c r="NHC56" s="5"/>
      <c r="NHD56" s="4"/>
      <c r="NHE56" s="279"/>
      <c r="NHF56" s="89"/>
      <c r="NHG56" s="5"/>
      <c r="NHH56" s="4"/>
      <c r="NHI56" s="279"/>
      <c r="NHJ56" s="89"/>
      <c r="NHK56" s="5"/>
      <c r="NHL56" s="4"/>
      <c r="NHM56" s="279"/>
      <c r="NHN56" s="89"/>
      <c r="NHO56" s="5"/>
      <c r="NHP56" s="4"/>
      <c r="NHQ56" s="279"/>
      <c r="NHR56" s="89"/>
      <c r="NHS56" s="5"/>
      <c r="NHT56" s="4"/>
      <c r="NHU56" s="279"/>
      <c r="NHV56" s="89"/>
      <c r="NHW56" s="5"/>
      <c r="NHX56" s="4"/>
      <c r="NHY56" s="279"/>
      <c r="NHZ56" s="89"/>
      <c r="NIA56" s="5"/>
      <c r="NIB56" s="4"/>
      <c r="NIC56" s="279"/>
      <c r="NID56" s="89"/>
      <c r="NIE56" s="5"/>
      <c r="NIF56" s="4"/>
      <c r="NIG56" s="279"/>
      <c r="NIH56" s="89"/>
      <c r="NII56" s="5"/>
      <c r="NIJ56" s="4"/>
      <c r="NIK56" s="279"/>
      <c r="NIL56" s="89"/>
      <c r="NIM56" s="5"/>
      <c r="NIN56" s="4"/>
      <c r="NIO56" s="279"/>
      <c r="NIP56" s="89"/>
      <c r="NIQ56" s="5"/>
      <c r="NIR56" s="4"/>
      <c r="NIS56" s="279"/>
      <c r="NIT56" s="89"/>
      <c r="NIU56" s="5"/>
      <c r="NIV56" s="4"/>
      <c r="NIW56" s="279"/>
      <c r="NIX56" s="89"/>
      <c r="NIY56" s="5"/>
      <c r="NIZ56" s="4"/>
      <c r="NJA56" s="279"/>
      <c r="NJB56" s="89"/>
      <c r="NJC56" s="5"/>
      <c r="NJD56" s="4"/>
      <c r="NJE56" s="279"/>
      <c r="NJF56" s="89"/>
      <c r="NJG56" s="5"/>
      <c r="NJH56" s="4"/>
      <c r="NJI56" s="279"/>
      <c r="NJJ56" s="89"/>
      <c r="NJK56" s="5"/>
      <c r="NJL56" s="4"/>
      <c r="NJM56" s="279"/>
      <c r="NJN56" s="89"/>
      <c r="NJO56" s="5"/>
      <c r="NJP56" s="4"/>
      <c r="NJQ56" s="279"/>
      <c r="NJR56" s="89"/>
      <c r="NJS56" s="5"/>
      <c r="NJT56" s="4"/>
      <c r="NJU56" s="279"/>
      <c r="NJV56" s="89"/>
      <c r="NJW56" s="5"/>
      <c r="NJX56" s="4"/>
      <c r="NJY56" s="279"/>
      <c r="NJZ56" s="89"/>
      <c r="NKA56" s="5"/>
      <c r="NKB56" s="4"/>
      <c r="NKC56" s="279"/>
      <c r="NKD56" s="89"/>
      <c r="NKE56" s="5"/>
      <c r="NKF56" s="4"/>
      <c r="NKG56" s="279"/>
      <c r="NKH56" s="89"/>
      <c r="NKI56" s="5"/>
      <c r="NKJ56" s="4"/>
      <c r="NKK56" s="279"/>
      <c r="NKL56" s="89"/>
      <c r="NKM56" s="5"/>
      <c r="NKN56" s="4"/>
      <c r="NKO56" s="279"/>
      <c r="NKP56" s="89"/>
      <c r="NKQ56" s="5"/>
      <c r="NKR56" s="4"/>
      <c r="NKS56" s="279"/>
      <c r="NKT56" s="89"/>
      <c r="NKU56" s="5"/>
      <c r="NKV56" s="4"/>
      <c r="NKW56" s="279"/>
      <c r="NKX56" s="89"/>
      <c r="NKY56" s="5"/>
      <c r="NKZ56" s="4"/>
      <c r="NLA56" s="279"/>
      <c r="NLB56" s="89"/>
      <c r="NLC56" s="5"/>
      <c r="NLD56" s="4"/>
      <c r="NLE56" s="279"/>
      <c r="NLF56" s="89"/>
      <c r="NLG56" s="5"/>
      <c r="NLH56" s="4"/>
      <c r="NLI56" s="279"/>
      <c r="NLJ56" s="89"/>
      <c r="NLK56" s="5"/>
      <c r="NLL56" s="4"/>
      <c r="NLM56" s="279"/>
      <c r="NLN56" s="89"/>
      <c r="NLO56" s="5"/>
      <c r="NLP56" s="4"/>
      <c r="NLQ56" s="279"/>
      <c r="NLR56" s="89"/>
      <c r="NLS56" s="5"/>
      <c r="NLT56" s="4"/>
      <c r="NLU56" s="279"/>
      <c r="NLV56" s="89"/>
      <c r="NLW56" s="5"/>
      <c r="NLX56" s="4"/>
      <c r="NLY56" s="279"/>
      <c r="NLZ56" s="89"/>
      <c r="NMA56" s="5"/>
      <c r="NMB56" s="4"/>
      <c r="NMC56" s="279"/>
      <c r="NMD56" s="89"/>
      <c r="NME56" s="5"/>
      <c r="NMF56" s="4"/>
      <c r="NMG56" s="279"/>
      <c r="NMH56" s="89"/>
      <c r="NMI56" s="5"/>
      <c r="NMJ56" s="4"/>
      <c r="NMK56" s="279"/>
      <c r="NML56" s="89"/>
      <c r="NMM56" s="5"/>
      <c r="NMN56" s="4"/>
      <c r="NMO56" s="279"/>
      <c r="NMP56" s="89"/>
      <c r="NMQ56" s="5"/>
      <c r="NMR56" s="4"/>
      <c r="NMS56" s="279"/>
      <c r="NMT56" s="89"/>
      <c r="NMU56" s="5"/>
      <c r="NMV56" s="4"/>
      <c r="NMW56" s="279"/>
      <c r="NMX56" s="89"/>
      <c r="NMY56" s="5"/>
      <c r="NMZ56" s="4"/>
      <c r="NNA56" s="279"/>
      <c r="NNB56" s="89"/>
      <c r="NNC56" s="5"/>
      <c r="NND56" s="4"/>
      <c r="NNE56" s="279"/>
      <c r="NNF56" s="89"/>
      <c r="NNG56" s="5"/>
      <c r="NNH56" s="4"/>
      <c r="NNI56" s="279"/>
      <c r="NNJ56" s="89"/>
      <c r="NNK56" s="5"/>
      <c r="NNL56" s="4"/>
      <c r="NNM56" s="279"/>
      <c r="NNN56" s="89"/>
      <c r="NNO56" s="5"/>
      <c r="NNP56" s="4"/>
      <c r="NNQ56" s="279"/>
      <c r="NNR56" s="89"/>
      <c r="NNS56" s="5"/>
      <c r="NNT56" s="4"/>
      <c r="NNU56" s="279"/>
      <c r="NNV56" s="89"/>
      <c r="NNW56" s="5"/>
      <c r="NNX56" s="4"/>
      <c r="NNY56" s="279"/>
      <c r="NNZ56" s="89"/>
      <c r="NOA56" s="5"/>
      <c r="NOB56" s="4"/>
      <c r="NOC56" s="279"/>
      <c r="NOD56" s="89"/>
      <c r="NOE56" s="5"/>
      <c r="NOF56" s="4"/>
      <c r="NOG56" s="279"/>
      <c r="NOH56" s="89"/>
      <c r="NOI56" s="5"/>
      <c r="NOJ56" s="4"/>
      <c r="NOK56" s="279"/>
      <c r="NOL56" s="89"/>
      <c r="NOM56" s="5"/>
      <c r="NON56" s="4"/>
      <c r="NOO56" s="279"/>
      <c r="NOP56" s="89"/>
      <c r="NOQ56" s="5"/>
      <c r="NOR56" s="4"/>
      <c r="NOS56" s="279"/>
      <c r="NOT56" s="89"/>
      <c r="NOU56" s="5"/>
      <c r="NOV56" s="4"/>
      <c r="NOW56" s="279"/>
      <c r="NOX56" s="89"/>
      <c r="NOY56" s="5"/>
      <c r="NOZ56" s="4"/>
      <c r="NPA56" s="279"/>
      <c r="NPB56" s="89"/>
      <c r="NPC56" s="5"/>
      <c r="NPD56" s="4"/>
      <c r="NPE56" s="279"/>
      <c r="NPF56" s="89"/>
      <c r="NPG56" s="5"/>
      <c r="NPH56" s="4"/>
      <c r="NPI56" s="279"/>
      <c r="NPJ56" s="89"/>
      <c r="NPK56" s="5"/>
      <c r="NPL56" s="4"/>
      <c r="NPM56" s="279"/>
      <c r="NPN56" s="89"/>
      <c r="NPO56" s="5"/>
      <c r="NPP56" s="4"/>
      <c r="NPQ56" s="279"/>
      <c r="NPR56" s="89"/>
      <c r="NPS56" s="5"/>
      <c r="NPT56" s="4"/>
      <c r="NPU56" s="279"/>
      <c r="NPV56" s="89"/>
      <c r="NPW56" s="5"/>
      <c r="NPX56" s="4"/>
      <c r="NPY56" s="279"/>
      <c r="NPZ56" s="89"/>
      <c r="NQA56" s="5"/>
      <c r="NQB56" s="4"/>
      <c r="NQC56" s="279"/>
      <c r="NQD56" s="89"/>
      <c r="NQE56" s="5"/>
      <c r="NQF56" s="4"/>
      <c r="NQG56" s="279"/>
      <c r="NQH56" s="89"/>
      <c r="NQI56" s="5"/>
      <c r="NQJ56" s="4"/>
      <c r="NQK56" s="279"/>
      <c r="NQL56" s="89"/>
      <c r="NQM56" s="5"/>
      <c r="NQN56" s="4"/>
      <c r="NQO56" s="279"/>
      <c r="NQP56" s="89"/>
      <c r="NQQ56" s="5"/>
      <c r="NQR56" s="4"/>
      <c r="NQS56" s="279"/>
      <c r="NQT56" s="89"/>
      <c r="NQU56" s="5"/>
      <c r="NQV56" s="4"/>
      <c r="NQW56" s="279"/>
      <c r="NQX56" s="89"/>
      <c r="NQY56" s="5"/>
      <c r="NQZ56" s="4"/>
      <c r="NRA56" s="279"/>
      <c r="NRB56" s="89"/>
      <c r="NRC56" s="5"/>
      <c r="NRD56" s="4"/>
      <c r="NRE56" s="279"/>
      <c r="NRF56" s="89"/>
      <c r="NRG56" s="5"/>
      <c r="NRH56" s="4"/>
      <c r="NRI56" s="279"/>
      <c r="NRJ56" s="89"/>
      <c r="NRK56" s="5"/>
      <c r="NRL56" s="4"/>
      <c r="NRM56" s="279"/>
      <c r="NRN56" s="89"/>
      <c r="NRO56" s="5"/>
      <c r="NRP56" s="4"/>
      <c r="NRQ56" s="279"/>
      <c r="NRR56" s="89"/>
      <c r="NRS56" s="5"/>
      <c r="NRT56" s="4"/>
      <c r="NRU56" s="279"/>
      <c r="NRV56" s="89"/>
      <c r="NRW56" s="5"/>
      <c r="NRX56" s="4"/>
      <c r="NRY56" s="279"/>
      <c r="NRZ56" s="89"/>
      <c r="NSA56" s="5"/>
      <c r="NSB56" s="4"/>
      <c r="NSC56" s="279"/>
      <c r="NSD56" s="89"/>
      <c r="NSE56" s="5"/>
      <c r="NSF56" s="4"/>
      <c r="NSG56" s="279"/>
      <c r="NSH56" s="89"/>
      <c r="NSI56" s="5"/>
      <c r="NSJ56" s="4"/>
      <c r="NSK56" s="279"/>
      <c r="NSL56" s="89"/>
      <c r="NSM56" s="5"/>
      <c r="NSN56" s="4"/>
      <c r="NSO56" s="279"/>
      <c r="NSP56" s="89"/>
      <c r="NSQ56" s="5"/>
      <c r="NSR56" s="4"/>
      <c r="NSS56" s="279"/>
      <c r="NST56" s="89"/>
      <c r="NSU56" s="5"/>
      <c r="NSV56" s="4"/>
      <c r="NSW56" s="279"/>
      <c r="NSX56" s="89"/>
      <c r="NSY56" s="5"/>
      <c r="NSZ56" s="4"/>
      <c r="NTA56" s="279"/>
      <c r="NTB56" s="89"/>
      <c r="NTC56" s="5"/>
      <c r="NTD56" s="4"/>
      <c r="NTE56" s="279"/>
      <c r="NTF56" s="89"/>
      <c r="NTG56" s="5"/>
      <c r="NTH56" s="4"/>
      <c r="NTI56" s="279"/>
      <c r="NTJ56" s="89"/>
      <c r="NTK56" s="5"/>
      <c r="NTL56" s="4"/>
      <c r="NTM56" s="279"/>
      <c r="NTN56" s="89"/>
      <c r="NTO56" s="5"/>
      <c r="NTP56" s="4"/>
      <c r="NTQ56" s="279"/>
      <c r="NTR56" s="89"/>
      <c r="NTS56" s="5"/>
      <c r="NTT56" s="4"/>
      <c r="NTU56" s="279"/>
      <c r="NTV56" s="89"/>
      <c r="NTW56" s="5"/>
      <c r="NTX56" s="4"/>
      <c r="NTY56" s="279"/>
      <c r="NTZ56" s="89"/>
      <c r="NUA56" s="5"/>
      <c r="NUB56" s="4"/>
      <c r="NUC56" s="279"/>
      <c r="NUD56" s="89"/>
      <c r="NUE56" s="5"/>
      <c r="NUF56" s="4"/>
      <c r="NUG56" s="279"/>
      <c r="NUH56" s="89"/>
      <c r="NUI56" s="5"/>
      <c r="NUJ56" s="4"/>
      <c r="NUK56" s="279"/>
      <c r="NUL56" s="89"/>
      <c r="NUM56" s="5"/>
      <c r="NUN56" s="4"/>
      <c r="NUO56" s="279"/>
      <c r="NUP56" s="89"/>
      <c r="NUQ56" s="5"/>
      <c r="NUR56" s="4"/>
      <c r="NUS56" s="279"/>
      <c r="NUT56" s="89"/>
      <c r="NUU56" s="5"/>
      <c r="NUV56" s="4"/>
      <c r="NUW56" s="279"/>
      <c r="NUX56" s="89"/>
      <c r="NUY56" s="5"/>
      <c r="NUZ56" s="4"/>
      <c r="NVA56" s="279"/>
      <c r="NVB56" s="89"/>
      <c r="NVC56" s="5"/>
      <c r="NVD56" s="4"/>
      <c r="NVE56" s="279"/>
      <c r="NVF56" s="89"/>
      <c r="NVG56" s="5"/>
      <c r="NVH56" s="4"/>
      <c r="NVI56" s="279"/>
      <c r="NVJ56" s="89"/>
      <c r="NVK56" s="5"/>
      <c r="NVL56" s="4"/>
      <c r="NVM56" s="279"/>
      <c r="NVN56" s="89"/>
      <c r="NVO56" s="5"/>
      <c r="NVP56" s="4"/>
      <c r="NVQ56" s="279"/>
      <c r="NVR56" s="89"/>
      <c r="NVS56" s="5"/>
      <c r="NVT56" s="4"/>
      <c r="NVU56" s="279"/>
      <c r="NVV56" s="89"/>
      <c r="NVW56" s="5"/>
      <c r="NVX56" s="4"/>
      <c r="NVY56" s="279"/>
      <c r="NVZ56" s="89"/>
      <c r="NWA56" s="5"/>
      <c r="NWB56" s="4"/>
      <c r="NWC56" s="279"/>
      <c r="NWD56" s="89"/>
      <c r="NWE56" s="5"/>
      <c r="NWF56" s="4"/>
      <c r="NWG56" s="279"/>
      <c r="NWH56" s="89"/>
      <c r="NWI56" s="5"/>
      <c r="NWJ56" s="4"/>
      <c r="NWK56" s="279"/>
      <c r="NWL56" s="89"/>
      <c r="NWM56" s="5"/>
      <c r="NWN56" s="4"/>
      <c r="NWO56" s="279"/>
      <c r="NWP56" s="89"/>
      <c r="NWQ56" s="5"/>
      <c r="NWR56" s="4"/>
      <c r="NWS56" s="279"/>
      <c r="NWT56" s="89"/>
      <c r="NWU56" s="5"/>
      <c r="NWV56" s="4"/>
      <c r="NWW56" s="279"/>
      <c r="NWX56" s="89"/>
      <c r="NWY56" s="5"/>
      <c r="NWZ56" s="4"/>
      <c r="NXA56" s="279"/>
      <c r="NXB56" s="89"/>
      <c r="NXC56" s="5"/>
      <c r="NXD56" s="4"/>
      <c r="NXE56" s="279"/>
      <c r="NXF56" s="89"/>
      <c r="NXG56" s="5"/>
      <c r="NXH56" s="4"/>
      <c r="NXI56" s="279"/>
      <c r="NXJ56" s="89"/>
      <c r="NXK56" s="5"/>
      <c r="NXL56" s="4"/>
      <c r="NXM56" s="279"/>
      <c r="NXN56" s="89"/>
      <c r="NXO56" s="5"/>
      <c r="NXP56" s="4"/>
      <c r="NXQ56" s="279"/>
      <c r="NXR56" s="89"/>
      <c r="NXS56" s="5"/>
      <c r="NXT56" s="4"/>
      <c r="NXU56" s="279"/>
      <c r="NXV56" s="89"/>
      <c r="NXW56" s="5"/>
      <c r="NXX56" s="4"/>
      <c r="NXY56" s="279"/>
      <c r="NXZ56" s="89"/>
      <c r="NYA56" s="5"/>
      <c r="NYB56" s="4"/>
      <c r="NYC56" s="279"/>
      <c r="NYD56" s="89"/>
      <c r="NYE56" s="5"/>
      <c r="NYF56" s="4"/>
      <c r="NYG56" s="279"/>
      <c r="NYH56" s="89"/>
      <c r="NYI56" s="5"/>
      <c r="NYJ56" s="4"/>
      <c r="NYK56" s="279"/>
      <c r="NYL56" s="89"/>
      <c r="NYM56" s="5"/>
      <c r="NYN56" s="4"/>
      <c r="NYO56" s="279"/>
      <c r="NYP56" s="89"/>
      <c r="NYQ56" s="5"/>
      <c r="NYR56" s="4"/>
      <c r="NYS56" s="279"/>
      <c r="NYT56" s="89"/>
      <c r="NYU56" s="5"/>
      <c r="NYV56" s="4"/>
      <c r="NYW56" s="279"/>
      <c r="NYX56" s="89"/>
      <c r="NYY56" s="5"/>
      <c r="NYZ56" s="4"/>
      <c r="NZA56" s="279"/>
      <c r="NZB56" s="89"/>
      <c r="NZC56" s="5"/>
      <c r="NZD56" s="4"/>
      <c r="NZE56" s="279"/>
      <c r="NZF56" s="89"/>
      <c r="NZG56" s="5"/>
      <c r="NZH56" s="4"/>
      <c r="NZI56" s="279"/>
      <c r="NZJ56" s="89"/>
      <c r="NZK56" s="5"/>
      <c r="NZL56" s="4"/>
      <c r="NZM56" s="279"/>
      <c r="NZN56" s="89"/>
      <c r="NZO56" s="5"/>
      <c r="NZP56" s="4"/>
      <c r="NZQ56" s="279"/>
      <c r="NZR56" s="89"/>
      <c r="NZS56" s="5"/>
      <c r="NZT56" s="4"/>
      <c r="NZU56" s="279"/>
      <c r="NZV56" s="89"/>
      <c r="NZW56" s="5"/>
      <c r="NZX56" s="4"/>
      <c r="NZY56" s="279"/>
      <c r="NZZ56" s="89"/>
      <c r="OAA56" s="5"/>
      <c r="OAB56" s="4"/>
      <c r="OAC56" s="279"/>
      <c r="OAD56" s="89"/>
      <c r="OAE56" s="5"/>
      <c r="OAF56" s="4"/>
      <c r="OAG56" s="279"/>
      <c r="OAH56" s="89"/>
      <c r="OAI56" s="5"/>
      <c r="OAJ56" s="4"/>
      <c r="OAK56" s="279"/>
      <c r="OAL56" s="89"/>
      <c r="OAM56" s="5"/>
      <c r="OAN56" s="4"/>
      <c r="OAO56" s="279"/>
      <c r="OAP56" s="89"/>
      <c r="OAQ56" s="5"/>
      <c r="OAR56" s="4"/>
      <c r="OAS56" s="279"/>
      <c r="OAT56" s="89"/>
      <c r="OAU56" s="5"/>
      <c r="OAV56" s="4"/>
      <c r="OAW56" s="279"/>
      <c r="OAX56" s="89"/>
      <c r="OAY56" s="5"/>
      <c r="OAZ56" s="4"/>
      <c r="OBA56" s="279"/>
      <c r="OBB56" s="89"/>
      <c r="OBC56" s="5"/>
      <c r="OBD56" s="4"/>
      <c r="OBE56" s="279"/>
      <c r="OBF56" s="89"/>
      <c r="OBG56" s="5"/>
      <c r="OBH56" s="4"/>
      <c r="OBI56" s="279"/>
      <c r="OBJ56" s="89"/>
      <c r="OBK56" s="5"/>
      <c r="OBL56" s="4"/>
      <c r="OBM56" s="279"/>
      <c r="OBN56" s="89"/>
      <c r="OBO56" s="5"/>
      <c r="OBP56" s="4"/>
      <c r="OBQ56" s="279"/>
      <c r="OBR56" s="89"/>
      <c r="OBS56" s="5"/>
      <c r="OBT56" s="4"/>
      <c r="OBU56" s="279"/>
      <c r="OBV56" s="89"/>
      <c r="OBW56" s="5"/>
      <c r="OBX56" s="4"/>
      <c r="OBY56" s="279"/>
      <c r="OBZ56" s="89"/>
      <c r="OCA56" s="5"/>
      <c r="OCB56" s="4"/>
      <c r="OCC56" s="279"/>
      <c r="OCD56" s="89"/>
      <c r="OCE56" s="5"/>
      <c r="OCF56" s="4"/>
      <c r="OCG56" s="279"/>
      <c r="OCH56" s="89"/>
      <c r="OCI56" s="5"/>
      <c r="OCJ56" s="4"/>
      <c r="OCK56" s="279"/>
      <c r="OCL56" s="89"/>
      <c r="OCM56" s="5"/>
      <c r="OCN56" s="4"/>
      <c r="OCO56" s="279"/>
      <c r="OCP56" s="89"/>
      <c r="OCQ56" s="5"/>
      <c r="OCR56" s="4"/>
      <c r="OCS56" s="279"/>
      <c r="OCT56" s="89"/>
      <c r="OCU56" s="5"/>
      <c r="OCV56" s="4"/>
      <c r="OCW56" s="279"/>
      <c r="OCX56" s="89"/>
      <c r="OCY56" s="5"/>
      <c r="OCZ56" s="4"/>
      <c r="ODA56" s="279"/>
      <c r="ODB56" s="89"/>
      <c r="ODC56" s="5"/>
      <c r="ODD56" s="4"/>
      <c r="ODE56" s="279"/>
      <c r="ODF56" s="89"/>
      <c r="ODG56" s="5"/>
      <c r="ODH56" s="4"/>
      <c r="ODI56" s="279"/>
      <c r="ODJ56" s="89"/>
      <c r="ODK56" s="5"/>
      <c r="ODL56" s="4"/>
      <c r="ODM56" s="279"/>
      <c r="ODN56" s="89"/>
      <c r="ODO56" s="5"/>
      <c r="ODP56" s="4"/>
      <c r="ODQ56" s="279"/>
      <c r="ODR56" s="89"/>
      <c r="ODS56" s="5"/>
      <c r="ODT56" s="4"/>
      <c r="ODU56" s="279"/>
      <c r="ODV56" s="89"/>
      <c r="ODW56" s="5"/>
      <c r="ODX56" s="4"/>
      <c r="ODY56" s="279"/>
      <c r="ODZ56" s="89"/>
      <c r="OEA56" s="5"/>
      <c r="OEB56" s="4"/>
      <c r="OEC56" s="279"/>
      <c r="OED56" s="89"/>
      <c r="OEE56" s="5"/>
      <c r="OEF56" s="4"/>
      <c r="OEG56" s="279"/>
      <c r="OEH56" s="89"/>
      <c r="OEI56" s="5"/>
      <c r="OEJ56" s="4"/>
      <c r="OEK56" s="279"/>
      <c r="OEL56" s="89"/>
      <c r="OEM56" s="5"/>
      <c r="OEN56" s="4"/>
      <c r="OEO56" s="279"/>
      <c r="OEP56" s="89"/>
      <c r="OEQ56" s="5"/>
      <c r="OER56" s="4"/>
      <c r="OES56" s="279"/>
      <c r="OET56" s="89"/>
      <c r="OEU56" s="5"/>
      <c r="OEV56" s="4"/>
      <c r="OEW56" s="279"/>
      <c r="OEX56" s="89"/>
      <c r="OEY56" s="5"/>
      <c r="OEZ56" s="4"/>
      <c r="OFA56" s="279"/>
      <c r="OFB56" s="89"/>
      <c r="OFC56" s="5"/>
      <c r="OFD56" s="4"/>
      <c r="OFE56" s="279"/>
      <c r="OFF56" s="89"/>
      <c r="OFG56" s="5"/>
      <c r="OFH56" s="4"/>
      <c r="OFI56" s="279"/>
      <c r="OFJ56" s="89"/>
      <c r="OFK56" s="5"/>
      <c r="OFL56" s="4"/>
      <c r="OFM56" s="279"/>
      <c r="OFN56" s="89"/>
      <c r="OFO56" s="5"/>
      <c r="OFP56" s="4"/>
      <c r="OFQ56" s="279"/>
      <c r="OFR56" s="89"/>
      <c r="OFS56" s="5"/>
      <c r="OFT56" s="4"/>
      <c r="OFU56" s="279"/>
      <c r="OFV56" s="89"/>
      <c r="OFW56" s="5"/>
      <c r="OFX56" s="4"/>
      <c r="OFY56" s="279"/>
      <c r="OFZ56" s="89"/>
      <c r="OGA56" s="5"/>
      <c r="OGB56" s="4"/>
      <c r="OGC56" s="279"/>
      <c r="OGD56" s="89"/>
      <c r="OGE56" s="5"/>
      <c r="OGF56" s="4"/>
      <c r="OGG56" s="279"/>
      <c r="OGH56" s="89"/>
      <c r="OGI56" s="5"/>
      <c r="OGJ56" s="4"/>
      <c r="OGK56" s="279"/>
      <c r="OGL56" s="89"/>
      <c r="OGM56" s="5"/>
      <c r="OGN56" s="4"/>
      <c r="OGO56" s="279"/>
      <c r="OGP56" s="89"/>
      <c r="OGQ56" s="5"/>
      <c r="OGR56" s="4"/>
      <c r="OGS56" s="279"/>
      <c r="OGT56" s="89"/>
      <c r="OGU56" s="5"/>
      <c r="OGV56" s="4"/>
      <c r="OGW56" s="279"/>
      <c r="OGX56" s="89"/>
      <c r="OGY56" s="5"/>
      <c r="OGZ56" s="4"/>
      <c r="OHA56" s="279"/>
      <c r="OHB56" s="89"/>
      <c r="OHC56" s="5"/>
      <c r="OHD56" s="4"/>
      <c r="OHE56" s="279"/>
      <c r="OHF56" s="89"/>
      <c r="OHG56" s="5"/>
      <c r="OHH56" s="4"/>
      <c r="OHI56" s="279"/>
      <c r="OHJ56" s="89"/>
      <c r="OHK56" s="5"/>
      <c r="OHL56" s="4"/>
      <c r="OHM56" s="279"/>
      <c r="OHN56" s="89"/>
      <c r="OHO56" s="5"/>
      <c r="OHP56" s="4"/>
      <c r="OHQ56" s="279"/>
      <c r="OHR56" s="89"/>
      <c r="OHS56" s="5"/>
      <c r="OHT56" s="4"/>
      <c r="OHU56" s="279"/>
      <c r="OHV56" s="89"/>
      <c r="OHW56" s="5"/>
      <c r="OHX56" s="4"/>
      <c r="OHY56" s="279"/>
      <c r="OHZ56" s="89"/>
      <c r="OIA56" s="5"/>
      <c r="OIB56" s="4"/>
      <c r="OIC56" s="279"/>
      <c r="OID56" s="89"/>
      <c r="OIE56" s="5"/>
      <c r="OIF56" s="4"/>
      <c r="OIG56" s="279"/>
      <c r="OIH56" s="89"/>
      <c r="OII56" s="5"/>
      <c r="OIJ56" s="4"/>
      <c r="OIK56" s="279"/>
      <c r="OIL56" s="89"/>
      <c r="OIM56" s="5"/>
      <c r="OIN56" s="4"/>
      <c r="OIO56" s="279"/>
      <c r="OIP56" s="89"/>
      <c r="OIQ56" s="5"/>
      <c r="OIR56" s="4"/>
      <c r="OIS56" s="279"/>
      <c r="OIT56" s="89"/>
      <c r="OIU56" s="5"/>
      <c r="OIV56" s="4"/>
      <c r="OIW56" s="279"/>
      <c r="OIX56" s="89"/>
      <c r="OIY56" s="5"/>
      <c r="OIZ56" s="4"/>
      <c r="OJA56" s="279"/>
      <c r="OJB56" s="89"/>
      <c r="OJC56" s="5"/>
      <c r="OJD56" s="4"/>
      <c r="OJE56" s="279"/>
      <c r="OJF56" s="89"/>
      <c r="OJG56" s="5"/>
      <c r="OJH56" s="4"/>
      <c r="OJI56" s="279"/>
      <c r="OJJ56" s="89"/>
      <c r="OJK56" s="5"/>
      <c r="OJL56" s="4"/>
      <c r="OJM56" s="279"/>
      <c r="OJN56" s="89"/>
      <c r="OJO56" s="5"/>
      <c r="OJP56" s="4"/>
      <c r="OJQ56" s="279"/>
      <c r="OJR56" s="89"/>
      <c r="OJS56" s="5"/>
      <c r="OJT56" s="4"/>
      <c r="OJU56" s="279"/>
      <c r="OJV56" s="89"/>
      <c r="OJW56" s="5"/>
      <c r="OJX56" s="4"/>
      <c r="OJY56" s="279"/>
      <c r="OJZ56" s="89"/>
      <c r="OKA56" s="5"/>
      <c r="OKB56" s="4"/>
      <c r="OKC56" s="279"/>
      <c r="OKD56" s="89"/>
      <c r="OKE56" s="5"/>
      <c r="OKF56" s="4"/>
      <c r="OKG56" s="279"/>
      <c r="OKH56" s="89"/>
      <c r="OKI56" s="5"/>
      <c r="OKJ56" s="4"/>
      <c r="OKK56" s="279"/>
      <c r="OKL56" s="89"/>
      <c r="OKM56" s="5"/>
      <c r="OKN56" s="4"/>
      <c r="OKO56" s="279"/>
      <c r="OKP56" s="89"/>
      <c r="OKQ56" s="5"/>
      <c r="OKR56" s="4"/>
      <c r="OKS56" s="279"/>
      <c r="OKT56" s="89"/>
      <c r="OKU56" s="5"/>
      <c r="OKV56" s="4"/>
      <c r="OKW56" s="279"/>
      <c r="OKX56" s="89"/>
      <c r="OKY56" s="5"/>
      <c r="OKZ56" s="4"/>
      <c r="OLA56" s="279"/>
      <c r="OLB56" s="89"/>
      <c r="OLC56" s="5"/>
      <c r="OLD56" s="4"/>
      <c r="OLE56" s="279"/>
      <c r="OLF56" s="89"/>
      <c r="OLG56" s="5"/>
      <c r="OLH56" s="4"/>
      <c r="OLI56" s="279"/>
      <c r="OLJ56" s="89"/>
      <c r="OLK56" s="5"/>
      <c r="OLL56" s="4"/>
      <c r="OLM56" s="279"/>
      <c r="OLN56" s="89"/>
      <c r="OLO56" s="5"/>
      <c r="OLP56" s="4"/>
      <c r="OLQ56" s="279"/>
      <c r="OLR56" s="89"/>
      <c r="OLS56" s="5"/>
      <c r="OLT56" s="4"/>
      <c r="OLU56" s="279"/>
      <c r="OLV56" s="89"/>
      <c r="OLW56" s="5"/>
      <c r="OLX56" s="4"/>
      <c r="OLY56" s="279"/>
      <c r="OLZ56" s="89"/>
      <c r="OMA56" s="5"/>
      <c r="OMB56" s="4"/>
      <c r="OMC56" s="279"/>
      <c r="OMD56" s="89"/>
      <c r="OME56" s="5"/>
      <c r="OMF56" s="4"/>
      <c r="OMG56" s="279"/>
      <c r="OMH56" s="89"/>
      <c r="OMI56" s="5"/>
      <c r="OMJ56" s="4"/>
      <c r="OMK56" s="279"/>
      <c r="OML56" s="89"/>
      <c r="OMM56" s="5"/>
      <c r="OMN56" s="4"/>
      <c r="OMO56" s="279"/>
      <c r="OMP56" s="89"/>
      <c r="OMQ56" s="5"/>
      <c r="OMR56" s="4"/>
      <c r="OMS56" s="279"/>
      <c r="OMT56" s="89"/>
      <c r="OMU56" s="5"/>
      <c r="OMV56" s="4"/>
      <c r="OMW56" s="279"/>
      <c r="OMX56" s="89"/>
      <c r="OMY56" s="5"/>
      <c r="OMZ56" s="4"/>
      <c r="ONA56" s="279"/>
      <c r="ONB56" s="89"/>
      <c r="ONC56" s="5"/>
      <c r="OND56" s="4"/>
      <c r="ONE56" s="279"/>
      <c r="ONF56" s="89"/>
      <c r="ONG56" s="5"/>
      <c r="ONH56" s="4"/>
      <c r="ONI56" s="279"/>
      <c r="ONJ56" s="89"/>
      <c r="ONK56" s="5"/>
      <c r="ONL56" s="4"/>
      <c r="ONM56" s="279"/>
      <c r="ONN56" s="89"/>
      <c r="ONO56" s="5"/>
      <c r="ONP56" s="4"/>
      <c r="ONQ56" s="279"/>
      <c r="ONR56" s="89"/>
      <c r="ONS56" s="5"/>
      <c r="ONT56" s="4"/>
      <c r="ONU56" s="279"/>
      <c r="ONV56" s="89"/>
      <c r="ONW56" s="5"/>
      <c r="ONX56" s="4"/>
      <c r="ONY56" s="279"/>
      <c r="ONZ56" s="89"/>
      <c r="OOA56" s="5"/>
      <c r="OOB56" s="4"/>
      <c r="OOC56" s="279"/>
      <c r="OOD56" s="89"/>
      <c r="OOE56" s="5"/>
      <c r="OOF56" s="4"/>
      <c r="OOG56" s="279"/>
      <c r="OOH56" s="89"/>
      <c r="OOI56" s="5"/>
      <c r="OOJ56" s="4"/>
      <c r="OOK56" s="279"/>
      <c r="OOL56" s="89"/>
      <c r="OOM56" s="5"/>
      <c r="OON56" s="4"/>
      <c r="OOO56" s="279"/>
      <c r="OOP56" s="89"/>
      <c r="OOQ56" s="5"/>
      <c r="OOR56" s="4"/>
      <c r="OOS56" s="279"/>
      <c r="OOT56" s="89"/>
      <c r="OOU56" s="5"/>
      <c r="OOV56" s="4"/>
      <c r="OOW56" s="279"/>
      <c r="OOX56" s="89"/>
      <c r="OOY56" s="5"/>
      <c r="OOZ56" s="4"/>
      <c r="OPA56" s="279"/>
      <c r="OPB56" s="89"/>
      <c r="OPC56" s="5"/>
      <c r="OPD56" s="4"/>
      <c r="OPE56" s="279"/>
      <c r="OPF56" s="89"/>
      <c r="OPG56" s="5"/>
      <c r="OPH56" s="4"/>
      <c r="OPI56" s="279"/>
      <c r="OPJ56" s="89"/>
      <c r="OPK56" s="5"/>
      <c r="OPL56" s="4"/>
      <c r="OPM56" s="279"/>
      <c r="OPN56" s="89"/>
      <c r="OPO56" s="5"/>
      <c r="OPP56" s="4"/>
      <c r="OPQ56" s="279"/>
      <c r="OPR56" s="89"/>
      <c r="OPS56" s="5"/>
      <c r="OPT56" s="4"/>
      <c r="OPU56" s="279"/>
      <c r="OPV56" s="89"/>
      <c r="OPW56" s="5"/>
      <c r="OPX56" s="4"/>
      <c r="OPY56" s="279"/>
      <c r="OPZ56" s="89"/>
      <c r="OQA56" s="5"/>
      <c r="OQB56" s="4"/>
      <c r="OQC56" s="279"/>
      <c r="OQD56" s="89"/>
      <c r="OQE56" s="5"/>
      <c r="OQF56" s="4"/>
      <c r="OQG56" s="279"/>
      <c r="OQH56" s="89"/>
      <c r="OQI56" s="5"/>
      <c r="OQJ56" s="4"/>
      <c r="OQK56" s="279"/>
      <c r="OQL56" s="89"/>
      <c r="OQM56" s="5"/>
      <c r="OQN56" s="4"/>
      <c r="OQO56" s="279"/>
      <c r="OQP56" s="89"/>
      <c r="OQQ56" s="5"/>
      <c r="OQR56" s="4"/>
      <c r="OQS56" s="279"/>
      <c r="OQT56" s="89"/>
      <c r="OQU56" s="5"/>
      <c r="OQV56" s="4"/>
      <c r="OQW56" s="279"/>
      <c r="OQX56" s="89"/>
      <c r="OQY56" s="5"/>
      <c r="OQZ56" s="4"/>
      <c r="ORA56" s="279"/>
      <c r="ORB56" s="89"/>
      <c r="ORC56" s="5"/>
      <c r="ORD56" s="4"/>
      <c r="ORE56" s="279"/>
      <c r="ORF56" s="89"/>
      <c r="ORG56" s="5"/>
      <c r="ORH56" s="4"/>
      <c r="ORI56" s="279"/>
      <c r="ORJ56" s="89"/>
      <c r="ORK56" s="5"/>
      <c r="ORL56" s="4"/>
      <c r="ORM56" s="279"/>
      <c r="ORN56" s="89"/>
      <c r="ORO56" s="5"/>
      <c r="ORP56" s="4"/>
      <c r="ORQ56" s="279"/>
      <c r="ORR56" s="89"/>
      <c r="ORS56" s="5"/>
      <c r="ORT56" s="4"/>
      <c r="ORU56" s="279"/>
      <c r="ORV56" s="89"/>
      <c r="ORW56" s="5"/>
      <c r="ORX56" s="4"/>
      <c r="ORY56" s="279"/>
      <c r="ORZ56" s="89"/>
      <c r="OSA56" s="5"/>
      <c r="OSB56" s="4"/>
      <c r="OSC56" s="279"/>
      <c r="OSD56" s="89"/>
      <c r="OSE56" s="5"/>
      <c r="OSF56" s="4"/>
      <c r="OSG56" s="279"/>
      <c r="OSH56" s="89"/>
      <c r="OSI56" s="5"/>
      <c r="OSJ56" s="4"/>
      <c r="OSK56" s="279"/>
      <c r="OSL56" s="89"/>
      <c r="OSM56" s="5"/>
      <c r="OSN56" s="4"/>
      <c r="OSO56" s="279"/>
      <c r="OSP56" s="89"/>
      <c r="OSQ56" s="5"/>
      <c r="OSR56" s="4"/>
      <c r="OSS56" s="279"/>
      <c r="OST56" s="89"/>
      <c r="OSU56" s="5"/>
      <c r="OSV56" s="4"/>
      <c r="OSW56" s="279"/>
      <c r="OSX56" s="89"/>
      <c r="OSY56" s="5"/>
      <c r="OSZ56" s="4"/>
      <c r="OTA56" s="279"/>
      <c r="OTB56" s="89"/>
      <c r="OTC56" s="5"/>
      <c r="OTD56" s="4"/>
      <c r="OTE56" s="279"/>
      <c r="OTF56" s="89"/>
      <c r="OTG56" s="5"/>
      <c r="OTH56" s="4"/>
      <c r="OTI56" s="279"/>
      <c r="OTJ56" s="89"/>
      <c r="OTK56" s="5"/>
      <c r="OTL56" s="4"/>
      <c r="OTM56" s="279"/>
      <c r="OTN56" s="89"/>
      <c r="OTO56" s="5"/>
      <c r="OTP56" s="4"/>
      <c r="OTQ56" s="279"/>
      <c r="OTR56" s="89"/>
      <c r="OTS56" s="5"/>
      <c r="OTT56" s="4"/>
      <c r="OTU56" s="279"/>
      <c r="OTV56" s="89"/>
      <c r="OTW56" s="5"/>
      <c r="OTX56" s="4"/>
      <c r="OTY56" s="279"/>
      <c r="OTZ56" s="89"/>
      <c r="OUA56" s="5"/>
      <c r="OUB56" s="4"/>
      <c r="OUC56" s="279"/>
      <c r="OUD56" s="89"/>
      <c r="OUE56" s="5"/>
      <c r="OUF56" s="4"/>
      <c r="OUG56" s="279"/>
      <c r="OUH56" s="89"/>
      <c r="OUI56" s="5"/>
      <c r="OUJ56" s="4"/>
      <c r="OUK56" s="279"/>
      <c r="OUL56" s="89"/>
      <c r="OUM56" s="5"/>
      <c r="OUN56" s="4"/>
      <c r="OUO56" s="279"/>
      <c r="OUP56" s="89"/>
      <c r="OUQ56" s="5"/>
      <c r="OUR56" s="4"/>
      <c r="OUS56" s="279"/>
      <c r="OUT56" s="89"/>
      <c r="OUU56" s="5"/>
      <c r="OUV56" s="4"/>
      <c r="OUW56" s="279"/>
      <c r="OUX56" s="89"/>
      <c r="OUY56" s="5"/>
      <c r="OUZ56" s="4"/>
      <c r="OVA56" s="279"/>
      <c r="OVB56" s="89"/>
      <c r="OVC56" s="5"/>
      <c r="OVD56" s="4"/>
      <c r="OVE56" s="279"/>
      <c r="OVF56" s="89"/>
      <c r="OVG56" s="5"/>
      <c r="OVH56" s="4"/>
      <c r="OVI56" s="279"/>
      <c r="OVJ56" s="89"/>
      <c r="OVK56" s="5"/>
      <c r="OVL56" s="4"/>
      <c r="OVM56" s="279"/>
      <c r="OVN56" s="89"/>
      <c r="OVO56" s="5"/>
      <c r="OVP56" s="4"/>
      <c r="OVQ56" s="279"/>
      <c r="OVR56" s="89"/>
      <c r="OVS56" s="5"/>
      <c r="OVT56" s="4"/>
      <c r="OVU56" s="279"/>
      <c r="OVV56" s="89"/>
      <c r="OVW56" s="5"/>
      <c r="OVX56" s="4"/>
      <c r="OVY56" s="279"/>
      <c r="OVZ56" s="89"/>
      <c r="OWA56" s="5"/>
      <c r="OWB56" s="4"/>
      <c r="OWC56" s="279"/>
      <c r="OWD56" s="89"/>
      <c r="OWE56" s="5"/>
      <c r="OWF56" s="4"/>
      <c r="OWG56" s="279"/>
      <c r="OWH56" s="89"/>
      <c r="OWI56" s="5"/>
      <c r="OWJ56" s="4"/>
      <c r="OWK56" s="279"/>
      <c r="OWL56" s="89"/>
      <c r="OWM56" s="5"/>
      <c r="OWN56" s="4"/>
      <c r="OWO56" s="279"/>
      <c r="OWP56" s="89"/>
      <c r="OWQ56" s="5"/>
      <c r="OWR56" s="4"/>
      <c r="OWS56" s="279"/>
      <c r="OWT56" s="89"/>
      <c r="OWU56" s="5"/>
      <c r="OWV56" s="4"/>
      <c r="OWW56" s="279"/>
      <c r="OWX56" s="89"/>
      <c r="OWY56" s="5"/>
      <c r="OWZ56" s="4"/>
      <c r="OXA56" s="279"/>
      <c r="OXB56" s="89"/>
      <c r="OXC56" s="5"/>
      <c r="OXD56" s="4"/>
      <c r="OXE56" s="279"/>
      <c r="OXF56" s="89"/>
      <c r="OXG56" s="5"/>
      <c r="OXH56" s="4"/>
      <c r="OXI56" s="279"/>
      <c r="OXJ56" s="89"/>
      <c r="OXK56" s="5"/>
      <c r="OXL56" s="4"/>
      <c r="OXM56" s="279"/>
      <c r="OXN56" s="89"/>
      <c r="OXO56" s="5"/>
      <c r="OXP56" s="4"/>
      <c r="OXQ56" s="279"/>
      <c r="OXR56" s="89"/>
      <c r="OXS56" s="5"/>
      <c r="OXT56" s="4"/>
      <c r="OXU56" s="279"/>
      <c r="OXV56" s="89"/>
      <c r="OXW56" s="5"/>
      <c r="OXX56" s="4"/>
      <c r="OXY56" s="279"/>
      <c r="OXZ56" s="89"/>
      <c r="OYA56" s="5"/>
      <c r="OYB56" s="4"/>
      <c r="OYC56" s="279"/>
      <c r="OYD56" s="89"/>
      <c r="OYE56" s="5"/>
      <c r="OYF56" s="4"/>
      <c r="OYG56" s="279"/>
      <c r="OYH56" s="89"/>
      <c r="OYI56" s="5"/>
      <c r="OYJ56" s="4"/>
      <c r="OYK56" s="279"/>
      <c r="OYL56" s="89"/>
      <c r="OYM56" s="5"/>
      <c r="OYN56" s="4"/>
      <c r="OYO56" s="279"/>
      <c r="OYP56" s="89"/>
      <c r="OYQ56" s="5"/>
      <c r="OYR56" s="4"/>
      <c r="OYS56" s="279"/>
      <c r="OYT56" s="89"/>
      <c r="OYU56" s="5"/>
      <c r="OYV56" s="4"/>
      <c r="OYW56" s="279"/>
      <c r="OYX56" s="89"/>
      <c r="OYY56" s="5"/>
      <c r="OYZ56" s="4"/>
      <c r="OZA56" s="279"/>
      <c r="OZB56" s="89"/>
      <c r="OZC56" s="5"/>
      <c r="OZD56" s="4"/>
      <c r="OZE56" s="279"/>
      <c r="OZF56" s="89"/>
      <c r="OZG56" s="5"/>
      <c r="OZH56" s="4"/>
      <c r="OZI56" s="279"/>
      <c r="OZJ56" s="89"/>
      <c r="OZK56" s="5"/>
      <c r="OZL56" s="4"/>
      <c r="OZM56" s="279"/>
      <c r="OZN56" s="89"/>
      <c r="OZO56" s="5"/>
      <c r="OZP56" s="4"/>
      <c r="OZQ56" s="279"/>
      <c r="OZR56" s="89"/>
      <c r="OZS56" s="5"/>
      <c r="OZT56" s="4"/>
      <c r="OZU56" s="279"/>
      <c r="OZV56" s="89"/>
      <c r="OZW56" s="5"/>
      <c r="OZX56" s="4"/>
      <c r="OZY56" s="279"/>
      <c r="OZZ56" s="89"/>
      <c r="PAA56" s="5"/>
      <c r="PAB56" s="4"/>
      <c r="PAC56" s="279"/>
      <c r="PAD56" s="89"/>
      <c r="PAE56" s="5"/>
      <c r="PAF56" s="4"/>
      <c r="PAG56" s="279"/>
      <c r="PAH56" s="89"/>
      <c r="PAI56" s="5"/>
      <c r="PAJ56" s="4"/>
      <c r="PAK56" s="279"/>
      <c r="PAL56" s="89"/>
      <c r="PAM56" s="5"/>
      <c r="PAN56" s="4"/>
      <c r="PAO56" s="279"/>
      <c r="PAP56" s="89"/>
      <c r="PAQ56" s="5"/>
      <c r="PAR56" s="4"/>
      <c r="PAS56" s="279"/>
      <c r="PAT56" s="89"/>
      <c r="PAU56" s="5"/>
      <c r="PAV56" s="4"/>
      <c r="PAW56" s="279"/>
      <c r="PAX56" s="89"/>
      <c r="PAY56" s="5"/>
      <c r="PAZ56" s="4"/>
      <c r="PBA56" s="279"/>
      <c r="PBB56" s="89"/>
      <c r="PBC56" s="5"/>
      <c r="PBD56" s="4"/>
      <c r="PBE56" s="279"/>
      <c r="PBF56" s="89"/>
      <c r="PBG56" s="5"/>
      <c r="PBH56" s="4"/>
      <c r="PBI56" s="279"/>
      <c r="PBJ56" s="89"/>
      <c r="PBK56" s="5"/>
      <c r="PBL56" s="4"/>
      <c r="PBM56" s="279"/>
      <c r="PBN56" s="89"/>
      <c r="PBO56" s="5"/>
      <c r="PBP56" s="4"/>
      <c r="PBQ56" s="279"/>
      <c r="PBR56" s="89"/>
      <c r="PBS56" s="5"/>
      <c r="PBT56" s="4"/>
      <c r="PBU56" s="279"/>
      <c r="PBV56" s="89"/>
      <c r="PBW56" s="5"/>
      <c r="PBX56" s="4"/>
      <c r="PBY56" s="279"/>
      <c r="PBZ56" s="89"/>
      <c r="PCA56" s="5"/>
      <c r="PCB56" s="4"/>
      <c r="PCC56" s="279"/>
      <c r="PCD56" s="89"/>
      <c r="PCE56" s="5"/>
      <c r="PCF56" s="4"/>
      <c r="PCG56" s="279"/>
      <c r="PCH56" s="89"/>
      <c r="PCI56" s="5"/>
      <c r="PCJ56" s="4"/>
      <c r="PCK56" s="279"/>
      <c r="PCL56" s="89"/>
      <c r="PCM56" s="5"/>
      <c r="PCN56" s="4"/>
      <c r="PCO56" s="279"/>
      <c r="PCP56" s="89"/>
      <c r="PCQ56" s="5"/>
      <c r="PCR56" s="4"/>
      <c r="PCS56" s="279"/>
      <c r="PCT56" s="89"/>
      <c r="PCU56" s="5"/>
      <c r="PCV56" s="4"/>
      <c r="PCW56" s="279"/>
      <c r="PCX56" s="89"/>
      <c r="PCY56" s="5"/>
      <c r="PCZ56" s="4"/>
      <c r="PDA56" s="279"/>
      <c r="PDB56" s="89"/>
      <c r="PDC56" s="5"/>
      <c r="PDD56" s="4"/>
      <c r="PDE56" s="279"/>
      <c r="PDF56" s="89"/>
      <c r="PDG56" s="5"/>
      <c r="PDH56" s="4"/>
      <c r="PDI56" s="279"/>
      <c r="PDJ56" s="89"/>
      <c r="PDK56" s="5"/>
      <c r="PDL56" s="4"/>
      <c r="PDM56" s="279"/>
      <c r="PDN56" s="89"/>
      <c r="PDO56" s="5"/>
      <c r="PDP56" s="4"/>
      <c r="PDQ56" s="279"/>
      <c r="PDR56" s="89"/>
      <c r="PDS56" s="5"/>
      <c r="PDT56" s="4"/>
      <c r="PDU56" s="279"/>
      <c r="PDV56" s="89"/>
      <c r="PDW56" s="5"/>
      <c r="PDX56" s="4"/>
      <c r="PDY56" s="279"/>
      <c r="PDZ56" s="89"/>
      <c r="PEA56" s="5"/>
      <c r="PEB56" s="4"/>
      <c r="PEC56" s="279"/>
      <c r="PED56" s="89"/>
      <c r="PEE56" s="5"/>
      <c r="PEF56" s="4"/>
      <c r="PEG56" s="279"/>
      <c r="PEH56" s="89"/>
      <c r="PEI56" s="5"/>
      <c r="PEJ56" s="4"/>
      <c r="PEK56" s="279"/>
      <c r="PEL56" s="89"/>
      <c r="PEM56" s="5"/>
      <c r="PEN56" s="4"/>
      <c r="PEO56" s="279"/>
      <c r="PEP56" s="89"/>
      <c r="PEQ56" s="5"/>
      <c r="PER56" s="4"/>
      <c r="PES56" s="279"/>
      <c r="PET56" s="89"/>
      <c r="PEU56" s="5"/>
      <c r="PEV56" s="4"/>
      <c r="PEW56" s="279"/>
      <c r="PEX56" s="89"/>
      <c r="PEY56" s="5"/>
      <c r="PEZ56" s="4"/>
      <c r="PFA56" s="279"/>
      <c r="PFB56" s="89"/>
      <c r="PFC56" s="5"/>
      <c r="PFD56" s="4"/>
      <c r="PFE56" s="279"/>
      <c r="PFF56" s="89"/>
      <c r="PFG56" s="5"/>
      <c r="PFH56" s="4"/>
      <c r="PFI56" s="279"/>
      <c r="PFJ56" s="89"/>
      <c r="PFK56" s="5"/>
      <c r="PFL56" s="4"/>
      <c r="PFM56" s="279"/>
      <c r="PFN56" s="89"/>
      <c r="PFO56" s="5"/>
      <c r="PFP56" s="4"/>
      <c r="PFQ56" s="279"/>
      <c r="PFR56" s="89"/>
      <c r="PFS56" s="5"/>
      <c r="PFT56" s="4"/>
      <c r="PFU56" s="279"/>
      <c r="PFV56" s="89"/>
      <c r="PFW56" s="5"/>
      <c r="PFX56" s="4"/>
      <c r="PFY56" s="279"/>
      <c r="PFZ56" s="89"/>
      <c r="PGA56" s="5"/>
      <c r="PGB56" s="4"/>
      <c r="PGC56" s="279"/>
      <c r="PGD56" s="89"/>
      <c r="PGE56" s="5"/>
      <c r="PGF56" s="4"/>
      <c r="PGG56" s="279"/>
      <c r="PGH56" s="89"/>
      <c r="PGI56" s="5"/>
      <c r="PGJ56" s="4"/>
      <c r="PGK56" s="279"/>
      <c r="PGL56" s="89"/>
      <c r="PGM56" s="5"/>
      <c r="PGN56" s="4"/>
      <c r="PGO56" s="279"/>
      <c r="PGP56" s="89"/>
      <c r="PGQ56" s="5"/>
      <c r="PGR56" s="4"/>
      <c r="PGS56" s="279"/>
      <c r="PGT56" s="89"/>
      <c r="PGU56" s="5"/>
      <c r="PGV56" s="4"/>
      <c r="PGW56" s="279"/>
      <c r="PGX56" s="89"/>
      <c r="PGY56" s="5"/>
      <c r="PGZ56" s="4"/>
      <c r="PHA56" s="279"/>
      <c r="PHB56" s="89"/>
      <c r="PHC56" s="5"/>
      <c r="PHD56" s="4"/>
      <c r="PHE56" s="279"/>
      <c r="PHF56" s="89"/>
      <c r="PHG56" s="5"/>
      <c r="PHH56" s="4"/>
      <c r="PHI56" s="279"/>
      <c r="PHJ56" s="89"/>
      <c r="PHK56" s="5"/>
      <c r="PHL56" s="4"/>
      <c r="PHM56" s="279"/>
      <c r="PHN56" s="89"/>
      <c r="PHO56" s="5"/>
      <c r="PHP56" s="4"/>
      <c r="PHQ56" s="279"/>
      <c r="PHR56" s="89"/>
      <c r="PHS56" s="5"/>
      <c r="PHT56" s="4"/>
      <c r="PHU56" s="279"/>
      <c r="PHV56" s="89"/>
      <c r="PHW56" s="5"/>
      <c r="PHX56" s="4"/>
      <c r="PHY56" s="279"/>
      <c r="PHZ56" s="89"/>
      <c r="PIA56" s="5"/>
      <c r="PIB56" s="4"/>
      <c r="PIC56" s="279"/>
      <c r="PID56" s="89"/>
      <c r="PIE56" s="5"/>
      <c r="PIF56" s="4"/>
      <c r="PIG56" s="279"/>
      <c r="PIH56" s="89"/>
      <c r="PII56" s="5"/>
      <c r="PIJ56" s="4"/>
      <c r="PIK56" s="279"/>
      <c r="PIL56" s="89"/>
      <c r="PIM56" s="5"/>
      <c r="PIN56" s="4"/>
      <c r="PIO56" s="279"/>
      <c r="PIP56" s="89"/>
      <c r="PIQ56" s="5"/>
      <c r="PIR56" s="4"/>
      <c r="PIS56" s="279"/>
      <c r="PIT56" s="89"/>
      <c r="PIU56" s="5"/>
      <c r="PIV56" s="4"/>
      <c r="PIW56" s="279"/>
      <c r="PIX56" s="89"/>
      <c r="PIY56" s="5"/>
      <c r="PIZ56" s="4"/>
      <c r="PJA56" s="279"/>
      <c r="PJB56" s="89"/>
      <c r="PJC56" s="5"/>
      <c r="PJD56" s="4"/>
      <c r="PJE56" s="279"/>
      <c r="PJF56" s="89"/>
      <c r="PJG56" s="5"/>
      <c r="PJH56" s="4"/>
      <c r="PJI56" s="279"/>
      <c r="PJJ56" s="89"/>
      <c r="PJK56" s="5"/>
      <c r="PJL56" s="4"/>
      <c r="PJM56" s="279"/>
      <c r="PJN56" s="89"/>
      <c r="PJO56" s="5"/>
      <c r="PJP56" s="4"/>
      <c r="PJQ56" s="279"/>
      <c r="PJR56" s="89"/>
      <c r="PJS56" s="5"/>
      <c r="PJT56" s="4"/>
      <c r="PJU56" s="279"/>
      <c r="PJV56" s="89"/>
      <c r="PJW56" s="5"/>
      <c r="PJX56" s="4"/>
      <c r="PJY56" s="279"/>
      <c r="PJZ56" s="89"/>
      <c r="PKA56" s="5"/>
      <c r="PKB56" s="4"/>
      <c r="PKC56" s="279"/>
      <c r="PKD56" s="89"/>
      <c r="PKE56" s="5"/>
      <c r="PKF56" s="4"/>
      <c r="PKG56" s="279"/>
      <c r="PKH56" s="89"/>
      <c r="PKI56" s="5"/>
      <c r="PKJ56" s="4"/>
      <c r="PKK56" s="279"/>
      <c r="PKL56" s="89"/>
      <c r="PKM56" s="5"/>
      <c r="PKN56" s="4"/>
      <c r="PKO56" s="279"/>
      <c r="PKP56" s="89"/>
      <c r="PKQ56" s="5"/>
      <c r="PKR56" s="4"/>
      <c r="PKS56" s="279"/>
      <c r="PKT56" s="89"/>
      <c r="PKU56" s="5"/>
      <c r="PKV56" s="4"/>
      <c r="PKW56" s="279"/>
      <c r="PKX56" s="89"/>
      <c r="PKY56" s="5"/>
      <c r="PKZ56" s="4"/>
      <c r="PLA56" s="279"/>
      <c r="PLB56" s="89"/>
      <c r="PLC56" s="5"/>
      <c r="PLD56" s="4"/>
      <c r="PLE56" s="279"/>
      <c r="PLF56" s="89"/>
      <c r="PLG56" s="5"/>
      <c r="PLH56" s="4"/>
      <c r="PLI56" s="279"/>
      <c r="PLJ56" s="89"/>
      <c r="PLK56" s="5"/>
      <c r="PLL56" s="4"/>
      <c r="PLM56" s="279"/>
      <c r="PLN56" s="89"/>
      <c r="PLO56" s="5"/>
      <c r="PLP56" s="4"/>
      <c r="PLQ56" s="279"/>
      <c r="PLR56" s="89"/>
      <c r="PLS56" s="5"/>
      <c r="PLT56" s="4"/>
      <c r="PLU56" s="279"/>
      <c r="PLV56" s="89"/>
      <c r="PLW56" s="5"/>
      <c r="PLX56" s="4"/>
      <c r="PLY56" s="279"/>
      <c r="PLZ56" s="89"/>
      <c r="PMA56" s="5"/>
      <c r="PMB56" s="4"/>
      <c r="PMC56" s="279"/>
      <c r="PMD56" s="89"/>
      <c r="PME56" s="5"/>
      <c r="PMF56" s="4"/>
      <c r="PMG56" s="279"/>
      <c r="PMH56" s="89"/>
      <c r="PMI56" s="5"/>
      <c r="PMJ56" s="4"/>
      <c r="PMK56" s="279"/>
      <c r="PML56" s="89"/>
      <c r="PMM56" s="5"/>
      <c r="PMN56" s="4"/>
      <c r="PMO56" s="279"/>
      <c r="PMP56" s="89"/>
      <c r="PMQ56" s="5"/>
      <c r="PMR56" s="4"/>
      <c r="PMS56" s="279"/>
      <c r="PMT56" s="89"/>
      <c r="PMU56" s="5"/>
      <c r="PMV56" s="4"/>
      <c r="PMW56" s="279"/>
      <c r="PMX56" s="89"/>
      <c r="PMY56" s="5"/>
      <c r="PMZ56" s="4"/>
      <c r="PNA56" s="279"/>
      <c r="PNB56" s="89"/>
      <c r="PNC56" s="5"/>
      <c r="PND56" s="4"/>
      <c r="PNE56" s="279"/>
      <c r="PNF56" s="89"/>
      <c r="PNG56" s="5"/>
      <c r="PNH56" s="4"/>
      <c r="PNI56" s="279"/>
      <c r="PNJ56" s="89"/>
      <c r="PNK56" s="5"/>
      <c r="PNL56" s="4"/>
      <c r="PNM56" s="279"/>
      <c r="PNN56" s="89"/>
      <c r="PNO56" s="5"/>
      <c r="PNP56" s="4"/>
      <c r="PNQ56" s="279"/>
      <c r="PNR56" s="89"/>
      <c r="PNS56" s="5"/>
      <c r="PNT56" s="4"/>
      <c r="PNU56" s="279"/>
      <c r="PNV56" s="89"/>
      <c r="PNW56" s="5"/>
      <c r="PNX56" s="4"/>
      <c r="PNY56" s="279"/>
      <c r="PNZ56" s="89"/>
      <c r="POA56" s="5"/>
      <c r="POB56" s="4"/>
      <c r="POC56" s="279"/>
      <c r="POD56" s="89"/>
      <c r="POE56" s="5"/>
      <c r="POF56" s="4"/>
      <c r="POG56" s="279"/>
      <c r="POH56" s="89"/>
      <c r="POI56" s="5"/>
      <c r="POJ56" s="4"/>
      <c r="POK56" s="279"/>
      <c r="POL56" s="89"/>
      <c r="POM56" s="5"/>
      <c r="PON56" s="4"/>
      <c r="POO56" s="279"/>
      <c r="POP56" s="89"/>
      <c r="POQ56" s="5"/>
      <c r="POR56" s="4"/>
      <c r="POS56" s="279"/>
      <c r="POT56" s="89"/>
      <c r="POU56" s="5"/>
      <c r="POV56" s="4"/>
      <c r="POW56" s="279"/>
      <c r="POX56" s="89"/>
      <c r="POY56" s="5"/>
      <c r="POZ56" s="4"/>
      <c r="PPA56" s="279"/>
      <c r="PPB56" s="89"/>
      <c r="PPC56" s="5"/>
      <c r="PPD56" s="4"/>
      <c r="PPE56" s="279"/>
      <c r="PPF56" s="89"/>
      <c r="PPG56" s="5"/>
      <c r="PPH56" s="4"/>
      <c r="PPI56" s="279"/>
      <c r="PPJ56" s="89"/>
      <c r="PPK56" s="5"/>
      <c r="PPL56" s="4"/>
      <c r="PPM56" s="279"/>
      <c r="PPN56" s="89"/>
      <c r="PPO56" s="5"/>
      <c r="PPP56" s="4"/>
      <c r="PPQ56" s="279"/>
      <c r="PPR56" s="89"/>
      <c r="PPS56" s="5"/>
      <c r="PPT56" s="4"/>
      <c r="PPU56" s="279"/>
      <c r="PPV56" s="89"/>
      <c r="PPW56" s="5"/>
      <c r="PPX56" s="4"/>
      <c r="PPY56" s="279"/>
      <c r="PPZ56" s="89"/>
      <c r="PQA56" s="5"/>
      <c r="PQB56" s="4"/>
      <c r="PQC56" s="279"/>
      <c r="PQD56" s="89"/>
      <c r="PQE56" s="5"/>
      <c r="PQF56" s="4"/>
      <c r="PQG56" s="279"/>
      <c r="PQH56" s="89"/>
      <c r="PQI56" s="5"/>
      <c r="PQJ56" s="4"/>
      <c r="PQK56" s="279"/>
      <c r="PQL56" s="89"/>
      <c r="PQM56" s="5"/>
      <c r="PQN56" s="4"/>
      <c r="PQO56" s="279"/>
      <c r="PQP56" s="89"/>
      <c r="PQQ56" s="5"/>
      <c r="PQR56" s="4"/>
      <c r="PQS56" s="279"/>
      <c r="PQT56" s="89"/>
      <c r="PQU56" s="5"/>
      <c r="PQV56" s="4"/>
      <c r="PQW56" s="279"/>
      <c r="PQX56" s="89"/>
      <c r="PQY56" s="5"/>
      <c r="PQZ56" s="4"/>
      <c r="PRA56" s="279"/>
      <c r="PRB56" s="89"/>
      <c r="PRC56" s="5"/>
      <c r="PRD56" s="4"/>
      <c r="PRE56" s="279"/>
      <c r="PRF56" s="89"/>
      <c r="PRG56" s="5"/>
      <c r="PRH56" s="4"/>
      <c r="PRI56" s="279"/>
      <c r="PRJ56" s="89"/>
      <c r="PRK56" s="5"/>
      <c r="PRL56" s="4"/>
      <c r="PRM56" s="279"/>
      <c r="PRN56" s="89"/>
      <c r="PRO56" s="5"/>
      <c r="PRP56" s="4"/>
      <c r="PRQ56" s="279"/>
      <c r="PRR56" s="89"/>
      <c r="PRS56" s="5"/>
      <c r="PRT56" s="4"/>
      <c r="PRU56" s="279"/>
      <c r="PRV56" s="89"/>
      <c r="PRW56" s="5"/>
      <c r="PRX56" s="4"/>
      <c r="PRY56" s="279"/>
      <c r="PRZ56" s="89"/>
      <c r="PSA56" s="5"/>
      <c r="PSB56" s="4"/>
      <c r="PSC56" s="279"/>
      <c r="PSD56" s="89"/>
      <c r="PSE56" s="5"/>
      <c r="PSF56" s="4"/>
      <c r="PSG56" s="279"/>
      <c r="PSH56" s="89"/>
      <c r="PSI56" s="5"/>
      <c r="PSJ56" s="4"/>
      <c r="PSK56" s="279"/>
      <c r="PSL56" s="89"/>
      <c r="PSM56" s="5"/>
      <c r="PSN56" s="4"/>
      <c r="PSO56" s="279"/>
      <c r="PSP56" s="89"/>
      <c r="PSQ56" s="5"/>
      <c r="PSR56" s="4"/>
      <c r="PSS56" s="279"/>
      <c r="PST56" s="89"/>
      <c r="PSU56" s="5"/>
      <c r="PSV56" s="4"/>
      <c r="PSW56" s="279"/>
      <c r="PSX56" s="89"/>
      <c r="PSY56" s="5"/>
      <c r="PSZ56" s="4"/>
      <c r="PTA56" s="279"/>
      <c r="PTB56" s="89"/>
      <c r="PTC56" s="5"/>
      <c r="PTD56" s="4"/>
      <c r="PTE56" s="279"/>
      <c r="PTF56" s="89"/>
      <c r="PTG56" s="5"/>
      <c r="PTH56" s="4"/>
      <c r="PTI56" s="279"/>
      <c r="PTJ56" s="89"/>
      <c r="PTK56" s="5"/>
      <c r="PTL56" s="4"/>
      <c r="PTM56" s="279"/>
      <c r="PTN56" s="89"/>
      <c r="PTO56" s="5"/>
      <c r="PTP56" s="4"/>
      <c r="PTQ56" s="279"/>
      <c r="PTR56" s="89"/>
      <c r="PTS56" s="5"/>
      <c r="PTT56" s="4"/>
      <c r="PTU56" s="279"/>
      <c r="PTV56" s="89"/>
      <c r="PTW56" s="5"/>
      <c r="PTX56" s="4"/>
      <c r="PTY56" s="279"/>
      <c r="PTZ56" s="89"/>
      <c r="PUA56" s="5"/>
      <c r="PUB56" s="4"/>
      <c r="PUC56" s="279"/>
      <c r="PUD56" s="89"/>
      <c r="PUE56" s="5"/>
      <c r="PUF56" s="4"/>
      <c r="PUG56" s="279"/>
      <c r="PUH56" s="89"/>
      <c r="PUI56" s="5"/>
      <c r="PUJ56" s="4"/>
      <c r="PUK56" s="279"/>
      <c r="PUL56" s="89"/>
      <c r="PUM56" s="5"/>
      <c r="PUN56" s="4"/>
      <c r="PUO56" s="279"/>
      <c r="PUP56" s="89"/>
      <c r="PUQ56" s="5"/>
      <c r="PUR56" s="4"/>
      <c r="PUS56" s="279"/>
      <c r="PUT56" s="89"/>
      <c r="PUU56" s="5"/>
      <c r="PUV56" s="4"/>
      <c r="PUW56" s="279"/>
      <c r="PUX56" s="89"/>
      <c r="PUY56" s="5"/>
      <c r="PUZ56" s="4"/>
      <c r="PVA56" s="279"/>
      <c r="PVB56" s="89"/>
      <c r="PVC56" s="5"/>
      <c r="PVD56" s="4"/>
      <c r="PVE56" s="279"/>
      <c r="PVF56" s="89"/>
      <c r="PVG56" s="5"/>
      <c r="PVH56" s="4"/>
      <c r="PVI56" s="279"/>
      <c r="PVJ56" s="89"/>
      <c r="PVK56" s="5"/>
      <c r="PVL56" s="4"/>
      <c r="PVM56" s="279"/>
      <c r="PVN56" s="89"/>
      <c r="PVO56" s="5"/>
      <c r="PVP56" s="4"/>
      <c r="PVQ56" s="279"/>
      <c r="PVR56" s="89"/>
      <c r="PVS56" s="5"/>
      <c r="PVT56" s="4"/>
      <c r="PVU56" s="279"/>
      <c r="PVV56" s="89"/>
      <c r="PVW56" s="5"/>
      <c r="PVX56" s="4"/>
      <c r="PVY56" s="279"/>
      <c r="PVZ56" s="89"/>
      <c r="PWA56" s="5"/>
      <c r="PWB56" s="4"/>
      <c r="PWC56" s="279"/>
      <c r="PWD56" s="89"/>
      <c r="PWE56" s="5"/>
      <c r="PWF56" s="4"/>
      <c r="PWG56" s="279"/>
      <c r="PWH56" s="89"/>
      <c r="PWI56" s="5"/>
      <c r="PWJ56" s="4"/>
      <c r="PWK56" s="279"/>
      <c r="PWL56" s="89"/>
      <c r="PWM56" s="5"/>
      <c r="PWN56" s="4"/>
      <c r="PWO56" s="279"/>
      <c r="PWP56" s="89"/>
      <c r="PWQ56" s="5"/>
      <c r="PWR56" s="4"/>
      <c r="PWS56" s="279"/>
      <c r="PWT56" s="89"/>
      <c r="PWU56" s="5"/>
      <c r="PWV56" s="4"/>
      <c r="PWW56" s="279"/>
      <c r="PWX56" s="89"/>
      <c r="PWY56" s="5"/>
      <c r="PWZ56" s="4"/>
      <c r="PXA56" s="279"/>
      <c r="PXB56" s="89"/>
      <c r="PXC56" s="5"/>
      <c r="PXD56" s="4"/>
      <c r="PXE56" s="279"/>
      <c r="PXF56" s="89"/>
      <c r="PXG56" s="5"/>
      <c r="PXH56" s="4"/>
      <c r="PXI56" s="279"/>
      <c r="PXJ56" s="89"/>
      <c r="PXK56" s="5"/>
      <c r="PXL56" s="4"/>
      <c r="PXM56" s="279"/>
      <c r="PXN56" s="89"/>
      <c r="PXO56" s="5"/>
      <c r="PXP56" s="4"/>
      <c r="PXQ56" s="279"/>
      <c r="PXR56" s="89"/>
      <c r="PXS56" s="5"/>
      <c r="PXT56" s="4"/>
      <c r="PXU56" s="279"/>
      <c r="PXV56" s="89"/>
      <c r="PXW56" s="5"/>
      <c r="PXX56" s="4"/>
      <c r="PXY56" s="279"/>
      <c r="PXZ56" s="89"/>
      <c r="PYA56" s="5"/>
      <c r="PYB56" s="4"/>
      <c r="PYC56" s="279"/>
      <c r="PYD56" s="89"/>
      <c r="PYE56" s="5"/>
      <c r="PYF56" s="4"/>
      <c r="PYG56" s="279"/>
      <c r="PYH56" s="89"/>
      <c r="PYI56" s="5"/>
      <c r="PYJ56" s="4"/>
      <c r="PYK56" s="279"/>
      <c r="PYL56" s="89"/>
      <c r="PYM56" s="5"/>
      <c r="PYN56" s="4"/>
      <c r="PYO56" s="279"/>
      <c r="PYP56" s="89"/>
      <c r="PYQ56" s="5"/>
      <c r="PYR56" s="4"/>
      <c r="PYS56" s="279"/>
      <c r="PYT56" s="89"/>
      <c r="PYU56" s="5"/>
      <c r="PYV56" s="4"/>
      <c r="PYW56" s="279"/>
      <c r="PYX56" s="89"/>
      <c r="PYY56" s="5"/>
      <c r="PYZ56" s="4"/>
      <c r="PZA56" s="279"/>
      <c r="PZB56" s="89"/>
      <c r="PZC56" s="5"/>
      <c r="PZD56" s="4"/>
      <c r="PZE56" s="279"/>
      <c r="PZF56" s="89"/>
      <c r="PZG56" s="5"/>
      <c r="PZH56" s="4"/>
      <c r="PZI56" s="279"/>
      <c r="PZJ56" s="89"/>
      <c r="PZK56" s="5"/>
      <c r="PZL56" s="4"/>
      <c r="PZM56" s="279"/>
      <c r="PZN56" s="89"/>
      <c r="PZO56" s="5"/>
      <c r="PZP56" s="4"/>
      <c r="PZQ56" s="279"/>
      <c r="PZR56" s="89"/>
      <c r="PZS56" s="5"/>
      <c r="PZT56" s="4"/>
      <c r="PZU56" s="279"/>
      <c r="PZV56" s="89"/>
      <c r="PZW56" s="5"/>
      <c r="PZX56" s="4"/>
      <c r="PZY56" s="279"/>
      <c r="PZZ56" s="89"/>
      <c r="QAA56" s="5"/>
      <c r="QAB56" s="4"/>
      <c r="QAC56" s="279"/>
      <c r="QAD56" s="89"/>
      <c r="QAE56" s="5"/>
      <c r="QAF56" s="4"/>
      <c r="QAG56" s="279"/>
      <c r="QAH56" s="89"/>
      <c r="QAI56" s="5"/>
      <c r="QAJ56" s="4"/>
      <c r="QAK56" s="279"/>
      <c r="QAL56" s="89"/>
      <c r="QAM56" s="5"/>
      <c r="QAN56" s="4"/>
      <c r="QAO56" s="279"/>
      <c r="QAP56" s="89"/>
      <c r="QAQ56" s="5"/>
      <c r="QAR56" s="4"/>
      <c r="QAS56" s="279"/>
      <c r="QAT56" s="89"/>
      <c r="QAU56" s="5"/>
      <c r="QAV56" s="4"/>
      <c r="QAW56" s="279"/>
      <c r="QAX56" s="89"/>
      <c r="QAY56" s="5"/>
      <c r="QAZ56" s="4"/>
      <c r="QBA56" s="279"/>
      <c r="QBB56" s="89"/>
      <c r="QBC56" s="5"/>
      <c r="QBD56" s="4"/>
      <c r="QBE56" s="279"/>
      <c r="QBF56" s="89"/>
      <c r="QBG56" s="5"/>
      <c r="QBH56" s="4"/>
      <c r="QBI56" s="279"/>
      <c r="QBJ56" s="89"/>
      <c r="QBK56" s="5"/>
      <c r="QBL56" s="4"/>
      <c r="QBM56" s="279"/>
      <c r="QBN56" s="89"/>
      <c r="QBO56" s="5"/>
      <c r="QBP56" s="4"/>
      <c r="QBQ56" s="279"/>
      <c r="QBR56" s="89"/>
      <c r="QBS56" s="5"/>
      <c r="QBT56" s="4"/>
      <c r="QBU56" s="279"/>
      <c r="QBV56" s="89"/>
      <c r="QBW56" s="5"/>
      <c r="QBX56" s="4"/>
      <c r="QBY56" s="279"/>
      <c r="QBZ56" s="89"/>
      <c r="QCA56" s="5"/>
      <c r="QCB56" s="4"/>
      <c r="QCC56" s="279"/>
      <c r="QCD56" s="89"/>
      <c r="QCE56" s="5"/>
      <c r="QCF56" s="4"/>
      <c r="QCG56" s="279"/>
      <c r="QCH56" s="89"/>
      <c r="QCI56" s="5"/>
      <c r="QCJ56" s="4"/>
      <c r="QCK56" s="279"/>
      <c r="QCL56" s="89"/>
      <c r="QCM56" s="5"/>
      <c r="QCN56" s="4"/>
      <c r="QCO56" s="279"/>
      <c r="QCP56" s="89"/>
      <c r="QCQ56" s="5"/>
      <c r="QCR56" s="4"/>
      <c r="QCS56" s="279"/>
      <c r="QCT56" s="89"/>
      <c r="QCU56" s="5"/>
      <c r="QCV56" s="4"/>
      <c r="QCW56" s="279"/>
      <c r="QCX56" s="89"/>
      <c r="QCY56" s="5"/>
      <c r="QCZ56" s="4"/>
      <c r="QDA56" s="279"/>
      <c r="QDB56" s="89"/>
      <c r="QDC56" s="5"/>
      <c r="QDD56" s="4"/>
      <c r="QDE56" s="279"/>
      <c r="QDF56" s="89"/>
      <c r="QDG56" s="5"/>
      <c r="QDH56" s="4"/>
      <c r="QDI56" s="279"/>
      <c r="QDJ56" s="89"/>
      <c r="QDK56" s="5"/>
      <c r="QDL56" s="4"/>
      <c r="QDM56" s="279"/>
      <c r="QDN56" s="89"/>
      <c r="QDO56" s="5"/>
      <c r="QDP56" s="4"/>
      <c r="QDQ56" s="279"/>
      <c r="QDR56" s="89"/>
      <c r="QDS56" s="5"/>
      <c r="QDT56" s="4"/>
      <c r="QDU56" s="279"/>
      <c r="QDV56" s="89"/>
      <c r="QDW56" s="5"/>
      <c r="QDX56" s="4"/>
      <c r="QDY56" s="279"/>
      <c r="QDZ56" s="89"/>
      <c r="QEA56" s="5"/>
      <c r="QEB56" s="4"/>
      <c r="QEC56" s="279"/>
      <c r="QED56" s="89"/>
      <c r="QEE56" s="5"/>
      <c r="QEF56" s="4"/>
      <c r="QEG56" s="279"/>
      <c r="QEH56" s="89"/>
      <c r="QEI56" s="5"/>
      <c r="QEJ56" s="4"/>
      <c r="QEK56" s="279"/>
      <c r="QEL56" s="89"/>
      <c r="QEM56" s="5"/>
      <c r="QEN56" s="4"/>
      <c r="QEO56" s="279"/>
      <c r="QEP56" s="89"/>
      <c r="QEQ56" s="5"/>
      <c r="QER56" s="4"/>
      <c r="QES56" s="279"/>
      <c r="QET56" s="89"/>
      <c r="QEU56" s="5"/>
      <c r="QEV56" s="4"/>
      <c r="QEW56" s="279"/>
      <c r="QEX56" s="89"/>
      <c r="QEY56" s="5"/>
      <c r="QEZ56" s="4"/>
      <c r="QFA56" s="279"/>
      <c r="QFB56" s="89"/>
      <c r="QFC56" s="5"/>
      <c r="QFD56" s="4"/>
      <c r="QFE56" s="279"/>
      <c r="QFF56" s="89"/>
      <c r="QFG56" s="5"/>
      <c r="QFH56" s="4"/>
      <c r="QFI56" s="279"/>
      <c r="QFJ56" s="89"/>
      <c r="QFK56" s="5"/>
      <c r="QFL56" s="4"/>
      <c r="QFM56" s="279"/>
      <c r="QFN56" s="89"/>
      <c r="QFO56" s="5"/>
      <c r="QFP56" s="4"/>
      <c r="QFQ56" s="279"/>
      <c r="QFR56" s="89"/>
      <c r="QFS56" s="5"/>
      <c r="QFT56" s="4"/>
      <c r="QFU56" s="279"/>
      <c r="QFV56" s="89"/>
      <c r="QFW56" s="5"/>
      <c r="QFX56" s="4"/>
      <c r="QFY56" s="279"/>
      <c r="QFZ56" s="89"/>
      <c r="QGA56" s="5"/>
      <c r="QGB56" s="4"/>
      <c r="QGC56" s="279"/>
      <c r="QGD56" s="89"/>
      <c r="QGE56" s="5"/>
      <c r="QGF56" s="4"/>
      <c r="QGG56" s="279"/>
      <c r="QGH56" s="89"/>
      <c r="QGI56" s="5"/>
      <c r="QGJ56" s="4"/>
      <c r="QGK56" s="279"/>
      <c r="QGL56" s="89"/>
      <c r="QGM56" s="5"/>
      <c r="QGN56" s="4"/>
      <c r="QGO56" s="279"/>
      <c r="QGP56" s="89"/>
      <c r="QGQ56" s="5"/>
      <c r="QGR56" s="4"/>
      <c r="QGS56" s="279"/>
      <c r="QGT56" s="89"/>
      <c r="QGU56" s="5"/>
      <c r="QGV56" s="4"/>
      <c r="QGW56" s="279"/>
      <c r="QGX56" s="89"/>
      <c r="QGY56" s="5"/>
      <c r="QGZ56" s="4"/>
      <c r="QHA56" s="279"/>
      <c r="QHB56" s="89"/>
      <c r="QHC56" s="5"/>
      <c r="QHD56" s="4"/>
      <c r="QHE56" s="279"/>
      <c r="QHF56" s="89"/>
      <c r="QHG56" s="5"/>
      <c r="QHH56" s="4"/>
      <c r="QHI56" s="279"/>
      <c r="QHJ56" s="89"/>
      <c r="QHK56" s="5"/>
      <c r="QHL56" s="4"/>
      <c r="QHM56" s="279"/>
      <c r="QHN56" s="89"/>
      <c r="QHO56" s="5"/>
      <c r="QHP56" s="4"/>
      <c r="QHQ56" s="279"/>
      <c r="QHR56" s="89"/>
      <c r="QHS56" s="5"/>
      <c r="QHT56" s="4"/>
      <c r="QHU56" s="279"/>
      <c r="QHV56" s="89"/>
      <c r="QHW56" s="5"/>
      <c r="QHX56" s="4"/>
      <c r="QHY56" s="279"/>
      <c r="QHZ56" s="89"/>
      <c r="QIA56" s="5"/>
      <c r="QIB56" s="4"/>
      <c r="QIC56" s="279"/>
      <c r="QID56" s="89"/>
      <c r="QIE56" s="5"/>
      <c r="QIF56" s="4"/>
      <c r="QIG56" s="279"/>
      <c r="QIH56" s="89"/>
      <c r="QII56" s="5"/>
      <c r="QIJ56" s="4"/>
      <c r="QIK56" s="279"/>
      <c r="QIL56" s="89"/>
      <c r="QIM56" s="5"/>
      <c r="QIN56" s="4"/>
      <c r="QIO56" s="279"/>
      <c r="QIP56" s="89"/>
      <c r="QIQ56" s="5"/>
      <c r="QIR56" s="4"/>
      <c r="QIS56" s="279"/>
      <c r="QIT56" s="89"/>
      <c r="QIU56" s="5"/>
      <c r="QIV56" s="4"/>
      <c r="QIW56" s="279"/>
      <c r="QIX56" s="89"/>
      <c r="QIY56" s="5"/>
      <c r="QIZ56" s="4"/>
      <c r="QJA56" s="279"/>
      <c r="QJB56" s="89"/>
      <c r="QJC56" s="5"/>
      <c r="QJD56" s="4"/>
      <c r="QJE56" s="279"/>
      <c r="QJF56" s="89"/>
      <c r="QJG56" s="5"/>
      <c r="QJH56" s="4"/>
      <c r="QJI56" s="279"/>
      <c r="QJJ56" s="89"/>
      <c r="QJK56" s="5"/>
      <c r="QJL56" s="4"/>
      <c r="QJM56" s="279"/>
      <c r="QJN56" s="89"/>
      <c r="QJO56" s="5"/>
      <c r="QJP56" s="4"/>
      <c r="QJQ56" s="279"/>
      <c r="QJR56" s="89"/>
      <c r="QJS56" s="5"/>
      <c r="QJT56" s="4"/>
      <c r="QJU56" s="279"/>
      <c r="QJV56" s="89"/>
      <c r="QJW56" s="5"/>
      <c r="QJX56" s="4"/>
      <c r="QJY56" s="279"/>
      <c r="QJZ56" s="89"/>
      <c r="QKA56" s="5"/>
      <c r="QKB56" s="4"/>
      <c r="QKC56" s="279"/>
      <c r="QKD56" s="89"/>
      <c r="QKE56" s="5"/>
      <c r="QKF56" s="4"/>
      <c r="QKG56" s="279"/>
      <c r="QKH56" s="89"/>
      <c r="QKI56" s="5"/>
      <c r="QKJ56" s="4"/>
      <c r="QKK56" s="279"/>
      <c r="QKL56" s="89"/>
      <c r="QKM56" s="5"/>
      <c r="QKN56" s="4"/>
      <c r="QKO56" s="279"/>
      <c r="QKP56" s="89"/>
      <c r="QKQ56" s="5"/>
      <c r="QKR56" s="4"/>
      <c r="QKS56" s="279"/>
      <c r="QKT56" s="89"/>
      <c r="QKU56" s="5"/>
      <c r="QKV56" s="4"/>
      <c r="QKW56" s="279"/>
      <c r="QKX56" s="89"/>
      <c r="QKY56" s="5"/>
      <c r="QKZ56" s="4"/>
      <c r="QLA56" s="279"/>
      <c r="QLB56" s="89"/>
      <c r="QLC56" s="5"/>
      <c r="QLD56" s="4"/>
      <c r="QLE56" s="279"/>
      <c r="QLF56" s="89"/>
      <c r="QLG56" s="5"/>
      <c r="QLH56" s="4"/>
      <c r="QLI56" s="279"/>
      <c r="QLJ56" s="89"/>
      <c r="QLK56" s="5"/>
      <c r="QLL56" s="4"/>
      <c r="QLM56" s="279"/>
      <c r="QLN56" s="89"/>
      <c r="QLO56" s="5"/>
      <c r="QLP56" s="4"/>
      <c r="QLQ56" s="279"/>
      <c r="QLR56" s="89"/>
      <c r="QLS56" s="5"/>
      <c r="QLT56" s="4"/>
      <c r="QLU56" s="279"/>
      <c r="QLV56" s="89"/>
      <c r="QLW56" s="5"/>
      <c r="QLX56" s="4"/>
      <c r="QLY56" s="279"/>
      <c r="QLZ56" s="89"/>
      <c r="QMA56" s="5"/>
      <c r="QMB56" s="4"/>
      <c r="QMC56" s="279"/>
      <c r="QMD56" s="89"/>
      <c r="QME56" s="5"/>
      <c r="QMF56" s="4"/>
      <c r="QMG56" s="279"/>
      <c r="QMH56" s="89"/>
      <c r="QMI56" s="5"/>
      <c r="QMJ56" s="4"/>
      <c r="QMK56" s="279"/>
      <c r="QML56" s="89"/>
      <c r="QMM56" s="5"/>
      <c r="QMN56" s="4"/>
      <c r="QMO56" s="279"/>
      <c r="QMP56" s="89"/>
      <c r="QMQ56" s="5"/>
      <c r="QMR56" s="4"/>
      <c r="QMS56" s="279"/>
      <c r="QMT56" s="89"/>
      <c r="QMU56" s="5"/>
      <c r="QMV56" s="4"/>
      <c r="QMW56" s="279"/>
      <c r="QMX56" s="89"/>
      <c r="QMY56" s="5"/>
      <c r="QMZ56" s="4"/>
      <c r="QNA56" s="279"/>
      <c r="QNB56" s="89"/>
      <c r="QNC56" s="5"/>
      <c r="QND56" s="4"/>
      <c r="QNE56" s="279"/>
      <c r="QNF56" s="89"/>
      <c r="QNG56" s="5"/>
      <c r="QNH56" s="4"/>
      <c r="QNI56" s="279"/>
      <c r="QNJ56" s="89"/>
      <c r="QNK56" s="5"/>
      <c r="QNL56" s="4"/>
      <c r="QNM56" s="279"/>
      <c r="QNN56" s="89"/>
      <c r="QNO56" s="5"/>
      <c r="QNP56" s="4"/>
      <c r="QNQ56" s="279"/>
      <c r="QNR56" s="89"/>
      <c r="QNS56" s="5"/>
      <c r="QNT56" s="4"/>
      <c r="QNU56" s="279"/>
      <c r="QNV56" s="89"/>
      <c r="QNW56" s="5"/>
      <c r="QNX56" s="4"/>
      <c r="QNY56" s="279"/>
      <c r="QNZ56" s="89"/>
      <c r="QOA56" s="5"/>
      <c r="QOB56" s="4"/>
      <c r="QOC56" s="279"/>
      <c r="QOD56" s="89"/>
      <c r="QOE56" s="5"/>
      <c r="QOF56" s="4"/>
      <c r="QOG56" s="279"/>
      <c r="QOH56" s="89"/>
      <c r="QOI56" s="5"/>
      <c r="QOJ56" s="4"/>
      <c r="QOK56" s="279"/>
      <c r="QOL56" s="89"/>
      <c r="QOM56" s="5"/>
      <c r="QON56" s="4"/>
      <c r="QOO56" s="279"/>
      <c r="QOP56" s="89"/>
      <c r="QOQ56" s="5"/>
      <c r="QOR56" s="4"/>
      <c r="QOS56" s="279"/>
      <c r="QOT56" s="89"/>
      <c r="QOU56" s="5"/>
      <c r="QOV56" s="4"/>
      <c r="QOW56" s="279"/>
      <c r="QOX56" s="89"/>
      <c r="QOY56" s="5"/>
      <c r="QOZ56" s="4"/>
      <c r="QPA56" s="279"/>
      <c r="QPB56" s="89"/>
      <c r="QPC56" s="5"/>
      <c r="QPD56" s="4"/>
      <c r="QPE56" s="279"/>
      <c r="QPF56" s="89"/>
      <c r="QPG56" s="5"/>
      <c r="QPH56" s="4"/>
      <c r="QPI56" s="279"/>
      <c r="QPJ56" s="89"/>
      <c r="QPK56" s="5"/>
      <c r="QPL56" s="4"/>
      <c r="QPM56" s="279"/>
      <c r="QPN56" s="89"/>
      <c r="QPO56" s="5"/>
      <c r="QPP56" s="4"/>
      <c r="QPQ56" s="279"/>
      <c r="QPR56" s="89"/>
      <c r="QPS56" s="5"/>
      <c r="QPT56" s="4"/>
      <c r="QPU56" s="279"/>
      <c r="QPV56" s="89"/>
      <c r="QPW56" s="5"/>
      <c r="QPX56" s="4"/>
      <c r="QPY56" s="279"/>
      <c r="QPZ56" s="89"/>
      <c r="QQA56" s="5"/>
      <c r="QQB56" s="4"/>
      <c r="QQC56" s="279"/>
      <c r="QQD56" s="89"/>
      <c r="QQE56" s="5"/>
      <c r="QQF56" s="4"/>
      <c r="QQG56" s="279"/>
      <c r="QQH56" s="89"/>
      <c r="QQI56" s="5"/>
      <c r="QQJ56" s="4"/>
      <c r="QQK56" s="279"/>
      <c r="QQL56" s="89"/>
      <c r="QQM56" s="5"/>
      <c r="QQN56" s="4"/>
      <c r="QQO56" s="279"/>
      <c r="QQP56" s="89"/>
      <c r="QQQ56" s="5"/>
      <c r="QQR56" s="4"/>
      <c r="QQS56" s="279"/>
      <c r="QQT56" s="89"/>
      <c r="QQU56" s="5"/>
      <c r="QQV56" s="4"/>
      <c r="QQW56" s="279"/>
      <c r="QQX56" s="89"/>
      <c r="QQY56" s="5"/>
      <c r="QQZ56" s="4"/>
      <c r="QRA56" s="279"/>
      <c r="QRB56" s="89"/>
      <c r="QRC56" s="5"/>
      <c r="QRD56" s="4"/>
      <c r="QRE56" s="279"/>
      <c r="QRF56" s="89"/>
      <c r="QRG56" s="5"/>
      <c r="QRH56" s="4"/>
      <c r="QRI56" s="279"/>
      <c r="QRJ56" s="89"/>
      <c r="QRK56" s="5"/>
      <c r="QRL56" s="4"/>
      <c r="QRM56" s="279"/>
      <c r="QRN56" s="89"/>
      <c r="QRO56" s="5"/>
      <c r="QRP56" s="4"/>
      <c r="QRQ56" s="279"/>
      <c r="QRR56" s="89"/>
      <c r="QRS56" s="5"/>
      <c r="QRT56" s="4"/>
      <c r="QRU56" s="279"/>
      <c r="QRV56" s="89"/>
      <c r="QRW56" s="5"/>
      <c r="QRX56" s="4"/>
      <c r="QRY56" s="279"/>
      <c r="QRZ56" s="89"/>
      <c r="QSA56" s="5"/>
      <c r="QSB56" s="4"/>
      <c r="QSC56" s="279"/>
      <c r="QSD56" s="89"/>
      <c r="QSE56" s="5"/>
      <c r="QSF56" s="4"/>
      <c r="QSG56" s="279"/>
      <c r="QSH56" s="89"/>
      <c r="QSI56" s="5"/>
      <c r="QSJ56" s="4"/>
      <c r="QSK56" s="279"/>
      <c r="QSL56" s="89"/>
      <c r="QSM56" s="5"/>
      <c r="QSN56" s="4"/>
      <c r="QSO56" s="279"/>
      <c r="QSP56" s="89"/>
      <c r="QSQ56" s="5"/>
      <c r="QSR56" s="4"/>
      <c r="QSS56" s="279"/>
      <c r="QST56" s="89"/>
      <c r="QSU56" s="5"/>
      <c r="QSV56" s="4"/>
      <c r="QSW56" s="279"/>
      <c r="QSX56" s="89"/>
      <c r="QSY56" s="5"/>
      <c r="QSZ56" s="4"/>
      <c r="QTA56" s="279"/>
      <c r="QTB56" s="89"/>
      <c r="QTC56" s="5"/>
      <c r="QTD56" s="4"/>
      <c r="QTE56" s="279"/>
      <c r="QTF56" s="89"/>
      <c r="QTG56" s="5"/>
      <c r="QTH56" s="4"/>
      <c r="QTI56" s="279"/>
      <c r="QTJ56" s="89"/>
      <c r="QTK56" s="5"/>
      <c r="QTL56" s="4"/>
      <c r="QTM56" s="279"/>
      <c r="QTN56" s="89"/>
      <c r="QTO56" s="5"/>
      <c r="QTP56" s="4"/>
      <c r="QTQ56" s="279"/>
      <c r="QTR56" s="89"/>
      <c r="QTS56" s="5"/>
      <c r="QTT56" s="4"/>
      <c r="QTU56" s="279"/>
      <c r="QTV56" s="89"/>
      <c r="QTW56" s="5"/>
      <c r="QTX56" s="4"/>
      <c r="QTY56" s="279"/>
      <c r="QTZ56" s="89"/>
      <c r="QUA56" s="5"/>
      <c r="QUB56" s="4"/>
      <c r="QUC56" s="279"/>
      <c r="QUD56" s="89"/>
      <c r="QUE56" s="5"/>
      <c r="QUF56" s="4"/>
      <c r="QUG56" s="279"/>
      <c r="QUH56" s="89"/>
      <c r="QUI56" s="5"/>
      <c r="QUJ56" s="4"/>
      <c r="QUK56" s="279"/>
      <c r="QUL56" s="89"/>
      <c r="QUM56" s="5"/>
      <c r="QUN56" s="4"/>
      <c r="QUO56" s="279"/>
      <c r="QUP56" s="89"/>
      <c r="QUQ56" s="5"/>
      <c r="QUR56" s="4"/>
      <c r="QUS56" s="279"/>
      <c r="QUT56" s="89"/>
      <c r="QUU56" s="5"/>
      <c r="QUV56" s="4"/>
      <c r="QUW56" s="279"/>
      <c r="QUX56" s="89"/>
      <c r="QUY56" s="5"/>
      <c r="QUZ56" s="4"/>
      <c r="QVA56" s="279"/>
      <c r="QVB56" s="89"/>
      <c r="QVC56" s="5"/>
      <c r="QVD56" s="4"/>
      <c r="QVE56" s="279"/>
      <c r="QVF56" s="89"/>
      <c r="QVG56" s="5"/>
      <c r="QVH56" s="4"/>
      <c r="QVI56" s="279"/>
      <c r="QVJ56" s="89"/>
      <c r="QVK56" s="5"/>
      <c r="QVL56" s="4"/>
      <c r="QVM56" s="279"/>
      <c r="QVN56" s="89"/>
      <c r="QVO56" s="5"/>
      <c r="QVP56" s="4"/>
      <c r="QVQ56" s="279"/>
      <c r="QVR56" s="89"/>
      <c r="QVS56" s="5"/>
      <c r="QVT56" s="4"/>
      <c r="QVU56" s="279"/>
      <c r="QVV56" s="89"/>
      <c r="QVW56" s="5"/>
      <c r="QVX56" s="4"/>
      <c r="QVY56" s="279"/>
      <c r="QVZ56" s="89"/>
      <c r="QWA56" s="5"/>
      <c r="QWB56" s="4"/>
      <c r="QWC56" s="279"/>
      <c r="QWD56" s="89"/>
      <c r="QWE56" s="5"/>
      <c r="QWF56" s="4"/>
      <c r="QWG56" s="279"/>
      <c r="QWH56" s="89"/>
      <c r="QWI56" s="5"/>
      <c r="QWJ56" s="4"/>
      <c r="QWK56" s="279"/>
      <c r="QWL56" s="89"/>
      <c r="QWM56" s="5"/>
      <c r="QWN56" s="4"/>
      <c r="QWO56" s="279"/>
      <c r="QWP56" s="89"/>
      <c r="QWQ56" s="5"/>
      <c r="QWR56" s="4"/>
      <c r="QWS56" s="279"/>
      <c r="QWT56" s="89"/>
      <c r="QWU56" s="5"/>
      <c r="QWV56" s="4"/>
      <c r="QWW56" s="279"/>
      <c r="QWX56" s="89"/>
      <c r="QWY56" s="5"/>
      <c r="QWZ56" s="4"/>
      <c r="QXA56" s="279"/>
      <c r="QXB56" s="89"/>
      <c r="QXC56" s="5"/>
      <c r="QXD56" s="4"/>
      <c r="QXE56" s="279"/>
      <c r="QXF56" s="89"/>
      <c r="QXG56" s="5"/>
      <c r="QXH56" s="4"/>
      <c r="QXI56" s="279"/>
      <c r="QXJ56" s="89"/>
      <c r="QXK56" s="5"/>
      <c r="QXL56" s="4"/>
      <c r="QXM56" s="279"/>
      <c r="QXN56" s="89"/>
      <c r="QXO56" s="5"/>
      <c r="QXP56" s="4"/>
      <c r="QXQ56" s="279"/>
      <c r="QXR56" s="89"/>
      <c r="QXS56" s="5"/>
      <c r="QXT56" s="4"/>
      <c r="QXU56" s="279"/>
      <c r="QXV56" s="89"/>
      <c r="QXW56" s="5"/>
      <c r="QXX56" s="4"/>
      <c r="QXY56" s="279"/>
      <c r="QXZ56" s="89"/>
      <c r="QYA56" s="5"/>
      <c r="QYB56" s="4"/>
      <c r="QYC56" s="279"/>
      <c r="QYD56" s="89"/>
      <c r="QYE56" s="5"/>
      <c r="QYF56" s="4"/>
      <c r="QYG56" s="279"/>
      <c r="QYH56" s="89"/>
      <c r="QYI56" s="5"/>
      <c r="QYJ56" s="4"/>
      <c r="QYK56" s="279"/>
      <c r="QYL56" s="89"/>
      <c r="QYM56" s="5"/>
      <c r="QYN56" s="4"/>
      <c r="QYO56" s="279"/>
      <c r="QYP56" s="89"/>
      <c r="QYQ56" s="5"/>
      <c r="QYR56" s="4"/>
      <c r="QYS56" s="279"/>
      <c r="QYT56" s="89"/>
      <c r="QYU56" s="5"/>
      <c r="QYV56" s="4"/>
      <c r="QYW56" s="279"/>
      <c r="QYX56" s="89"/>
      <c r="QYY56" s="5"/>
      <c r="QYZ56" s="4"/>
      <c r="QZA56" s="279"/>
      <c r="QZB56" s="89"/>
      <c r="QZC56" s="5"/>
      <c r="QZD56" s="4"/>
      <c r="QZE56" s="279"/>
      <c r="QZF56" s="89"/>
      <c r="QZG56" s="5"/>
      <c r="QZH56" s="4"/>
      <c r="QZI56" s="279"/>
      <c r="QZJ56" s="89"/>
      <c r="QZK56" s="5"/>
      <c r="QZL56" s="4"/>
      <c r="QZM56" s="279"/>
      <c r="QZN56" s="89"/>
      <c r="QZO56" s="5"/>
      <c r="QZP56" s="4"/>
      <c r="QZQ56" s="279"/>
      <c r="QZR56" s="89"/>
      <c r="QZS56" s="5"/>
      <c r="QZT56" s="4"/>
      <c r="QZU56" s="279"/>
      <c r="QZV56" s="89"/>
      <c r="QZW56" s="5"/>
      <c r="QZX56" s="4"/>
      <c r="QZY56" s="279"/>
      <c r="QZZ56" s="89"/>
      <c r="RAA56" s="5"/>
      <c r="RAB56" s="4"/>
      <c r="RAC56" s="279"/>
      <c r="RAD56" s="89"/>
      <c r="RAE56" s="5"/>
      <c r="RAF56" s="4"/>
      <c r="RAG56" s="279"/>
      <c r="RAH56" s="89"/>
      <c r="RAI56" s="5"/>
      <c r="RAJ56" s="4"/>
      <c r="RAK56" s="279"/>
      <c r="RAL56" s="89"/>
      <c r="RAM56" s="5"/>
      <c r="RAN56" s="4"/>
      <c r="RAO56" s="279"/>
      <c r="RAP56" s="89"/>
      <c r="RAQ56" s="5"/>
      <c r="RAR56" s="4"/>
      <c r="RAS56" s="279"/>
      <c r="RAT56" s="89"/>
      <c r="RAU56" s="5"/>
      <c r="RAV56" s="4"/>
      <c r="RAW56" s="279"/>
      <c r="RAX56" s="89"/>
      <c r="RAY56" s="5"/>
      <c r="RAZ56" s="4"/>
      <c r="RBA56" s="279"/>
      <c r="RBB56" s="89"/>
      <c r="RBC56" s="5"/>
      <c r="RBD56" s="4"/>
      <c r="RBE56" s="279"/>
      <c r="RBF56" s="89"/>
      <c r="RBG56" s="5"/>
      <c r="RBH56" s="4"/>
      <c r="RBI56" s="279"/>
      <c r="RBJ56" s="89"/>
      <c r="RBK56" s="5"/>
      <c r="RBL56" s="4"/>
      <c r="RBM56" s="279"/>
      <c r="RBN56" s="89"/>
      <c r="RBO56" s="5"/>
      <c r="RBP56" s="4"/>
      <c r="RBQ56" s="279"/>
      <c r="RBR56" s="89"/>
      <c r="RBS56" s="5"/>
      <c r="RBT56" s="4"/>
      <c r="RBU56" s="279"/>
      <c r="RBV56" s="89"/>
      <c r="RBW56" s="5"/>
      <c r="RBX56" s="4"/>
      <c r="RBY56" s="279"/>
      <c r="RBZ56" s="89"/>
      <c r="RCA56" s="5"/>
      <c r="RCB56" s="4"/>
      <c r="RCC56" s="279"/>
      <c r="RCD56" s="89"/>
      <c r="RCE56" s="5"/>
      <c r="RCF56" s="4"/>
      <c r="RCG56" s="279"/>
      <c r="RCH56" s="89"/>
      <c r="RCI56" s="5"/>
      <c r="RCJ56" s="4"/>
      <c r="RCK56" s="279"/>
      <c r="RCL56" s="89"/>
      <c r="RCM56" s="5"/>
      <c r="RCN56" s="4"/>
      <c r="RCO56" s="279"/>
      <c r="RCP56" s="89"/>
      <c r="RCQ56" s="5"/>
      <c r="RCR56" s="4"/>
      <c r="RCS56" s="279"/>
      <c r="RCT56" s="89"/>
      <c r="RCU56" s="5"/>
      <c r="RCV56" s="4"/>
      <c r="RCW56" s="279"/>
      <c r="RCX56" s="89"/>
      <c r="RCY56" s="5"/>
      <c r="RCZ56" s="4"/>
      <c r="RDA56" s="279"/>
      <c r="RDB56" s="89"/>
      <c r="RDC56" s="5"/>
      <c r="RDD56" s="4"/>
      <c r="RDE56" s="279"/>
      <c r="RDF56" s="89"/>
      <c r="RDG56" s="5"/>
      <c r="RDH56" s="4"/>
      <c r="RDI56" s="279"/>
      <c r="RDJ56" s="89"/>
      <c r="RDK56" s="5"/>
      <c r="RDL56" s="4"/>
      <c r="RDM56" s="279"/>
      <c r="RDN56" s="89"/>
      <c r="RDO56" s="5"/>
      <c r="RDP56" s="4"/>
      <c r="RDQ56" s="279"/>
      <c r="RDR56" s="89"/>
      <c r="RDS56" s="5"/>
      <c r="RDT56" s="4"/>
      <c r="RDU56" s="279"/>
      <c r="RDV56" s="89"/>
      <c r="RDW56" s="5"/>
      <c r="RDX56" s="4"/>
      <c r="RDY56" s="279"/>
      <c r="RDZ56" s="89"/>
      <c r="REA56" s="5"/>
      <c r="REB56" s="4"/>
      <c r="REC56" s="279"/>
      <c r="RED56" s="89"/>
      <c r="REE56" s="5"/>
      <c r="REF56" s="4"/>
      <c r="REG56" s="279"/>
      <c r="REH56" s="89"/>
      <c r="REI56" s="5"/>
      <c r="REJ56" s="4"/>
      <c r="REK56" s="279"/>
      <c r="REL56" s="89"/>
      <c r="REM56" s="5"/>
      <c r="REN56" s="4"/>
      <c r="REO56" s="279"/>
      <c r="REP56" s="89"/>
      <c r="REQ56" s="5"/>
      <c r="RER56" s="4"/>
      <c r="RES56" s="279"/>
      <c r="RET56" s="89"/>
      <c r="REU56" s="5"/>
      <c r="REV56" s="4"/>
      <c r="REW56" s="279"/>
      <c r="REX56" s="89"/>
      <c r="REY56" s="5"/>
      <c r="REZ56" s="4"/>
      <c r="RFA56" s="279"/>
      <c r="RFB56" s="89"/>
      <c r="RFC56" s="5"/>
      <c r="RFD56" s="4"/>
      <c r="RFE56" s="279"/>
      <c r="RFF56" s="89"/>
      <c r="RFG56" s="5"/>
      <c r="RFH56" s="4"/>
      <c r="RFI56" s="279"/>
      <c r="RFJ56" s="89"/>
      <c r="RFK56" s="5"/>
      <c r="RFL56" s="4"/>
      <c r="RFM56" s="279"/>
      <c r="RFN56" s="89"/>
      <c r="RFO56" s="5"/>
      <c r="RFP56" s="4"/>
      <c r="RFQ56" s="279"/>
      <c r="RFR56" s="89"/>
      <c r="RFS56" s="5"/>
      <c r="RFT56" s="4"/>
      <c r="RFU56" s="279"/>
      <c r="RFV56" s="89"/>
      <c r="RFW56" s="5"/>
      <c r="RFX56" s="4"/>
      <c r="RFY56" s="279"/>
      <c r="RFZ56" s="89"/>
      <c r="RGA56" s="5"/>
      <c r="RGB56" s="4"/>
      <c r="RGC56" s="279"/>
      <c r="RGD56" s="89"/>
      <c r="RGE56" s="5"/>
      <c r="RGF56" s="4"/>
      <c r="RGG56" s="279"/>
      <c r="RGH56" s="89"/>
      <c r="RGI56" s="5"/>
      <c r="RGJ56" s="4"/>
      <c r="RGK56" s="279"/>
      <c r="RGL56" s="89"/>
      <c r="RGM56" s="5"/>
      <c r="RGN56" s="4"/>
      <c r="RGO56" s="279"/>
      <c r="RGP56" s="89"/>
      <c r="RGQ56" s="5"/>
      <c r="RGR56" s="4"/>
      <c r="RGS56" s="279"/>
      <c r="RGT56" s="89"/>
      <c r="RGU56" s="5"/>
      <c r="RGV56" s="4"/>
      <c r="RGW56" s="279"/>
      <c r="RGX56" s="89"/>
      <c r="RGY56" s="5"/>
      <c r="RGZ56" s="4"/>
      <c r="RHA56" s="279"/>
      <c r="RHB56" s="89"/>
      <c r="RHC56" s="5"/>
      <c r="RHD56" s="4"/>
      <c r="RHE56" s="279"/>
      <c r="RHF56" s="89"/>
      <c r="RHG56" s="5"/>
      <c r="RHH56" s="4"/>
      <c r="RHI56" s="279"/>
      <c r="RHJ56" s="89"/>
      <c r="RHK56" s="5"/>
      <c r="RHL56" s="4"/>
      <c r="RHM56" s="279"/>
      <c r="RHN56" s="89"/>
      <c r="RHO56" s="5"/>
      <c r="RHP56" s="4"/>
      <c r="RHQ56" s="279"/>
      <c r="RHR56" s="89"/>
      <c r="RHS56" s="5"/>
      <c r="RHT56" s="4"/>
      <c r="RHU56" s="279"/>
      <c r="RHV56" s="89"/>
      <c r="RHW56" s="5"/>
      <c r="RHX56" s="4"/>
      <c r="RHY56" s="279"/>
      <c r="RHZ56" s="89"/>
      <c r="RIA56" s="5"/>
      <c r="RIB56" s="4"/>
      <c r="RIC56" s="279"/>
      <c r="RID56" s="89"/>
      <c r="RIE56" s="5"/>
      <c r="RIF56" s="4"/>
      <c r="RIG56" s="279"/>
      <c r="RIH56" s="89"/>
      <c r="RII56" s="5"/>
      <c r="RIJ56" s="4"/>
      <c r="RIK56" s="279"/>
      <c r="RIL56" s="89"/>
      <c r="RIM56" s="5"/>
      <c r="RIN56" s="4"/>
      <c r="RIO56" s="279"/>
      <c r="RIP56" s="89"/>
      <c r="RIQ56" s="5"/>
      <c r="RIR56" s="4"/>
      <c r="RIS56" s="279"/>
      <c r="RIT56" s="89"/>
      <c r="RIU56" s="5"/>
      <c r="RIV56" s="4"/>
      <c r="RIW56" s="279"/>
      <c r="RIX56" s="89"/>
      <c r="RIY56" s="5"/>
      <c r="RIZ56" s="4"/>
      <c r="RJA56" s="279"/>
      <c r="RJB56" s="89"/>
      <c r="RJC56" s="5"/>
      <c r="RJD56" s="4"/>
      <c r="RJE56" s="279"/>
      <c r="RJF56" s="89"/>
      <c r="RJG56" s="5"/>
      <c r="RJH56" s="4"/>
      <c r="RJI56" s="279"/>
      <c r="RJJ56" s="89"/>
      <c r="RJK56" s="5"/>
      <c r="RJL56" s="4"/>
      <c r="RJM56" s="279"/>
      <c r="RJN56" s="89"/>
      <c r="RJO56" s="5"/>
      <c r="RJP56" s="4"/>
      <c r="RJQ56" s="279"/>
      <c r="RJR56" s="89"/>
      <c r="RJS56" s="5"/>
      <c r="RJT56" s="4"/>
      <c r="RJU56" s="279"/>
      <c r="RJV56" s="89"/>
      <c r="RJW56" s="5"/>
      <c r="RJX56" s="4"/>
      <c r="RJY56" s="279"/>
      <c r="RJZ56" s="89"/>
      <c r="RKA56" s="5"/>
      <c r="RKB56" s="4"/>
      <c r="RKC56" s="279"/>
      <c r="RKD56" s="89"/>
      <c r="RKE56" s="5"/>
      <c r="RKF56" s="4"/>
      <c r="RKG56" s="279"/>
      <c r="RKH56" s="89"/>
      <c r="RKI56" s="5"/>
      <c r="RKJ56" s="4"/>
      <c r="RKK56" s="279"/>
      <c r="RKL56" s="89"/>
      <c r="RKM56" s="5"/>
      <c r="RKN56" s="4"/>
      <c r="RKO56" s="279"/>
      <c r="RKP56" s="89"/>
      <c r="RKQ56" s="5"/>
      <c r="RKR56" s="4"/>
      <c r="RKS56" s="279"/>
      <c r="RKT56" s="89"/>
      <c r="RKU56" s="5"/>
      <c r="RKV56" s="4"/>
      <c r="RKW56" s="279"/>
      <c r="RKX56" s="89"/>
      <c r="RKY56" s="5"/>
      <c r="RKZ56" s="4"/>
      <c r="RLA56" s="279"/>
      <c r="RLB56" s="89"/>
      <c r="RLC56" s="5"/>
      <c r="RLD56" s="4"/>
      <c r="RLE56" s="279"/>
      <c r="RLF56" s="89"/>
      <c r="RLG56" s="5"/>
      <c r="RLH56" s="4"/>
      <c r="RLI56" s="279"/>
      <c r="RLJ56" s="89"/>
      <c r="RLK56" s="5"/>
      <c r="RLL56" s="4"/>
      <c r="RLM56" s="279"/>
      <c r="RLN56" s="89"/>
      <c r="RLO56" s="5"/>
      <c r="RLP56" s="4"/>
      <c r="RLQ56" s="279"/>
      <c r="RLR56" s="89"/>
      <c r="RLS56" s="5"/>
      <c r="RLT56" s="4"/>
      <c r="RLU56" s="279"/>
      <c r="RLV56" s="89"/>
      <c r="RLW56" s="5"/>
      <c r="RLX56" s="4"/>
      <c r="RLY56" s="279"/>
      <c r="RLZ56" s="89"/>
      <c r="RMA56" s="5"/>
      <c r="RMB56" s="4"/>
      <c r="RMC56" s="279"/>
      <c r="RMD56" s="89"/>
      <c r="RME56" s="5"/>
      <c r="RMF56" s="4"/>
      <c r="RMG56" s="279"/>
      <c r="RMH56" s="89"/>
      <c r="RMI56" s="5"/>
      <c r="RMJ56" s="4"/>
      <c r="RMK56" s="279"/>
      <c r="RML56" s="89"/>
      <c r="RMM56" s="5"/>
      <c r="RMN56" s="4"/>
      <c r="RMO56" s="279"/>
      <c r="RMP56" s="89"/>
      <c r="RMQ56" s="5"/>
      <c r="RMR56" s="4"/>
      <c r="RMS56" s="279"/>
      <c r="RMT56" s="89"/>
      <c r="RMU56" s="5"/>
      <c r="RMV56" s="4"/>
      <c r="RMW56" s="279"/>
      <c r="RMX56" s="89"/>
      <c r="RMY56" s="5"/>
      <c r="RMZ56" s="4"/>
      <c r="RNA56" s="279"/>
      <c r="RNB56" s="89"/>
      <c r="RNC56" s="5"/>
      <c r="RND56" s="4"/>
      <c r="RNE56" s="279"/>
      <c r="RNF56" s="89"/>
      <c r="RNG56" s="5"/>
      <c r="RNH56" s="4"/>
      <c r="RNI56" s="279"/>
      <c r="RNJ56" s="89"/>
      <c r="RNK56" s="5"/>
      <c r="RNL56" s="4"/>
      <c r="RNM56" s="279"/>
      <c r="RNN56" s="89"/>
      <c r="RNO56" s="5"/>
      <c r="RNP56" s="4"/>
      <c r="RNQ56" s="279"/>
      <c r="RNR56" s="89"/>
      <c r="RNS56" s="5"/>
      <c r="RNT56" s="4"/>
      <c r="RNU56" s="279"/>
      <c r="RNV56" s="89"/>
      <c r="RNW56" s="5"/>
      <c r="RNX56" s="4"/>
      <c r="RNY56" s="279"/>
      <c r="RNZ56" s="89"/>
      <c r="ROA56" s="5"/>
      <c r="ROB56" s="4"/>
      <c r="ROC56" s="279"/>
      <c r="ROD56" s="89"/>
      <c r="ROE56" s="5"/>
      <c r="ROF56" s="4"/>
      <c r="ROG56" s="279"/>
      <c r="ROH56" s="89"/>
      <c r="ROI56" s="5"/>
      <c r="ROJ56" s="4"/>
      <c r="ROK56" s="279"/>
      <c r="ROL56" s="89"/>
      <c r="ROM56" s="5"/>
      <c r="RON56" s="4"/>
      <c r="ROO56" s="279"/>
      <c r="ROP56" s="89"/>
      <c r="ROQ56" s="5"/>
      <c r="ROR56" s="4"/>
      <c r="ROS56" s="279"/>
      <c r="ROT56" s="89"/>
      <c r="ROU56" s="5"/>
      <c r="ROV56" s="4"/>
      <c r="ROW56" s="279"/>
      <c r="ROX56" s="89"/>
      <c r="ROY56" s="5"/>
      <c r="ROZ56" s="4"/>
      <c r="RPA56" s="279"/>
      <c r="RPB56" s="89"/>
      <c r="RPC56" s="5"/>
      <c r="RPD56" s="4"/>
      <c r="RPE56" s="279"/>
      <c r="RPF56" s="89"/>
      <c r="RPG56" s="5"/>
      <c r="RPH56" s="4"/>
      <c r="RPI56" s="279"/>
      <c r="RPJ56" s="89"/>
      <c r="RPK56" s="5"/>
      <c r="RPL56" s="4"/>
      <c r="RPM56" s="279"/>
      <c r="RPN56" s="89"/>
      <c r="RPO56" s="5"/>
      <c r="RPP56" s="4"/>
      <c r="RPQ56" s="279"/>
      <c r="RPR56" s="89"/>
      <c r="RPS56" s="5"/>
      <c r="RPT56" s="4"/>
      <c r="RPU56" s="279"/>
      <c r="RPV56" s="89"/>
      <c r="RPW56" s="5"/>
      <c r="RPX56" s="4"/>
      <c r="RPY56" s="279"/>
      <c r="RPZ56" s="89"/>
      <c r="RQA56" s="5"/>
      <c r="RQB56" s="4"/>
      <c r="RQC56" s="279"/>
      <c r="RQD56" s="89"/>
      <c r="RQE56" s="5"/>
      <c r="RQF56" s="4"/>
      <c r="RQG56" s="279"/>
      <c r="RQH56" s="89"/>
      <c r="RQI56" s="5"/>
      <c r="RQJ56" s="4"/>
      <c r="RQK56" s="279"/>
      <c r="RQL56" s="89"/>
      <c r="RQM56" s="5"/>
      <c r="RQN56" s="4"/>
      <c r="RQO56" s="279"/>
      <c r="RQP56" s="89"/>
      <c r="RQQ56" s="5"/>
      <c r="RQR56" s="4"/>
      <c r="RQS56" s="279"/>
      <c r="RQT56" s="89"/>
      <c r="RQU56" s="5"/>
      <c r="RQV56" s="4"/>
      <c r="RQW56" s="279"/>
      <c r="RQX56" s="89"/>
      <c r="RQY56" s="5"/>
      <c r="RQZ56" s="4"/>
      <c r="RRA56" s="279"/>
      <c r="RRB56" s="89"/>
      <c r="RRC56" s="5"/>
      <c r="RRD56" s="4"/>
      <c r="RRE56" s="279"/>
      <c r="RRF56" s="89"/>
      <c r="RRG56" s="5"/>
      <c r="RRH56" s="4"/>
      <c r="RRI56" s="279"/>
      <c r="RRJ56" s="89"/>
      <c r="RRK56" s="5"/>
      <c r="RRL56" s="4"/>
      <c r="RRM56" s="279"/>
      <c r="RRN56" s="89"/>
      <c r="RRO56" s="5"/>
      <c r="RRP56" s="4"/>
      <c r="RRQ56" s="279"/>
      <c r="RRR56" s="89"/>
      <c r="RRS56" s="5"/>
      <c r="RRT56" s="4"/>
      <c r="RRU56" s="279"/>
      <c r="RRV56" s="89"/>
      <c r="RRW56" s="5"/>
      <c r="RRX56" s="4"/>
      <c r="RRY56" s="279"/>
      <c r="RRZ56" s="89"/>
      <c r="RSA56" s="5"/>
      <c r="RSB56" s="4"/>
      <c r="RSC56" s="279"/>
      <c r="RSD56" s="89"/>
      <c r="RSE56" s="5"/>
      <c r="RSF56" s="4"/>
      <c r="RSG56" s="279"/>
      <c r="RSH56" s="89"/>
      <c r="RSI56" s="5"/>
      <c r="RSJ56" s="4"/>
      <c r="RSK56" s="279"/>
      <c r="RSL56" s="89"/>
      <c r="RSM56" s="5"/>
      <c r="RSN56" s="4"/>
      <c r="RSO56" s="279"/>
      <c r="RSP56" s="89"/>
      <c r="RSQ56" s="5"/>
      <c r="RSR56" s="4"/>
      <c r="RSS56" s="279"/>
      <c r="RST56" s="89"/>
      <c r="RSU56" s="5"/>
      <c r="RSV56" s="4"/>
      <c r="RSW56" s="279"/>
      <c r="RSX56" s="89"/>
      <c r="RSY56" s="5"/>
      <c r="RSZ56" s="4"/>
      <c r="RTA56" s="279"/>
      <c r="RTB56" s="89"/>
      <c r="RTC56" s="5"/>
      <c r="RTD56" s="4"/>
      <c r="RTE56" s="279"/>
      <c r="RTF56" s="89"/>
      <c r="RTG56" s="5"/>
      <c r="RTH56" s="4"/>
      <c r="RTI56" s="279"/>
      <c r="RTJ56" s="89"/>
      <c r="RTK56" s="5"/>
      <c r="RTL56" s="4"/>
      <c r="RTM56" s="279"/>
      <c r="RTN56" s="89"/>
      <c r="RTO56" s="5"/>
      <c r="RTP56" s="4"/>
      <c r="RTQ56" s="279"/>
      <c r="RTR56" s="89"/>
      <c r="RTS56" s="5"/>
      <c r="RTT56" s="4"/>
      <c r="RTU56" s="279"/>
      <c r="RTV56" s="89"/>
      <c r="RTW56" s="5"/>
      <c r="RTX56" s="4"/>
      <c r="RTY56" s="279"/>
      <c r="RTZ56" s="89"/>
      <c r="RUA56" s="5"/>
      <c r="RUB56" s="4"/>
      <c r="RUC56" s="279"/>
      <c r="RUD56" s="89"/>
      <c r="RUE56" s="5"/>
      <c r="RUF56" s="4"/>
      <c r="RUG56" s="279"/>
      <c r="RUH56" s="89"/>
      <c r="RUI56" s="5"/>
      <c r="RUJ56" s="4"/>
      <c r="RUK56" s="279"/>
      <c r="RUL56" s="89"/>
      <c r="RUM56" s="5"/>
      <c r="RUN56" s="4"/>
      <c r="RUO56" s="279"/>
      <c r="RUP56" s="89"/>
      <c r="RUQ56" s="5"/>
      <c r="RUR56" s="4"/>
      <c r="RUS56" s="279"/>
      <c r="RUT56" s="89"/>
      <c r="RUU56" s="5"/>
      <c r="RUV56" s="4"/>
      <c r="RUW56" s="279"/>
      <c r="RUX56" s="89"/>
      <c r="RUY56" s="5"/>
      <c r="RUZ56" s="4"/>
      <c r="RVA56" s="279"/>
      <c r="RVB56" s="89"/>
      <c r="RVC56" s="5"/>
      <c r="RVD56" s="4"/>
      <c r="RVE56" s="279"/>
      <c r="RVF56" s="89"/>
      <c r="RVG56" s="5"/>
      <c r="RVH56" s="4"/>
      <c r="RVI56" s="279"/>
      <c r="RVJ56" s="89"/>
      <c r="RVK56" s="5"/>
      <c r="RVL56" s="4"/>
      <c r="RVM56" s="279"/>
      <c r="RVN56" s="89"/>
      <c r="RVO56" s="5"/>
      <c r="RVP56" s="4"/>
      <c r="RVQ56" s="279"/>
      <c r="RVR56" s="89"/>
      <c r="RVS56" s="5"/>
      <c r="RVT56" s="4"/>
      <c r="RVU56" s="279"/>
      <c r="RVV56" s="89"/>
      <c r="RVW56" s="5"/>
      <c r="RVX56" s="4"/>
      <c r="RVY56" s="279"/>
      <c r="RVZ56" s="89"/>
      <c r="RWA56" s="5"/>
      <c r="RWB56" s="4"/>
      <c r="RWC56" s="279"/>
      <c r="RWD56" s="89"/>
      <c r="RWE56" s="5"/>
      <c r="RWF56" s="4"/>
      <c r="RWG56" s="279"/>
      <c r="RWH56" s="89"/>
      <c r="RWI56" s="5"/>
      <c r="RWJ56" s="4"/>
      <c r="RWK56" s="279"/>
      <c r="RWL56" s="89"/>
      <c r="RWM56" s="5"/>
      <c r="RWN56" s="4"/>
      <c r="RWO56" s="279"/>
      <c r="RWP56" s="89"/>
      <c r="RWQ56" s="5"/>
      <c r="RWR56" s="4"/>
      <c r="RWS56" s="279"/>
      <c r="RWT56" s="89"/>
      <c r="RWU56" s="5"/>
      <c r="RWV56" s="4"/>
      <c r="RWW56" s="279"/>
      <c r="RWX56" s="89"/>
      <c r="RWY56" s="5"/>
      <c r="RWZ56" s="4"/>
      <c r="RXA56" s="279"/>
      <c r="RXB56" s="89"/>
      <c r="RXC56" s="5"/>
      <c r="RXD56" s="4"/>
      <c r="RXE56" s="279"/>
      <c r="RXF56" s="89"/>
      <c r="RXG56" s="5"/>
      <c r="RXH56" s="4"/>
      <c r="RXI56" s="279"/>
      <c r="RXJ56" s="89"/>
      <c r="RXK56" s="5"/>
      <c r="RXL56" s="4"/>
      <c r="RXM56" s="279"/>
      <c r="RXN56" s="89"/>
      <c r="RXO56" s="5"/>
      <c r="RXP56" s="4"/>
      <c r="RXQ56" s="279"/>
      <c r="RXR56" s="89"/>
      <c r="RXS56" s="5"/>
      <c r="RXT56" s="4"/>
      <c r="RXU56" s="279"/>
      <c r="RXV56" s="89"/>
      <c r="RXW56" s="5"/>
      <c r="RXX56" s="4"/>
      <c r="RXY56" s="279"/>
      <c r="RXZ56" s="89"/>
      <c r="RYA56" s="5"/>
      <c r="RYB56" s="4"/>
      <c r="RYC56" s="279"/>
      <c r="RYD56" s="89"/>
      <c r="RYE56" s="5"/>
      <c r="RYF56" s="4"/>
      <c r="RYG56" s="279"/>
      <c r="RYH56" s="89"/>
      <c r="RYI56" s="5"/>
      <c r="RYJ56" s="4"/>
      <c r="RYK56" s="279"/>
      <c r="RYL56" s="89"/>
      <c r="RYM56" s="5"/>
      <c r="RYN56" s="4"/>
      <c r="RYO56" s="279"/>
      <c r="RYP56" s="89"/>
      <c r="RYQ56" s="5"/>
      <c r="RYR56" s="4"/>
      <c r="RYS56" s="279"/>
      <c r="RYT56" s="89"/>
      <c r="RYU56" s="5"/>
      <c r="RYV56" s="4"/>
      <c r="RYW56" s="279"/>
      <c r="RYX56" s="89"/>
      <c r="RYY56" s="5"/>
      <c r="RYZ56" s="4"/>
      <c r="RZA56" s="279"/>
      <c r="RZB56" s="89"/>
      <c r="RZC56" s="5"/>
      <c r="RZD56" s="4"/>
      <c r="RZE56" s="279"/>
      <c r="RZF56" s="89"/>
      <c r="RZG56" s="5"/>
      <c r="RZH56" s="4"/>
      <c r="RZI56" s="279"/>
      <c r="RZJ56" s="89"/>
      <c r="RZK56" s="5"/>
      <c r="RZL56" s="4"/>
      <c r="RZM56" s="279"/>
      <c r="RZN56" s="89"/>
      <c r="RZO56" s="5"/>
      <c r="RZP56" s="4"/>
      <c r="RZQ56" s="279"/>
      <c r="RZR56" s="89"/>
      <c r="RZS56" s="5"/>
      <c r="RZT56" s="4"/>
      <c r="RZU56" s="279"/>
      <c r="RZV56" s="89"/>
      <c r="RZW56" s="5"/>
      <c r="RZX56" s="4"/>
      <c r="RZY56" s="279"/>
      <c r="RZZ56" s="89"/>
      <c r="SAA56" s="5"/>
      <c r="SAB56" s="4"/>
      <c r="SAC56" s="279"/>
      <c r="SAD56" s="89"/>
      <c r="SAE56" s="5"/>
      <c r="SAF56" s="4"/>
      <c r="SAG56" s="279"/>
      <c r="SAH56" s="89"/>
      <c r="SAI56" s="5"/>
      <c r="SAJ56" s="4"/>
      <c r="SAK56" s="279"/>
      <c r="SAL56" s="89"/>
      <c r="SAM56" s="5"/>
      <c r="SAN56" s="4"/>
      <c r="SAO56" s="279"/>
      <c r="SAP56" s="89"/>
      <c r="SAQ56" s="5"/>
      <c r="SAR56" s="4"/>
      <c r="SAS56" s="279"/>
      <c r="SAT56" s="89"/>
      <c r="SAU56" s="5"/>
      <c r="SAV56" s="4"/>
      <c r="SAW56" s="279"/>
      <c r="SAX56" s="89"/>
      <c r="SAY56" s="5"/>
      <c r="SAZ56" s="4"/>
      <c r="SBA56" s="279"/>
      <c r="SBB56" s="89"/>
      <c r="SBC56" s="5"/>
      <c r="SBD56" s="4"/>
      <c r="SBE56" s="279"/>
      <c r="SBF56" s="89"/>
      <c r="SBG56" s="5"/>
      <c r="SBH56" s="4"/>
      <c r="SBI56" s="279"/>
      <c r="SBJ56" s="89"/>
      <c r="SBK56" s="5"/>
      <c r="SBL56" s="4"/>
      <c r="SBM56" s="279"/>
      <c r="SBN56" s="89"/>
      <c r="SBO56" s="5"/>
      <c r="SBP56" s="4"/>
      <c r="SBQ56" s="279"/>
      <c r="SBR56" s="89"/>
      <c r="SBS56" s="5"/>
      <c r="SBT56" s="4"/>
      <c r="SBU56" s="279"/>
      <c r="SBV56" s="89"/>
      <c r="SBW56" s="5"/>
      <c r="SBX56" s="4"/>
      <c r="SBY56" s="279"/>
      <c r="SBZ56" s="89"/>
      <c r="SCA56" s="5"/>
      <c r="SCB56" s="4"/>
      <c r="SCC56" s="279"/>
      <c r="SCD56" s="89"/>
      <c r="SCE56" s="5"/>
      <c r="SCF56" s="4"/>
      <c r="SCG56" s="279"/>
      <c r="SCH56" s="89"/>
      <c r="SCI56" s="5"/>
      <c r="SCJ56" s="4"/>
      <c r="SCK56" s="279"/>
      <c r="SCL56" s="89"/>
      <c r="SCM56" s="5"/>
      <c r="SCN56" s="4"/>
      <c r="SCO56" s="279"/>
      <c r="SCP56" s="89"/>
      <c r="SCQ56" s="5"/>
      <c r="SCR56" s="4"/>
      <c r="SCS56" s="279"/>
      <c r="SCT56" s="89"/>
      <c r="SCU56" s="5"/>
      <c r="SCV56" s="4"/>
      <c r="SCW56" s="279"/>
      <c r="SCX56" s="89"/>
      <c r="SCY56" s="5"/>
      <c r="SCZ56" s="4"/>
      <c r="SDA56" s="279"/>
      <c r="SDB56" s="89"/>
      <c r="SDC56" s="5"/>
      <c r="SDD56" s="4"/>
      <c r="SDE56" s="279"/>
      <c r="SDF56" s="89"/>
      <c r="SDG56" s="5"/>
      <c r="SDH56" s="4"/>
      <c r="SDI56" s="279"/>
      <c r="SDJ56" s="89"/>
      <c r="SDK56" s="5"/>
      <c r="SDL56" s="4"/>
      <c r="SDM56" s="279"/>
      <c r="SDN56" s="89"/>
      <c r="SDO56" s="5"/>
      <c r="SDP56" s="4"/>
      <c r="SDQ56" s="279"/>
      <c r="SDR56" s="89"/>
      <c r="SDS56" s="5"/>
      <c r="SDT56" s="4"/>
      <c r="SDU56" s="279"/>
      <c r="SDV56" s="89"/>
      <c r="SDW56" s="5"/>
      <c r="SDX56" s="4"/>
      <c r="SDY56" s="279"/>
      <c r="SDZ56" s="89"/>
      <c r="SEA56" s="5"/>
      <c r="SEB56" s="4"/>
      <c r="SEC56" s="279"/>
      <c r="SED56" s="89"/>
      <c r="SEE56" s="5"/>
      <c r="SEF56" s="4"/>
      <c r="SEG56" s="279"/>
      <c r="SEH56" s="89"/>
      <c r="SEI56" s="5"/>
      <c r="SEJ56" s="4"/>
      <c r="SEK56" s="279"/>
      <c r="SEL56" s="89"/>
      <c r="SEM56" s="5"/>
      <c r="SEN56" s="4"/>
      <c r="SEO56" s="279"/>
      <c r="SEP56" s="89"/>
      <c r="SEQ56" s="5"/>
      <c r="SER56" s="4"/>
      <c r="SES56" s="279"/>
      <c r="SET56" s="89"/>
      <c r="SEU56" s="5"/>
      <c r="SEV56" s="4"/>
      <c r="SEW56" s="279"/>
      <c r="SEX56" s="89"/>
      <c r="SEY56" s="5"/>
      <c r="SEZ56" s="4"/>
      <c r="SFA56" s="279"/>
      <c r="SFB56" s="89"/>
      <c r="SFC56" s="5"/>
      <c r="SFD56" s="4"/>
      <c r="SFE56" s="279"/>
      <c r="SFF56" s="89"/>
      <c r="SFG56" s="5"/>
      <c r="SFH56" s="4"/>
      <c r="SFI56" s="279"/>
      <c r="SFJ56" s="89"/>
      <c r="SFK56" s="5"/>
      <c r="SFL56" s="4"/>
      <c r="SFM56" s="279"/>
      <c r="SFN56" s="89"/>
      <c r="SFO56" s="5"/>
      <c r="SFP56" s="4"/>
      <c r="SFQ56" s="279"/>
      <c r="SFR56" s="89"/>
      <c r="SFS56" s="5"/>
      <c r="SFT56" s="4"/>
      <c r="SFU56" s="279"/>
      <c r="SFV56" s="89"/>
      <c r="SFW56" s="5"/>
      <c r="SFX56" s="4"/>
      <c r="SFY56" s="279"/>
      <c r="SFZ56" s="89"/>
      <c r="SGA56" s="5"/>
      <c r="SGB56" s="4"/>
      <c r="SGC56" s="279"/>
      <c r="SGD56" s="89"/>
      <c r="SGE56" s="5"/>
      <c r="SGF56" s="4"/>
      <c r="SGG56" s="279"/>
      <c r="SGH56" s="89"/>
      <c r="SGI56" s="5"/>
      <c r="SGJ56" s="4"/>
      <c r="SGK56" s="279"/>
      <c r="SGL56" s="89"/>
      <c r="SGM56" s="5"/>
      <c r="SGN56" s="4"/>
      <c r="SGO56" s="279"/>
      <c r="SGP56" s="89"/>
      <c r="SGQ56" s="5"/>
      <c r="SGR56" s="4"/>
      <c r="SGS56" s="279"/>
      <c r="SGT56" s="89"/>
      <c r="SGU56" s="5"/>
      <c r="SGV56" s="4"/>
      <c r="SGW56" s="279"/>
      <c r="SGX56" s="89"/>
      <c r="SGY56" s="5"/>
      <c r="SGZ56" s="4"/>
      <c r="SHA56" s="279"/>
      <c r="SHB56" s="89"/>
      <c r="SHC56" s="5"/>
      <c r="SHD56" s="4"/>
      <c r="SHE56" s="279"/>
      <c r="SHF56" s="89"/>
      <c r="SHG56" s="5"/>
      <c r="SHH56" s="4"/>
      <c r="SHI56" s="279"/>
      <c r="SHJ56" s="89"/>
      <c r="SHK56" s="5"/>
      <c r="SHL56" s="4"/>
      <c r="SHM56" s="279"/>
      <c r="SHN56" s="89"/>
      <c r="SHO56" s="5"/>
      <c r="SHP56" s="4"/>
      <c r="SHQ56" s="279"/>
      <c r="SHR56" s="89"/>
      <c r="SHS56" s="5"/>
      <c r="SHT56" s="4"/>
      <c r="SHU56" s="279"/>
      <c r="SHV56" s="89"/>
      <c r="SHW56" s="5"/>
      <c r="SHX56" s="4"/>
      <c r="SHY56" s="279"/>
      <c r="SHZ56" s="89"/>
      <c r="SIA56" s="5"/>
      <c r="SIB56" s="4"/>
      <c r="SIC56" s="279"/>
      <c r="SID56" s="89"/>
      <c r="SIE56" s="5"/>
      <c r="SIF56" s="4"/>
      <c r="SIG56" s="279"/>
      <c r="SIH56" s="89"/>
      <c r="SII56" s="5"/>
      <c r="SIJ56" s="4"/>
      <c r="SIK56" s="279"/>
      <c r="SIL56" s="89"/>
      <c r="SIM56" s="5"/>
      <c r="SIN56" s="4"/>
      <c r="SIO56" s="279"/>
      <c r="SIP56" s="89"/>
      <c r="SIQ56" s="5"/>
      <c r="SIR56" s="4"/>
      <c r="SIS56" s="279"/>
      <c r="SIT56" s="89"/>
      <c r="SIU56" s="5"/>
      <c r="SIV56" s="4"/>
      <c r="SIW56" s="279"/>
      <c r="SIX56" s="89"/>
      <c r="SIY56" s="5"/>
      <c r="SIZ56" s="4"/>
      <c r="SJA56" s="279"/>
      <c r="SJB56" s="89"/>
      <c r="SJC56" s="5"/>
      <c r="SJD56" s="4"/>
      <c r="SJE56" s="279"/>
      <c r="SJF56" s="89"/>
      <c r="SJG56" s="5"/>
      <c r="SJH56" s="4"/>
      <c r="SJI56" s="279"/>
      <c r="SJJ56" s="89"/>
      <c r="SJK56" s="5"/>
      <c r="SJL56" s="4"/>
      <c r="SJM56" s="279"/>
      <c r="SJN56" s="89"/>
      <c r="SJO56" s="5"/>
      <c r="SJP56" s="4"/>
      <c r="SJQ56" s="279"/>
      <c r="SJR56" s="89"/>
      <c r="SJS56" s="5"/>
      <c r="SJT56" s="4"/>
      <c r="SJU56" s="279"/>
      <c r="SJV56" s="89"/>
      <c r="SJW56" s="5"/>
      <c r="SJX56" s="4"/>
      <c r="SJY56" s="279"/>
      <c r="SJZ56" s="89"/>
      <c r="SKA56" s="5"/>
      <c r="SKB56" s="4"/>
      <c r="SKC56" s="279"/>
      <c r="SKD56" s="89"/>
      <c r="SKE56" s="5"/>
      <c r="SKF56" s="4"/>
      <c r="SKG56" s="279"/>
      <c r="SKH56" s="89"/>
      <c r="SKI56" s="5"/>
      <c r="SKJ56" s="4"/>
      <c r="SKK56" s="279"/>
      <c r="SKL56" s="89"/>
      <c r="SKM56" s="5"/>
      <c r="SKN56" s="4"/>
      <c r="SKO56" s="279"/>
      <c r="SKP56" s="89"/>
      <c r="SKQ56" s="5"/>
      <c r="SKR56" s="4"/>
      <c r="SKS56" s="279"/>
      <c r="SKT56" s="89"/>
      <c r="SKU56" s="5"/>
      <c r="SKV56" s="4"/>
      <c r="SKW56" s="279"/>
      <c r="SKX56" s="89"/>
      <c r="SKY56" s="5"/>
      <c r="SKZ56" s="4"/>
      <c r="SLA56" s="279"/>
      <c r="SLB56" s="89"/>
      <c r="SLC56" s="5"/>
      <c r="SLD56" s="4"/>
      <c r="SLE56" s="279"/>
      <c r="SLF56" s="89"/>
      <c r="SLG56" s="5"/>
      <c r="SLH56" s="4"/>
      <c r="SLI56" s="279"/>
      <c r="SLJ56" s="89"/>
      <c r="SLK56" s="5"/>
      <c r="SLL56" s="4"/>
      <c r="SLM56" s="279"/>
      <c r="SLN56" s="89"/>
      <c r="SLO56" s="5"/>
      <c r="SLP56" s="4"/>
      <c r="SLQ56" s="279"/>
      <c r="SLR56" s="89"/>
      <c r="SLS56" s="5"/>
      <c r="SLT56" s="4"/>
      <c r="SLU56" s="279"/>
      <c r="SLV56" s="89"/>
      <c r="SLW56" s="5"/>
      <c r="SLX56" s="4"/>
      <c r="SLY56" s="279"/>
      <c r="SLZ56" s="89"/>
      <c r="SMA56" s="5"/>
      <c r="SMB56" s="4"/>
      <c r="SMC56" s="279"/>
      <c r="SMD56" s="89"/>
      <c r="SME56" s="5"/>
      <c r="SMF56" s="4"/>
      <c r="SMG56" s="279"/>
      <c r="SMH56" s="89"/>
      <c r="SMI56" s="5"/>
      <c r="SMJ56" s="4"/>
      <c r="SMK56" s="279"/>
      <c r="SML56" s="89"/>
      <c r="SMM56" s="5"/>
      <c r="SMN56" s="4"/>
      <c r="SMO56" s="279"/>
      <c r="SMP56" s="89"/>
      <c r="SMQ56" s="5"/>
      <c r="SMR56" s="4"/>
      <c r="SMS56" s="279"/>
      <c r="SMT56" s="89"/>
      <c r="SMU56" s="5"/>
      <c r="SMV56" s="4"/>
      <c r="SMW56" s="279"/>
      <c r="SMX56" s="89"/>
      <c r="SMY56" s="5"/>
      <c r="SMZ56" s="4"/>
      <c r="SNA56" s="279"/>
      <c r="SNB56" s="89"/>
      <c r="SNC56" s="5"/>
      <c r="SND56" s="4"/>
      <c r="SNE56" s="279"/>
      <c r="SNF56" s="89"/>
      <c r="SNG56" s="5"/>
      <c r="SNH56" s="4"/>
      <c r="SNI56" s="279"/>
      <c r="SNJ56" s="89"/>
      <c r="SNK56" s="5"/>
      <c r="SNL56" s="4"/>
      <c r="SNM56" s="279"/>
      <c r="SNN56" s="89"/>
      <c r="SNO56" s="5"/>
      <c r="SNP56" s="4"/>
      <c r="SNQ56" s="279"/>
      <c r="SNR56" s="89"/>
      <c r="SNS56" s="5"/>
      <c r="SNT56" s="4"/>
      <c r="SNU56" s="279"/>
      <c r="SNV56" s="89"/>
      <c r="SNW56" s="5"/>
      <c r="SNX56" s="4"/>
      <c r="SNY56" s="279"/>
      <c r="SNZ56" s="89"/>
      <c r="SOA56" s="5"/>
      <c r="SOB56" s="4"/>
      <c r="SOC56" s="279"/>
      <c r="SOD56" s="89"/>
      <c r="SOE56" s="5"/>
      <c r="SOF56" s="4"/>
      <c r="SOG56" s="279"/>
      <c r="SOH56" s="89"/>
      <c r="SOI56" s="5"/>
      <c r="SOJ56" s="4"/>
      <c r="SOK56" s="279"/>
      <c r="SOL56" s="89"/>
      <c r="SOM56" s="5"/>
      <c r="SON56" s="4"/>
      <c r="SOO56" s="279"/>
      <c r="SOP56" s="89"/>
      <c r="SOQ56" s="5"/>
      <c r="SOR56" s="4"/>
      <c r="SOS56" s="279"/>
      <c r="SOT56" s="89"/>
      <c r="SOU56" s="5"/>
      <c r="SOV56" s="4"/>
      <c r="SOW56" s="279"/>
      <c r="SOX56" s="89"/>
      <c r="SOY56" s="5"/>
      <c r="SOZ56" s="4"/>
      <c r="SPA56" s="279"/>
      <c r="SPB56" s="89"/>
      <c r="SPC56" s="5"/>
      <c r="SPD56" s="4"/>
      <c r="SPE56" s="279"/>
      <c r="SPF56" s="89"/>
      <c r="SPG56" s="5"/>
      <c r="SPH56" s="4"/>
      <c r="SPI56" s="279"/>
      <c r="SPJ56" s="89"/>
      <c r="SPK56" s="5"/>
      <c r="SPL56" s="4"/>
      <c r="SPM56" s="279"/>
      <c r="SPN56" s="89"/>
      <c r="SPO56" s="5"/>
      <c r="SPP56" s="4"/>
      <c r="SPQ56" s="279"/>
      <c r="SPR56" s="89"/>
      <c r="SPS56" s="5"/>
      <c r="SPT56" s="4"/>
      <c r="SPU56" s="279"/>
      <c r="SPV56" s="89"/>
      <c r="SPW56" s="5"/>
      <c r="SPX56" s="4"/>
      <c r="SPY56" s="279"/>
      <c r="SPZ56" s="89"/>
      <c r="SQA56" s="5"/>
      <c r="SQB56" s="4"/>
      <c r="SQC56" s="279"/>
      <c r="SQD56" s="89"/>
      <c r="SQE56" s="5"/>
      <c r="SQF56" s="4"/>
      <c r="SQG56" s="279"/>
      <c r="SQH56" s="89"/>
      <c r="SQI56" s="5"/>
      <c r="SQJ56" s="4"/>
      <c r="SQK56" s="279"/>
      <c r="SQL56" s="89"/>
      <c r="SQM56" s="5"/>
      <c r="SQN56" s="4"/>
      <c r="SQO56" s="279"/>
      <c r="SQP56" s="89"/>
      <c r="SQQ56" s="5"/>
      <c r="SQR56" s="4"/>
      <c r="SQS56" s="279"/>
      <c r="SQT56" s="89"/>
      <c r="SQU56" s="5"/>
      <c r="SQV56" s="4"/>
      <c r="SQW56" s="279"/>
      <c r="SQX56" s="89"/>
      <c r="SQY56" s="5"/>
      <c r="SQZ56" s="4"/>
      <c r="SRA56" s="279"/>
      <c r="SRB56" s="89"/>
      <c r="SRC56" s="5"/>
      <c r="SRD56" s="4"/>
      <c r="SRE56" s="279"/>
      <c r="SRF56" s="89"/>
      <c r="SRG56" s="5"/>
      <c r="SRH56" s="4"/>
      <c r="SRI56" s="279"/>
      <c r="SRJ56" s="89"/>
      <c r="SRK56" s="5"/>
      <c r="SRL56" s="4"/>
      <c r="SRM56" s="279"/>
      <c r="SRN56" s="89"/>
      <c r="SRO56" s="5"/>
      <c r="SRP56" s="4"/>
      <c r="SRQ56" s="279"/>
      <c r="SRR56" s="89"/>
      <c r="SRS56" s="5"/>
      <c r="SRT56" s="4"/>
      <c r="SRU56" s="279"/>
      <c r="SRV56" s="89"/>
      <c r="SRW56" s="5"/>
      <c r="SRX56" s="4"/>
      <c r="SRY56" s="279"/>
      <c r="SRZ56" s="89"/>
      <c r="SSA56" s="5"/>
      <c r="SSB56" s="4"/>
      <c r="SSC56" s="279"/>
      <c r="SSD56" s="89"/>
      <c r="SSE56" s="5"/>
      <c r="SSF56" s="4"/>
      <c r="SSG56" s="279"/>
      <c r="SSH56" s="89"/>
      <c r="SSI56" s="5"/>
      <c r="SSJ56" s="4"/>
      <c r="SSK56" s="279"/>
      <c r="SSL56" s="89"/>
      <c r="SSM56" s="5"/>
      <c r="SSN56" s="4"/>
      <c r="SSO56" s="279"/>
      <c r="SSP56" s="89"/>
      <c r="SSQ56" s="5"/>
      <c r="SSR56" s="4"/>
      <c r="SSS56" s="279"/>
      <c r="SST56" s="89"/>
      <c r="SSU56" s="5"/>
      <c r="SSV56" s="4"/>
      <c r="SSW56" s="279"/>
      <c r="SSX56" s="89"/>
      <c r="SSY56" s="5"/>
      <c r="SSZ56" s="4"/>
      <c r="STA56" s="279"/>
      <c r="STB56" s="89"/>
      <c r="STC56" s="5"/>
      <c r="STD56" s="4"/>
      <c r="STE56" s="279"/>
      <c r="STF56" s="89"/>
      <c r="STG56" s="5"/>
      <c r="STH56" s="4"/>
      <c r="STI56" s="279"/>
      <c r="STJ56" s="89"/>
      <c r="STK56" s="5"/>
      <c r="STL56" s="4"/>
      <c r="STM56" s="279"/>
      <c r="STN56" s="89"/>
      <c r="STO56" s="5"/>
      <c r="STP56" s="4"/>
      <c r="STQ56" s="279"/>
      <c r="STR56" s="89"/>
      <c r="STS56" s="5"/>
      <c r="STT56" s="4"/>
      <c r="STU56" s="279"/>
      <c r="STV56" s="89"/>
      <c r="STW56" s="5"/>
      <c r="STX56" s="4"/>
      <c r="STY56" s="279"/>
      <c r="STZ56" s="89"/>
      <c r="SUA56" s="5"/>
      <c r="SUB56" s="4"/>
      <c r="SUC56" s="279"/>
      <c r="SUD56" s="89"/>
      <c r="SUE56" s="5"/>
      <c r="SUF56" s="4"/>
      <c r="SUG56" s="279"/>
      <c r="SUH56" s="89"/>
      <c r="SUI56" s="5"/>
      <c r="SUJ56" s="4"/>
      <c r="SUK56" s="279"/>
      <c r="SUL56" s="89"/>
      <c r="SUM56" s="5"/>
      <c r="SUN56" s="4"/>
      <c r="SUO56" s="279"/>
      <c r="SUP56" s="89"/>
      <c r="SUQ56" s="5"/>
      <c r="SUR56" s="4"/>
      <c r="SUS56" s="279"/>
      <c r="SUT56" s="89"/>
      <c r="SUU56" s="5"/>
      <c r="SUV56" s="4"/>
      <c r="SUW56" s="279"/>
      <c r="SUX56" s="89"/>
      <c r="SUY56" s="5"/>
      <c r="SUZ56" s="4"/>
      <c r="SVA56" s="279"/>
      <c r="SVB56" s="89"/>
      <c r="SVC56" s="5"/>
      <c r="SVD56" s="4"/>
      <c r="SVE56" s="279"/>
      <c r="SVF56" s="89"/>
      <c r="SVG56" s="5"/>
      <c r="SVH56" s="4"/>
      <c r="SVI56" s="279"/>
      <c r="SVJ56" s="89"/>
      <c r="SVK56" s="5"/>
      <c r="SVL56" s="4"/>
      <c r="SVM56" s="279"/>
      <c r="SVN56" s="89"/>
      <c r="SVO56" s="5"/>
      <c r="SVP56" s="4"/>
      <c r="SVQ56" s="279"/>
      <c r="SVR56" s="89"/>
      <c r="SVS56" s="5"/>
      <c r="SVT56" s="4"/>
      <c r="SVU56" s="279"/>
      <c r="SVV56" s="89"/>
      <c r="SVW56" s="5"/>
      <c r="SVX56" s="4"/>
      <c r="SVY56" s="279"/>
      <c r="SVZ56" s="89"/>
      <c r="SWA56" s="5"/>
      <c r="SWB56" s="4"/>
      <c r="SWC56" s="279"/>
      <c r="SWD56" s="89"/>
      <c r="SWE56" s="5"/>
      <c r="SWF56" s="4"/>
      <c r="SWG56" s="279"/>
      <c r="SWH56" s="89"/>
      <c r="SWI56" s="5"/>
      <c r="SWJ56" s="4"/>
      <c r="SWK56" s="279"/>
      <c r="SWL56" s="89"/>
      <c r="SWM56" s="5"/>
      <c r="SWN56" s="4"/>
      <c r="SWO56" s="279"/>
      <c r="SWP56" s="89"/>
      <c r="SWQ56" s="5"/>
      <c r="SWR56" s="4"/>
      <c r="SWS56" s="279"/>
      <c r="SWT56" s="89"/>
      <c r="SWU56" s="5"/>
      <c r="SWV56" s="4"/>
      <c r="SWW56" s="279"/>
      <c r="SWX56" s="89"/>
      <c r="SWY56" s="5"/>
      <c r="SWZ56" s="4"/>
      <c r="SXA56" s="279"/>
      <c r="SXB56" s="89"/>
      <c r="SXC56" s="5"/>
      <c r="SXD56" s="4"/>
      <c r="SXE56" s="279"/>
      <c r="SXF56" s="89"/>
      <c r="SXG56" s="5"/>
      <c r="SXH56" s="4"/>
      <c r="SXI56" s="279"/>
      <c r="SXJ56" s="89"/>
      <c r="SXK56" s="5"/>
      <c r="SXL56" s="4"/>
      <c r="SXM56" s="279"/>
      <c r="SXN56" s="89"/>
      <c r="SXO56" s="5"/>
      <c r="SXP56" s="4"/>
      <c r="SXQ56" s="279"/>
      <c r="SXR56" s="89"/>
      <c r="SXS56" s="5"/>
      <c r="SXT56" s="4"/>
      <c r="SXU56" s="279"/>
      <c r="SXV56" s="89"/>
      <c r="SXW56" s="5"/>
      <c r="SXX56" s="4"/>
      <c r="SXY56" s="279"/>
      <c r="SXZ56" s="89"/>
      <c r="SYA56" s="5"/>
      <c r="SYB56" s="4"/>
      <c r="SYC56" s="279"/>
      <c r="SYD56" s="89"/>
      <c r="SYE56" s="5"/>
      <c r="SYF56" s="4"/>
      <c r="SYG56" s="279"/>
      <c r="SYH56" s="89"/>
      <c r="SYI56" s="5"/>
      <c r="SYJ56" s="4"/>
      <c r="SYK56" s="279"/>
      <c r="SYL56" s="89"/>
      <c r="SYM56" s="5"/>
      <c r="SYN56" s="4"/>
      <c r="SYO56" s="279"/>
      <c r="SYP56" s="89"/>
      <c r="SYQ56" s="5"/>
      <c r="SYR56" s="4"/>
      <c r="SYS56" s="279"/>
      <c r="SYT56" s="89"/>
      <c r="SYU56" s="5"/>
      <c r="SYV56" s="4"/>
      <c r="SYW56" s="279"/>
      <c r="SYX56" s="89"/>
      <c r="SYY56" s="5"/>
      <c r="SYZ56" s="4"/>
      <c r="SZA56" s="279"/>
      <c r="SZB56" s="89"/>
      <c r="SZC56" s="5"/>
      <c r="SZD56" s="4"/>
      <c r="SZE56" s="279"/>
      <c r="SZF56" s="89"/>
      <c r="SZG56" s="5"/>
      <c r="SZH56" s="4"/>
      <c r="SZI56" s="279"/>
      <c r="SZJ56" s="89"/>
      <c r="SZK56" s="5"/>
      <c r="SZL56" s="4"/>
      <c r="SZM56" s="279"/>
      <c r="SZN56" s="89"/>
      <c r="SZO56" s="5"/>
      <c r="SZP56" s="4"/>
      <c r="SZQ56" s="279"/>
      <c r="SZR56" s="89"/>
      <c r="SZS56" s="5"/>
      <c r="SZT56" s="4"/>
      <c r="SZU56" s="279"/>
      <c r="SZV56" s="89"/>
      <c r="SZW56" s="5"/>
      <c r="SZX56" s="4"/>
      <c r="SZY56" s="279"/>
      <c r="SZZ56" s="89"/>
      <c r="TAA56" s="5"/>
      <c r="TAB56" s="4"/>
      <c r="TAC56" s="279"/>
      <c r="TAD56" s="89"/>
      <c r="TAE56" s="5"/>
      <c r="TAF56" s="4"/>
      <c r="TAG56" s="279"/>
      <c r="TAH56" s="89"/>
      <c r="TAI56" s="5"/>
      <c r="TAJ56" s="4"/>
      <c r="TAK56" s="279"/>
      <c r="TAL56" s="89"/>
      <c r="TAM56" s="5"/>
      <c r="TAN56" s="4"/>
      <c r="TAO56" s="279"/>
      <c r="TAP56" s="89"/>
      <c r="TAQ56" s="5"/>
      <c r="TAR56" s="4"/>
      <c r="TAS56" s="279"/>
      <c r="TAT56" s="89"/>
      <c r="TAU56" s="5"/>
      <c r="TAV56" s="4"/>
      <c r="TAW56" s="279"/>
      <c r="TAX56" s="89"/>
      <c r="TAY56" s="5"/>
      <c r="TAZ56" s="4"/>
      <c r="TBA56" s="279"/>
      <c r="TBB56" s="89"/>
      <c r="TBC56" s="5"/>
      <c r="TBD56" s="4"/>
      <c r="TBE56" s="279"/>
      <c r="TBF56" s="89"/>
      <c r="TBG56" s="5"/>
      <c r="TBH56" s="4"/>
      <c r="TBI56" s="279"/>
      <c r="TBJ56" s="89"/>
      <c r="TBK56" s="5"/>
      <c r="TBL56" s="4"/>
      <c r="TBM56" s="279"/>
      <c r="TBN56" s="89"/>
      <c r="TBO56" s="5"/>
      <c r="TBP56" s="4"/>
      <c r="TBQ56" s="279"/>
      <c r="TBR56" s="89"/>
      <c r="TBS56" s="5"/>
      <c r="TBT56" s="4"/>
      <c r="TBU56" s="279"/>
      <c r="TBV56" s="89"/>
      <c r="TBW56" s="5"/>
      <c r="TBX56" s="4"/>
      <c r="TBY56" s="279"/>
      <c r="TBZ56" s="89"/>
      <c r="TCA56" s="5"/>
      <c r="TCB56" s="4"/>
      <c r="TCC56" s="279"/>
      <c r="TCD56" s="89"/>
      <c r="TCE56" s="5"/>
      <c r="TCF56" s="4"/>
      <c r="TCG56" s="279"/>
      <c r="TCH56" s="89"/>
      <c r="TCI56" s="5"/>
      <c r="TCJ56" s="4"/>
      <c r="TCK56" s="279"/>
      <c r="TCL56" s="89"/>
      <c r="TCM56" s="5"/>
      <c r="TCN56" s="4"/>
      <c r="TCO56" s="279"/>
      <c r="TCP56" s="89"/>
      <c r="TCQ56" s="5"/>
      <c r="TCR56" s="4"/>
      <c r="TCS56" s="279"/>
      <c r="TCT56" s="89"/>
      <c r="TCU56" s="5"/>
      <c r="TCV56" s="4"/>
      <c r="TCW56" s="279"/>
      <c r="TCX56" s="89"/>
      <c r="TCY56" s="5"/>
      <c r="TCZ56" s="4"/>
      <c r="TDA56" s="279"/>
      <c r="TDB56" s="89"/>
      <c r="TDC56" s="5"/>
      <c r="TDD56" s="4"/>
      <c r="TDE56" s="279"/>
      <c r="TDF56" s="89"/>
      <c r="TDG56" s="5"/>
      <c r="TDH56" s="4"/>
      <c r="TDI56" s="279"/>
      <c r="TDJ56" s="89"/>
      <c r="TDK56" s="5"/>
      <c r="TDL56" s="4"/>
      <c r="TDM56" s="279"/>
      <c r="TDN56" s="89"/>
      <c r="TDO56" s="5"/>
      <c r="TDP56" s="4"/>
      <c r="TDQ56" s="279"/>
      <c r="TDR56" s="89"/>
      <c r="TDS56" s="5"/>
      <c r="TDT56" s="4"/>
      <c r="TDU56" s="279"/>
      <c r="TDV56" s="89"/>
      <c r="TDW56" s="5"/>
      <c r="TDX56" s="4"/>
      <c r="TDY56" s="279"/>
      <c r="TDZ56" s="89"/>
      <c r="TEA56" s="5"/>
      <c r="TEB56" s="4"/>
      <c r="TEC56" s="279"/>
      <c r="TED56" s="89"/>
      <c r="TEE56" s="5"/>
      <c r="TEF56" s="4"/>
      <c r="TEG56" s="279"/>
      <c r="TEH56" s="89"/>
      <c r="TEI56" s="5"/>
      <c r="TEJ56" s="4"/>
      <c r="TEK56" s="279"/>
      <c r="TEL56" s="89"/>
      <c r="TEM56" s="5"/>
      <c r="TEN56" s="4"/>
      <c r="TEO56" s="279"/>
      <c r="TEP56" s="89"/>
      <c r="TEQ56" s="5"/>
      <c r="TER56" s="4"/>
      <c r="TES56" s="279"/>
      <c r="TET56" s="89"/>
      <c r="TEU56" s="5"/>
      <c r="TEV56" s="4"/>
      <c r="TEW56" s="279"/>
      <c r="TEX56" s="89"/>
      <c r="TEY56" s="5"/>
      <c r="TEZ56" s="4"/>
      <c r="TFA56" s="279"/>
      <c r="TFB56" s="89"/>
      <c r="TFC56" s="5"/>
      <c r="TFD56" s="4"/>
      <c r="TFE56" s="279"/>
      <c r="TFF56" s="89"/>
      <c r="TFG56" s="5"/>
      <c r="TFH56" s="4"/>
      <c r="TFI56" s="279"/>
      <c r="TFJ56" s="89"/>
      <c r="TFK56" s="5"/>
      <c r="TFL56" s="4"/>
      <c r="TFM56" s="279"/>
      <c r="TFN56" s="89"/>
      <c r="TFO56" s="5"/>
      <c r="TFP56" s="4"/>
      <c r="TFQ56" s="279"/>
      <c r="TFR56" s="89"/>
      <c r="TFS56" s="5"/>
      <c r="TFT56" s="4"/>
      <c r="TFU56" s="279"/>
      <c r="TFV56" s="89"/>
      <c r="TFW56" s="5"/>
      <c r="TFX56" s="4"/>
      <c r="TFY56" s="279"/>
      <c r="TFZ56" s="89"/>
      <c r="TGA56" s="5"/>
      <c r="TGB56" s="4"/>
      <c r="TGC56" s="279"/>
      <c r="TGD56" s="89"/>
      <c r="TGE56" s="5"/>
      <c r="TGF56" s="4"/>
      <c r="TGG56" s="279"/>
      <c r="TGH56" s="89"/>
      <c r="TGI56" s="5"/>
      <c r="TGJ56" s="4"/>
      <c r="TGK56" s="279"/>
      <c r="TGL56" s="89"/>
      <c r="TGM56" s="5"/>
      <c r="TGN56" s="4"/>
      <c r="TGO56" s="279"/>
      <c r="TGP56" s="89"/>
      <c r="TGQ56" s="5"/>
      <c r="TGR56" s="4"/>
      <c r="TGS56" s="279"/>
      <c r="TGT56" s="89"/>
      <c r="TGU56" s="5"/>
      <c r="TGV56" s="4"/>
      <c r="TGW56" s="279"/>
      <c r="TGX56" s="89"/>
      <c r="TGY56" s="5"/>
      <c r="TGZ56" s="4"/>
      <c r="THA56" s="279"/>
      <c r="THB56" s="89"/>
      <c r="THC56" s="5"/>
      <c r="THD56" s="4"/>
      <c r="THE56" s="279"/>
      <c r="THF56" s="89"/>
      <c r="THG56" s="5"/>
      <c r="THH56" s="4"/>
      <c r="THI56" s="279"/>
      <c r="THJ56" s="89"/>
      <c r="THK56" s="5"/>
      <c r="THL56" s="4"/>
      <c r="THM56" s="279"/>
      <c r="THN56" s="89"/>
      <c r="THO56" s="5"/>
      <c r="THP56" s="4"/>
      <c r="THQ56" s="279"/>
      <c r="THR56" s="89"/>
      <c r="THS56" s="5"/>
      <c r="THT56" s="4"/>
      <c r="THU56" s="279"/>
      <c r="THV56" s="89"/>
      <c r="THW56" s="5"/>
      <c r="THX56" s="4"/>
      <c r="THY56" s="279"/>
      <c r="THZ56" s="89"/>
      <c r="TIA56" s="5"/>
      <c r="TIB56" s="4"/>
      <c r="TIC56" s="279"/>
      <c r="TID56" s="89"/>
      <c r="TIE56" s="5"/>
      <c r="TIF56" s="4"/>
      <c r="TIG56" s="279"/>
      <c r="TIH56" s="89"/>
      <c r="TII56" s="5"/>
      <c r="TIJ56" s="4"/>
      <c r="TIK56" s="279"/>
      <c r="TIL56" s="89"/>
      <c r="TIM56" s="5"/>
      <c r="TIN56" s="4"/>
      <c r="TIO56" s="279"/>
      <c r="TIP56" s="89"/>
      <c r="TIQ56" s="5"/>
      <c r="TIR56" s="4"/>
      <c r="TIS56" s="279"/>
      <c r="TIT56" s="89"/>
      <c r="TIU56" s="5"/>
      <c r="TIV56" s="4"/>
      <c r="TIW56" s="279"/>
      <c r="TIX56" s="89"/>
      <c r="TIY56" s="5"/>
      <c r="TIZ56" s="4"/>
      <c r="TJA56" s="279"/>
      <c r="TJB56" s="89"/>
      <c r="TJC56" s="5"/>
      <c r="TJD56" s="4"/>
      <c r="TJE56" s="279"/>
      <c r="TJF56" s="89"/>
      <c r="TJG56" s="5"/>
      <c r="TJH56" s="4"/>
      <c r="TJI56" s="279"/>
      <c r="TJJ56" s="89"/>
      <c r="TJK56" s="5"/>
      <c r="TJL56" s="4"/>
      <c r="TJM56" s="279"/>
      <c r="TJN56" s="89"/>
      <c r="TJO56" s="5"/>
      <c r="TJP56" s="4"/>
      <c r="TJQ56" s="279"/>
      <c r="TJR56" s="89"/>
      <c r="TJS56" s="5"/>
      <c r="TJT56" s="4"/>
      <c r="TJU56" s="279"/>
      <c r="TJV56" s="89"/>
      <c r="TJW56" s="5"/>
      <c r="TJX56" s="4"/>
      <c r="TJY56" s="279"/>
      <c r="TJZ56" s="89"/>
      <c r="TKA56" s="5"/>
      <c r="TKB56" s="4"/>
      <c r="TKC56" s="279"/>
      <c r="TKD56" s="89"/>
      <c r="TKE56" s="5"/>
      <c r="TKF56" s="4"/>
      <c r="TKG56" s="279"/>
      <c r="TKH56" s="89"/>
      <c r="TKI56" s="5"/>
      <c r="TKJ56" s="4"/>
      <c r="TKK56" s="279"/>
      <c r="TKL56" s="89"/>
      <c r="TKM56" s="5"/>
      <c r="TKN56" s="4"/>
      <c r="TKO56" s="279"/>
      <c r="TKP56" s="89"/>
      <c r="TKQ56" s="5"/>
      <c r="TKR56" s="4"/>
      <c r="TKS56" s="279"/>
      <c r="TKT56" s="89"/>
      <c r="TKU56" s="5"/>
      <c r="TKV56" s="4"/>
      <c r="TKW56" s="279"/>
      <c r="TKX56" s="89"/>
      <c r="TKY56" s="5"/>
      <c r="TKZ56" s="4"/>
      <c r="TLA56" s="279"/>
      <c r="TLB56" s="89"/>
      <c r="TLC56" s="5"/>
      <c r="TLD56" s="4"/>
      <c r="TLE56" s="279"/>
      <c r="TLF56" s="89"/>
      <c r="TLG56" s="5"/>
      <c r="TLH56" s="4"/>
      <c r="TLI56" s="279"/>
      <c r="TLJ56" s="89"/>
      <c r="TLK56" s="5"/>
      <c r="TLL56" s="4"/>
      <c r="TLM56" s="279"/>
      <c r="TLN56" s="89"/>
      <c r="TLO56" s="5"/>
      <c r="TLP56" s="4"/>
      <c r="TLQ56" s="279"/>
      <c r="TLR56" s="89"/>
      <c r="TLS56" s="5"/>
      <c r="TLT56" s="4"/>
      <c r="TLU56" s="279"/>
      <c r="TLV56" s="89"/>
      <c r="TLW56" s="5"/>
      <c r="TLX56" s="4"/>
      <c r="TLY56" s="279"/>
      <c r="TLZ56" s="89"/>
      <c r="TMA56" s="5"/>
      <c r="TMB56" s="4"/>
      <c r="TMC56" s="279"/>
      <c r="TMD56" s="89"/>
      <c r="TME56" s="5"/>
      <c r="TMF56" s="4"/>
      <c r="TMG56" s="279"/>
      <c r="TMH56" s="89"/>
      <c r="TMI56" s="5"/>
      <c r="TMJ56" s="4"/>
      <c r="TMK56" s="279"/>
      <c r="TML56" s="89"/>
      <c r="TMM56" s="5"/>
      <c r="TMN56" s="4"/>
      <c r="TMO56" s="279"/>
      <c r="TMP56" s="89"/>
      <c r="TMQ56" s="5"/>
      <c r="TMR56" s="4"/>
      <c r="TMS56" s="279"/>
      <c r="TMT56" s="89"/>
      <c r="TMU56" s="5"/>
      <c r="TMV56" s="4"/>
      <c r="TMW56" s="279"/>
      <c r="TMX56" s="89"/>
      <c r="TMY56" s="5"/>
      <c r="TMZ56" s="4"/>
      <c r="TNA56" s="279"/>
      <c r="TNB56" s="89"/>
      <c r="TNC56" s="5"/>
      <c r="TND56" s="4"/>
      <c r="TNE56" s="279"/>
      <c r="TNF56" s="89"/>
      <c r="TNG56" s="5"/>
      <c r="TNH56" s="4"/>
      <c r="TNI56" s="279"/>
      <c r="TNJ56" s="89"/>
      <c r="TNK56" s="5"/>
      <c r="TNL56" s="4"/>
      <c r="TNM56" s="279"/>
      <c r="TNN56" s="89"/>
      <c r="TNO56" s="5"/>
      <c r="TNP56" s="4"/>
      <c r="TNQ56" s="279"/>
      <c r="TNR56" s="89"/>
      <c r="TNS56" s="5"/>
      <c r="TNT56" s="4"/>
      <c r="TNU56" s="279"/>
      <c r="TNV56" s="89"/>
      <c r="TNW56" s="5"/>
      <c r="TNX56" s="4"/>
      <c r="TNY56" s="279"/>
      <c r="TNZ56" s="89"/>
      <c r="TOA56" s="5"/>
      <c r="TOB56" s="4"/>
      <c r="TOC56" s="279"/>
      <c r="TOD56" s="89"/>
      <c r="TOE56" s="5"/>
      <c r="TOF56" s="4"/>
      <c r="TOG56" s="279"/>
      <c r="TOH56" s="89"/>
      <c r="TOI56" s="5"/>
      <c r="TOJ56" s="4"/>
      <c r="TOK56" s="279"/>
      <c r="TOL56" s="89"/>
      <c r="TOM56" s="5"/>
      <c r="TON56" s="4"/>
      <c r="TOO56" s="279"/>
      <c r="TOP56" s="89"/>
      <c r="TOQ56" s="5"/>
      <c r="TOR56" s="4"/>
      <c r="TOS56" s="279"/>
      <c r="TOT56" s="89"/>
      <c r="TOU56" s="5"/>
      <c r="TOV56" s="4"/>
      <c r="TOW56" s="279"/>
      <c r="TOX56" s="89"/>
      <c r="TOY56" s="5"/>
      <c r="TOZ56" s="4"/>
      <c r="TPA56" s="279"/>
      <c r="TPB56" s="89"/>
      <c r="TPC56" s="5"/>
      <c r="TPD56" s="4"/>
      <c r="TPE56" s="279"/>
      <c r="TPF56" s="89"/>
      <c r="TPG56" s="5"/>
      <c r="TPH56" s="4"/>
      <c r="TPI56" s="279"/>
      <c r="TPJ56" s="89"/>
      <c r="TPK56" s="5"/>
      <c r="TPL56" s="4"/>
      <c r="TPM56" s="279"/>
      <c r="TPN56" s="89"/>
      <c r="TPO56" s="5"/>
      <c r="TPP56" s="4"/>
      <c r="TPQ56" s="279"/>
      <c r="TPR56" s="89"/>
      <c r="TPS56" s="5"/>
      <c r="TPT56" s="4"/>
      <c r="TPU56" s="279"/>
      <c r="TPV56" s="89"/>
      <c r="TPW56" s="5"/>
      <c r="TPX56" s="4"/>
      <c r="TPY56" s="279"/>
      <c r="TPZ56" s="89"/>
      <c r="TQA56" s="5"/>
      <c r="TQB56" s="4"/>
      <c r="TQC56" s="279"/>
      <c r="TQD56" s="89"/>
      <c r="TQE56" s="5"/>
      <c r="TQF56" s="4"/>
      <c r="TQG56" s="279"/>
      <c r="TQH56" s="89"/>
      <c r="TQI56" s="5"/>
      <c r="TQJ56" s="4"/>
      <c r="TQK56" s="279"/>
      <c r="TQL56" s="89"/>
      <c r="TQM56" s="5"/>
      <c r="TQN56" s="4"/>
      <c r="TQO56" s="279"/>
      <c r="TQP56" s="89"/>
      <c r="TQQ56" s="5"/>
      <c r="TQR56" s="4"/>
      <c r="TQS56" s="279"/>
      <c r="TQT56" s="89"/>
      <c r="TQU56" s="5"/>
      <c r="TQV56" s="4"/>
      <c r="TQW56" s="279"/>
      <c r="TQX56" s="89"/>
      <c r="TQY56" s="5"/>
      <c r="TQZ56" s="4"/>
      <c r="TRA56" s="279"/>
      <c r="TRB56" s="89"/>
      <c r="TRC56" s="5"/>
      <c r="TRD56" s="4"/>
      <c r="TRE56" s="279"/>
      <c r="TRF56" s="89"/>
      <c r="TRG56" s="5"/>
      <c r="TRH56" s="4"/>
      <c r="TRI56" s="279"/>
      <c r="TRJ56" s="89"/>
      <c r="TRK56" s="5"/>
      <c r="TRL56" s="4"/>
      <c r="TRM56" s="279"/>
      <c r="TRN56" s="89"/>
      <c r="TRO56" s="5"/>
      <c r="TRP56" s="4"/>
      <c r="TRQ56" s="279"/>
      <c r="TRR56" s="89"/>
      <c r="TRS56" s="5"/>
      <c r="TRT56" s="4"/>
      <c r="TRU56" s="279"/>
      <c r="TRV56" s="89"/>
      <c r="TRW56" s="5"/>
      <c r="TRX56" s="4"/>
      <c r="TRY56" s="279"/>
      <c r="TRZ56" s="89"/>
      <c r="TSA56" s="5"/>
      <c r="TSB56" s="4"/>
      <c r="TSC56" s="279"/>
      <c r="TSD56" s="89"/>
      <c r="TSE56" s="5"/>
      <c r="TSF56" s="4"/>
      <c r="TSG56" s="279"/>
      <c r="TSH56" s="89"/>
      <c r="TSI56" s="5"/>
      <c r="TSJ56" s="4"/>
      <c r="TSK56" s="279"/>
      <c r="TSL56" s="89"/>
      <c r="TSM56" s="5"/>
      <c r="TSN56" s="4"/>
      <c r="TSO56" s="279"/>
      <c r="TSP56" s="89"/>
      <c r="TSQ56" s="5"/>
      <c r="TSR56" s="4"/>
      <c r="TSS56" s="279"/>
      <c r="TST56" s="89"/>
      <c r="TSU56" s="5"/>
      <c r="TSV56" s="4"/>
      <c r="TSW56" s="279"/>
      <c r="TSX56" s="89"/>
      <c r="TSY56" s="5"/>
      <c r="TSZ56" s="4"/>
      <c r="TTA56" s="279"/>
      <c r="TTB56" s="89"/>
      <c r="TTC56" s="5"/>
      <c r="TTD56" s="4"/>
      <c r="TTE56" s="279"/>
      <c r="TTF56" s="89"/>
      <c r="TTG56" s="5"/>
      <c r="TTH56" s="4"/>
      <c r="TTI56" s="279"/>
      <c r="TTJ56" s="89"/>
      <c r="TTK56" s="5"/>
      <c r="TTL56" s="4"/>
      <c r="TTM56" s="279"/>
      <c r="TTN56" s="89"/>
      <c r="TTO56" s="5"/>
      <c r="TTP56" s="4"/>
      <c r="TTQ56" s="279"/>
      <c r="TTR56" s="89"/>
      <c r="TTS56" s="5"/>
      <c r="TTT56" s="4"/>
      <c r="TTU56" s="279"/>
      <c r="TTV56" s="89"/>
      <c r="TTW56" s="5"/>
      <c r="TTX56" s="4"/>
      <c r="TTY56" s="279"/>
      <c r="TTZ56" s="89"/>
      <c r="TUA56" s="5"/>
      <c r="TUB56" s="4"/>
      <c r="TUC56" s="279"/>
      <c r="TUD56" s="89"/>
      <c r="TUE56" s="5"/>
      <c r="TUF56" s="4"/>
      <c r="TUG56" s="279"/>
      <c r="TUH56" s="89"/>
      <c r="TUI56" s="5"/>
      <c r="TUJ56" s="4"/>
      <c r="TUK56" s="279"/>
      <c r="TUL56" s="89"/>
      <c r="TUM56" s="5"/>
      <c r="TUN56" s="4"/>
      <c r="TUO56" s="279"/>
      <c r="TUP56" s="89"/>
      <c r="TUQ56" s="5"/>
      <c r="TUR56" s="4"/>
      <c r="TUS56" s="279"/>
      <c r="TUT56" s="89"/>
      <c r="TUU56" s="5"/>
      <c r="TUV56" s="4"/>
      <c r="TUW56" s="279"/>
      <c r="TUX56" s="89"/>
      <c r="TUY56" s="5"/>
      <c r="TUZ56" s="4"/>
      <c r="TVA56" s="279"/>
      <c r="TVB56" s="89"/>
      <c r="TVC56" s="5"/>
      <c r="TVD56" s="4"/>
      <c r="TVE56" s="279"/>
      <c r="TVF56" s="89"/>
      <c r="TVG56" s="5"/>
      <c r="TVH56" s="4"/>
      <c r="TVI56" s="279"/>
      <c r="TVJ56" s="89"/>
      <c r="TVK56" s="5"/>
      <c r="TVL56" s="4"/>
      <c r="TVM56" s="279"/>
      <c r="TVN56" s="89"/>
      <c r="TVO56" s="5"/>
      <c r="TVP56" s="4"/>
      <c r="TVQ56" s="279"/>
      <c r="TVR56" s="89"/>
      <c r="TVS56" s="5"/>
      <c r="TVT56" s="4"/>
      <c r="TVU56" s="279"/>
      <c r="TVV56" s="89"/>
      <c r="TVW56" s="5"/>
      <c r="TVX56" s="4"/>
      <c r="TVY56" s="279"/>
      <c r="TVZ56" s="89"/>
      <c r="TWA56" s="5"/>
      <c r="TWB56" s="4"/>
      <c r="TWC56" s="279"/>
      <c r="TWD56" s="89"/>
      <c r="TWE56" s="5"/>
      <c r="TWF56" s="4"/>
      <c r="TWG56" s="279"/>
      <c r="TWH56" s="89"/>
      <c r="TWI56" s="5"/>
      <c r="TWJ56" s="4"/>
      <c r="TWK56" s="279"/>
      <c r="TWL56" s="89"/>
      <c r="TWM56" s="5"/>
      <c r="TWN56" s="4"/>
      <c r="TWO56" s="279"/>
      <c r="TWP56" s="89"/>
      <c r="TWQ56" s="5"/>
      <c r="TWR56" s="4"/>
      <c r="TWS56" s="279"/>
      <c r="TWT56" s="89"/>
      <c r="TWU56" s="5"/>
      <c r="TWV56" s="4"/>
      <c r="TWW56" s="279"/>
      <c r="TWX56" s="89"/>
      <c r="TWY56" s="5"/>
      <c r="TWZ56" s="4"/>
      <c r="TXA56" s="279"/>
      <c r="TXB56" s="89"/>
      <c r="TXC56" s="5"/>
      <c r="TXD56" s="4"/>
      <c r="TXE56" s="279"/>
      <c r="TXF56" s="89"/>
      <c r="TXG56" s="5"/>
      <c r="TXH56" s="4"/>
      <c r="TXI56" s="279"/>
      <c r="TXJ56" s="89"/>
      <c r="TXK56" s="5"/>
      <c r="TXL56" s="4"/>
      <c r="TXM56" s="279"/>
      <c r="TXN56" s="89"/>
      <c r="TXO56" s="5"/>
      <c r="TXP56" s="4"/>
      <c r="TXQ56" s="279"/>
      <c r="TXR56" s="89"/>
      <c r="TXS56" s="5"/>
      <c r="TXT56" s="4"/>
      <c r="TXU56" s="279"/>
      <c r="TXV56" s="89"/>
      <c r="TXW56" s="5"/>
      <c r="TXX56" s="4"/>
      <c r="TXY56" s="279"/>
      <c r="TXZ56" s="89"/>
      <c r="TYA56" s="5"/>
      <c r="TYB56" s="4"/>
      <c r="TYC56" s="279"/>
      <c r="TYD56" s="89"/>
      <c r="TYE56" s="5"/>
      <c r="TYF56" s="4"/>
      <c r="TYG56" s="279"/>
      <c r="TYH56" s="89"/>
      <c r="TYI56" s="5"/>
      <c r="TYJ56" s="4"/>
      <c r="TYK56" s="279"/>
      <c r="TYL56" s="89"/>
      <c r="TYM56" s="5"/>
      <c r="TYN56" s="4"/>
      <c r="TYO56" s="279"/>
      <c r="TYP56" s="89"/>
      <c r="TYQ56" s="5"/>
      <c r="TYR56" s="4"/>
      <c r="TYS56" s="279"/>
      <c r="TYT56" s="89"/>
      <c r="TYU56" s="5"/>
      <c r="TYV56" s="4"/>
      <c r="TYW56" s="279"/>
      <c r="TYX56" s="89"/>
      <c r="TYY56" s="5"/>
      <c r="TYZ56" s="4"/>
      <c r="TZA56" s="279"/>
      <c r="TZB56" s="89"/>
      <c r="TZC56" s="5"/>
      <c r="TZD56" s="4"/>
      <c r="TZE56" s="279"/>
      <c r="TZF56" s="89"/>
      <c r="TZG56" s="5"/>
      <c r="TZH56" s="4"/>
      <c r="TZI56" s="279"/>
      <c r="TZJ56" s="89"/>
      <c r="TZK56" s="5"/>
      <c r="TZL56" s="4"/>
      <c r="TZM56" s="279"/>
      <c r="TZN56" s="89"/>
      <c r="TZO56" s="5"/>
      <c r="TZP56" s="4"/>
      <c r="TZQ56" s="279"/>
      <c r="TZR56" s="89"/>
      <c r="TZS56" s="5"/>
      <c r="TZT56" s="4"/>
      <c r="TZU56" s="279"/>
      <c r="TZV56" s="89"/>
      <c r="TZW56" s="5"/>
      <c r="TZX56" s="4"/>
      <c r="TZY56" s="279"/>
      <c r="TZZ56" s="89"/>
      <c r="UAA56" s="5"/>
      <c r="UAB56" s="4"/>
      <c r="UAC56" s="279"/>
      <c r="UAD56" s="89"/>
      <c r="UAE56" s="5"/>
      <c r="UAF56" s="4"/>
      <c r="UAG56" s="279"/>
      <c r="UAH56" s="89"/>
      <c r="UAI56" s="5"/>
      <c r="UAJ56" s="4"/>
      <c r="UAK56" s="279"/>
      <c r="UAL56" s="89"/>
      <c r="UAM56" s="5"/>
      <c r="UAN56" s="4"/>
      <c r="UAO56" s="279"/>
      <c r="UAP56" s="89"/>
      <c r="UAQ56" s="5"/>
      <c r="UAR56" s="4"/>
      <c r="UAS56" s="279"/>
      <c r="UAT56" s="89"/>
      <c r="UAU56" s="5"/>
      <c r="UAV56" s="4"/>
      <c r="UAW56" s="279"/>
      <c r="UAX56" s="89"/>
      <c r="UAY56" s="5"/>
      <c r="UAZ56" s="4"/>
      <c r="UBA56" s="279"/>
      <c r="UBB56" s="89"/>
      <c r="UBC56" s="5"/>
      <c r="UBD56" s="4"/>
      <c r="UBE56" s="279"/>
      <c r="UBF56" s="89"/>
      <c r="UBG56" s="5"/>
      <c r="UBH56" s="4"/>
      <c r="UBI56" s="279"/>
      <c r="UBJ56" s="89"/>
      <c r="UBK56" s="5"/>
      <c r="UBL56" s="4"/>
      <c r="UBM56" s="279"/>
      <c r="UBN56" s="89"/>
      <c r="UBO56" s="5"/>
      <c r="UBP56" s="4"/>
      <c r="UBQ56" s="279"/>
      <c r="UBR56" s="89"/>
      <c r="UBS56" s="5"/>
      <c r="UBT56" s="4"/>
      <c r="UBU56" s="279"/>
      <c r="UBV56" s="89"/>
      <c r="UBW56" s="5"/>
      <c r="UBX56" s="4"/>
      <c r="UBY56" s="279"/>
      <c r="UBZ56" s="89"/>
      <c r="UCA56" s="5"/>
      <c r="UCB56" s="4"/>
      <c r="UCC56" s="279"/>
      <c r="UCD56" s="89"/>
      <c r="UCE56" s="5"/>
      <c r="UCF56" s="4"/>
      <c r="UCG56" s="279"/>
      <c r="UCH56" s="89"/>
      <c r="UCI56" s="5"/>
      <c r="UCJ56" s="4"/>
      <c r="UCK56" s="279"/>
      <c r="UCL56" s="89"/>
      <c r="UCM56" s="5"/>
      <c r="UCN56" s="4"/>
      <c r="UCO56" s="279"/>
      <c r="UCP56" s="89"/>
      <c r="UCQ56" s="5"/>
      <c r="UCR56" s="4"/>
      <c r="UCS56" s="279"/>
      <c r="UCT56" s="89"/>
      <c r="UCU56" s="5"/>
      <c r="UCV56" s="4"/>
      <c r="UCW56" s="279"/>
      <c r="UCX56" s="89"/>
      <c r="UCY56" s="5"/>
      <c r="UCZ56" s="4"/>
      <c r="UDA56" s="279"/>
      <c r="UDB56" s="89"/>
      <c r="UDC56" s="5"/>
      <c r="UDD56" s="4"/>
      <c r="UDE56" s="279"/>
      <c r="UDF56" s="89"/>
      <c r="UDG56" s="5"/>
      <c r="UDH56" s="4"/>
      <c r="UDI56" s="279"/>
      <c r="UDJ56" s="89"/>
      <c r="UDK56" s="5"/>
      <c r="UDL56" s="4"/>
      <c r="UDM56" s="279"/>
      <c r="UDN56" s="89"/>
      <c r="UDO56" s="5"/>
      <c r="UDP56" s="4"/>
      <c r="UDQ56" s="279"/>
      <c r="UDR56" s="89"/>
      <c r="UDS56" s="5"/>
      <c r="UDT56" s="4"/>
      <c r="UDU56" s="279"/>
      <c r="UDV56" s="89"/>
      <c r="UDW56" s="5"/>
      <c r="UDX56" s="4"/>
      <c r="UDY56" s="279"/>
      <c r="UDZ56" s="89"/>
      <c r="UEA56" s="5"/>
      <c r="UEB56" s="4"/>
      <c r="UEC56" s="279"/>
      <c r="UED56" s="89"/>
      <c r="UEE56" s="5"/>
      <c r="UEF56" s="4"/>
      <c r="UEG56" s="279"/>
      <c r="UEH56" s="89"/>
      <c r="UEI56" s="5"/>
      <c r="UEJ56" s="4"/>
      <c r="UEK56" s="279"/>
      <c r="UEL56" s="89"/>
      <c r="UEM56" s="5"/>
      <c r="UEN56" s="4"/>
      <c r="UEO56" s="279"/>
      <c r="UEP56" s="89"/>
      <c r="UEQ56" s="5"/>
      <c r="UER56" s="4"/>
      <c r="UES56" s="279"/>
      <c r="UET56" s="89"/>
      <c r="UEU56" s="5"/>
      <c r="UEV56" s="4"/>
      <c r="UEW56" s="279"/>
      <c r="UEX56" s="89"/>
      <c r="UEY56" s="5"/>
      <c r="UEZ56" s="4"/>
      <c r="UFA56" s="279"/>
      <c r="UFB56" s="89"/>
      <c r="UFC56" s="5"/>
      <c r="UFD56" s="4"/>
      <c r="UFE56" s="279"/>
      <c r="UFF56" s="89"/>
      <c r="UFG56" s="5"/>
      <c r="UFH56" s="4"/>
      <c r="UFI56" s="279"/>
      <c r="UFJ56" s="89"/>
      <c r="UFK56" s="5"/>
      <c r="UFL56" s="4"/>
      <c r="UFM56" s="279"/>
      <c r="UFN56" s="89"/>
      <c r="UFO56" s="5"/>
      <c r="UFP56" s="4"/>
      <c r="UFQ56" s="279"/>
      <c r="UFR56" s="89"/>
      <c r="UFS56" s="5"/>
      <c r="UFT56" s="4"/>
      <c r="UFU56" s="279"/>
      <c r="UFV56" s="89"/>
      <c r="UFW56" s="5"/>
      <c r="UFX56" s="4"/>
      <c r="UFY56" s="279"/>
      <c r="UFZ56" s="89"/>
      <c r="UGA56" s="5"/>
      <c r="UGB56" s="4"/>
      <c r="UGC56" s="279"/>
      <c r="UGD56" s="89"/>
      <c r="UGE56" s="5"/>
      <c r="UGF56" s="4"/>
      <c r="UGG56" s="279"/>
      <c r="UGH56" s="89"/>
      <c r="UGI56" s="5"/>
      <c r="UGJ56" s="4"/>
      <c r="UGK56" s="279"/>
      <c r="UGL56" s="89"/>
      <c r="UGM56" s="5"/>
      <c r="UGN56" s="4"/>
      <c r="UGO56" s="279"/>
      <c r="UGP56" s="89"/>
      <c r="UGQ56" s="5"/>
      <c r="UGR56" s="4"/>
      <c r="UGS56" s="279"/>
      <c r="UGT56" s="89"/>
      <c r="UGU56" s="5"/>
      <c r="UGV56" s="4"/>
      <c r="UGW56" s="279"/>
      <c r="UGX56" s="89"/>
      <c r="UGY56" s="5"/>
      <c r="UGZ56" s="4"/>
      <c r="UHA56" s="279"/>
      <c r="UHB56" s="89"/>
      <c r="UHC56" s="5"/>
      <c r="UHD56" s="4"/>
      <c r="UHE56" s="279"/>
      <c r="UHF56" s="89"/>
      <c r="UHG56" s="5"/>
      <c r="UHH56" s="4"/>
      <c r="UHI56" s="279"/>
      <c r="UHJ56" s="89"/>
      <c r="UHK56" s="5"/>
      <c r="UHL56" s="4"/>
      <c r="UHM56" s="279"/>
      <c r="UHN56" s="89"/>
      <c r="UHO56" s="5"/>
      <c r="UHP56" s="4"/>
      <c r="UHQ56" s="279"/>
      <c r="UHR56" s="89"/>
      <c r="UHS56" s="5"/>
      <c r="UHT56" s="4"/>
      <c r="UHU56" s="279"/>
      <c r="UHV56" s="89"/>
      <c r="UHW56" s="5"/>
      <c r="UHX56" s="4"/>
      <c r="UHY56" s="279"/>
      <c r="UHZ56" s="89"/>
      <c r="UIA56" s="5"/>
      <c r="UIB56" s="4"/>
      <c r="UIC56" s="279"/>
      <c r="UID56" s="89"/>
      <c r="UIE56" s="5"/>
      <c r="UIF56" s="4"/>
      <c r="UIG56" s="279"/>
      <c r="UIH56" s="89"/>
      <c r="UII56" s="5"/>
      <c r="UIJ56" s="4"/>
      <c r="UIK56" s="279"/>
      <c r="UIL56" s="89"/>
      <c r="UIM56" s="5"/>
      <c r="UIN56" s="4"/>
      <c r="UIO56" s="279"/>
      <c r="UIP56" s="89"/>
      <c r="UIQ56" s="5"/>
      <c r="UIR56" s="4"/>
      <c r="UIS56" s="279"/>
      <c r="UIT56" s="89"/>
      <c r="UIU56" s="5"/>
      <c r="UIV56" s="4"/>
      <c r="UIW56" s="279"/>
      <c r="UIX56" s="89"/>
      <c r="UIY56" s="5"/>
      <c r="UIZ56" s="4"/>
      <c r="UJA56" s="279"/>
      <c r="UJB56" s="89"/>
      <c r="UJC56" s="5"/>
      <c r="UJD56" s="4"/>
      <c r="UJE56" s="279"/>
      <c r="UJF56" s="89"/>
      <c r="UJG56" s="5"/>
      <c r="UJH56" s="4"/>
      <c r="UJI56" s="279"/>
      <c r="UJJ56" s="89"/>
      <c r="UJK56" s="5"/>
      <c r="UJL56" s="4"/>
      <c r="UJM56" s="279"/>
      <c r="UJN56" s="89"/>
      <c r="UJO56" s="5"/>
      <c r="UJP56" s="4"/>
      <c r="UJQ56" s="279"/>
      <c r="UJR56" s="89"/>
      <c r="UJS56" s="5"/>
      <c r="UJT56" s="4"/>
      <c r="UJU56" s="279"/>
      <c r="UJV56" s="89"/>
      <c r="UJW56" s="5"/>
      <c r="UJX56" s="4"/>
      <c r="UJY56" s="279"/>
      <c r="UJZ56" s="89"/>
      <c r="UKA56" s="5"/>
      <c r="UKB56" s="4"/>
      <c r="UKC56" s="279"/>
      <c r="UKD56" s="89"/>
      <c r="UKE56" s="5"/>
      <c r="UKF56" s="4"/>
      <c r="UKG56" s="279"/>
      <c r="UKH56" s="89"/>
      <c r="UKI56" s="5"/>
      <c r="UKJ56" s="4"/>
      <c r="UKK56" s="279"/>
      <c r="UKL56" s="89"/>
      <c r="UKM56" s="5"/>
      <c r="UKN56" s="4"/>
      <c r="UKO56" s="279"/>
      <c r="UKP56" s="89"/>
      <c r="UKQ56" s="5"/>
      <c r="UKR56" s="4"/>
      <c r="UKS56" s="279"/>
      <c r="UKT56" s="89"/>
      <c r="UKU56" s="5"/>
      <c r="UKV56" s="4"/>
      <c r="UKW56" s="279"/>
      <c r="UKX56" s="89"/>
      <c r="UKY56" s="5"/>
      <c r="UKZ56" s="4"/>
      <c r="ULA56" s="279"/>
      <c r="ULB56" s="89"/>
      <c r="ULC56" s="5"/>
      <c r="ULD56" s="4"/>
      <c r="ULE56" s="279"/>
      <c r="ULF56" s="89"/>
      <c r="ULG56" s="5"/>
      <c r="ULH56" s="4"/>
      <c r="ULI56" s="279"/>
      <c r="ULJ56" s="89"/>
      <c r="ULK56" s="5"/>
      <c r="ULL56" s="4"/>
      <c r="ULM56" s="279"/>
      <c r="ULN56" s="89"/>
      <c r="ULO56" s="5"/>
      <c r="ULP56" s="4"/>
      <c r="ULQ56" s="279"/>
      <c r="ULR56" s="89"/>
      <c r="ULS56" s="5"/>
      <c r="ULT56" s="4"/>
      <c r="ULU56" s="279"/>
      <c r="ULV56" s="89"/>
      <c r="ULW56" s="5"/>
      <c r="ULX56" s="4"/>
      <c r="ULY56" s="279"/>
      <c r="ULZ56" s="89"/>
      <c r="UMA56" s="5"/>
      <c r="UMB56" s="4"/>
      <c r="UMC56" s="279"/>
      <c r="UMD56" s="89"/>
      <c r="UME56" s="5"/>
      <c r="UMF56" s="4"/>
      <c r="UMG56" s="279"/>
      <c r="UMH56" s="89"/>
      <c r="UMI56" s="5"/>
      <c r="UMJ56" s="4"/>
      <c r="UMK56" s="279"/>
      <c r="UML56" s="89"/>
      <c r="UMM56" s="5"/>
      <c r="UMN56" s="4"/>
      <c r="UMO56" s="279"/>
      <c r="UMP56" s="89"/>
      <c r="UMQ56" s="5"/>
      <c r="UMR56" s="4"/>
      <c r="UMS56" s="279"/>
      <c r="UMT56" s="89"/>
      <c r="UMU56" s="5"/>
      <c r="UMV56" s="4"/>
      <c r="UMW56" s="279"/>
      <c r="UMX56" s="89"/>
      <c r="UMY56" s="5"/>
      <c r="UMZ56" s="4"/>
      <c r="UNA56" s="279"/>
      <c r="UNB56" s="89"/>
      <c r="UNC56" s="5"/>
      <c r="UND56" s="4"/>
      <c r="UNE56" s="279"/>
      <c r="UNF56" s="89"/>
      <c r="UNG56" s="5"/>
      <c r="UNH56" s="4"/>
      <c r="UNI56" s="279"/>
      <c r="UNJ56" s="89"/>
      <c r="UNK56" s="5"/>
      <c r="UNL56" s="4"/>
      <c r="UNM56" s="279"/>
      <c r="UNN56" s="89"/>
      <c r="UNO56" s="5"/>
      <c r="UNP56" s="4"/>
      <c r="UNQ56" s="279"/>
      <c r="UNR56" s="89"/>
      <c r="UNS56" s="5"/>
      <c r="UNT56" s="4"/>
      <c r="UNU56" s="279"/>
      <c r="UNV56" s="89"/>
      <c r="UNW56" s="5"/>
      <c r="UNX56" s="4"/>
      <c r="UNY56" s="279"/>
      <c r="UNZ56" s="89"/>
      <c r="UOA56" s="5"/>
      <c r="UOB56" s="4"/>
      <c r="UOC56" s="279"/>
      <c r="UOD56" s="89"/>
      <c r="UOE56" s="5"/>
      <c r="UOF56" s="4"/>
      <c r="UOG56" s="279"/>
      <c r="UOH56" s="89"/>
      <c r="UOI56" s="5"/>
      <c r="UOJ56" s="4"/>
      <c r="UOK56" s="279"/>
      <c r="UOL56" s="89"/>
      <c r="UOM56" s="5"/>
      <c r="UON56" s="4"/>
      <c r="UOO56" s="279"/>
      <c r="UOP56" s="89"/>
      <c r="UOQ56" s="5"/>
      <c r="UOR56" s="4"/>
      <c r="UOS56" s="279"/>
      <c r="UOT56" s="89"/>
      <c r="UOU56" s="5"/>
      <c r="UOV56" s="4"/>
      <c r="UOW56" s="279"/>
      <c r="UOX56" s="89"/>
      <c r="UOY56" s="5"/>
      <c r="UOZ56" s="4"/>
      <c r="UPA56" s="279"/>
      <c r="UPB56" s="89"/>
      <c r="UPC56" s="5"/>
      <c r="UPD56" s="4"/>
      <c r="UPE56" s="279"/>
      <c r="UPF56" s="89"/>
      <c r="UPG56" s="5"/>
      <c r="UPH56" s="4"/>
      <c r="UPI56" s="279"/>
      <c r="UPJ56" s="89"/>
      <c r="UPK56" s="5"/>
      <c r="UPL56" s="4"/>
      <c r="UPM56" s="279"/>
      <c r="UPN56" s="89"/>
      <c r="UPO56" s="5"/>
      <c r="UPP56" s="4"/>
      <c r="UPQ56" s="279"/>
      <c r="UPR56" s="89"/>
      <c r="UPS56" s="5"/>
      <c r="UPT56" s="4"/>
      <c r="UPU56" s="279"/>
      <c r="UPV56" s="89"/>
      <c r="UPW56" s="5"/>
      <c r="UPX56" s="4"/>
      <c r="UPY56" s="279"/>
      <c r="UPZ56" s="89"/>
      <c r="UQA56" s="5"/>
      <c r="UQB56" s="4"/>
      <c r="UQC56" s="279"/>
      <c r="UQD56" s="89"/>
      <c r="UQE56" s="5"/>
      <c r="UQF56" s="4"/>
      <c r="UQG56" s="279"/>
      <c r="UQH56" s="89"/>
      <c r="UQI56" s="5"/>
      <c r="UQJ56" s="4"/>
      <c r="UQK56" s="279"/>
      <c r="UQL56" s="89"/>
      <c r="UQM56" s="5"/>
      <c r="UQN56" s="4"/>
      <c r="UQO56" s="279"/>
      <c r="UQP56" s="89"/>
      <c r="UQQ56" s="5"/>
      <c r="UQR56" s="4"/>
      <c r="UQS56" s="279"/>
      <c r="UQT56" s="89"/>
      <c r="UQU56" s="5"/>
      <c r="UQV56" s="4"/>
      <c r="UQW56" s="279"/>
      <c r="UQX56" s="89"/>
      <c r="UQY56" s="5"/>
      <c r="UQZ56" s="4"/>
      <c r="URA56" s="279"/>
      <c r="URB56" s="89"/>
      <c r="URC56" s="5"/>
      <c r="URD56" s="4"/>
      <c r="URE56" s="279"/>
      <c r="URF56" s="89"/>
      <c r="URG56" s="5"/>
      <c r="URH56" s="4"/>
      <c r="URI56" s="279"/>
      <c r="URJ56" s="89"/>
      <c r="URK56" s="5"/>
      <c r="URL56" s="4"/>
      <c r="URM56" s="279"/>
      <c r="URN56" s="89"/>
      <c r="URO56" s="5"/>
      <c r="URP56" s="4"/>
      <c r="URQ56" s="279"/>
      <c r="URR56" s="89"/>
      <c r="URS56" s="5"/>
      <c r="URT56" s="4"/>
      <c r="URU56" s="279"/>
      <c r="URV56" s="89"/>
      <c r="URW56" s="5"/>
      <c r="URX56" s="4"/>
      <c r="URY56" s="279"/>
      <c r="URZ56" s="89"/>
      <c r="USA56" s="5"/>
      <c r="USB56" s="4"/>
      <c r="USC56" s="279"/>
      <c r="USD56" s="89"/>
      <c r="USE56" s="5"/>
      <c r="USF56" s="4"/>
      <c r="USG56" s="279"/>
      <c r="USH56" s="89"/>
      <c r="USI56" s="5"/>
      <c r="USJ56" s="4"/>
      <c r="USK56" s="279"/>
      <c r="USL56" s="89"/>
      <c r="USM56" s="5"/>
      <c r="USN56" s="4"/>
      <c r="USO56" s="279"/>
      <c r="USP56" s="89"/>
      <c r="USQ56" s="5"/>
      <c r="USR56" s="4"/>
      <c r="USS56" s="279"/>
      <c r="UST56" s="89"/>
      <c r="USU56" s="5"/>
      <c r="USV56" s="4"/>
      <c r="USW56" s="279"/>
      <c r="USX56" s="89"/>
      <c r="USY56" s="5"/>
      <c r="USZ56" s="4"/>
      <c r="UTA56" s="279"/>
      <c r="UTB56" s="89"/>
      <c r="UTC56" s="5"/>
      <c r="UTD56" s="4"/>
      <c r="UTE56" s="279"/>
      <c r="UTF56" s="89"/>
      <c r="UTG56" s="5"/>
      <c r="UTH56" s="4"/>
      <c r="UTI56" s="279"/>
      <c r="UTJ56" s="89"/>
      <c r="UTK56" s="5"/>
      <c r="UTL56" s="4"/>
      <c r="UTM56" s="279"/>
      <c r="UTN56" s="89"/>
      <c r="UTO56" s="5"/>
      <c r="UTP56" s="4"/>
      <c r="UTQ56" s="279"/>
      <c r="UTR56" s="89"/>
      <c r="UTS56" s="5"/>
      <c r="UTT56" s="4"/>
      <c r="UTU56" s="279"/>
      <c r="UTV56" s="89"/>
      <c r="UTW56" s="5"/>
      <c r="UTX56" s="4"/>
      <c r="UTY56" s="279"/>
      <c r="UTZ56" s="89"/>
      <c r="UUA56" s="5"/>
      <c r="UUB56" s="4"/>
      <c r="UUC56" s="279"/>
      <c r="UUD56" s="89"/>
      <c r="UUE56" s="5"/>
      <c r="UUF56" s="4"/>
      <c r="UUG56" s="279"/>
      <c r="UUH56" s="89"/>
      <c r="UUI56" s="5"/>
      <c r="UUJ56" s="4"/>
      <c r="UUK56" s="279"/>
      <c r="UUL56" s="89"/>
      <c r="UUM56" s="5"/>
      <c r="UUN56" s="4"/>
      <c r="UUO56" s="279"/>
      <c r="UUP56" s="89"/>
      <c r="UUQ56" s="5"/>
      <c r="UUR56" s="4"/>
      <c r="UUS56" s="279"/>
      <c r="UUT56" s="89"/>
      <c r="UUU56" s="5"/>
      <c r="UUV56" s="4"/>
      <c r="UUW56" s="279"/>
      <c r="UUX56" s="89"/>
      <c r="UUY56" s="5"/>
      <c r="UUZ56" s="4"/>
      <c r="UVA56" s="279"/>
      <c r="UVB56" s="89"/>
      <c r="UVC56" s="5"/>
      <c r="UVD56" s="4"/>
      <c r="UVE56" s="279"/>
      <c r="UVF56" s="89"/>
      <c r="UVG56" s="5"/>
      <c r="UVH56" s="4"/>
      <c r="UVI56" s="279"/>
      <c r="UVJ56" s="89"/>
      <c r="UVK56" s="5"/>
      <c r="UVL56" s="4"/>
      <c r="UVM56" s="279"/>
      <c r="UVN56" s="89"/>
      <c r="UVO56" s="5"/>
      <c r="UVP56" s="4"/>
      <c r="UVQ56" s="279"/>
      <c r="UVR56" s="89"/>
      <c r="UVS56" s="5"/>
      <c r="UVT56" s="4"/>
      <c r="UVU56" s="279"/>
      <c r="UVV56" s="89"/>
      <c r="UVW56" s="5"/>
      <c r="UVX56" s="4"/>
      <c r="UVY56" s="279"/>
      <c r="UVZ56" s="89"/>
      <c r="UWA56" s="5"/>
      <c r="UWB56" s="4"/>
      <c r="UWC56" s="279"/>
      <c r="UWD56" s="89"/>
      <c r="UWE56" s="5"/>
      <c r="UWF56" s="4"/>
      <c r="UWG56" s="279"/>
      <c r="UWH56" s="89"/>
      <c r="UWI56" s="5"/>
      <c r="UWJ56" s="4"/>
      <c r="UWK56" s="279"/>
      <c r="UWL56" s="89"/>
      <c r="UWM56" s="5"/>
      <c r="UWN56" s="4"/>
      <c r="UWO56" s="279"/>
      <c r="UWP56" s="89"/>
      <c r="UWQ56" s="5"/>
      <c r="UWR56" s="4"/>
      <c r="UWS56" s="279"/>
      <c r="UWT56" s="89"/>
      <c r="UWU56" s="5"/>
      <c r="UWV56" s="4"/>
      <c r="UWW56" s="279"/>
      <c r="UWX56" s="89"/>
      <c r="UWY56" s="5"/>
      <c r="UWZ56" s="4"/>
      <c r="UXA56" s="279"/>
      <c r="UXB56" s="89"/>
      <c r="UXC56" s="5"/>
      <c r="UXD56" s="4"/>
      <c r="UXE56" s="279"/>
      <c r="UXF56" s="89"/>
      <c r="UXG56" s="5"/>
      <c r="UXH56" s="4"/>
      <c r="UXI56" s="279"/>
      <c r="UXJ56" s="89"/>
      <c r="UXK56" s="5"/>
      <c r="UXL56" s="4"/>
      <c r="UXM56" s="279"/>
      <c r="UXN56" s="89"/>
      <c r="UXO56" s="5"/>
      <c r="UXP56" s="4"/>
      <c r="UXQ56" s="279"/>
      <c r="UXR56" s="89"/>
      <c r="UXS56" s="5"/>
      <c r="UXT56" s="4"/>
      <c r="UXU56" s="279"/>
      <c r="UXV56" s="89"/>
      <c r="UXW56" s="5"/>
      <c r="UXX56" s="4"/>
      <c r="UXY56" s="279"/>
      <c r="UXZ56" s="89"/>
      <c r="UYA56" s="5"/>
      <c r="UYB56" s="4"/>
      <c r="UYC56" s="279"/>
      <c r="UYD56" s="89"/>
      <c r="UYE56" s="5"/>
      <c r="UYF56" s="4"/>
      <c r="UYG56" s="279"/>
      <c r="UYH56" s="89"/>
      <c r="UYI56" s="5"/>
      <c r="UYJ56" s="4"/>
      <c r="UYK56" s="279"/>
      <c r="UYL56" s="89"/>
      <c r="UYM56" s="5"/>
      <c r="UYN56" s="4"/>
      <c r="UYO56" s="279"/>
      <c r="UYP56" s="89"/>
      <c r="UYQ56" s="5"/>
      <c r="UYR56" s="4"/>
      <c r="UYS56" s="279"/>
      <c r="UYT56" s="89"/>
      <c r="UYU56" s="5"/>
      <c r="UYV56" s="4"/>
      <c r="UYW56" s="279"/>
      <c r="UYX56" s="89"/>
      <c r="UYY56" s="5"/>
      <c r="UYZ56" s="4"/>
      <c r="UZA56" s="279"/>
      <c r="UZB56" s="89"/>
      <c r="UZC56" s="5"/>
      <c r="UZD56" s="4"/>
      <c r="UZE56" s="279"/>
      <c r="UZF56" s="89"/>
      <c r="UZG56" s="5"/>
      <c r="UZH56" s="4"/>
      <c r="UZI56" s="279"/>
      <c r="UZJ56" s="89"/>
      <c r="UZK56" s="5"/>
      <c r="UZL56" s="4"/>
      <c r="UZM56" s="279"/>
      <c r="UZN56" s="89"/>
      <c r="UZO56" s="5"/>
      <c r="UZP56" s="4"/>
      <c r="UZQ56" s="279"/>
      <c r="UZR56" s="89"/>
      <c r="UZS56" s="5"/>
      <c r="UZT56" s="4"/>
      <c r="UZU56" s="279"/>
      <c r="UZV56" s="89"/>
      <c r="UZW56" s="5"/>
      <c r="UZX56" s="4"/>
      <c r="UZY56" s="279"/>
      <c r="UZZ56" s="89"/>
      <c r="VAA56" s="5"/>
      <c r="VAB56" s="4"/>
      <c r="VAC56" s="279"/>
      <c r="VAD56" s="89"/>
      <c r="VAE56" s="5"/>
      <c r="VAF56" s="4"/>
      <c r="VAG56" s="279"/>
      <c r="VAH56" s="89"/>
      <c r="VAI56" s="5"/>
      <c r="VAJ56" s="4"/>
      <c r="VAK56" s="279"/>
      <c r="VAL56" s="89"/>
      <c r="VAM56" s="5"/>
      <c r="VAN56" s="4"/>
      <c r="VAO56" s="279"/>
      <c r="VAP56" s="89"/>
      <c r="VAQ56" s="5"/>
      <c r="VAR56" s="4"/>
      <c r="VAS56" s="279"/>
      <c r="VAT56" s="89"/>
      <c r="VAU56" s="5"/>
      <c r="VAV56" s="4"/>
      <c r="VAW56" s="279"/>
      <c r="VAX56" s="89"/>
      <c r="VAY56" s="5"/>
      <c r="VAZ56" s="4"/>
      <c r="VBA56" s="279"/>
      <c r="VBB56" s="89"/>
      <c r="VBC56" s="5"/>
      <c r="VBD56" s="4"/>
      <c r="VBE56" s="279"/>
      <c r="VBF56" s="89"/>
      <c r="VBG56" s="5"/>
      <c r="VBH56" s="4"/>
      <c r="VBI56" s="279"/>
      <c r="VBJ56" s="89"/>
      <c r="VBK56" s="5"/>
      <c r="VBL56" s="4"/>
      <c r="VBM56" s="279"/>
      <c r="VBN56" s="89"/>
      <c r="VBO56" s="5"/>
      <c r="VBP56" s="4"/>
      <c r="VBQ56" s="279"/>
      <c r="VBR56" s="89"/>
      <c r="VBS56" s="5"/>
      <c r="VBT56" s="4"/>
      <c r="VBU56" s="279"/>
      <c r="VBV56" s="89"/>
      <c r="VBW56" s="5"/>
      <c r="VBX56" s="4"/>
      <c r="VBY56" s="279"/>
      <c r="VBZ56" s="89"/>
      <c r="VCA56" s="5"/>
      <c r="VCB56" s="4"/>
      <c r="VCC56" s="279"/>
      <c r="VCD56" s="89"/>
      <c r="VCE56" s="5"/>
      <c r="VCF56" s="4"/>
      <c r="VCG56" s="279"/>
      <c r="VCH56" s="89"/>
      <c r="VCI56" s="5"/>
      <c r="VCJ56" s="4"/>
      <c r="VCK56" s="279"/>
      <c r="VCL56" s="89"/>
      <c r="VCM56" s="5"/>
      <c r="VCN56" s="4"/>
      <c r="VCO56" s="279"/>
      <c r="VCP56" s="89"/>
      <c r="VCQ56" s="5"/>
      <c r="VCR56" s="4"/>
      <c r="VCS56" s="279"/>
      <c r="VCT56" s="89"/>
      <c r="VCU56" s="5"/>
      <c r="VCV56" s="4"/>
      <c r="VCW56" s="279"/>
      <c r="VCX56" s="89"/>
      <c r="VCY56" s="5"/>
      <c r="VCZ56" s="4"/>
      <c r="VDA56" s="279"/>
      <c r="VDB56" s="89"/>
      <c r="VDC56" s="5"/>
      <c r="VDD56" s="4"/>
      <c r="VDE56" s="279"/>
      <c r="VDF56" s="89"/>
      <c r="VDG56" s="5"/>
      <c r="VDH56" s="4"/>
      <c r="VDI56" s="279"/>
      <c r="VDJ56" s="89"/>
      <c r="VDK56" s="5"/>
      <c r="VDL56" s="4"/>
      <c r="VDM56" s="279"/>
      <c r="VDN56" s="89"/>
      <c r="VDO56" s="5"/>
      <c r="VDP56" s="4"/>
      <c r="VDQ56" s="279"/>
      <c r="VDR56" s="89"/>
      <c r="VDS56" s="5"/>
      <c r="VDT56" s="4"/>
      <c r="VDU56" s="279"/>
      <c r="VDV56" s="89"/>
      <c r="VDW56" s="5"/>
      <c r="VDX56" s="4"/>
      <c r="VDY56" s="279"/>
      <c r="VDZ56" s="89"/>
      <c r="VEA56" s="5"/>
      <c r="VEB56" s="4"/>
      <c r="VEC56" s="279"/>
      <c r="VED56" s="89"/>
      <c r="VEE56" s="5"/>
      <c r="VEF56" s="4"/>
      <c r="VEG56" s="279"/>
      <c r="VEH56" s="89"/>
      <c r="VEI56" s="5"/>
      <c r="VEJ56" s="4"/>
      <c r="VEK56" s="279"/>
      <c r="VEL56" s="89"/>
      <c r="VEM56" s="5"/>
      <c r="VEN56" s="4"/>
      <c r="VEO56" s="279"/>
      <c r="VEP56" s="89"/>
      <c r="VEQ56" s="5"/>
      <c r="VER56" s="4"/>
      <c r="VES56" s="279"/>
      <c r="VET56" s="89"/>
      <c r="VEU56" s="5"/>
      <c r="VEV56" s="4"/>
      <c r="VEW56" s="279"/>
      <c r="VEX56" s="89"/>
      <c r="VEY56" s="5"/>
      <c r="VEZ56" s="4"/>
      <c r="VFA56" s="279"/>
      <c r="VFB56" s="89"/>
      <c r="VFC56" s="5"/>
      <c r="VFD56" s="4"/>
      <c r="VFE56" s="279"/>
      <c r="VFF56" s="89"/>
      <c r="VFG56" s="5"/>
      <c r="VFH56" s="4"/>
      <c r="VFI56" s="279"/>
      <c r="VFJ56" s="89"/>
      <c r="VFK56" s="5"/>
      <c r="VFL56" s="4"/>
      <c r="VFM56" s="279"/>
      <c r="VFN56" s="89"/>
      <c r="VFO56" s="5"/>
      <c r="VFP56" s="4"/>
      <c r="VFQ56" s="279"/>
      <c r="VFR56" s="89"/>
      <c r="VFS56" s="5"/>
      <c r="VFT56" s="4"/>
      <c r="VFU56" s="279"/>
      <c r="VFV56" s="89"/>
      <c r="VFW56" s="5"/>
      <c r="VFX56" s="4"/>
      <c r="VFY56" s="279"/>
      <c r="VFZ56" s="89"/>
      <c r="VGA56" s="5"/>
      <c r="VGB56" s="4"/>
      <c r="VGC56" s="279"/>
      <c r="VGD56" s="89"/>
      <c r="VGE56" s="5"/>
      <c r="VGF56" s="4"/>
      <c r="VGG56" s="279"/>
      <c r="VGH56" s="89"/>
      <c r="VGI56" s="5"/>
      <c r="VGJ56" s="4"/>
      <c r="VGK56" s="279"/>
      <c r="VGL56" s="89"/>
      <c r="VGM56" s="5"/>
      <c r="VGN56" s="4"/>
      <c r="VGO56" s="279"/>
      <c r="VGP56" s="89"/>
      <c r="VGQ56" s="5"/>
      <c r="VGR56" s="4"/>
      <c r="VGS56" s="279"/>
      <c r="VGT56" s="89"/>
      <c r="VGU56" s="5"/>
      <c r="VGV56" s="4"/>
      <c r="VGW56" s="279"/>
      <c r="VGX56" s="89"/>
      <c r="VGY56" s="5"/>
      <c r="VGZ56" s="4"/>
      <c r="VHA56" s="279"/>
      <c r="VHB56" s="89"/>
      <c r="VHC56" s="5"/>
      <c r="VHD56" s="4"/>
      <c r="VHE56" s="279"/>
      <c r="VHF56" s="89"/>
      <c r="VHG56" s="5"/>
      <c r="VHH56" s="4"/>
      <c r="VHI56" s="279"/>
      <c r="VHJ56" s="89"/>
      <c r="VHK56" s="5"/>
      <c r="VHL56" s="4"/>
      <c r="VHM56" s="279"/>
      <c r="VHN56" s="89"/>
      <c r="VHO56" s="5"/>
      <c r="VHP56" s="4"/>
      <c r="VHQ56" s="279"/>
      <c r="VHR56" s="89"/>
      <c r="VHS56" s="5"/>
      <c r="VHT56" s="4"/>
      <c r="VHU56" s="279"/>
      <c r="VHV56" s="89"/>
      <c r="VHW56" s="5"/>
      <c r="VHX56" s="4"/>
      <c r="VHY56" s="279"/>
      <c r="VHZ56" s="89"/>
      <c r="VIA56" s="5"/>
      <c r="VIB56" s="4"/>
      <c r="VIC56" s="279"/>
      <c r="VID56" s="89"/>
      <c r="VIE56" s="5"/>
      <c r="VIF56" s="4"/>
      <c r="VIG56" s="279"/>
      <c r="VIH56" s="89"/>
      <c r="VII56" s="5"/>
      <c r="VIJ56" s="4"/>
      <c r="VIK56" s="279"/>
      <c r="VIL56" s="89"/>
      <c r="VIM56" s="5"/>
      <c r="VIN56" s="4"/>
      <c r="VIO56" s="279"/>
      <c r="VIP56" s="89"/>
      <c r="VIQ56" s="5"/>
      <c r="VIR56" s="4"/>
      <c r="VIS56" s="279"/>
      <c r="VIT56" s="89"/>
      <c r="VIU56" s="5"/>
      <c r="VIV56" s="4"/>
      <c r="VIW56" s="279"/>
      <c r="VIX56" s="89"/>
      <c r="VIY56" s="5"/>
      <c r="VIZ56" s="4"/>
      <c r="VJA56" s="279"/>
      <c r="VJB56" s="89"/>
      <c r="VJC56" s="5"/>
      <c r="VJD56" s="4"/>
      <c r="VJE56" s="279"/>
      <c r="VJF56" s="89"/>
      <c r="VJG56" s="5"/>
      <c r="VJH56" s="4"/>
      <c r="VJI56" s="279"/>
      <c r="VJJ56" s="89"/>
      <c r="VJK56" s="5"/>
      <c r="VJL56" s="4"/>
      <c r="VJM56" s="279"/>
      <c r="VJN56" s="89"/>
      <c r="VJO56" s="5"/>
      <c r="VJP56" s="4"/>
      <c r="VJQ56" s="279"/>
      <c r="VJR56" s="89"/>
      <c r="VJS56" s="5"/>
      <c r="VJT56" s="4"/>
      <c r="VJU56" s="279"/>
      <c r="VJV56" s="89"/>
      <c r="VJW56" s="5"/>
      <c r="VJX56" s="4"/>
      <c r="VJY56" s="279"/>
      <c r="VJZ56" s="89"/>
      <c r="VKA56" s="5"/>
      <c r="VKB56" s="4"/>
      <c r="VKC56" s="279"/>
      <c r="VKD56" s="89"/>
      <c r="VKE56" s="5"/>
      <c r="VKF56" s="4"/>
      <c r="VKG56" s="279"/>
      <c r="VKH56" s="89"/>
      <c r="VKI56" s="5"/>
      <c r="VKJ56" s="4"/>
      <c r="VKK56" s="279"/>
      <c r="VKL56" s="89"/>
      <c r="VKM56" s="5"/>
      <c r="VKN56" s="4"/>
      <c r="VKO56" s="279"/>
      <c r="VKP56" s="89"/>
      <c r="VKQ56" s="5"/>
      <c r="VKR56" s="4"/>
      <c r="VKS56" s="279"/>
      <c r="VKT56" s="89"/>
      <c r="VKU56" s="5"/>
      <c r="VKV56" s="4"/>
      <c r="VKW56" s="279"/>
      <c r="VKX56" s="89"/>
      <c r="VKY56" s="5"/>
      <c r="VKZ56" s="4"/>
      <c r="VLA56" s="279"/>
      <c r="VLB56" s="89"/>
      <c r="VLC56" s="5"/>
      <c r="VLD56" s="4"/>
      <c r="VLE56" s="279"/>
      <c r="VLF56" s="89"/>
      <c r="VLG56" s="5"/>
      <c r="VLH56" s="4"/>
      <c r="VLI56" s="279"/>
      <c r="VLJ56" s="89"/>
      <c r="VLK56" s="5"/>
      <c r="VLL56" s="4"/>
      <c r="VLM56" s="279"/>
      <c r="VLN56" s="89"/>
      <c r="VLO56" s="5"/>
      <c r="VLP56" s="4"/>
      <c r="VLQ56" s="279"/>
      <c r="VLR56" s="89"/>
      <c r="VLS56" s="5"/>
      <c r="VLT56" s="4"/>
      <c r="VLU56" s="279"/>
      <c r="VLV56" s="89"/>
      <c r="VLW56" s="5"/>
      <c r="VLX56" s="4"/>
      <c r="VLY56" s="279"/>
      <c r="VLZ56" s="89"/>
      <c r="VMA56" s="5"/>
      <c r="VMB56" s="4"/>
      <c r="VMC56" s="279"/>
      <c r="VMD56" s="89"/>
      <c r="VME56" s="5"/>
      <c r="VMF56" s="4"/>
      <c r="VMG56" s="279"/>
      <c r="VMH56" s="89"/>
      <c r="VMI56" s="5"/>
      <c r="VMJ56" s="4"/>
      <c r="VMK56" s="279"/>
      <c r="VML56" s="89"/>
      <c r="VMM56" s="5"/>
      <c r="VMN56" s="4"/>
      <c r="VMO56" s="279"/>
      <c r="VMP56" s="89"/>
      <c r="VMQ56" s="5"/>
      <c r="VMR56" s="4"/>
      <c r="VMS56" s="279"/>
      <c r="VMT56" s="89"/>
      <c r="VMU56" s="5"/>
      <c r="VMV56" s="4"/>
      <c r="VMW56" s="279"/>
      <c r="VMX56" s="89"/>
      <c r="VMY56" s="5"/>
      <c r="VMZ56" s="4"/>
      <c r="VNA56" s="279"/>
      <c r="VNB56" s="89"/>
      <c r="VNC56" s="5"/>
      <c r="VND56" s="4"/>
      <c r="VNE56" s="279"/>
      <c r="VNF56" s="89"/>
      <c r="VNG56" s="5"/>
      <c r="VNH56" s="4"/>
      <c r="VNI56" s="279"/>
      <c r="VNJ56" s="89"/>
      <c r="VNK56" s="5"/>
      <c r="VNL56" s="4"/>
      <c r="VNM56" s="279"/>
      <c r="VNN56" s="89"/>
      <c r="VNO56" s="5"/>
      <c r="VNP56" s="4"/>
      <c r="VNQ56" s="279"/>
      <c r="VNR56" s="89"/>
      <c r="VNS56" s="5"/>
      <c r="VNT56" s="4"/>
      <c r="VNU56" s="279"/>
      <c r="VNV56" s="89"/>
      <c r="VNW56" s="5"/>
      <c r="VNX56" s="4"/>
      <c r="VNY56" s="279"/>
      <c r="VNZ56" s="89"/>
      <c r="VOA56" s="5"/>
      <c r="VOB56" s="4"/>
      <c r="VOC56" s="279"/>
      <c r="VOD56" s="89"/>
      <c r="VOE56" s="5"/>
      <c r="VOF56" s="4"/>
      <c r="VOG56" s="279"/>
      <c r="VOH56" s="89"/>
      <c r="VOI56" s="5"/>
      <c r="VOJ56" s="4"/>
      <c r="VOK56" s="279"/>
      <c r="VOL56" s="89"/>
      <c r="VOM56" s="5"/>
      <c r="VON56" s="4"/>
      <c r="VOO56" s="279"/>
      <c r="VOP56" s="89"/>
      <c r="VOQ56" s="5"/>
      <c r="VOR56" s="4"/>
      <c r="VOS56" s="279"/>
      <c r="VOT56" s="89"/>
      <c r="VOU56" s="5"/>
      <c r="VOV56" s="4"/>
      <c r="VOW56" s="279"/>
      <c r="VOX56" s="89"/>
      <c r="VOY56" s="5"/>
      <c r="VOZ56" s="4"/>
      <c r="VPA56" s="279"/>
      <c r="VPB56" s="89"/>
      <c r="VPC56" s="5"/>
      <c r="VPD56" s="4"/>
      <c r="VPE56" s="279"/>
      <c r="VPF56" s="89"/>
      <c r="VPG56" s="5"/>
      <c r="VPH56" s="4"/>
      <c r="VPI56" s="279"/>
      <c r="VPJ56" s="89"/>
      <c r="VPK56" s="5"/>
      <c r="VPL56" s="4"/>
      <c r="VPM56" s="279"/>
      <c r="VPN56" s="89"/>
      <c r="VPO56" s="5"/>
      <c r="VPP56" s="4"/>
      <c r="VPQ56" s="279"/>
      <c r="VPR56" s="89"/>
      <c r="VPS56" s="5"/>
      <c r="VPT56" s="4"/>
      <c r="VPU56" s="279"/>
      <c r="VPV56" s="89"/>
      <c r="VPW56" s="5"/>
      <c r="VPX56" s="4"/>
      <c r="VPY56" s="279"/>
      <c r="VPZ56" s="89"/>
      <c r="VQA56" s="5"/>
      <c r="VQB56" s="4"/>
      <c r="VQC56" s="279"/>
      <c r="VQD56" s="89"/>
      <c r="VQE56" s="5"/>
      <c r="VQF56" s="4"/>
      <c r="VQG56" s="279"/>
      <c r="VQH56" s="89"/>
      <c r="VQI56" s="5"/>
      <c r="VQJ56" s="4"/>
      <c r="VQK56" s="279"/>
      <c r="VQL56" s="89"/>
      <c r="VQM56" s="5"/>
      <c r="VQN56" s="4"/>
      <c r="VQO56" s="279"/>
      <c r="VQP56" s="89"/>
      <c r="VQQ56" s="5"/>
      <c r="VQR56" s="4"/>
      <c r="VQS56" s="279"/>
      <c r="VQT56" s="89"/>
      <c r="VQU56" s="5"/>
      <c r="VQV56" s="4"/>
      <c r="VQW56" s="279"/>
      <c r="VQX56" s="89"/>
      <c r="VQY56" s="5"/>
      <c r="VQZ56" s="4"/>
      <c r="VRA56" s="279"/>
      <c r="VRB56" s="89"/>
      <c r="VRC56" s="5"/>
      <c r="VRD56" s="4"/>
      <c r="VRE56" s="279"/>
      <c r="VRF56" s="89"/>
      <c r="VRG56" s="5"/>
      <c r="VRH56" s="4"/>
      <c r="VRI56" s="279"/>
      <c r="VRJ56" s="89"/>
      <c r="VRK56" s="5"/>
      <c r="VRL56" s="4"/>
      <c r="VRM56" s="279"/>
      <c r="VRN56" s="89"/>
      <c r="VRO56" s="5"/>
      <c r="VRP56" s="4"/>
      <c r="VRQ56" s="279"/>
      <c r="VRR56" s="89"/>
      <c r="VRS56" s="5"/>
      <c r="VRT56" s="4"/>
      <c r="VRU56" s="279"/>
      <c r="VRV56" s="89"/>
      <c r="VRW56" s="5"/>
      <c r="VRX56" s="4"/>
      <c r="VRY56" s="279"/>
      <c r="VRZ56" s="89"/>
      <c r="VSA56" s="5"/>
      <c r="VSB56" s="4"/>
      <c r="VSC56" s="279"/>
      <c r="VSD56" s="89"/>
      <c r="VSE56" s="5"/>
      <c r="VSF56" s="4"/>
      <c r="VSG56" s="279"/>
      <c r="VSH56" s="89"/>
      <c r="VSI56" s="5"/>
      <c r="VSJ56" s="4"/>
      <c r="VSK56" s="279"/>
      <c r="VSL56" s="89"/>
      <c r="VSM56" s="5"/>
      <c r="VSN56" s="4"/>
      <c r="VSO56" s="279"/>
      <c r="VSP56" s="89"/>
      <c r="VSQ56" s="5"/>
      <c r="VSR56" s="4"/>
      <c r="VSS56" s="279"/>
      <c r="VST56" s="89"/>
      <c r="VSU56" s="5"/>
      <c r="VSV56" s="4"/>
      <c r="VSW56" s="279"/>
      <c r="VSX56" s="89"/>
      <c r="VSY56" s="5"/>
      <c r="VSZ56" s="4"/>
      <c r="VTA56" s="279"/>
      <c r="VTB56" s="89"/>
      <c r="VTC56" s="5"/>
      <c r="VTD56" s="4"/>
      <c r="VTE56" s="279"/>
      <c r="VTF56" s="89"/>
      <c r="VTG56" s="5"/>
      <c r="VTH56" s="4"/>
      <c r="VTI56" s="279"/>
      <c r="VTJ56" s="89"/>
      <c r="VTK56" s="5"/>
      <c r="VTL56" s="4"/>
      <c r="VTM56" s="279"/>
      <c r="VTN56" s="89"/>
      <c r="VTO56" s="5"/>
      <c r="VTP56" s="4"/>
      <c r="VTQ56" s="279"/>
      <c r="VTR56" s="89"/>
      <c r="VTS56" s="5"/>
      <c r="VTT56" s="4"/>
      <c r="VTU56" s="279"/>
      <c r="VTV56" s="89"/>
      <c r="VTW56" s="5"/>
      <c r="VTX56" s="4"/>
      <c r="VTY56" s="279"/>
      <c r="VTZ56" s="89"/>
      <c r="VUA56" s="5"/>
      <c r="VUB56" s="4"/>
      <c r="VUC56" s="279"/>
      <c r="VUD56" s="89"/>
      <c r="VUE56" s="5"/>
      <c r="VUF56" s="4"/>
      <c r="VUG56" s="279"/>
      <c r="VUH56" s="89"/>
      <c r="VUI56" s="5"/>
      <c r="VUJ56" s="4"/>
      <c r="VUK56" s="279"/>
      <c r="VUL56" s="89"/>
      <c r="VUM56" s="5"/>
      <c r="VUN56" s="4"/>
      <c r="VUO56" s="279"/>
      <c r="VUP56" s="89"/>
      <c r="VUQ56" s="5"/>
      <c r="VUR56" s="4"/>
      <c r="VUS56" s="279"/>
      <c r="VUT56" s="89"/>
      <c r="VUU56" s="5"/>
      <c r="VUV56" s="4"/>
      <c r="VUW56" s="279"/>
      <c r="VUX56" s="89"/>
      <c r="VUY56" s="5"/>
      <c r="VUZ56" s="4"/>
      <c r="VVA56" s="279"/>
      <c r="VVB56" s="89"/>
      <c r="VVC56" s="5"/>
      <c r="VVD56" s="4"/>
      <c r="VVE56" s="279"/>
      <c r="VVF56" s="89"/>
      <c r="VVG56" s="5"/>
      <c r="VVH56" s="4"/>
      <c r="VVI56" s="279"/>
      <c r="VVJ56" s="89"/>
      <c r="VVK56" s="5"/>
      <c r="VVL56" s="4"/>
      <c r="VVM56" s="279"/>
      <c r="VVN56" s="89"/>
      <c r="VVO56" s="5"/>
      <c r="VVP56" s="4"/>
      <c r="VVQ56" s="279"/>
      <c r="VVR56" s="89"/>
      <c r="VVS56" s="5"/>
      <c r="VVT56" s="4"/>
      <c r="VVU56" s="279"/>
      <c r="VVV56" s="89"/>
      <c r="VVW56" s="5"/>
      <c r="VVX56" s="4"/>
      <c r="VVY56" s="279"/>
      <c r="VVZ56" s="89"/>
      <c r="VWA56" s="5"/>
      <c r="VWB56" s="4"/>
      <c r="VWC56" s="279"/>
      <c r="VWD56" s="89"/>
      <c r="VWE56" s="5"/>
      <c r="VWF56" s="4"/>
      <c r="VWG56" s="279"/>
      <c r="VWH56" s="89"/>
      <c r="VWI56" s="5"/>
      <c r="VWJ56" s="4"/>
      <c r="VWK56" s="279"/>
      <c r="VWL56" s="89"/>
      <c r="VWM56" s="5"/>
      <c r="VWN56" s="4"/>
      <c r="VWO56" s="279"/>
      <c r="VWP56" s="89"/>
      <c r="VWQ56" s="5"/>
      <c r="VWR56" s="4"/>
      <c r="VWS56" s="279"/>
      <c r="VWT56" s="89"/>
      <c r="VWU56" s="5"/>
      <c r="VWV56" s="4"/>
      <c r="VWW56" s="279"/>
      <c r="VWX56" s="89"/>
      <c r="VWY56" s="5"/>
      <c r="VWZ56" s="4"/>
      <c r="VXA56" s="279"/>
      <c r="VXB56" s="89"/>
      <c r="VXC56" s="5"/>
      <c r="VXD56" s="4"/>
      <c r="VXE56" s="279"/>
      <c r="VXF56" s="89"/>
      <c r="VXG56" s="5"/>
      <c r="VXH56" s="4"/>
      <c r="VXI56" s="279"/>
      <c r="VXJ56" s="89"/>
      <c r="VXK56" s="5"/>
      <c r="VXL56" s="4"/>
      <c r="VXM56" s="279"/>
      <c r="VXN56" s="89"/>
      <c r="VXO56" s="5"/>
      <c r="VXP56" s="4"/>
      <c r="VXQ56" s="279"/>
      <c r="VXR56" s="89"/>
      <c r="VXS56" s="5"/>
      <c r="VXT56" s="4"/>
      <c r="VXU56" s="279"/>
      <c r="VXV56" s="89"/>
      <c r="VXW56" s="5"/>
      <c r="VXX56" s="4"/>
      <c r="VXY56" s="279"/>
      <c r="VXZ56" s="89"/>
      <c r="VYA56" s="5"/>
      <c r="VYB56" s="4"/>
      <c r="VYC56" s="279"/>
      <c r="VYD56" s="89"/>
      <c r="VYE56" s="5"/>
      <c r="VYF56" s="4"/>
      <c r="VYG56" s="279"/>
      <c r="VYH56" s="89"/>
      <c r="VYI56" s="5"/>
      <c r="VYJ56" s="4"/>
      <c r="VYK56" s="279"/>
      <c r="VYL56" s="89"/>
      <c r="VYM56" s="5"/>
      <c r="VYN56" s="4"/>
      <c r="VYO56" s="279"/>
      <c r="VYP56" s="89"/>
      <c r="VYQ56" s="5"/>
      <c r="VYR56" s="4"/>
      <c r="VYS56" s="279"/>
      <c r="VYT56" s="89"/>
      <c r="VYU56" s="5"/>
      <c r="VYV56" s="4"/>
      <c r="VYW56" s="279"/>
      <c r="VYX56" s="89"/>
      <c r="VYY56" s="5"/>
      <c r="VYZ56" s="4"/>
      <c r="VZA56" s="279"/>
      <c r="VZB56" s="89"/>
      <c r="VZC56" s="5"/>
      <c r="VZD56" s="4"/>
      <c r="VZE56" s="279"/>
      <c r="VZF56" s="89"/>
      <c r="VZG56" s="5"/>
      <c r="VZH56" s="4"/>
      <c r="VZI56" s="279"/>
      <c r="VZJ56" s="89"/>
      <c r="VZK56" s="5"/>
      <c r="VZL56" s="4"/>
      <c r="VZM56" s="279"/>
      <c r="VZN56" s="89"/>
      <c r="VZO56" s="5"/>
      <c r="VZP56" s="4"/>
      <c r="VZQ56" s="279"/>
      <c r="VZR56" s="89"/>
      <c r="VZS56" s="5"/>
      <c r="VZT56" s="4"/>
      <c r="VZU56" s="279"/>
      <c r="VZV56" s="89"/>
      <c r="VZW56" s="5"/>
      <c r="VZX56" s="4"/>
      <c r="VZY56" s="279"/>
      <c r="VZZ56" s="89"/>
      <c r="WAA56" s="5"/>
      <c r="WAB56" s="4"/>
      <c r="WAC56" s="279"/>
      <c r="WAD56" s="89"/>
      <c r="WAE56" s="5"/>
      <c r="WAF56" s="4"/>
      <c r="WAG56" s="279"/>
      <c r="WAH56" s="89"/>
      <c r="WAI56" s="5"/>
      <c r="WAJ56" s="4"/>
      <c r="WAK56" s="279"/>
      <c r="WAL56" s="89"/>
      <c r="WAM56" s="5"/>
      <c r="WAN56" s="4"/>
      <c r="WAO56" s="279"/>
      <c r="WAP56" s="89"/>
      <c r="WAQ56" s="5"/>
      <c r="WAR56" s="4"/>
      <c r="WAS56" s="279"/>
      <c r="WAT56" s="89"/>
      <c r="WAU56" s="5"/>
      <c r="WAV56" s="4"/>
      <c r="WAW56" s="279"/>
      <c r="WAX56" s="89"/>
      <c r="WAY56" s="5"/>
      <c r="WAZ56" s="4"/>
      <c r="WBA56" s="279"/>
      <c r="WBB56" s="89"/>
      <c r="WBC56" s="5"/>
      <c r="WBD56" s="4"/>
      <c r="WBE56" s="279"/>
      <c r="WBF56" s="89"/>
      <c r="WBG56" s="5"/>
      <c r="WBH56" s="4"/>
      <c r="WBI56" s="279"/>
      <c r="WBJ56" s="89"/>
      <c r="WBK56" s="5"/>
      <c r="WBL56" s="4"/>
      <c r="WBM56" s="279"/>
      <c r="WBN56" s="89"/>
      <c r="WBO56" s="5"/>
      <c r="WBP56" s="4"/>
      <c r="WBQ56" s="279"/>
      <c r="WBR56" s="89"/>
      <c r="WBS56" s="5"/>
      <c r="WBT56" s="4"/>
      <c r="WBU56" s="279"/>
      <c r="WBV56" s="89"/>
      <c r="WBW56" s="5"/>
      <c r="WBX56" s="4"/>
      <c r="WBY56" s="279"/>
      <c r="WBZ56" s="89"/>
      <c r="WCA56" s="5"/>
      <c r="WCB56" s="4"/>
      <c r="WCC56" s="279"/>
      <c r="WCD56" s="89"/>
      <c r="WCE56" s="5"/>
      <c r="WCF56" s="4"/>
      <c r="WCG56" s="279"/>
      <c r="WCH56" s="89"/>
      <c r="WCI56" s="5"/>
      <c r="WCJ56" s="4"/>
      <c r="WCK56" s="279"/>
      <c r="WCL56" s="89"/>
      <c r="WCM56" s="5"/>
      <c r="WCN56" s="4"/>
      <c r="WCO56" s="279"/>
      <c r="WCP56" s="89"/>
      <c r="WCQ56" s="5"/>
      <c r="WCR56" s="4"/>
      <c r="WCS56" s="279"/>
      <c r="WCT56" s="89"/>
      <c r="WCU56" s="5"/>
      <c r="WCV56" s="4"/>
      <c r="WCW56" s="279"/>
      <c r="WCX56" s="89"/>
      <c r="WCY56" s="5"/>
      <c r="WCZ56" s="4"/>
      <c r="WDA56" s="279"/>
      <c r="WDB56" s="89"/>
      <c r="WDC56" s="5"/>
      <c r="WDD56" s="4"/>
      <c r="WDE56" s="279"/>
      <c r="WDF56" s="89"/>
      <c r="WDG56" s="5"/>
      <c r="WDH56" s="4"/>
      <c r="WDI56" s="279"/>
      <c r="WDJ56" s="89"/>
      <c r="WDK56" s="5"/>
      <c r="WDL56" s="4"/>
      <c r="WDM56" s="279"/>
      <c r="WDN56" s="89"/>
      <c r="WDO56" s="5"/>
      <c r="WDP56" s="4"/>
      <c r="WDQ56" s="279"/>
      <c r="WDR56" s="89"/>
      <c r="WDS56" s="5"/>
      <c r="WDT56" s="4"/>
      <c r="WDU56" s="279"/>
      <c r="WDV56" s="89"/>
      <c r="WDW56" s="5"/>
      <c r="WDX56" s="4"/>
      <c r="WDY56" s="279"/>
      <c r="WDZ56" s="89"/>
      <c r="WEA56" s="5"/>
      <c r="WEB56" s="4"/>
      <c r="WEC56" s="279"/>
      <c r="WED56" s="89"/>
      <c r="WEE56" s="5"/>
      <c r="WEF56" s="4"/>
      <c r="WEG56" s="279"/>
      <c r="WEH56" s="89"/>
      <c r="WEI56" s="5"/>
      <c r="WEJ56" s="4"/>
      <c r="WEK56" s="279"/>
      <c r="WEL56" s="89"/>
      <c r="WEM56" s="5"/>
      <c r="WEN56" s="4"/>
      <c r="WEO56" s="279"/>
      <c r="WEP56" s="89"/>
      <c r="WEQ56" s="5"/>
      <c r="WER56" s="4"/>
      <c r="WES56" s="279"/>
      <c r="WET56" s="89"/>
      <c r="WEU56" s="5"/>
      <c r="WEV56" s="4"/>
      <c r="WEW56" s="279"/>
      <c r="WEX56" s="89"/>
      <c r="WEY56" s="5"/>
      <c r="WEZ56" s="4"/>
      <c r="WFA56" s="279"/>
      <c r="WFB56" s="89"/>
      <c r="WFC56" s="5"/>
      <c r="WFD56" s="4"/>
      <c r="WFE56" s="279"/>
      <c r="WFF56" s="89"/>
      <c r="WFG56" s="5"/>
      <c r="WFH56" s="4"/>
      <c r="WFI56" s="279"/>
      <c r="WFJ56" s="89"/>
      <c r="WFK56" s="5"/>
      <c r="WFL56" s="4"/>
      <c r="WFM56" s="279"/>
      <c r="WFN56" s="89"/>
      <c r="WFO56" s="5"/>
      <c r="WFP56" s="4"/>
      <c r="WFQ56" s="279"/>
      <c r="WFR56" s="89"/>
      <c r="WFS56" s="5"/>
      <c r="WFT56" s="4"/>
      <c r="WFU56" s="279"/>
      <c r="WFV56" s="89"/>
      <c r="WFW56" s="5"/>
      <c r="WFX56" s="4"/>
      <c r="WFY56" s="279"/>
      <c r="WFZ56" s="89"/>
      <c r="WGA56" s="5"/>
      <c r="WGB56" s="4"/>
      <c r="WGC56" s="279"/>
      <c r="WGD56" s="89"/>
      <c r="WGE56" s="5"/>
      <c r="WGF56" s="4"/>
      <c r="WGG56" s="279"/>
      <c r="WGH56" s="89"/>
      <c r="WGI56" s="5"/>
      <c r="WGJ56" s="4"/>
      <c r="WGK56" s="279"/>
      <c r="WGL56" s="89"/>
      <c r="WGM56" s="5"/>
      <c r="WGN56" s="4"/>
      <c r="WGO56" s="279"/>
      <c r="WGP56" s="89"/>
      <c r="WGQ56" s="5"/>
      <c r="WGR56" s="4"/>
      <c r="WGS56" s="279"/>
      <c r="WGT56" s="89"/>
      <c r="WGU56" s="5"/>
      <c r="WGV56" s="4"/>
      <c r="WGW56" s="279"/>
      <c r="WGX56" s="89"/>
      <c r="WGY56" s="5"/>
      <c r="WGZ56" s="4"/>
      <c r="WHA56" s="279"/>
      <c r="WHB56" s="89"/>
      <c r="WHC56" s="5"/>
      <c r="WHD56" s="4"/>
      <c r="WHE56" s="279"/>
      <c r="WHF56" s="89"/>
      <c r="WHG56" s="5"/>
      <c r="WHH56" s="4"/>
      <c r="WHI56" s="279"/>
      <c r="WHJ56" s="89"/>
      <c r="WHK56" s="5"/>
      <c r="WHL56" s="4"/>
      <c r="WHM56" s="279"/>
      <c r="WHN56" s="89"/>
      <c r="WHO56" s="5"/>
      <c r="WHP56" s="4"/>
      <c r="WHQ56" s="279"/>
      <c r="WHR56" s="89"/>
      <c r="WHS56" s="5"/>
      <c r="WHT56" s="4"/>
      <c r="WHU56" s="279"/>
      <c r="WHV56" s="89"/>
      <c r="WHW56" s="5"/>
      <c r="WHX56" s="4"/>
      <c r="WHY56" s="279"/>
      <c r="WHZ56" s="89"/>
      <c r="WIA56" s="5"/>
      <c r="WIB56" s="4"/>
      <c r="WIC56" s="279"/>
      <c r="WID56" s="89"/>
      <c r="WIE56" s="5"/>
      <c r="WIF56" s="4"/>
      <c r="WIG56" s="279"/>
      <c r="WIH56" s="89"/>
      <c r="WII56" s="5"/>
      <c r="WIJ56" s="4"/>
      <c r="WIK56" s="279"/>
      <c r="WIL56" s="89"/>
      <c r="WIM56" s="5"/>
      <c r="WIN56" s="4"/>
      <c r="WIO56" s="279"/>
      <c r="WIP56" s="89"/>
      <c r="WIQ56" s="5"/>
      <c r="WIR56" s="4"/>
      <c r="WIS56" s="279"/>
      <c r="WIT56" s="89"/>
      <c r="WIU56" s="5"/>
      <c r="WIV56" s="4"/>
      <c r="WIW56" s="279"/>
      <c r="WIX56" s="89"/>
      <c r="WIY56" s="5"/>
      <c r="WIZ56" s="4"/>
      <c r="WJA56" s="279"/>
      <c r="WJB56" s="89"/>
      <c r="WJC56" s="5"/>
      <c r="WJD56" s="4"/>
      <c r="WJE56" s="279"/>
      <c r="WJF56" s="89"/>
      <c r="WJG56" s="5"/>
      <c r="WJH56" s="4"/>
      <c r="WJI56" s="279"/>
      <c r="WJJ56" s="89"/>
      <c r="WJK56" s="5"/>
      <c r="WJL56" s="4"/>
      <c r="WJM56" s="279"/>
      <c r="WJN56" s="89"/>
      <c r="WJO56" s="5"/>
      <c r="WJP56" s="4"/>
      <c r="WJQ56" s="279"/>
      <c r="WJR56" s="89"/>
      <c r="WJS56" s="5"/>
      <c r="WJT56" s="4"/>
      <c r="WJU56" s="279"/>
      <c r="WJV56" s="89"/>
      <c r="WJW56" s="5"/>
      <c r="WJX56" s="4"/>
      <c r="WJY56" s="279"/>
      <c r="WJZ56" s="89"/>
      <c r="WKA56" s="5"/>
      <c r="WKB56" s="4"/>
      <c r="WKC56" s="279"/>
      <c r="WKD56" s="89"/>
      <c r="WKE56" s="5"/>
      <c r="WKF56" s="4"/>
      <c r="WKG56" s="279"/>
      <c r="WKH56" s="89"/>
      <c r="WKI56" s="5"/>
      <c r="WKJ56" s="4"/>
      <c r="WKK56" s="279"/>
      <c r="WKL56" s="89"/>
      <c r="WKM56" s="5"/>
      <c r="WKN56" s="4"/>
      <c r="WKO56" s="279"/>
      <c r="WKP56" s="89"/>
      <c r="WKQ56" s="5"/>
      <c r="WKR56" s="4"/>
      <c r="WKS56" s="279"/>
      <c r="WKT56" s="89"/>
      <c r="WKU56" s="5"/>
      <c r="WKV56" s="4"/>
      <c r="WKW56" s="279"/>
      <c r="WKX56" s="89"/>
      <c r="WKY56" s="5"/>
      <c r="WKZ56" s="4"/>
      <c r="WLA56" s="279"/>
      <c r="WLB56" s="89"/>
      <c r="WLC56" s="5"/>
      <c r="WLD56" s="4"/>
      <c r="WLE56" s="279"/>
      <c r="WLF56" s="89"/>
      <c r="WLG56" s="5"/>
      <c r="WLH56" s="4"/>
      <c r="WLI56" s="279"/>
      <c r="WLJ56" s="89"/>
      <c r="WLK56" s="5"/>
      <c r="WLL56" s="4"/>
      <c r="WLM56" s="279"/>
      <c r="WLN56" s="89"/>
      <c r="WLO56" s="5"/>
      <c r="WLP56" s="4"/>
      <c r="WLQ56" s="279"/>
      <c r="WLR56" s="89"/>
      <c r="WLS56" s="5"/>
      <c r="WLT56" s="4"/>
      <c r="WLU56" s="279"/>
      <c r="WLV56" s="89"/>
      <c r="WLW56" s="5"/>
      <c r="WLX56" s="4"/>
      <c r="WLY56" s="279"/>
      <c r="WLZ56" s="89"/>
      <c r="WMA56" s="5"/>
      <c r="WMB56" s="4"/>
      <c r="WMC56" s="279"/>
      <c r="WMD56" s="89"/>
      <c r="WME56" s="5"/>
      <c r="WMF56" s="4"/>
      <c r="WMG56" s="279"/>
      <c r="WMH56" s="89"/>
      <c r="WMI56" s="5"/>
      <c r="WMJ56" s="4"/>
      <c r="WMK56" s="279"/>
      <c r="WML56" s="89"/>
      <c r="WMM56" s="5"/>
      <c r="WMN56" s="4"/>
      <c r="WMO56" s="279"/>
      <c r="WMP56" s="89"/>
      <c r="WMQ56" s="5"/>
      <c r="WMR56" s="4"/>
      <c r="WMS56" s="279"/>
      <c r="WMT56" s="89"/>
      <c r="WMU56" s="5"/>
      <c r="WMV56" s="4"/>
      <c r="WMW56" s="279"/>
      <c r="WMX56" s="89"/>
      <c r="WMY56" s="5"/>
      <c r="WMZ56" s="4"/>
      <c r="WNA56" s="279"/>
      <c r="WNB56" s="89"/>
      <c r="WNC56" s="5"/>
      <c r="WND56" s="4"/>
      <c r="WNE56" s="279"/>
      <c r="WNF56" s="89"/>
      <c r="WNG56" s="5"/>
      <c r="WNH56" s="4"/>
      <c r="WNI56" s="279"/>
      <c r="WNJ56" s="89"/>
      <c r="WNK56" s="5"/>
      <c r="WNL56" s="4"/>
      <c r="WNM56" s="279"/>
      <c r="WNN56" s="89"/>
      <c r="WNO56" s="5"/>
      <c r="WNP56" s="4"/>
      <c r="WNQ56" s="279"/>
      <c r="WNR56" s="89"/>
      <c r="WNS56" s="5"/>
      <c r="WNT56" s="4"/>
      <c r="WNU56" s="279"/>
      <c r="WNV56" s="89"/>
      <c r="WNW56" s="5"/>
      <c r="WNX56" s="4"/>
      <c r="WNY56" s="279"/>
      <c r="WNZ56" s="89"/>
      <c r="WOA56" s="5"/>
      <c r="WOB56" s="4"/>
      <c r="WOC56" s="279"/>
      <c r="WOD56" s="89"/>
      <c r="WOE56" s="5"/>
      <c r="WOF56" s="4"/>
      <c r="WOG56" s="279"/>
      <c r="WOH56" s="89"/>
      <c r="WOI56" s="5"/>
      <c r="WOJ56" s="4"/>
      <c r="WOK56" s="279"/>
      <c r="WOL56" s="89"/>
      <c r="WOM56" s="5"/>
      <c r="WON56" s="4"/>
      <c r="WOO56" s="279"/>
      <c r="WOP56" s="89"/>
      <c r="WOQ56" s="5"/>
      <c r="WOR56" s="4"/>
      <c r="WOS56" s="279"/>
      <c r="WOT56" s="89"/>
      <c r="WOU56" s="5"/>
      <c r="WOV56" s="4"/>
      <c r="WOW56" s="279"/>
      <c r="WOX56" s="89"/>
      <c r="WOY56" s="5"/>
      <c r="WOZ56" s="4"/>
      <c r="WPA56" s="279"/>
      <c r="WPB56" s="89"/>
      <c r="WPC56" s="5"/>
      <c r="WPD56" s="4"/>
      <c r="WPE56" s="279"/>
      <c r="WPF56" s="89"/>
      <c r="WPG56" s="5"/>
      <c r="WPH56" s="4"/>
      <c r="WPI56" s="279"/>
      <c r="WPJ56" s="89"/>
      <c r="WPK56" s="5"/>
      <c r="WPL56" s="4"/>
      <c r="WPM56" s="279"/>
      <c r="WPN56" s="89"/>
      <c r="WPO56" s="5"/>
      <c r="WPP56" s="4"/>
      <c r="WPQ56" s="279"/>
      <c r="WPR56" s="89"/>
      <c r="WPS56" s="5"/>
      <c r="WPT56" s="4"/>
      <c r="WPU56" s="279"/>
      <c r="WPV56" s="89"/>
      <c r="WPW56" s="5"/>
      <c r="WPX56" s="4"/>
      <c r="WPY56" s="279"/>
      <c r="WPZ56" s="89"/>
      <c r="WQA56" s="5"/>
      <c r="WQB56" s="4"/>
      <c r="WQC56" s="279"/>
      <c r="WQD56" s="89"/>
      <c r="WQE56" s="5"/>
      <c r="WQF56" s="4"/>
      <c r="WQG56" s="279"/>
      <c r="WQH56" s="89"/>
      <c r="WQI56" s="5"/>
      <c r="WQJ56" s="4"/>
      <c r="WQK56" s="279"/>
      <c r="WQL56" s="89"/>
      <c r="WQM56" s="5"/>
      <c r="WQN56" s="4"/>
      <c r="WQO56" s="279"/>
      <c r="WQP56" s="89"/>
      <c r="WQQ56" s="5"/>
      <c r="WQR56" s="4"/>
      <c r="WQS56" s="279"/>
      <c r="WQT56" s="89"/>
      <c r="WQU56" s="5"/>
      <c r="WQV56" s="4"/>
      <c r="WQW56" s="279"/>
      <c r="WQX56" s="89"/>
      <c r="WQY56" s="5"/>
      <c r="WQZ56" s="4"/>
      <c r="WRA56" s="279"/>
      <c r="WRB56" s="89"/>
      <c r="WRC56" s="5"/>
      <c r="WRD56" s="4"/>
      <c r="WRE56" s="279"/>
      <c r="WRF56" s="89"/>
      <c r="WRG56" s="5"/>
      <c r="WRH56" s="4"/>
      <c r="WRI56" s="279"/>
      <c r="WRJ56" s="89"/>
      <c r="WRK56" s="5"/>
      <c r="WRL56" s="4"/>
      <c r="WRM56" s="279"/>
      <c r="WRN56" s="89"/>
      <c r="WRO56" s="5"/>
      <c r="WRP56" s="4"/>
      <c r="WRQ56" s="279"/>
      <c r="WRR56" s="89"/>
      <c r="WRS56" s="5"/>
      <c r="WRT56" s="4"/>
      <c r="WRU56" s="279"/>
      <c r="WRV56" s="89"/>
      <c r="WRW56" s="5"/>
      <c r="WRX56" s="4"/>
      <c r="WRY56" s="279"/>
      <c r="WRZ56" s="89"/>
      <c r="WSA56" s="5"/>
      <c r="WSB56" s="4"/>
      <c r="WSC56" s="279"/>
      <c r="WSD56" s="89"/>
      <c r="WSE56" s="5"/>
      <c r="WSF56" s="4"/>
      <c r="WSG56" s="279"/>
      <c r="WSH56" s="89"/>
      <c r="WSI56" s="5"/>
      <c r="WSJ56" s="4"/>
      <c r="WSK56" s="279"/>
      <c r="WSL56" s="89"/>
      <c r="WSM56" s="5"/>
      <c r="WSN56" s="4"/>
      <c r="WSO56" s="279"/>
      <c r="WSP56" s="89"/>
      <c r="WSQ56" s="5"/>
      <c r="WSR56" s="4"/>
      <c r="WSS56" s="279"/>
      <c r="WST56" s="89"/>
      <c r="WSU56" s="5"/>
      <c r="WSV56" s="4"/>
      <c r="WSW56" s="279"/>
      <c r="WSX56" s="89"/>
      <c r="WSY56" s="5"/>
      <c r="WSZ56" s="4"/>
      <c r="WTA56" s="279"/>
      <c r="WTB56" s="89"/>
      <c r="WTC56" s="5"/>
      <c r="WTD56" s="4"/>
      <c r="WTE56" s="279"/>
      <c r="WTF56" s="89"/>
      <c r="WTG56" s="5"/>
      <c r="WTH56" s="4"/>
      <c r="WTI56" s="279"/>
      <c r="WTJ56" s="89"/>
      <c r="WTK56" s="5"/>
      <c r="WTL56" s="4"/>
      <c r="WTM56" s="279"/>
      <c r="WTN56" s="89"/>
      <c r="WTO56" s="5"/>
      <c r="WTP56" s="4"/>
      <c r="WTQ56" s="279"/>
      <c r="WTR56" s="89"/>
      <c r="WTS56" s="5"/>
      <c r="WTT56" s="4"/>
      <c r="WTU56" s="279"/>
      <c r="WTV56" s="89"/>
      <c r="WTW56" s="5"/>
      <c r="WTX56" s="4"/>
      <c r="WTY56" s="279"/>
      <c r="WTZ56" s="89"/>
      <c r="WUA56" s="5"/>
      <c r="WUB56" s="4"/>
      <c r="WUC56" s="279"/>
      <c r="WUD56" s="89"/>
      <c r="WUE56" s="5"/>
      <c r="WUF56" s="4"/>
      <c r="WUG56" s="279"/>
      <c r="WUH56" s="89"/>
      <c r="WUI56" s="5"/>
      <c r="WUJ56" s="4"/>
      <c r="WUK56" s="279"/>
      <c r="WUL56" s="89"/>
      <c r="WUM56" s="5"/>
      <c r="WUN56" s="4"/>
      <c r="WUO56" s="279"/>
      <c r="WUP56" s="89"/>
      <c r="WUQ56" s="5"/>
      <c r="WUR56" s="4"/>
      <c r="WUS56" s="279"/>
      <c r="WUT56" s="89"/>
      <c r="WUU56" s="5"/>
      <c r="WUV56" s="4"/>
      <c r="WUW56" s="279"/>
      <c r="WUX56" s="89"/>
      <c r="WUY56" s="5"/>
      <c r="WUZ56" s="4"/>
      <c r="WVA56" s="279"/>
      <c r="WVB56" s="89"/>
      <c r="WVC56" s="5"/>
      <c r="WVD56" s="4"/>
      <c r="WVE56" s="279"/>
      <c r="WVF56" s="89"/>
      <c r="WVG56" s="5"/>
      <c r="WVH56" s="4"/>
      <c r="WVI56" s="279"/>
      <c r="WVJ56" s="89"/>
      <c r="WVK56" s="5"/>
      <c r="WVL56" s="4"/>
      <c r="WVM56" s="279"/>
      <c r="WVN56" s="89"/>
      <c r="WVO56" s="5"/>
      <c r="WVP56" s="4"/>
      <c r="WVQ56" s="279"/>
      <c r="WVR56" s="89"/>
      <c r="WVS56" s="5"/>
      <c r="WVT56" s="4"/>
      <c r="WVU56" s="279"/>
      <c r="WVV56" s="89"/>
      <c r="WVW56" s="5"/>
      <c r="WVX56" s="4"/>
      <c r="WVY56" s="279"/>
      <c r="WVZ56" s="89"/>
      <c r="WWA56" s="5"/>
      <c r="WWB56" s="4"/>
      <c r="WWC56" s="279"/>
      <c r="WWD56" s="89"/>
      <c r="WWE56" s="5"/>
      <c r="WWF56" s="4"/>
      <c r="WWG56" s="279"/>
      <c r="WWH56" s="89"/>
      <c r="WWI56" s="5"/>
      <c r="WWJ56" s="4"/>
      <c r="WWK56" s="279"/>
      <c r="WWL56" s="89"/>
      <c r="WWM56" s="5"/>
      <c r="WWN56" s="4"/>
      <c r="WWO56" s="279"/>
      <c r="WWP56" s="89"/>
      <c r="WWQ56" s="5"/>
      <c r="WWR56" s="4"/>
      <c r="WWS56" s="279"/>
      <c r="WWT56" s="89"/>
      <c r="WWU56" s="5"/>
      <c r="WWV56" s="4"/>
      <c r="WWW56" s="279"/>
      <c r="WWX56" s="89"/>
      <c r="WWY56" s="5"/>
      <c r="WWZ56" s="4"/>
      <c r="WXA56" s="279"/>
      <c r="WXB56" s="89"/>
      <c r="WXC56" s="5"/>
      <c r="WXD56" s="4"/>
      <c r="WXE56" s="279"/>
      <c r="WXF56" s="89"/>
      <c r="WXG56" s="5"/>
      <c r="WXH56" s="4"/>
      <c r="WXI56" s="279"/>
      <c r="WXJ56" s="89"/>
      <c r="WXK56" s="5"/>
      <c r="WXL56" s="4"/>
      <c r="WXM56" s="279"/>
      <c r="WXN56" s="89"/>
      <c r="WXO56" s="5"/>
      <c r="WXP56" s="4"/>
      <c r="WXQ56" s="279"/>
      <c r="WXR56" s="89"/>
      <c r="WXS56" s="5"/>
      <c r="WXT56" s="4"/>
      <c r="WXU56" s="279"/>
      <c r="WXV56" s="89"/>
      <c r="WXW56" s="5"/>
      <c r="WXX56" s="4"/>
      <c r="WXY56" s="279"/>
      <c r="WXZ56" s="89"/>
      <c r="WYA56" s="5"/>
      <c r="WYB56" s="4"/>
      <c r="WYC56" s="279"/>
      <c r="WYD56" s="89"/>
      <c r="WYE56" s="5"/>
      <c r="WYF56" s="4"/>
      <c r="WYG56" s="279"/>
      <c r="WYH56" s="89"/>
      <c r="WYI56" s="5"/>
      <c r="WYJ56" s="4"/>
      <c r="WYK56" s="279"/>
      <c r="WYL56" s="89"/>
      <c r="WYM56" s="5"/>
      <c r="WYN56" s="4"/>
      <c r="WYO56" s="279"/>
      <c r="WYP56" s="89"/>
      <c r="WYQ56" s="5"/>
      <c r="WYR56" s="4"/>
      <c r="WYS56" s="279"/>
      <c r="WYT56" s="89"/>
      <c r="WYU56" s="5"/>
      <c r="WYV56" s="4"/>
      <c r="WYW56" s="279"/>
      <c r="WYX56" s="89"/>
      <c r="WYY56" s="5"/>
      <c r="WYZ56" s="4"/>
      <c r="WZA56" s="279"/>
      <c r="WZB56" s="89"/>
      <c r="WZC56" s="5"/>
      <c r="WZD56" s="4"/>
      <c r="WZE56" s="279"/>
      <c r="WZF56" s="89"/>
      <c r="WZG56" s="5"/>
      <c r="WZH56" s="4"/>
      <c r="WZI56" s="279"/>
      <c r="WZJ56" s="89"/>
      <c r="WZK56" s="5"/>
      <c r="WZL56" s="4"/>
      <c r="WZM56" s="279"/>
      <c r="WZN56" s="89"/>
      <c r="WZO56" s="5"/>
      <c r="WZP56" s="4"/>
      <c r="WZQ56" s="279"/>
      <c r="WZR56" s="89"/>
      <c r="WZS56" s="5"/>
      <c r="WZT56" s="4"/>
      <c r="WZU56" s="279"/>
      <c r="WZV56" s="89"/>
      <c r="WZW56" s="5"/>
      <c r="WZX56" s="4"/>
      <c r="WZY56" s="279"/>
      <c r="WZZ56" s="89"/>
      <c r="XAA56" s="5"/>
      <c r="XAB56" s="4"/>
      <c r="XAC56" s="279"/>
      <c r="XAD56" s="89"/>
      <c r="XAE56" s="5"/>
      <c r="XAF56" s="4"/>
      <c r="XAG56" s="279"/>
      <c r="XAH56" s="89"/>
      <c r="XAI56" s="5"/>
      <c r="XAJ56" s="4"/>
      <c r="XAK56" s="279"/>
      <c r="XAL56" s="89"/>
      <c r="XAM56" s="5"/>
      <c r="XAN56" s="4"/>
      <c r="XAO56" s="279"/>
      <c r="XAP56" s="89"/>
      <c r="XAQ56" s="5"/>
      <c r="XAR56" s="4"/>
      <c r="XAS56" s="279"/>
      <c r="XAT56" s="89"/>
      <c r="XAU56" s="5"/>
      <c r="XAV56" s="4"/>
      <c r="XAW56" s="279"/>
      <c r="XAX56" s="89"/>
      <c r="XAY56" s="5"/>
      <c r="XAZ56" s="4"/>
      <c r="XBA56" s="279"/>
      <c r="XBB56" s="89"/>
      <c r="XBC56" s="5"/>
      <c r="XBD56" s="4"/>
      <c r="XBE56" s="279"/>
      <c r="XBF56" s="89"/>
      <c r="XBG56" s="5"/>
      <c r="XBH56" s="4"/>
      <c r="XBI56" s="279"/>
      <c r="XBJ56" s="89"/>
      <c r="XBK56" s="5"/>
      <c r="XBL56" s="4"/>
      <c r="XBM56" s="279"/>
      <c r="XBN56" s="89"/>
      <c r="XBO56" s="5"/>
      <c r="XBP56" s="4"/>
      <c r="XBQ56" s="279"/>
      <c r="XBR56" s="89"/>
      <c r="XBS56" s="5"/>
      <c r="XBT56" s="4"/>
      <c r="XBU56" s="279"/>
      <c r="XBV56" s="89"/>
      <c r="XBW56" s="5"/>
      <c r="XBX56" s="4"/>
      <c r="XBY56" s="279"/>
      <c r="XBZ56" s="89"/>
      <c r="XCA56" s="5"/>
      <c r="XCB56" s="4"/>
      <c r="XCC56" s="279"/>
      <c r="XCD56" s="89"/>
      <c r="XCE56" s="5"/>
      <c r="XCF56" s="4"/>
      <c r="XCG56" s="279"/>
      <c r="XCH56" s="89"/>
      <c r="XCI56" s="5"/>
      <c r="XCJ56" s="4"/>
      <c r="XCK56" s="279"/>
      <c r="XCL56" s="89"/>
      <c r="XCM56" s="5"/>
      <c r="XCN56" s="4"/>
      <c r="XCO56" s="279"/>
      <c r="XCP56" s="89"/>
      <c r="XCQ56" s="5"/>
      <c r="XCR56" s="4"/>
      <c r="XCS56" s="279"/>
      <c r="XCT56" s="89"/>
      <c r="XCU56" s="5"/>
      <c r="XCV56" s="4"/>
      <c r="XCW56" s="279"/>
      <c r="XCX56" s="89"/>
      <c r="XCY56" s="5"/>
      <c r="XCZ56" s="4"/>
      <c r="XDA56" s="279"/>
      <c r="XDB56" s="89"/>
      <c r="XDC56" s="5"/>
      <c r="XDD56" s="4"/>
      <c r="XDE56" s="279"/>
      <c r="XDF56" s="89"/>
      <c r="XDG56" s="5"/>
      <c r="XDH56" s="4"/>
      <c r="XDI56" s="279"/>
      <c r="XDJ56" s="89"/>
      <c r="XDK56" s="5"/>
      <c r="XDL56" s="4"/>
      <c r="XDM56" s="279"/>
      <c r="XDN56" s="89"/>
      <c r="XDO56" s="5"/>
      <c r="XDP56" s="4"/>
      <c r="XDQ56" s="279"/>
      <c r="XDR56" s="89"/>
      <c r="XDS56" s="5"/>
      <c r="XDT56" s="4"/>
      <c r="XDU56" s="279"/>
      <c r="XDV56" s="89"/>
      <c r="XDW56" s="5"/>
      <c r="XDX56" s="4"/>
      <c r="XDY56" s="279"/>
      <c r="XDZ56" s="89"/>
      <c r="XEA56" s="5"/>
      <c r="XEB56" s="4"/>
      <c r="XEC56" s="279"/>
      <c r="XED56" s="89"/>
      <c r="XEE56" s="5"/>
      <c r="XEF56" s="4"/>
      <c r="XEG56" s="279"/>
      <c r="XEH56" s="89"/>
      <c r="XEI56" s="5"/>
      <c r="XEJ56" s="4"/>
      <c r="XEK56" s="279"/>
      <c r="XEL56" s="89"/>
      <c r="XEM56" s="5"/>
      <c r="XEN56" s="4"/>
      <c r="XEO56" s="279"/>
      <c r="XEP56" s="89"/>
      <c r="XEQ56" s="5"/>
      <c r="XER56" s="4"/>
      <c r="XES56" s="279"/>
      <c r="XET56" s="89"/>
      <c r="XEU56" s="5"/>
      <c r="XEV56" s="4"/>
      <c r="XEW56" s="279"/>
      <c r="XEX56" s="89"/>
      <c r="XEY56" s="5"/>
      <c r="XEZ56" s="4"/>
      <c r="XFA56" s="279"/>
      <c r="XFB56" s="89"/>
      <c r="XFC56" s="5"/>
      <c r="XFD56" s="4"/>
    </row>
    <row r="57" spans="1:16384" ht="15" customHeight="1" x14ac:dyDescent="0.35">
      <c r="A57" s="291"/>
      <c r="B57" s="1553" t="s">
        <v>37</v>
      </c>
      <c r="C57" s="1554" t="s">
        <v>18</v>
      </c>
      <c r="D57" s="1009"/>
    </row>
    <row r="58" spans="1:16384" ht="15" customHeight="1" x14ac:dyDescent="0.35">
      <c r="A58" s="291"/>
      <c r="B58" s="1378" t="s">
        <v>19</v>
      </c>
      <c r="C58" s="118" t="s">
        <v>18</v>
      </c>
      <c r="D58" s="1369"/>
    </row>
    <row r="59" spans="1:16384" ht="15" customHeight="1" x14ac:dyDescent="0.35">
      <c r="A59" s="1754"/>
      <c r="B59" s="278"/>
      <c r="C59" s="278"/>
      <c r="D59" s="278"/>
      <c r="E59" s="875"/>
    </row>
  </sheetData>
  <sheetProtection password="C2BA" sheet="1" objects="1" scenarios="1"/>
  <dataValidations count="4">
    <dataValidation type="list" allowBlank="1" showInputMessage="1" showErrorMessage="1" sqref="C12">
      <formula1>BankTypeNumeric</formula1>
    </dataValidation>
    <dataValidation type="list" showInputMessage="1" showErrorMessage="1" sqref="C10">
      <formula1>BankType</formula1>
    </dataValidation>
    <dataValidation type="list" allowBlank="1" showInputMessage="1" showErrorMessage="1" sqref="C11">
      <formula1>Group</formula1>
    </dataValidation>
    <dataValidation type="list" showInputMessage="1" showErrorMessage="1" sqref="C7:C9 C19:C58">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EC72"/>
  </sheetPr>
  <dimension ref="A1:P13"/>
  <sheetViews>
    <sheetView zoomScale="60" zoomScaleNormal="60" workbookViewId="0">
      <pane ySplit="1" topLeftCell="A2" activePane="bottomLeft" state="frozen"/>
      <selection activeCell="P35" sqref="P35"/>
      <selection pane="bottomLeft" activeCell="K10" sqref="K10"/>
    </sheetView>
  </sheetViews>
  <sheetFormatPr defaultColWidth="0" defaultRowHeight="14.25" customHeight="1" zeroHeight="1" x14ac:dyDescent="0.35"/>
  <cols>
    <col min="1" max="1" width="1.6640625" style="98" customWidth="1"/>
    <col min="2" max="2" width="30.6640625" customWidth="1"/>
    <col min="3" max="9" width="18.6640625" customWidth="1"/>
    <col min="10" max="10" width="30.6640625" customWidth="1"/>
    <col min="11" max="11" width="60.6640625" customWidth="1"/>
    <col min="12" max="15" width="18.6640625" customWidth="1"/>
    <col min="16" max="16" width="1.6640625" style="98" customWidth="1"/>
    <col min="17" max="16384" width="16.88671875" hidden="1"/>
  </cols>
  <sheetData>
    <row r="1" spans="1:16" ht="30.75" customHeight="1" x14ac:dyDescent="0.65">
      <c r="A1" s="913" t="s">
        <v>567</v>
      </c>
      <c r="B1" s="1000"/>
      <c r="C1" s="739"/>
      <c r="D1" s="1000"/>
      <c r="E1" s="739" t="str">
        <f>CONCATENATE("Reporting unit: ", 'General Info'!$C$7, " ", 'General Info'!$C$5)</f>
        <v>Reporting unit: 1000 eur</v>
      </c>
      <c r="F1" s="1000"/>
      <c r="G1" s="1000"/>
      <c r="H1" s="1000"/>
      <c r="I1" s="1000"/>
      <c r="J1" s="1000"/>
      <c r="K1" s="1000"/>
      <c r="L1" s="741"/>
      <c r="M1" s="741"/>
      <c r="N1" s="741"/>
      <c r="O1" s="741"/>
      <c r="P1" s="537"/>
    </row>
    <row r="2" spans="1:16" ht="50.25" customHeight="1" x14ac:dyDescent="0.35">
      <c r="A2" s="260" t="s">
        <v>568</v>
      </c>
      <c r="B2" s="85"/>
      <c r="C2" s="85"/>
      <c r="D2" s="85"/>
      <c r="E2" s="85"/>
      <c r="F2" s="85"/>
      <c r="G2" s="85"/>
      <c r="H2" s="85"/>
      <c r="I2" s="98"/>
      <c r="J2" s="741"/>
      <c r="K2" s="846"/>
      <c r="L2" s="741"/>
      <c r="M2" s="741"/>
      <c r="N2" s="741"/>
      <c r="O2" s="741"/>
      <c r="P2" s="537"/>
    </row>
    <row r="3" spans="1:16" ht="45" customHeight="1" x14ac:dyDescent="0.45">
      <c r="A3" s="280" t="s">
        <v>569</v>
      </c>
      <c r="B3" s="38"/>
      <c r="C3" s="38"/>
      <c r="D3" s="39"/>
      <c r="E3" s="40"/>
      <c r="F3" s="2"/>
      <c r="G3" s="2"/>
      <c r="H3" s="2"/>
      <c r="I3" s="2"/>
      <c r="J3" s="2"/>
      <c r="K3" s="2"/>
      <c r="L3" s="2"/>
      <c r="M3" s="2"/>
      <c r="N3" s="2"/>
      <c r="O3" s="2"/>
      <c r="P3" s="315"/>
    </row>
    <row r="4" spans="1:16" ht="75" customHeight="1" x14ac:dyDescent="0.35">
      <c r="A4" s="576"/>
      <c r="B4" s="921"/>
      <c r="C4" s="760" t="s">
        <v>570</v>
      </c>
      <c r="D4" s="1309" t="s">
        <v>571</v>
      </c>
      <c r="E4" s="765" t="s">
        <v>572</v>
      </c>
      <c r="F4" s="765" t="s">
        <v>573</v>
      </c>
      <c r="G4" s="765" t="s">
        <v>574</v>
      </c>
      <c r="H4" s="765" t="s">
        <v>575</v>
      </c>
      <c r="I4" s="1801" t="s">
        <v>576</v>
      </c>
      <c r="J4" s="1801" t="s">
        <v>577</v>
      </c>
      <c r="K4" s="765" t="s">
        <v>578</v>
      </c>
      <c r="L4" s="917" t="s">
        <v>579</v>
      </c>
      <c r="M4" s="917" t="s">
        <v>580</v>
      </c>
      <c r="N4" s="917" t="s">
        <v>581</v>
      </c>
      <c r="O4" s="917" t="s">
        <v>582</v>
      </c>
      <c r="P4" s="315"/>
    </row>
    <row r="5" spans="1:16" ht="30" customHeight="1" x14ac:dyDescent="0.35">
      <c r="A5" s="259"/>
      <c r="B5" s="1321" t="s">
        <v>583</v>
      </c>
      <c r="C5" s="935">
        <v>3871</v>
      </c>
      <c r="D5" s="935">
        <v>2027</v>
      </c>
      <c r="E5" s="41">
        <v>11432</v>
      </c>
      <c r="F5" s="41">
        <v>0</v>
      </c>
      <c r="G5" s="116">
        <v>0</v>
      </c>
      <c r="H5" s="116">
        <v>5390</v>
      </c>
      <c r="I5" s="961" t="s">
        <v>7</v>
      </c>
      <c r="J5" s="961" t="s">
        <v>7</v>
      </c>
      <c r="K5" s="1320" t="s">
        <v>3563</v>
      </c>
      <c r="L5" s="352" t="str">
        <f>IF(AND(ISNUMBER(C5), ISNUMBER($E5), ISNUMBER($F5)), IF(OR(C5&gt;$E5, C5&lt;$F5), "Fail", "Pass"), "")</f>
        <v>Pass</v>
      </c>
      <c r="M5" s="352" t="str">
        <f t="shared" ref="M5:M7" si="0">IF(AND(ISNUMBER(D5), ISNUMBER($E5), ISNUMBER($F5)), IF(OR(D5&gt;$E5, D5&lt;$F5), "Fail", "Pass"), "")</f>
        <v>Pass</v>
      </c>
      <c r="N5" s="356" t="str">
        <f>IF(AND(ISNUMBER(G5), ISNUMBER($E5), ISNUMBER($F5)), IF(OR(G5&gt;$E5, G5&lt;$F5), "Fail", "Pass"), "")</f>
        <v>Pass</v>
      </c>
      <c r="O5" s="525" t="str">
        <f>IF(AND(ISNUMBER(G5), 'Leverage ratio'!H12+'Leverage ratio'!H13&gt;0), IF(ABS(G5-('Leverage ratio'!H12+'Leverage ratio'!H13)&gt;0)/('Leverage ratio'!H12+'Leverage ratio'!H13)&gt; 0.5, "please check", "Pass"), "")</f>
        <v/>
      </c>
      <c r="P5" s="315"/>
    </row>
    <row r="6" spans="1:16" ht="30" customHeight="1" x14ac:dyDescent="0.35">
      <c r="A6" s="259"/>
      <c r="B6" s="1321" t="s">
        <v>584</v>
      </c>
      <c r="C6" s="935">
        <v>39994</v>
      </c>
      <c r="D6" s="935">
        <v>38401</v>
      </c>
      <c r="E6" s="41">
        <v>64509</v>
      </c>
      <c r="F6" s="41">
        <v>18665</v>
      </c>
      <c r="G6" s="116">
        <v>64509</v>
      </c>
      <c r="H6" s="116">
        <v>19422</v>
      </c>
      <c r="I6" s="961" t="s">
        <v>7</v>
      </c>
      <c r="J6" s="961" t="s">
        <v>7</v>
      </c>
      <c r="K6" s="1310" t="s">
        <v>3564</v>
      </c>
      <c r="L6" s="352" t="str">
        <f>IF(AND(ISNUMBER(C6), ISNUMBER($E6), ISNUMBER($F6)), IF(OR(C6&gt;$E6, C6&lt;$F6), "Fail", "Pass"), "")</f>
        <v>Pass</v>
      </c>
      <c r="M6" s="352" t="str">
        <f t="shared" si="0"/>
        <v>Pass</v>
      </c>
      <c r="N6" s="356" t="str">
        <f>IF(AND(ISNUMBER(G6), ISNUMBER($E6), ISNUMBER($F6)), IF(OR(G6&gt;$E6, G6&lt;$F6), "Fail", "Pass"), "")</f>
        <v>Pass</v>
      </c>
      <c r="O6" s="356" t="str">
        <f>IF(AND(ISNUMBER(G6), 'Leverage ratio'!K9 &gt; 0, 'Leverage ratio'!L9 &gt; 0), IF(OR(ABS(G6-'Leverage ratio'!K9)/'Leverage ratio'!K9 &gt; 0.2, ABS(G6-'Leverage ratio'!L9)/'Leverage ratio'!L9 &gt; 0.2), "please check", "Pass"), "")</f>
        <v>Pass</v>
      </c>
      <c r="P6" s="315"/>
    </row>
    <row r="7" spans="1:16" ht="30" customHeight="1" x14ac:dyDescent="0.35">
      <c r="A7" s="259"/>
      <c r="B7" s="1322" t="s">
        <v>585</v>
      </c>
      <c r="C7" s="936">
        <v>3581147</v>
      </c>
      <c r="D7" s="936">
        <v>2853532</v>
      </c>
      <c r="E7" s="937">
        <v>8336830</v>
      </c>
      <c r="F7" s="937">
        <v>280694</v>
      </c>
      <c r="G7" s="1319">
        <v>280694</v>
      </c>
      <c r="H7" s="1319">
        <v>3948857</v>
      </c>
      <c r="I7" s="960" t="s">
        <v>7</v>
      </c>
      <c r="J7" s="960" t="s">
        <v>7</v>
      </c>
      <c r="K7" s="1311" t="s">
        <v>3564</v>
      </c>
      <c r="L7" s="354" t="str">
        <f>IF(AND(ISNUMBER(C7), ISNUMBER($E7), ISNUMBER($F7)), IF(OR(C7&gt;$E7, C7&lt;$F7), "Fail", "Pass"), "")</f>
        <v>Pass</v>
      </c>
      <c r="M7" s="354" t="str">
        <f t="shared" si="0"/>
        <v>Pass</v>
      </c>
      <c r="N7" s="353" t="str">
        <f>IF(AND(ISNUMBER(G7), ISNUMBER($E7), ISNUMBER($F7)), IF(OR(G7&gt;$E7, G7&lt;$F7), "Fail", "Pass"), "")</f>
        <v>Pass</v>
      </c>
      <c r="O7" s="353" t="str">
        <f>IF(AND(ISNUMBER(G7), 'Leverage ratio'!I25 &gt; 0), IF(ABS(G7-'Leverage ratio'!I25)/'Leverage ratio'!I25 &gt; 0.2, "please check", "Pass"), "")</f>
        <v>Pass</v>
      </c>
      <c r="P7" s="315"/>
    </row>
    <row r="8" spans="1:16" ht="45" customHeight="1" x14ac:dyDescent="0.45">
      <c r="A8" s="280" t="str">
        <f>"2. Based on daily data (row " &amp; ROW(B10) &amp; " mandatory for all banks, rows " &amp; ROW(B11) &amp; " and " &amp; ROW(B12) &amp; " mandatory for G-SIBs)"</f>
        <v>2. Based on daily data (row 10 mandatory for all banks, rows 11 and 12 mandatory for G-SIBs)</v>
      </c>
      <c r="B8" s="38"/>
      <c r="C8" s="38"/>
      <c r="D8" s="39"/>
      <c r="E8" s="40"/>
      <c r="F8" s="2"/>
      <c r="G8" s="2"/>
      <c r="H8" s="2"/>
      <c r="I8" s="2"/>
      <c r="J8" s="2"/>
      <c r="K8" s="2"/>
      <c r="L8" s="2"/>
      <c r="M8" s="2"/>
      <c r="N8" s="2"/>
      <c r="O8" s="2"/>
      <c r="P8" s="315"/>
    </row>
    <row r="9" spans="1:16" ht="75" customHeight="1" x14ac:dyDescent="0.35">
      <c r="A9" s="576"/>
      <c r="B9" s="921"/>
      <c r="C9" s="760" t="s">
        <v>570</v>
      </c>
      <c r="D9" s="1309" t="s">
        <v>571</v>
      </c>
      <c r="E9" s="765" t="s">
        <v>572</v>
      </c>
      <c r="F9" s="765" t="s">
        <v>573</v>
      </c>
      <c r="G9" s="765" t="s">
        <v>574</v>
      </c>
      <c r="H9" s="765" t="s">
        <v>575</v>
      </c>
      <c r="I9" s="1801" t="s">
        <v>576</v>
      </c>
      <c r="J9" s="1802"/>
      <c r="K9" s="765" t="s">
        <v>586</v>
      </c>
      <c r="L9" s="917" t="s">
        <v>579</v>
      </c>
      <c r="M9" s="917" t="s">
        <v>580</v>
      </c>
      <c r="N9" s="917" t="s">
        <v>587</v>
      </c>
      <c r="O9" s="917" t="s">
        <v>588</v>
      </c>
      <c r="P9" s="315"/>
    </row>
    <row r="10" spans="1:16" ht="30" customHeight="1" x14ac:dyDescent="0.35">
      <c r="A10" s="259"/>
      <c r="B10" s="1321" t="s">
        <v>583</v>
      </c>
      <c r="C10" s="935">
        <v>3871</v>
      </c>
      <c r="D10" s="41">
        <v>2027</v>
      </c>
      <c r="E10" s="41">
        <v>11432</v>
      </c>
      <c r="F10" s="41">
        <v>0</v>
      </c>
      <c r="G10" s="924">
        <f>IF(ISNUMBER(G5), G5, "")</f>
        <v>0</v>
      </c>
      <c r="H10" s="41">
        <v>5390</v>
      </c>
      <c r="I10" s="961" t="s">
        <v>7</v>
      </c>
      <c r="J10" s="384"/>
      <c r="K10" s="1320" t="s">
        <v>3563</v>
      </c>
      <c r="L10" s="352" t="str">
        <f>IF(AND(ISNUMBER(C10), ISNUMBER($E10), ISNUMBER($F10)), IF(OR(C10&gt;$E10, C10&lt;$F10), "Fail", "Pass"), "")</f>
        <v>Pass</v>
      </c>
      <c r="M10" s="352" t="str">
        <f t="shared" ref="M10:M12" si="1">IF(AND(ISNUMBER(D10), ISNUMBER($E10), ISNUMBER($F10)), IF(OR(D10&gt;$E10, D10&lt;$F10), "Fail", "Pass"), "")</f>
        <v>Pass</v>
      </c>
      <c r="N10" s="352" t="str">
        <f>IF(AND(ISNUMBER(E5), ISNUMBER(E10)), IF(E10&lt;E5, "Fail", "Pass"), "")</f>
        <v>Pass</v>
      </c>
      <c r="O10" s="356" t="str">
        <f>IF(AND(ISNUMBER(F5), ISNUMBER(F10)), IF(F10&gt;F5, "Fail", "Pass"), "")</f>
        <v>Pass</v>
      </c>
      <c r="P10" s="315"/>
    </row>
    <row r="11" spans="1:16" ht="30" customHeight="1" x14ac:dyDescent="0.35">
      <c r="A11" s="259"/>
      <c r="B11" s="1321" t="s">
        <v>584</v>
      </c>
      <c r="C11" s="1323"/>
      <c r="D11" s="42"/>
      <c r="E11" s="42"/>
      <c r="F11" s="42"/>
      <c r="G11" s="924">
        <f>IF(ISNUMBER(G6), G6, "")</f>
        <v>64509</v>
      </c>
      <c r="H11" s="42"/>
      <c r="I11" s="605"/>
      <c r="J11" s="384"/>
      <c r="K11" s="1556"/>
      <c r="L11" s="352" t="str">
        <f>IF(AND(ISNUMBER(C11), ISNUMBER($E11), ISNUMBER($F11)), IF(OR(C11&gt;$E11, C11&lt;$F11), "Fail", "Pass"), "")</f>
        <v/>
      </c>
      <c r="M11" s="352" t="str">
        <f t="shared" si="1"/>
        <v/>
      </c>
      <c r="N11" s="352" t="str">
        <f>IF(AND(ISNUMBER(E6), ISNUMBER(E11)), IF(E11&lt;E6, "Fail", "Pass"), "")</f>
        <v/>
      </c>
      <c r="O11" s="356" t="str">
        <f>IF(AND(ISNUMBER(F6), ISNUMBER(F11)), IF(F11&gt;F6, "Fail", "Pass"), "")</f>
        <v/>
      </c>
      <c r="P11" s="315"/>
    </row>
    <row r="12" spans="1:16" ht="30" customHeight="1" x14ac:dyDescent="0.35">
      <c r="A12" s="259"/>
      <c r="B12" s="1322" t="s">
        <v>585</v>
      </c>
      <c r="C12" s="1327"/>
      <c r="D12" s="1326"/>
      <c r="E12" s="1326"/>
      <c r="F12" s="1326"/>
      <c r="G12" s="1325">
        <f>IF(ISNUMBER(G7), G7, "")</f>
        <v>280694</v>
      </c>
      <c r="H12" s="1326"/>
      <c r="I12" s="1345"/>
      <c r="J12" s="1324"/>
      <c r="K12" s="1557"/>
      <c r="L12" s="354" t="str">
        <f>IF(AND(ISNUMBER(C12), ISNUMBER($E12), ISNUMBER($F12)), IF(OR(C12&gt;$E12, C12&lt;$F12), "Fail", "Pass"), "")</f>
        <v/>
      </c>
      <c r="M12" s="354" t="str">
        <f t="shared" si="1"/>
        <v/>
      </c>
      <c r="N12" s="354" t="str">
        <f>IF(AND(ISNUMBER(E7), ISNUMBER(E12)), IF(E12&lt;E7, "Fail", "Pass"), "")</f>
        <v/>
      </c>
      <c r="O12" s="353" t="str">
        <f>IF(AND(ISNUMBER(F7), ISNUMBER(F12)), IF(F12&gt;F7, "Fail", "Pass"), "")</f>
        <v/>
      </c>
      <c r="P12" s="315"/>
    </row>
    <row r="13" spans="1:16" ht="15" customHeight="1" x14ac:dyDescent="0.35">
      <c r="A13" s="729"/>
      <c r="B13" s="278"/>
      <c r="C13" s="278"/>
      <c r="D13" s="278"/>
      <c r="E13" s="278"/>
      <c r="F13" s="278"/>
      <c r="G13" s="278"/>
      <c r="H13" s="278"/>
      <c r="I13" s="278"/>
      <c r="J13" s="278"/>
      <c r="K13" s="278"/>
      <c r="L13" s="275"/>
      <c r="M13" s="275"/>
      <c r="N13" s="275"/>
      <c r="O13" s="275"/>
      <c r="P13" s="567"/>
    </row>
  </sheetData>
  <sheetProtection algorithmName="SHA-512" hashValue="2ynb1b9ZgsakJAVwuH6zPRKWL9dqlb19OFLAUhhuwlzZXoLyeoaUj/l6d0OcwjVIxdQw6cyS9yxSy2bXg+v1zQ==" saltValue="gQYhoWn07cYKaHbajfqAlg==" spinCount="100000" sheet="1" objects="1" scenarios="1"/>
  <conditionalFormatting sqref="A1:P1048576">
    <cfRule type="cellIs" dxfId="10084" priority="2" stopIfTrue="1" operator="equal">
      <formula>"Please check"</formula>
    </cfRule>
    <cfRule type="cellIs" dxfId="10083" priority="5" stopIfTrue="1" operator="equal">
      <formula>"Pass"</formula>
    </cfRule>
    <cfRule type="cellIs" dxfId="10082" priority="6" stopIfTrue="1" operator="equal">
      <formula>"Fail"</formula>
    </cfRule>
  </conditionalFormatting>
  <dataValidations count="1">
    <dataValidation type="list" allowBlank="1" showInputMessage="1" showErrorMessage="1" sqref="I10:I12 I5:J7">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9" max="1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EC72"/>
  </sheetPr>
  <dimension ref="A1:S316"/>
  <sheetViews>
    <sheetView zoomScale="75" zoomScaleNormal="75" workbookViewId="0">
      <pane ySplit="1" topLeftCell="A2" activePane="bottomLeft" state="frozen"/>
      <selection activeCell="P35" sqref="P35"/>
      <selection pane="bottomLeft"/>
    </sheetView>
  </sheetViews>
  <sheetFormatPr defaultColWidth="0" defaultRowHeight="0" customHeight="1" zeroHeight="1" x14ac:dyDescent="0.35"/>
  <cols>
    <col min="1" max="1" width="1.6640625" style="695" customWidth="1"/>
    <col min="2" max="2" width="72.6640625" style="98" customWidth="1"/>
    <col min="3" max="3" width="18.6640625" style="98" customWidth="1"/>
    <col min="4" max="4" width="18.6640625" style="98" hidden="1" customWidth="1"/>
    <col min="5" max="8" width="17.6640625" style="98" customWidth="1"/>
    <col min="9" max="10" width="17.6640625" style="98" hidden="1" customWidth="1"/>
    <col min="11" max="17" width="17.6640625" style="98" customWidth="1"/>
    <col min="18" max="18" width="1.6640625" style="126" customWidth="1"/>
    <col min="19" max="19" width="0" style="98" hidden="1" customWidth="1"/>
    <col min="20" max="16384" width="16.88671875" hidden="1"/>
  </cols>
  <sheetData>
    <row r="1" spans="1:19" ht="30" customHeight="1" x14ac:dyDescent="0.65">
      <c r="A1" s="734" t="s">
        <v>589</v>
      </c>
      <c r="B1" s="914"/>
      <c r="C1" s="739" t="str">
        <f>CONCATENATE("Reporting unit: ", 'General Info'!$C$7, " ", 'General Info'!$C$5)</f>
        <v>Reporting unit: 1000 eur</v>
      </c>
      <c r="D1" s="1179"/>
      <c r="E1" s="927"/>
      <c r="F1" s="927"/>
      <c r="G1" s="927"/>
      <c r="H1" s="927"/>
      <c r="I1" s="927"/>
      <c r="J1" s="926"/>
      <c r="K1" s="926"/>
      <c r="L1" s="925"/>
      <c r="M1" s="926"/>
      <c r="N1" s="926"/>
      <c r="O1" s="925"/>
      <c r="P1" s="925"/>
      <c r="Q1" s="926"/>
      <c r="R1" s="735"/>
      <c r="S1" s="741"/>
    </row>
    <row r="2" spans="1:19" ht="30" customHeight="1" x14ac:dyDescent="0.45">
      <c r="A2" s="727" t="s">
        <v>590</v>
      </c>
      <c r="B2" s="925"/>
      <c r="C2" s="925"/>
      <c r="D2" s="925"/>
      <c r="E2" s="925"/>
      <c r="F2" s="925"/>
      <c r="G2" s="925"/>
      <c r="H2" s="925"/>
      <c r="I2" s="925"/>
      <c r="J2" s="925"/>
      <c r="K2" s="925"/>
      <c r="L2" s="925"/>
      <c r="M2" s="925"/>
      <c r="N2" s="925"/>
      <c r="O2" s="925"/>
      <c r="P2" s="925"/>
      <c r="Q2" s="925"/>
      <c r="R2" s="728"/>
    </row>
    <row r="3" spans="1:19" ht="15" customHeight="1" x14ac:dyDescent="0.35">
      <c r="A3" s="259"/>
      <c r="B3" s="2"/>
      <c r="C3" s="2"/>
      <c r="D3" s="2"/>
      <c r="E3" s="2"/>
      <c r="F3" s="2"/>
      <c r="G3" s="2"/>
      <c r="H3" s="2"/>
      <c r="I3" s="2"/>
      <c r="J3" s="2"/>
      <c r="K3" s="2"/>
      <c r="L3" s="2"/>
      <c r="M3" s="2"/>
      <c r="N3" s="2"/>
      <c r="O3" s="2"/>
      <c r="P3" s="2"/>
      <c r="Q3" s="2"/>
      <c r="R3" s="279"/>
    </row>
    <row r="4" spans="1:19" ht="15" customHeight="1" x14ac:dyDescent="0.35">
      <c r="A4" s="259"/>
      <c r="B4" s="925"/>
      <c r="C4" s="2663" t="s">
        <v>591</v>
      </c>
      <c r="D4" s="541"/>
      <c r="E4" s="2658" t="s">
        <v>592</v>
      </c>
      <c r="F4" s="2658"/>
      <c r="G4" s="2658"/>
      <c r="H4" s="2659"/>
      <c r="I4" s="1629"/>
      <c r="J4" s="1630"/>
      <c r="K4" s="2656" t="s">
        <v>593</v>
      </c>
      <c r="L4" s="2656"/>
      <c r="M4" s="2656"/>
      <c r="N4" s="2657"/>
      <c r="O4" s="2655" t="s">
        <v>594</v>
      </c>
      <c r="P4" s="2656"/>
      <c r="Q4" s="2656"/>
      <c r="R4" s="279"/>
    </row>
    <row r="5" spans="1:19" ht="30" customHeight="1" x14ac:dyDescent="0.35">
      <c r="A5" s="259"/>
      <c r="B5" s="388"/>
      <c r="C5" s="2664"/>
      <c r="D5" s="1662"/>
      <c r="E5" s="1620" t="s">
        <v>595</v>
      </c>
      <c r="F5" s="1620" t="s">
        <v>596</v>
      </c>
      <c r="G5" s="1620" t="s">
        <v>597</v>
      </c>
      <c r="H5" s="1663" t="s">
        <v>59</v>
      </c>
      <c r="I5" s="1629"/>
      <c r="J5" s="1630"/>
      <c r="K5" s="1641" t="s">
        <v>595</v>
      </c>
      <c r="L5" s="928" t="s">
        <v>596</v>
      </c>
      <c r="M5" s="928" t="s">
        <v>598</v>
      </c>
      <c r="N5" s="1642" t="s">
        <v>599</v>
      </c>
      <c r="O5" s="1641" t="s">
        <v>595</v>
      </c>
      <c r="P5" s="928" t="s">
        <v>596</v>
      </c>
      <c r="Q5" s="923" t="s">
        <v>598</v>
      </c>
      <c r="R5" s="279"/>
    </row>
    <row r="6" spans="1:19" ht="30" customHeight="1" x14ac:dyDescent="0.35">
      <c r="A6" s="259"/>
      <c r="B6" s="1670" t="s">
        <v>600</v>
      </c>
      <c r="C6" s="469"/>
      <c r="D6" s="471"/>
      <c r="E6" s="470"/>
      <c r="F6" s="470"/>
      <c r="G6" s="470"/>
      <c r="H6" s="1066" t="str">
        <f>IF(AND(ISNUMBER(H7), ISNUMBER(H9)), H7+H9, "")</f>
        <v/>
      </c>
      <c r="I6" s="1631"/>
      <c r="J6" s="1632"/>
      <c r="K6" s="1639"/>
      <c r="L6" s="470"/>
      <c r="M6" s="470"/>
      <c r="N6" s="1066" t="str">
        <f>IF(AND(ISNUMBER(N7), ISNUMBER(N9)), N7+N9, "")</f>
        <v/>
      </c>
      <c r="O6" s="1639"/>
      <c r="P6" s="470"/>
      <c r="Q6" s="471"/>
      <c r="R6" s="279"/>
    </row>
    <row r="7" spans="1:19" ht="45" customHeight="1" x14ac:dyDescent="0.35">
      <c r="A7" s="259"/>
      <c r="B7" s="1660" t="s">
        <v>601</v>
      </c>
      <c r="C7" s="1668" t="s">
        <v>602</v>
      </c>
      <c r="D7" s="1665"/>
      <c r="E7" s="1"/>
      <c r="F7" s="1"/>
      <c r="G7" s="41"/>
      <c r="H7" s="1666" t="str">
        <f>IF(AND(ISNUMBER(E7), ISNUMBER(F7), ISNUMBER(G7)), SUM(E7:G7), "")</f>
        <v/>
      </c>
      <c r="I7" s="1637"/>
      <c r="J7" s="1638"/>
      <c r="K7" s="30" t="str">
        <f>IF(AND(ISNUMBER(E7),ISNUMBER(O7)),SUM(E7)*O7,"")</f>
        <v/>
      </c>
      <c r="L7" s="30" t="str">
        <f>IF(AND(ISNUMBER(F7),ISNUMBER(P7)),SUM(F7)*P7,"")</f>
        <v/>
      </c>
      <c r="M7" s="30" t="str">
        <f>IF(AND(ISNUMBER(G7),ISNUMBER(Q7)),SUM(G7)*Q7,"")</f>
        <v/>
      </c>
      <c r="N7" s="1065" t="str">
        <f>IF(ISNUMBER(M7),SUM(M7),"")</f>
        <v/>
      </c>
      <c r="O7" s="1627">
        <v>0</v>
      </c>
      <c r="P7" s="44">
        <v>0</v>
      </c>
      <c r="Q7" s="43">
        <v>1</v>
      </c>
      <c r="R7" s="279"/>
    </row>
    <row r="8" spans="1:19" ht="15" customHeight="1" x14ac:dyDescent="0.35">
      <c r="A8" s="259"/>
      <c r="B8" s="49" t="str">
        <f>CONCATENATE("Check: row ", ROW(B7), " ≤ ", ADDRESS(ROW('General Info'!E60), COLUMN('General Info'!E60), 4), " + ", ADDRESS(ROW('General Info'!E63), COLUMN('General Info'!E63), 4), " + ", ADDRESS(ROW('General Info'!E68), COLUMN('General Info'!E68), 4), " in the General Info worksheet")</f>
        <v>Check: row 7 ≤ E60 + E63 + E68 in the General Info worksheet</v>
      </c>
      <c r="C8" s="25"/>
      <c r="D8" s="26"/>
      <c r="E8" s="14"/>
      <c r="F8" s="14"/>
      <c r="G8" s="14"/>
      <c r="H8" s="1644" t="str">
        <f>IF(AND(ISNUMBER(H7), ISNUMBER('General Info'!E60), ISNUMBER('General Info'!E63), ISNUMBER('General Info'!E68)), IF(H7&lt;=SUM('General Info'!E60,'General Info'!E63,'General Info'!E68), "Pass", "Fail"), "")</f>
        <v/>
      </c>
      <c r="I8" s="1633"/>
      <c r="J8" s="1634"/>
      <c r="K8" s="1625"/>
      <c r="L8" s="14"/>
      <c r="M8" s="14"/>
      <c r="N8" s="730"/>
      <c r="O8" s="1625"/>
      <c r="P8" s="14"/>
      <c r="Q8" s="26"/>
      <c r="R8" s="279"/>
    </row>
    <row r="9" spans="1:19" ht="30" x14ac:dyDescent="0.35">
      <c r="A9" s="259"/>
      <c r="B9" s="1667" t="s">
        <v>603</v>
      </c>
      <c r="C9" s="1618" t="s">
        <v>604</v>
      </c>
      <c r="D9" s="1619"/>
      <c r="E9" s="1"/>
      <c r="F9" s="1"/>
      <c r="G9" s="41"/>
      <c r="H9" s="1666" t="str">
        <f>IF(AND(ISNUMBER(E9), ISNUMBER(F9), ISNUMBER(G9)), SUM(E9:G9), "")</f>
        <v/>
      </c>
      <c r="I9" s="1633"/>
      <c r="J9" s="1634"/>
      <c r="K9" s="30" t="str">
        <f>IF(AND(ISNUMBER(E9),ISNUMBER(O9)),SUM(E9)*O9,"")</f>
        <v/>
      </c>
      <c r="L9" s="30" t="str">
        <f>IF(AND(ISNUMBER(F9),ISNUMBER(P9)),SUM(F9)*P9,"")</f>
        <v/>
      </c>
      <c r="M9" s="30" t="str">
        <f>IF(AND(ISNUMBER(G9),ISNUMBER(Q9)),SUM(G9)*Q9,"")</f>
        <v/>
      </c>
      <c r="N9" s="1065" t="str">
        <f>IF(ISNUMBER(M9),SUM(M9),"")</f>
        <v/>
      </c>
      <c r="O9" s="1627">
        <v>0</v>
      </c>
      <c r="P9" s="44">
        <v>0</v>
      </c>
      <c r="Q9" s="43">
        <v>1</v>
      </c>
      <c r="R9" s="279"/>
    </row>
    <row r="10" spans="1:19" ht="15" x14ac:dyDescent="0.35">
      <c r="A10" s="259"/>
      <c r="B10" s="1321" t="s">
        <v>605</v>
      </c>
      <c r="C10" s="25"/>
      <c r="D10" s="26"/>
      <c r="E10" s="14"/>
      <c r="F10" s="14"/>
      <c r="G10" s="14"/>
      <c r="H10" s="1065" t="str">
        <f>IF(AND(ISNUMBER(H11), ISNUMBER(H12), ISNUMBER(H13)), SUM(H11:H13), "")</f>
        <v/>
      </c>
      <c r="I10" s="1633"/>
      <c r="J10" s="1634"/>
      <c r="K10" s="1625"/>
      <c r="L10" s="14"/>
      <c r="M10" s="14"/>
      <c r="N10" s="1065" t="str">
        <f>IF(AND(ISNUMBER(N11), ISNUMBER(N12), ISNUMBER(N13)), SUM(N11:N13), "")</f>
        <v/>
      </c>
      <c r="O10" s="1625"/>
      <c r="P10" s="14"/>
      <c r="Q10" s="1626"/>
      <c r="R10" s="279"/>
    </row>
    <row r="11" spans="1:19" ht="15" x14ac:dyDescent="0.35">
      <c r="A11" s="259"/>
      <c r="B11" s="1667" t="s">
        <v>606</v>
      </c>
      <c r="C11" s="1618" t="s">
        <v>607</v>
      </c>
      <c r="D11" s="1619"/>
      <c r="E11" s="41"/>
      <c r="F11" s="41"/>
      <c r="G11" s="41"/>
      <c r="H11" s="1666" t="str">
        <f>IF(AND(ISNUMBER(E11), ISNUMBER(F11), ISNUMBER(G11)), SUM(E11:G11), "")</f>
        <v/>
      </c>
      <c r="I11" s="1633"/>
      <c r="J11" s="1634"/>
      <c r="K11" s="987" t="str">
        <f t="shared" ref="K11:L13" si="0">IF(AND(ISNUMBER(E11),ISNUMBER(O11)), E11*O11, "")</f>
        <v/>
      </c>
      <c r="L11" s="30" t="str">
        <f t="shared" si="0"/>
        <v/>
      </c>
      <c r="M11" s="30" t="str">
        <f>IF(AND(ISNUMBER(G11),ISNUMBER(Q11)),SUM(G11)*Q11,"")</f>
        <v/>
      </c>
      <c r="N11" s="1065" t="str">
        <f>IF(AND(ISNUMBER(K11),ISNUMBER(L11),ISNUMBER(M11)), SUM(K11:M11), "")</f>
        <v/>
      </c>
      <c r="O11" s="1627">
        <v>0.95</v>
      </c>
      <c r="P11" s="44">
        <v>0.95</v>
      </c>
      <c r="Q11" s="43">
        <v>1</v>
      </c>
      <c r="R11" s="279"/>
    </row>
    <row r="12" spans="1:19" ht="15" customHeight="1" x14ac:dyDescent="0.35">
      <c r="A12" s="259"/>
      <c r="B12" s="1667" t="s">
        <v>608</v>
      </c>
      <c r="C12" s="1618" t="s">
        <v>609</v>
      </c>
      <c r="D12" s="1619"/>
      <c r="E12" s="41"/>
      <c r="F12" s="41"/>
      <c r="G12" s="41"/>
      <c r="H12" s="1666" t="str">
        <f>IF(AND(ISNUMBER(E12), ISNUMBER(F12), ISNUMBER(G12)), SUM(E12:G12), "")</f>
        <v/>
      </c>
      <c r="I12" s="1633"/>
      <c r="J12" s="1634"/>
      <c r="K12" s="987" t="str">
        <f t="shared" si="0"/>
        <v/>
      </c>
      <c r="L12" s="30" t="str">
        <f t="shared" si="0"/>
        <v/>
      </c>
      <c r="M12" s="30" t="str">
        <f>IF(AND(ISNUMBER(G12),ISNUMBER(Q12)),SUM(G12)*Q12,"")</f>
        <v/>
      </c>
      <c r="N12" s="1065" t="str">
        <f>IF(AND(ISNUMBER(K12),ISNUMBER(L12),ISNUMBER(M12)), SUM(K12:M12), "")</f>
        <v/>
      </c>
      <c r="O12" s="1627">
        <v>0.9</v>
      </c>
      <c r="P12" s="44">
        <v>0.9</v>
      </c>
      <c r="Q12" s="43">
        <v>1</v>
      </c>
      <c r="R12" s="279"/>
    </row>
    <row r="13" spans="1:19" ht="15" customHeight="1" x14ac:dyDescent="0.35">
      <c r="A13" s="259"/>
      <c r="B13" s="1667" t="s">
        <v>610</v>
      </c>
      <c r="C13" s="25"/>
      <c r="D13" s="26"/>
      <c r="E13" s="41"/>
      <c r="F13" s="41"/>
      <c r="G13" s="41"/>
      <c r="H13" s="1666" t="str">
        <f>IF(AND(ISNUMBER(E13), ISNUMBER(F13), ISNUMBER(G13)), SUM(E13:G13), "")</f>
        <v/>
      </c>
      <c r="I13" s="1633"/>
      <c r="J13" s="1634"/>
      <c r="K13" s="987" t="str">
        <f t="shared" si="0"/>
        <v/>
      </c>
      <c r="L13" s="30" t="str">
        <f t="shared" si="0"/>
        <v/>
      </c>
      <c r="M13" s="30" t="str">
        <f>IF(AND(ISNUMBER(G13),ISNUMBER(Q13)),SUM(G13)*Q13,"")</f>
        <v/>
      </c>
      <c r="N13" s="1065" t="str">
        <f>IF(AND(ISNUMBER(K13),ISNUMBER(L13),ISNUMBER(M13)), SUM(K13:M13), "")</f>
        <v/>
      </c>
      <c r="O13" s="1627">
        <v>0</v>
      </c>
      <c r="P13" s="44">
        <v>0.5</v>
      </c>
      <c r="Q13" s="43">
        <v>1</v>
      </c>
      <c r="R13" s="279"/>
    </row>
    <row r="14" spans="1:19" ht="15" hidden="1" customHeight="1" x14ac:dyDescent="0.35">
      <c r="A14" s="259"/>
      <c r="B14" s="531"/>
      <c r="C14" s="1664"/>
      <c r="D14" s="26"/>
      <c r="E14" s="1560"/>
      <c r="F14" s="1560"/>
      <c r="G14" s="1560"/>
      <c r="H14" s="1656"/>
      <c r="I14" s="1633"/>
      <c r="J14" s="1634"/>
      <c r="K14" s="1084"/>
      <c r="L14" s="16"/>
      <c r="M14" s="16"/>
      <c r="N14" s="1657"/>
      <c r="O14" s="1658"/>
      <c r="P14" s="1659"/>
      <c r="Q14" s="1626"/>
      <c r="R14" s="279"/>
    </row>
    <row r="15" spans="1:19" ht="15" customHeight="1" x14ac:dyDescent="0.35">
      <c r="A15" s="259"/>
      <c r="B15" s="1321" t="s">
        <v>611</v>
      </c>
      <c r="C15" s="25"/>
      <c r="D15" s="1619"/>
      <c r="E15" s="1560"/>
      <c r="F15" s="1560"/>
      <c r="G15" s="1560"/>
      <c r="H15" s="1065" t="str">
        <f>IF(AND(ISNUMBER(H16), ISNUMBER(H17)), H16+H17, "")</f>
        <v/>
      </c>
      <c r="I15" s="1633"/>
      <c r="J15" s="1634"/>
      <c r="K15" s="1625"/>
      <c r="L15" s="14"/>
      <c r="M15" s="14"/>
      <c r="N15" s="1065" t="str">
        <f>IF(AND(ISNUMBER(N16), ISNUMBER(N17)), N16+N17, "")</f>
        <v/>
      </c>
      <c r="O15" s="1625"/>
      <c r="P15" s="14"/>
      <c r="Q15" s="26"/>
      <c r="R15" s="279"/>
    </row>
    <row r="16" spans="1:19" ht="15" customHeight="1" x14ac:dyDescent="0.35">
      <c r="A16" s="259"/>
      <c r="B16" s="1667" t="s">
        <v>612</v>
      </c>
      <c r="C16" s="1618" t="s">
        <v>613</v>
      </c>
      <c r="D16" s="26"/>
      <c r="E16" s="41"/>
      <c r="F16" s="41"/>
      <c r="G16" s="41"/>
      <c r="H16" s="1666" t="str">
        <f>IF(AND(ISNUMBER(E16), ISNUMBER(F16), ISNUMBER(G16)), SUM(E16:G16), "")</f>
        <v/>
      </c>
      <c r="I16" s="1633"/>
      <c r="J16" s="1634"/>
      <c r="K16" s="987" t="str">
        <f>IF(AND(ISNUMBER(E16),ISNUMBER(O16)), E16*O16, "")</f>
        <v/>
      </c>
      <c r="L16" s="30" t="str">
        <f>IF(AND(ISNUMBER(F16),ISNUMBER(P16)), F16*P16, "")</f>
        <v/>
      </c>
      <c r="M16" s="30" t="str">
        <f>IF(AND(ISNUMBER(G16),ISNUMBER(Q16)),SUM(G16)*Q16,"")</f>
        <v/>
      </c>
      <c r="N16" s="1065" t="str">
        <f>IF(AND(ISNUMBER(K16),ISNUMBER(L16),ISNUMBER(M16)), SUM(K16:M16), "")</f>
        <v/>
      </c>
      <c r="O16" s="1627">
        <v>0.5</v>
      </c>
      <c r="P16" s="44">
        <v>0.5</v>
      </c>
      <c r="Q16" s="43">
        <v>1</v>
      </c>
      <c r="R16" s="279"/>
    </row>
    <row r="17" spans="1:18" ht="15" customHeight="1" x14ac:dyDescent="0.35">
      <c r="A17" s="259"/>
      <c r="B17" s="1667" t="s">
        <v>610</v>
      </c>
      <c r="C17" s="25"/>
      <c r="D17" s="26"/>
      <c r="E17" s="41"/>
      <c r="F17" s="41"/>
      <c r="G17" s="41"/>
      <c r="H17" s="1666" t="str">
        <f>IF(AND(ISNUMBER(E17), ISNUMBER(F17), ISNUMBER(G17)), SUM(E17:G17), "")</f>
        <v/>
      </c>
      <c r="I17" s="1633"/>
      <c r="J17" s="1634"/>
      <c r="K17" s="987" t="str">
        <f>IF(AND(ISNUMBER(E17),ISNUMBER(O17)), E17*O17, "")</f>
        <v/>
      </c>
      <c r="L17" s="30" t="str">
        <f>IF(AND(ISNUMBER(F17),ISNUMBER(P17)), F17*P17, "")</f>
        <v/>
      </c>
      <c r="M17" s="30" t="str">
        <f>IF(AND(ISNUMBER(G17),ISNUMBER(Q17)),SUM(G17)*Q17,"")</f>
        <v/>
      </c>
      <c r="N17" s="1065" t="str">
        <f>IF(AND(ISNUMBER(K17),ISNUMBER(L17),ISNUMBER(M17)), SUM(K17:M17), "")</f>
        <v/>
      </c>
      <c r="O17" s="1627">
        <v>0.5</v>
      </c>
      <c r="P17" s="44">
        <v>0.5</v>
      </c>
      <c r="Q17" s="43">
        <v>1</v>
      </c>
      <c r="R17" s="279"/>
    </row>
    <row r="18" spans="1:18" ht="15" hidden="1" customHeight="1" x14ac:dyDescent="0.35">
      <c r="A18" s="259"/>
      <c r="B18" s="531"/>
      <c r="C18" s="1664"/>
      <c r="D18" s="26"/>
      <c r="E18" s="1560"/>
      <c r="F18" s="1560"/>
      <c r="G18" s="1560"/>
      <c r="H18" s="1656"/>
      <c r="I18" s="1633"/>
      <c r="J18" s="1634"/>
      <c r="K18" s="1084"/>
      <c r="L18" s="16"/>
      <c r="M18" s="16"/>
      <c r="N18" s="1657"/>
      <c r="O18" s="1658"/>
      <c r="P18" s="1659"/>
      <c r="Q18" s="1626"/>
      <c r="R18" s="279"/>
    </row>
    <row r="19" spans="1:18" ht="15" customHeight="1" x14ac:dyDescent="0.35">
      <c r="A19" s="259"/>
      <c r="B19" s="47" t="s">
        <v>614</v>
      </c>
      <c r="C19" s="1664"/>
      <c r="D19" s="1619"/>
      <c r="E19" s="14"/>
      <c r="F19" s="14"/>
      <c r="G19" s="14"/>
      <c r="H19" s="1065" t="str">
        <f>IF(AND(ISNUMBER(H20), ISNUMBER(H23)), H20+H23, "")</f>
        <v/>
      </c>
      <c r="I19" s="1633"/>
      <c r="J19" s="1634"/>
      <c r="K19" s="1625"/>
      <c r="L19" s="14"/>
      <c r="M19" s="14"/>
      <c r="N19" s="730"/>
      <c r="O19" s="1625"/>
      <c r="P19" s="14"/>
      <c r="Q19" s="26"/>
      <c r="R19" s="279"/>
    </row>
    <row r="20" spans="1:18" ht="15" customHeight="1" x14ac:dyDescent="0.35">
      <c r="A20" s="259"/>
      <c r="B20" s="113" t="s">
        <v>615</v>
      </c>
      <c r="C20" s="2660" t="s">
        <v>616</v>
      </c>
      <c r="D20" s="1619"/>
      <c r="E20" s="30" t="str">
        <f>IF(AND(ISNUMBER(E21), ISNUMBER(E22)), E21+E22, "")</f>
        <v/>
      </c>
      <c r="F20" s="30" t="str">
        <f>IF(AND(ISNUMBER(F21), ISNUMBER(F22)), F21+F22, "")</f>
        <v/>
      </c>
      <c r="G20" s="30" t="str">
        <f>IF(AND(ISNUMBER(G21), ISNUMBER(G22)), G21+G22, "")</f>
        <v/>
      </c>
      <c r="H20" s="1666" t="str">
        <f>IF(AND(ISNUMBER(E20), ISNUMBER(F20), ISNUMBER(G20)), SUM(E20:G20), "")</f>
        <v/>
      </c>
      <c r="I20" s="1633"/>
      <c r="J20" s="1634"/>
      <c r="K20" s="30" t="str">
        <f>IF(AND(ISNUMBER(K21), ISNUMBER(K22)), K21+K22, "")</f>
        <v/>
      </c>
      <c r="L20" s="30" t="str">
        <f>IF(AND(ISNUMBER(L21), ISNUMBER(L22)), L21+L22, "")</f>
        <v/>
      </c>
      <c r="M20" s="30" t="str">
        <f>IF(AND(ISNUMBER(M21), ISNUMBER(M22)), M21+M22, "")</f>
        <v/>
      </c>
      <c r="N20" s="1666" t="str">
        <f>IF(AND(ISNUMBER(K20), ISNUMBER(L20), ISNUMBER(M20)), SUM(K20:M20), "")</f>
        <v/>
      </c>
      <c r="O20" s="1625"/>
      <c r="P20" s="14"/>
      <c r="Q20" s="26"/>
      <c r="R20" s="279"/>
    </row>
    <row r="21" spans="1:18" ht="15" customHeight="1" x14ac:dyDescent="0.35">
      <c r="A21" s="259"/>
      <c r="B21" s="112" t="s">
        <v>617</v>
      </c>
      <c r="C21" s="2661"/>
      <c r="D21" s="26"/>
      <c r="E21" s="41"/>
      <c r="F21" s="41"/>
      <c r="G21" s="41"/>
      <c r="H21" s="1666" t="str">
        <f>IF(AND(ISNUMBER(E21), ISNUMBER(F21), ISNUMBER(G21)), SUM(E21:G21), "")</f>
        <v/>
      </c>
      <c r="I21" s="1633"/>
      <c r="J21" s="1634"/>
      <c r="K21" s="987" t="str">
        <f t="shared" ref="K21:L23" si="1">IF(AND(ISNUMBER(E21),ISNUMBER(O21)), E21*O21, "")</f>
        <v/>
      </c>
      <c r="L21" s="30" t="str">
        <f t="shared" si="1"/>
        <v/>
      </c>
      <c r="M21" s="30" t="str">
        <f>IF(AND(ISNUMBER(G21),ISNUMBER(Q21)),SUM(G21)*Q21,"")</f>
        <v/>
      </c>
      <c r="N21" s="1065" t="str">
        <f>IF(AND(ISNUMBER(K21),ISNUMBER(L21),ISNUMBER(M21)), SUM(K21:M21), "")</f>
        <v/>
      </c>
      <c r="O21" s="1627">
        <v>0.5</v>
      </c>
      <c r="P21" s="44">
        <v>0.5</v>
      </c>
      <c r="Q21" s="43">
        <v>1</v>
      </c>
      <c r="R21" s="279"/>
    </row>
    <row r="22" spans="1:18" ht="15" customHeight="1" x14ac:dyDescent="0.35">
      <c r="A22" s="259"/>
      <c r="B22" s="112" t="s">
        <v>618</v>
      </c>
      <c r="C22" s="2662"/>
      <c r="D22" s="26"/>
      <c r="E22" s="41"/>
      <c r="F22" s="41"/>
      <c r="G22" s="41"/>
      <c r="H22" s="1666" t="str">
        <f>IF(AND(ISNUMBER(E22), ISNUMBER(F22), ISNUMBER(G22)), SUM(E22:G22), "")</f>
        <v/>
      </c>
      <c r="I22" s="1633"/>
      <c r="J22" s="1634"/>
      <c r="K22" s="987" t="str">
        <f t="shared" si="1"/>
        <v/>
      </c>
      <c r="L22" s="30" t="str">
        <f t="shared" si="1"/>
        <v/>
      </c>
      <c r="M22" s="30" t="str">
        <f>IF(AND(ISNUMBER(G22),ISNUMBER(Q22)),SUM(G22)*Q22,"")</f>
        <v/>
      </c>
      <c r="N22" s="1065" t="str">
        <f>IF(AND(ISNUMBER(K22),ISNUMBER(L22),ISNUMBER(M22)), SUM(K22:M22), "")</f>
        <v/>
      </c>
      <c r="O22" s="1627">
        <v>0</v>
      </c>
      <c r="P22" s="44">
        <v>0.5</v>
      </c>
      <c r="Q22" s="43">
        <v>1</v>
      </c>
      <c r="R22" s="279"/>
    </row>
    <row r="23" spans="1:18" ht="15" customHeight="1" x14ac:dyDescent="0.35">
      <c r="A23" s="259"/>
      <c r="B23" s="1667" t="s">
        <v>610</v>
      </c>
      <c r="C23" s="25"/>
      <c r="D23" s="26"/>
      <c r="E23" s="41"/>
      <c r="F23" s="41"/>
      <c r="G23" s="41"/>
      <c r="H23" s="1666" t="str">
        <f>IF(AND(ISNUMBER(E23), ISNUMBER(F23), ISNUMBER(G23)), SUM(E23:G23), "")</f>
        <v/>
      </c>
      <c r="I23" s="1633"/>
      <c r="J23" s="1634"/>
      <c r="K23" s="987" t="str">
        <f t="shared" si="1"/>
        <v/>
      </c>
      <c r="L23" s="30" t="str">
        <f t="shared" si="1"/>
        <v/>
      </c>
      <c r="M23" s="30" t="str">
        <f>IF(AND(ISNUMBER(G23),ISNUMBER(Q23)),SUM(G23)*Q23,"")</f>
        <v/>
      </c>
      <c r="N23" s="1065" t="str">
        <f>IF(AND(ISNUMBER(K23),ISNUMBER(L23),ISNUMBER(M23)), SUM(K23:M23), "")</f>
        <v/>
      </c>
      <c r="O23" s="1627">
        <v>0</v>
      </c>
      <c r="P23" s="44">
        <v>0.5</v>
      </c>
      <c r="Q23" s="43">
        <v>1</v>
      </c>
      <c r="R23" s="279"/>
    </row>
    <row r="24" spans="1:18" ht="15" hidden="1" customHeight="1" x14ac:dyDescent="0.35">
      <c r="A24" s="259"/>
      <c r="B24" s="531"/>
      <c r="C24" s="1664"/>
      <c r="D24" s="26"/>
      <c r="E24" s="1560"/>
      <c r="F24" s="1560"/>
      <c r="G24" s="1560"/>
      <c r="H24" s="1656"/>
      <c r="I24" s="1633"/>
      <c r="J24" s="1634"/>
      <c r="K24" s="1084"/>
      <c r="L24" s="16"/>
      <c r="M24" s="16"/>
      <c r="N24" s="1657"/>
      <c r="O24" s="1658"/>
      <c r="P24" s="1659"/>
      <c r="Q24" s="1626"/>
      <c r="R24" s="279"/>
    </row>
    <row r="25" spans="1:18" ht="15" customHeight="1" x14ac:dyDescent="0.35">
      <c r="A25" s="259"/>
      <c r="B25" s="1321" t="s">
        <v>619</v>
      </c>
      <c r="C25" s="25"/>
      <c r="D25" s="1619"/>
      <c r="E25" s="1560"/>
      <c r="F25" s="1560"/>
      <c r="G25" s="1560"/>
      <c r="H25" s="1065" t="str">
        <f>IF(AND(ISNUMBER(H26), ISNUMBER(H27)), H26+H27, "")</f>
        <v/>
      </c>
      <c r="I25" s="1633"/>
      <c r="J25" s="1634"/>
      <c r="K25" s="1625"/>
      <c r="L25" s="14"/>
      <c r="M25" s="14"/>
      <c r="N25" s="1065" t="str">
        <f>IF(AND(ISNUMBER(N26), ISNUMBER(N27)), N26+N27, "")</f>
        <v/>
      </c>
      <c r="O25" s="1625"/>
      <c r="P25" s="14"/>
      <c r="Q25" s="26"/>
      <c r="R25" s="279"/>
    </row>
    <row r="26" spans="1:18" ht="15" customHeight="1" x14ac:dyDescent="0.35">
      <c r="A26" s="259"/>
      <c r="B26" s="1628" t="s">
        <v>612</v>
      </c>
      <c r="C26" s="1618" t="s">
        <v>620</v>
      </c>
      <c r="D26" s="26"/>
      <c r="E26" s="41"/>
      <c r="F26" s="41"/>
      <c r="G26" s="41"/>
      <c r="H26" s="1666" t="str">
        <f>IF(AND(ISNUMBER(E26), ISNUMBER(F26), ISNUMBER(G26)), SUM(E26:G26), "")</f>
        <v/>
      </c>
      <c r="I26" s="1633"/>
      <c r="J26" s="1634"/>
      <c r="K26" s="987" t="str">
        <f>IF(AND(ISNUMBER(E26),ISNUMBER(O26)), E26*O26, "")</f>
        <v/>
      </c>
      <c r="L26" s="30" t="str">
        <f>IF(AND(ISNUMBER(F26),ISNUMBER(P26)), F26*P26, "")</f>
        <v/>
      </c>
      <c r="M26" s="30" t="str">
        <f>IF(AND(ISNUMBER(G26),ISNUMBER(Q26)),SUM(G26)*Q26,"")</f>
        <v/>
      </c>
      <c r="N26" s="1065" t="str">
        <f>IF(AND(ISNUMBER(K26),ISNUMBER(L26),ISNUMBER(M26)), SUM(K26:M26), "")</f>
        <v/>
      </c>
      <c r="O26" s="1627">
        <v>0.5</v>
      </c>
      <c r="P26" s="44">
        <v>0.5</v>
      </c>
      <c r="Q26" s="43">
        <v>1</v>
      </c>
      <c r="R26" s="279"/>
    </row>
    <row r="27" spans="1:18" ht="15" customHeight="1" x14ac:dyDescent="0.35">
      <c r="A27" s="259"/>
      <c r="B27" s="1667" t="s">
        <v>610</v>
      </c>
      <c r="C27" s="25"/>
      <c r="D27" s="26"/>
      <c r="E27" s="41"/>
      <c r="F27" s="41"/>
      <c r="G27" s="41"/>
      <c r="H27" s="1666" t="str">
        <f>IF(AND(ISNUMBER(E27), ISNUMBER(F27), ISNUMBER(G27)), SUM(E27:G27), "")</f>
        <v/>
      </c>
      <c r="I27" s="1633"/>
      <c r="J27" s="1634"/>
      <c r="K27" s="987" t="str">
        <f>IF(AND(ISNUMBER(E27),ISNUMBER(O27)), E27*O27, "")</f>
        <v/>
      </c>
      <c r="L27" s="30" t="str">
        <f>IF(AND(ISNUMBER(F27),ISNUMBER(P27)), F27*P27, "")</f>
        <v/>
      </c>
      <c r="M27" s="30" t="str">
        <f>IF(AND(ISNUMBER(G27),ISNUMBER(Q27)),SUM(G27)*Q27,"")</f>
        <v/>
      </c>
      <c r="N27" s="1065" t="str">
        <f>IF(AND(ISNUMBER(K27),ISNUMBER(L27),ISNUMBER(M27)), SUM(K27:M27), "")</f>
        <v/>
      </c>
      <c r="O27" s="1627">
        <v>0.5</v>
      </c>
      <c r="P27" s="44">
        <v>0.5</v>
      </c>
      <c r="Q27" s="43">
        <v>1</v>
      </c>
      <c r="R27" s="279"/>
    </row>
    <row r="28" spans="1:18" ht="15" hidden="1" customHeight="1" x14ac:dyDescent="0.35">
      <c r="A28" s="259"/>
      <c r="B28" s="531"/>
      <c r="C28" s="1664"/>
      <c r="D28" s="26"/>
      <c r="E28" s="1560"/>
      <c r="F28" s="1560"/>
      <c r="G28" s="1560"/>
      <c r="H28" s="1656"/>
      <c r="I28" s="1633"/>
      <c r="J28" s="1634"/>
      <c r="K28" s="1084"/>
      <c r="L28" s="16"/>
      <c r="M28" s="16"/>
      <c r="N28" s="1657"/>
      <c r="O28" s="1658"/>
      <c r="P28" s="1659"/>
      <c r="Q28" s="1626"/>
      <c r="R28" s="279"/>
    </row>
    <row r="29" spans="1:18" ht="30" customHeight="1" x14ac:dyDescent="0.35">
      <c r="A29" s="259"/>
      <c r="B29" s="1321" t="s">
        <v>621</v>
      </c>
      <c r="C29" s="25"/>
      <c r="D29" s="26"/>
      <c r="E29" s="14"/>
      <c r="F29" s="14"/>
      <c r="G29" s="14"/>
      <c r="H29" s="1065" t="str">
        <f>IF(AND(ISNUMBER(H30), ISNUMBER(H33)), H30+H33, "")</f>
        <v/>
      </c>
      <c r="I29" s="1633"/>
      <c r="J29" s="1634"/>
      <c r="K29" s="1625"/>
      <c r="L29" s="14"/>
      <c r="M29" s="14"/>
      <c r="N29" s="1065" t="str">
        <f>IF(AND(ISNUMBER(N30), ISNUMBER(N33)), N30+N33, "")</f>
        <v/>
      </c>
      <c r="O29" s="1658"/>
      <c r="P29" s="1659"/>
      <c r="Q29" s="1626"/>
      <c r="R29" s="279"/>
    </row>
    <row r="30" spans="1:18" ht="15" customHeight="1" x14ac:dyDescent="0.35">
      <c r="A30" s="259"/>
      <c r="B30" s="47" t="s">
        <v>615</v>
      </c>
      <c r="C30" s="2660" t="s">
        <v>616</v>
      </c>
      <c r="D30" s="1619"/>
      <c r="E30" s="30" t="str">
        <f>IF(AND(ISNUMBER(E31), ISNUMBER(E32)), E31+E32, "")</f>
        <v/>
      </c>
      <c r="F30" s="30" t="str">
        <f>IF(AND(ISNUMBER(F31), ISNUMBER(F32)), F31+F32, "")</f>
        <v/>
      </c>
      <c r="G30" s="30" t="str">
        <f>IF(AND(ISNUMBER(G31), ISNUMBER(G32)), G31+G32, "")</f>
        <v/>
      </c>
      <c r="H30" s="1666" t="str">
        <f>IF(AND(ISNUMBER(E30), ISNUMBER(F30), ISNUMBER(G30)), SUM(E30:G30), "")</f>
        <v/>
      </c>
      <c r="I30" s="1633"/>
      <c r="J30" s="1634"/>
      <c r="K30" s="30" t="str">
        <f>IF(AND(ISNUMBER(K31), ISNUMBER(K32)), K31+K32, "")</f>
        <v/>
      </c>
      <c r="L30" s="30" t="str">
        <f>IF(AND(ISNUMBER(L31), ISNUMBER(L32)), L31+L32, "")</f>
        <v/>
      </c>
      <c r="M30" s="30" t="str">
        <f>IF(AND(ISNUMBER(M31), ISNUMBER(M32)), M31+M32, "")</f>
        <v/>
      </c>
      <c r="N30" s="1666" t="str">
        <f>IF(AND(ISNUMBER(K30), ISNUMBER(L30), ISNUMBER(M30)), SUM(K30:M30), "")</f>
        <v/>
      </c>
      <c r="O30" s="1625"/>
      <c r="P30" s="14"/>
      <c r="Q30" s="26"/>
      <c r="R30" s="279"/>
    </row>
    <row r="31" spans="1:18" ht="15" customHeight="1" x14ac:dyDescent="0.35">
      <c r="A31" s="259"/>
      <c r="B31" s="112" t="s">
        <v>617</v>
      </c>
      <c r="C31" s="2661"/>
      <c r="D31" s="26"/>
      <c r="E31" s="41"/>
      <c r="F31" s="41"/>
      <c r="G31" s="41"/>
      <c r="H31" s="1666" t="str">
        <f>IF(AND(ISNUMBER(E31), ISNUMBER(F31), ISNUMBER(G31)), SUM(E31:G31), "")</f>
        <v/>
      </c>
      <c r="I31" s="1633"/>
      <c r="J31" s="1634"/>
      <c r="K31" s="987" t="str">
        <f t="shared" ref="K31:L33" si="2">IF(AND(ISNUMBER(E31),ISNUMBER(O31)), E31*O31, "")</f>
        <v/>
      </c>
      <c r="L31" s="30" t="str">
        <f t="shared" si="2"/>
        <v/>
      </c>
      <c r="M31" s="30" t="str">
        <f>IF(AND(ISNUMBER(G31),ISNUMBER(Q31)),SUM(G31)*Q31,"")</f>
        <v/>
      </c>
      <c r="N31" s="1065" t="str">
        <f>IF(AND(ISNUMBER(K31),ISNUMBER(L31),ISNUMBER(M31)), SUM(K31:M31), "")</f>
        <v/>
      </c>
      <c r="O31" s="1627">
        <v>0.5</v>
      </c>
      <c r="P31" s="44">
        <v>0.5</v>
      </c>
      <c r="Q31" s="43">
        <v>1</v>
      </c>
      <c r="R31" s="279"/>
    </row>
    <row r="32" spans="1:18" ht="15" customHeight="1" x14ac:dyDescent="0.35">
      <c r="A32" s="259"/>
      <c r="B32" s="112" t="s">
        <v>618</v>
      </c>
      <c r="C32" s="2662"/>
      <c r="D32" s="26"/>
      <c r="E32" s="41"/>
      <c r="F32" s="41"/>
      <c r="G32" s="41"/>
      <c r="H32" s="1666" t="str">
        <f>IF(AND(ISNUMBER(E32), ISNUMBER(F32), ISNUMBER(G32)), SUM(E32:G32), "")</f>
        <v/>
      </c>
      <c r="I32" s="1633"/>
      <c r="J32" s="1634"/>
      <c r="K32" s="987" t="str">
        <f t="shared" si="2"/>
        <v/>
      </c>
      <c r="L32" s="30" t="str">
        <f t="shared" si="2"/>
        <v/>
      </c>
      <c r="M32" s="30" t="str">
        <f>IF(AND(ISNUMBER(G32),ISNUMBER(Q32)),SUM(G32)*Q32,"")</f>
        <v/>
      </c>
      <c r="N32" s="1065" t="str">
        <f>IF(AND(ISNUMBER(K32),ISNUMBER(L32),ISNUMBER(M32)), SUM(K32:M32), "")</f>
        <v/>
      </c>
      <c r="O32" s="1627">
        <v>0</v>
      </c>
      <c r="P32" s="44">
        <v>0.5</v>
      </c>
      <c r="Q32" s="43">
        <v>1</v>
      </c>
      <c r="R32" s="279"/>
    </row>
    <row r="33" spans="1:18" ht="15" customHeight="1" x14ac:dyDescent="0.35">
      <c r="A33" s="259"/>
      <c r="B33" s="1667" t="s">
        <v>610</v>
      </c>
      <c r="C33" s="25"/>
      <c r="D33" s="26"/>
      <c r="E33" s="41"/>
      <c r="F33" s="41"/>
      <c r="G33" s="41"/>
      <c r="H33" s="1666" t="str">
        <f>IF(AND(ISNUMBER(E33), ISNUMBER(F33), ISNUMBER(G33)), SUM(E33:G33), "")</f>
        <v/>
      </c>
      <c r="I33" s="1633"/>
      <c r="J33" s="1634"/>
      <c r="K33" s="987" t="str">
        <f t="shared" si="2"/>
        <v/>
      </c>
      <c r="L33" s="30" t="str">
        <f t="shared" si="2"/>
        <v/>
      </c>
      <c r="M33" s="30" t="str">
        <f>IF(AND(ISNUMBER(G33),ISNUMBER(Q33)),SUM(G33)*Q33,"")</f>
        <v/>
      </c>
      <c r="N33" s="1065" t="str">
        <f>IF(AND(ISNUMBER(K33),ISNUMBER(L33),ISNUMBER(M33)), SUM(K33:M33), "")</f>
        <v/>
      </c>
      <c r="O33" s="1627">
        <v>0</v>
      </c>
      <c r="P33" s="44">
        <v>0.5</v>
      </c>
      <c r="Q33" s="43">
        <v>1</v>
      </c>
      <c r="R33" s="279"/>
    </row>
    <row r="34" spans="1:18" ht="15" hidden="1" customHeight="1" x14ac:dyDescent="0.35">
      <c r="A34" s="259"/>
      <c r="B34" s="531"/>
      <c r="C34" s="1664"/>
      <c r="D34" s="26"/>
      <c r="E34" s="1560"/>
      <c r="F34" s="1560"/>
      <c r="G34" s="1560"/>
      <c r="H34" s="1656"/>
      <c r="I34" s="1633"/>
      <c r="J34" s="1634"/>
      <c r="K34" s="1084"/>
      <c r="L34" s="16"/>
      <c r="M34" s="16"/>
      <c r="N34" s="1657"/>
      <c r="O34" s="1658"/>
      <c r="P34" s="1659"/>
      <c r="Q34" s="1626"/>
      <c r="R34" s="279"/>
    </row>
    <row r="35" spans="1:18" ht="30" customHeight="1" x14ac:dyDescent="0.35">
      <c r="A35" s="259"/>
      <c r="B35" s="121" t="s">
        <v>622</v>
      </c>
      <c r="C35" s="1618" t="s">
        <v>623</v>
      </c>
      <c r="D35" s="1619"/>
      <c r="E35" s="41"/>
      <c r="F35" s="41"/>
      <c r="G35" s="41"/>
      <c r="H35" s="1666" t="str">
        <f>IF(AND(ISNUMBER(E35), ISNUMBER(F35), ISNUMBER(G35)), SUM(E35:G35), "")</f>
        <v/>
      </c>
      <c r="I35" s="1633"/>
      <c r="J35" s="1634"/>
      <c r="K35" s="30" t="str">
        <f t="shared" ref="K35:L35" si="3">IF(AND(ISNUMBER(E35),ISNUMBER(O35)),SUM(E35)*O35,"")</f>
        <v/>
      </c>
      <c r="L35" s="30" t="str">
        <f t="shared" si="3"/>
        <v/>
      </c>
      <c r="M35" s="30" t="str">
        <f>IF(AND(ISNUMBER(G35),ISNUMBER(Q35)),SUM(G35)*Q35,"")</f>
        <v/>
      </c>
      <c r="N35" s="1065" t="str">
        <f>IF(ISNUMBER(M35),SUM(M35),"")</f>
        <v/>
      </c>
      <c r="O35" s="1627">
        <v>0</v>
      </c>
      <c r="P35" s="44">
        <v>0</v>
      </c>
      <c r="Q35" s="43">
        <v>1</v>
      </c>
      <c r="R35" s="279"/>
    </row>
    <row r="36" spans="1:18" ht="15" customHeight="1" x14ac:dyDescent="0.35">
      <c r="A36" s="259"/>
      <c r="B36" s="47" t="s">
        <v>624</v>
      </c>
      <c r="C36" s="25"/>
      <c r="D36" s="26"/>
      <c r="E36" s="41"/>
      <c r="F36" s="41"/>
      <c r="G36" s="41"/>
      <c r="H36" s="1666" t="str">
        <f>IF(AND(ISNUMBER(E36), ISNUMBER(F36), ISNUMBER(G36)), SUM(E36:G36), "")</f>
        <v/>
      </c>
      <c r="I36" s="1633"/>
      <c r="J36" s="1634"/>
      <c r="K36" s="987" t="str">
        <f>IF(AND(ISNUMBER(E36),ISNUMBER(O36)), E36*O36, "")</f>
        <v/>
      </c>
      <c r="L36" s="30" t="str">
        <f>IF(AND(ISNUMBER(F36),ISNUMBER(P36)), F36*P36, "")</f>
        <v/>
      </c>
      <c r="M36" s="30" t="str">
        <f>IF(AND(ISNUMBER(G36),ISNUMBER(Q36)),SUM(G36)*Q36,"")</f>
        <v/>
      </c>
      <c r="N36" s="1065" t="str">
        <f>IF(AND(ISNUMBER(K36),ISNUMBER(L36),ISNUMBER(M36)), SUM(K36:M36), "")</f>
        <v/>
      </c>
      <c r="O36" s="1627">
        <v>0</v>
      </c>
      <c r="P36" s="44">
        <v>0.5</v>
      </c>
      <c r="Q36" s="43">
        <v>1</v>
      </c>
      <c r="R36" s="279"/>
    </row>
    <row r="37" spans="1:18" ht="30" customHeight="1" x14ac:dyDescent="0.35">
      <c r="A37" s="259"/>
      <c r="B37" s="1567" t="s">
        <v>625</v>
      </c>
      <c r="C37" s="1618" t="s">
        <v>626</v>
      </c>
      <c r="D37" s="1619"/>
      <c r="E37" s="14"/>
      <c r="F37" s="14"/>
      <c r="G37" s="14"/>
      <c r="H37" s="1021"/>
      <c r="I37" s="1633"/>
      <c r="J37" s="1634"/>
      <c r="K37" s="1625"/>
      <c r="L37" s="14"/>
      <c r="M37" s="14"/>
      <c r="N37" s="1065" t="str">
        <f>IF(AND(ISNUMBER(H37),ISNUMBER(G278),ISNUMBER(Q37)),MAX((H37-G278),0)*Q37,"")</f>
        <v/>
      </c>
      <c r="O37" s="1625"/>
      <c r="P37" s="14"/>
      <c r="Q37" s="43">
        <v>0</v>
      </c>
      <c r="R37" s="279"/>
    </row>
    <row r="38" spans="1:18" ht="15" customHeight="1" x14ac:dyDescent="0.35">
      <c r="A38" s="259"/>
      <c r="B38" s="113" t="s">
        <v>627</v>
      </c>
      <c r="C38" s="25"/>
      <c r="D38" s="26"/>
      <c r="E38" s="14"/>
      <c r="F38" s="14"/>
      <c r="G38" s="14"/>
      <c r="H38" s="1645"/>
      <c r="I38" s="1633"/>
      <c r="J38" s="1634"/>
      <c r="K38" s="1625"/>
      <c r="L38" s="14"/>
      <c r="M38" s="14"/>
      <c r="N38" s="730"/>
      <c r="O38" s="1625"/>
      <c r="P38" s="14"/>
      <c r="Q38" s="26"/>
      <c r="R38" s="279"/>
    </row>
    <row r="39" spans="1:18" ht="15" customHeight="1" x14ac:dyDescent="0.35">
      <c r="A39" s="259"/>
      <c r="B39" s="47" t="s">
        <v>628</v>
      </c>
      <c r="C39" s="25"/>
      <c r="D39" s="26"/>
      <c r="E39" s="14"/>
      <c r="F39" s="14"/>
      <c r="G39" s="14"/>
      <c r="H39" s="730"/>
      <c r="I39" s="1633"/>
      <c r="J39" s="1634"/>
      <c r="K39" s="1625"/>
      <c r="L39" s="14"/>
      <c r="M39" s="14"/>
      <c r="N39" s="730"/>
      <c r="O39" s="1625"/>
      <c r="P39" s="14"/>
      <c r="Q39" s="26"/>
      <c r="R39" s="279"/>
    </row>
    <row r="40" spans="1:18" ht="15" customHeight="1" x14ac:dyDescent="0.35">
      <c r="A40" s="259"/>
      <c r="B40" s="113" t="s">
        <v>629</v>
      </c>
      <c r="C40" s="1618" t="s">
        <v>630</v>
      </c>
      <c r="D40" s="1619"/>
      <c r="E40" s="41"/>
      <c r="F40" s="41"/>
      <c r="G40" s="41"/>
      <c r="H40" s="1666" t="str">
        <f>IF(AND(ISNUMBER(E40), ISNUMBER(F40), ISNUMBER(G40)), SUM(E40:G40), "")</f>
        <v/>
      </c>
      <c r="I40" s="1633"/>
      <c r="J40" s="1634"/>
      <c r="K40" s="987" t="str">
        <f>IF(AND(ISNUMBER(E40),ISNUMBER(O40)), E40*O40, "")</f>
        <v/>
      </c>
      <c r="L40" s="30" t="str">
        <f>IF(AND(ISNUMBER(F40),ISNUMBER(P40)), F40*P40, "")</f>
        <v/>
      </c>
      <c r="M40" s="30" t="str">
        <f>IF(AND(ISNUMBER(G40),ISNUMBER(Q40)),SUM(G40)*Q40,"")</f>
        <v/>
      </c>
      <c r="N40" s="1065" t="str">
        <f>IF(AND(ISNUMBER(K40),ISNUMBER(L40),ISNUMBER(M40)), SUM(K40:M40), "")</f>
        <v/>
      </c>
      <c r="O40" s="1627">
        <v>0</v>
      </c>
      <c r="P40" s="44">
        <v>0.5</v>
      </c>
      <c r="Q40" s="43">
        <v>1</v>
      </c>
      <c r="R40" s="279"/>
    </row>
    <row r="41" spans="1:18" ht="15" customHeight="1" x14ac:dyDescent="0.35">
      <c r="A41" s="259"/>
      <c r="B41" s="113" t="s">
        <v>631</v>
      </c>
      <c r="C41" s="1618" t="s">
        <v>630</v>
      </c>
      <c r="D41" s="1619"/>
      <c r="E41" s="41"/>
      <c r="F41" s="41"/>
      <c r="G41" s="41"/>
      <c r="H41" s="1666" t="str">
        <f>IF(AND(ISNUMBER(E41), ISNUMBER(F41), ISNUMBER(G41)), SUM(E41:G41), "")</f>
        <v/>
      </c>
      <c r="I41" s="1633"/>
      <c r="J41" s="1634"/>
      <c r="K41" s="987" t="str">
        <f>IF(AND(ISNUMBER(E41),ISNUMBER(O41)), E41*O41, "")</f>
        <v/>
      </c>
      <c r="L41" s="30" t="str">
        <f>IF(AND(ISNUMBER(F41),ISNUMBER(P41)), F41*P41, "")</f>
        <v/>
      </c>
      <c r="M41" s="30" t="str">
        <f>IF(AND(ISNUMBER(G41),ISNUMBER(Q41)),SUM(G41)*Q41,"")</f>
        <v/>
      </c>
      <c r="N41" s="1065" t="str">
        <f>IF(AND(ISNUMBER(K41),ISNUMBER(L41),ISNUMBER(M41)), SUM(K41:M41), "")</f>
        <v/>
      </c>
      <c r="O41" s="1627">
        <v>0</v>
      </c>
      <c r="P41" s="44">
        <v>0.5</v>
      </c>
      <c r="Q41" s="43">
        <v>1</v>
      </c>
      <c r="R41" s="279"/>
    </row>
    <row r="42" spans="1:18" ht="15" customHeight="1" x14ac:dyDescent="0.35">
      <c r="A42" s="259"/>
      <c r="B42" s="113" t="s">
        <v>632</v>
      </c>
      <c r="C42" s="1618" t="s">
        <v>633</v>
      </c>
      <c r="D42" s="1619"/>
      <c r="E42" s="41"/>
      <c r="F42" s="14"/>
      <c r="G42" s="14"/>
      <c r="H42" s="1065" t="str">
        <f>IF(ISNUMBER(E42), E42, "")</f>
        <v/>
      </c>
      <c r="I42" s="1633"/>
      <c r="J42" s="1634"/>
      <c r="K42" s="987" t="str">
        <f>IF(AND(ISNUMBER(E42),ISNUMBER(O42)), E42*O42, "")</f>
        <v/>
      </c>
      <c r="L42" s="14"/>
      <c r="M42" s="14"/>
      <c r="N42" s="1065" t="str">
        <f>IF(ISNUMBER(K42), K42, "")</f>
        <v/>
      </c>
      <c r="O42" s="1627">
        <v>0</v>
      </c>
      <c r="P42" s="14"/>
      <c r="Q42" s="26"/>
      <c r="R42" s="279"/>
    </row>
    <row r="43" spans="1:18" ht="15" customHeight="1" x14ac:dyDescent="0.35">
      <c r="A43" s="259"/>
      <c r="B43" s="113" t="s">
        <v>634</v>
      </c>
      <c r="C43" s="1618">
        <v>30.35</v>
      </c>
      <c r="D43" s="1619"/>
      <c r="E43" s="41"/>
      <c r="F43" s="41"/>
      <c r="G43" s="41"/>
      <c r="H43" s="1666" t="str">
        <f>IF(AND(ISNUMBER(E43), ISNUMBER(F43), ISNUMBER(G43)), SUM(E43:G43), "")</f>
        <v/>
      </c>
      <c r="I43" s="1633"/>
      <c r="J43" s="1634"/>
      <c r="K43" s="987" t="str">
        <f>IF(AND(ISNUMBER(E43),ISNUMBER(O43)), E43*O43, "")</f>
        <v/>
      </c>
      <c r="L43" s="30" t="str">
        <f>IF(AND(ISNUMBER(F43),ISNUMBER(P43)), F43*P43, "")</f>
        <v/>
      </c>
      <c r="M43" s="30" t="str">
        <f>IF(AND(ISNUMBER(G43),ISNUMBER(Q43)), G43*Q43, "")</f>
        <v/>
      </c>
      <c r="N43" s="1065" t="str">
        <f>IF(AND(ISNUMBER(K43),ISNUMBER(L43),ISNUMBER(M43)), SUM(K43:M43), "")</f>
        <v/>
      </c>
      <c r="O43" s="1627">
        <v>0</v>
      </c>
      <c r="P43" s="44">
        <v>0</v>
      </c>
      <c r="Q43" s="43">
        <v>0</v>
      </c>
      <c r="R43" s="279"/>
    </row>
    <row r="44" spans="1:18" ht="30" customHeight="1" x14ac:dyDescent="0.35">
      <c r="A44" s="259"/>
      <c r="B44" s="113" t="s">
        <v>635</v>
      </c>
      <c r="C44" s="1618" t="s">
        <v>636</v>
      </c>
      <c r="D44" s="1619"/>
      <c r="E44" s="41"/>
      <c r="F44" s="41"/>
      <c r="G44" s="41"/>
      <c r="H44" s="1666" t="str">
        <f>IF(AND(ISNUMBER(E44), ISNUMBER(F44), ISNUMBER(G44)), SUM(E44:G44), "")</f>
        <v/>
      </c>
      <c r="I44" s="1633"/>
      <c r="J44" s="1634"/>
      <c r="K44" s="987" t="str">
        <f>IF(AND(ISNUMBER(E44),ISNUMBER(O44)), E44*O44, "")</f>
        <v/>
      </c>
      <c r="L44" s="30" t="str">
        <f>IF(AND(ISNUMBER(F44),ISNUMBER(P44)), F44*P44, "")</f>
        <v/>
      </c>
      <c r="M44" s="30" t="str">
        <f>IF(AND(ISNUMBER(G44),ISNUMBER(Q44)),SUM(G44)*Q44,"")</f>
        <v/>
      </c>
      <c r="N44" s="1065" t="str">
        <f>IF(AND(ISNUMBER(K44),ISNUMBER(L44),ISNUMBER(M44)), SUM(K44:M44), "")</f>
        <v/>
      </c>
      <c r="O44" s="1627">
        <v>0</v>
      </c>
      <c r="P44" s="44">
        <v>0.5</v>
      </c>
      <c r="Q44" s="43">
        <v>1</v>
      </c>
      <c r="R44" s="279"/>
    </row>
    <row r="45" spans="1:18" ht="30" customHeight="1" x14ac:dyDescent="0.35">
      <c r="A45" s="259"/>
      <c r="B45" s="1661" t="str">
        <f>"Check: Balances with less than one year maturity reported in row " &amp; ROW(B44) &amp; " should be greater than 0."</f>
        <v>Check: Balances with less than one year maturity reported in row 44 should be greater than 0.</v>
      </c>
      <c r="C45" s="36"/>
      <c r="D45" s="20"/>
      <c r="E45" s="354" t="str">
        <f>IF(AND(ISNUMBER(E44), ISNUMBER(F44)), IF(E44+F44&gt;0, "Pass", "please check"), "")</f>
        <v/>
      </c>
      <c r="F45" s="19"/>
      <c r="G45" s="19"/>
      <c r="H45" s="733"/>
      <c r="I45" s="1635"/>
      <c r="J45" s="1636"/>
      <c r="K45" s="1643"/>
      <c r="L45" s="234"/>
      <c r="M45" s="234"/>
      <c r="N45" s="1653"/>
      <c r="O45" s="1643"/>
      <c r="P45" s="234"/>
      <c r="Q45" s="235"/>
      <c r="R45" s="279"/>
    </row>
    <row r="46" spans="1:18" ht="15" customHeight="1" x14ac:dyDescent="0.35">
      <c r="A46" s="259"/>
      <c r="B46" s="1640" t="s">
        <v>59</v>
      </c>
      <c r="C46" s="1675"/>
      <c r="D46" s="1646"/>
      <c r="E46" s="1647"/>
      <c r="F46" s="1646"/>
      <c r="G46" s="1646"/>
      <c r="H46" s="1648" t="str">
        <f>IF(AND(ISNUMBER(H6), ISNUMBER(H10), ISNUMBER(H15), ISNUMBER(H19), ISNUMBER(H25), ISNUMBER(H29), ISNUMBER(H35), ISNUMBER(H36), ISNUMBER(#REF!), ISNUMBER(H39)), SUM(H6, H10, H15, H19, H25, H29, H35:H36, H39), "")</f>
        <v/>
      </c>
      <c r="I46" s="1649"/>
      <c r="J46" s="1650"/>
      <c r="K46" s="1651"/>
      <c r="L46" s="1652"/>
      <c r="M46" s="1652"/>
      <c r="N46" s="1648" t="str">
        <f>IF(AND(ISNUMBER(N6), ISNUMBER(N10), ISNUMBER(N15), ISNUMBER(N19), ISNUMBER(N25), ISNUMBER(N29), ISNUMBER(N35), ISNUMBER(N36), ISNUMBER(#REF!), ISNUMBER(N39)), SUM(N6, N10, N15, N19, N25, N29, N35:N36, N39), "")</f>
        <v/>
      </c>
      <c r="O46" s="696"/>
      <c r="P46" s="696"/>
      <c r="Q46" s="696"/>
      <c r="R46" s="279"/>
    </row>
    <row r="47" spans="1:18" ht="15" customHeight="1" x14ac:dyDescent="0.35">
      <c r="A47" s="259"/>
      <c r="B47" s="2"/>
      <c r="C47" s="2"/>
      <c r="D47" s="2"/>
      <c r="E47" s="85"/>
      <c r="F47" s="2"/>
      <c r="G47" s="2"/>
      <c r="H47" s="2"/>
      <c r="I47" s="2"/>
      <c r="J47" s="2"/>
      <c r="K47" s="2"/>
      <c r="L47" s="2"/>
      <c r="M47" s="2"/>
      <c r="N47" s="2"/>
      <c r="O47" s="2"/>
      <c r="P47" s="2"/>
      <c r="Q47" s="2"/>
      <c r="R47" s="279"/>
    </row>
    <row r="48" spans="1:18" ht="45" customHeight="1" x14ac:dyDescent="0.45">
      <c r="A48" s="727" t="s">
        <v>637</v>
      </c>
      <c r="B48" s="925"/>
      <c r="C48" s="925"/>
      <c r="D48" s="925"/>
      <c r="E48" s="925"/>
      <c r="F48" s="925"/>
      <c r="G48" s="925"/>
      <c r="H48" s="925"/>
      <c r="I48" s="925"/>
      <c r="J48" s="925"/>
      <c r="K48" s="925"/>
      <c r="L48" s="925"/>
      <c r="M48" s="925"/>
      <c r="N48" s="925"/>
      <c r="O48" s="925"/>
      <c r="P48" s="925"/>
      <c r="Q48" s="925"/>
      <c r="R48" s="728"/>
    </row>
    <row r="49" spans="1:19" ht="30" customHeight="1" x14ac:dyDescent="0.45">
      <c r="A49" s="736" t="s">
        <v>638</v>
      </c>
      <c r="B49" s="38"/>
      <c r="C49" s="38"/>
      <c r="D49" s="38"/>
      <c r="E49" s="39"/>
      <c r="F49" s="40"/>
      <c r="G49" s="2"/>
      <c r="H49" s="2"/>
      <c r="I49" s="2"/>
      <c r="J49" s="2"/>
      <c r="K49" s="2"/>
      <c r="L49" s="2"/>
      <c r="M49" s="2"/>
      <c r="N49" s="2"/>
      <c r="O49" s="2"/>
      <c r="P49" s="2"/>
      <c r="Q49" s="2"/>
      <c r="R49" s="279"/>
    </row>
    <row r="50" spans="1:19" ht="15" customHeight="1" x14ac:dyDescent="0.35">
      <c r="A50" s="259"/>
      <c r="B50" s="2"/>
      <c r="C50" s="2"/>
      <c r="D50" s="2"/>
      <c r="E50" s="2"/>
      <c r="F50" s="2"/>
      <c r="G50" s="2"/>
      <c r="H50" s="2"/>
      <c r="I50" s="2"/>
      <c r="J50" s="2"/>
      <c r="K50" s="2"/>
      <c r="L50" s="2"/>
      <c r="M50" s="2"/>
      <c r="N50" s="2"/>
      <c r="O50" s="2"/>
      <c r="P50" s="2"/>
      <c r="Q50" s="2"/>
      <c r="R50" s="279"/>
    </row>
    <row r="51" spans="1:19" ht="15" customHeight="1" x14ac:dyDescent="0.35">
      <c r="A51" s="259"/>
      <c r="B51" s="2665"/>
      <c r="C51" s="2663" t="s">
        <v>591</v>
      </c>
      <c r="D51" s="541"/>
      <c r="E51" s="2667" t="s">
        <v>592</v>
      </c>
      <c r="F51" s="2668"/>
      <c r="G51" s="2668"/>
      <c r="H51" s="2669"/>
      <c r="I51" s="1629"/>
      <c r="J51" s="1630"/>
      <c r="K51" s="2656" t="s">
        <v>639</v>
      </c>
      <c r="L51" s="2656"/>
      <c r="M51" s="2656"/>
      <c r="N51" s="2657"/>
      <c r="O51" s="2655" t="s">
        <v>640</v>
      </c>
      <c r="P51" s="2656"/>
      <c r="Q51" s="2656"/>
      <c r="R51" s="279"/>
    </row>
    <row r="52" spans="1:19" ht="30" customHeight="1" x14ac:dyDescent="0.35">
      <c r="A52" s="259"/>
      <c r="B52" s="2666"/>
      <c r="C52" s="2664"/>
      <c r="D52" s="1662"/>
      <c r="E52" s="1672" t="s">
        <v>595</v>
      </c>
      <c r="F52" s="1672" t="s">
        <v>596</v>
      </c>
      <c r="G52" s="1673" t="s">
        <v>597</v>
      </c>
      <c r="H52" s="1730" t="s">
        <v>641</v>
      </c>
      <c r="I52" s="1629"/>
      <c r="J52" s="1630"/>
      <c r="K52" s="1671" t="s">
        <v>595</v>
      </c>
      <c r="L52" s="1672" t="s">
        <v>596</v>
      </c>
      <c r="M52" s="1673" t="s">
        <v>598</v>
      </c>
      <c r="N52" s="1730" t="s">
        <v>641</v>
      </c>
      <c r="O52" s="1641" t="s">
        <v>595</v>
      </c>
      <c r="P52" s="928" t="s">
        <v>596</v>
      </c>
      <c r="Q52" s="923" t="s">
        <v>598</v>
      </c>
      <c r="R52" s="279"/>
    </row>
    <row r="53" spans="1:19" s="98" customFormat="1" ht="15" customHeight="1" x14ac:dyDescent="0.35">
      <c r="A53" s="263"/>
      <c r="B53" s="1700" t="s">
        <v>642</v>
      </c>
      <c r="C53" s="469"/>
      <c r="D53" s="470"/>
      <c r="E53" s="470"/>
      <c r="F53" s="470"/>
      <c r="G53" s="470"/>
      <c r="H53" s="1066" t="str">
        <f>IF(AND(ISNUMBER(H54), ISNUMBER(H55)), H54+H55, "")</f>
        <v/>
      </c>
      <c r="I53" s="1631"/>
      <c r="J53" s="1632"/>
      <c r="K53" s="469"/>
      <c r="L53" s="470"/>
      <c r="M53" s="471"/>
      <c r="N53" s="1066" t="str">
        <f>IF(AND(ISNUMBER(N54), ISNUMBER(N55)), N54+N55, "")</f>
        <v/>
      </c>
      <c r="O53" s="1639"/>
      <c r="P53" s="470"/>
      <c r="Q53" s="471"/>
      <c r="R53" s="315"/>
    </row>
    <row r="54" spans="1:19" ht="15" customHeight="1" x14ac:dyDescent="0.35">
      <c r="A54" s="259"/>
      <c r="B54" s="113" t="s">
        <v>643</v>
      </c>
      <c r="C54" s="1618" t="s">
        <v>644</v>
      </c>
      <c r="D54" s="1674"/>
      <c r="E54" s="41"/>
      <c r="F54" s="14"/>
      <c r="G54" s="14"/>
      <c r="H54" s="1666" t="str">
        <f>IF(ISNUMBER(E54), E54, "")</f>
        <v/>
      </c>
      <c r="I54" s="1633"/>
      <c r="J54" s="1634"/>
      <c r="K54" s="97" t="str">
        <f t="shared" ref="K54:K56" si="4">IF(AND(ISNUMBER(E54), ISNUMBER(O54)), E54*O54, "")</f>
        <v/>
      </c>
      <c r="L54" s="46"/>
      <c r="M54" s="12"/>
      <c r="N54" s="1666" t="str">
        <f>IF(ISNUMBER(K54), K54, "")</f>
        <v/>
      </c>
      <c r="O54" s="1627">
        <f>Parameters!F20</f>
        <v>0</v>
      </c>
      <c r="P54" s="48"/>
      <c r="Q54" s="1621"/>
      <c r="R54" s="279"/>
      <c r="S54" s="98">
        <f>IF(ISNUMBER(N54),1,0)</f>
        <v>0</v>
      </c>
    </row>
    <row r="55" spans="1:19" ht="15" customHeight="1" x14ac:dyDescent="0.35">
      <c r="A55" s="259"/>
      <c r="B55" s="113" t="s">
        <v>645</v>
      </c>
      <c r="C55" s="1618" t="s">
        <v>646</v>
      </c>
      <c r="D55" s="1674"/>
      <c r="E55" s="41"/>
      <c r="F55" s="41"/>
      <c r="G55" s="41"/>
      <c r="H55" s="1666" t="str">
        <f>IF(AND(ISNUMBER(E55), ISNUMBER(F55), ISNUMBER(G55)), SUM(E55:G55), "")</f>
        <v/>
      </c>
      <c r="I55" s="1633"/>
      <c r="J55" s="1634"/>
      <c r="K55" s="97" t="str">
        <f t="shared" si="4"/>
        <v/>
      </c>
      <c r="L55" s="97" t="str">
        <f t="shared" ref="L55:L56" si="5">IF(AND(ISNUMBER(F55), ISNUMBER(P55)), F55*P55, "")</f>
        <v/>
      </c>
      <c r="M55" s="97" t="str">
        <f t="shared" ref="M55:M56" si="6">IF(AND(ISNUMBER(G55), ISNUMBER(Q55)), G55*Q55, "")</f>
        <v/>
      </c>
      <c r="N55" s="1666" t="str">
        <f>IF(AND(ISNUMBER(K55), ISNUMBER(L55), ISNUMBER(M55)), SUM(K55:M55), "")</f>
        <v/>
      </c>
      <c r="O55" s="1627">
        <f>Parameters!F21</f>
        <v>0</v>
      </c>
      <c r="P55" s="44">
        <f>Parameters!G21</f>
        <v>0</v>
      </c>
      <c r="Q55" s="43">
        <f>Parameters!H21</f>
        <v>0</v>
      </c>
      <c r="R55" s="279"/>
      <c r="S55" s="98">
        <f>IF(ISNUMBER(N55),1,0)</f>
        <v>0</v>
      </c>
    </row>
    <row r="56" spans="1:19" ht="15" customHeight="1" x14ac:dyDescent="0.35">
      <c r="A56" s="259"/>
      <c r="B56" s="112" t="s">
        <v>647</v>
      </c>
      <c r="C56" s="1618" t="s">
        <v>648</v>
      </c>
      <c r="D56" s="1674"/>
      <c r="E56" s="41"/>
      <c r="F56" s="41"/>
      <c r="G56" s="41"/>
      <c r="H56" s="1666" t="str">
        <f>IF(AND(ISNUMBER(E56), ISNUMBER(F56), ISNUMBER(G56)), SUM(E56:G56), "")</f>
        <v/>
      </c>
      <c r="I56" s="1633"/>
      <c r="J56" s="1634"/>
      <c r="K56" s="97" t="str">
        <f t="shared" si="4"/>
        <v/>
      </c>
      <c r="L56" s="97" t="str">
        <f t="shared" si="5"/>
        <v/>
      </c>
      <c r="M56" s="97" t="str">
        <f t="shared" si="6"/>
        <v/>
      </c>
      <c r="N56" s="1666" t="str">
        <f>IF(AND(ISNUMBER(K56), ISNUMBER(L56), ISNUMBER(M56)), SUM(K56:M56), "")</f>
        <v/>
      </c>
      <c r="O56" s="1627">
        <f>Parameters!F22</f>
        <v>0</v>
      </c>
      <c r="P56" s="44">
        <f>Parameters!G22</f>
        <v>0</v>
      </c>
      <c r="Q56" s="43">
        <f>Parameters!H22</f>
        <v>0</v>
      </c>
      <c r="R56" s="279"/>
      <c r="S56" s="98">
        <f>IF(ISNUMBER(N56),1,0)</f>
        <v>0</v>
      </c>
    </row>
    <row r="57" spans="1:19" s="98" customFormat="1" ht="15" customHeight="1" x14ac:dyDescent="0.35">
      <c r="A57" s="263"/>
      <c r="B57" s="1676" t="s">
        <v>649</v>
      </c>
      <c r="C57" s="25"/>
      <c r="D57" s="14"/>
      <c r="E57" s="352" t="str">
        <f t="shared" ref="E57:G57" si="7">IF(AND(ISNUMBER(E55), ISNUMBER(E56)), IF(E56&lt;=E55, "Pass", "Fail"), "")</f>
        <v/>
      </c>
      <c r="F57" s="352" t="str">
        <f t="shared" si="7"/>
        <v/>
      </c>
      <c r="G57" s="352" t="str">
        <f t="shared" si="7"/>
        <v/>
      </c>
      <c r="H57" s="730"/>
      <c r="I57" s="1633"/>
      <c r="J57" s="1634"/>
      <c r="K57" s="25"/>
      <c r="L57" s="14"/>
      <c r="M57" s="14"/>
      <c r="N57" s="730"/>
      <c r="O57" s="1686"/>
      <c r="P57" s="46"/>
      <c r="Q57" s="12"/>
      <c r="R57" s="315"/>
    </row>
    <row r="58" spans="1:19" ht="15" hidden="1" customHeight="1" x14ac:dyDescent="0.35">
      <c r="A58" s="259"/>
      <c r="B58" s="74"/>
      <c r="C58" s="25"/>
      <c r="D58" s="14"/>
      <c r="E58" s="14"/>
      <c r="F58" s="14"/>
      <c r="G58" s="14"/>
      <c r="H58" s="730"/>
      <c r="I58" s="1633"/>
      <c r="J58" s="1634"/>
      <c r="K58" s="45"/>
      <c r="L58" s="46"/>
      <c r="M58" s="12"/>
      <c r="N58" s="1731"/>
      <c r="O58" s="1686"/>
      <c r="P58" s="46"/>
      <c r="Q58" s="12"/>
      <c r="R58" s="279"/>
    </row>
    <row r="59" spans="1:19" ht="60" customHeight="1" x14ac:dyDescent="0.35">
      <c r="A59" s="259"/>
      <c r="B59" s="121" t="s">
        <v>650</v>
      </c>
      <c r="C59" s="25"/>
      <c r="D59" s="14"/>
      <c r="E59" s="14"/>
      <c r="F59" s="14"/>
      <c r="G59" s="14"/>
      <c r="H59" s="1065" t="str">
        <f>IF(AND(ISNUMBER(H60), ISNUMBER(H61), ISNUMBER(H62), ISNUMBER(H63), ISNUMBER(H64), ISNUMBER(H65)), SUM(H60:H65), "")</f>
        <v/>
      </c>
      <c r="I59" s="1633"/>
      <c r="J59" s="1634"/>
      <c r="K59" s="25"/>
      <c r="L59" s="14"/>
      <c r="M59" s="14"/>
      <c r="N59" s="1065" t="str">
        <f>IF(AND(ISNUMBER(N60), ISNUMBER(N61), ISNUMBER(N62), ISNUMBER(N63), ISNUMBER(N64), ISNUMBER(N65)), SUM(N60:N65), "")</f>
        <v/>
      </c>
      <c r="O59" s="1625"/>
      <c r="P59" s="14"/>
      <c r="Q59" s="26"/>
      <c r="R59" s="279"/>
    </row>
    <row r="60" spans="1:19" ht="15" customHeight="1" x14ac:dyDescent="0.35">
      <c r="A60" s="259"/>
      <c r="B60" s="1667" t="s">
        <v>651</v>
      </c>
      <c r="C60" s="25"/>
      <c r="D60" s="14"/>
      <c r="E60" s="41"/>
      <c r="F60" s="41"/>
      <c r="G60" s="41"/>
      <c r="H60" s="1666" t="str">
        <f t="shared" ref="H60:H65" si="8">IF(AND(ISNUMBER(E60), ISNUMBER(F60), ISNUMBER(G60)), SUM(E60:G60), "")</f>
        <v/>
      </c>
      <c r="I60" s="1633"/>
      <c r="J60" s="1634"/>
      <c r="K60" s="97" t="str">
        <f>IF(AND(ISNUMBER(E60), ISNUMBER(O60)), E60*O60, "")</f>
        <v/>
      </c>
      <c r="L60" s="97" t="str">
        <f t="shared" ref="L60:L65" si="9">IF(AND(ISNUMBER(F60), ISNUMBER(P60)), F60*P60, "")</f>
        <v/>
      </c>
      <c r="M60" s="97" t="str">
        <f t="shared" ref="M60:M65" si="10">IF(AND(ISNUMBER(G60), ISNUMBER(Q60)), G60*Q60, "")</f>
        <v/>
      </c>
      <c r="N60" s="1666" t="str">
        <f t="shared" ref="N60:N65" si="11">IF(AND(ISNUMBER(K60), ISNUMBER(L60), ISNUMBER(M60)), SUM(K60:M60), "")</f>
        <v/>
      </c>
      <c r="O60" s="1627">
        <f>Parameters!F26</f>
        <v>0</v>
      </c>
      <c r="P60" s="117">
        <f>Parameters!G26</f>
        <v>0</v>
      </c>
      <c r="Q60" s="43">
        <f>Parameters!H26</f>
        <v>0</v>
      </c>
      <c r="R60" s="279"/>
      <c r="S60" s="98">
        <f>IF(ISNUMBER(N60),1,0)</f>
        <v>0</v>
      </c>
    </row>
    <row r="61" spans="1:19" ht="15" customHeight="1" x14ac:dyDescent="0.35">
      <c r="A61" s="259"/>
      <c r="B61" s="1667" t="s">
        <v>652</v>
      </c>
      <c r="C61" s="25"/>
      <c r="D61" s="14"/>
      <c r="E61" s="41"/>
      <c r="F61" s="41"/>
      <c r="G61" s="41"/>
      <c r="H61" s="1666" t="str">
        <f t="shared" si="8"/>
        <v/>
      </c>
      <c r="I61" s="1633"/>
      <c r="J61" s="1634"/>
      <c r="K61" s="97" t="str">
        <f t="shared" ref="K61:K65" si="12">IF(AND(ISNUMBER(E61), ISNUMBER(O61)), E61*O61, "")</f>
        <v/>
      </c>
      <c r="L61" s="97" t="str">
        <f t="shared" si="9"/>
        <v/>
      </c>
      <c r="M61" s="97" t="str">
        <f t="shared" si="10"/>
        <v/>
      </c>
      <c r="N61" s="1666" t="str">
        <f t="shared" si="11"/>
        <v/>
      </c>
      <c r="O61" s="1627">
        <f>Parameters!F27</f>
        <v>0</v>
      </c>
      <c r="P61" s="117">
        <f>Parameters!G27</f>
        <v>0</v>
      </c>
      <c r="Q61" s="43">
        <f>Parameters!H27</f>
        <v>0</v>
      </c>
      <c r="R61" s="279"/>
      <c r="S61" s="98">
        <f t="shared" ref="S61:S73" si="13">IF(ISNUMBER(N61),1,0)</f>
        <v>0</v>
      </c>
    </row>
    <row r="62" spans="1:19" ht="15" customHeight="1" x14ac:dyDescent="0.35">
      <c r="A62" s="259"/>
      <c r="B62" s="1667" t="s">
        <v>653</v>
      </c>
      <c r="C62" s="25"/>
      <c r="D62" s="14"/>
      <c r="E62" s="41"/>
      <c r="F62" s="41"/>
      <c r="G62" s="41"/>
      <c r="H62" s="1666" t="str">
        <f t="shared" si="8"/>
        <v/>
      </c>
      <c r="I62" s="1633"/>
      <c r="J62" s="1634"/>
      <c r="K62" s="97" t="str">
        <f t="shared" si="12"/>
        <v/>
      </c>
      <c r="L62" s="97" t="str">
        <f t="shared" si="9"/>
        <v/>
      </c>
      <c r="M62" s="97" t="str">
        <f t="shared" si="10"/>
        <v/>
      </c>
      <c r="N62" s="1666" t="str">
        <f t="shared" si="11"/>
        <v/>
      </c>
      <c r="O62" s="1627">
        <f>Parameters!F28</f>
        <v>0</v>
      </c>
      <c r="P62" s="117">
        <f>Parameters!G28</f>
        <v>0</v>
      </c>
      <c r="Q62" s="43">
        <f>Parameters!H28</f>
        <v>0</v>
      </c>
      <c r="R62" s="279"/>
      <c r="S62" s="98">
        <f t="shared" si="13"/>
        <v>0</v>
      </c>
    </row>
    <row r="63" spans="1:19" ht="15" customHeight="1" x14ac:dyDescent="0.35">
      <c r="A63" s="259"/>
      <c r="B63" s="1667" t="s">
        <v>654</v>
      </c>
      <c r="C63" s="25"/>
      <c r="D63" s="14"/>
      <c r="E63" s="41"/>
      <c r="F63" s="41"/>
      <c r="G63" s="41"/>
      <c r="H63" s="1666" t="str">
        <f t="shared" si="8"/>
        <v/>
      </c>
      <c r="I63" s="1633"/>
      <c r="J63" s="1634"/>
      <c r="K63" s="97" t="str">
        <f t="shared" si="12"/>
        <v/>
      </c>
      <c r="L63" s="97" t="str">
        <f t="shared" si="9"/>
        <v/>
      </c>
      <c r="M63" s="97" t="str">
        <f t="shared" si="10"/>
        <v/>
      </c>
      <c r="N63" s="1666" t="str">
        <f t="shared" si="11"/>
        <v/>
      </c>
      <c r="O63" s="1627">
        <f>Parameters!F29</f>
        <v>0</v>
      </c>
      <c r="P63" s="117">
        <f>Parameters!G29</f>
        <v>0</v>
      </c>
      <c r="Q63" s="43">
        <f>Parameters!H29</f>
        <v>0</v>
      </c>
      <c r="R63" s="279"/>
      <c r="S63" s="98">
        <f t="shared" si="13"/>
        <v>0</v>
      </c>
    </row>
    <row r="64" spans="1:19" ht="15" customHeight="1" x14ac:dyDescent="0.35">
      <c r="A64" s="259"/>
      <c r="B64" s="1667" t="s">
        <v>655</v>
      </c>
      <c r="C64" s="25"/>
      <c r="D64" s="14"/>
      <c r="E64" s="41"/>
      <c r="F64" s="41"/>
      <c r="G64" s="41"/>
      <c r="H64" s="1666" t="str">
        <f t="shared" si="8"/>
        <v/>
      </c>
      <c r="I64" s="1633"/>
      <c r="J64" s="1634"/>
      <c r="K64" s="97" t="str">
        <f t="shared" si="12"/>
        <v/>
      </c>
      <c r="L64" s="97" t="str">
        <f t="shared" si="9"/>
        <v/>
      </c>
      <c r="M64" s="97" t="str">
        <f t="shared" si="10"/>
        <v/>
      </c>
      <c r="N64" s="1666" t="str">
        <f t="shared" si="11"/>
        <v/>
      </c>
      <c r="O64" s="1627">
        <f>Parameters!F30</f>
        <v>0</v>
      </c>
      <c r="P64" s="117">
        <f>Parameters!G30</f>
        <v>0</v>
      </c>
      <c r="Q64" s="43">
        <f>Parameters!H30</f>
        <v>0</v>
      </c>
      <c r="R64" s="279"/>
    </row>
    <row r="65" spans="1:19" ht="15" customHeight="1" x14ac:dyDescent="0.35">
      <c r="A65" s="259"/>
      <c r="B65" s="1667" t="s">
        <v>656</v>
      </c>
      <c r="C65" s="25"/>
      <c r="D65" s="14"/>
      <c r="E65" s="41"/>
      <c r="F65" s="41"/>
      <c r="G65" s="41"/>
      <c r="H65" s="1666" t="str">
        <f t="shared" si="8"/>
        <v/>
      </c>
      <c r="I65" s="1633"/>
      <c r="J65" s="1634"/>
      <c r="K65" s="97" t="str">
        <f t="shared" si="12"/>
        <v/>
      </c>
      <c r="L65" s="97" t="str">
        <f t="shared" si="9"/>
        <v/>
      </c>
      <c r="M65" s="97" t="str">
        <f t="shared" si="10"/>
        <v/>
      </c>
      <c r="N65" s="1666" t="str">
        <f t="shared" si="11"/>
        <v/>
      </c>
      <c r="O65" s="1627">
        <f>Parameters!F31</f>
        <v>0</v>
      </c>
      <c r="P65" s="117">
        <f>Parameters!G31</f>
        <v>0</v>
      </c>
      <c r="Q65" s="43">
        <f>Parameters!H31</f>
        <v>0</v>
      </c>
      <c r="R65" s="279"/>
    </row>
    <row r="66" spans="1:19" ht="15" hidden="1" customHeight="1" x14ac:dyDescent="0.35">
      <c r="A66" s="259"/>
      <c r="B66" s="531"/>
      <c r="C66" s="25"/>
      <c r="D66" s="14"/>
      <c r="E66" s="1560"/>
      <c r="F66" s="1560"/>
      <c r="G66" s="1560"/>
      <c r="H66" s="1656"/>
      <c r="I66" s="1633"/>
      <c r="J66" s="1634"/>
      <c r="K66" s="452"/>
      <c r="L66" s="16"/>
      <c r="M66" s="452"/>
      <c r="N66" s="1657"/>
      <c r="O66" s="1658"/>
      <c r="P66" s="1680"/>
      <c r="Q66" s="1626"/>
      <c r="R66" s="279"/>
    </row>
    <row r="67" spans="1:19" ht="15" hidden="1" customHeight="1" x14ac:dyDescent="0.35">
      <c r="A67" s="259"/>
      <c r="B67" s="531"/>
      <c r="C67" s="25"/>
      <c r="D67" s="14"/>
      <c r="E67" s="1560"/>
      <c r="F67" s="1560"/>
      <c r="G67" s="1560"/>
      <c r="H67" s="1656"/>
      <c r="I67" s="1633"/>
      <c r="J67" s="1634"/>
      <c r="K67" s="452"/>
      <c r="L67" s="16"/>
      <c r="M67" s="452"/>
      <c r="N67" s="1657"/>
      <c r="O67" s="1658"/>
      <c r="P67" s="1680"/>
      <c r="Q67" s="1626"/>
      <c r="R67" s="279"/>
    </row>
    <row r="68" spans="1:19" ht="30" customHeight="1" x14ac:dyDescent="0.35">
      <c r="A68" s="259"/>
      <c r="B68" s="1321" t="s">
        <v>657</v>
      </c>
      <c r="C68" s="1618" t="s">
        <v>658</v>
      </c>
      <c r="D68" s="1674"/>
      <c r="E68" s="41"/>
      <c r="F68" s="41"/>
      <c r="G68" s="41"/>
      <c r="H68" s="1666" t="str">
        <f>IF(AND(ISNUMBER(E68), ISNUMBER(F68), ISNUMBER(G68)), SUM(E68:G68), "")</f>
        <v/>
      </c>
      <c r="I68" s="1633"/>
      <c r="J68" s="1634"/>
      <c r="K68" s="97" t="str">
        <f t="shared" ref="K68" si="14">IF(AND(ISNUMBER(E68), ISNUMBER(O68)), E68*O68, "")</f>
        <v/>
      </c>
      <c r="L68" s="97" t="str">
        <f t="shared" ref="L68" si="15">IF(AND(ISNUMBER(F68), ISNUMBER(P68)), F68*P68, "")</f>
        <v/>
      </c>
      <c r="M68" s="97" t="str">
        <f t="shared" ref="M68" si="16">IF(AND(ISNUMBER(G68), ISNUMBER(Q68)), G68*Q68, "")</f>
        <v/>
      </c>
      <c r="N68" s="1065" t="str">
        <f>IF(ISNUMBER(M68), M68, "")</f>
        <v/>
      </c>
      <c r="O68" s="1622">
        <f>Parameters!F34</f>
        <v>0</v>
      </c>
      <c r="P68" s="43">
        <f>Parameters!G34</f>
        <v>0</v>
      </c>
      <c r="Q68" s="43">
        <f>Parameters!H34</f>
        <v>1</v>
      </c>
      <c r="R68" s="279"/>
      <c r="S68" s="98">
        <f t="shared" si="13"/>
        <v>0</v>
      </c>
    </row>
    <row r="69" spans="1:19" ht="30" customHeight="1" x14ac:dyDescent="0.35">
      <c r="A69" s="259"/>
      <c r="B69" s="1321" t="s">
        <v>659</v>
      </c>
      <c r="C69" s="25"/>
      <c r="D69" s="14"/>
      <c r="E69" s="14"/>
      <c r="F69" s="14"/>
      <c r="G69" s="14"/>
      <c r="H69" s="1065" t="str">
        <f>IF(AND(ISNUMBER(H70), ISNUMBER(H71), ISNUMBER(H72), ISNUMBER(H73)), SUM(H70:H73), "")</f>
        <v/>
      </c>
      <c r="I69" s="1633"/>
      <c r="J69" s="1634"/>
      <c r="K69" s="45"/>
      <c r="L69" s="46"/>
      <c r="M69" s="12"/>
      <c r="N69" s="1065" t="str">
        <f>IF(AND(ISNUMBER(N70), ISNUMBER(N71), ISNUMBER(N72), ISNUMBER(N73)), SUM(N70:N73), "")</f>
        <v/>
      </c>
      <c r="O69" s="1625"/>
      <c r="P69" s="14"/>
      <c r="Q69" s="26"/>
      <c r="R69" s="279"/>
    </row>
    <row r="70" spans="1:19" ht="15" customHeight="1" x14ac:dyDescent="0.35">
      <c r="A70" s="259"/>
      <c r="B70" s="1667" t="s">
        <v>651</v>
      </c>
      <c r="C70" s="25"/>
      <c r="D70" s="14"/>
      <c r="E70" s="41"/>
      <c r="F70" s="41"/>
      <c r="G70" s="41"/>
      <c r="H70" s="1666" t="str">
        <f t="shared" ref="H70:H73" si="17">IF(AND(ISNUMBER(E70), ISNUMBER(F70), ISNUMBER(G70)), SUM(E70:G70), "")</f>
        <v/>
      </c>
      <c r="I70" s="1633"/>
      <c r="J70" s="1634"/>
      <c r="K70" s="97" t="str">
        <f t="shared" ref="K70:K73" si="18">IF(AND(ISNUMBER(E70), ISNUMBER(O70)), E70*O70, "")</f>
        <v/>
      </c>
      <c r="L70" s="97" t="str">
        <f t="shared" ref="L70:L73" si="19">IF(AND(ISNUMBER(F70), ISNUMBER(P70)), F70*P70, "")</f>
        <v/>
      </c>
      <c r="M70" s="97" t="str">
        <f t="shared" ref="M70:M73" si="20">IF(AND(ISNUMBER(G70), ISNUMBER(Q70)), G70*Q70, "")</f>
        <v/>
      </c>
      <c r="N70" s="1065" t="str">
        <f>IF(AND(ISNUMBER(K70),ISNUMBER(L70),ISNUMBER(M70)), SUM(K70:M70), "")</f>
        <v/>
      </c>
      <c r="O70" s="1627">
        <f>Parameters!F37</f>
        <v>0.15</v>
      </c>
      <c r="P70" s="117">
        <f>Parameters!G37</f>
        <v>0.5</v>
      </c>
      <c r="Q70" s="43">
        <f>Parameters!H37</f>
        <v>1</v>
      </c>
      <c r="R70" s="279"/>
      <c r="S70" s="98">
        <f t="shared" si="13"/>
        <v>0</v>
      </c>
    </row>
    <row r="71" spans="1:19" ht="15" customHeight="1" x14ac:dyDescent="0.35">
      <c r="A71" s="259"/>
      <c r="B71" s="1667" t="s">
        <v>652</v>
      </c>
      <c r="C71" s="25"/>
      <c r="D71" s="14"/>
      <c r="E71" s="41"/>
      <c r="F71" s="41"/>
      <c r="G71" s="41"/>
      <c r="H71" s="1666" t="str">
        <f t="shared" si="17"/>
        <v/>
      </c>
      <c r="I71" s="1633"/>
      <c r="J71" s="1634"/>
      <c r="K71" s="97" t="str">
        <f t="shared" si="18"/>
        <v/>
      </c>
      <c r="L71" s="97" t="str">
        <f t="shared" si="19"/>
        <v/>
      </c>
      <c r="M71" s="97" t="str">
        <f t="shared" si="20"/>
        <v/>
      </c>
      <c r="N71" s="1065" t="str">
        <f>IF(AND(ISNUMBER(K71),ISNUMBER(L71),ISNUMBER(M71)), SUM(K71:M71), "")</f>
        <v/>
      </c>
      <c r="O71" s="1627">
        <f>Parameters!F38</f>
        <v>0.15</v>
      </c>
      <c r="P71" s="117">
        <f>Parameters!G38</f>
        <v>0.5</v>
      </c>
      <c r="Q71" s="43">
        <f>Parameters!H38</f>
        <v>1</v>
      </c>
      <c r="R71" s="279"/>
      <c r="S71" s="98">
        <f t="shared" si="13"/>
        <v>0</v>
      </c>
    </row>
    <row r="72" spans="1:19" ht="15" customHeight="1" x14ac:dyDescent="0.35">
      <c r="A72" s="259"/>
      <c r="B72" s="1667" t="s">
        <v>653</v>
      </c>
      <c r="C72" s="25"/>
      <c r="D72" s="14"/>
      <c r="E72" s="41"/>
      <c r="F72" s="41"/>
      <c r="G72" s="41"/>
      <c r="H72" s="1666" t="str">
        <f t="shared" si="17"/>
        <v/>
      </c>
      <c r="I72" s="1633"/>
      <c r="J72" s="1634"/>
      <c r="K72" s="97" t="str">
        <f t="shared" si="18"/>
        <v/>
      </c>
      <c r="L72" s="97" t="str">
        <f t="shared" si="19"/>
        <v/>
      </c>
      <c r="M72" s="97" t="str">
        <f t="shared" si="20"/>
        <v/>
      </c>
      <c r="N72" s="1065" t="str">
        <f>IF(AND(ISNUMBER(K72),ISNUMBER(L72),ISNUMBER(M72)), SUM(K72:M72), "")</f>
        <v/>
      </c>
      <c r="O72" s="1627">
        <f>Parameters!F39</f>
        <v>0.5</v>
      </c>
      <c r="P72" s="117">
        <f>Parameters!G39</f>
        <v>0.5</v>
      </c>
      <c r="Q72" s="43">
        <f>Parameters!H39</f>
        <v>1</v>
      </c>
      <c r="R72" s="279"/>
      <c r="S72" s="98">
        <f t="shared" si="13"/>
        <v>0</v>
      </c>
    </row>
    <row r="73" spans="1:19" ht="15" customHeight="1" x14ac:dyDescent="0.35">
      <c r="A73" s="259"/>
      <c r="B73" s="1667" t="s">
        <v>654</v>
      </c>
      <c r="C73" s="25"/>
      <c r="D73" s="14"/>
      <c r="E73" s="41"/>
      <c r="F73" s="41"/>
      <c r="G73" s="41"/>
      <c r="H73" s="1666" t="str">
        <f t="shared" si="17"/>
        <v/>
      </c>
      <c r="I73" s="1633"/>
      <c r="J73" s="1634"/>
      <c r="K73" s="97" t="str">
        <f t="shared" si="18"/>
        <v/>
      </c>
      <c r="L73" s="97" t="str">
        <f t="shared" si="19"/>
        <v/>
      </c>
      <c r="M73" s="97" t="str">
        <f t="shared" si="20"/>
        <v/>
      </c>
      <c r="N73" s="1065" t="str">
        <f>IF(AND(ISNUMBER(K73),ISNUMBER(L73),ISNUMBER(M73)), SUM(K73:M73), "")</f>
        <v/>
      </c>
      <c r="O73" s="1627">
        <f>Parameters!F40</f>
        <v>1</v>
      </c>
      <c r="P73" s="117">
        <f>Parameters!G40</f>
        <v>1</v>
      </c>
      <c r="Q73" s="43">
        <f>Parameters!H40</f>
        <v>1</v>
      </c>
      <c r="R73" s="279"/>
      <c r="S73" s="98">
        <f t="shared" si="13"/>
        <v>0</v>
      </c>
    </row>
    <row r="74" spans="1:19" ht="15" hidden="1" customHeight="1" x14ac:dyDescent="0.35">
      <c r="A74" s="259"/>
      <c r="B74" s="531"/>
      <c r="C74" s="25"/>
      <c r="D74" s="14"/>
      <c r="E74" s="1560"/>
      <c r="F74" s="1560"/>
      <c r="G74" s="1560"/>
      <c r="H74" s="1656"/>
      <c r="I74" s="1633"/>
      <c r="J74" s="1634"/>
      <c r="K74" s="452"/>
      <c r="L74" s="16"/>
      <c r="M74" s="452"/>
      <c r="N74" s="1657"/>
      <c r="O74" s="1658"/>
      <c r="P74" s="1680"/>
      <c r="Q74" s="1626"/>
      <c r="R74" s="279"/>
    </row>
    <row r="75" spans="1:19" ht="15" hidden="1" customHeight="1" x14ac:dyDescent="0.35">
      <c r="A75" s="259"/>
      <c r="B75" s="531"/>
      <c r="C75" s="25"/>
      <c r="D75" s="14"/>
      <c r="E75" s="1560"/>
      <c r="F75" s="1560"/>
      <c r="G75" s="1560"/>
      <c r="H75" s="1656"/>
      <c r="I75" s="1633"/>
      <c r="J75" s="1634"/>
      <c r="K75" s="452"/>
      <c r="L75" s="16"/>
      <c r="M75" s="452"/>
      <c r="N75" s="1657"/>
      <c r="O75" s="1658"/>
      <c r="P75" s="1680"/>
      <c r="Q75" s="1626"/>
      <c r="R75" s="279"/>
    </row>
    <row r="76" spans="1:19" ht="15" customHeight="1" x14ac:dyDescent="0.35">
      <c r="A76" s="259"/>
      <c r="B76" s="121" t="s">
        <v>660</v>
      </c>
      <c r="C76" s="25"/>
      <c r="D76" s="14"/>
      <c r="E76" s="14"/>
      <c r="F76" s="14"/>
      <c r="G76" s="14"/>
      <c r="H76" s="1065" t="str">
        <f>IF(AND(ISNUMBER(H77), ISNUMBER(H86), ISNUMBER(H95), ISNUMBER(H104)), H77+H86+H95+H104, "")</f>
        <v/>
      </c>
      <c r="I76" s="1633"/>
      <c r="J76" s="1634"/>
      <c r="K76" s="25"/>
      <c r="L76" s="14"/>
      <c r="M76" s="14"/>
      <c r="N76" s="1065" t="str">
        <f>IF(AND(ISNUMBER(N77), ISNUMBER(N86), ISNUMBER(N95), ISNUMBER(N104)), N77+N86+N95+N104, "")</f>
        <v/>
      </c>
      <c r="O76" s="1625"/>
      <c r="P76" s="14"/>
      <c r="Q76" s="26"/>
      <c r="R76" s="279"/>
    </row>
    <row r="77" spans="1:19" ht="45" customHeight="1" x14ac:dyDescent="0.35">
      <c r="A77" s="259"/>
      <c r="B77" s="1667" t="s">
        <v>661</v>
      </c>
      <c r="C77" s="1618" t="s">
        <v>662</v>
      </c>
      <c r="D77" s="1674"/>
      <c r="E77" s="14"/>
      <c r="F77" s="14"/>
      <c r="G77" s="14"/>
      <c r="H77" s="1065" t="str">
        <f>IF(AND(ISNUMBER(H78), ISNUMBER(H79), ISNUMBER(H80), ISNUMBER(H81), ISNUMBER(H82), ISNUMBER(H83)), SUM(H78:H83), "")</f>
        <v/>
      </c>
      <c r="I77" s="1633"/>
      <c r="J77" s="1634"/>
      <c r="K77" s="25"/>
      <c r="L77" s="14"/>
      <c r="M77" s="14"/>
      <c r="N77" s="1065" t="str">
        <f>IF(AND(ISNUMBER(N78), ISNUMBER(N79), ISNUMBER(N80), ISNUMBER(N81), ISNUMBER(N82), ISNUMBER(N83)), SUM(N78:N83), "")</f>
        <v/>
      </c>
      <c r="O77" s="1625"/>
      <c r="P77" s="14"/>
      <c r="Q77" s="26"/>
      <c r="R77" s="279"/>
    </row>
    <row r="78" spans="1:19" ht="15" customHeight="1" x14ac:dyDescent="0.35">
      <c r="A78" s="259"/>
      <c r="B78" s="1669" t="s">
        <v>651</v>
      </c>
      <c r="C78" s="25"/>
      <c r="D78" s="14"/>
      <c r="E78" s="41"/>
      <c r="F78" s="41"/>
      <c r="G78" s="41"/>
      <c r="H78" s="1666" t="str">
        <f t="shared" ref="H78:H83" si="21">IF(AND(ISNUMBER(E78), ISNUMBER(F78), ISNUMBER(G78)), SUM(E78:G78), "")</f>
        <v/>
      </c>
      <c r="I78" s="1633"/>
      <c r="J78" s="1634"/>
      <c r="K78" s="97" t="str">
        <f t="shared" ref="K78:K83" si="22">IF(AND(ISNUMBER(E78), ISNUMBER(O78)), E78*O78, "")</f>
        <v/>
      </c>
      <c r="L78" s="97" t="str">
        <f t="shared" ref="L78:L83" si="23">IF(AND(ISNUMBER(F78), ISNUMBER(P78)), F78*P78, "")</f>
        <v/>
      </c>
      <c r="M78" s="97" t="str">
        <f t="shared" ref="M78:M83" si="24">IF(AND(ISNUMBER(G78), ISNUMBER(Q78)), G78*Q78, "")</f>
        <v/>
      </c>
      <c r="N78" s="1666" t="str">
        <f t="shared" ref="N78:N83" si="25">IF(AND(ISNUMBER(K78), ISNUMBER(L78), ISNUMBER(M78)), SUM(K78:M78), "")</f>
        <v/>
      </c>
      <c r="O78" s="1627">
        <f>Parameters!F45</f>
        <v>0.1</v>
      </c>
      <c r="P78" s="117">
        <f>Parameters!G45</f>
        <v>0.5</v>
      </c>
      <c r="Q78" s="43">
        <f>Parameters!H45</f>
        <v>1</v>
      </c>
      <c r="R78" s="279"/>
      <c r="S78" s="98">
        <f>IF(ISNUMBER(N78),1,0)</f>
        <v>0</v>
      </c>
    </row>
    <row r="79" spans="1:19" ht="15" customHeight="1" x14ac:dyDescent="0.35">
      <c r="A79" s="259"/>
      <c r="B79" s="1669" t="s">
        <v>652</v>
      </c>
      <c r="C79" s="25"/>
      <c r="D79" s="14"/>
      <c r="E79" s="41"/>
      <c r="F79" s="41"/>
      <c r="G79" s="41"/>
      <c r="H79" s="1666" t="str">
        <f t="shared" si="21"/>
        <v/>
      </c>
      <c r="I79" s="1633"/>
      <c r="J79" s="1634"/>
      <c r="K79" s="97" t="str">
        <f t="shared" si="22"/>
        <v/>
      </c>
      <c r="L79" s="97" t="str">
        <f t="shared" si="23"/>
        <v/>
      </c>
      <c r="M79" s="97" t="str">
        <f t="shared" si="24"/>
        <v/>
      </c>
      <c r="N79" s="1666" t="str">
        <f t="shared" si="25"/>
        <v/>
      </c>
      <c r="O79" s="1627">
        <f>Parameters!F46</f>
        <v>0.1</v>
      </c>
      <c r="P79" s="117">
        <f>Parameters!G46</f>
        <v>0.5</v>
      </c>
      <c r="Q79" s="43">
        <f>Parameters!H46</f>
        <v>1</v>
      </c>
      <c r="R79" s="279"/>
      <c r="S79" s="98">
        <f t="shared" ref="S79:S81" si="26">IF(ISNUMBER(N79),1,0)</f>
        <v>0</v>
      </c>
    </row>
    <row r="80" spans="1:19" ht="15" customHeight="1" x14ac:dyDescent="0.35">
      <c r="A80" s="259"/>
      <c r="B80" s="1669" t="s">
        <v>653</v>
      </c>
      <c r="C80" s="25"/>
      <c r="D80" s="14"/>
      <c r="E80" s="41"/>
      <c r="F80" s="41"/>
      <c r="G80" s="41"/>
      <c r="H80" s="1666" t="str">
        <f t="shared" si="21"/>
        <v/>
      </c>
      <c r="I80" s="1633"/>
      <c r="J80" s="1634"/>
      <c r="K80" s="97" t="str">
        <f t="shared" si="22"/>
        <v/>
      </c>
      <c r="L80" s="97" t="str">
        <f t="shared" si="23"/>
        <v/>
      </c>
      <c r="M80" s="97" t="str">
        <f t="shared" si="24"/>
        <v/>
      </c>
      <c r="N80" s="1666" t="str">
        <f t="shared" si="25"/>
        <v/>
      </c>
      <c r="O80" s="1627">
        <f>Parameters!F47</f>
        <v>0.5</v>
      </c>
      <c r="P80" s="117">
        <f>Parameters!G47</f>
        <v>0.5</v>
      </c>
      <c r="Q80" s="43">
        <f>Parameters!H47</f>
        <v>1</v>
      </c>
      <c r="R80" s="279"/>
      <c r="S80" s="98">
        <f t="shared" si="26"/>
        <v>0</v>
      </c>
    </row>
    <row r="81" spans="1:19" ht="15" customHeight="1" x14ac:dyDescent="0.35">
      <c r="A81" s="259"/>
      <c r="B81" s="1669" t="s">
        <v>654</v>
      </c>
      <c r="C81" s="25"/>
      <c r="D81" s="14"/>
      <c r="E81" s="41"/>
      <c r="F81" s="41"/>
      <c r="G81" s="41"/>
      <c r="H81" s="1666" t="str">
        <f t="shared" si="21"/>
        <v/>
      </c>
      <c r="I81" s="1633"/>
      <c r="J81" s="1634"/>
      <c r="K81" s="97" t="str">
        <f t="shared" si="22"/>
        <v/>
      </c>
      <c r="L81" s="97" t="str">
        <f t="shared" si="23"/>
        <v/>
      </c>
      <c r="M81" s="97" t="str">
        <f t="shared" si="24"/>
        <v/>
      </c>
      <c r="N81" s="1666" t="str">
        <f t="shared" si="25"/>
        <v/>
      </c>
      <c r="O81" s="1627">
        <f>Parameters!F48</f>
        <v>1</v>
      </c>
      <c r="P81" s="117">
        <f>Parameters!G48</f>
        <v>1</v>
      </c>
      <c r="Q81" s="43">
        <f>Parameters!H48</f>
        <v>1</v>
      </c>
      <c r="R81" s="279"/>
      <c r="S81" s="98">
        <f t="shared" si="26"/>
        <v>0</v>
      </c>
    </row>
    <row r="82" spans="1:19" ht="15" customHeight="1" x14ac:dyDescent="0.35">
      <c r="A82" s="259"/>
      <c r="B82" s="1669" t="s">
        <v>655</v>
      </c>
      <c r="C82" s="25"/>
      <c r="D82" s="14"/>
      <c r="E82" s="41"/>
      <c r="F82" s="41"/>
      <c r="G82" s="41"/>
      <c r="H82" s="1666" t="str">
        <f t="shared" si="21"/>
        <v/>
      </c>
      <c r="I82" s="1633"/>
      <c r="J82" s="1634"/>
      <c r="K82" s="97" t="str">
        <f t="shared" si="22"/>
        <v/>
      </c>
      <c r="L82" s="97" t="str">
        <f t="shared" si="23"/>
        <v/>
      </c>
      <c r="M82" s="97" t="str">
        <f t="shared" si="24"/>
        <v/>
      </c>
      <c r="N82" s="1666" t="str">
        <f t="shared" si="25"/>
        <v/>
      </c>
      <c r="O82" s="1627">
        <f>Parameters!F49</f>
        <v>0</v>
      </c>
      <c r="P82" s="117">
        <f>Parameters!G49</f>
        <v>0</v>
      </c>
      <c r="Q82" s="43">
        <f>Parameters!H49</f>
        <v>0</v>
      </c>
      <c r="R82" s="279"/>
    </row>
    <row r="83" spans="1:19" ht="15" customHeight="1" x14ac:dyDescent="0.35">
      <c r="A83" s="259"/>
      <c r="B83" s="1669" t="s">
        <v>656</v>
      </c>
      <c r="C83" s="25"/>
      <c r="D83" s="14"/>
      <c r="E83" s="41"/>
      <c r="F83" s="41"/>
      <c r="G83" s="41"/>
      <c r="H83" s="1666" t="str">
        <f t="shared" si="21"/>
        <v/>
      </c>
      <c r="I83" s="1633"/>
      <c r="J83" s="1634"/>
      <c r="K83" s="97" t="str">
        <f t="shared" si="22"/>
        <v/>
      </c>
      <c r="L83" s="97" t="str">
        <f t="shared" si="23"/>
        <v/>
      </c>
      <c r="M83" s="97" t="str">
        <f t="shared" si="24"/>
        <v/>
      </c>
      <c r="N83" s="1666" t="str">
        <f t="shared" si="25"/>
        <v/>
      </c>
      <c r="O83" s="1627">
        <f>Parameters!F50</f>
        <v>0</v>
      </c>
      <c r="P83" s="117">
        <f>Parameters!G50</f>
        <v>0</v>
      </c>
      <c r="Q83" s="43">
        <f>Parameters!H50</f>
        <v>0</v>
      </c>
      <c r="R83" s="279"/>
    </row>
    <row r="84" spans="1:19" ht="15" hidden="1" customHeight="1" x14ac:dyDescent="0.35">
      <c r="A84" s="259"/>
      <c r="B84" s="531"/>
      <c r="C84" s="25"/>
      <c r="D84" s="14"/>
      <c r="E84" s="1560"/>
      <c r="F84" s="1560"/>
      <c r="G84" s="1560"/>
      <c r="H84" s="1656"/>
      <c r="I84" s="1633"/>
      <c r="J84" s="1634"/>
      <c r="K84" s="452"/>
      <c r="L84" s="16"/>
      <c r="M84" s="452"/>
      <c r="N84" s="1657"/>
      <c r="O84" s="1658"/>
      <c r="P84" s="1680"/>
      <c r="Q84" s="1626"/>
      <c r="R84" s="279"/>
    </row>
    <row r="85" spans="1:19" ht="15" hidden="1" customHeight="1" x14ac:dyDescent="0.35">
      <c r="A85" s="259"/>
      <c r="B85" s="531"/>
      <c r="C85" s="25"/>
      <c r="D85" s="14"/>
      <c r="E85" s="1560"/>
      <c r="F85" s="1560"/>
      <c r="G85" s="1560"/>
      <c r="H85" s="1656"/>
      <c r="I85" s="1633"/>
      <c r="J85" s="1634"/>
      <c r="K85" s="452"/>
      <c r="L85" s="16"/>
      <c r="M85" s="452"/>
      <c r="N85" s="1657"/>
      <c r="O85" s="1658"/>
      <c r="P85" s="1680"/>
      <c r="Q85" s="1626"/>
      <c r="R85" s="279"/>
    </row>
    <row r="86" spans="1:19" ht="45" customHeight="1" x14ac:dyDescent="0.35">
      <c r="A86" s="259"/>
      <c r="B86" s="1667" t="s">
        <v>663</v>
      </c>
      <c r="C86" s="1618" t="s">
        <v>664</v>
      </c>
      <c r="D86" s="1674"/>
      <c r="E86" s="14"/>
      <c r="F86" s="14"/>
      <c r="G86" s="14"/>
      <c r="H86" s="1065" t="str">
        <f>IF(AND(ISNUMBER(H87), ISNUMBER(H88), ISNUMBER(H89), ISNUMBER(H90), ISNUMBER(H91), ISNUMBER(H92)), SUM(H87:H92), "")</f>
        <v/>
      </c>
      <c r="I86" s="1633"/>
      <c r="J86" s="1634"/>
      <c r="K86" s="25"/>
      <c r="L86" s="25"/>
      <c r="M86" s="25"/>
      <c r="N86" s="1065" t="str">
        <f>IF(AND(ISNUMBER(N87), ISNUMBER(N88), ISNUMBER(N89), ISNUMBER(N90), ISNUMBER(N91), ISNUMBER(N92)), SUM(N87:N92), "")</f>
        <v/>
      </c>
      <c r="O86" s="1625"/>
      <c r="P86" s="25"/>
      <c r="Q86" s="26"/>
      <c r="R86" s="279"/>
    </row>
    <row r="87" spans="1:19" ht="15" customHeight="1" x14ac:dyDescent="0.35">
      <c r="A87" s="259"/>
      <c r="B87" s="1669" t="s">
        <v>651</v>
      </c>
      <c r="C87" s="25"/>
      <c r="D87" s="14"/>
      <c r="E87" s="41"/>
      <c r="F87" s="41"/>
      <c r="G87" s="41"/>
      <c r="H87" s="1666" t="str">
        <f t="shared" ref="H87:H92" si="27">IF(AND(ISNUMBER(E87), ISNUMBER(F87), ISNUMBER(G87)), SUM(E87:G87), "")</f>
        <v/>
      </c>
      <c r="I87" s="1633"/>
      <c r="J87" s="1634"/>
      <c r="K87" s="97" t="str">
        <f t="shared" ref="K87:K92" si="28">IF(AND(ISNUMBER(E87), ISNUMBER(O87)), E87*O87, "")</f>
        <v/>
      </c>
      <c r="L87" s="97" t="str">
        <f t="shared" ref="L87:L92" si="29">IF(AND(ISNUMBER(F87), ISNUMBER(P87)), F87*P87, "")</f>
        <v/>
      </c>
      <c r="M87" s="97" t="str">
        <f t="shared" ref="M87:M92" si="30">IF(AND(ISNUMBER(G87), ISNUMBER(Q87)), G87*Q87, "")</f>
        <v/>
      </c>
      <c r="N87" s="1666" t="str">
        <f t="shared" ref="N87:N92" si="31">IF(AND(ISNUMBER(K87), ISNUMBER(L87), ISNUMBER(M87)), SUM(K87:M87), "")</f>
        <v/>
      </c>
      <c r="O87" s="1627">
        <f>Parameters!F54</f>
        <v>0.15</v>
      </c>
      <c r="P87" s="117">
        <f>Parameters!G54</f>
        <v>0.5</v>
      </c>
      <c r="Q87" s="43">
        <f>Parameters!H54</f>
        <v>1</v>
      </c>
      <c r="R87" s="279"/>
      <c r="S87" s="98">
        <f>IF(ISNUMBER(N87),1,0)</f>
        <v>0</v>
      </c>
    </row>
    <row r="88" spans="1:19" ht="15" customHeight="1" x14ac:dyDescent="0.35">
      <c r="A88" s="259"/>
      <c r="B88" s="1669" t="s">
        <v>652</v>
      </c>
      <c r="C88" s="25"/>
      <c r="D88" s="14"/>
      <c r="E88" s="41"/>
      <c r="F88" s="41"/>
      <c r="G88" s="41"/>
      <c r="H88" s="1666" t="str">
        <f t="shared" si="27"/>
        <v/>
      </c>
      <c r="I88" s="1633"/>
      <c r="J88" s="1634"/>
      <c r="K88" s="97" t="str">
        <f t="shared" si="28"/>
        <v/>
      </c>
      <c r="L88" s="97" t="str">
        <f t="shared" si="29"/>
        <v/>
      </c>
      <c r="M88" s="97" t="str">
        <f t="shared" si="30"/>
        <v/>
      </c>
      <c r="N88" s="1666" t="str">
        <f t="shared" si="31"/>
        <v/>
      </c>
      <c r="O88" s="1627">
        <f>Parameters!F55</f>
        <v>0.15</v>
      </c>
      <c r="P88" s="117">
        <f>Parameters!G55</f>
        <v>0.5</v>
      </c>
      <c r="Q88" s="43">
        <f>Parameters!H55</f>
        <v>1</v>
      </c>
      <c r="R88" s="279"/>
      <c r="S88" s="98">
        <f t="shared" ref="S88:S90" si="32">IF(ISNUMBER(N88),1,0)</f>
        <v>0</v>
      </c>
    </row>
    <row r="89" spans="1:19" ht="15" customHeight="1" x14ac:dyDescent="0.35">
      <c r="A89" s="259"/>
      <c r="B89" s="1669" t="s">
        <v>653</v>
      </c>
      <c r="C89" s="25"/>
      <c r="D89" s="14"/>
      <c r="E89" s="41"/>
      <c r="F89" s="41"/>
      <c r="G89" s="41"/>
      <c r="H89" s="1666" t="str">
        <f t="shared" si="27"/>
        <v/>
      </c>
      <c r="I89" s="1633"/>
      <c r="J89" s="1634"/>
      <c r="K89" s="97" t="str">
        <f t="shared" si="28"/>
        <v/>
      </c>
      <c r="L89" s="97" t="str">
        <f t="shared" si="29"/>
        <v/>
      </c>
      <c r="M89" s="97" t="str">
        <f t="shared" si="30"/>
        <v/>
      </c>
      <c r="N89" s="1666" t="str">
        <f t="shared" si="31"/>
        <v/>
      </c>
      <c r="O89" s="1627">
        <f>Parameters!F56</f>
        <v>0.5</v>
      </c>
      <c r="P89" s="117">
        <f>Parameters!G56</f>
        <v>0.5</v>
      </c>
      <c r="Q89" s="43">
        <f>Parameters!H56</f>
        <v>1</v>
      </c>
      <c r="R89" s="279"/>
      <c r="S89" s="98">
        <f t="shared" si="32"/>
        <v>0</v>
      </c>
    </row>
    <row r="90" spans="1:19" ht="15" customHeight="1" x14ac:dyDescent="0.35">
      <c r="A90" s="259"/>
      <c r="B90" s="1669" t="s">
        <v>654</v>
      </c>
      <c r="C90" s="25"/>
      <c r="D90" s="14"/>
      <c r="E90" s="41"/>
      <c r="F90" s="41"/>
      <c r="G90" s="41"/>
      <c r="H90" s="1666" t="str">
        <f t="shared" si="27"/>
        <v/>
      </c>
      <c r="I90" s="1633"/>
      <c r="J90" s="1634"/>
      <c r="K90" s="97" t="str">
        <f t="shared" si="28"/>
        <v/>
      </c>
      <c r="L90" s="97" t="str">
        <f t="shared" si="29"/>
        <v/>
      </c>
      <c r="M90" s="97" t="str">
        <f t="shared" si="30"/>
        <v/>
      </c>
      <c r="N90" s="1666" t="str">
        <f t="shared" si="31"/>
        <v/>
      </c>
      <c r="O90" s="1627">
        <f>Parameters!F57</f>
        <v>1</v>
      </c>
      <c r="P90" s="117">
        <f>Parameters!G57</f>
        <v>1</v>
      </c>
      <c r="Q90" s="43">
        <f>Parameters!H57</f>
        <v>1</v>
      </c>
      <c r="R90" s="279"/>
      <c r="S90" s="98">
        <f t="shared" si="32"/>
        <v>0</v>
      </c>
    </row>
    <row r="91" spans="1:19" ht="15" customHeight="1" x14ac:dyDescent="0.35">
      <c r="A91" s="259"/>
      <c r="B91" s="1669" t="s">
        <v>655</v>
      </c>
      <c r="C91" s="25"/>
      <c r="D91" s="14"/>
      <c r="E91" s="41"/>
      <c r="F91" s="41"/>
      <c r="G91" s="41"/>
      <c r="H91" s="1666" t="str">
        <f t="shared" si="27"/>
        <v/>
      </c>
      <c r="I91" s="1633"/>
      <c r="J91" s="1634"/>
      <c r="K91" s="97" t="str">
        <f t="shared" si="28"/>
        <v/>
      </c>
      <c r="L91" s="97" t="str">
        <f t="shared" si="29"/>
        <v/>
      </c>
      <c r="M91" s="97" t="str">
        <f t="shared" si="30"/>
        <v/>
      </c>
      <c r="N91" s="1666" t="str">
        <f t="shared" si="31"/>
        <v/>
      </c>
      <c r="O91" s="1627">
        <f>Parameters!F58</f>
        <v>0</v>
      </c>
      <c r="P91" s="117">
        <f>Parameters!G58</f>
        <v>0</v>
      </c>
      <c r="Q91" s="43">
        <f>Parameters!H58</f>
        <v>0</v>
      </c>
      <c r="R91" s="279"/>
    </row>
    <row r="92" spans="1:19" ht="15" customHeight="1" x14ac:dyDescent="0.35">
      <c r="A92" s="259"/>
      <c r="B92" s="1669" t="s">
        <v>656</v>
      </c>
      <c r="C92" s="25"/>
      <c r="D92" s="14"/>
      <c r="E92" s="41"/>
      <c r="F92" s="41"/>
      <c r="G92" s="41"/>
      <c r="H92" s="1666" t="str">
        <f t="shared" si="27"/>
        <v/>
      </c>
      <c r="I92" s="1633"/>
      <c r="J92" s="1634"/>
      <c r="K92" s="97" t="str">
        <f t="shared" si="28"/>
        <v/>
      </c>
      <c r="L92" s="97" t="str">
        <f t="shared" si="29"/>
        <v/>
      </c>
      <c r="M92" s="97" t="str">
        <f t="shared" si="30"/>
        <v/>
      </c>
      <c r="N92" s="1666" t="str">
        <f t="shared" si="31"/>
        <v/>
      </c>
      <c r="O92" s="1627">
        <f>Parameters!F59</f>
        <v>0</v>
      </c>
      <c r="P92" s="117">
        <f>Parameters!G59</f>
        <v>0</v>
      </c>
      <c r="Q92" s="43">
        <f>Parameters!H59</f>
        <v>0</v>
      </c>
      <c r="R92" s="279"/>
    </row>
    <row r="93" spans="1:19" ht="15" hidden="1" customHeight="1" x14ac:dyDescent="0.35">
      <c r="A93" s="259"/>
      <c r="B93" s="531"/>
      <c r="C93" s="25"/>
      <c r="D93" s="14"/>
      <c r="E93" s="1560"/>
      <c r="F93" s="1560"/>
      <c r="G93" s="1560"/>
      <c r="H93" s="1656"/>
      <c r="I93" s="1633"/>
      <c r="J93" s="1634"/>
      <c r="K93" s="452"/>
      <c r="L93" s="16"/>
      <c r="M93" s="452"/>
      <c r="N93" s="1657"/>
      <c r="O93" s="1658"/>
      <c r="P93" s="1680"/>
      <c r="Q93" s="1626"/>
      <c r="R93" s="279"/>
    </row>
    <row r="94" spans="1:19" ht="15" hidden="1" customHeight="1" x14ac:dyDescent="0.35">
      <c r="A94" s="259"/>
      <c r="B94" s="531"/>
      <c r="C94" s="25"/>
      <c r="D94" s="14"/>
      <c r="E94" s="1560"/>
      <c r="F94" s="1560"/>
      <c r="G94" s="1560"/>
      <c r="H94" s="1656"/>
      <c r="I94" s="1633"/>
      <c r="J94" s="1634"/>
      <c r="K94" s="452"/>
      <c r="L94" s="16"/>
      <c r="M94" s="452"/>
      <c r="N94" s="1657"/>
      <c r="O94" s="1658"/>
      <c r="P94" s="1680"/>
      <c r="Q94" s="1626"/>
      <c r="R94" s="279"/>
    </row>
    <row r="95" spans="1:19" ht="45" customHeight="1" x14ac:dyDescent="0.35">
      <c r="A95" s="259"/>
      <c r="B95" s="1667" t="s">
        <v>665</v>
      </c>
      <c r="C95" s="1618" t="s">
        <v>664</v>
      </c>
      <c r="D95" s="1674"/>
      <c r="E95" s="14"/>
      <c r="F95" s="14"/>
      <c r="G95" s="14"/>
      <c r="H95" s="1065" t="str">
        <f>IF(AND(ISNUMBER(H96), ISNUMBER(H97), ISNUMBER(H98), ISNUMBER(H99), ISNUMBER(H100), ISNUMBER(H101)), SUM(H96:H101), "")</f>
        <v/>
      </c>
      <c r="I95" s="1633"/>
      <c r="J95" s="1634"/>
      <c r="K95" s="25"/>
      <c r="L95" s="25"/>
      <c r="M95" s="25"/>
      <c r="N95" s="1065" t="str">
        <f>IF(AND(ISNUMBER(N96), ISNUMBER(N97), ISNUMBER(N98), ISNUMBER(N99), ISNUMBER(N100), ISNUMBER(N101)), SUM(N96:N101), "")</f>
        <v/>
      </c>
      <c r="O95" s="1625"/>
      <c r="P95" s="25"/>
      <c r="Q95" s="26"/>
      <c r="R95" s="279"/>
    </row>
    <row r="96" spans="1:19" ht="15" customHeight="1" x14ac:dyDescent="0.35">
      <c r="A96" s="259"/>
      <c r="B96" s="1669" t="s">
        <v>651</v>
      </c>
      <c r="C96" s="25"/>
      <c r="D96" s="14"/>
      <c r="E96" s="41"/>
      <c r="F96" s="41"/>
      <c r="G96" s="41"/>
      <c r="H96" s="1666" t="str">
        <f t="shared" ref="H96:H101" si="33">IF(AND(ISNUMBER(E96), ISNUMBER(F96), ISNUMBER(G96)), SUM(E96:G96), "")</f>
        <v/>
      </c>
      <c r="I96" s="1633"/>
      <c r="J96" s="1634"/>
      <c r="K96" s="97" t="str">
        <f t="shared" ref="K96:K101" si="34">IF(AND(ISNUMBER(E96), ISNUMBER(O96)), E96*O96, "")</f>
        <v/>
      </c>
      <c r="L96" s="97" t="str">
        <f t="shared" ref="L96:L101" si="35">IF(AND(ISNUMBER(F96), ISNUMBER(P96)), F96*P96, "")</f>
        <v/>
      </c>
      <c r="M96" s="97" t="str">
        <f t="shared" ref="M96:M101" si="36">IF(AND(ISNUMBER(G96), ISNUMBER(Q96)), G96*Q96, "")</f>
        <v/>
      </c>
      <c r="N96" s="1666" t="str">
        <f t="shared" ref="N96:N101" si="37">IF(AND(ISNUMBER(K96), ISNUMBER(L96), ISNUMBER(M96)), SUM(K96:M96), "")</f>
        <v/>
      </c>
      <c r="O96" s="1627">
        <f>Parameters!F63</f>
        <v>0.15</v>
      </c>
      <c r="P96" s="117">
        <f>Parameters!G63</f>
        <v>0.5</v>
      </c>
      <c r="Q96" s="43">
        <f>Parameters!H63</f>
        <v>1</v>
      </c>
      <c r="R96" s="279"/>
      <c r="S96" s="98">
        <f>IF(ISNUMBER(N96),1,0)</f>
        <v>0</v>
      </c>
    </row>
    <row r="97" spans="1:19" ht="15" customHeight="1" x14ac:dyDescent="0.35">
      <c r="A97" s="259"/>
      <c r="B97" s="1669" t="s">
        <v>652</v>
      </c>
      <c r="C97" s="25"/>
      <c r="D97" s="14"/>
      <c r="E97" s="41"/>
      <c r="F97" s="41"/>
      <c r="G97" s="41"/>
      <c r="H97" s="1666" t="str">
        <f t="shared" si="33"/>
        <v/>
      </c>
      <c r="I97" s="1633"/>
      <c r="J97" s="1634"/>
      <c r="K97" s="97" t="str">
        <f t="shared" si="34"/>
        <v/>
      </c>
      <c r="L97" s="97" t="str">
        <f t="shared" si="35"/>
        <v/>
      </c>
      <c r="M97" s="97" t="str">
        <f t="shared" si="36"/>
        <v/>
      </c>
      <c r="N97" s="1666" t="str">
        <f t="shared" si="37"/>
        <v/>
      </c>
      <c r="O97" s="1627">
        <f>Parameters!F64</f>
        <v>0.15</v>
      </c>
      <c r="P97" s="117">
        <f>Parameters!G64</f>
        <v>0.5</v>
      </c>
      <c r="Q97" s="43">
        <f>Parameters!H64</f>
        <v>1</v>
      </c>
      <c r="R97" s="279"/>
      <c r="S97" s="98">
        <f t="shared" ref="S97:S99" si="38">IF(ISNUMBER(N97),1,0)</f>
        <v>0</v>
      </c>
    </row>
    <row r="98" spans="1:19" ht="15" customHeight="1" x14ac:dyDescent="0.35">
      <c r="A98" s="259"/>
      <c r="B98" s="1669" t="s">
        <v>653</v>
      </c>
      <c r="C98" s="25"/>
      <c r="D98" s="14"/>
      <c r="E98" s="41"/>
      <c r="F98" s="41"/>
      <c r="G98" s="41"/>
      <c r="H98" s="1666" t="str">
        <f t="shared" si="33"/>
        <v/>
      </c>
      <c r="I98" s="1633"/>
      <c r="J98" s="1634"/>
      <c r="K98" s="97" t="str">
        <f t="shared" si="34"/>
        <v/>
      </c>
      <c r="L98" s="97" t="str">
        <f t="shared" si="35"/>
        <v/>
      </c>
      <c r="M98" s="97" t="str">
        <f t="shared" si="36"/>
        <v/>
      </c>
      <c r="N98" s="1666" t="str">
        <f t="shared" si="37"/>
        <v/>
      </c>
      <c r="O98" s="1627">
        <f>Parameters!F65</f>
        <v>0.5</v>
      </c>
      <c r="P98" s="117">
        <f>Parameters!G65</f>
        <v>0.5</v>
      </c>
      <c r="Q98" s="43">
        <f>Parameters!H65</f>
        <v>1</v>
      </c>
      <c r="R98" s="279"/>
      <c r="S98" s="98">
        <f t="shared" si="38"/>
        <v>0</v>
      </c>
    </row>
    <row r="99" spans="1:19" ht="15" customHeight="1" x14ac:dyDescent="0.35">
      <c r="A99" s="259"/>
      <c r="B99" s="1669" t="s">
        <v>654</v>
      </c>
      <c r="C99" s="25"/>
      <c r="D99" s="14"/>
      <c r="E99" s="41"/>
      <c r="F99" s="41"/>
      <c r="G99" s="41"/>
      <c r="H99" s="1666" t="str">
        <f t="shared" si="33"/>
        <v/>
      </c>
      <c r="I99" s="1633"/>
      <c r="J99" s="1634"/>
      <c r="K99" s="97" t="str">
        <f t="shared" si="34"/>
        <v/>
      </c>
      <c r="L99" s="97" t="str">
        <f t="shared" si="35"/>
        <v/>
      </c>
      <c r="M99" s="97" t="str">
        <f t="shared" si="36"/>
        <v/>
      </c>
      <c r="N99" s="1666" t="str">
        <f t="shared" si="37"/>
        <v/>
      </c>
      <c r="O99" s="1627">
        <f>Parameters!F66</f>
        <v>1</v>
      </c>
      <c r="P99" s="117">
        <f>Parameters!G66</f>
        <v>1</v>
      </c>
      <c r="Q99" s="43">
        <f>Parameters!H66</f>
        <v>1</v>
      </c>
      <c r="R99" s="279"/>
      <c r="S99" s="98">
        <f t="shared" si="38"/>
        <v>0</v>
      </c>
    </row>
    <row r="100" spans="1:19" ht="15" customHeight="1" x14ac:dyDescent="0.35">
      <c r="A100" s="259"/>
      <c r="B100" s="1669" t="s">
        <v>655</v>
      </c>
      <c r="C100" s="25"/>
      <c r="D100" s="14"/>
      <c r="E100" s="41"/>
      <c r="F100" s="41"/>
      <c r="G100" s="41"/>
      <c r="H100" s="1666" t="str">
        <f t="shared" si="33"/>
        <v/>
      </c>
      <c r="I100" s="1633"/>
      <c r="J100" s="1634"/>
      <c r="K100" s="97" t="str">
        <f t="shared" si="34"/>
        <v/>
      </c>
      <c r="L100" s="97" t="str">
        <f t="shared" si="35"/>
        <v/>
      </c>
      <c r="M100" s="97" t="str">
        <f t="shared" si="36"/>
        <v/>
      </c>
      <c r="N100" s="1666" t="str">
        <f t="shared" si="37"/>
        <v/>
      </c>
      <c r="O100" s="1627">
        <f>Parameters!F67</f>
        <v>0</v>
      </c>
      <c r="P100" s="117">
        <f>Parameters!G67</f>
        <v>0</v>
      </c>
      <c r="Q100" s="43">
        <f>Parameters!H67</f>
        <v>0</v>
      </c>
      <c r="R100" s="279"/>
    </row>
    <row r="101" spans="1:19" ht="15" customHeight="1" x14ac:dyDescent="0.35">
      <c r="A101" s="259"/>
      <c r="B101" s="1669" t="s">
        <v>656</v>
      </c>
      <c r="C101" s="25"/>
      <c r="D101" s="14"/>
      <c r="E101" s="41"/>
      <c r="F101" s="41"/>
      <c r="G101" s="41"/>
      <c r="H101" s="1666" t="str">
        <f t="shared" si="33"/>
        <v/>
      </c>
      <c r="I101" s="1633"/>
      <c r="J101" s="1634"/>
      <c r="K101" s="97" t="str">
        <f t="shared" si="34"/>
        <v/>
      </c>
      <c r="L101" s="97" t="str">
        <f t="shared" si="35"/>
        <v/>
      </c>
      <c r="M101" s="97" t="str">
        <f t="shared" si="36"/>
        <v/>
      </c>
      <c r="N101" s="1666" t="str">
        <f t="shared" si="37"/>
        <v/>
      </c>
      <c r="O101" s="1627">
        <f>Parameters!F68</f>
        <v>0</v>
      </c>
      <c r="P101" s="117">
        <f>Parameters!G68</f>
        <v>0</v>
      </c>
      <c r="Q101" s="43">
        <f>Parameters!H68</f>
        <v>0</v>
      </c>
      <c r="R101" s="279"/>
    </row>
    <row r="102" spans="1:19" ht="15" hidden="1" customHeight="1" x14ac:dyDescent="0.35">
      <c r="A102" s="259"/>
      <c r="B102" s="531"/>
      <c r="C102" s="25"/>
      <c r="D102" s="14"/>
      <c r="E102" s="1560"/>
      <c r="F102" s="1560"/>
      <c r="G102" s="1560"/>
      <c r="H102" s="1656"/>
      <c r="I102" s="1633"/>
      <c r="J102" s="1634"/>
      <c r="K102" s="452"/>
      <c r="L102" s="16"/>
      <c r="M102" s="452"/>
      <c r="N102" s="1657"/>
      <c r="O102" s="1658"/>
      <c r="P102" s="1680"/>
      <c r="Q102" s="1626"/>
      <c r="R102" s="279"/>
    </row>
    <row r="103" spans="1:19" ht="15" hidden="1" customHeight="1" x14ac:dyDescent="0.35">
      <c r="A103" s="259"/>
      <c r="B103" s="531"/>
      <c r="C103" s="25"/>
      <c r="D103" s="14"/>
      <c r="E103" s="1560"/>
      <c r="F103" s="1560"/>
      <c r="G103" s="1560"/>
      <c r="H103" s="1656"/>
      <c r="I103" s="1633"/>
      <c r="J103" s="1634"/>
      <c r="K103" s="452"/>
      <c r="L103" s="16"/>
      <c r="M103" s="452"/>
      <c r="N103" s="1657"/>
      <c r="O103" s="1658"/>
      <c r="P103" s="1680"/>
      <c r="Q103" s="1626"/>
      <c r="R103" s="279"/>
    </row>
    <row r="104" spans="1:19" ht="15" hidden="1" customHeight="1" x14ac:dyDescent="0.35">
      <c r="A104" s="259"/>
      <c r="B104" s="531"/>
      <c r="C104" s="25"/>
      <c r="D104" s="14"/>
      <c r="E104" s="1560"/>
      <c r="F104" s="1560"/>
      <c r="G104" s="1560"/>
      <c r="H104" s="1656"/>
      <c r="I104" s="1633"/>
      <c r="J104" s="1634"/>
      <c r="K104" s="452"/>
      <c r="L104" s="16"/>
      <c r="M104" s="452"/>
      <c r="N104" s="1657"/>
      <c r="O104" s="1658"/>
      <c r="P104" s="1680"/>
      <c r="Q104" s="1626"/>
      <c r="R104" s="279"/>
    </row>
    <row r="105" spans="1:19" ht="15" hidden="1" customHeight="1" x14ac:dyDescent="0.35">
      <c r="A105" s="259"/>
      <c r="B105" s="531"/>
      <c r="C105" s="25"/>
      <c r="D105" s="14"/>
      <c r="E105" s="1560"/>
      <c r="F105" s="1560"/>
      <c r="G105" s="1560"/>
      <c r="H105" s="1656"/>
      <c r="I105" s="1633"/>
      <c r="J105" s="1634"/>
      <c r="K105" s="452"/>
      <c r="L105" s="16"/>
      <c r="M105" s="452"/>
      <c r="N105" s="1657"/>
      <c r="O105" s="1658"/>
      <c r="P105" s="1680"/>
      <c r="Q105" s="1626"/>
      <c r="R105" s="279"/>
    </row>
    <row r="106" spans="1:19" ht="15" hidden="1" customHeight="1" x14ac:dyDescent="0.35">
      <c r="A106" s="259"/>
      <c r="B106" s="531"/>
      <c r="C106" s="25"/>
      <c r="D106" s="14"/>
      <c r="E106" s="1560"/>
      <c r="F106" s="1560"/>
      <c r="G106" s="1560"/>
      <c r="H106" s="1656"/>
      <c r="I106" s="1633"/>
      <c r="J106" s="1634"/>
      <c r="K106" s="452"/>
      <c r="L106" s="16"/>
      <c r="M106" s="452"/>
      <c r="N106" s="1657"/>
      <c r="O106" s="1658"/>
      <c r="P106" s="1680"/>
      <c r="Q106" s="1626"/>
      <c r="R106" s="279"/>
    </row>
    <row r="107" spans="1:19" ht="15" hidden="1" customHeight="1" x14ac:dyDescent="0.35">
      <c r="A107" s="259"/>
      <c r="B107" s="531"/>
      <c r="C107" s="25"/>
      <c r="D107" s="14"/>
      <c r="E107" s="1560"/>
      <c r="F107" s="1560"/>
      <c r="G107" s="1560"/>
      <c r="H107" s="1656"/>
      <c r="I107" s="1633"/>
      <c r="J107" s="1634"/>
      <c r="K107" s="452"/>
      <c r="L107" s="16"/>
      <c r="M107" s="452"/>
      <c r="N107" s="1657"/>
      <c r="O107" s="1658"/>
      <c r="P107" s="1680"/>
      <c r="Q107" s="1626"/>
      <c r="R107" s="279"/>
    </row>
    <row r="108" spans="1:19" ht="15" hidden="1" customHeight="1" x14ac:dyDescent="0.35">
      <c r="A108" s="259"/>
      <c r="B108" s="531"/>
      <c r="C108" s="25"/>
      <c r="D108" s="14"/>
      <c r="E108" s="1560"/>
      <c r="F108" s="1560"/>
      <c r="G108" s="1560"/>
      <c r="H108" s="1656"/>
      <c r="I108" s="1633"/>
      <c r="J108" s="1634"/>
      <c r="K108" s="452"/>
      <c r="L108" s="16"/>
      <c r="M108" s="452"/>
      <c r="N108" s="1657"/>
      <c r="O108" s="1658"/>
      <c r="P108" s="1680"/>
      <c r="Q108" s="1626"/>
      <c r="R108" s="279"/>
    </row>
    <row r="109" spans="1:19" ht="15" hidden="1" customHeight="1" x14ac:dyDescent="0.35">
      <c r="A109" s="259"/>
      <c r="B109" s="531"/>
      <c r="C109" s="25"/>
      <c r="D109" s="14"/>
      <c r="E109" s="1560"/>
      <c r="F109" s="1560"/>
      <c r="G109" s="1560"/>
      <c r="H109" s="1656"/>
      <c r="I109" s="1633"/>
      <c r="J109" s="1634"/>
      <c r="K109" s="452"/>
      <c r="L109" s="16"/>
      <c r="M109" s="452"/>
      <c r="N109" s="1657"/>
      <c r="O109" s="1658"/>
      <c r="P109" s="1680"/>
      <c r="Q109" s="1626"/>
      <c r="R109" s="279"/>
    </row>
    <row r="110" spans="1:19" ht="15" hidden="1" customHeight="1" x14ac:dyDescent="0.35">
      <c r="A110" s="259"/>
      <c r="B110" s="531"/>
      <c r="C110" s="25"/>
      <c r="D110" s="14"/>
      <c r="E110" s="1560"/>
      <c r="F110" s="1560"/>
      <c r="G110" s="1560"/>
      <c r="H110" s="1656"/>
      <c r="I110" s="1633"/>
      <c r="J110" s="1634"/>
      <c r="K110" s="452"/>
      <c r="L110" s="16"/>
      <c r="M110" s="452"/>
      <c r="N110" s="1657"/>
      <c r="O110" s="1658"/>
      <c r="P110" s="1680"/>
      <c r="Q110" s="1626"/>
      <c r="R110" s="279"/>
    </row>
    <row r="111" spans="1:19" ht="15" hidden="1" customHeight="1" x14ac:dyDescent="0.35">
      <c r="A111" s="259"/>
      <c r="B111" s="531"/>
      <c r="C111" s="25"/>
      <c r="D111" s="14"/>
      <c r="E111" s="1560"/>
      <c r="F111" s="1560"/>
      <c r="G111" s="1560"/>
      <c r="H111" s="1656"/>
      <c r="I111" s="1633"/>
      <c r="J111" s="1634"/>
      <c r="K111" s="452"/>
      <c r="L111" s="16"/>
      <c r="M111" s="452"/>
      <c r="N111" s="1657"/>
      <c r="O111" s="1658"/>
      <c r="P111" s="1680"/>
      <c r="Q111" s="1626"/>
      <c r="R111" s="279"/>
    </row>
    <row r="112" spans="1:19" ht="15" hidden="1" customHeight="1" x14ac:dyDescent="0.35">
      <c r="A112" s="259"/>
      <c r="B112" s="531"/>
      <c r="C112" s="25"/>
      <c r="D112" s="14"/>
      <c r="E112" s="1560"/>
      <c r="F112" s="1560"/>
      <c r="G112" s="1560"/>
      <c r="H112" s="1656"/>
      <c r="I112" s="1633"/>
      <c r="J112" s="1634"/>
      <c r="K112" s="452"/>
      <c r="L112" s="16"/>
      <c r="M112" s="452"/>
      <c r="N112" s="1657"/>
      <c r="O112" s="1658"/>
      <c r="P112" s="1680"/>
      <c r="Q112" s="1626"/>
      <c r="R112" s="279"/>
    </row>
    <row r="113" spans="1:19" ht="30" customHeight="1" x14ac:dyDescent="0.35">
      <c r="A113" s="259"/>
      <c r="B113" s="1321" t="s">
        <v>666</v>
      </c>
      <c r="C113" s="1664"/>
      <c r="D113" s="1674"/>
      <c r="E113" s="14"/>
      <c r="F113" s="14"/>
      <c r="G113" s="14"/>
      <c r="H113" s="1689" t="str">
        <f>IF(AND(ISNUMBER(H114), ISNUMBER(H123), ISNUMBER(H132), ISNUMBER(H141)), H114+H123+H132+H141, "")</f>
        <v/>
      </c>
      <c r="I113" s="1633"/>
      <c r="J113" s="1634"/>
      <c r="K113" s="25"/>
      <c r="L113" s="14"/>
      <c r="M113" s="14"/>
      <c r="N113" s="1689" t="str">
        <f>IF(AND(ISNUMBER(N114), ISNUMBER(N123), ISNUMBER(N132), ISNUMBER(N141)), N114+N123+N132+N141, "")</f>
        <v/>
      </c>
      <c r="O113" s="1625"/>
      <c r="P113" s="14"/>
      <c r="Q113" s="26"/>
      <c r="R113" s="279"/>
    </row>
    <row r="114" spans="1:19" ht="30" customHeight="1" x14ac:dyDescent="0.35">
      <c r="A114" s="259"/>
      <c r="B114" s="1667" t="s">
        <v>667</v>
      </c>
      <c r="C114" s="1618" t="s">
        <v>668</v>
      </c>
      <c r="D114" s="1674"/>
      <c r="E114" s="14"/>
      <c r="F114" s="14"/>
      <c r="G114" s="14"/>
      <c r="H114" s="1065" t="str">
        <f>IF(AND(ISNUMBER(H115), ISNUMBER(H116), ISNUMBER(H117), ISNUMBER(H118), ISNUMBER(H119), ISNUMBER(H120)), SUM(H115:H120), "")</f>
        <v/>
      </c>
      <c r="I114" s="1633"/>
      <c r="J114" s="1634"/>
      <c r="K114" s="25"/>
      <c r="L114" s="14"/>
      <c r="M114" s="14"/>
      <c r="N114" s="1065" t="str">
        <f>IF(AND(ISNUMBER(N115), ISNUMBER(N116), ISNUMBER(N117), ISNUMBER(N118), ISNUMBER(N119), ISNUMBER(N120)), SUM(N115:N120), "")</f>
        <v/>
      </c>
      <c r="O114" s="1625"/>
      <c r="P114" s="14"/>
      <c r="Q114" s="26"/>
      <c r="R114" s="279"/>
    </row>
    <row r="115" spans="1:19" ht="15" customHeight="1" x14ac:dyDescent="0.35">
      <c r="A115" s="259"/>
      <c r="B115" s="1669" t="s">
        <v>651</v>
      </c>
      <c r="C115" s="25"/>
      <c r="D115" s="14"/>
      <c r="E115" s="41"/>
      <c r="F115" s="41"/>
      <c r="G115" s="41"/>
      <c r="H115" s="1666" t="str">
        <f t="shared" ref="H115:H120" si="39">IF(AND(ISNUMBER(E115), ISNUMBER(F115), ISNUMBER(G115)), SUM(E115:G115), "")</f>
        <v/>
      </c>
      <c r="I115" s="1633"/>
      <c r="J115" s="1634"/>
      <c r="K115" s="97" t="str">
        <f t="shared" ref="K115:K120" si="40">IF(AND(ISNUMBER(E115), ISNUMBER(O115)), E115*O115, "")</f>
        <v/>
      </c>
      <c r="L115" s="97" t="str">
        <f t="shared" ref="L115:L120" si="41">IF(AND(ISNUMBER(F115), ISNUMBER(P115)), F115*P115, "")</f>
        <v/>
      </c>
      <c r="M115" s="97" t="str">
        <f t="shared" ref="M115:M120" si="42">IF(AND(ISNUMBER(G115), ISNUMBER(Q115)), G115*Q115, "")</f>
        <v/>
      </c>
      <c r="N115" s="1666" t="str">
        <f t="shared" ref="N115:N120" si="43">IF(AND(ISNUMBER(K115), ISNUMBER(L115), ISNUMBER(M115)), SUM(K115:M115), "")</f>
        <v/>
      </c>
      <c r="O115" s="1627">
        <f>Parameters!F82</f>
        <v>0.05</v>
      </c>
      <c r="P115" s="117">
        <f>Parameters!G82</f>
        <v>0.05</v>
      </c>
      <c r="Q115" s="43">
        <f>Parameters!H82</f>
        <v>0.05</v>
      </c>
      <c r="R115" s="279"/>
      <c r="S115" s="98">
        <f>IF(ISNUMBER(N115),1,0)</f>
        <v>0</v>
      </c>
    </row>
    <row r="116" spans="1:19" ht="15" customHeight="1" x14ac:dyDescent="0.35">
      <c r="A116" s="259"/>
      <c r="B116" s="1669" t="s">
        <v>652</v>
      </c>
      <c r="C116" s="25"/>
      <c r="D116" s="14"/>
      <c r="E116" s="41"/>
      <c r="F116" s="41"/>
      <c r="G116" s="41"/>
      <c r="H116" s="1666" t="str">
        <f t="shared" si="39"/>
        <v/>
      </c>
      <c r="I116" s="1633"/>
      <c r="J116" s="1634"/>
      <c r="K116" s="97" t="str">
        <f t="shared" si="40"/>
        <v/>
      </c>
      <c r="L116" s="97" t="str">
        <f t="shared" si="41"/>
        <v/>
      </c>
      <c r="M116" s="97" t="str">
        <f t="shared" si="42"/>
        <v/>
      </c>
      <c r="N116" s="1666" t="str">
        <f t="shared" si="43"/>
        <v/>
      </c>
      <c r="O116" s="1627">
        <f>Parameters!F83</f>
        <v>0.05</v>
      </c>
      <c r="P116" s="117">
        <f>Parameters!G83</f>
        <v>0.05</v>
      </c>
      <c r="Q116" s="43">
        <f>Parameters!H83</f>
        <v>0.05</v>
      </c>
      <c r="R116" s="279"/>
      <c r="S116" s="98">
        <f t="shared" ref="S116:S118" si="44">IF(ISNUMBER(N116),1,0)</f>
        <v>0</v>
      </c>
    </row>
    <row r="117" spans="1:19" ht="15" customHeight="1" x14ac:dyDescent="0.35">
      <c r="A117" s="259"/>
      <c r="B117" s="1669" t="s">
        <v>653</v>
      </c>
      <c r="C117" s="25"/>
      <c r="D117" s="14"/>
      <c r="E117" s="41"/>
      <c r="F117" s="41"/>
      <c r="G117" s="41"/>
      <c r="H117" s="1666" t="str">
        <f t="shared" si="39"/>
        <v/>
      </c>
      <c r="I117" s="1633"/>
      <c r="J117" s="1634"/>
      <c r="K117" s="97" t="str">
        <f t="shared" si="40"/>
        <v/>
      </c>
      <c r="L117" s="97" t="str">
        <f t="shared" si="41"/>
        <v/>
      </c>
      <c r="M117" s="97" t="str">
        <f t="shared" si="42"/>
        <v/>
      </c>
      <c r="N117" s="1666" t="str">
        <f t="shared" si="43"/>
        <v/>
      </c>
      <c r="O117" s="1627">
        <f>Parameters!F84</f>
        <v>0.5</v>
      </c>
      <c r="P117" s="117">
        <f>Parameters!G84</f>
        <v>0.5</v>
      </c>
      <c r="Q117" s="43">
        <f>Parameters!H84</f>
        <v>0.5</v>
      </c>
      <c r="R117" s="279"/>
      <c r="S117" s="98">
        <f t="shared" si="44"/>
        <v>0</v>
      </c>
    </row>
    <row r="118" spans="1:19" ht="15" customHeight="1" x14ac:dyDescent="0.35">
      <c r="A118" s="259"/>
      <c r="B118" s="1669" t="s">
        <v>654</v>
      </c>
      <c r="C118" s="25"/>
      <c r="D118" s="14"/>
      <c r="E118" s="41"/>
      <c r="F118" s="41"/>
      <c r="G118" s="41"/>
      <c r="H118" s="1666" t="str">
        <f t="shared" si="39"/>
        <v/>
      </c>
      <c r="I118" s="1633"/>
      <c r="J118" s="1634"/>
      <c r="K118" s="97" t="str">
        <f t="shared" si="40"/>
        <v/>
      </c>
      <c r="L118" s="97" t="str">
        <f t="shared" si="41"/>
        <v/>
      </c>
      <c r="M118" s="97" t="str">
        <f t="shared" si="42"/>
        <v/>
      </c>
      <c r="N118" s="1666" t="str">
        <f t="shared" si="43"/>
        <v/>
      </c>
      <c r="O118" s="1627">
        <f>Parameters!F85</f>
        <v>1</v>
      </c>
      <c r="P118" s="117">
        <f>Parameters!G85</f>
        <v>1</v>
      </c>
      <c r="Q118" s="43">
        <f>Parameters!H85</f>
        <v>1</v>
      </c>
      <c r="R118" s="279"/>
      <c r="S118" s="98">
        <f t="shared" si="44"/>
        <v>0</v>
      </c>
    </row>
    <row r="119" spans="1:19" ht="15" customHeight="1" x14ac:dyDescent="0.35">
      <c r="A119" s="259"/>
      <c r="B119" s="1669" t="s">
        <v>655</v>
      </c>
      <c r="C119" s="25"/>
      <c r="D119" s="14"/>
      <c r="E119" s="41"/>
      <c r="F119" s="41"/>
      <c r="G119" s="41"/>
      <c r="H119" s="1666" t="str">
        <f t="shared" si="39"/>
        <v/>
      </c>
      <c r="I119" s="1633"/>
      <c r="J119" s="1634"/>
      <c r="K119" s="97" t="str">
        <f t="shared" si="40"/>
        <v/>
      </c>
      <c r="L119" s="97" t="str">
        <f t="shared" si="41"/>
        <v/>
      </c>
      <c r="M119" s="97" t="str">
        <f t="shared" si="42"/>
        <v/>
      </c>
      <c r="N119" s="1666" t="str">
        <f t="shared" si="43"/>
        <v/>
      </c>
      <c r="O119" s="1627">
        <f>Parameters!F86</f>
        <v>0</v>
      </c>
      <c r="P119" s="117">
        <f>Parameters!G86</f>
        <v>0</v>
      </c>
      <c r="Q119" s="43">
        <f>Parameters!H86</f>
        <v>0</v>
      </c>
      <c r="R119" s="279"/>
    </row>
    <row r="120" spans="1:19" ht="15" customHeight="1" x14ac:dyDescent="0.35">
      <c r="A120" s="259"/>
      <c r="B120" s="1669" t="s">
        <v>656</v>
      </c>
      <c r="C120" s="25"/>
      <c r="D120" s="14"/>
      <c r="E120" s="41"/>
      <c r="F120" s="41"/>
      <c r="G120" s="41"/>
      <c r="H120" s="1666" t="str">
        <f t="shared" si="39"/>
        <v/>
      </c>
      <c r="I120" s="1633"/>
      <c r="J120" s="1634"/>
      <c r="K120" s="97" t="str">
        <f t="shared" si="40"/>
        <v/>
      </c>
      <c r="L120" s="97" t="str">
        <f t="shared" si="41"/>
        <v/>
      </c>
      <c r="M120" s="97" t="str">
        <f t="shared" si="42"/>
        <v/>
      </c>
      <c r="N120" s="1666" t="str">
        <f t="shared" si="43"/>
        <v/>
      </c>
      <c r="O120" s="1627">
        <f>Parameters!F87</f>
        <v>0</v>
      </c>
      <c r="P120" s="117">
        <f>Parameters!G87</f>
        <v>0</v>
      </c>
      <c r="Q120" s="43">
        <f>Parameters!H87</f>
        <v>0</v>
      </c>
      <c r="R120" s="279"/>
    </row>
    <row r="121" spans="1:19" ht="15" hidden="1" customHeight="1" x14ac:dyDescent="0.35">
      <c r="A121" s="259"/>
      <c r="B121" s="531"/>
      <c r="C121" s="25"/>
      <c r="D121" s="14"/>
      <c r="E121" s="1560"/>
      <c r="F121" s="1560"/>
      <c r="G121" s="1560"/>
      <c r="H121" s="1656"/>
      <c r="I121" s="1633"/>
      <c r="J121" s="1634"/>
      <c r="K121" s="452"/>
      <c r="L121" s="16"/>
      <c r="M121" s="452"/>
      <c r="N121" s="1657"/>
      <c r="O121" s="1658"/>
      <c r="P121" s="1680"/>
      <c r="Q121" s="1626"/>
      <c r="R121" s="279"/>
    </row>
    <row r="122" spans="1:19" ht="15" hidden="1" customHeight="1" x14ac:dyDescent="0.35">
      <c r="A122" s="259"/>
      <c r="B122" s="531"/>
      <c r="C122" s="25"/>
      <c r="D122" s="14"/>
      <c r="E122" s="1560"/>
      <c r="F122" s="1560"/>
      <c r="G122" s="1560"/>
      <c r="H122" s="1656"/>
      <c r="I122" s="1633"/>
      <c r="J122" s="1634"/>
      <c r="K122" s="452"/>
      <c r="L122" s="16"/>
      <c r="M122" s="452"/>
      <c r="N122" s="1657"/>
      <c r="O122" s="1658"/>
      <c r="P122" s="1680"/>
      <c r="Q122" s="1626"/>
      <c r="R122" s="279"/>
    </row>
    <row r="123" spans="1:19" ht="30" customHeight="1" x14ac:dyDescent="0.35">
      <c r="A123" s="259"/>
      <c r="B123" s="1667" t="s">
        <v>669</v>
      </c>
      <c r="C123" s="1618" t="s">
        <v>670</v>
      </c>
      <c r="D123" s="1674"/>
      <c r="E123" s="14"/>
      <c r="F123" s="14"/>
      <c r="G123" s="14"/>
      <c r="H123" s="1065" t="str">
        <f>IF(AND(ISNUMBER(H124), ISNUMBER(H125), ISNUMBER(H126), ISNUMBER(H127), ISNUMBER(H128), ISNUMBER(H129)), SUM(H124:H129), "")</f>
        <v/>
      </c>
      <c r="I123" s="1633"/>
      <c r="J123" s="1634"/>
      <c r="K123" s="25"/>
      <c r="L123" s="14"/>
      <c r="M123" s="14"/>
      <c r="N123" s="1065" t="str">
        <f>IF(AND(ISNUMBER(N124), ISNUMBER(N125), ISNUMBER(N126), ISNUMBER(N127), ISNUMBER(N128), ISNUMBER(N129)), SUM(N124:N129), "")</f>
        <v/>
      </c>
      <c r="O123" s="1625"/>
      <c r="P123" s="14"/>
      <c r="Q123" s="26"/>
      <c r="R123" s="279"/>
    </row>
    <row r="124" spans="1:19" ht="15" customHeight="1" x14ac:dyDescent="0.35">
      <c r="A124" s="259"/>
      <c r="B124" s="1669" t="s">
        <v>651</v>
      </c>
      <c r="C124" s="25"/>
      <c r="D124" s="14"/>
      <c r="E124" s="41"/>
      <c r="F124" s="41"/>
      <c r="G124" s="41"/>
      <c r="H124" s="1666" t="str">
        <f t="shared" ref="H124:H129" si="45">IF(AND(ISNUMBER(E124), ISNUMBER(F124), ISNUMBER(G124)), SUM(E124:G124), "")</f>
        <v/>
      </c>
      <c r="I124" s="1633"/>
      <c r="J124" s="1634"/>
      <c r="K124" s="97" t="str">
        <f t="shared" ref="K124:K129" si="46">IF(AND(ISNUMBER(E124), ISNUMBER(O124)), E124*O124, "")</f>
        <v/>
      </c>
      <c r="L124" s="97" t="str">
        <f t="shared" ref="L124:L129" si="47">IF(AND(ISNUMBER(F124), ISNUMBER(P124)), F124*P124, "")</f>
        <v/>
      </c>
      <c r="M124" s="97" t="str">
        <f t="shared" ref="M124:M129" si="48">IF(AND(ISNUMBER(G124), ISNUMBER(Q124)), G124*Q124, "")</f>
        <v/>
      </c>
      <c r="N124" s="1666" t="str">
        <f t="shared" ref="N124:N129" si="49">IF(AND(ISNUMBER(K124), ISNUMBER(L124), ISNUMBER(M124)), SUM(K124:M124), "")</f>
        <v/>
      </c>
      <c r="O124" s="1627">
        <f>Parameters!F91</f>
        <v>0.15</v>
      </c>
      <c r="P124" s="117">
        <f>Parameters!G91</f>
        <v>0.15</v>
      </c>
      <c r="Q124" s="43">
        <f>Parameters!H91</f>
        <v>0.15</v>
      </c>
      <c r="R124" s="279"/>
      <c r="S124" s="98">
        <f>IF(ISNUMBER(N124),1,0)</f>
        <v>0</v>
      </c>
    </row>
    <row r="125" spans="1:19" ht="15" customHeight="1" x14ac:dyDescent="0.35">
      <c r="A125" s="259"/>
      <c r="B125" s="1669" t="s">
        <v>652</v>
      </c>
      <c r="C125" s="25"/>
      <c r="D125" s="14"/>
      <c r="E125" s="41"/>
      <c r="F125" s="41"/>
      <c r="G125" s="41"/>
      <c r="H125" s="1666" t="str">
        <f t="shared" si="45"/>
        <v/>
      </c>
      <c r="I125" s="1633"/>
      <c r="J125" s="1634"/>
      <c r="K125" s="97" t="str">
        <f t="shared" si="46"/>
        <v/>
      </c>
      <c r="L125" s="97" t="str">
        <f t="shared" si="47"/>
        <v/>
      </c>
      <c r="M125" s="97" t="str">
        <f t="shared" si="48"/>
        <v/>
      </c>
      <c r="N125" s="1666" t="str">
        <f t="shared" si="49"/>
        <v/>
      </c>
      <c r="O125" s="1627">
        <f>Parameters!F92</f>
        <v>0.15</v>
      </c>
      <c r="P125" s="117">
        <f>Parameters!G92</f>
        <v>0.15</v>
      </c>
      <c r="Q125" s="43">
        <f>Parameters!H92</f>
        <v>0.15</v>
      </c>
      <c r="R125" s="279"/>
      <c r="S125" s="98">
        <f t="shared" ref="S125:S127" si="50">IF(ISNUMBER(N125),1,0)</f>
        <v>0</v>
      </c>
    </row>
    <row r="126" spans="1:19" ht="15" customHeight="1" x14ac:dyDescent="0.35">
      <c r="A126" s="259"/>
      <c r="B126" s="1669" t="s">
        <v>653</v>
      </c>
      <c r="C126" s="25"/>
      <c r="D126" s="14"/>
      <c r="E126" s="41"/>
      <c r="F126" s="41"/>
      <c r="G126" s="41"/>
      <c r="H126" s="1666" t="str">
        <f t="shared" si="45"/>
        <v/>
      </c>
      <c r="I126" s="1633"/>
      <c r="J126" s="1634"/>
      <c r="K126" s="97" t="str">
        <f t="shared" si="46"/>
        <v/>
      </c>
      <c r="L126" s="97" t="str">
        <f t="shared" si="47"/>
        <v/>
      </c>
      <c r="M126" s="97" t="str">
        <f t="shared" si="48"/>
        <v/>
      </c>
      <c r="N126" s="1666" t="str">
        <f t="shared" si="49"/>
        <v/>
      </c>
      <c r="O126" s="1627">
        <f>Parameters!F93</f>
        <v>0.5</v>
      </c>
      <c r="P126" s="117">
        <f>Parameters!G93</f>
        <v>0.5</v>
      </c>
      <c r="Q126" s="43">
        <f>Parameters!H93</f>
        <v>0.5</v>
      </c>
      <c r="R126" s="279"/>
      <c r="S126" s="98">
        <f t="shared" si="50"/>
        <v>0</v>
      </c>
    </row>
    <row r="127" spans="1:19" ht="15" customHeight="1" x14ac:dyDescent="0.35">
      <c r="A127" s="259"/>
      <c r="B127" s="1669" t="s">
        <v>654</v>
      </c>
      <c r="C127" s="25"/>
      <c r="D127" s="14"/>
      <c r="E127" s="41"/>
      <c r="F127" s="41"/>
      <c r="G127" s="41"/>
      <c r="H127" s="1666" t="str">
        <f t="shared" si="45"/>
        <v/>
      </c>
      <c r="I127" s="1633"/>
      <c r="J127" s="1634"/>
      <c r="K127" s="97" t="str">
        <f t="shared" si="46"/>
        <v/>
      </c>
      <c r="L127" s="97" t="str">
        <f t="shared" si="47"/>
        <v/>
      </c>
      <c r="M127" s="97" t="str">
        <f t="shared" si="48"/>
        <v/>
      </c>
      <c r="N127" s="1666" t="str">
        <f t="shared" si="49"/>
        <v/>
      </c>
      <c r="O127" s="1627">
        <f>Parameters!F94</f>
        <v>1</v>
      </c>
      <c r="P127" s="117">
        <f>Parameters!G94</f>
        <v>1</v>
      </c>
      <c r="Q127" s="43">
        <f>Parameters!H94</f>
        <v>1</v>
      </c>
      <c r="R127" s="279"/>
      <c r="S127" s="98">
        <f t="shared" si="50"/>
        <v>0</v>
      </c>
    </row>
    <row r="128" spans="1:19" ht="15" customHeight="1" x14ac:dyDescent="0.35">
      <c r="A128" s="259"/>
      <c r="B128" s="1669" t="s">
        <v>655</v>
      </c>
      <c r="C128" s="25"/>
      <c r="D128" s="14"/>
      <c r="E128" s="41"/>
      <c r="F128" s="41"/>
      <c r="G128" s="41"/>
      <c r="H128" s="1666" t="str">
        <f t="shared" si="45"/>
        <v/>
      </c>
      <c r="I128" s="1633"/>
      <c r="J128" s="1634"/>
      <c r="K128" s="97" t="str">
        <f t="shared" si="46"/>
        <v/>
      </c>
      <c r="L128" s="97" t="str">
        <f t="shared" si="47"/>
        <v/>
      </c>
      <c r="M128" s="97" t="str">
        <f t="shared" si="48"/>
        <v/>
      </c>
      <c r="N128" s="1666" t="str">
        <f t="shared" si="49"/>
        <v/>
      </c>
      <c r="O128" s="1627">
        <f>Parameters!F95</f>
        <v>0</v>
      </c>
      <c r="P128" s="117">
        <f>Parameters!G95</f>
        <v>0</v>
      </c>
      <c r="Q128" s="43">
        <f>Parameters!H95</f>
        <v>0</v>
      </c>
      <c r="R128" s="279"/>
    </row>
    <row r="129" spans="1:19" ht="15" customHeight="1" x14ac:dyDescent="0.35">
      <c r="A129" s="259"/>
      <c r="B129" s="1669" t="s">
        <v>656</v>
      </c>
      <c r="C129" s="25"/>
      <c r="D129" s="14"/>
      <c r="E129" s="41"/>
      <c r="F129" s="41"/>
      <c r="G129" s="41"/>
      <c r="H129" s="1666" t="str">
        <f t="shared" si="45"/>
        <v/>
      </c>
      <c r="I129" s="1633"/>
      <c r="J129" s="1634"/>
      <c r="K129" s="97" t="str">
        <f t="shared" si="46"/>
        <v/>
      </c>
      <c r="L129" s="97" t="str">
        <f t="shared" si="47"/>
        <v/>
      </c>
      <c r="M129" s="97" t="str">
        <f t="shared" si="48"/>
        <v/>
      </c>
      <c r="N129" s="1666" t="str">
        <f t="shared" si="49"/>
        <v/>
      </c>
      <c r="O129" s="1627">
        <f>Parameters!F96</f>
        <v>0</v>
      </c>
      <c r="P129" s="117">
        <f>Parameters!G96</f>
        <v>0</v>
      </c>
      <c r="Q129" s="43">
        <f>Parameters!H96</f>
        <v>0</v>
      </c>
      <c r="R129" s="279"/>
    </row>
    <row r="130" spans="1:19" ht="15" hidden="1" customHeight="1" x14ac:dyDescent="0.35">
      <c r="A130" s="259"/>
      <c r="B130" s="531"/>
      <c r="C130" s="25"/>
      <c r="D130" s="14"/>
      <c r="E130" s="1560"/>
      <c r="F130" s="1560"/>
      <c r="G130" s="1560"/>
      <c r="H130" s="1656"/>
      <c r="I130" s="1633"/>
      <c r="J130" s="1634"/>
      <c r="K130" s="452"/>
      <c r="L130" s="16"/>
      <c r="M130" s="452"/>
      <c r="N130" s="1657"/>
      <c r="O130" s="1658"/>
      <c r="P130" s="1680"/>
      <c r="Q130" s="1626"/>
      <c r="R130" s="279"/>
    </row>
    <row r="131" spans="1:19" ht="15" hidden="1" customHeight="1" x14ac:dyDescent="0.35">
      <c r="A131" s="259"/>
      <c r="B131" s="531"/>
      <c r="C131" s="25"/>
      <c r="D131" s="14"/>
      <c r="E131" s="1560"/>
      <c r="F131" s="1560"/>
      <c r="G131" s="1560"/>
      <c r="H131" s="1656"/>
      <c r="I131" s="1633"/>
      <c r="J131" s="1634"/>
      <c r="K131" s="452"/>
      <c r="L131" s="16"/>
      <c r="M131" s="452"/>
      <c r="N131" s="1657"/>
      <c r="O131" s="1658"/>
      <c r="P131" s="1680"/>
      <c r="Q131" s="1626"/>
      <c r="R131" s="279"/>
    </row>
    <row r="132" spans="1:19" ht="30" customHeight="1" x14ac:dyDescent="0.35">
      <c r="A132" s="259"/>
      <c r="B132" s="1667" t="s">
        <v>671</v>
      </c>
      <c r="C132" s="1618" t="s">
        <v>672</v>
      </c>
      <c r="D132" s="1674"/>
      <c r="E132" s="14"/>
      <c r="F132" s="14"/>
      <c r="G132" s="14"/>
      <c r="H132" s="1065" t="str">
        <f>IF(AND(ISNUMBER(H133), ISNUMBER(H134), ISNUMBER(H135), ISNUMBER(H136), ISNUMBER(H137), ISNUMBER(H138)), SUM(H133:H138), "")</f>
        <v/>
      </c>
      <c r="I132" s="1633"/>
      <c r="J132" s="1634"/>
      <c r="K132" s="25"/>
      <c r="L132" s="14"/>
      <c r="M132" s="14"/>
      <c r="N132" s="1065" t="str">
        <f>IF(AND(ISNUMBER(N133), ISNUMBER(N134), ISNUMBER(N135), ISNUMBER(N136), ISNUMBER(N137), ISNUMBER(N138)), SUM(N133:N138), "")</f>
        <v/>
      </c>
      <c r="O132" s="1625"/>
      <c r="P132" s="14"/>
      <c r="Q132" s="26"/>
      <c r="R132" s="279"/>
    </row>
    <row r="133" spans="1:19" ht="15" customHeight="1" x14ac:dyDescent="0.35">
      <c r="A133" s="259"/>
      <c r="B133" s="1669" t="s">
        <v>651</v>
      </c>
      <c r="C133" s="25"/>
      <c r="D133" s="14"/>
      <c r="E133" s="41"/>
      <c r="F133" s="41"/>
      <c r="G133" s="41"/>
      <c r="H133" s="1666" t="str">
        <f t="shared" ref="H133:H138" si="51">IF(AND(ISNUMBER(E133), ISNUMBER(F133), ISNUMBER(G133)), SUM(E133:G133), "")</f>
        <v/>
      </c>
      <c r="I133" s="1633"/>
      <c r="J133" s="1634"/>
      <c r="K133" s="97" t="str">
        <f t="shared" ref="K133:K138" si="52">IF(AND(ISNUMBER(E133), ISNUMBER(O133)), E133*O133, "")</f>
        <v/>
      </c>
      <c r="L133" s="97" t="str">
        <f t="shared" ref="L133:L138" si="53">IF(AND(ISNUMBER(F133), ISNUMBER(P133)), F133*P133, "")</f>
        <v/>
      </c>
      <c r="M133" s="97" t="str">
        <f t="shared" ref="M133:M138" si="54">IF(AND(ISNUMBER(G133), ISNUMBER(Q133)), G133*Q133, "")</f>
        <v/>
      </c>
      <c r="N133" s="1666" t="str">
        <f t="shared" ref="N133:N138" si="55">IF(AND(ISNUMBER(K133), ISNUMBER(L133), ISNUMBER(M133)), SUM(K133:M133), "")</f>
        <v/>
      </c>
      <c r="O133" s="1627">
        <f>Parameters!F100</f>
        <v>0.5</v>
      </c>
      <c r="P133" s="117">
        <f>Parameters!G100</f>
        <v>0.5</v>
      </c>
      <c r="Q133" s="43">
        <f>Parameters!H100</f>
        <v>0.5</v>
      </c>
      <c r="R133" s="279"/>
      <c r="S133" s="98">
        <f>IF(ISNUMBER(N133),1,0)</f>
        <v>0</v>
      </c>
    </row>
    <row r="134" spans="1:19" ht="15" customHeight="1" x14ac:dyDescent="0.35">
      <c r="A134" s="259"/>
      <c r="B134" s="1669" t="s">
        <v>652</v>
      </c>
      <c r="C134" s="25"/>
      <c r="D134" s="14"/>
      <c r="E134" s="41"/>
      <c r="F134" s="41"/>
      <c r="G134" s="41"/>
      <c r="H134" s="1666" t="str">
        <f t="shared" si="51"/>
        <v/>
      </c>
      <c r="I134" s="1633"/>
      <c r="J134" s="1634"/>
      <c r="K134" s="97" t="str">
        <f t="shared" si="52"/>
        <v/>
      </c>
      <c r="L134" s="97" t="str">
        <f t="shared" si="53"/>
        <v/>
      </c>
      <c r="M134" s="97" t="str">
        <f t="shared" si="54"/>
        <v/>
      </c>
      <c r="N134" s="1666" t="str">
        <f t="shared" si="55"/>
        <v/>
      </c>
      <c r="O134" s="1627">
        <f>Parameters!F101</f>
        <v>0.5</v>
      </c>
      <c r="P134" s="117">
        <f>Parameters!G101</f>
        <v>0.5</v>
      </c>
      <c r="Q134" s="43">
        <f>Parameters!H101</f>
        <v>0.5</v>
      </c>
      <c r="R134" s="279"/>
      <c r="S134" s="98">
        <f t="shared" ref="S134:S136" si="56">IF(ISNUMBER(N134),1,0)</f>
        <v>0</v>
      </c>
    </row>
    <row r="135" spans="1:19" ht="15" customHeight="1" x14ac:dyDescent="0.35">
      <c r="A135" s="259"/>
      <c r="B135" s="1669" t="s">
        <v>653</v>
      </c>
      <c r="C135" s="25"/>
      <c r="D135" s="14"/>
      <c r="E135" s="41"/>
      <c r="F135" s="41"/>
      <c r="G135" s="41"/>
      <c r="H135" s="1666" t="str">
        <f t="shared" si="51"/>
        <v/>
      </c>
      <c r="I135" s="1633"/>
      <c r="J135" s="1634"/>
      <c r="K135" s="97" t="str">
        <f t="shared" si="52"/>
        <v/>
      </c>
      <c r="L135" s="97" t="str">
        <f t="shared" si="53"/>
        <v/>
      </c>
      <c r="M135" s="97" t="str">
        <f t="shared" si="54"/>
        <v/>
      </c>
      <c r="N135" s="1666" t="str">
        <f t="shared" si="55"/>
        <v/>
      </c>
      <c r="O135" s="1627">
        <f>Parameters!F102</f>
        <v>0.5</v>
      </c>
      <c r="P135" s="117">
        <f>Parameters!G102</f>
        <v>0.5</v>
      </c>
      <c r="Q135" s="43">
        <f>Parameters!H102</f>
        <v>0.5</v>
      </c>
      <c r="R135" s="279"/>
      <c r="S135" s="98">
        <f t="shared" si="56"/>
        <v>0</v>
      </c>
    </row>
    <row r="136" spans="1:19" ht="15" customHeight="1" x14ac:dyDescent="0.35">
      <c r="A136" s="259"/>
      <c r="B136" s="1669" t="s">
        <v>654</v>
      </c>
      <c r="C136" s="25"/>
      <c r="D136" s="14"/>
      <c r="E136" s="41"/>
      <c r="F136" s="41"/>
      <c r="G136" s="41"/>
      <c r="H136" s="1666" t="str">
        <f t="shared" si="51"/>
        <v/>
      </c>
      <c r="I136" s="1633"/>
      <c r="J136" s="1634"/>
      <c r="K136" s="97" t="str">
        <f t="shared" si="52"/>
        <v/>
      </c>
      <c r="L136" s="97" t="str">
        <f t="shared" si="53"/>
        <v/>
      </c>
      <c r="M136" s="97" t="str">
        <f t="shared" si="54"/>
        <v/>
      </c>
      <c r="N136" s="1666" t="str">
        <f t="shared" si="55"/>
        <v/>
      </c>
      <c r="O136" s="1627">
        <f>Parameters!F103</f>
        <v>1</v>
      </c>
      <c r="P136" s="117">
        <f>Parameters!G103</f>
        <v>1</v>
      </c>
      <c r="Q136" s="43">
        <f>Parameters!H103</f>
        <v>1</v>
      </c>
      <c r="R136" s="279"/>
      <c r="S136" s="98">
        <f t="shared" si="56"/>
        <v>0</v>
      </c>
    </row>
    <row r="137" spans="1:19" ht="15" customHeight="1" x14ac:dyDescent="0.35">
      <c r="A137" s="259"/>
      <c r="B137" s="1669" t="s">
        <v>655</v>
      </c>
      <c r="C137" s="25"/>
      <c r="D137" s="14"/>
      <c r="E137" s="41"/>
      <c r="F137" s="41"/>
      <c r="G137" s="41"/>
      <c r="H137" s="1666" t="str">
        <f t="shared" si="51"/>
        <v/>
      </c>
      <c r="I137" s="1633"/>
      <c r="J137" s="1634"/>
      <c r="K137" s="97" t="str">
        <f t="shared" si="52"/>
        <v/>
      </c>
      <c r="L137" s="97" t="str">
        <f t="shared" si="53"/>
        <v/>
      </c>
      <c r="M137" s="97" t="str">
        <f t="shared" si="54"/>
        <v/>
      </c>
      <c r="N137" s="1666" t="str">
        <f t="shared" si="55"/>
        <v/>
      </c>
      <c r="O137" s="1627">
        <f>Parameters!F104</f>
        <v>0</v>
      </c>
      <c r="P137" s="117">
        <f>Parameters!G104</f>
        <v>0</v>
      </c>
      <c r="Q137" s="43">
        <f>Parameters!H104</f>
        <v>0</v>
      </c>
      <c r="R137" s="279"/>
    </row>
    <row r="138" spans="1:19" ht="15" customHeight="1" x14ac:dyDescent="0.35">
      <c r="A138" s="259"/>
      <c r="B138" s="1669" t="s">
        <v>656</v>
      </c>
      <c r="C138" s="25"/>
      <c r="D138" s="14"/>
      <c r="E138" s="41"/>
      <c r="F138" s="41"/>
      <c r="G138" s="41"/>
      <c r="H138" s="1666" t="str">
        <f t="shared" si="51"/>
        <v/>
      </c>
      <c r="I138" s="1633"/>
      <c r="J138" s="1634"/>
      <c r="K138" s="97" t="str">
        <f t="shared" si="52"/>
        <v/>
      </c>
      <c r="L138" s="97" t="str">
        <f t="shared" si="53"/>
        <v/>
      </c>
      <c r="M138" s="97" t="str">
        <f t="shared" si="54"/>
        <v/>
      </c>
      <c r="N138" s="1666" t="str">
        <f t="shared" si="55"/>
        <v/>
      </c>
      <c r="O138" s="1627">
        <f>Parameters!F105</f>
        <v>0</v>
      </c>
      <c r="P138" s="117">
        <f>Parameters!G105</f>
        <v>0</v>
      </c>
      <c r="Q138" s="43">
        <f>Parameters!H105</f>
        <v>0</v>
      </c>
      <c r="R138" s="279"/>
    </row>
    <row r="139" spans="1:19" ht="15" hidden="1" customHeight="1" x14ac:dyDescent="0.35">
      <c r="A139" s="259"/>
      <c r="B139" s="531"/>
      <c r="C139" s="25"/>
      <c r="D139" s="14"/>
      <c r="E139" s="1560"/>
      <c r="F139" s="1560"/>
      <c r="G139" s="1560"/>
      <c r="H139" s="1656"/>
      <c r="I139" s="1633"/>
      <c r="J139" s="1634"/>
      <c r="K139" s="452"/>
      <c r="L139" s="16"/>
      <c r="M139" s="452"/>
      <c r="N139" s="1657"/>
      <c r="O139" s="1658"/>
      <c r="P139" s="1680"/>
      <c r="Q139" s="1626"/>
      <c r="R139" s="279"/>
    </row>
    <row r="140" spans="1:19" ht="15" hidden="1" customHeight="1" x14ac:dyDescent="0.35">
      <c r="A140" s="259"/>
      <c r="B140" s="531"/>
      <c r="C140" s="25"/>
      <c r="D140" s="14"/>
      <c r="E140" s="1560"/>
      <c r="F140" s="1560"/>
      <c r="G140" s="1560"/>
      <c r="H140" s="1656"/>
      <c r="I140" s="1633"/>
      <c r="J140" s="1634"/>
      <c r="K140" s="452"/>
      <c r="L140" s="16"/>
      <c r="M140" s="452"/>
      <c r="N140" s="1657"/>
      <c r="O140" s="1658"/>
      <c r="P140" s="1680"/>
      <c r="Q140" s="1626"/>
      <c r="R140" s="279"/>
    </row>
    <row r="141" spans="1:19" ht="15" hidden="1" customHeight="1" x14ac:dyDescent="0.35">
      <c r="A141" s="259"/>
      <c r="B141" s="531"/>
      <c r="C141" s="25"/>
      <c r="D141" s="14"/>
      <c r="E141" s="1560"/>
      <c r="F141" s="1560"/>
      <c r="G141" s="1560"/>
      <c r="H141" s="1656"/>
      <c r="I141" s="1633"/>
      <c r="J141" s="1634"/>
      <c r="K141" s="452"/>
      <c r="L141" s="16"/>
      <c r="M141" s="452"/>
      <c r="N141" s="1657"/>
      <c r="O141" s="1658"/>
      <c r="P141" s="1680"/>
      <c r="Q141" s="1626"/>
      <c r="R141" s="279"/>
    </row>
    <row r="142" spans="1:19" ht="15" hidden="1" customHeight="1" x14ac:dyDescent="0.35">
      <c r="A142" s="259"/>
      <c r="B142" s="531"/>
      <c r="C142" s="25"/>
      <c r="D142" s="14"/>
      <c r="E142" s="1560"/>
      <c r="F142" s="1560"/>
      <c r="G142" s="1560"/>
      <c r="H142" s="1656"/>
      <c r="I142" s="1633"/>
      <c r="J142" s="1634"/>
      <c r="K142" s="452"/>
      <c r="L142" s="16"/>
      <c r="M142" s="452"/>
      <c r="N142" s="1657"/>
      <c r="O142" s="1658"/>
      <c r="P142" s="1680"/>
      <c r="Q142" s="1626"/>
      <c r="R142" s="279"/>
    </row>
    <row r="143" spans="1:19" ht="15" hidden="1" customHeight="1" x14ac:dyDescent="0.35">
      <c r="A143" s="259"/>
      <c r="B143" s="531"/>
      <c r="C143" s="25"/>
      <c r="D143" s="14"/>
      <c r="E143" s="1560"/>
      <c r="F143" s="1560"/>
      <c r="G143" s="1560"/>
      <c r="H143" s="1656"/>
      <c r="I143" s="1633"/>
      <c r="J143" s="1634"/>
      <c r="K143" s="452"/>
      <c r="L143" s="16"/>
      <c r="M143" s="452"/>
      <c r="N143" s="1657"/>
      <c r="O143" s="1658"/>
      <c r="P143" s="1680"/>
      <c r="Q143" s="1626"/>
      <c r="R143" s="279"/>
    </row>
    <row r="144" spans="1:19" ht="15" hidden="1" customHeight="1" x14ac:dyDescent="0.35">
      <c r="A144" s="259"/>
      <c r="B144" s="531"/>
      <c r="C144" s="25"/>
      <c r="D144" s="14"/>
      <c r="E144" s="1560"/>
      <c r="F144" s="1560"/>
      <c r="G144" s="1560"/>
      <c r="H144" s="1656"/>
      <c r="I144" s="1633"/>
      <c r="J144" s="1634"/>
      <c r="K144" s="452"/>
      <c r="L144" s="16"/>
      <c r="M144" s="452"/>
      <c r="N144" s="1657"/>
      <c r="O144" s="1658"/>
      <c r="P144" s="1680"/>
      <c r="Q144" s="1626"/>
      <c r="R144" s="279"/>
    </row>
    <row r="145" spans="1:19" ht="15" hidden="1" customHeight="1" x14ac:dyDescent="0.35">
      <c r="A145" s="259"/>
      <c r="B145" s="531"/>
      <c r="C145" s="25"/>
      <c r="D145" s="14"/>
      <c r="E145" s="1560"/>
      <c r="F145" s="1560"/>
      <c r="G145" s="1560"/>
      <c r="H145" s="1656"/>
      <c r="I145" s="1633"/>
      <c r="J145" s="1634"/>
      <c r="K145" s="452"/>
      <c r="L145" s="16"/>
      <c r="M145" s="452"/>
      <c r="N145" s="1657"/>
      <c r="O145" s="1658"/>
      <c r="P145" s="1680"/>
      <c r="Q145" s="1626"/>
      <c r="R145" s="279"/>
    </row>
    <row r="146" spans="1:19" ht="15" hidden="1" customHeight="1" x14ac:dyDescent="0.35">
      <c r="A146" s="259"/>
      <c r="B146" s="531"/>
      <c r="C146" s="25"/>
      <c r="D146" s="14"/>
      <c r="E146" s="1560"/>
      <c r="F146" s="1560"/>
      <c r="G146" s="1560"/>
      <c r="H146" s="1656"/>
      <c r="I146" s="1633"/>
      <c r="J146" s="1634"/>
      <c r="K146" s="452"/>
      <c r="L146" s="16"/>
      <c r="M146" s="452"/>
      <c r="N146" s="1657"/>
      <c r="O146" s="1658"/>
      <c r="P146" s="1680"/>
      <c r="Q146" s="1626"/>
      <c r="R146" s="279"/>
    </row>
    <row r="147" spans="1:19" ht="15" hidden="1" customHeight="1" x14ac:dyDescent="0.35">
      <c r="A147" s="259"/>
      <c r="B147" s="531"/>
      <c r="C147" s="25"/>
      <c r="D147" s="14"/>
      <c r="E147" s="1560"/>
      <c r="F147" s="1560"/>
      <c r="G147" s="1560"/>
      <c r="H147" s="1656"/>
      <c r="I147" s="1633"/>
      <c r="J147" s="1634"/>
      <c r="K147" s="452"/>
      <c r="L147" s="16"/>
      <c r="M147" s="452"/>
      <c r="N147" s="1657"/>
      <c r="O147" s="1658"/>
      <c r="P147" s="1680"/>
      <c r="Q147" s="1626"/>
      <c r="R147" s="279"/>
    </row>
    <row r="148" spans="1:19" ht="15" hidden="1" customHeight="1" x14ac:dyDescent="0.35">
      <c r="A148" s="259"/>
      <c r="B148" s="531"/>
      <c r="C148" s="25"/>
      <c r="D148" s="14"/>
      <c r="E148" s="1560"/>
      <c r="F148" s="1560"/>
      <c r="G148" s="1560"/>
      <c r="H148" s="1656"/>
      <c r="I148" s="1633"/>
      <c r="J148" s="1634"/>
      <c r="K148" s="452"/>
      <c r="L148" s="16"/>
      <c r="M148" s="452"/>
      <c r="N148" s="1657"/>
      <c r="O148" s="1658"/>
      <c r="P148" s="1680"/>
      <c r="Q148" s="1626"/>
      <c r="R148" s="279"/>
    </row>
    <row r="149" spans="1:19" ht="15" hidden="1" customHeight="1" x14ac:dyDescent="0.35">
      <c r="A149" s="259"/>
      <c r="B149" s="531"/>
      <c r="C149" s="25"/>
      <c r="D149" s="14"/>
      <c r="E149" s="1560"/>
      <c r="F149" s="1560"/>
      <c r="G149" s="1560"/>
      <c r="H149" s="1656"/>
      <c r="I149" s="1633"/>
      <c r="J149" s="1634"/>
      <c r="K149" s="452"/>
      <c r="L149" s="16"/>
      <c r="M149" s="452"/>
      <c r="N149" s="1657"/>
      <c r="O149" s="1658"/>
      <c r="P149" s="1680"/>
      <c r="Q149" s="1626"/>
      <c r="R149" s="279"/>
    </row>
    <row r="150" spans="1:19" ht="30" customHeight="1" x14ac:dyDescent="0.35">
      <c r="A150" s="259"/>
      <c r="B150" s="121" t="s">
        <v>673</v>
      </c>
      <c r="C150" s="1618" t="s">
        <v>674</v>
      </c>
      <c r="D150" s="1674"/>
      <c r="E150" s="14"/>
      <c r="F150" s="14"/>
      <c r="G150" s="14"/>
      <c r="H150" s="1065" t="str">
        <f>IF(AND(ISNUMBER(H151), ISNUMBER(H152), ISNUMBER(H153), ISNUMBER(H154), ISNUMBER(H155), ISNUMBER(H156)), SUM(H151:H156), "")</f>
        <v/>
      </c>
      <c r="I150" s="1633"/>
      <c r="J150" s="1634"/>
      <c r="K150" s="25"/>
      <c r="L150" s="14"/>
      <c r="M150" s="14"/>
      <c r="N150" s="1065" t="str">
        <f>IF(AND(ISNUMBER(N151), ISNUMBER(N152), ISNUMBER(N153), ISNUMBER(N154), ISNUMBER(N155), ISNUMBER(N156)), SUM(N151:N156), "")</f>
        <v/>
      </c>
      <c r="O150" s="1625"/>
      <c r="P150" s="14"/>
      <c r="Q150" s="26"/>
      <c r="R150" s="279"/>
    </row>
    <row r="151" spans="1:19" ht="15" customHeight="1" x14ac:dyDescent="0.35">
      <c r="A151" s="259"/>
      <c r="B151" s="1667" t="s">
        <v>651</v>
      </c>
      <c r="C151" s="25"/>
      <c r="D151" s="14"/>
      <c r="E151" s="41"/>
      <c r="F151" s="41"/>
      <c r="G151" s="41"/>
      <c r="H151" s="1666" t="str">
        <f t="shared" ref="H151:H156" si="57">IF(AND(ISNUMBER(E151), ISNUMBER(F151), ISNUMBER(G151)), SUM(E151:G151), "")</f>
        <v/>
      </c>
      <c r="I151" s="1633"/>
      <c r="J151" s="1634"/>
      <c r="K151" s="97" t="str">
        <f t="shared" ref="K151:K156" si="58">IF(AND(ISNUMBER(E151), ISNUMBER(O151)), E151*O151, "")</f>
        <v/>
      </c>
      <c r="L151" s="97" t="str">
        <f t="shared" ref="L151:L156" si="59">IF(AND(ISNUMBER(F151), ISNUMBER(P151)), F151*P151, "")</f>
        <v/>
      </c>
      <c r="M151" s="97" t="str">
        <f t="shared" ref="M151:M156" si="60">IF(AND(ISNUMBER(G151), ISNUMBER(Q151)), G151*Q151, "")</f>
        <v/>
      </c>
      <c r="N151" s="1666" t="str">
        <f t="shared" ref="N151:N156" si="61">IF(AND(ISNUMBER(K151), ISNUMBER(L151), ISNUMBER(M151)), SUM(K151:M151), "")</f>
        <v/>
      </c>
      <c r="O151" s="1627">
        <f>Parameters!F118</f>
        <v>0.5</v>
      </c>
      <c r="P151" s="117">
        <f>Parameters!G118</f>
        <v>0.5</v>
      </c>
      <c r="Q151" s="43">
        <f>Parameters!H118</f>
        <v>1</v>
      </c>
      <c r="R151" s="279"/>
      <c r="S151" s="98">
        <f>IF(ISNUMBER(N151),1,0)</f>
        <v>0</v>
      </c>
    </row>
    <row r="152" spans="1:19" ht="15" customHeight="1" x14ac:dyDescent="0.35">
      <c r="A152" s="259"/>
      <c r="B152" s="1667" t="s">
        <v>652</v>
      </c>
      <c r="C152" s="25"/>
      <c r="D152" s="14"/>
      <c r="E152" s="41"/>
      <c r="F152" s="41"/>
      <c r="G152" s="41"/>
      <c r="H152" s="1666" t="str">
        <f t="shared" si="57"/>
        <v/>
      </c>
      <c r="I152" s="1633"/>
      <c r="J152" s="1634"/>
      <c r="K152" s="97" t="str">
        <f t="shared" si="58"/>
        <v/>
      </c>
      <c r="L152" s="97" t="str">
        <f t="shared" si="59"/>
        <v/>
      </c>
      <c r="M152" s="97" t="str">
        <f t="shared" si="60"/>
        <v/>
      </c>
      <c r="N152" s="1666" t="str">
        <f t="shared" si="61"/>
        <v/>
      </c>
      <c r="O152" s="1627">
        <f>Parameters!F119</f>
        <v>0.5</v>
      </c>
      <c r="P152" s="117">
        <f>Parameters!G119</f>
        <v>0.5</v>
      </c>
      <c r="Q152" s="43">
        <f>Parameters!H119</f>
        <v>1</v>
      </c>
      <c r="R152" s="279"/>
      <c r="S152" s="98">
        <f t="shared" ref="S152:S154" si="62">IF(ISNUMBER(N152),1,0)</f>
        <v>0</v>
      </c>
    </row>
    <row r="153" spans="1:19" ht="15" customHeight="1" x14ac:dyDescent="0.35">
      <c r="A153" s="259"/>
      <c r="B153" s="1667" t="s">
        <v>653</v>
      </c>
      <c r="C153" s="25"/>
      <c r="D153" s="14"/>
      <c r="E153" s="41"/>
      <c r="F153" s="41"/>
      <c r="G153" s="41"/>
      <c r="H153" s="1666" t="str">
        <f t="shared" si="57"/>
        <v/>
      </c>
      <c r="I153" s="1633"/>
      <c r="J153" s="1634"/>
      <c r="K153" s="97" t="str">
        <f t="shared" si="58"/>
        <v/>
      </c>
      <c r="L153" s="97" t="str">
        <f t="shared" si="59"/>
        <v/>
      </c>
      <c r="M153" s="97" t="str">
        <f t="shared" si="60"/>
        <v/>
      </c>
      <c r="N153" s="1666" t="str">
        <f t="shared" si="61"/>
        <v/>
      </c>
      <c r="O153" s="1627">
        <f>Parameters!F120</f>
        <v>0.5</v>
      </c>
      <c r="P153" s="117">
        <f>Parameters!G120</f>
        <v>0.5</v>
      </c>
      <c r="Q153" s="43">
        <f>Parameters!H120</f>
        <v>1</v>
      </c>
      <c r="R153" s="279"/>
      <c r="S153" s="98">
        <f t="shared" si="62"/>
        <v>0</v>
      </c>
    </row>
    <row r="154" spans="1:19" ht="15" customHeight="1" x14ac:dyDescent="0.35">
      <c r="A154" s="259"/>
      <c r="B154" s="1667" t="s">
        <v>654</v>
      </c>
      <c r="C154" s="25"/>
      <c r="D154" s="14"/>
      <c r="E154" s="41"/>
      <c r="F154" s="41"/>
      <c r="G154" s="41"/>
      <c r="H154" s="1666" t="str">
        <f t="shared" si="57"/>
        <v/>
      </c>
      <c r="I154" s="1633"/>
      <c r="J154" s="1634"/>
      <c r="K154" s="97" t="str">
        <f t="shared" si="58"/>
        <v/>
      </c>
      <c r="L154" s="97" t="str">
        <f t="shared" si="59"/>
        <v/>
      </c>
      <c r="M154" s="97" t="str">
        <f t="shared" si="60"/>
        <v/>
      </c>
      <c r="N154" s="1666" t="str">
        <f t="shared" si="61"/>
        <v/>
      </c>
      <c r="O154" s="1627">
        <f>Parameters!F121</f>
        <v>1</v>
      </c>
      <c r="P154" s="117">
        <f>Parameters!G121</f>
        <v>1</v>
      </c>
      <c r="Q154" s="43">
        <f>Parameters!H121</f>
        <v>1</v>
      </c>
      <c r="R154" s="279"/>
      <c r="S154" s="98">
        <f t="shared" si="62"/>
        <v>0</v>
      </c>
    </row>
    <row r="155" spans="1:19" ht="15" customHeight="1" x14ac:dyDescent="0.35">
      <c r="A155" s="259"/>
      <c r="B155" s="1667" t="s">
        <v>655</v>
      </c>
      <c r="C155" s="25"/>
      <c r="D155" s="14"/>
      <c r="E155" s="41"/>
      <c r="F155" s="41"/>
      <c r="G155" s="41"/>
      <c r="H155" s="1666" t="str">
        <f t="shared" si="57"/>
        <v/>
      </c>
      <c r="I155" s="1633"/>
      <c r="J155" s="1634"/>
      <c r="K155" s="97" t="str">
        <f t="shared" si="58"/>
        <v/>
      </c>
      <c r="L155" s="97" t="str">
        <f t="shared" si="59"/>
        <v/>
      </c>
      <c r="M155" s="97" t="str">
        <f t="shared" si="60"/>
        <v/>
      </c>
      <c r="N155" s="1666" t="str">
        <f t="shared" si="61"/>
        <v/>
      </c>
      <c r="O155" s="1627">
        <f>Parameters!F122</f>
        <v>0</v>
      </c>
      <c r="P155" s="117">
        <f>Parameters!G122</f>
        <v>0</v>
      </c>
      <c r="Q155" s="43">
        <f>Parameters!H122</f>
        <v>0</v>
      </c>
      <c r="R155" s="279"/>
    </row>
    <row r="156" spans="1:19" ht="15" customHeight="1" x14ac:dyDescent="0.35">
      <c r="A156" s="259"/>
      <c r="B156" s="1667" t="s">
        <v>656</v>
      </c>
      <c r="C156" s="25"/>
      <c r="D156" s="14"/>
      <c r="E156" s="41"/>
      <c r="F156" s="41"/>
      <c r="G156" s="41"/>
      <c r="H156" s="1666" t="str">
        <f t="shared" si="57"/>
        <v/>
      </c>
      <c r="I156" s="1633"/>
      <c r="J156" s="1634"/>
      <c r="K156" s="97" t="str">
        <f t="shared" si="58"/>
        <v/>
      </c>
      <c r="L156" s="97" t="str">
        <f t="shared" si="59"/>
        <v/>
      </c>
      <c r="M156" s="97" t="str">
        <f t="shared" si="60"/>
        <v/>
      </c>
      <c r="N156" s="1666" t="str">
        <f t="shared" si="61"/>
        <v/>
      </c>
      <c r="O156" s="1627">
        <f>Parameters!F123</f>
        <v>0</v>
      </c>
      <c r="P156" s="117">
        <f>Parameters!G123</f>
        <v>0</v>
      </c>
      <c r="Q156" s="43">
        <f>Parameters!H123</f>
        <v>0</v>
      </c>
      <c r="R156" s="279"/>
    </row>
    <row r="157" spans="1:19" ht="15" hidden="1" customHeight="1" x14ac:dyDescent="0.35">
      <c r="A157" s="259"/>
      <c r="B157" s="531"/>
      <c r="C157" s="25"/>
      <c r="D157" s="14"/>
      <c r="E157" s="1560"/>
      <c r="F157" s="1560"/>
      <c r="G157" s="1560"/>
      <c r="H157" s="1656"/>
      <c r="I157" s="1633"/>
      <c r="J157" s="1634"/>
      <c r="K157" s="452"/>
      <c r="L157" s="16"/>
      <c r="M157" s="452"/>
      <c r="N157" s="1657"/>
      <c r="O157" s="1658"/>
      <c r="P157" s="1680"/>
      <c r="Q157" s="1626"/>
      <c r="R157" s="279"/>
    </row>
    <row r="158" spans="1:19" ht="15" hidden="1" customHeight="1" x14ac:dyDescent="0.35">
      <c r="A158" s="259"/>
      <c r="B158" s="531"/>
      <c r="C158" s="25"/>
      <c r="D158" s="14"/>
      <c r="E158" s="1560"/>
      <c r="F158" s="1560"/>
      <c r="G158" s="1560"/>
      <c r="H158" s="1656"/>
      <c r="I158" s="1633"/>
      <c r="J158" s="1634"/>
      <c r="K158" s="452"/>
      <c r="L158" s="16"/>
      <c r="M158" s="452"/>
      <c r="N158" s="1657"/>
      <c r="O158" s="1658"/>
      <c r="P158" s="1680"/>
      <c r="Q158" s="1626"/>
      <c r="R158" s="279"/>
    </row>
    <row r="159" spans="1:19" ht="30" customHeight="1" x14ac:dyDescent="0.35">
      <c r="A159" s="259"/>
      <c r="B159" s="1321" t="s">
        <v>675</v>
      </c>
      <c r="C159" s="1664"/>
      <c r="D159" s="1674"/>
      <c r="E159" s="14"/>
      <c r="F159" s="14"/>
      <c r="G159" s="14"/>
      <c r="H159" s="1689" t="str">
        <f>IF(AND(ISNUMBER(H160), ISNUMBER(H169), ISNUMBER(H178), ISNUMBER(H187), ISNUMBER(H196), ISNUMBER(H205), ISNUMBER(H223), ISNUMBER(H232)), H160+H169+H178+H187+H196+H205+H223+H232, "")</f>
        <v/>
      </c>
      <c r="I159" s="1633"/>
      <c r="J159" s="1634"/>
      <c r="K159" s="25"/>
      <c r="L159" s="14"/>
      <c r="M159" s="14"/>
      <c r="N159" s="1689" t="str">
        <f>IF(AND(ISNUMBER(N160), ISNUMBER(N169), ISNUMBER(N178), ISNUMBER(N187), ISNUMBER(N196), ISNUMBER(N205), ISNUMBER(N223), ISNUMBER(N232)), N160+N169+N178+N187+N196+N205+N223+N232, "")</f>
        <v/>
      </c>
      <c r="O159" s="1625"/>
      <c r="P159" s="14"/>
      <c r="Q159" s="26"/>
      <c r="R159" s="279"/>
    </row>
    <row r="160" spans="1:19" ht="30" customHeight="1" x14ac:dyDescent="0.35">
      <c r="A160" s="259"/>
      <c r="B160" s="1667" t="s">
        <v>676</v>
      </c>
      <c r="C160" s="1618" t="s">
        <v>677</v>
      </c>
      <c r="D160" s="1674"/>
      <c r="E160" s="14"/>
      <c r="F160" s="14"/>
      <c r="G160" s="14"/>
      <c r="H160" s="1065" t="str">
        <f>IF(AND(ISNUMBER(H161), ISNUMBER(H162), ISNUMBER(H163), ISNUMBER(H164), ISNUMBER(H165), ISNUMBER(H166)), SUM(H161:H166), "")</f>
        <v/>
      </c>
      <c r="I160" s="1633"/>
      <c r="J160" s="1634"/>
      <c r="K160" s="25"/>
      <c r="L160" s="14"/>
      <c r="M160" s="14"/>
      <c r="N160" s="1065" t="str">
        <f>IF(AND(ISNUMBER(N161), ISNUMBER(N162), ISNUMBER(N163), ISNUMBER(N164), ISNUMBER(N165), ISNUMBER(N166)), SUM(N161:N166), "")</f>
        <v/>
      </c>
      <c r="O160" s="1625"/>
      <c r="P160" s="14"/>
      <c r="Q160" s="26"/>
      <c r="R160" s="279"/>
    </row>
    <row r="161" spans="1:19" ht="15" customHeight="1" x14ac:dyDescent="0.35">
      <c r="A161" s="259"/>
      <c r="B161" s="1669" t="s">
        <v>651</v>
      </c>
      <c r="C161" s="25"/>
      <c r="D161" s="14"/>
      <c r="E161" s="41"/>
      <c r="F161" s="41"/>
      <c r="G161" s="41"/>
      <c r="H161" s="1666" t="str">
        <f t="shared" ref="H161:H166" si="63">IF(AND(ISNUMBER(E161), ISNUMBER(F161), ISNUMBER(G161)), SUM(E161:G161), "")</f>
        <v/>
      </c>
      <c r="I161" s="1633"/>
      <c r="J161" s="1634"/>
      <c r="K161" s="97" t="str">
        <f t="shared" ref="K161:K166" si="64">IF(AND(ISNUMBER(E161), ISNUMBER(O161)), E161*O161, "")</f>
        <v/>
      </c>
      <c r="L161" s="97" t="str">
        <f t="shared" ref="L161:L166" si="65">IF(AND(ISNUMBER(F161), ISNUMBER(P161)), F161*P161, "")</f>
        <v/>
      </c>
      <c r="M161" s="97" t="str">
        <f t="shared" ref="M161:M166" si="66">IF(AND(ISNUMBER(G161), ISNUMBER(Q161)), G161*Q161, "")</f>
        <v/>
      </c>
      <c r="N161" s="1666" t="str">
        <f t="shared" ref="N161:N166" si="67">IF(AND(ISNUMBER(K161), ISNUMBER(L161), ISNUMBER(M161)), SUM(K161:M161), "")</f>
        <v/>
      </c>
      <c r="O161" s="1627">
        <f>Parameters!F128</f>
        <v>0.5</v>
      </c>
      <c r="P161" s="117">
        <f>Parameters!G128</f>
        <v>0.5</v>
      </c>
      <c r="Q161" s="117">
        <f>Parameters!H128</f>
        <v>0</v>
      </c>
      <c r="R161" s="279"/>
      <c r="S161" s="98">
        <f>IF(ISNUMBER(N161),1,0)</f>
        <v>0</v>
      </c>
    </row>
    <row r="162" spans="1:19" ht="15" customHeight="1" x14ac:dyDescent="0.35">
      <c r="A162" s="259"/>
      <c r="B162" s="1669" t="s">
        <v>652</v>
      </c>
      <c r="C162" s="25"/>
      <c r="D162" s="14"/>
      <c r="E162" s="41"/>
      <c r="F162" s="41"/>
      <c r="G162" s="41"/>
      <c r="H162" s="1666" t="str">
        <f t="shared" si="63"/>
        <v/>
      </c>
      <c r="I162" s="1633"/>
      <c r="J162" s="1634"/>
      <c r="K162" s="97" t="str">
        <f t="shared" si="64"/>
        <v/>
      </c>
      <c r="L162" s="97" t="str">
        <f t="shared" si="65"/>
        <v/>
      </c>
      <c r="M162" s="97" t="str">
        <f t="shared" si="66"/>
        <v/>
      </c>
      <c r="N162" s="1666" t="str">
        <f t="shared" si="67"/>
        <v/>
      </c>
      <c r="O162" s="1627">
        <f>Parameters!F129</f>
        <v>0.5</v>
      </c>
      <c r="P162" s="117">
        <f>Parameters!G129</f>
        <v>0.5</v>
      </c>
      <c r="Q162" s="117">
        <f>Parameters!H129</f>
        <v>0</v>
      </c>
      <c r="R162" s="279"/>
      <c r="S162" s="98">
        <f t="shared" ref="S162:S164" si="68">IF(ISNUMBER(N162),1,0)</f>
        <v>0</v>
      </c>
    </row>
    <row r="163" spans="1:19" ht="15" customHeight="1" x14ac:dyDescent="0.35">
      <c r="A163" s="259"/>
      <c r="B163" s="1669" t="s">
        <v>653</v>
      </c>
      <c r="C163" s="25"/>
      <c r="D163" s="14"/>
      <c r="E163" s="41"/>
      <c r="F163" s="41"/>
      <c r="G163" s="41"/>
      <c r="H163" s="1666" t="str">
        <f t="shared" si="63"/>
        <v/>
      </c>
      <c r="I163" s="1633"/>
      <c r="J163" s="1634"/>
      <c r="K163" s="97" t="str">
        <f t="shared" si="64"/>
        <v/>
      </c>
      <c r="L163" s="97" t="str">
        <f t="shared" si="65"/>
        <v/>
      </c>
      <c r="M163" s="97" t="str">
        <f t="shared" si="66"/>
        <v/>
      </c>
      <c r="N163" s="1666" t="str">
        <f t="shared" si="67"/>
        <v/>
      </c>
      <c r="O163" s="1627">
        <f>Parameters!F130</f>
        <v>0.5</v>
      </c>
      <c r="P163" s="117">
        <f>Parameters!G130</f>
        <v>0.5</v>
      </c>
      <c r="Q163" s="117">
        <f>Parameters!H130</f>
        <v>0</v>
      </c>
      <c r="R163" s="279"/>
      <c r="S163" s="98">
        <f t="shared" si="68"/>
        <v>0</v>
      </c>
    </row>
    <row r="164" spans="1:19" ht="15" customHeight="1" x14ac:dyDescent="0.35">
      <c r="A164" s="259"/>
      <c r="B164" s="1669" t="s">
        <v>654</v>
      </c>
      <c r="C164" s="25"/>
      <c r="D164" s="14"/>
      <c r="E164" s="41"/>
      <c r="F164" s="41"/>
      <c r="G164" s="41"/>
      <c r="H164" s="1666" t="str">
        <f t="shared" si="63"/>
        <v/>
      </c>
      <c r="I164" s="1633"/>
      <c r="J164" s="1634"/>
      <c r="K164" s="97" t="str">
        <f t="shared" si="64"/>
        <v/>
      </c>
      <c r="L164" s="97" t="str">
        <f t="shared" si="65"/>
        <v/>
      </c>
      <c r="M164" s="97" t="str">
        <f t="shared" si="66"/>
        <v/>
      </c>
      <c r="N164" s="1666" t="str">
        <f t="shared" si="67"/>
        <v/>
      </c>
      <c r="O164" s="1627">
        <f>Parameters!F131</f>
        <v>1</v>
      </c>
      <c r="P164" s="117">
        <f>Parameters!G131</f>
        <v>1</v>
      </c>
      <c r="Q164" s="117">
        <f>Parameters!H131</f>
        <v>0</v>
      </c>
      <c r="R164" s="279"/>
      <c r="S164" s="98">
        <f t="shared" si="68"/>
        <v>0</v>
      </c>
    </row>
    <row r="165" spans="1:19" ht="15" customHeight="1" x14ac:dyDescent="0.35">
      <c r="A165" s="259"/>
      <c r="B165" s="1669" t="s">
        <v>655</v>
      </c>
      <c r="C165" s="25"/>
      <c r="D165" s="14"/>
      <c r="E165" s="41"/>
      <c r="F165" s="41"/>
      <c r="G165" s="41"/>
      <c r="H165" s="1666" t="str">
        <f t="shared" si="63"/>
        <v/>
      </c>
      <c r="I165" s="1633"/>
      <c r="J165" s="1634"/>
      <c r="K165" s="97" t="str">
        <f t="shared" si="64"/>
        <v/>
      </c>
      <c r="L165" s="97" t="str">
        <f t="shared" si="65"/>
        <v/>
      </c>
      <c r="M165" s="97" t="str">
        <f t="shared" si="66"/>
        <v/>
      </c>
      <c r="N165" s="1666" t="str">
        <f t="shared" si="67"/>
        <v/>
      </c>
      <c r="O165" s="1627">
        <f>Parameters!F132</f>
        <v>0</v>
      </c>
      <c r="P165" s="117">
        <f>Parameters!G132</f>
        <v>0</v>
      </c>
      <c r="Q165" s="117">
        <f>Parameters!H132</f>
        <v>0</v>
      </c>
      <c r="R165" s="279"/>
    </row>
    <row r="166" spans="1:19" ht="15" customHeight="1" x14ac:dyDescent="0.35">
      <c r="A166" s="259"/>
      <c r="B166" s="1669" t="s">
        <v>656</v>
      </c>
      <c r="C166" s="25"/>
      <c r="D166" s="14"/>
      <c r="E166" s="41"/>
      <c r="F166" s="41"/>
      <c r="G166" s="41"/>
      <c r="H166" s="1666" t="str">
        <f t="shared" si="63"/>
        <v/>
      </c>
      <c r="I166" s="1633"/>
      <c r="J166" s="1634"/>
      <c r="K166" s="97" t="str">
        <f t="shared" si="64"/>
        <v/>
      </c>
      <c r="L166" s="97" t="str">
        <f t="shared" si="65"/>
        <v/>
      </c>
      <c r="M166" s="97" t="str">
        <f t="shared" si="66"/>
        <v/>
      </c>
      <c r="N166" s="1666" t="str">
        <f t="shared" si="67"/>
        <v/>
      </c>
      <c r="O166" s="1627">
        <f>Parameters!F133</f>
        <v>0</v>
      </c>
      <c r="P166" s="117">
        <f>Parameters!G133</f>
        <v>0</v>
      </c>
      <c r="Q166" s="117">
        <f>Parameters!H133</f>
        <v>0</v>
      </c>
      <c r="R166" s="279"/>
    </row>
    <row r="167" spans="1:19" ht="15" hidden="1" customHeight="1" x14ac:dyDescent="0.35">
      <c r="A167" s="259"/>
      <c r="B167" s="531"/>
      <c r="C167" s="25"/>
      <c r="D167" s="14"/>
      <c r="E167" s="1560"/>
      <c r="F167" s="1560"/>
      <c r="G167" s="1560"/>
      <c r="H167" s="1656"/>
      <c r="I167" s="1633"/>
      <c r="J167" s="1634"/>
      <c r="K167" s="452"/>
      <c r="L167" s="16"/>
      <c r="M167" s="452"/>
      <c r="N167" s="1657"/>
      <c r="O167" s="1658"/>
      <c r="P167" s="1680"/>
      <c r="Q167" s="1626"/>
      <c r="R167" s="279"/>
    </row>
    <row r="168" spans="1:19" ht="15" hidden="1" customHeight="1" x14ac:dyDescent="0.35">
      <c r="A168" s="259"/>
      <c r="B168" s="531"/>
      <c r="C168" s="25"/>
      <c r="D168" s="14"/>
      <c r="E168" s="1560"/>
      <c r="F168" s="1560"/>
      <c r="G168" s="1560"/>
      <c r="H168" s="1656"/>
      <c r="I168" s="1633"/>
      <c r="J168" s="1634"/>
      <c r="K168" s="452"/>
      <c r="L168" s="16"/>
      <c r="M168" s="452"/>
      <c r="N168" s="1657"/>
      <c r="O168" s="1658"/>
      <c r="P168" s="1680"/>
      <c r="Q168" s="1626"/>
      <c r="R168" s="279"/>
    </row>
    <row r="169" spans="1:19" ht="30" customHeight="1" x14ac:dyDescent="0.35">
      <c r="A169" s="259"/>
      <c r="B169" s="1667" t="s">
        <v>678</v>
      </c>
      <c r="C169" s="1618" t="s">
        <v>679</v>
      </c>
      <c r="D169" s="1674"/>
      <c r="E169" s="14"/>
      <c r="F169" s="14"/>
      <c r="G169" s="14"/>
      <c r="H169" s="1065" t="str">
        <f>IF(AND(ISNUMBER(H170), ISNUMBER(H171), ISNUMBER(H172), ISNUMBER(H173), ISNUMBER(H174), ISNUMBER(H175)), SUM(H170:H175), "")</f>
        <v/>
      </c>
      <c r="I169" s="1633"/>
      <c r="J169" s="1634"/>
      <c r="K169" s="25"/>
      <c r="L169" s="14"/>
      <c r="M169" s="14"/>
      <c r="N169" s="1065" t="str">
        <f>IF(AND(ISNUMBER(N170), ISNUMBER(N171), ISNUMBER(N172), ISNUMBER(N173), ISNUMBER(N174), ISNUMBER(N175)), SUM(N170:N175), "")</f>
        <v/>
      </c>
      <c r="O169" s="1625"/>
      <c r="P169" s="14"/>
      <c r="Q169" s="26"/>
      <c r="R169" s="279"/>
    </row>
    <row r="170" spans="1:19" ht="15" customHeight="1" x14ac:dyDescent="0.35">
      <c r="A170" s="259"/>
      <c r="B170" s="1669" t="s">
        <v>651</v>
      </c>
      <c r="C170" s="25"/>
      <c r="D170" s="14"/>
      <c r="E170" s="41"/>
      <c r="F170" s="41"/>
      <c r="G170" s="14"/>
      <c r="H170" s="1666" t="str">
        <f>IF(AND(ISNUMBER(E170), ISNUMBER(F170)), SUM(E170:F170), "")</f>
        <v/>
      </c>
      <c r="I170" s="1633"/>
      <c r="J170" s="1634"/>
      <c r="K170" s="97" t="str">
        <f t="shared" ref="K170:K175" si="69">IF(AND(ISNUMBER(E170), ISNUMBER(O170)), E170*O170, "")</f>
        <v/>
      </c>
      <c r="L170" s="97" t="str">
        <f t="shared" ref="L170:L175" si="70">IF(AND(ISNUMBER(F170), ISNUMBER(P170)), F170*P170, "")</f>
        <v/>
      </c>
      <c r="M170" s="14"/>
      <c r="N170" s="1666" t="str">
        <f>IF(AND(ISNUMBER(K170), ISNUMBER(L170)), SUM(K170:L170), "")</f>
        <v/>
      </c>
      <c r="O170" s="1627">
        <f>Parameters!F137</f>
        <v>0</v>
      </c>
      <c r="P170" s="117">
        <f>Parameters!G137</f>
        <v>0.5</v>
      </c>
      <c r="Q170" s="26"/>
      <c r="R170" s="279"/>
      <c r="S170" s="98">
        <f>IF(ISNUMBER(N170),1,0)</f>
        <v>0</v>
      </c>
    </row>
    <row r="171" spans="1:19" ht="15" customHeight="1" x14ac:dyDescent="0.35">
      <c r="A171" s="259"/>
      <c r="B171" s="1669" t="s">
        <v>652</v>
      </c>
      <c r="C171" s="25"/>
      <c r="D171" s="14"/>
      <c r="E171" s="41"/>
      <c r="F171" s="41"/>
      <c r="G171" s="14"/>
      <c r="H171" s="1666" t="str">
        <f t="shared" ref="H171:H175" si="71">IF(AND(ISNUMBER(E171), ISNUMBER(F171)), SUM(E171:F171), "")</f>
        <v/>
      </c>
      <c r="I171" s="1633"/>
      <c r="J171" s="1634"/>
      <c r="K171" s="97" t="str">
        <f t="shared" si="69"/>
        <v/>
      </c>
      <c r="L171" s="97" t="str">
        <f t="shared" si="70"/>
        <v/>
      </c>
      <c r="M171" s="14"/>
      <c r="N171" s="1666" t="str">
        <f t="shared" ref="N171:N175" si="72">IF(AND(ISNUMBER(K171), ISNUMBER(L171)), SUM(K171:L171), "")</f>
        <v/>
      </c>
      <c r="O171" s="1627">
        <f>Parameters!F138</f>
        <v>0</v>
      </c>
      <c r="P171" s="117">
        <f>Parameters!G138</f>
        <v>0.5</v>
      </c>
      <c r="Q171" s="26"/>
      <c r="R171" s="279"/>
      <c r="S171" s="98">
        <f t="shared" ref="S171:S173" si="73">IF(ISNUMBER(N171),1,0)</f>
        <v>0</v>
      </c>
    </row>
    <row r="172" spans="1:19" ht="15" customHeight="1" x14ac:dyDescent="0.35">
      <c r="A172" s="259"/>
      <c r="B172" s="1669" t="s">
        <v>653</v>
      </c>
      <c r="C172" s="25"/>
      <c r="D172" s="14"/>
      <c r="E172" s="41"/>
      <c r="F172" s="41"/>
      <c r="G172" s="14"/>
      <c r="H172" s="1666" t="str">
        <f t="shared" si="71"/>
        <v/>
      </c>
      <c r="I172" s="1633"/>
      <c r="J172" s="1634"/>
      <c r="K172" s="97" t="str">
        <f t="shared" si="69"/>
        <v/>
      </c>
      <c r="L172" s="97" t="str">
        <f t="shared" si="70"/>
        <v/>
      </c>
      <c r="M172" s="14"/>
      <c r="N172" s="1666" t="str">
        <f t="shared" si="72"/>
        <v/>
      </c>
      <c r="O172" s="1627">
        <f>Parameters!F139</f>
        <v>0.5</v>
      </c>
      <c r="P172" s="117">
        <f>Parameters!G139</f>
        <v>0.5</v>
      </c>
      <c r="Q172" s="26"/>
      <c r="R172" s="279"/>
      <c r="S172" s="98">
        <f t="shared" si="73"/>
        <v>0</v>
      </c>
    </row>
    <row r="173" spans="1:19" ht="15" customHeight="1" x14ac:dyDescent="0.35">
      <c r="A173" s="259"/>
      <c r="B173" s="1669" t="s">
        <v>654</v>
      </c>
      <c r="C173" s="25"/>
      <c r="D173" s="14"/>
      <c r="E173" s="41"/>
      <c r="F173" s="41"/>
      <c r="G173" s="14"/>
      <c r="H173" s="1666" t="str">
        <f t="shared" si="71"/>
        <v/>
      </c>
      <c r="I173" s="1633"/>
      <c r="J173" s="1634"/>
      <c r="K173" s="97" t="str">
        <f t="shared" si="69"/>
        <v/>
      </c>
      <c r="L173" s="97" t="str">
        <f t="shared" si="70"/>
        <v/>
      </c>
      <c r="M173" s="14"/>
      <c r="N173" s="1666" t="str">
        <f t="shared" si="72"/>
        <v/>
      </c>
      <c r="O173" s="1627">
        <f>Parameters!F140</f>
        <v>1</v>
      </c>
      <c r="P173" s="117">
        <f>Parameters!G140</f>
        <v>1</v>
      </c>
      <c r="Q173" s="26"/>
      <c r="R173" s="279"/>
      <c r="S173" s="98">
        <f t="shared" si="73"/>
        <v>0</v>
      </c>
    </row>
    <row r="174" spans="1:19" ht="15" customHeight="1" x14ac:dyDescent="0.35">
      <c r="A174" s="259"/>
      <c r="B174" s="1669" t="s">
        <v>655</v>
      </c>
      <c r="C174" s="25"/>
      <c r="D174" s="14"/>
      <c r="E174" s="41"/>
      <c r="F174" s="41"/>
      <c r="G174" s="14"/>
      <c r="H174" s="1666" t="str">
        <f t="shared" si="71"/>
        <v/>
      </c>
      <c r="I174" s="1633"/>
      <c r="J174" s="1634"/>
      <c r="K174" s="97" t="str">
        <f t="shared" si="69"/>
        <v/>
      </c>
      <c r="L174" s="97" t="str">
        <f t="shared" si="70"/>
        <v/>
      </c>
      <c r="M174" s="14"/>
      <c r="N174" s="1666" t="str">
        <f t="shared" si="72"/>
        <v/>
      </c>
      <c r="O174" s="1627">
        <f>Parameters!F141</f>
        <v>0</v>
      </c>
      <c r="P174" s="117">
        <f>Parameters!G141</f>
        <v>0</v>
      </c>
      <c r="Q174" s="26"/>
      <c r="R174" s="279"/>
    </row>
    <row r="175" spans="1:19" ht="15" customHeight="1" x14ac:dyDescent="0.35">
      <c r="A175" s="259"/>
      <c r="B175" s="1669" t="s">
        <v>656</v>
      </c>
      <c r="C175" s="25"/>
      <c r="D175" s="14"/>
      <c r="E175" s="41"/>
      <c r="F175" s="41"/>
      <c r="G175" s="14"/>
      <c r="H175" s="1666" t="str">
        <f t="shared" si="71"/>
        <v/>
      </c>
      <c r="I175" s="1633"/>
      <c r="J175" s="1634"/>
      <c r="K175" s="97" t="str">
        <f t="shared" si="69"/>
        <v/>
      </c>
      <c r="L175" s="97" t="str">
        <f t="shared" si="70"/>
        <v/>
      </c>
      <c r="M175" s="14"/>
      <c r="N175" s="1666" t="str">
        <f t="shared" si="72"/>
        <v/>
      </c>
      <c r="O175" s="1627">
        <f>Parameters!F142</f>
        <v>0</v>
      </c>
      <c r="P175" s="117">
        <f>Parameters!G142</f>
        <v>0</v>
      </c>
      <c r="Q175" s="26"/>
      <c r="R175" s="279"/>
    </row>
    <row r="176" spans="1:19" ht="15" hidden="1" customHeight="1" x14ac:dyDescent="0.35">
      <c r="A176" s="259"/>
      <c r="B176" s="531"/>
      <c r="C176" s="25"/>
      <c r="D176" s="14"/>
      <c r="E176" s="1560"/>
      <c r="F176" s="1560"/>
      <c r="G176" s="1560"/>
      <c r="H176" s="1656"/>
      <c r="I176" s="1633"/>
      <c r="J176" s="1634"/>
      <c r="K176" s="452"/>
      <c r="L176" s="16"/>
      <c r="M176" s="452"/>
      <c r="N176" s="1657"/>
      <c r="O176" s="1658"/>
      <c r="P176" s="1680"/>
      <c r="Q176" s="1626"/>
      <c r="R176" s="279"/>
    </row>
    <row r="177" spans="1:19" ht="15" hidden="1" customHeight="1" x14ac:dyDescent="0.35">
      <c r="A177" s="259"/>
      <c r="B177" s="531"/>
      <c r="C177" s="25"/>
      <c r="D177" s="14"/>
      <c r="E177" s="1560"/>
      <c r="F177" s="1560"/>
      <c r="G177" s="1560"/>
      <c r="H177" s="1656"/>
      <c r="I177" s="1633"/>
      <c r="J177" s="1634"/>
      <c r="K177" s="452"/>
      <c r="L177" s="16"/>
      <c r="M177" s="452"/>
      <c r="N177" s="1657"/>
      <c r="O177" s="1658"/>
      <c r="P177" s="1680"/>
      <c r="Q177" s="1626"/>
      <c r="R177" s="279"/>
    </row>
    <row r="178" spans="1:19" ht="30" customHeight="1" x14ac:dyDescent="0.35">
      <c r="A178" s="259"/>
      <c r="B178" s="1667" t="s">
        <v>680</v>
      </c>
      <c r="C178" s="1618" t="s">
        <v>681</v>
      </c>
      <c r="D178" s="1674"/>
      <c r="E178" s="14"/>
      <c r="F178" s="14"/>
      <c r="G178" s="14"/>
      <c r="H178" s="1065" t="str">
        <f>IF(AND(ISNUMBER(H179), ISNUMBER(H180), ISNUMBER(H181), ISNUMBER(H182), ISNUMBER(H183), ISNUMBER(H184)), SUM(H179:H184), "")</f>
        <v/>
      </c>
      <c r="I178" s="1633"/>
      <c r="J178" s="1634"/>
      <c r="K178" s="25"/>
      <c r="L178" s="14"/>
      <c r="M178" s="14"/>
      <c r="N178" s="1065" t="str">
        <f>IF(AND(ISNUMBER(N179), ISNUMBER(N180), ISNUMBER(N181), ISNUMBER(N182), ISNUMBER(N183), ISNUMBER(N184)), SUM(N179:N184), "")</f>
        <v/>
      </c>
      <c r="O178" s="1625"/>
      <c r="P178" s="14"/>
      <c r="Q178" s="26"/>
      <c r="R178" s="279"/>
    </row>
    <row r="179" spans="1:19" ht="15" customHeight="1" x14ac:dyDescent="0.35">
      <c r="A179" s="259"/>
      <c r="B179" s="1669" t="s">
        <v>651</v>
      </c>
      <c r="C179" s="25"/>
      <c r="D179" s="14"/>
      <c r="E179" s="41"/>
      <c r="F179" s="41"/>
      <c r="G179" s="14"/>
      <c r="H179" s="1666" t="str">
        <f>IF(AND(ISNUMBER(E179), ISNUMBER(F179)), SUM(E179:F179), "")</f>
        <v/>
      </c>
      <c r="I179" s="1633"/>
      <c r="J179" s="1634"/>
      <c r="K179" s="97" t="str">
        <f t="shared" ref="K179:K184" si="74">IF(AND(ISNUMBER(E179), ISNUMBER(O179)), E179*O179, "")</f>
        <v/>
      </c>
      <c r="L179" s="97" t="str">
        <f t="shared" ref="L179:L184" si="75">IF(AND(ISNUMBER(F179), ISNUMBER(P179)), F179*P179, "")</f>
        <v/>
      </c>
      <c r="M179" s="14"/>
      <c r="N179" s="1666" t="str">
        <f>IF(AND(ISNUMBER(K179), ISNUMBER(L179)), SUM(K179:L179), "")</f>
        <v/>
      </c>
      <c r="O179" s="1627">
        <f>Parameters!F146</f>
        <v>0.5</v>
      </c>
      <c r="P179" s="117">
        <f>Parameters!G146</f>
        <v>0.5</v>
      </c>
      <c r="Q179" s="26"/>
      <c r="R179" s="279"/>
      <c r="S179" s="98">
        <f>IF(ISNUMBER(N179),1,0)</f>
        <v>0</v>
      </c>
    </row>
    <row r="180" spans="1:19" ht="15" customHeight="1" x14ac:dyDescent="0.35">
      <c r="A180" s="259"/>
      <c r="B180" s="1669" t="s">
        <v>652</v>
      </c>
      <c r="C180" s="25"/>
      <c r="D180" s="14"/>
      <c r="E180" s="41"/>
      <c r="F180" s="41"/>
      <c r="G180" s="14"/>
      <c r="H180" s="1666" t="str">
        <f t="shared" ref="H180:H184" si="76">IF(AND(ISNUMBER(E180), ISNUMBER(F180)), SUM(E180:F180), "")</f>
        <v/>
      </c>
      <c r="I180" s="1633"/>
      <c r="J180" s="1634"/>
      <c r="K180" s="97" t="str">
        <f t="shared" si="74"/>
        <v/>
      </c>
      <c r="L180" s="97" t="str">
        <f t="shared" si="75"/>
        <v/>
      </c>
      <c r="M180" s="14"/>
      <c r="N180" s="1666" t="str">
        <f t="shared" ref="N180:N184" si="77">IF(AND(ISNUMBER(K180), ISNUMBER(L180)), SUM(K180:L180), "")</f>
        <v/>
      </c>
      <c r="O180" s="1627">
        <f>Parameters!F147</f>
        <v>0.5</v>
      </c>
      <c r="P180" s="117">
        <f>Parameters!G147</f>
        <v>0.5</v>
      </c>
      <c r="Q180" s="26"/>
      <c r="R180" s="279"/>
      <c r="S180" s="98">
        <f t="shared" ref="S180:S182" si="78">IF(ISNUMBER(N180),1,0)</f>
        <v>0</v>
      </c>
    </row>
    <row r="181" spans="1:19" ht="15" customHeight="1" x14ac:dyDescent="0.35">
      <c r="A181" s="259"/>
      <c r="B181" s="1669" t="s">
        <v>653</v>
      </c>
      <c r="C181" s="25"/>
      <c r="D181" s="14"/>
      <c r="E181" s="41"/>
      <c r="F181" s="41"/>
      <c r="G181" s="14"/>
      <c r="H181" s="1666" t="str">
        <f t="shared" si="76"/>
        <v/>
      </c>
      <c r="I181" s="1633"/>
      <c r="J181" s="1634"/>
      <c r="K181" s="97" t="str">
        <f t="shared" si="74"/>
        <v/>
      </c>
      <c r="L181" s="97" t="str">
        <f t="shared" si="75"/>
        <v/>
      </c>
      <c r="M181" s="14"/>
      <c r="N181" s="1666" t="str">
        <f t="shared" si="77"/>
        <v/>
      </c>
      <c r="O181" s="1627">
        <f>Parameters!F148</f>
        <v>0.5</v>
      </c>
      <c r="P181" s="117">
        <f>Parameters!G148</f>
        <v>0.5</v>
      </c>
      <c r="Q181" s="26"/>
      <c r="R181" s="279"/>
      <c r="S181" s="98">
        <f t="shared" si="78"/>
        <v>0</v>
      </c>
    </row>
    <row r="182" spans="1:19" ht="15" customHeight="1" x14ac:dyDescent="0.35">
      <c r="A182" s="259"/>
      <c r="B182" s="1669" t="s">
        <v>654</v>
      </c>
      <c r="C182" s="25"/>
      <c r="D182" s="14"/>
      <c r="E182" s="41"/>
      <c r="F182" s="41"/>
      <c r="G182" s="14"/>
      <c r="H182" s="1666" t="str">
        <f t="shared" si="76"/>
        <v/>
      </c>
      <c r="I182" s="1633"/>
      <c r="J182" s="1634"/>
      <c r="K182" s="97" t="str">
        <f t="shared" si="74"/>
        <v/>
      </c>
      <c r="L182" s="97" t="str">
        <f t="shared" si="75"/>
        <v/>
      </c>
      <c r="M182" s="14"/>
      <c r="N182" s="1666" t="str">
        <f t="shared" si="77"/>
        <v/>
      </c>
      <c r="O182" s="1627">
        <f>Parameters!F149</f>
        <v>1</v>
      </c>
      <c r="P182" s="117">
        <f>Parameters!G149</f>
        <v>1</v>
      </c>
      <c r="Q182" s="26"/>
      <c r="R182" s="279"/>
      <c r="S182" s="98">
        <f t="shared" si="78"/>
        <v>0</v>
      </c>
    </row>
    <row r="183" spans="1:19" ht="15" customHeight="1" x14ac:dyDescent="0.35">
      <c r="A183" s="259"/>
      <c r="B183" s="1669" t="s">
        <v>655</v>
      </c>
      <c r="C183" s="25"/>
      <c r="D183" s="14"/>
      <c r="E183" s="41"/>
      <c r="F183" s="41"/>
      <c r="G183" s="14"/>
      <c r="H183" s="1666" t="str">
        <f t="shared" si="76"/>
        <v/>
      </c>
      <c r="I183" s="1633"/>
      <c r="J183" s="1634"/>
      <c r="K183" s="97" t="str">
        <f t="shared" si="74"/>
        <v/>
      </c>
      <c r="L183" s="97" t="str">
        <f t="shared" si="75"/>
        <v/>
      </c>
      <c r="M183" s="14"/>
      <c r="N183" s="1666" t="str">
        <f t="shared" si="77"/>
        <v/>
      </c>
      <c r="O183" s="1627">
        <f>Parameters!F150</f>
        <v>0</v>
      </c>
      <c r="P183" s="117">
        <f>Parameters!G150</f>
        <v>0</v>
      </c>
      <c r="Q183" s="26"/>
      <c r="R183" s="279"/>
    </row>
    <row r="184" spans="1:19" ht="15" customHeight="1" x14ac:dyDescent="0.35">
      <c r="A184" s="259"/>
      <c r="B184" s="1669" t="s">
        <v>656</v>
      </c>
      <c r="C184" s="25"/>
      <c r="D184" s="14"/>
      <c r="E184" s="41"/>
      <c r="F184" s="41"/>
      <c r="G184" s="14"/>
      <c r="H184" s="1666" t="str">
        <f t="shared" si="76"/>
        <v/>
      </c>
      <c r="I184" s="1633"/>
      <c r="J184" s="1634"/>
      <c r="K184" s="97" t="str">
        <f t="shared" si="74"/>
        <v/>
      </c>
      <c r="L184" s="97" t="str">
        <f t="shared" si="75"/>
        <v/>
      </c>
      <c r="M184" s="14"/>
      <c r="N184" s="1666" t="str">
        <f t="shared" si="77"/>
        <v/>
      </c>
      <c r="O184" s="1627">
        <f>Parameters!F151</f>
        <v>0</v>
      </c>
      <c r="P184" s="117">
        <f>Parameters!G151</f>
        <v>0</v>
      </c>
      <c r="Q184" s="26"/>
      <c r="R184" s="279"/>
    </row>
    <row r="185" spans="1:19" ht="15" hidden="1" customHeight="1" x14ac:dyDescent="0.35">
      <c r="A185" s="259"/>
      <c r="B185" s="531"/>
      <c r="C185" s="25"/>
      <c r="D185" s="14"/>
      <c r="E185" s="1560"/>
      <c r="F185" s="1560"/>
      <c r="G185" s="1560"/>
      <c r="H185" s="1656"/>
      <c r="I185" s="1633"/>
      <c r="J185" s="1634"/>
      <c r="K185" s="452"/>
      <c r="L185" s="16"/>
      <c r="M185" s="452"/>
      <c r="N185" s="1657"/>
      <c r="O185" s="1658"/>
      <c r="P185" s="1680"/>
      <c r="Q185" s="1626"/>
      <c r="R185" s="279"/>
    </row>
    <row r="186" spans="1:19" ht="15" hidden="1" customHeight="1" x14ac:dyDescent="0.35">
      <c r="A186" s="259"/>
      <c r="B186" s="531"/>
      <c r="C186" s="25"/>
      <c r="D186" s="14"/>
      <c r="E186" s="1560"/>
      <c r="F186" s="1560"/>
      <c r="G186" s="1560"/>
      <c r="H186" s="1656"/>
      <c r="I186" s="1633"/>
      <c r="J186" s="1634"/>
      <c r="K186" s="452"/>
      <c r="L186" s="16"/>
      <c r="M186" s="452"/>
      <c r="N186" s="1657"/>
      <c r="O186" s="1658"/>
      <c r="P186" s="1680"/>
      <c r="Q186" s="1626"/>
      <c r="R186" s="279"/>
    </row>
    <row r="187" spans="1:19" ht="30" customHeight="1" x14ac:dyDescent="0.35">
      <c r="A187" s="259"/>
      <c r="B187" s="1667" t="s">
        <v>682</v>
      </c>
      <c r="C187" s="1618" t="s">
        <v>683</v>
      </c>
      <c r="D187" s="1674"/>
      <c r="E187" s="14"/>
      <c r="F187" s="14"/>
      <c r="G187" s="14"/>
      <c r="H187" s="1065" t="str">
        <f>IF(AND(ISNUMBER(H188), ISNUMBER(H189), ISNUMBER(H190), ISNUMBER(H191), ISNUMBER(H192), ISNUMBER(H193)), SUM(H188:H193), "")</f>
        <v/>
      </c>
      <c r="I187" s="1633"/>
      <c r="J187" s="1634"/>
      <c r="K187" s="25"/>
      <c r="L187" s="14"/>
      <c r="M187" s="14"/>
      <c r="N187" s="1065" t="str">
        <f>IF(AND(ISNUMBER(N188), ISNUMBER(N189), ISNUMBER(N190), ISNUMBER(N191), ISNUMBER(N192), ISNUMBER(N193)), SUM(N188:N193), "")</f>
        <v/>
      </c>
      <c r="O187" s="1625"/>
      <c r="P187" s="14"/>
      <c r="Q187" s="26"/>
      <c r="R187" s="279"/>
    </row>
    <row r="188" spans="1:19" ht="15" customHeight="1" x14ac:dyDescent="0.35">
      <c r="A188" s="259"/>
      <c r="B188" s="1669" t="s">
        <v>651</v>
      </c>
      <c r="C188" s="25"/>
      <c r="D188" s="14"/>
      <c r="E188" s="41"/>
      <c r="F188" s="41"/>
      <c r="G188" s="41"/>
      <c r="H188" s="1666" t="str">
        <f t="shared" ref="H188:H193" si="79">IF(AND(ISNUMBER(E188), ISNUMBER(F188), ISNUMBER(G188)), SUM(E188:G188), "")</f>
        <v/>
      </c>
      <c r="I188" s="1633"/>
      <c r="J188" s="1634"/>
      <c r="K188" s="97" t="str">
        <f t="shared" ref="K188:K193" si="80">IF(AND(ISNUMBER(E188), ISNUMBER(O188)), E188*O188, "")</f>
        <v/>
      </c>
      <c r="L188" s="97" t="str">
        <f t="shared" ref="L188:L193" si="81">IF(AND(ISNUMBER(F188), ISNUMBER(P188)), F188*P188, "")</f>
        <v/>
      </c>
      <c r="M188" s="97" t="str">
        <f t="shared" ref="M188:M193" si="82">IF(AND(ISNUMBER(G188), ISNUMBER(Q188)), G188*Q188, "")</f>
        <v/>
      </c>
      <c r="N188" s="1666" t="str">
        <f t="shared" ref="N188:N193" si="83">IF(AND(ISNUMBER(K188), ISNUMBER(L188), ISNUMBER(M188)), SUM(K188:M188), "")</f>
        <v/>
      </c>
      <c r="O188" s="1627">
        <f>Parameters!F155</f>
        <v>0.5</v>
      </c>
      <c r="P188" s="117">
        <f>Parameters!G155</f>
        <v>0.5</v>
      </c>
      <c r="Q188" s="43">
        <f>Parameters!H155</f>
        <v>0.65</v>
      </c>
      <c r="R188" s="279"/>
      <c r="S188" s="98">
        <f>IF(ISNUMBER(N188),1,0)</f>
        <v>0</v>
      </c>
    </row>
    <row r="189" spans="1:19" ht="15" customHeight="1" x14ac:dyDescent="0.35">
      <c r="A189" s="259"/>
      <c r="B189" s="1669" t="s">
        <v>652</v>
      </c>
      <c r="C189" s="25"/>
      <c r="D189" s="14"/>
      <c r="E189" s="41"/>
      <c r="F189" s="41"/>
      <c r="G189" s="41"/>
      <c r="H189" s="1666" t="str">
        <f t="shared" si="79"/>
        <v/>
      </c>
      <c r="I189" s="1633"/>
      <c r="J189" s="1634"/>
      <c r="K189" s="97" t="str">
        <f t="shared" si="80"/>
        <v/>
      </c>
      <c r="L189" s="97" t="str">
        <f t="shared" si="81"/>
        <v/>
      </c>
      <c r="M189" s="97" t="str">
        <f t="shared" si="82"/>
        <v/>
      </c>
      <c r="N189" s="1666" t="str">
        <f t="shared" si="83"/>
        <v/>
      </c>
      <c r="O189" s="1627">
        <f>Parameters!F156</f>
        <v>0.5</v>
      </c>
      <c r="P189" s="117">
        <f>Parameters!G156</f>
        <v>0.5</v>
      </c>
      <c r="Q189" s="43">
        <f>Parameters!H156</f>
        <v>0.65</v>
      </c>
      <c r="R189" s="279"/>
      <c r="S189" s="98">
        <f t="shared" ref="S189:S191" si="84">IF(ISNUMBER(N189),1,0)</f>
        <v>0</v>
      </c>
    </row>
    <row r="190" spans="1:19" ht="15" customHeight="1" x14ac:dyDescent="0.35">
      <c r="A190" s="259"/>
      <c r="B190" s="1669" t="s">
        <v>653</v>
      </c>
      <c r="C190" s="25"/>
      <c r="D190" s="14"/>
      <c r="E190" s="41"/>
      <c r="F190" s="41"/>
      <c r="G190" s="41"/>
      <c r="H190" s="1666" t="str">
        <f t="shared" si="79"/>
        <v/>
      </c>
      <c r="I190" s="1633"/>
      <c r="J190" s="1634"/>
      <c r="K190" s="97" t="str">
        <f t="shared" si="80"/>
        <v/>
      </c>
      <c r="L190" s="97" t="str">
        <f t="shared" si="81"/>
        <v/>
      </c>
      <c r="M190" s="97" t="str">
        <f t="shared" si="82"/>
        <v/>
      </c>
      <c r="N190" s="1666" t="str">
        <f t="shared" si="83"/>
        <v/>
      </c>
      <c r="O190" s="1627">
        <f>Parameters!F157</f>
        <v>0.5</v>
      </c>
      <c r="P190" s="117">
        <f>Parameters!G157</f>
        <v>0.5</v>
      </c>
      <c r="Q190" s="43">
        <f>Parameters!H157</f>
        <v>0.65</v>
      </c>
      <c r="R190" s="279"/>
      <c r="S190" s="98">
        <f t="shared" si="84"/>
        <v>0</v>
      </c>
    </row>
    <row r="191" spans="1:19" ht="15" customHeight="1" x14ac:dyDescent="0.35">
      <c r="A191" s="259"/>
      <c r="B191" s="1669" t="s">
        <v>654</v>
      </c>
      <c r="C191" s="25"/>
      <c r="D191" s="14"/>
      <c r="E191" s="41"/>
      <c r="F191" s="41"/>
      <c r="G191" s="41"/>
      <c r="H191" s="1666" t="str">
        <f t="shared" si="79"/>
        <v/>
      </c>
      <c r="I191" s="1633"/>
      <c r="J191" s="1634"/>
      <c r="K191" s="97" t="str">
        <f t="shared" si="80"/>
        <v/>
      </c>
      <c r="L191" s="97" t="str">
        <f t="shared" si="81"/>
        <v/>
      </c>
      <c r="M191" s="97" t="str">
        <f t="shared" si="82"/>
        <v/>
      </c>
      <c r="N191" s="1666" t="str">
        <f t="shared" si="83"/>
        <v/>
      </c>
      <c r="O191" s="1627">
        <f>Parameters!F158</f>
        <v>1</v>
      </c>
      <c r="P191" s="117">
        <f>Parameters!G158</f>
        <v>1</v>
      </c>
      <c r="Q191" s="43">
        <f>Parameters!H158</f>
        <v>1</v>
      </c>
      <c r="R191" s="279"/>
      <c r="S191" s="98">
        <f t="shared" si="84"/>
        <v>0</v>
      </c>
    </row>
    <row r="192" spans="1:19" ht="15" customHeight="1" x14ac:dyDescent="0.35">
      <c r="A192" s="259"/>
      <c r="B192" s="1669" t="s">
        <v>655</v>
      </c>
      <c r="C192" s="25"/>
      <c r="D192" s="14"/>
      <c r="E192" s="41"/>
      <c r="F192" s="41"/>
      <c r="G192" s="41"/>
      <c r="H192" s="1666" t="str">
        <f t="shared" si="79"/>
        <v/>
      </c>
      <c r="I192" s="1633"/>
      <c r="J192" s="1634"/>
      <c r="K192" s="97" t="str">
        <f t="shared" si="80"/>
        <v/>
      </c>
      <c r="L192" s="97" t="str">
        <f t="shared" si="81"/>
        <v/>
      </c>
      <c r="M192" s="97" t="str">
        <f t="shared" si="82"/>
        <v/>
      </c>
      <c r="N192" s="1666" t="str">
        <f t="shared" si="83"/>
        <v/>
      </c>
      <c r="O192" s="1627">
        <f>Parameters!F159</f>
        <v>0</v>
      </c>
      <c r="P192" s="117">
        <f>Parameters!G159</f>
        <v>0</v>
      </c>
      <c r="Q192" s="43">
        <f>Parameters!H159</f>
        <v>0</v>
      </c>
      <c r="R192" s="279"/>
    </row>
    <row r="193" spans="1:19" ht="15" customHeight="1" x14ac:dyDescent="0.35">
      <c r="A193" s="259"/>
      <c r="B193" s="1669" t="s">
        <v>656</v>
      </c>
      <c r="C193" s="25"/>
      <c r="D193" s="14"/>
      <c r="E193" s="41"/>
      <c r="F193" s="41"/>
      <c r="G193" s="41"/>
      <c r="H193" s="1666" t="str">
        <f t="shared" si="79"/>
        <v/>
      </c>
      <c r="I193" s="1633"/>
      <c r="J193" s="1634"/>
      <c r="K193" s="97" t="str">
        <f t="shared" si="80"/>
        <v/>
      </c>
      <c r="L193" s="97" t="str">
        <f t="shared" si="81"/>
        <v/>
      </c>
      <c r="M193" s="97" t="str">
        <f t="shared" si="82"/>
        <v/>
      </c>
      <c r="N193" s="1666" t="str">
        <f t="shared" si="83"/>
        <v/>
      </c>
      <c r="O193" s="1627">
        <f>Parameters!F160</f>
        <v>0</v>
      </c>
      <c r="P193" s="117">
        <f>Parameters!G160</f>
        <v>0</v>
      </c>
      <c r="Q193" s="43">
        <f>Parameters!H160</f>
        <v>0</v>
      </c>
      <c r="R193" s="279"/>
    </row>
    <row r="194" spans="1:19" ht="15" hidden="1" customHeight="1" x14ac:dyDescent="0.35">
      <c r="A194" s="259"/>
      <c r="B194" s="531"/>
      <c r="C194" s="25"/>
      <c r="D194" s="14"/>
      <c r="E194" s="1560"/>
      <c r="F194" s="1560"/>
      <c r="G194" s="1560"/>
      <c r="H194" s="1656"/>
      <c r="I194" s="1633"/>
      <c r="J194" s="1634"/>
      <c r="K194" s="452"/>
      <c r="L194" s="16"/>
      <c r="M194" s="452"/>
      <c r="N194" s="1657"/>
      <c r="O194" s="1658"/>
      <c r="P194" s="1680"/>
      <c r="Q194" s="1626"/>
      <c r="R194" s="279"/>
    </row>
    <row r="195" spans="1:19" ht="15" hidden="1" customHeight="1" x14ac:dyDescent="0.35">
      <c r="A195" s="259"/>
      <c r="B195" s="531"/>
      <c r="C195" s="25"/>
      <c r="D195" s="14"/>
      <c r="E195" s="1560"/>
      <c r="F195" s="1560"/>
      <c r="G195" s="1560"/>
      <c r="H195" s="1656"/>
      <c r="I195" s="1633"/>
      <c r="J195" s="1634"/>
      <c r="K195" s="452"/>
      <c r="L195" s="16"/>
      <c r="M195" s="452"/>
      <c r="N195" s="1657"/>
      <c r="O195" s="1658"/>
      <c r="P195" s="1680"/>
      <c r="Q195" s="1626"/>
      <c r="R195" s="279"/>
    </row>
    <row r="196" spans="1:19" ht="45" x14ac:dyDescent="0.35">
      <c r="A196" s="259"/>
      <c r="B196" s="1667" t="s">
        <v>684</v>
      </c>
      <c r="C196" s="1618" t="s">
        <v>685</v>
      </c>
      <c r="D196" s="1674"/>
      <c r="E196" s="14"/>
      <c r="F196" s="14"/>
      <c r="G196" s="14"/>
      <c r="H196" s="1065" t="str">
        <f>IF(AND(ISNUMBER(H197), ISNUMBER(H198), ISNUMBER(H199), ISNUMBER(H200), ISNUMBER(H201), ISNUMBER(H202)), SUM(H197:H202), "")</f>
        <v/>
      </c>
      <c r="I196" s="1633"/>
      <c r="J196" s="1634"/>
      <c r="K196" s="25"/>
      <c r="L196" s="14"/>
      <c r="M196" s="14"/>
      <c r="N196" s="1065" t="str">
        <f>IF(AND(ISNUMBER(N197), ISNUMBER(N198), ISNUMBER(N199), ISNUMBER(N200), ISNUMBER(N201), ISNUMBER(N202)), SUM(N197:N202), "")</f>
        <v/>
      </c>
      <c r="O196" s="1625"/>
      <c r="P196" s="14"/>
      <c r="Q196" s="26"/>
      <c r="R196" s="279"/>
    </row>
    <row r="197" spans="1:19" ht="15" customHeight="1" x14ac:dyDescent="0.35">
      <c r="A197" s="259"/>
      <c r="B197" s="1669" t="s">
        <v>651</v>
      </c>
      <c r="C197" s="25"/>
      <c r="D197" s="14"/>
      <c r="E197" s="1"/>
      <c r="F197" s="1"/>
      <c r="G197" s="41"/>
      <c r="H197" s="1666" t="str">
        <f>IF(ISNUMBER(G197), SUM(E197:G197), "")</f>
        <v/>
      </c>
      <c r="I197" s="1633"/>
      <c r="J197" s="1634"/>
      <c r="K197" s="97" t="str">
        <f t="shared" ref="K197:K202" si="85">IF(AND(ISNUMBER(E197), ISNUMBER(O197)), E197*O197, "")</f>
        <v/>
      </c>
      <c r="L197" s="97" t="str">
        <f t="shared" ref="L197:L202" si="86">IF(AND(ISNUMBER(F197), ISNUMBER(P197)), F197*P197, "")</f>
        <v/>
      </c>
      <c r="M197" s="97" t="str">
        <f t="shared" ref="M197:M202" si="87">IF(AND(ISNUMBER(G197), ISNUMBER(Q197)), G197*Q197, "")</f>
        <v/>
      </c>
      <c r="N197" s="1666" t="str">
        <f>IF(ISNUMBER(M197), SUM(K197:M197), "")</f>
        <v/>
      </c>
      <c r="O197" s="1627">
        <f>Parameters!F164</f>
        <v>0</v>
      </c>
      <c r="P197" s="117">
        <f>Parameters!G164</f>
        <v>0</v>
      </c>
      <c r="Q197" s="43">
        <f>Parameters!H164</f>
        <v>0.65</v>
      </c>
      <c r="R197" s="279"/>
      <c r="S197" s="98">
        <f>IF(ISNUMBER(N197),1,0)</f>
        <v>0</v>
      </c>
    </row>
    <row r="198" spans="1:19" ht="15" customHeight="1" x14ac:dyDescent="0.35">
      <c r="A198" s="259"/>
      <c r="B198" s="1669" t="s">
        <v>652</v>
      </c>
      <c r="C198" s="25"/>
      <c r="D198" s="14"/>
      <c r="E198" s="1"/>
      <c r="F198" s="1"/>
      <c r="G198" s="41"/>
      <c r="H198" s="1666" t="str">
        <f t="shared" ref="H198:H202" si="88">IF(ISNUMBER(G198), SUM(E198:G198), "")</f>
        <v/>
      </c>
      <c r="I198" s="1633"/>
      <c r="J198" s="1634"/>
      <c r="K198" s="97" t="str">
        <f t="shared" si="85"/>
        <v/>
      </c>
      <c r="L198" s="97" t="str">
        <f t="shared" si="86"/>
        <v/>
      </c>
      <c r="M198" s="97" t="str">
        <f t="shared" si="87"/>
        <v/>
      </c>
      <c r="N198" s="1666" t="str">
        <f t="shared" ref="N198:N202" si="89">IF(ISNUMBER(M198), SUM(K198:M198), "")</f>
        <v/>
      </c>
      <c r="O198" s="1627">
        <f>Parameters!F165</f>
        <v>0</v>
      </c>
      <c r="P198" s="117">
        <f>Parameters!G165</f>
        <v>0</v>
      </c>
      <c r="Q198" s="43">
        <f>Parameters!H165</f>
        <v>0.65</v>
      </c>
      <c r="R198" s="279"/>
      <c r="S198" s="98">
        <f t="shared" ref="S198:S200" si="90">IF(ISNUMBER(N198),1,0)</f>
        <v>0</v>
      </c>
    </row>
    <row r="199" spans="1:19" ht="15" customHeight="1" x14ac:dyDescent="0.35">
      <c r="A199" s="259"/>
      <c r="B199" s="1669" t="s">
        <v>653</v>
      </c>
      <c r="C199" s="25"/>
      <c r="D199" s="14"/>
      <c r="E199" s="1"/>
      <c r="F199" s="1"/>
      <c r="G199" s="41"/>
      <c r="H199" s="1666" t="str">
        <f t="shared" si="88"/>
        <v/>
      </c>
      <c r="I199" s="1633"/>
      <c r="J199" s="1634"/>
      <c r="K199" s="97" t="str">
        <f t="shared" si="85"/>
        <v/>
      </c>
      <c r="L199" s="97" t="str">
        <f t="shared" si="86"/>
        <v/>
      </c>
      <c r="M199" s="97" t="str">
        <f t="shared" si="87"/>
        <v/>
      </c>
      <c r="N199" s="1666" t="str">
        <f t="shared" si="89"/>
        <v/>
      </c>
      <c r="O199" s="1627">
        <f>Parameters!F166</f>
        <v>0</v>
      </c>
      <c r="P199" s="117">
        <f>Parameters!G166</f>
        <v>0</v>
      </c>
      <c r="Q199" s="43">
        <f>Parameters!H166</f>
        <v>0.65</v>
      </c>
      <c r="R199" s="279"/>
      <c r="S199" s="98">
        <f t="shared" si="90"/>
        <v>0</v>
      </c>
    </row>
    <row r="200" spans="1:19" ht="15" customHeight="1" x14ac:dyDescent="0.35">
      <c r="A200" s="259"/>
      <c r="B200" s="1669" t="s">
        <v>654</v>
      </c>
      <c r="C200" s="25"/>
      <c r="D200" s="14"/>
      <c r="E200" s="1"/>
      <c r="F200" s="1"/>
      <c r="G200" s="41"/>
      <c r="H200" s="1666" t="str">
        <f t="shared" si="88"/>
        <v/>
      </c>
      <c r="I200" s="1633"/>
      <c r="J200" s="1634"/>
      <c r="K200" s="97" t="str">
        <f t="shared" si="85"/>
        <v/>
      </c>
      <c r="L200" s="97" t="str">
        <f t="shared" si="86"/>
        <v/>
      </c>
      <c r="M200" s="97" t="str">
        <f t="shared" si="87"/>
        <v/>
      </c>
      <c r="N200" s="1666" t="str">
        <f t="shared" si="89"/>
        <v/>
      </c>
      <c r="O200" s="1627">
        <f>Parameters!F167</f>
        <v>0</v>
      </c>
      <c r="P200" s="117">
        <f>Parameters!G167</f>
        <v>0</v>
      </c>
      <c r="Q200" s="43">
        <f>Parameters!H167</f>
        <v>1</v>
      </c>
      <c r="R200" s="279"/>
      <c r="S200" s="98">
        <f t="shared" si="90"/>
        <v>0</v>
      </c>
    </row>
    <row r="201" spans="1:19" ht="15" customHeight="1" x14ac:dyDescent="0.35">
      <c r="A201" s="259"/>
      <c r="B201" s="1669" t="s">
        <v>655</v>
      </c>
      <c r="C201" s="25"/>
      <c r="D201" s="14"/>
      <c r="E201" s="1"/>
      <c r="F201" s="1"/>
      <c r="G201" s="41"/>
      <c r="H201" s="1666" t="str">
        <f t="shared" si="88"/>
        <v/>
      </c>
      <c r="I201" s="1633"/>
      <c r="J201" s="1634"/>
      <c r="K201" s="97" t="str">
        <f t="shared" si="85"/>
        <v/>
      </c>
      <c r="L201" s="97" t="str">
        <f t="shared" si="86"/>
        <v/>
      </c>
      <c r="M201" s="97" t="str">
        <f t="shared" si="87"/>
        <v/>
      </c>
      <c r="N201" s="1666" t="str">
        <f t="shared" si="89"/>
        <v/>
      </c>
      <c r="O201" s="1627">
        <f>Parameters!F168</f>
        <v>0</v>
      </c>
      <c r="P201" s="117">
        <f>Parameters!G168</f>
        <v>0</v>
      </c>
      <c r="Q201" s="43">
        <f>Parameters!H168</f>
        <v>0</v>
      </c>
      <c r="R201" s="279"/>
    </row>
    <row r="202" spans="1:19" ht="15" customHeight="1" x14ac:dyDescent="0.35">
      <c r="A202" s="259"/>
      <c r="B202" s="1669" t="s">
        <v>656</v>
      </c>
      <c r="C202" s="25"/>
      <c r="D202" s="14"/>
      <c r="E202" s="1"/>
      <c r="F202" s="1"/>
      <c r="G202" s="41"/>
      <c r="H202" s="1666" t="str">
        <f t="shared" si="88"/>
        <v/>
      </c>
      <c r="I202" s="1633"/>
      <c r="J202" s="1634"/>
      <c r="K202" s="97" t="str">
        <f t="shared" si="85"/>
        <v/>
      </c>
      <c r="L202" s="97" t="str">
        <f t="shared" si="86"/>
        <v/>
      </c>
      <c r="M202" s="97" t="str">
        <f t="shared" si="87"/>
        <v/>
      </c>
      <c r="N202" s="1666" t="str">
        <f t="shared" si="89"/>
        <v/>
      </c>
      <c r="O202" s="1627">
        <f>Parameters!F169</f>
        <v>0</v>
      </c>
      <c r="P202" s="117">
        <f>Parameters!G169</f>
        <v>0</v>
      </c>
      <c r="Q202" s="43">
        <f>Parameters!H169</f>
        <v>0</v>
      </c>
      <c r="R202" s="279"/>
    </row>
    <row r="203" spans="1:19" ht="15" hidden="1" customHeight="1" x14ac:dyDescent="0.35">
      <c r="A203" s="259"/>
      <c r="B203" s="531"/>
      <c r="C203" s="25"/>
      <c r="D203" s="14"/>
      <c r="E203" s="1560"/>
      <c r="F203" s="1560"/>
      <c r="G203" s="1560"/>
      <c r="H203" s="1656"/>
      <c r="I203" s="1633"/>
      <c r="J203" s="1634"/>
      <c r="K203" s="452"/>
      <c r="L203" s="16"/>
      <c r="M203" s="452"/>
      <c r="N203" s="1657"/>
      <c r="O203" s="1658"/>
      <c r="P203" s="1680"/>
      <c r="Q203" s="1626"/>
      <c r="R203" s="279"/>
    </row>
    <row r="204" spans="1:19" ht="15" hidden="1" customHeight="1" x14ac:dyDescent="0.35">
      <c r="A204" s="259"/>
      <c r="B204" s="531"/>
      <c r="C204" s="25"/>
      <c r="D204" s="14"/>
      <c r="E204" s="1560"/>
      <c r="F204" s="1560"/>
      <c r="G204" s="1560"/>
      <c r="H204" s="1656"/>
      <c r="I204" s="1633"/>
      <c r="J204" s="1634"/>
      <c r="K204" s="452"/>
      <c r="L204" s="16"/>
      <c r="M204" s="452"/>
      <c r="N204" s="1657"/>
      <c r="O204" s="1658"/>
      <c r="P204" s="1680"/>
      <c r="Q204" s="1626"/>
      <c r="R204" s="279"/>
    </row>
    <row r="205" spans="1:19" ht="15" hidden="1" customHeight="1" x14ac:dyDescent="0.35">
      <c r="A205" s="259"/>
      <c r="B205" s="531"/>
      <c r="C205" s="25"/>
      <c r="D205" s="14"/>
      <c r="E205" s="1560"/>
      <c r="F205" s="1560"/>
      <c r="G205" s="1560"/>
      <c r="H205" s="1656"/>
      <c r="I205" s="1633"/>
      <c r="J205" s="1634"/>
      <c r="K205" s="452"/>
      <c r="L205" s="16"/>
      <c r="M205" s="452"/>
      <c r="N205" s="1657"/>
      <c r="O205" s="1658"/>
      <c r="P205" s="1680"/>
      <c r="Q205" s="1626"/>
      <c r="R205" s="279"/>
    </row>
    <row r="206" spans="1:19" ht="15" hidden="1" customHeight="1" x14ac:dyDescent="0.35">
      <c r="A206" s="259"/>
      <c r="B206" s="531"/>
      <c r="C206" s="25"/>
      <c r="D206" s="14"/>
      <c r="E206" s="1560"/>
      <c r="F206" s="1560"/>
      <c r="G206" s="1560"/>
      <c r="H206" s="1656"/>
      <c r="I206" s="1633"/>
      <c r="J206" s="1634"/>
      <c r="K206" s="452"/>
      <c r="L206" s="16"/>
      <c r="M206" s="452"/>
      <c r="N206" s="1657"/>
      <c r="O206" s="1658"/>
      <c r="P206" s="1680"/>
      <c r="Q206" s="1626"/>
      <c r="R206" s="279"/>
    </row>
    <row r="207" spans="1:19" ht="15" hidden="1" customHeight="1" x14ac:dyDescent="0.35">
      <c r="A207" s="259"/>
      <c r="B207" s="531"/>
      <c r="C207" s="25"/>
      <c r="D207" s="14"/>
      <c r="E207" s="1560"/>
      <c r="F207" s="1560"/>
      <c r="G207" s="1560"/>
      <c r="H207" s="1656"/>
      <c r="I207" s="1633"/>
      <c r="J207" s="1634"/>
      <c r="K207" s="452"/>
      <c r="L207" s="16"/>
      <c r="M207" s="452"/>
      <c r="N207" s="1657"/>
      <c r="O207" s="1658"/>
      <c r="P207" s="1680"/>
      <c r="Q207" s="1626"/>
      <c r="R207" s="279"/>
    </row>
    <row r="208" spans="1:19" ht="15" hidden="1" customHeight="1" x14ac:dyDescent="0.35">
      <c r="A208" s="259"/>
      <c r="B208" s="531"/>
      <c r="C208" s="25"/>
      <c r="D208" s="14"/>
      <c r="E208" s="1560"/>
      <c r="F208" s="1560"/>
      <c r="G208" s="1560"/>
      <c r="H208" s="1656"/>
      <c r="I208" s="1633"/>
      <c r="J208" s="1634"/>
      <c r="K208" s="452"/>
      <c r="L208" s="16"/>
      <c r="M208" s="452"/>
      <c r="N208" s="1657"/>
      <c r="O208" s="1658"/>
      <c r="P208" s="1680"/>
      <c r="Q208" s="1626"/>
      <c r="R208" s="279"/>
    </row>
    <row r="209" spans="1:19" ht="15" hidden="1" customHeight="1" x14ac:dyDescent="0.35">
      <c r="A209" s="259"/>
      <c r="B209" s="531"/>
      <c r="C209" s="25"/>
      <c r="D209" s="14"/>
      <c r="E209" s="1560"/>
      <c r="F209" s="1560"/>
      <c r="G209" s="1560"/>
      <c r="H209" s="1656"/>
      <c r="I209" s="1633"/>
      <c r="J209" s="1634"/>
      <c r="K209" s="452"/>
      <c r="L209" s="16"/>
      <c r="M209" s="452"/>
      <c r="N209" s="1657"/>
      <c r="O209" s="1658"/>
      <c r="P209" s="1680"/>
      <c r="Q209" s="1626"/>
      <c r="R209" s="279"/>
    </row>
    <row r="210" spans="1:19" ht="15" hidden="1" customHeight="1" x14ac:dyDescent="0.35">
      <c r="A210" s="259"/>
      <c r="B210" s="531"/>
      <c r="C210" s="25"/>
      <c r="D210" s="14"/>
      <c r="E210" s="1560"/>
      <c r="F210" s="1560"/>
      <c r="G210" s="1560"/>
      <c r="H210" s="1656"/>
      <c r="I210" s="1633"/>
      <c r="J210" s="1634"/>
      <c r="K210" s="452"/>
      <c r="L210" s="16"/>
      <c r="M210" s="452"/>
      <c r="N210" s="1657"/>
      <c r="O210" s="1658"/>
      <c r="P210" s="1680"/>
      <c r="Q210" s="1626"/>
      <c r="R210" s="279"/>
    </row>
    <row r="211" spans="1:19" ht="15" hidden="1" customHeight="1" x14ac:dyDescent="0.35">
      <c r="A211" s="259"/>
      <c r="B211" s="531"/>
      <c r="C211" s="25"/>
      <c r="D211" s="14"/>
      <c r="E211" s="1560"/>
      <c r="F211" s="1560"/>
      <c r="G211" s="1560"/>
      <c r="H211" s="1656"/>
      <c r="I211" s="1633"/>
      <c r="J211" s="1634"/>
      <c r="K211" s="452"/>
      <c r="L211" s="16"/>
      <c r="M211" s="452"/>
      <c r="N211" s="1657"/>
      <c r="O211" s="1658"/>
      <c r="P211" s="1680"/>
      <c r="Q211" s="1626"/>
      <c r="R211" s="279"/>
    </row>
    <row r="212" spans="1:19" ht="15" hidden="1" customHeight="1" x14ac:dyDescent="0.35">
      <c r="A212" s="259"/>
      <c r="B212" s="531"/>
      <c r="C212" s="25"/>
      <c r="D212" s="14"/>
      <c r="E212" s="1560"/>
      <c r="F212" s="1560"/>
      <c r="G212" s="1560"/>
      <c r="H212" s="1656"/>
      <c r="I212" s="1633"/>
      <c r="J212" s="1634"/>
      <c r="K212" s="452"/>
      <c r="L212" s="16"/>
      <c r="M212" s="452"/>
      <c r="N212" s="1657"/>
      <c r="O212" s="1658"/>
      <c r="P212" s="1680"/>
      <c r="Q212" s="1626"/>
      <c r="R212" s="279"/>
    </row>
    <row r="213" spans="1:19" ht="15" hidden="1" customHeight="1" x14ac:dyDescent="0.35">
      <c r="A213" s="259"/>
      <c r="B213" s="531"/>
      <c r="C213" s="25"/>
      <c r="D213" s="14"/>
      <c r="E213" s="1560"/>
      <c r="F213" s="1560"/>
      <c r="G213" s="1560"/>
      <c r="H213" s="1656"/>
      <c r="I213" s="1633"/>
      <c r="J213" s="1634"/>
      <c r="K213" s="452"/>
      <c r="L213" s="16"/>
      <c r="M213" s="452"/>
      <c r="N213" s="1657"/>
      <c r="O213" s="1658"/>
      <c r="P213" s="1680"/>
      <c r="Q213" s="1626"/>
      <c r="R213" s="279"/>
    </row>
    <row r="214" spans="1:19" ht="30" customHeight="1" x14ac:dyDescent="0.35">
      <c r="A214" s="259"/>
      <c r="B214" s="1667" t="s">
        <v>686</v>
      </c>
      <c r="C214" s="1618" t="s">
        <v>677</v>
      </c>
      <c r="D214" s="1674"/>
      <c r="E214" s="14"/>
      <c r="F214" s="14"/>
      <c r="G214" s="14"/>
      <c r="H214" s="1065" t="str">
        <f>IF(AND(ISNUMBER(H215), ISNUMBER(H216), ISNUMBER(H217), ISNUMBER(H218), ISNUMBER(H219), ISNUMBER(H220)), SUM(H215:H220), "")</f>
        <v/>
      </c>
      <c r="I214" s="1633"/>
      <c r="J214" s="1634"/>
      <c r="K214" s="25"/>
      <c r="L214" s="14"/>
      <c r="M214" s="14"/>
      <c r="N214" s="1065" t="str">
        <f>IF(AND(ISNUMBER(N215), ISNUMBER(N216), ISNUMBER(N217), ISNUMBER(N218), ISNUMBER(N219), ISNUMBER(N220)), SUM(N215:N220), "")</f>
        <v/>
      </c>
      <c r="O214" s="1625"/>
      <c r="P214" s="14"/>
      <c r="Q214" s="26"/>
      <c r="R214" s="279"/>
    </row>
    <row r="215" spans="1:19" ht="15" customHeight="1" x14ac:dyDescent="0.35">
      <c r="A215" s="259"/>
      <c r="B215" s="1669" t="s">
        <v>651</v>
      </c>
      <c r="C215" s="25"/>
      <c r="D215" s="14"/>
      <c r="E215" s="41"/>
      <c r="F215" s="41"/>
      <c r="G215" s="14"/>
      <c r="H215" s="1666" t="str">
        <f>IF(AND(ISNUMBER(E215), ISNUMBER(F215)), SUM(E215:F215), "")</f>
        <v/>
      </c>
      <c r="I215" s="1633"/>
      <c r="J215" s="1634"/>
      <c r="K215" s="97" t="str">
        <f t="shared" ref="K215:K220" si="91">IF(AND(ISNUMBER(E215), ISNUMBER(O215)), E215*O215, "")</f>
        <v/>
      </c>
      <c r="L215" s="97" t="str">
        <f t="shared" ref="L215:L220" si="92">IF(AND(ISNUMBER(F215), ISNUMBER(P215)), F215*P215, "")</f>
        <v/>
      </c>
      <c r="M215" s="14"/>
      <c r="N215" s="1666" t="str">
        <f>IF(AND(ISNUMBER(K215), ISNUMBER(L215)), SUM(K215:L215), "")</f>
        <v/>
      </c>
      <c r="O215" s="1627">
        <f>Parameters!F182</f>
        <v>0.5</v>
      </c>
      <c r="P215" s="117">
        <f>Parameters!G182</f>
        <v>0.5</v>
      </c>
      <c r="Q215" s="26"/>
      <c r="R215" s="279"/>
      <c r="S215" s="98">
        <f>IF(ISNUMBER(N215),1,0)</f>
        <v>0</v>
      </c>
    </row>
    <row r="216" spans="1:19" ht="15" customHeight="1" x14ac:dyDescent="0.35">
      <c r="A216" s="259"/>
      <c r="B216" s="1669" t="s">
        <v>652</v>
      </c>
      <c r="C216" s="25"/>
      <c r="D216" s="14"/>
      <c r="E216" s="41"/>
      <c r="F216" s="41"/>
      <c r="G216" s="14"/>
      <c r="H216" s="1666" t="str">
        <f t="shared" ref="H216:H220" si="93">IF(AND(ISNUMBER(E216), ISNUMBER(F216)), SUM(E216:F216), "")</f>
        <v/>
      </c>
      <c r="I216" s="1633"/>
      <c r="J216" s="1634"/>
      <c r="K216" s="97" t="str">
        <f t="shared" si="91"/>
        <v/>
      </c>
      <c r="L216" s="97" t="str">
        <f t="shared" si="92"/>
        <v/>
      </c>
      <c r="M216" s="14"/>
      <c r="N216" s="1666" t="str">
        <f t="shared" ref="N216:N220" si="94">IF(AND(ISNUMBER(K216), ISNUMBER(L216)), SUM(K216:L216), "")</f>
        <v/>
      </c>
      <c r="O216" s="1627">
        <f>Parameters!F183</f>
        <v>0.5</v>
      </c>
      <c r="P216" s="117">
        <f>Parameters!G183</f>
        <v>0.5</v>
      </c>
      <c r="Q216" s="26"/>
      <c r="R216" s="279"/>
      <c r="S216" s="98">
        <f t="shared" ref="S216:S218" si="95">IF(ISNUMBER(N216),1,0)</f>
        <v>0</v>
      </c>
    </row>
    <row r="217" spans="1:19" ht="15" customHeight="1" x14ac:dyDescent="0.35">
      <c r="A217" s="259"/>
      <c r="B217" s="1669" t="s">
        <v>653</v>
      </c>
      <c r="C217" s="25"/>
      <c r="D217" s="14"/>
      <c r="E217" s="41"/>
      <c r="F217" s="41"/>
      <c r="G217" s="14"/>
      <c r="H217" s="1666" t="str">
        <f t="shared" si="93"/>
        <v/>
      </c>
      <c r="I217" s="1633"/>
      <c r="J217" s="1634"/>
      <c r="K217" s="97" t="str">
        <f t="shared" si="91"/>
        <v/>
      </c>
      <c r="L217" s="97" t="str">
        <f t="shared" si="92"/>
        <v/>
      </c>
      <c r="M217" s="14"/>
      <c r="N217" s="1666" t="str">
        <f t="shared" si="94"/>
        <v/>
      </c>
      <c r="O217" s="1627">
        <f>Parameters!F184</f>
        <v>0.5</v>
      </c>
      <c r="P217" s="117">
        <f>Parameters!G184</f>
        <v>0.5</v>
      </c>
      <c r="Q217" s="26"/>
      <c r="R217" s="279"/>
      <c r="S217" s="98">
        <f t="shared" si="95"/>
        <v>0</v>
      </c>
    </row>
    <row r="218" spans="1:19" ht="15" customHeight="1" x14ac:dyDescent="0.35">
      <c r="A218" s="259"/>
      <c r="B218" s="1669" t="s">
        <v>654</v>
      </c>
      <c r="C218" s="25"/>
      <c r="D218" s="14"/>
      <c r="E218" s="41"/>
      <c r="F218" s="41"/>
      <c r="G218" s="14"/>
      <c r="H218" s="1666" t="str">
        <f t="shared" si="93"/>
        <v/>
      </c>
      <c r="I218" s="1633"/>
      <c r="J218" s="1634"/>
      <c r="K218" s="97" t="str">
        <f t="shared" si="91"/>
        <v/>
      </c>
      <c r="L218" s="97" t="str">
        <f t="shared" si="92"/>
        <v/>
      </c>
      <c r="M218" s="14"/>
      <c r="N218" s="1666" t="str">
        <f t="shared" si="94"/>
        <v/>
      </c>
      <c r="O218" s="1627">
        <f>Parameters!F185</f>
        <v>1</v>
      </c>
      <c r="P218" s="117">
        <f>Parameters!G185</f>
        <v>1</v>
      </c>
      <c r="Q218" s="26"/>
      <c r="R218" s="279"/>
      <c r="S218" s="98">
        <f t="shared" si="95"/>
        <v>0</v>
      </c>
    </row>
    <row r="219" spans="1:19" ht="15" customHeight="1" x14ac:dyDescent="0.35">
      <c r="A219" s="259"/>
      <c r="B219" s="1669" t="s">
        <v>655</v>
      </c>
      <c r="C219" s="25"/>
      <c r="D219" s="14"/>
      <c r="E219" s="41"/>
      <c r="F219" s="41"/>
      <c r="G219" s="14"/>
      <c r="H219" s="1666" t="str">
        <f t="shared" si="93"/>
        <v/>
      </c>
      <c r="I219" s="1633"/>
      <c r="J219" s="1634"/>
      <c r="K219" s="97" t="str">
        <f t="shared" si="91"/>
        <v/>
      </c>
      <c r="L219" s="97" t="str">
        <f t="shared" si="92"/>
        <v/>
      </c>
      <c r="M219" s="14"/>
      <c r="N219" s="1666" t="str">
        <f t="shared" si="94"/>
        <v/>
      </c>
      <c r="O219" s="1627">
        <f>Parameters!F186</f>
        <v>0</v>
      </c>
      <c r="P219" s="117">
        <f>Parameters!G186</f>
        <v>0</v>
      </c>
      <c r="Q219" s="26"/>
      <c r="R219" s="279"/>
    </row>
    <row r="220" spans="1:19" ht="15" customHeight="1" x14ac:dyDescent="0.35">
      <c r="A220" s="259"/>
      <c r="B220" s="1669" t="s">
        <v>656</v>
      </c>
      <c r="C220" s="25"/>
      <c r="D220" s="14"/>
      <c r="E220" s="41"/>
      <c r="F220" s="41"/>
      <c r="G220" s="14"/>
      <c r="H220" s="1666" t="str">
        <f t="shared" si="93"/>
        <v/>
      </c>
      <c r="I220" s="1633"/>
      <c r="J220" s="1634"/>
      <c r="K220" s="97" t="str">
        <f t="shared" si="91"/>
        <v/>
      </c>
      <c r="L220" s="97" t="str">
        <f t="shared" si="92"/>
        <v/>
      </c>
      <c r="M220" s="14"/>
      <c r="N220" s="1666" t="str">
        <f t="shared" si="94"/>
        <v/>
      </c>
      <c r="O220" s="1627">
        <f>Parameters!F187</f>
        <v>0</v>
      </c>
      <c r="P220" s="117">
        <f>Parameters!G187</f>
        <v>0</v>
      </c>
      <c r="Q220" s="26"/>
      <c r="R220" s="279"/>
    </row>
    <row r="221" spans="1:19" ht="15" hidden="1" customHeight="1" x14ac:dyDescent="0.35">
      <c r="A221" s="259"/>
      <c r="B221" s="531"/>
      <c r="C221" s="25"/>
      <c r="D221" s="14"/>
      <c r="E221" s="1560"/>
      <c r="F221" s="1560"/>
      <c r="G221" s="1560"/>
      <c r="H221" s="1656"/>
      <c r="I221" s="1633"/>
      <c r="J221" s="1634"/>
      <c r="K221" s="452"/>
      <c r="L221" s="16"/>
      <c r="M221" s="452"/>
      <c r="N221" s="1657"/>
      <c r="O221" s="1658"/>
      <c r="P221" s="1680"/>
      <c r="Q221" s="1626"/>
      <c r="R221" s="279"/>
    </row>
    <row r="222" spans="1:19" ht="15" hidden="1" customHeight="1" x14ac:dyDescent="0.35">
      <c r="A222" s="259"/>
      <c r="B222" s="531"/>
      <c r="C222" s="25"/>
      <c r="D222" s="14"/>
      <c r="E222" s="1560"/>
      <c r="F222" s="1560"/>
      <c r="G222" s="1560"/>
      <c r="H222" s="1656"/>
      <c r="I222" s="1633"/>
      <c r="J222" s="1634"/>
      <c r="K222" s="452"/>
      <c r="L222" s="16"/>
      <c r="M222" s="452"/>
      <c r="N222" s="1657"/>
      <c r="O222" s="1658"/>
      <c r="P222" s="1680"/>
      <c r="Q222" s="1626"/>
      <c r="R222" s="279"/>
    </row>
    <row r="223" spans="1:19" ht="45" customHeight="1" x14ac:dyDescent="0.35">
      <c r="A223" s="259"/>
      <c r="B223" s="1667" t="s">
        <v>687</v>
      </c>
      <c r="C223" s="1618" t="s">
        <v>688</v>
      </c>
      <c r="D223" s="1674"/>
      <c r="E223" s="14"/>
      <c r="F223" s="14"/>
      <c r="G223" s="14"/>
      <c r="H223" s="1065" t="str">
        <f>IF(AND(ISNUMBER(H224), ISNUMBER(H225), ISNUMBER(H226), ISNUMBER(H227), ISNUMBER(H228), ISNUMBER(H229)), SUM(H224:H229), "")</f>
        <v/>
      </c>
      <c r="I223" s="1633"/>
      <c r="J223" s="1634"/>
      <c r="K223" s="25"/>
      <c r="L223" s="14"/>
      <c r="M223" s="14"/>
      <c r="N223" s="1065" t="str">
        <f>IF(AND(ISNUMBER(N224), ISNUMBER(N225), ISNUMBER(N226), ISNUMBER(N227), ISNUMBER(N228), ISNUMBER(N229)), SUM(N224:N229), "")</f>
        <v/>
      </c>
      <c r="O223" s="1625"/>
      <c r="P223" s="14"/>
      <c r="Q223" s="26"/>
      <c r="R223" s="279"/>
    </row>
    <row r="224" spans="1:19" ht="15" customHeight="1" x14ac:dyDescent="0.35">
      <c r="A224" s="259"/>
      <c r="B224" s="1669" t="s">
        <v>651</v>
      </c>
      <c r="C224" s="25"/>
      <c r="D224" s="14"/>
      <c r="E224" s="41"/>
      <c r="F224" s="41"/>
      <c r="G224" s="41"/>
      <c r="H224" s="1666" t="str">
        <f t="shared" ref="H224:H229" si="96">IF(AND(ISNUMBER(E224), ISNUMBER(F224), ISNUMBER(G224)), SUM(E224:G224), "")</f>
        <v/>
      </c>
      <c r="I224" s="1633"/>
      <c r="J224" s="1634"/>
      <c r="K224" s="97" t="str">
        <f t="shared" ref="K224:K229" si="97">IF(AND(ISNUMBER(E224), ISNUMBER(O224)), E224*O224, "")</f>
        <v/>
      </c>
      <c r="L224" s="97" t="str">
        <f t="shared" ref="L224:L229" si="98">IF(AND(ISNUMBER(F224), ISNUMBER(P224)), F224*P224, "")</f>
        <v/>
      </c>
      <c r="M224" s="97" t="str">
        <f t="shared" ref="M224:M229" si="99">IF(AND(ISNUMBER(G224), ISNUMBER(Q224)), G224*Q224, "")</f>
        <v/>
      </c>
      <c r="N224" s="1666" t="str">
        <f t="shared" ref="N224:N229" si="100">IF(AND(ISNUMBER(K224), ISNUMBER(L224), ISNUMBER(M224)), SUM(K224:M224), "")</f>
        <v/>
      </c>
      <c r="O224" s="1627">
        <f>Parameters!F191</f>
        <v>0.5</v>
      </c>
      <c r="P224" s="117">
        <f>Parameters!G191</f>
        <v>0.5</v>
      </c>
      <c r="Q224" s="43">
        <f>Parameters!H191</f>
        <v>0.85</v>
      </c>
      <c r="R224" s="279"/>
      <c r="S224" s="98">
        <f>IF(ISNUMBER(N224),1,0)</f>
        <v>0</v>
      </c>
    </row>
    <row r="225" spans="1:19" ht="15" customHeight="1" x14ac:dyDescent="0.35">
      <c r="A225" s="259"/>
      <c r="B225" s="1669" t="s">
        <v>652</v>
      </c>
      <c r="C225" s="25"/>
      <c r="D225" s="14"/>
      <c r="E225" s="41"/>
      <c r="F225" s="41"/>
      <c r="G225" s="41"/>
      <c r="H225" s="1666" t="str">
        <f t="shared" si="96"/>
        <v/>
      </c>
      <c r="I225" s="1633"/>
      <c r="J225" s="1634"/>
      <c r="K225" s="97" t="str">
        <f t="shared" si="97"/>
        <v/>
      </c>
      <c r="L225" s="97" t="str">
        <f t="shared" si="98"/>
        <v/>
      </c>
      <c r="M225" s="97" t="str">
        <f t="shared" si="99"/>
        <v/>
      </c>
      <c r="N225" s="1666" t="str">
        <f t="shared" si="100"/>
        <v/>
      </c>
      <c r="O225" s="1627">
        <f>Parameters!F192</f>
        <v>0.5</v>
      </c>
      <c r="P225" s="117">
        <f>Parameters!G192</f>
        <v>0.5</v>
      </c>
      <c r="Q225" s="43">
        <f>Parameters!H192</f>
        <v>0.85</v>
      </c>
      <c r="R225" s="279"/>
      <c r="S225" s="98">
        <f t="shared" ref="S225:S227" si="101">IF(ISNUMBER(N225),1,0)</f>
        <v>0</v>
      </c>
    </row>
    <row r="226" spans="1:19" ht="15" customHeight="1" x14ac:dyDescent="0.35">
      <c r="A226" s="259"/>
      <c r="B226" s="1669" t="s">
        <v>653</v>
      </c>
      <c r="C226" s="25"/>
      <c r="D226" s="14"/>
      <c r="E226" s="41"/>
      <c r="F226" s="41"/>
      <c r="G226" s="41"/>
      <c r="H226" s="1666" t="str">
        <f t="shared" si="96"/>
        <v/>
      </c>
      <c r="I226" s="1633"/>
      <c r="J226" s="1634"/>
      <c r="K226" s="97" t="str">
        <f t="shared" si="97"/>
        <v/>
      </c>
      <c r="L226" s="97" t="str">
        <f t="shared" si="98"/>
        <v/>
      </c>
      <c r="M226" s="97" t="str">
        <f t="shared" si="99"/>
        <v/>
      </c>
      <c r="N226" s="1666" t="str">
        <f t="shared" si="100"/>
        <v/>
      </c>
      <c r="O226" s="1627">
        <f>Parameters!F193</f>
        <v>0.5</v>
      </c>
      <c r="P226" s="117">
        <f>Parameters!G193</f>
        <v>0.5</v>
      </c>
      <c r="Q226" s="43">
        <f>Parameters!H193</f>
        <v>0.85</v>
      </c>
      <c r="R226" s="279"/>
      <c r="S226" s="98">
        <f t="shared" si="101"/>
        <v>0</v>
      </c>
    </row>
    <row r="227" spans="1:19" ht="15" customHeight="1" x14ac:dyDescent="0.35">
      <c r="A227" s="259"/>
      <c r="B227" s="1669" t="s">
        <v>654</v>
      </c>
      <c r="C227" s="25"/>
      <c r="D227" s="14"/>
      <c r="E227" s="41"/>
      <c r="F227" s="41"/>
      <c r="G227" s="41"/>
      <c r="H227" s="1666" t="str">
        <f t="shared" si="96"/>
        <v/>
      </c>
      <c r="I227" s="1633"/>
      <c r="J227" s="1634"/>
      <c r="K227" s="97" t="str">
        <f t="shared" si="97"/>
        <v/>
      </c>
      <c r="L227" s="97" t="str">
        <f t="shared" si="98"/>
        <v/>
      </c>
      <c r="M227" s="97" t="str">
        <f t="shared" si="99"/>
        <v/>
      </c>
      <c r="N227" s="1666" t="str">
        <f t="shared" si="100"/>
        <v/>
      </c>
      <c r="O227" s="1627">
        <f>Parameters!F194</f>
        <v>1</v>
      </c>
      <c r="P227" s="117">
        <f>Parameters!G194</f>
        <v>1</v>
      </c>
      <c r="Q227" s="43">
        <f>Parameters!H194</f>
        <v>1</v>
      </c>
      <c r="R227" s="279"/>
      <c r="S227" s="98">
        <f t="shared" si="101"/>
        <v>0</v>
      </c>
    </row>
    <row r="228" spans="1:19" ht="15" customHeight="1" x14ac:dyDescent="0.35">
      <c r="A228" s="259"/>
      <c r="B228" s="1669" t="s">
        <v>655</v>
      </c>
      <c r="C228" s="25"/>
      <c r="D228" s="14"/>
      <c r="E228" s="41"/>
      <c r="F228" s="41"/>
      <c r="G228" s="41"/>
      <c r="H228" s="1666" t="str">
        <f t="shared" si="96"/>
        <v/>
      </c>
      <c r="I228" s="1633"/>
      <c r="J228" s="1634"/>
      <c r="K228" s="97" t="str">
        <f t="shared" si="97"/>
        <v/>
      </c>
      <c r="L228" s="97" t="str">
        <f t="shared" si="98"/>
        <v/>
      </c>
      <c r="M228" s="97" t="str">
        <f t="shared" si="99"/>
        <v/>
      </c>
      <c r="N228" s="1666" t="str">
        <f t="shared" si="100"/>
        <v/>
      </c>
      <c r="O228" s="1627">
        <f>Parameters!F195</f>
        <v>0</v>
      </c>
      <c r="P228" s="117">
        <f>Parameters!G195</f>
        <v>0</v>
      </c>
      <c r="Q228" s="43">
        <f>Parameters!H195</f>
        <v>0</v>
      </c>
      <c r="R228" s="279"/>
    </row>
    <row r="229" spans="1:19" ht="15" customHeight="1" x14ac:dyDescent="0.35">
      <c r="A229" s="259"/>
      <c r="B229" s="1669" t="s">
        <v>656</v>
      </c>
      <c r="C229" s="25"/>
      <c r="D229" s="14"/>
      <c r="E229" s="41"/>
      <c r="F229" s="41"/>
      <c r="G229" s="41"/>
      <c r="H229" s="1666" t="str">
        <f t="shared" si="96"/>
        <v/>
      </c>
      <c r="I229" s="1633"/>
      <c r="J229" s="1634"/>
      <c r="K229" s="97" t="str">
        <f t="shared" si="97"/>
        <v/>
      </c>
      <c r="L229" s="97" t="str">
        <f t="shared" si="98"/>
        <v/>
      </c>
      <c r="M229" s="97" t="str">
        <f t="shared" si="99"/>
        <v/>
      </c>
      <c r="N229" s="1666" t="str">
        <f t="shared" si="100"/>
        <v/>
      </c>
      <c r="O229" s="1627">
        <f>Parameters!F196</f>
        <v>0</v>
      </c>
      <c r="P229" s="117">
        <f>Parameters!G196</f>
        <v>0</v>
      </c>
      <c r="Q229" s="43">
        <f>Parameters!H196</f>
        <v>0</v>
      </c>
      <c r="R229" s="279"/>
    </row>
    <row r="230" spans="1:19" ht="15" hidden="1" customHeight="1" x14ac:dyDescent="0.35">
      <c r="A230" s="259"/>
      <c r="B230" s="531"/>
      <c r="C230" s="25"/>
      <c r="D230" s="14"/>
      <c r="E230" s="1560"/>
      <c r="F230" s="1560"/>
      <c r="G230" s="1560"/>
      <c r="H230" s="1656"/>
      <c r="I230" s="1633"/>
      <c r="J230" s="1634"/>
      <c r="K230" s="452"/>
      <c r="L230" s="16"/>
      <c r="M230" s="452"/>
      <c r="N230" s="1657"/>
      <c r="O230" s="1658"/>
      <c r="P230" s="1680"/>
      <c r="Q230" s="1626"/>
      <c r="R230" s="279"/>
    </row>
    <row r="231" spans="1:19" ht="15" hidden="1" customHeight="1" x14ac:dyDescent="0.35">
      <c r="A231" s="259"/>
      <c r="B231" s="531"/>
      <c r="C231" s="25"/>
      <c r="D231" s="14"/>
      <c r="E231" s="1560"/>
      <c r="F231" s="1560"/>
      <c r="G231" s="1560"/>
      <c r="H231" s="1656"/>
      <c r="I231" s="1633"/>
      <c r="J231" s="1634"/>
      <c r="K231" s="452"/>
      <c r="L231" s="16"/>
      <c r="M231" s="452"/>
      <c r="N231" s="1657"/>
      <c r="O231" s="1658"/>
      <c r="P231" s="1680"/>
      <c r="Q231" s="1626"/>
      <c r="R231" s="279"/>
    </row>
    <row r="232" spans="1:19" ht="15" hidden="1" customHeight="1" x14ac:dyDescent="0.35">
      <c r="A232" s="259"/>
      <c r="B232" s="531"/>
      <c r="C232" s="25"/>
      <c r="D232" s="14"/>
      <c r="E232" s="1560"/>
      <c r="F232" s="1560"/>
      <c r="G232" s="1560"/>
      <c r="H232" s="1656"/>
      <c r="I232" s="1633"/>
      <c r="J232" s="1634"/>
      <c r="K232" s="452"/>
      <c r="L232" s="16"/>
      <c r="M232" s="452"/>
      <c r="N232" s="1657"/>
      <c r="O232" s="1658"/>
      <c r="P232" s="1680"/>
      <c r="Q232" s="1626"/>
      <c r="R232" s="279"/>
    </row>
    <row r="233" spans="1:19" ht="15" hidden="1" customHeight="1" x14ac:dyDescent="0.35">
      <c r="A233" s="259"/>
      <c r="B233" s="531"/>
      <c r="C233" s="25"/>
      <c r="D233" s="14"/>
      <c r="E233" s="1560"/>
      <c r="F233" s="1560"/>
      <c r="G233" s="1560"/>
      <c r="H233" s="1656"/>
      <c r="I233" s="1633"/>
      <c r="J233" s="1634"/>
      <c r="K233" s="452"/>
      <c r="L233" s="16"/>
      <c r="M233" s="452"/>
      <c r="N233" s="1657"/>
      <c r="O233" s="1658"/>
      <c r="P233" s="1680"/>
      <c r="Q233" s="1626"/>
      <c r="R233" s="279"/>
    </row>
    <row r="234" spans="1:19" ht="15" hidden="1" customHeight="1" x14ac:dyDescent="0.35">
      <c r="A234" s="259"/>
      <c r="B234" s="531"/>
      <c r="C234" s="25"/>
      <c r="D234" s="14"/>
      <c r="E234" s="1560"/>
      <c r="F234" s="1560"/>
      <c r="G234" s="1560"/>
      <c r="H234" s="1656"/>
      <c r="I234" s="1633"/>
      <c r="J234" s="1634"/>
      <c r="K234" s="452"/>
      <c r="L234" s="16"/>
      <c r="M234" s="452"/>
      <c r="N234" s="1657"/>
      <c r="O234" s="1658"/>
      <c r="P234" s="1680"/>
      <c r="Q234" s="1626"/>
      <c r="R234" s="279"/>
    </row>
    <row r="235" spans="1:19" ht="15" hidden="1" customHeight="1" x14ac:dyDescent="0.35">
      <c r="A235" s="259"/>
      <c r="B235" s="531"/>
      <c r="C235" s="25"/>
      <c r="D235" s="14"/>
      <c r="E235" s="1560"/>
      <c r="F235" s="1560"/>
      <c r="G235" s="1560"/>
      <c r="H235" s="1656"/>
      <c r="I235" s="1633"/>
      <c r="J235" s="1634"/>
      <c r="K235" s="452"/>
      <c r="L235" s="16"/>
      <c r="M235" s="452"/>
      <c r="N235" s="1657"/>
      <c r="O235" s="1658"/>
      <c r="P235" s="1680"/>
      <c r="Q235" s="1626"/>
      <c r="R235" s="279"/>
    </row>
    <row r="236" spans="1:19" ht="15" hidden="1" customHeight="1" x14ac:dyDescent="0.35">
      <c r="A236" s="259"/>
      <c r="B236" s="531"/>
      <c r="C236" s="25"/>
      <c r="D236" s="14"/>
      <c r="E236" s="1560"/>
      <c r="F236" s="1560"/>
      <c r="G236" s="1560"/>
      <c r="H236" s="1656"/>
      <c r="I236" s="1633"/>
      <c r="J236" s="1634"/>
      <c r="K236" s="452"/>
      <c r="L236" s="16"/>
      <c r="M236" s="452"/>
      <c r="N236" s="1657"/>
      <c r="O236" s="1658"/>
      <c r="P236" s="1680"/>
      <c r="Q236" s="1626"/>
      <c r="R236" s="279"/>
    </row>
    <row r="237" spans="1:19" ht="15" hidden="1" customHeight="1" x14ac:dyDescent="0.35">
      <c r="A237" s="259"/>
      <c r="B237" s="531"/>
      <c r="C237" s="25"/>
      <c r="D237" s="14"/>
      <c r="E237" s="1560"/>
      <c r="F237" s="1560"/>
      <c r="G237" s="1560"/>
      <c r="H237" s="1656"/>
      <c r="I237" s="1633"/>
      <c r="J237" s="1634"/>
      <c r="K237" s="452"/>
      <c r="L237" s="16"/>
      <c r="M237" s="452"/>
      <c r="N237" s="1657"/>
      <c r="O237" s="1658"/>
      <c r="P237" s="1680"/>
      <c r="Q237" s="1626"/>
      <c r="R237" s="279"/>
    </row>
    <row r="238" spans="1:19" ht="15" hidden="1" customHeight="1" x14ac:dyDescent="0.35">
      <c r="A238" s="259"/>
      <c r="B238" s="531"/>
      <c r="C238" s="25"/>
      <c r="D238" s="14"/>
      <c r="E238" s="1560"/>
      <c r="F238" s="1560"/>
      <c r="G238" s="1560"/>
      <c r="H238" s="1656"/>
      <c r="I238" s="1633"/>
      <c r="J238" s="1634"/>
      <c r="K238" s="452"/>
      <c r="L238" s="16"/>
      <c r="M238" s="452"/>
      <c r="N238" s="1657"/>
      <c r="O238" s="1658"/>
      <c r="P238" s="1680"/>
      <c r="Q238" s="1626"/>
      <c r="R238" s="279"/>
    </row>
    <row r="239" spans="1:19" ht="15" hidden="1" customHeight="1" x14ac:dyDescent="0.35">
      <c r="A239" s="259"/>
      <c r="B239" s="531"/>
      <c r="C239" s="25"/>
      <c r="D239" s="14"/>
      <c r="E239" s="1560"/>
      <c r="F239" s="1560"/>
      <c r="G239" s="1560"/>
      <c r="H239" s="1656"/>
      <c r="I239" s="1633"/>
      <c r="J239" s="1634"/>
      <c r="K239" s="452"/>
      <c r="L239" s="16"/>
      <c r="M239" s="452"/>
      <c r="N239" s="1657"/>
      <c r="O239" s="1658"/>
      <c r="P239" s="1680"/>
      <c r="Q239" s="1626"/>
      <c r="R239" s="279"/>
    </row>
    <row r="240" spans="1:19" ht="15" hidden="1" customHeight="1" x14ac:dyDescent="0.35">
      <c r="A240" s="259"/>
      <c r="B240" s="531"/>
      <c r="C240" s="25"/>
      <c r="D240" s="14"/>
      <c r="E240" s="1560"/>
      <c r="F240" s="1560"/>
      <c r="G240" s="1560"/>
      <c r="H240" s="1656"/>
      <c r="I240" s="1633"/>
      <c r="J240" s="1634"/>
      <c r="K240" s="452"/>
      <c r="L240" s="16"/>
      <c r="M240" s="452"/>
      <c r="N240" s="1657"/>
      <c r="O240" s="1658"/>
      <c r="P240" s="1680"/>
      <c r="Q240" s="1626"/>
      <c r="R240" s="279"/>
    </row>
    <row r="241" spans="1:19" ht="30" customHeight="1" x14ac:dyDescent="0.35">
      <c r="A241" s="259"/>
      <c r="B241" s="121" t="s">
        <v>689</v>
      </c>
      <c r="C241" s="1618" t="s">
        <v>690</v>
      </c>
      <c r="D241" s="1674"/>
      <c r="E241" s="14"/>
      <c r="F241" s="14"/>
      <c r="G241" s="14"/>
      <c r="H241" s="1065" t="str">
        <f>IF(AND(ISNUMBER(H242), ISNUMBER(H243), ISNUMBER(H244), ISNUMBER(H245), ISNUMBER(H246), ISNUMBER(H247)), SUM(H242:H247), "")</f>
        <v/>
      </c>
      <c r="I241" s="1633"/>
      <c r="J241" s="1634"/>
      <c r="K241" s="25"/>
      <c r="L241" s="14"/>
      <c r="M241" s="14"/>
      <c r="N241" s="1065" t="str">
        <f>IF(AND(ISNUMBER(N242), ISNUMBER(N243), ISNUMBER(N244), ISNUMBER(N245), ISNUMBER(N246), ISNUMBER(N247)), SUM(N242:N247), "")</f>
        <v/>
      </c>
      <c r="O241" s="1625"/>
      <c r="P241" s="14"/>
      <c r="Q241" s="26"/>
      <c r="R241" s="279"/>
    </row>
    <row r="242" spans="1:19" ht="15" customHeight="1" x14ac:dyDescent="0.35">
      <c r="A242" s="259"/>
      <c r="B242" s="1667" t="s">
        <v>651</v>
      </c>
      <c r="C242" s="25"/>
      <c r="D242" s="14"/>
      <c r="E242" s="1"/>
      <c r="F242" s="1"/>
      <c r="G242" s="41"/>
      <c r="H242" s="1666" t="str">
        <f t="shared" ref="H242:H247" si="102">IF(ISNUMBER(G242), SUM(E242:G242), "")</f>
        <v/>
      </c>
      <c r="I242" s="1633"/>
      <c r="J242" s="1634"/>
      <c r="K242" s="97" t="str">
        <f t="shared" ref="K242:K247" si="103">IF(AND(ISNUMBER(E242), ISNUMBER(O242)), E242*O242, "")</f>
        <v/>
      </c>
      <c r="L242" s="97" t="str">
        <f t="shared" ref="L242:L247" si="104">IF(AND(ISNUMBER(F242), ISNUMBER(P242)), F242*P242, "")</f>
        <v/>
      </c>
      <c r="M242" s="97" t="str">
        <f t="shared" ref="M242:M247" si="105">IF(AND(ISNUMBER(G242), ISNUMBER(Q242)), G242*Q242, "")</f>
        <v/>
      </c>
      <c r="N242" s="1666" t="str">
        <f t="shared" ref="N242:N247" si="106">IF(ISNUMBER(M242), SUM(K242:M242), "")</f>
        <v/>
      </c>
      <c r="O242" s="1627">
        <f>Parameters!F209</f>
        <v>0</v>
      </c>
      <c r="P242" s="117">
        <f>Parameters!G209</f>
        <v>0</v>
      </c>
      <c r="Q242" s="43">
        <f>Parameters!H209</f>
        <v>0.85</v>
      </c>
      <c r="R242" s="279"/>
      <c r="S242" s="98">
        <f>IF(ISNUMBER(N242),1,0)</f>
        <v>0</v>
      </c>
    </row>
    <row r="243" spans="1:19" ht="15" customHeight="1" x14ac:dyDescent="0.35">
      <c r="A243" s="259"/>
      <c r="B243" s="1667" t="s">
        <v>652</v>
      </c>
      <c r="C243" s="25"/>
      <c r="D243" s="14"/>
      <c r="E243" s="1"/>
      <c r="F243" s="1"/>
      <c r="G243" s="41"/>
      <c r="H243" s="1666" t="str">
        <f t="shared" si="102"/>
        <v/>
      </c>
      <c r="I243" s="1633"/>
      <c r="J243" s="1634"/>
      <c r="K243" s="97" t="str">
        <f t="shared" si="103"/>
        <v/>
      </c>
      <c r="L243" s="97" t="str">
        <f t="shared" si="104"/>
        <v/>
      </c>
      <c r="M243" s="97" t="str">
        <f t="shared" si="105"/>
        <v/>
      </c>
      <c r="N243" s="1666" t="str">
        <f t="shared" si="106"/>
        <v/>
      </c>
      <c r="O243" s="1627">
        <f>Parameters!F210</f>
        <v>0</v>
      </c>
      <c r="P243" s="117">
        <f>Parameters!G210</f>
        <v>0</v>
      </c>
      <c r="Q243" s="43">
        <f>Parameters!H210</f>
        <v>0.85</v>
      </c>
      <c r="R243" s="279"/>
      <c r="S243" s="98">
        <f t="shared" ref="S243:S245" si="107">IF(ISNUMBER(N243),1,0)</f>
        <v>0</v>
      </c>
    </row>
    <row r="244" spans="1:19" ht="15" customHeight="1" x14ac:dyDescent="0.35">
      <c r="A244" s="259"/>
      <c r="B244" s="1667" t="s">
        <v>653</v>
      </c>
      <c r="C244" s="25"/>
      <c r="D244" s="14"/>
      <c r="E244" s="1"/>
      <c r="F244" s="1"/>
      <c r="G244" s="41"/>
      <c r="H244" s="1666" t="str">
        <f t="shared" si="102"/>
        <v/>
      </c>
      <c r="I244" s="1633"/>
      <c r="J244" s="1634"/>
      <c r="K244" s="97" t="str">
        <f t="shared" si="103"/>
        <v/>
      </c>
      <c r="L244" s="97" t="str">
        <f t="shared" si="104"/>
        <v/>
      </c>
      <c r="M244" s="97" t="str">
        <f t="shared" si="105"/>
        <v/>
      </c>
      <c r="N244" s="1666" t="str">
        <f t="shared" si="106"/>
        <v/>
      </c>
      <c r="O244" s="1627">
        <f>Parameters!F211</f>
        <v>0</v>
      </c>
      <c r="P244" s="117">
        <f>Parameters!G211</f>
        <v>0</v>
      </c>
      <c r="Q244" s="43">
        <f>Parameters!H211</f>
        <v>0.85</v>
      </c>
      <c r="R244" s="279"/>
      <c r="S244" s="98">
        <f t="shared" si="107"/>
        <v>0</v>
      </c>
    </row>
    <row r="245" spans="1:19" ht="15" customHeight="1" x14ac:dyDescent="0.35">
      <c r="A245" s="259"/>
      <c r="B245" s="1667" t="s">
        <v>654</v>
      </c>
      <c r="C245" s="25"/>
      <c r="D245" s="14"/>
      <c r="E245" s="1"/>
      <c r="F245" s="1"/>
      <c r="G245" s="41"/>
      <c r="H245" s="1666" t="str">
        <f t="shared" si="102"/>
        <v/>
      </c>
      <c r="I245" s="1633"/>
      <c r="J245" s="1634"/>
      <c r="K245" s="97" t="str">
        <f t="shared" si="103"/>
        <v/>
      </c>
      <c r="L245" s="97" t="str">
        <f t="shared" si="104"/>
        <v/>
      </c>
      <c r="M245" s="97" t="str">
        <f t="shared" si="105"/>
        <v/>
      </c>
      <c r="N245" s="1666" t="str">
        <f t="shared" si="106"/>
        <v/>
      </c>
      <c r="O245" s="1627">
        <f>Parameters!F212</f>
        <v>0</v>
      </c>
      <c r="P245" s="117">
        <f>Parameters!G212</f>
        <v>0</v>
      </c>
      <c r="Q245" s="43">
        <f>Parameters!H212</f>
        <v>1</v>
      </c>
      <c r="R245" s="279"/>
      <c r="S245" s="98">
        <f t="shared" si="107"/>
        <v>0</v>
      </c>
    </row>
    <row r="246" spans="1:19" ht="15" customHeight="1" x14ac:dyDescent="0.35">
      <c r="A246" s="259"/>
      <c r="B246" s="1667" t="s">
        <v>655</v>
      </c>
      <c r="C246" s="25"/>
      <c r="D246" s="14"/>
      <c r="E246" s="1"/>
      <c r="F246" s="1"/>
      <c r="G246" s="41"/>
      <c r="H246" s="1666" t="str">
        <f t="shared" si="102"/>
        <v/>
      </c>
      <c r="I246" s="1633"/>
      <c r="J246" s="1634"/>
      <c r="K246" s="97" t="str">
        <f t="shared" si="103"/>
        <v/>
      </c>
      <c r="L246" s="97" t="str">
        <f t="shared" si="104"/>
        <v/>
      </c>
      <c r="M246" s="97" t="str">
        <f t="shared" si="105"/>
        <v/>
      </c>
      <c r="N246" s="1666" t="str">
        <f t="shared" si="106"/>
        <v/>
      </c>
      <c r="O246" s="1627">
        <f>Parameters!F213</f>
        <v>0</v>
      </c>
      <c r="P246" s="117">
        <f>Parameters!G213</f>
        <v>0</v>
      </c>
      <c r="Q246" s="43">
        <f>Parameters!H213</f>
        <v>0</v>
      </c>
      <c r="R246" s="279"/>
    </row>
    <row r="247" spans="1:19" ht="15" customHeight="1" x14ac:dyDescent="0.35">
      <c r="A247" s="259"/>
      <c r="B247" s="1667" t="s">
        <v>656</v>
      </c>
      <c r="C247" s="25"/>
      <c r="D247" s="14"/>
      <c r="E247" s="1"/>
      <c r="F247" s="1"/>
      <c r="G247" s="41"/>
      <c r="H247" s="1666" t="str">
        <f t="shared" si="102"/>
        <v/>
      </c>
      <c r="I247" s="1633"/>
      <c r="J247" s="1634"/>
      <c r="K247" s="97" t="str">
        <f t="shared" si="103"/>
        <v/>
      </c>
      <c r="L247" s="97" t="str">
        <f t="shared" si="104"/>
        <v/>
      </c>
      <c r="M247" s="97" t="str">
        <f t="shared" si="105"/>
        <v/>
      </c>
      <c r="N247" s="1666" t="str">
        <f t="shared" si="106"/>
        <v/>
      </c>
      <c r="O247" s="1627">
        <f>Parameters!F214</f>
        <v>0</v>
      </c>
      <c r="P247" s="117">
        <f>Parameters!G214</f>
        <v>0</v>
      </c>
      <c r="Q247" s="43">
        <f>Parameters!H214</f>
        <v>0</v>
      </c>
      <c r="R247" s="279"/>
    </row>
    <row r="248" spans="1:19" ht="15" hidden="1" customHeight="1" x14ac:dyDescent="0.35">
      <c r="A248" s="259"/>
      <c r="B248" s="531"/>
      <c r="C248" s="25"/>
      <c r="D248" s="14"/>
      <c r="E248" s="1560"/>
      <c r="F248" s="1560"/>
      <c r="G248" s="1560"/>
      <c r="H248" s="1656"/>
      <c r="I248" s="1633"/>
      <c r="J248" s="1634"/>
      <c r="K248" s="452"/>
      <c r="L248" s="16"/>
      <c r="M248" s="452"/>
      <c r="N248" s="1657"/>
      <c r="O248" s="1658"/>
      <c r="P248" s="1680"/>
      <c r="Q248" s="1626"/>
      <c r="R248" s="279"/>
    </row>
    <row r="249" spans="1:19" ht="15" hidden="1" customHeight="1" x14ac:dyDescent="0.35">
      <c r="A249" s="259"/>
      <c r="B249" s="531"/>
      <c r="C249" s="25"/>
      <c r="D249" s="14"/>
      <c r="E249" s="1560"/>
      <c r="F249" s="1560"/>
      <c r="G249" s="1560"/>
      <c r="H249" s="1656"/>
      <c r="I249" s="1633"/>
      <c r="J249" s="1634"/>
      <c r="K249" s="452"/>
      <c r="L249" s="16"/>
      <c r="M249" s="452"/>
      <c r="N249" s="1657"/>
      <c r="O249" s="1658"/>
      <c r="P249" s="1680"/>
      <c r="Q249" s="1626"/>
      <c r="R249" s="279"/>
    </row>
    <row r="250" spans="1:19" ht="30" customHeight="1" x14ac:dyDescent="0.35">
      <c r="A250" s="259"/>
      <c r="B250" s="121" t="s">
        <v>691</v>
      </c>
      <c r="C250" s="1618" t="s">
        <v>692</v>
      </c>
      <c r="D250" s="1674"/>
      <c r="E250" s="14"/>
      <c r="F250" s="14"/>
      <c r="G250" s="14"/>
      <c r="H250" s="1065" t="str">
        <f>IF(AND(ISNUMBER(H251), ISNUMBER(H252), ISNUMBER(H253), ISNUMBER(H254), ISNUMBER(H255), ISNUMBER(H256)), SUM(H251:H256), "")</f>
        <v/>
      </c>
      <c r="I250" s="1633"/>
      <c r="J250" s="1634"/>
      <c r="K250" s="25"/>
      <c r="L250" s="14"/>
      <c r="M250" s="14"/>
      <c r="N250" s="1065" t="str">
        <f>IF(AND(ISNUMBER(N251), ISNUMBER(N252), ISNUMBER(N253), ISNUMBER(N254), ISNUMBER(N255), ISNUMBER(N256)), SUM(N251:N256), "")</f>
        <v/>
      </c>
      <c r="O250" s="1625"/>
      <c r="P250" s="14"/>
      <c r="Q250" s="26"/>
      <c r="R250" s="279"/>
    </row>
    <row r="251" spans="1:19" ht="15" customHeight="1" x14ac:dyDescent="0.35">
      <c r="A251" s="259"/>
      <c r="B251" s="1667" t="s">
        <v>651</v>
      </c>
      <c r="C251" s="25"/>
      <c r="D251" s="14"/>
      <c r="E251" s="41"/>
      <c r="F251" s="41"/>
      <c r="G251" s="41"/>
      <c r="H251" s="1666" t="str">
        <f t="shared" ref="H251:H256" si="108">IF(AND(ISNUMBER(E251), ISNUMBER(F251), ISNUMBER(G251)), SUM(E251:G251), "")</f>
        <v/>
      </c>
      <c r="I251" s="1633"/>
      <c r="J251" s="1634"/>
      <c r="K251" s="97" t="str">
        <f t="shared" ref="K251:K256" si="109">IF(AND(ISNUMBER(E251), ISNUMBER(O251)), E251*O251, "")</f>
        <v/>
      </c>
      <c r="L251" s="97" t="str">
        <f t="shared" ref="L251:L256" si="110">IF(AND(ISNUMBER(F251), ISNUMBER(P251)), F251*P251, "")</f>
        <v/>
      </c>
      <c r="M251" s="97" t="str">
        <f t="shared" ref="M251:M256" si="111">IF(AND(ISNUMBER(G251), ISNUMBER(Q251)), G251*Q251, "")</f>
        <v/>
      </c>
      <c r="N251" s="1666" t="str">
        <f t="shared" ref="N251:N256" si="112">IF(AND(ISNUMBER(K251), ISNUMBER(L251), ISNUMBER(M251)), SUM(K251:M251), "")</f>
        <v/>
      </c>
      <c r="O251" s="1627">
        <f>Parameters!F218</f>
        <v>0.5</v>
      </c>
      <c r="P251" s="117">
        <f>Parameters!G218</f>
        <v>0.5</v>
      </c>
      <c r="Q251" s="43">
        <f>Parameters!H218</f>
        <v>0.85</v>
      </c>
      <c r="R251" s="279"/>
      <c r="S251" s="98">
        <f>IF(ISNUMBER(N251),1,0)</f>
        <v>0</v>
      </c>
    </row>
    <row r="252" spans="1:19" ht="15" customHeight="1" x14ac:dyDescent="0.35">
      <c r="A252" s="259"/>
      <c r="B252" s="1667" t="s">
        <v>652</v>
      </c>
      <c r="C252" s="25"/>
      <c r="D252" s="14"/>
      <c r="E252" s="41"/>
      <c r="F252" s="41"/>
      <c r="G252" s="41"/>
      <c r="H252" s="1666" t="str">
        <f t="shared" si="108"/>
        <v/>
      </c>
      <c r="I252" s="1633"/>
      <c r="J252" s="1634"/>
      <c r="K252" s="97" t="str">
        <f t="shared" si="109"/>
        <v/>
      </c>
      <c r="L252" s="97" t="str">
        <f t="shared" si="110"/>
        <v/>
      </c>
      <c r="M252" s="97" t="str">
        <f t="shared" si="111"/>
        <v/>
      </c>
      <c r="N252" s="1666" t="str">
        <f t="shared" si="112"/>
        <v/>
      </c>
      <c r="O252" s="1627">
        <f>Parameters!F219</f>
        <v>0.5</v>
      </c>
      <c r="P252" s="117">
        <f>Parameters!G219</f>
        <v>0.5</v>
      </c>
      <c r="Q252" s="43">
        <f>Parameters!H219</f>
        <v>0.85</v>
      </c>
      <c r="R252" s="279"/>
      <c r="S252" s="98">
        <f t="shared" ref="S252:S254" si="113">IF(ISNUMBER(N252),1,0)</f>
        <v>0</v>
      </c>
    </row>
    <row r="253" spans="1:19" ht="15" customHeight="1" x14ac:dyDescent="0.35">
      <c r="A253" s="259"/>
      <c r="B253" s="1667" t="s">
        <v>653</v>
      </c>
      <c r="C253" s="25"/>
      <c r="D253" s="14"/>
      <c r="E253" s="41"/>
      <c r="F253" s="41"/>
      <c r="G253" s="41"/>
      <c r="H253" s="1666" t="str">
        <f t="shared" si="108"/>
        <v/>
      </c>
      <c r="I253" s="1633"/>
      <c r="J253" s="1634"/>
      <c r="K253" s="97" t="str">
        <f t="shared" si="109"/>
        <v/>
      </c>
      <c r="L253" s="97" t="str">
        <f t="shared" si="110"/>
        <v/>
      </c>
      <c r="M253" s="97" t="str">
        <f t="shared" si="111"/>
        <v/>
      </c>
      <c r="N253" s="1666" t="str">
        <f t="shared" si="112"/>
        <v/>
      </c>
      <c r="O253" s="1627">
        <f>Parameters!F220</f>
        <v>0.5</v>
      </c>
      <c r="P253" s="117">
        <f>Parameters!G220</f>
        <v>0.5</v>
      </c>
      <c r="Q253" s="43">
        <f>Parameters!H220</f>
        <v>0.85</v>
      </c>
      <c r="R253" s="279"/>
      <c r="S253" s="98">
        <f t="shared" si="113"/>
        <v>0</v>
      </c>
    </row>
    <row r="254" spans="1:19" ht="15" customHeight="1" x14ac:dyDescent="0.35">
      <c r="A254" s="259"/>
      <c r="B254" s="1667" t="s">
        <v>654</v>
      </c>
      <c r="C254" s="25"/>
      <c r="D254" s="14"/>
      <c r="E254" s="41"/>
      <c r="F254" s="41"/>
      <c r="G254" s="41"/>
      <c r="H254" s="1666" t="str">
        <f t="shared" si="108"/>
        <v/>
      </c>
      <c r="I254" s="1633"/>
      <c r="J254" s="1634"/>
      <c r="K254" s="97" t="str">
        <f t="shared" si="109"/>
        <v/>
      </c>
      <c r="L254" s="97" t="str">
        <f t="shared" si="110"/>
        <v/>
      </c>
      <c r="M254" s="97" t="str">
        <f t="shared" si="111"/>
        <v/>
      </c>
      <c r="N254" s="1666" t="str">
        <f t="shared" si="112"/>
        <v/>
      </c>
      <c r="O254" s="1627">
        <f>Parameters!F221</f>
        <v>1</v>
      </c>
      <c r="P254" s="117">
        <f>Parameters!G221</f>
        <v>1</v>
      </c>
      <c r="Q254" s="43">
        <f>Parameters!H221</f>
        <v>1</v>
      </c>
      <c r="R254" s="279"/>
      <c r="S254" s="98">
        <f t="shared" si="113"/>
        <v>0</v>
      </c>
    </row>
    <row r="255" spans="1:19" ht="15" customHeight="1" x14ac:dyDescent="0.35">
      <c r="A255" s="259"/>
      <c r="B255" s="1667" t="s">
        <v>655</v>
      </c>
      <c r="C255" s="25"/>
      <c r="D255" s="14"/>
      <c r="E255" s="41"/>
      <c r="F255" s="41"/>
      <c r="G255" s="41"/>
      <c r="H255" s="1666" t="str">
        <f t="shared" si="108"/>
        <v/>
      </c>
      <c r="I255" s="1633"/>
      <c r="J255" s="1634"/>
      <c r="K255" s="97" t="str">
        <f t="shared" si="109"/>
        <v/>
      </c>
      <c r="L255" s="97" t="str">
        <f t="shared" si="110"/>
        <v/>
      </c>
      <c r="M255" s="97" t="str">
        <f t="shared" si="111"/>
        <v/>
      </c>
      <c r="N255" s="1666" t="str">
        <f t="shared" si="112"/>
        <v/>
      </c>
      <c r="O255" s="1627">
        <f>Parameters!F222</f>
        <v>0</v>
      </c>
      <c r="P255" s="117">
        <f>Parameters!G222</f>
        <v>0</v>
      </c>
      <c r="Q255" s="43">
        <f>Parameters!H222</f>
        <v>0</v>
      </c>
      <c r="R255" s="279"/>
    </row>
    <row r="256" spans="1:19" ht="15" customHeight="1" x14ac:dyDescent="0.35">
      <c r="A256" s="259"/>
      <c r="B256" s="1667" t="s">
        <v>656</v>
      </c>
      <c r="C256" s="25"/>
      <c r="D256" s="14"/>
      <c r="E256" s="41"/>
      <c r="F256" s="41"/>
      <c r="G256" s="41"/>
      <c r="H256" s="1666" t="str">
        <f t="shared" si="108"/>
        <v/>
      </c>
      <c r="I256" s="1633"/>
      <c r="J256" s="1634"/>
      <c r="K256" s="97" t="str">
        <f t="shared" si="109"/>
        <v/>
      </c>
      <c r="L256" s="97" t="str">
        <f t="shared" si="110"/>
        <v/>
      </c>
      <c r="M256" s="97" t="str">
        <f t="shared" si="111"/>
        <v/>
      </c>
      <c r="N256" s="1666" t="str">
        <f t="shared" si="112"/>
        <v/>
      </c>
      <c r="O256" s="1627">
        <f>Parameters!F223</f>
        <v>0</v>
      </c>
      <c r="P256" s="117">
        <f>Parameters!G223</f>
        <v>0</v>
      </c>
      <c r="Q256" s="43">
        <f>Parameters!H223</f>
        <v>0</v>
      </c>
      <c r="R256" s="279"/>
    </row>
    <row r="257" spans="1:19" ht="15" hidden="1" customHeight="1" x14ac:dyDescent="0.35">
      <c r="A257" s="259"/>
      <c r="B257" s="531"/>
      <c r="C257" s="25"/>
      <c r="D257" s="14"/>
      <c r="E257" s="1560"/>
      <c r="F257" s="1560"/>
      <c r="G257" s="1560"/>
      <c r="H257" s="1656"/>
      <c r="I257" s="1633"/>
      <c r="J257" s="1634"/>
      <c r="K257" s="452"/>
      <c r="L257" s="16"/>
      <c r="M257" s="452"/>
      <c r="N257" s="1657"/>
      <c r="O257" s="1658"/>
      <c r="P257" s="1680"/>
      <c r="Q257" s="1626"/>
      <c r="R257" s="279"/>
    </row>
    <row r="258" spans="1:19" ht="15" hidden="1" customHeight="1" x14ac:dyDescent="0.35">
      <c r="A258" s="259"/>
      <c r="B258" s="531"/>
      <c r="C258" s="25"/>
      <c r="D258" s="14"/>
      <c r="E258" s="1560"/>
      <c r="F258" s="1560"/>
      <c r="G258" s="1560"/>
      <c r="H258" s="1656"/>
      <c r="I258" s="1633"/>
      <c r="J258" s="1634"/>
      <c r="K258" s="452"/>
      <c r="L258" s="16"/>
      <c r="M258" s="452"/>
      <c r="N258" s="1657"/>
      <c r="O258" s="1658"/>
      <c r="P258" s="1680"/>
      <c r="Q258" s="1626"/>
      <c r="R258" s="279"/>
    </row>
    <row r="259" spans="1:19" ht="30" customHeight="1" x14ac:dyDescent="0.35">
      <c r="A259" s="259"/>
      <c r="B259" s="121" t="s">
        <v>693</v>
      </c>
      <c r="C259" s="1618" t="s">
        <v>694</v>
      </c>
      <c r="D259" s="1674"/>
      <c r="E259" s="14"/>
      <c r="F259" s="14"/>
      <c r="G259" s="14"/>
      <c r="H259" s="1065" t="str">
        <f>IF(AND(ISNUMBER(H260), ISNUMBER(H261), ISNUMBER(H262), ISNUMBER(H263), ISNUMBER(H264), ISNUMBER(H265)), SUM(H260:H265), "")</f>
        <v/>
      </c>
      <c r="I259" s="1633"/>
      <c r="J259" s="1634"/>
      <c r="K259" s="25"/>
      <c r="L259" s="14"/>
      <c r="M259" s="14"/>
      <c r="N259" s="1065" t="str">
        <f>IF(AND(ISNUMBER(N260), ISNUMBER(N261), ISNUMBER(N262), ISNUMBER(N263), ISNUMBER(N264), ISNUMBER(N265)), SUM(N260:N265), "")</f>
        <v/>
      </c>
      <c r="O259" s="1625"/>
      <c r="P259" s="14"/>
      <c r="Q259" s="26"/>
      <c r="R259" s="279"/>
    </row>
    <row r="260" spans="1:19" ht="15" customHeight="1" x14ac:dyDescent="0.35">
      <c r="A260" s="259"/>
      <c r="B260" s="1667" t="s">
        <v>651</v>
      </c>
      <c r="C260" s="25"/>
      <c r="D260" s="14"/>
      <c r="E260" s="14"/>
      <c r="F260" s="14"/>
      <c r="G260" s="14"/>
      <c r="H260" s="1734"/>
      <c r="I260" s="1633"/>
      <c r="J260" s="1634"/>
      <c r="K260" s="25"/>
      <c r="L260" s="25"/>
      <c r="M260" s="25"/>
      <c r="N260" s="1065" t="str">
        <f>IF(AND(ISNUMBER(H260), ISNUMBER(Q260)), H260*Q260, "")</f>
        <v/>
      </c>
      <c r="O260" s="1625"/>
      <c r="P260" s="14"/>
      <c r="Q260" s="43">
        <f>Parameters!H227</f>
        <v>0.85</v>
      </c>
      <c r="R260" s="279"/>
      <c r="S260" s="98">
        <f>IF(ISNUMBER(N260),1,0)</f>
        <v>0</v>
      </c>
    </row>
    <row r="261" spans="1:19" ht="15" customHeight="1" x14ac:dyDescent="0.35">
      <c r="A261" s="259"/>
      <c r="B261" s="1667" t="s">
        <v>652</v>
      </c>
      <c r="C261" s="25"/>
      <c r="D261" s="14"/>
      <c r="E261" s="14"/>
      <c r="F261" s="14"/>
      <c r="G261" s="14"/>
      <c r="H261" s="1734"/>
      <c r="I261" s="1633"/>
      <c r="J261" s="1634"/>
      <c r="K261" s="25"/>
      <c r="L261" s="25"/>
      <c r="M261" s="25"/>
      <c r="N261" s="1065" t="str">
        <f t="shared" ref="N261:N265" si="114">IF(AND(ISNUMBER(H261), ISNUMBER(Q261)), H261*Q261, "")</f>
        <v/>
      </c>
      <c r="O261" s="1625"/>
      <c r="P261" s="14"/>
      <c r="Q261" s="43">
        <f>Parameters!H228</f>
        <v>0.85</v>
      </c>
      <c r="R261" s="279"/>
      <c r="S261" s="98">
        <f t="shared" ref="S261:S263" si="115">IF(ISNUMBER(N261),1,0)</f>
        <v>0</v>
      </c>
    </row>
    <row r="262" spans="1:19" ht="15" customHeight="1" x14ac:dyDescent="0.35">
      <c r="A262" s="259"/>
      <c r="B262" s="1667" t="s">
        <v>653</v>
      </c>
      <c r="C262" s="25"/>
      <c r="D262" s="14"/>
      <c r="E262" s="14"/>
      <c r="F262" s="14"/>
      <c r="G262" s="14"/>
      <c r="H262" s="1734"/>
      <c r="I262" s="1633"/>
      <c r="J262" s="1634"/>
      <c r="K262" s="25"/>
      <c r="L262" s="25"/>
      <c r="M262" s="25"/>
      <c r="N262" s="1065" t="str">
        <f t="shared" si="114"/>
        <v/>
      </c>
      <c r="O262" s="1625"/>
      <c r="P262" s="14"/>
      <c r="Q262" s="43">
        <f>Parameters!H229</f>
        <v>0.85</v>
      </c>
      <c r="R262" s="279"/>
      <c r="S262" s="98">
        <f t="shared" si="115"/>
        <v>0</v>
      </c>
    </row>
    <row r="263" spans="1:19" ht="15" customHeight="1" x14ac:dyDescent="0.35">
      <c r="A263" s="259"/>
      <c r="B263" s="1667" t="s">
        <v>654</v>
      </c>
      <c r="C263" s="25"/>
      <c r="D263" s="14"/>
      <c r="E263" s="14"/>
      <c r="F263" s="14"/>
      <c r="G263" s="14"/>
      <c r="H263" s="1734"/>
      <c r="I263" s="1633"/>
      <c r="J263" s="1634"/>
      <c r="K263" s="25"/>
      <c r="L263" s="25"/>
      <c r="M263" s="25"/>
      <c r="N263" s="1065" t="str">
        <f t="shared" si="114"/>
        <v/>
      </c>
      <c r="O263" s="1625"/>
      <c r="P263" s="14"/>
      <c r="Q263" s="43">
        <f>Parameters!H230</f>
        <v>1</v>
      </c>
      <c r="R263" s="279"/>
      <c r="S263" s="98">
        <f t="shared" si="115"/>
        <v>0</v>
      </c>
    </row>
    <row r="264" spans="1:19" ht="15" customHeight="1" x14ac:dyDescent="0.35">
      <c r="A264" s="259"/>
      <c r="B264" s="1667" t="s">
        <v>655</v>
      </c>
      <c r="C264" s="25"/>
      <c r="D264" s="14"/>
      <c r="E264" s="14"/>
      <c r="F264" s="14"/>
      <c r="G264" s="14"/>
      <c r="H264" s="1734"/>
      <c r="I264" s="1633"/>
      <c r="J264" s="1634"/>
      <c r="K264" s="25"/>
      <c r="L264" s="25"/>
      <c r="M264" s="25"/>
      <c r="N264" s="1065" t="str">
        <f t="shared" si="114"/>
        <v/>
      </c>
      <c r="O264" s="1625"/>
      <c r="P264" s="14"/>
      <c r="Q264" s="43">
        <f>Parameters!H231</f>
        <v>0</v>
      </c>
      <c r="R264" s="279"/>
    </row>
    <row r="265" spans="1:19" ht="15" customHeight="1" x14ac:dyDescent="0.35">
      <c r="A265" s="259"/>
      <c r="B265" s="1667" t="s">
        <v>656</v>
      </c>
      <c r="C265" s="25"/>
      <c r="D265" s="14"/>
      <c r="E265" s="14"/>
      <c r="F265" s="14"/>
      <c r="G265" s="14"/>
      <c r="H265" s="1734"/>
      <c r="I265" s="1633"/>
      <c r="J265" s="1634"/>
      <c r="K265" s="25"/>
      <c r="L265" s="25"/>
      <c r="M265" s="25"/>
      <c r="N265" s="1065" t="str">
        <f t="shared" si="114"/>
        <v/>
      </c>
      <c r="O265" s="1625"/>
      <c r="P265" s="14"/>
      <c r="Q265" s="43">
        <f>Parameters!H232</f>
        <v>0</v>
      </c>
      <c r="R265" s="279"/>
    </row>
    <row r="266" spans="1:19" ht="15" hidden="1" customHeight="1" x14ac:dyDescent="0.35">
      <c r="A266" s="259"/>
      <c r="B266" s="531"/>
      <c r="C266" s="25"/>
      <c r="D266" s="14"/>
      <c r="E266" s="1560"/>
      <c r="F266" s="1560"/>
      <c r="G266" s="1560"/>
      <c r="H266" s="1656"/>
      <c r="I266" s="1633"/>
      <c r="J266" s="1634"/>
      <c r="K266" s="452"/>
      <c r="L266" s="16"/>
      <c r="M266" s="452"/>
      <c r="N266" s="1657"/>
      <c r="O266" s="1658"/>
      <c r="P266" s="1680"/>
      <c r="Q266" s="1626"/>
      <c r="R266" s="279"/>
    </row>
    <row r="267" spans="1:19" ht="15" hidden="1" customHeight="1" x14ac:dyDescent="0.35">
      <c r="A267" s="259"/>
      <c r="B267" s="531"/>
      <c r="C267" s="25"/>
      <c r="D267" s="14"/>
      <c r="E267" s="1560"/>
      <c r="F267" s="1560"/>
      <c r="G267" s="1560"/>
      <c r="H267" s="1656"/>
      <c r="I267" s="1633"/>
      <c r="J267" s="1634"/>
      <c r="K267" s="452"/>
      <c r="L267" s="16"/>
      <c r="M267" s="452"/>
      <c r="N267" s="1657"/>
      <c r="O267" s="1658"/>
      <c r="P267" s="1680"/>
      <c r="Q267" s="1626"/>
      <c r="R267" s="279"/>
    </row>
    <row r="268" spans="1:19" ht="30" customHeight="1" x14ac:dyDescent="0.35">
      <c r="A268" s="259"/>
      <c r="B268" s="121" t="s">
        <v>695</v>
      </c>
      <c r="C268" s="1618" t="s">
        <v>677</v>
      </c>
      <c r="D268" s="1674"/>
      <c r="E268" s="14"/>
      <c r="F268" s="14"/>
      <c r="G268" s="14"/>
      <c r="H268" s="1065" t="str">
        <f>IF(AND(ISNUMBER(H269), ISNUMBER(H270), ISNUMBER(H271), ISNUMBER(H272), ISNUMBER(H273), ISNUMBER(H274)), SUM(H269:H274), "")</f>
        <v/>
      </c>
      <c r="I268" s="1633"/>
      <c r="J268" s="1634"/>
      <c r="K268" s="25"/>
      <c r="L268" s="14"/>
      <c r="M268" s="14"/>
      <c r="N268" s="1065" t="str">
        <f>IF(AND(ISNUMBER(N269), ISNUMBER(N270), ISNUMBER(N271), ISNUMBER(N272), ISNUMBER(N273), ISNUMBER(N274)), SUM(N269:N274), "")</f>
        <v/>
      </c>
      <c r="O268" s="1625"/>
      <c r="P268" s="14"/>
      <c r="Q268" s="26"/>
      <c r="R268" s="279"/>
    </row>
    <row r="269" spans="1:19" ht="15" customHeight="1" x14ac:dyDescent="0.35">
      <c r="A269" s="259"/>
      <c r="B269" s="1667" t="s">
        <v>651</v>
      </c>
      <c r="C269" s="25"/>
      <c r="D269" s="14"/>
      <c r="E269" s="41"/>
      <c r="F269" s="41"/>
      <c r="G269" s="14"/>
      <c r="H269" s="1666" t="str">
        <f t="shared" ref="H269:H274" si="116">IF(AND(ISNUMBER(E269), ISNUMBER(F269)), SUM(E269:F269), "")</f>
        <v/>
      </c>
      <c r="I269" s="1633"/>
      <c r="J269" s="1634"/>
      <c r="K269" s="97" t="str">
        <f>IF(AND(ISNUMBER(E269),ISNUMBER(O269)), E269*O269, "")</f>
        <v/>
      </c>
      <c r="L269" s="30" t="str">
        <f>IF(AND(ISNUMBER(F269),ISNUMBER(P269)), F269*P269, "")</f>
        <v/>
      </c>
      <c r="M269" s="14"/>
      <c r="N269" s="1666" t="str">
        <f t="shared" ref="N269:N274" si="117">IF(AND(ISNUMBER(K269), ISNUMBER(L269)), SUM(K269:L269), "")</f>
        <v/>
      </c>
      <c r="O269" s="731">
        <f>Parameters!F236</f>
        <v>0.5</v>
      </c>
      <c r="P269" s="43">
        <f>Parameters!G236</f>
        <v>0.5</v>
      </c>
      <c r="Q269" s="74"/>
      <c r="R269" s="279"/>
      <c r="S269" s="98">
        <f>IF(ISNUMBER(N269),1,0)</f>
        <v>0</v>
      </c>
    </row>
    <row r="270" spans="1:19" ht="15" customHeight="1" x14ac:dyDescent="0.35">
      <c r="A270" s="259"/>
      <c r="B270" s="1667" t="s">
        <v>652</v>
      </c>
      <c r="C270" s="25"/>
      <c r="D270" s="14"/>
      <c r="E270" s="41"/>
      <c r="F270" s="41"/>
      <c r="G270" s="14"/>
      <c r="H270" s="1666" t="str">
        <f t="shared" si="116"/>
        <v/>
      </c>
      <c r="I270" s="1633"/>
      <c r="J270" s="1634"/>
      <c r="K270" s="97" t="str">
        <f t="shared" ref="K270:L277" si="118">IF(AND(ISNUMBER(E270),ISNUMBER(O270)), E270*O270, "")</f>
        <v/>
      </c>
      <c r="L270" s="30" t="str">
        <f t="shared" si="118"/>
        <v/>
      </c>
      <c r="M270" s="14"/>
      <c r="N270" s="1666" t="str">
        <f t="shared" si="117"/>
        <v/>
      </c>
      <c r="O270" s="731">
        <f>Parameters!F237</f>
        <v>0.5</v>
      </c>
      <c r="P270" s="43">
        <f>Parameters!G237</f>
        <v>0.5</v>
      </c>
      <c r="Q270" s="74"/>
      <c r="R270" s="279"/>
      <c r="S270" s="98">
        <f t="shared" ref="S270:S272" si="119">IF(ISNUMBER(N270),1,0)</f>
        <v>0</v>
      </c>
    </row>
    <row r="271" spans="1:19" ht="15" customHeight="1" x14ac:dyDescent="0.35">
      <c r="A271" s="259"/>
      <c r="B271" s="1667" t="s">
        <v>653</v>
      </c>
      <c r="C271" s="25"/>
      <c r="D271" s="14"/>
      <c r="E271" s="41"/>
      <c r="F271" s="41"/>
      <c r="G271" s="14"/>
      <c r="H271" s="1666" t="str">
        <f t="shared" si="116"/>
        <v/>
      </c>
      <c r="I271" s="1633"/>
      <c r="J271" s="1634"/>
      <c r="K271" s="97" t="str">
        <f t="shared" si="118"/>
        <v/>
      </c>
      <c r="L271" s="30" t="str">
        <f t="shared" si="118"/>
        <v/>
      </c>
      <c r="M271" s="14"/>
      <c r="N271" s="1666" t="str">
        <f t="shared" si="117"/>
        <v/>
      </c>
      <c r="O271" s="731">
        <f>Parameters!F238</f>
        <v>0.5</v>
      </c>
      <c r="P271" s="43">
        <f>Parameters!G238</f>
        <v>0.5</v>
      </c>
      <c r="Q271" s="74"/>
      <c r="R271" s="279"/>
      <c r="S271" s="98">
        <f t="shared" si="119"/>
        <v>0</v>
      </c>
    </row>
    <row r="272" spans="1:19" ht="15" customHeight="1" x14ac:dyDescent="0.35">
      <c r="A272" s="259"/>
      <c r="B272" s="1667" t="s">
        <v>654</v>
      </c>
      <c r="C272" s="25"/>
      <c r="D272" s="14"/>
      <c r="E272" s="41"/>
      <c r="F272" s="41"/>
      <c r="G272" s="14"/>
      <c r="H272" s="1666" t="str">
        <f t="shared" si="116"/>
        <v/>
      </c>
      <c r="I272" s="1633"/>
      <c r="J272" s="1634"/>
      <c r="K272" s="97" t="str">
        <f t="shared" si="118"/>
        <v/>
      </c>
      <c r="L272" s="30" t="str">
        <f t="shared" si="118"/>
        <v/>
      </c>
      <c r="M272" s="14"/>
      <c r="N272" s="1666" t="str">
        <f t="shared" si="117"/>
        <v/>
      </c>
      <c r="O272" s="731">
        <f>Parameters!F239</f>
        <v>1</v>
      </c>
      <c r="P272" s="43">
        <f>Parameters!G239</f>
        <v>1</v>
      </c>
      <c r="Q272" s="74"/>
      <c r="R272" s="279"/>
      <c r="S272" s="98">
        <f t="shared" si="119"/>
        <v>0</v>
      </c>
    </row>
    <row r="273" spans="1:19" ht="15" customHeight="1" x14ac:dyDescent="0.35">
      <c r="A273" s="259"/>
      <c r="B273" s="1667" t="s">
        <v>655</v>
      </c>
      <c r="C273" s="25"/>
      <c r="D273" s="14"/>
      <c r="E273" s="41"/>
      <c r="F273" s="41"/>
      <c r="G273" s="14"/>
      <c r="H273" s="1666" t="str">
        <f t="shared" si="116"/>
        <v/>
      </c>
      <c r="I273" s="1633"/>
      <c r="J273" s="1634"/>
      <c r="K273" s="97"/>
      <c r="L273" s="30"/>
      <c r="M273" s="14"/>
      <c r="N273" s="1666" t="str">
        <f t="shared" si="117"/>
        <v/>
      </c>
      <c r="O273" s="731">
        <f>Parameters!F240</f>
        <v>0</v>
      </c>
      <c r="P273" s="43">
        <f>Parameters!G240</f>
        <v>0</v>
      </c>
      <c r="Q273" s="74"/>
      <c r="R273" s="279"/>
    </row>
    <row r="274" spans="1:19" ht="15" customHeight="1" x14ac:dyDescent="0.35">
      <c r="A274" s="259"/>
      <c r="B274" s="1667" t="s">
        <v>656</v>
      </c>
      <c r="C274" s="25"/>
      <c r="D274" s="14"/>
      <c r="E274" s="41"/>
      <c r="F274" s="41"/>
      <c r="G274" s="14"/>
      <c r="H274" s="1666" t="str">
        <f t="shared" si="116"/>
        <v/>
      </c>
      <c r="I274" s="1633"/>
      <c r="J274" s="1634"/>
      <c r="K274" s="97"/>
      <c r="L274" s="30"/>
      <c r="M274" s="14"/>
      <c r="N274" s="1666" t="str">
        <f t="shared" si="117"/>
        <v/>
      </c>
      <c r="O274" s="731">
        <f>Parameters!F241</f>
        <v>0</v>
      </c>
      <c r="P274" s="43">
        <f>Parameters!G241</f>
        <v>0</v>
      </c>
      <c r="Q274" s="74"/>
      <c r="R274" s="279"/>
    </row>
    <row r="275" spans="1:19" ht="15" hidden="1" customHeight="1" x14ac:dyDescent="0.35">
      <c r="A275" s="259"/>
      <c r="B275" s="531"/>
      <c r="C275" s="25"/>
      <c r="D275" s="14"/>
      <c r="E275" s="1560"/>
      <c r="F275" s="1560"/>
      <c r="G275" s="1560"/>
      <c r="H275" s="1656"/>
      <c r="I275" s="1633"/>
      <c r="J275" s="1634"/>
      <c r="K275" s="452"/>
      <c r="L275" s="16"/>
      <c r="M275" s="452"/>
      <c r="N275" s="1657"/>
      <c r="O275" s="1658"/>
      <c r="P275" s="1680"/>
      <c r="Q275" s="1626"/>
      <c r="R275" s="279"/>
    </row>
    <row r="276" spans="1:19" ht="15" hidden="1" customHeight="1" x14ac:dyDescent="0.35">
      <c r="A276" s="259"/>
      <c r="B276" s="531"/>
      <c r="C276" s="25"/>
      <c r="D276" s="14"/>
      <c r="E276" s="1560"/>
      <c r="F276" s="1560"/>
      <c r="G276" s="1560"/>
      <c r="H276" s="1656"/>
      <c r="I276" s="1633"/>
      <c r="J276" s="1634"/>
      <c r="K276" s="452"/>
      <c r="L276" s="16"/>
      <c r="M276" s="452"/>
      <c r="N276" s="1657"/>
      <c r="O276" s="1658"/>
      <c r="P276" s="1680"/>
      <c r="Q276" s="1626"/>
      <c r="R276" s="279"/>
    </row>
    <row r="277" spans="1:19" ht="30" customHeight="1" x14ac:dyDescent="0.35">
      <c r="A277" s="259"/>
      <c r="B277" s="1321" t="s">
        <v>696</v>
      </c>
      <c r="C277" s="1618" t="s">
        <v>697</v>
      </c>
      <c r="D277" s="1674"/>
      <c r="E277" s="41"/>
      <c r="F277" s="41"/>
      <c r="G277" s="41"/>
      <c r="H277" s="1666" t="str">
        <f>IF(AND(ISNUMBER(E277), ISNUMBER(F277), ISNUMBER(G277)), SUM(E277:G277), "")</f>
        <v/>
      </c>
      <c r="I277" s="1633"/>
      <c r="J277" s="1634"/>
      <c r="K277" s="97" t="str">
        <f t="shared" si="118"/>
        <v/>
      </c>
      <c r="L277" s="30" t="str">
        <f t="shared" si="118"/>
        <v/>
      </c>
      <c r="M277" s="97" t="str">
        <f>IF(AND(ISNUMBER(G277),ISNUMBER(Q277)),G277*Q277,"")</f>
        <v/>
      </c>
      <c r="N277" s="1666" t="str">
        <f>IF(AND(ISNUMBER(K277), ISNUMBER(L277), ISNUMBER(M277)), SUM(K277:M277), "")</f>
        <v/>
      </c>
      <c r="O277" s="1687">
        <f>Parameters!F244</f>
        <v>1</v>
      </c>
      <c r="P277" s="51">
        <f>Parameters!G244</f>
        <v>1</v>
      </c>
      <c r="Q277" s="1623">
        <f>Parameters!H244</f>
        <v>1</v>
      </c>
      <c r="R277" s="279"/>
      <c r="S277" s="98">
        <f>IF(ISNUMBER(N277),1,0)</f>
        <v>0</v>
      </c>
    </row>
    <row r="278" spans="1:19" ht="30" customHeight="1" x14ac:dyDescent="0.35">
      <c r="A278" s="259"/>
      <c r="B278" s="1321" t="s">
        <v>698</v>
      </c>
      <c r="C278" s="1618" t="s">
        <v>699</v>
      </c>
      <c r="D278" s="1674"/>
      <c r="E278" s="14"/>
      <c r="F278" s="14"/>
      <c r="G278" s="14"/>
      <c r="H278" s="1734"/>
      <c r="I278" s="1633"/>
      <c r="J278" s="1634"/>
      <c r="K278" s="25"/>
      <c r="L278" s="74"/>
      <c r="M278" s="74"/>
      <c r="N278" s="1065" t="str">
        <f>IF(AND(ISNUMBER(H278), ISNUMBER(Q278)), H278*Q278,"")</f>
        <v/>
      </c>
      <c r="O278" s="1625"/>
      <c r="P278" s="50"/>
      <c r="Q278" s="1623">
        <f>Parameters!H245</f>
        <v>1</v>
      </c>
      <c r="R278" s="279"/>
      <c r="S278" s="98">
        <f>IF(ISNUMBER(N278),1,0)</f>
        <v>0</v>
      </c>
    </row>
    <row r="279" spans="1:19" ht="15" customHeight="1" x14ac:dyDescent="0.35">
      <c r="A279" s="259"/>
      <c r="B279" s="762" t="s">
        <v>700</v>
      </c>
      <c r="C279" s="1618" t="s">
        <v>701</v>
      </c>
      <c r="D279" s="1674"/>
      <c r="E279" s="14"/>
      <c r="F279" s="14"/>
      <c r="G279" s="14"/>
      <c r="H279" s="1734"/>
      <c r="I279" s="1633"/>
      <c r="J279" s="1634"/>
      <c r="K279" s="25"/>
      <c r="L279" s="74"/>
      <c r="M279" s="74"/>
      <c r="N279" s="1065" t="str">
        <f>IF(AND(ISNUMBER(H279), ISNUMBER(Q279)), H279*Q279,"")</f>
        <v/>
      </c>
      <c r="O279" s="1625"/>
      <c r="P279" s="50"/>
      <c r="Q279" s="1623">
        <f>Parameters!H246</f>
        <v>0.2</v>
      </c>
      <c r="R279" s="279"/>
      <c r="S279" s="98">
        <f>IF(ISNUMBER(N279),1,0)</f>
        <v>0</v>
      </c>
    </row>
    <row r="280" spans="1:19" ht="30" customHeight="1" x14ac:dyDescent="0.35">
      <c r="A280" s="259"/>
      <c r="B280" s="1321" t="s">
        <v>702</v>
      </c>
      <c r="C280" s="1618" t="s">
        <v>703</v>
      </c>
      <c r="D280" s="1674"/>
      <c r="E280" s="41"/>
      <c r="F280" s="41"/>
      <c r="G280" s="41"/>
      <c r="H280" s="1666" t="str">
        <f t="shared" ref="H280:H285" si="120">IF(AND(ISNUMBER(E280), ISNUMBER(F280), ISNUMBER(G280)), SUM(E280:G280), "")</f>
        <v/>
      </c>
      <c r="I280" s="1633"/>
      <c r="J280" s="1634"/>
      <c r="K280" s="97" t="str">
        <f t="shared" ref="K280" si="121">IF(AND(ISNUMBER(E280),ISNUMBER(O280)), E280*O280, "")</f>
        <v/>
      </c>
      <c r="L280" s="30" t="str">
        <f t="shared" ref="L280" si="122">IF(AND(ISNUMBER(F280),ISNUMBER(P280)), F280*P280, "")</f>
        <v/>
      </c>
      <c r="M280" s="97" t="str">
        <f>IF(AND(ISNUMBER(G280),ISNUMBER(Q280)),G280*Q280,"")</f>
        <v/>
      </c>
      <c r="N280" s="1666" t="str">
        <f>IF(AND(ISNUMBER(K280), ISNUMBER(L280), ISNUMBER(M280)), SUM(K280:M280), "")</f>
        <v/>
      </c>
      <c r="O280" s="1571">
        <f>Parameters!F247</f>
        <v>0</v>
      </c>
      <c r="P280" s="1623">
        <f>Parameters!G247</f>
        <v>0</v>
      </c>
      <c r="Q280" s="1623">
        <f>Parameters!H247</f>
        <v>0.85</v>
      </c>
      <c r="R280" s="279"/>
      <c r="S280" s="98">
        <f t="shared" ref="S280:S285" si="123">IF(ISNUMBER(N280),1,0)</f>
        <v>0</v>
      </c>
    </row>
    <row r="281" spans="1:19" ht="15" customHeight="1" x14ac:dyDescent="0.35">
      <c r="A281" s="259"/>
      <c r="B281" s="1321" t="s">
        <v>704</v>
      </c>
      <c r="C281" s="1618" t="s">
        <v>705</v>
      </c>
      <c r="D281" s="1674"/>
      <c r="E281" s="41"/>
      <c r="F281" s="41"/>
      <c r="G281" s="41"/>
      <c r="H281" s="1666" t="str">
        <f t="shared" si="120"/>
        <v/>
      </c>
      <c r="I281" s="1633"/>
      <c r="J281" s="1634"/>
      <c r="K281" s="97" t="str">
        <f>IF(AND(ISNUMBER(E281),ISNUMBER(O281)), E281*O281, "")</f>
        <v/>
      </c>
      <c r="L281" s="30" t="str">
        <f>IF(AND(ISNUMBER(F281),ISNUMBER(P281)), F281*P281, "")</f>
        <v/>
      </c>
      <c r="M281" s="97" t="str">
        <f>IF(AND(ISNUMBER(G281),ISNUMBER(Q281)),G281*Q281,"")</f>
        <v/>
      </c>
      <c r="N281" s="1666" t="str">
        <f t="shared" ref="N281:N285" si="124">IF(AND(ISNUMBER(K281), ISNUMBER(L281), ISNUMBER(M281)), SUM(K281:M281), "")</f>
        <v/>
      </c>
      <c r="O281" s="1687">
        <f>Parameters!F248</f>
        <v>1</v>
      </c>
      <c r="P281" s="51">
        <f>Parameters!G248</f>
        <v>1</v>
      </c>
      <c r="Q281" s="1623">
        <f>Parameters!H248</f>
        <v>1</v>
      </c>
      <c r="R281" s="279"/>
      <c r="S281" s="98">
        <f t="shared" si="123"/>
        <v>0</v>
      </c>
    </row>
    <row r="282" spans="1:19" ht="15" customHeight="1" x14ac:dyDescent="0.35">
      <c r="A282" s="259"/>
      <c r="B282" s="1321" t="s">
        <v>706</v>
      </c>
      <c r="C282" s="1618" t="s">
        <v>707</v>
      </c>
      <c r="D282" s="1674"/>
      <c r="E282" s="14"/>
      <c r="F282" s="14"/>
      <c r="G282" s="14"/>
      <c r="H282" s="1734"/>
      <c r="I282" s="1633"/>
      <c r="J282" s="1634"/>
      <c r="K282" s="14"/>
      <c r="L282" s="14"/>
      <c r="M282" s="14"/>
      <c r="N282" s="1065" t="str">
        <f>IF(AND(ISNUMBER(H282), ISNUMBER(Q282)), H282*Q282,"")</f>
        <v/>
      </c>
      <c r="O282" s="1627">
        <f>Parameters!H249</f>
        <v>0</v>
      </c>
      <c r="P282" s="14"/>
      <c r="Q282" s="26"/>
      <c r="R282" s="279"/>
      <c r="S282" s="98">
        <f t="shared" si="123"/>
        <v>0</v>
      </c>
    </row>
    <row r="283" spans="1:19" ht="15" customHeight="1" x14ac:dyDescent="0.35">
      <c r="A283" s="259"/>
      <c r="B283" s="1321" t="s">
        <v>708</v>
      </c>
      <c r="C283" s="1618">
        <v>30.35</v>
      </c>
      <c r="D283" s="1674"/>
      <c r="E283" s="41"/>
      <c r="F283" s="41"/>
      <c r="G283" s="41"/>
      <c r="H283" s="1666" t="str">
        <f t="shared" si="120"/>
        <v/>
      </c>
      <c r="I283" s="1633"/>
      <c r="J283" s="1634"/>
      <c r="K283" s="97" t="str">
        <f>IF(AND(ISNUMBER(E283),ISNUMBER(O283)), E283*O283, "")</f>
        <v/>
      </c>
      <c r="L283" s="30" t="str">
        <f>IF(AND(ISNUMBER(F283),ISNUMBER(P283)), F283*P283, "")</f>
        <v/>
      </c>
      <c r="M283" s="97" t="str">
        <f>IF(AND(ISNUMBER(G283),ISNUMBER(Q283)),G283*Q283,"")</f>
        <v/>
      </c>
      <c r="N283" s="1666" t="str">
        <f t="shared" si="124"/>
        <v/>
      </c>
      <c r="O283" s="1687">
        <f>Parameters!F250</f>
        <v>0</v>
      </c>
      <c r="P283" s="51">
        <f>Parameters!G250</f>
        <v>0</v>
      </c>
      <c r="Q283" s="1623">
        <f>Parameters!H250</f>
        <v>0</v>
      </c>
      <c r="R283" s="279"/>
      <c r="S283" s="98">
        <f t="shared" si="123"/>
        <v>0</v>
      </c>
    </row>
    <row r="284" spans="1:19" ht="30" customHeight="1" x14ac:dyDescent="0.35">
      <c r="A284" s="259"/>
      <c r="B284" s="79" t="str">
        <f>CONCATENATE("Check: interdependent assets in row ", ROW(B283), " = interdependent liabilities above in row ", ROW(B43))</f>
        <v>Check: interdependent assets in row 283 = interdependent liabilities above in row 43</v>
      </c>
      <c r="C284" s="25"/>
      <c r="D284" s="14"/>
      <c r="E284" s="352" t="str">
        <f>IF(AND(ISNUMBER(E43), ISNUMBER(E283)), IF(E283=E43, "Pass", "Fail"), "")</f>
        <v/>
      </c>
      <c r="F284" s="352" t="str">
        <f>IF(AND(ISNUMBER(F43), ISNUMBER(F283)), IF(F283=F43, "Pass", "Fail"), "")</f>
        <v/>
      </c>
      <c r="G284" s="352" t="str">
        <f>IF(AND(ISNUMBER(G43), ISNUMBER(G283)), IF(G283=G43, "Pass", "Fail"), "")</f>
        <v/>
      </c>
      <c r="H284" s="730"/>
      <c r="I284" s="1633"/>
      <c r="J284" s="1634"/>
      <c r="K284" s="25"/>
      <c r="L284" s="50"/>
      <c r="M284" s="50"/>
      <c r="N284" s="730"/>
      <c r="O284" s="1625"/>
      <c r="P284" s="50"/>
      <c r="Q284" s="82"/>
      <c r="R284" s="279"/>
    </row>
    <row r="285" spans="1:19" ht="15" customHeight="1" x14ac:dyDescent="0.35">
      <c r="A285" s="259"/>
      <c r="B285" s="1567" t="s">
        <v>709</v>
      </c>
      <c r="C285" s="1618" t="s">
        <v>705</v>
      </c>
      <c r="D285" s="1674"/>
      <c r="E285" s="41"/>
      <c r="F285" s="41"/>
      <c r="G285" s="41"/>
      <c r="H285" s="1666" t="str">
        <f t="shared" si="120"/>
        <v/>
      </c>
      <c r="I285" s="1633"/>
      <c r="J285" s="1634"/>
      <c r="K285" s="114" t="str">
        <f>IF(AND(ISNUMBER(E285),ISNUMBER(O285)), E285*O285, "")</f>
        <v/>
      </c>
      <c r="L285" s="111" t="str">
        <f>IF(AND(ISNUMBER(F285),ISNUMBER(P285)), F285*P285, "")</f>
        <v/>
      </c>
      <c r="M285" s="114" t="str">
        <f>IF(AND(ISNUMBER(G285),ISNUMBER(Q285)),G285*Q285,"")</f>
        <v/>
      </c>
      <c r="N285" s="1715" t="str">
        <f t="shared" si="124"/>
        <v/>
      </c>
      <c r="O285" s="732">
        <f>Parameters!F252</f>
        <v>1</v>
      </c>
      <c r="P285" s="81">
        <f>Parameters!G252</f>
        <v>1</v>
      </c>
      <c r="Q285" s="1624">
        <f>Parameters!H252</f>
        <v>1</v>
      </c>
      <c r="R285" s="279"/>
      <c r="S285" s="98">
        <f t="shared" si="123"/>
        <v>0</v>
      </c>
    </row>
    <row r="286" spans="1:19" ht="15" hidden="1" customHeight="1" x14ac:dyDescent="0.35">
      <c r="A286" s="259"/>
      <c r="B286" s="531"/>
      <c r="C286" s="25"/>
      <c r="D286" s="14"/>
      <c r="E286" s="1560"/>
      <c r="F286" s="1560"/>
      <c r="G286" s="1560"/>
      <c r="H286" s="1656"/>
      <c r="I286" s="1633"/>
      <c r="J286" s="1634"/>
      <c r="K286" s="452"/>
      <c r="L286" s="16"/>
      <c r="M286" s="452"/>
      <c r="N286" s="1732"/>
      <c r="O286" s="1658"/>
      <c r="P286" s="1680"/>
      <c r="Q286" s="1626"/>
      <c r="R286" s="279"/>
    </row>
    <row r="287" spans="1:19" ht="15" hidden="1" customHeight="1" x14ac:dyDescent="0.35">
      <c r="A287" s="259"/>
      <c r="B287" s="246"/>
      <c r="C287" s="36"/>
      <c r="D287" s="19"/>
      <c r="E287" s="1688"/>
      <c r="F287" s="1688"/>
      <c r="G287" s="1688"/>
      <c r="H287" s="1708"/>
      <c r="I287" s="1635"/>
      <c r="J287" s="1636"/>
      <c r="K287" s="452"/>
      <c r="L287" s="16"/>
      <c r="M287" s="452"/>
      <c r="N287" s="1657"/>
      <c r="O287" s="1693"/>
      <c r="P287" s="1694"/>
      <c r="Q287" s="1695"/>
      <c r="R287" s="279"/>
    </row>
    <row r="288" spans="1:19" s="98" customFormat="1" ht="15" customHeight="1" x14ac:dyDescent="0.35">
      <c r="A288" s="263"/>
      <c r="B288" s="1681" t="s">
        <v>710</v>
      </c>
      <c r="C288" s="1304"/>
      <c r="D288" s="1305"/>
      <c r="E288" s="1305"/>
      <c r="F288" s="1305"/>
      <c r="G288" s="1424"/>
      <c r="H288" s="1690" t="str">
        <f>IF(AND(ISNUMBER(H53), ISNUMBER(H59), ISNUMBER(H68), ISNUMBER(H69), ISNUMBER(H76), ISNUMBER(H113), ISNUMBER(H150), ISNUMBER(H159), ISNUMBER(H241), ISNUMBER(H250), ISNUMBER(H259), ISNUMBER(H268), ISNUMBER(H277), ISNUMBER(H278), ISNUMBER(H279), ISNUMBER(H280), ISNUMBER(H281), ISNUMBER(H282), ISNUMBER(H283), ISNUMBER(H285)), SUM(H53,H59,H68:H69,H76,H113,H150,H159,H241,H250,H259,H268,H277:H283,H285), "")</f>
        <v/>
      </c>
      <c r="I288" s="1629"/>
      <c r="J288" s="1630"/>
      <c r="K288" s="1304"/>
      <c r="L288" s="1305"/>
      <c r="M288" s="1424"/>
      <c r="N288" s="1690" t="str">
        <f>IF(AND(ISNUMBER(N53), ISNUMBER(N59), ISNUMBER(N68), ISNUMBER(N69), ISNUMBER(N76), ISNUMBER(N113), ISNUMBER(N150), ISNUMBER(N159), ISNUMBER(N241), ISNUMBER(N250), ISNUMBER(N259), ISNUMBER(N268), ISNUMBER(N277), ISNUMBER(N278), ISNUMBER(N279), ISNUMBER(N280), ISNUMBER(N281), ISNUMBER(N282), ISNUMBER(N283), ISNUMBER(N285)), SUM(N53,N59,N68:N69,N76,N113,N150,N159,N241,N250,N259,N268,N277:N283,N285), "")</f>
        <v/>
      </c>
      <c r="O288" s="1716"/>
      <c r="P288" s="1717"/>
      <c r="Q288" s="1718"/>
      <c r="R288" s="315"/>
    </row>
    <row r="289" spans="1:19" ht="60" customHeight="1" x14ac:dyDescent="0.45">
      <c r="A289" s="280" t="s">
        <v>711</v>
      </c>
      <c r="B289" s="38"/>
      <c r="C289" s="38"/>
      <c r="D289" s="38"/>
      <c r="E289" s="39"/>
      <c r="F289" s="40"/>
      <c r="G289" s="2"/>
      <c r="H289" s="2"/>
      <c r="I289" s="2"/>
      <c r="J289" s="2"/>
      <c r="K289" s="2"/>
      <c r="L289" s="2"/>
      <c r="M289" s="2"/>
      <c r="N289" s="2"/>
      <c r="O289" s="2"/>
      <c r="P289" s="2"/>
      <c r="Q289" s="2"/>
      <c r="R289" s="279"/>
    </row>
    <row r="290" spans="1:19" ht="30" customHeight="1" x14ac:dyDescent="0.35">
      <c r="A290" s="259"/>
      <c r="B290" s="926"/>
      <c r="C290" s="1082" t="s">
        <v>591</v>
      </c>
      <c r="D290" s="1717"/>
      <c r="E290" s="1717"/>
      <c r="F290" s="1717"/>
      <c r="G290" s="1717"/>
      <c r="H290" s="1252" t="s">
        <v>592</v>
      </c>
      <c r="I290" s="1629"/>
      <c r="J290" s="1630"/>
      <c r="K290" s="1716"/>
      <c r="L290" s="1717"/>
      <c r="M290" s="1717"/>
      <c r="N290" s="1678" t="s">
        <v>712</v>
      </c>
      <c r="O290" s="1082" t="s">
        <v>713</v>
      </c>
      <c r="P290" s="1698"/>
      <c r="Q290" s="1699"/>
      <c r="R290" s="279"/>
    </row>
    <row r="291" spans="1:19" ht="15" customHeight="1" x14ac:dyDescent="0.35">
      <c r="A291" s="259"/>
      <c r="B291" s="1684" t="s">
        <v>714</v>
      </c>
      <c r="C291" s="1720" t="s">
        <v>715</v>
      </c>
      <c r="D291" s="527"/>
      <c r="E291" s="527"/>
      <c r="F291" s="527"/>
      <c r="G291" s="527"/>
      <c r="H291" s="52"/>
      <c r="I291" s="1631"/>
      <c r="J291" s="1632"/>
      <c r="K291" s="1686"/>
      <c r="L291" s="46"/>
      <c r="M291" s="46"/>
      <c r="N291" s="1723" t="str">
        <f t="shared" ref="N291:N296" si="125">IF(AND(ISNUMBER(H291), ISNUMBER(O291)), H291*O291,"")</f>
        <v/>
      </c>
      <c r="O291" s="1570">
        <f>Parameters!F255</f>
        <v>0.05</v>
      </c>
      <c r="P291" s="1719"/>
      <c r="Q291" s="1621"/>
      <c r="R291" s="279"/>
      <c r="S291" s="98">
        <f t="shared" ref="S291:S296" si="126">IF(ISNUMBER(N291),1,0)</f>
        <v>0</v>
      </c>
    </row>
    <row r="292" spans="1:19" ht="15" customHeight="1" x14ac:dyDescent="0.35">
      <c r="A292" s="259"/>
      <c r="B292" s="1338" t="s">
        <v>716</v>
      </c>
      <c r="C292" s="1720" t="s">
        <v>715</v>
      </c>
      <c r="D292" s="180"/>
      <c r="E292" s="180"/>
      <c r="F292" s="180"/>
      <c r="G292" s="180"/>
      <c r="H292" s="116"/>
      <c r="I292" s="1633"/>
      <c r="J292" s="1634"/>
      <c r="K292" s="1625"/>
      <c r="L292" s="14"/>
      <c r="M292" s="14"/>
      <c r="N292" s="862" t="str">
        <f t="shared" si="125"/>
        <v/>
      </c>
      <c r="O292" s="1571">
        <f>Parameters!F256</f>
        <v>0.05</v>
      </c>
      <c r="P292" s="1680"/>
      <c r="Q292" s="1626"/>
      <c r="R292" s="279"/>
      <c r="S292" s="98">
        <f t="shared" si="126"/>
        <v>0</v>
      </c>
    </row>
    <row r="293" spans="1:19" ht="15" customHeight="1" x14ac:dyDescent="0.35">
      <c r="A293" s="259"/>
      <c r="B293" s="1338" t="s">
        <v>717</v>
      </c>
      <c r="C293" s="1720" t="s">
        <v>715</v>
      </c>
      <c r="D293" s="180"/>
      <c r="E293" s="180"/>
      <c r="F293" s="180"/>
      <c r="G293" s="180"/>
      <c r="H293" s="116"/>
      <c r="I293" s="1633"/>
      <c r="J293" s="1634"/>
      <c r="K293" s="1625"/>
      <c r="L293" s="14"/>
      <c r="M293" s="14"/>
      <c r="N293" s="862" t="str">
        <f t="shared" si="125"/>
        <v/>
      </c>
      <c r="O293" s="1571">
        <f>Parameters!F257</f>
        <v>0</v>
      </c>
      <c r="P293" s="1680"/>
      <c r="Q293" s="1626"/>
      <c r="R293" s="279"/>
      <c r="S293" s="98">
        <f t="shared" si="126"/>
        <v>0</v>
      </c>
    </row>
    <row r="294" spans="1:19" ht="15" customHeight="1" x14ac:dyDescent="0.35">
      <c r="A294" s="259"/>
      <c r="B294" s="1338" t="s">
        <v>718</v>
      </c>
      <c r="C294" s="1720" t="s">
        <v>715</v>
      </c>
      <c r="D294" s="180"/>
      <c r="E294" s="180"/>
      <c r="F294" s="180"/>
      <c r="G294" s="180"/>
      <c r="H294" s="116"/>
      <c r="I294" s="1633"/>
      <c r="J294" s="1634"/>
      <c r="K294" s="1625"/>
      <c r="L294" s="14"/>
      <c r="M294" s="14"/>
      <c r="N294" s="862" t="str">
        <f t="shared" si="125"/>
        <v/>
      </c>
      <c r="O294" s="1571">
        <f>Parameters!F258</f>
        <v>0</v>
      </c>
      <c r="P294" s="1680"/>
      <c r="Q294" s="1626"/>
      <c r="R294" s="279"/>
      <c r="S294" s="98">
        <f t="shared" si="126"/>
        <v>0</v>
      </c>
    </row>
    <row r="295" spans="1:19" ht="15" customHeight="1" x14ac:dyDescent="0.35">
      <c r="A295" s="259"/>
      <c r="B295" s="1338" t="s">
        <v>719</v>
      </c>
      <c r="C295" s="1720" t="s">
        <v>715</v>
      </c>
      <c r="D295" s="180"/>
      <c r="E295" s="180"/>
      <c r="F295" s="180"/>
      <c r="G295" s="180"/>
      <c r="H295" s="116"/>
      <c r="I295" s="1633"/>
      <c r="J295" s="1634"/>
      <c r="K295" s="1625"/>
      <c r="L295" s="14"/>
      <c r="M295" s="14"/>
      <c r="N295" s="862" t="str">
        <f t="shared" si="125"/>
        <v/>
      </c>
      <c r="O295" s="1571">
        <f>Parameters!F259</f>
        <v>0</v>
      </c>
      <c r="P295" s="1680"/>
      <c r="Q295" s="1626"/>
      <c r="R295" s="279"/>
      <c r="S295" s="98">
        <f t="shared" si="126"/>
        <v>0</v>
      </c>
    </row>
    <row r="296" spans="1:19" ht="15" customHeight="1" x14ac:dyDescent="0.35">
      <c r="A296" s="259"/>
      <c r="B296" s="1338" t="s">
        <v>720</v>
      </c>
      <c r="C296" s="1720" t="s">
        <v>715</v>
      </c>
      <c r="D296" s="180"/>
      <c r="E296" s="180"/>
      <c r="F296" s="180"/>
      <c r="G296" s="180"/>
      <c r="H296" s="116"/>
      <c r="I296" s="1633"/>
      <c r="J296" s="1634"/>
      <c r="K296" s="1625"/>
      <c r="L296" s="14"/>
      <c r="M296" s="14"/>
      <c r="N296" s="862" t="str">
        <f t="shared" si="125"/>
        <v/>
      </c>
      <c r="O296" s="1571">
        <f>Parameters!F260</f>
        <v>0</v>
      </c>
      <c r="P296" s="1680"/>
      <c r="Q296" s="1626"/>
      <c r="R296" s="279"/>
      <c r="S296" s="98">
        <f t="shared" si="126"/>
        <v>0</v>
      </c>
    </row>
    <row r="297" spans="1:19" ht="15" customHeight="1" x14ac:dyDescent="0.35">
      <c r="A297" s="259"/>
      <c r="B297" s="1338" t="s">
        <v>721</v>
      </c>
      <c r="C297" s="1720" t="s">
        <v>715</v>
      </c>
      <c r="D297" s="180"/>
      <c r="E297" s="180"/>
      <c r="F297" s="180"/>
      <c r="G297" s="180"/>
      <c r="H297" s="862" t="str">
        <f>IF(AND(ISNUMBER(H298), ISNUMBER(H299), ISNUMBER(H300), ISNUMBER(H301)), SUM(H298:H301), "")</f>
        <v/>
      </c>
      <c r="I297" s="1633"/>
      <c r="J297" s="1634"/>
      <c r="K297" s="1625"/>
      <c r="L297" s="14"/>
      <c r="M297" s="14"/>
      <c r="N297" s="862" t="str">
        <f>IF(AND(ISNUMBER(N298), ISNUMBER(N299), ISNUMBER(N300), ISNUMBER(N301)), SUM(N298:N301), "")</f>
        <v/>
      </c>
      <c r="O297" s="74"/>
      <c r="P297" s="1680"/>
      <c r="Q297" s="1626"/>
      <c r="R297" s="279"/>
    </row>
    <row r="298" spans="1:19" ht="15" customHeight="1" x14ac:dyDescent="0.35">
      <c r="A298" s="259"/>
      <c r="B298" s="1561" t="s">
        <v>722</v>
      </c>
      <c r="C298" s="1720" t="s">
        <v>715</v>
      </c>
      <c r="D298" s="180"/>
      <c r="E298" s="180"/>
      <c r="F298" s="180"/>
      <c r="G298" s="180"/>
      <c r="H298" s="116"/>
      <c r="I298" s="1633"/>
      <c r="J298" s="1634"/>
      <c r="K298" s="1625"/>
      <c r="L298" s="14"/>
      <c r="M298" s="14"/>
      <c r="N298" s="862" t="str">
        <f>IF(AND(ISNUMBER(H298), ISNUMBER(O298)), H298*O298,"")</f>
        <v/>
      </c>
      <c r="O298" s="1571">
        <f>Parameters!F262</f>
        <v>0</v>
      </c>
      <c r="P298" s="1680"/>
      <c r="Q298" s="1626"/>
      <c r="R298" s="279"/>
      <c r="S298" s="98">
        <f t="shared" ref="S298:S302" si="127">IF(ISNUMBER(N298),1,0)</f>
        <v>0</v>
      </c>
    </row>
    <row r="299" spans="1:19" ht="15" customHeight="1" x14ac:dyDescent="0.35">
      <c r="A299" s="259"/>
      <c r="B299" s="1561" t="s">
        <v>723</v>
      </c>
      <c r="C299" s="1720" t="s">
        <v>715</v>
      </c>
      <c r="D299" s="180"/>
      <c r="E299" s="180"/>
      <c r="F299" s="180"/>
      <c r="G299" s="180"/>
      <c r="H299" s="116"/>
      <c r="I299" s="1633"/>
      <c r="J299" s="1634"/>
      <c r="K299" s="1625"/>
      <c r="L299" s="14"/>
      <c r="M299" s="14"/>
      <c r="N299" s="862" t="str">
        <f>IF(AND(ISNUMBER(H299), ISNUMBER(O299)), H299*O299,"")</f>
        <v/>
      </c>
      <c r="O299" s="1571">
        <f>Parameters!F263</f>
        <v>0</v>
      </c>
      <c r="P299" s="1680"/>
      <c r="Q299" s="1626"/>
      <c r="R299" s="279"/>
      <c r="S299" s="98">
        <f t="shared" si="127"/>
        <v>0</v>
      </c>
    </row>
    <row r="300" spans="1:19" ht="15" customHeight="1" x14ac:dyDescent="0.35">
      <c r="A300" s="259"/>
      <c r="B300" s="1561" t="s">
        <v>724</v>
      </c>
      <c r="C300" s="1720" t="s">
        <v>715</v>
      </c>
      <c r="D300" s="180"/>
      <c r="E300" s="180"/>
      <c r="F300" s="180"/>
      <c r="G300" s="180"/>
      <c r="H300" s="116"/>
      <c r="I300" s="1633"/>
      <c r="J300" s="1634"/>
      <c r="K300" s="1625"/>
      <c r="L300" s="14"/>
      <c r="M300" s="14"/>
      <c r="N300" s="862" t="str">
        <f>IF(AND(ISNUMBER(H300), ISNUMBER(O300)), H300*O300,"")</f>
        <v/>
      </c>
      <c r="O300" s="1571">
        <f>Parameters!F264</f>
        <v>0</v>
      </c>
      <c r="P300" s="1680"/>
      <c r="Q300" s="1626"/>
      <c r="R300" s="279"/>
      <c r="S300" s="98">
        <f t="shared" si="127"/>
        <v>0</v>
      </c>
    </row>
    <row r="301" spans="1:19" ht="15" customHeight="1" x14ac:dyDescent="0.35">
      <c r="A301" s="259"/>
      <c r="B301" s="1561" t="s">
        <v>725</v>
      </c>
      <c r="C301" s="1720" t="s">
        <v>715</v>
      </c>
      <c r="D301" s="180"/>
      <c r="E301" s="180"/>
      <c r="F301" s="180"/>
      <c r="G301" s="180"/>
      <c r="H301" s="116"/>
      <c r="I301" s="1633"/>
      <c r="J301" s="1634"/>
      <c r="K301" s="1625"/>
      <c r="L301" s="14"/>
      <c r="M301" s="14"/>
      <c r="N301" s="862" t="str">
        <f>IF(AND(ISNUMBER(H301), ISNUMBER(O301)), H301*O301,"")</f>
        <v/>
      </c>
      <c r="O301" s="1571">
        <f>Parameters!F265</f>
        <v>0</v>
      </c>
      <c r="P301" s="1680"/>
      <c r="Q301" s="1626"/>
      <c r="R301" s="279"/>
      <c r="S301" s="98">
        <f t="shared" si="127"/>
        <v>0</v>
      </c>
    </row>
    <row r="302" spans="1:19" ht="15" customHeight="1" x14ac:dyDescent="0.35">
      <c r="A302" s="259"/>
      <c r="B302" s="1338" t="s">
        <v>726</v>
      </c>
      <c r="C302" s="1721" t="s">
        <v>715</v>
      </c>
      <c r="D302" s="180"/>
      <c r="E302" s="180"/>
      <c r="F302" s="180"/>
      <c r="G302" s="180"/>
      <c r="H302" s="648"/>
      <c r="I302" s="1633"/>
      <c r="J302" s="1634"/>
      <c r="K302" s="1725"/>
      <c r="L302" s="27"/>
      <c r="M302" s="27"/>
      <c r="N302" s="862" t="str">
        <f>IF(AND(ISNUMBER(H302), ISNUMBER(O302)), H302*O302,"")</f>
        <v/>
      </c>
      <c r="O302" s="1571">
        <f>Parameters!F266</f>
        <v>0</v>
      </c>
      <c r="P302" s="1680"/>
      <c r="Q302" s="1626"/>
      <c r="R302" s="279"/>
      <c r="S302" s="98">
        <f t="shared" si="127"/>
        <v>0</v>
      </c>
    </row>
    <row r="303" spans="1:19" ht="15" hidden="1" customHeight="1" x14ac:dyDescent="0.35">
      <c r="A303" s="259"/>
      <c r="B303" s="531"/>
      <c r="C303" s="74"/>
      <c r="D303" s="180"/>
      <c r="E303" s="180"/>
      <c r="F303" s="180"/>
      <c r="G303" s="180"/>
      <c r="H303" s="1679"/>
      <c r="I303" s="1633"/>
      <c r="J303" s="1634"/>
      <c r="K303" s="1084"/>
      <c r="L303" s="16"/>
      <c r="M303" s="16"/>
      <c r="N303" s="860"/>
      <c r="O303" s="1658"/>
      <c r="P303" s="1680"/>
      <c r="Q303" s="1626"/>
      <c r="R303" s="279"/>
    </row>
    <row r="304" spans="1:19" ht="15" hidden="1" customHeight="1" x14ac:dyDescent="0.35">
      <c r="A304" s="259"/>
      <c r="B304" s="422"/>
      <c r="C304" s="1722"/>
      <c r="D304" s="351"/>
      <c r="E304" s="351"/>
      <c r="F304" s="351"/>
      <c r="G304" s="351"/>
      <c r="H304" s="1692"/>
      <c r="I304" s="1635"/>
      <c r="J304" s="1636"/>
      <c r="K304" s="1181"/>
      <c r="L304" s="128"/>
      <c r="M304" s="128"/>
      <c r="N304" s="865"/>
      <c r="O304" s="1693"/>
      <c r="P304" s="1694"/>
      <c r="Q304" s="1695"/>
      <c r="R304" s="279"/>
    </row>
    <row r="305" spans="1:19" ht="15" customHeight="1" x14ac:dyDescent="0.35">
      <c r="A305" s="259"/>
      <c r="B305" s="1681" t="s">
        <v>710</v>
      </c>
      <c r="C305" s="1706"/>
      <c r="D305" s="1305"/>
      <c r="E305" s="1305"/>
      <c r="F305" s="1305"/>
      <c r="G305" s="1305"/>
      <c r="H305" s="1690" t="str">
        <f>IF(AND(ISNUMBER(H291), ISNUMBER(H292), ISNUMBER(H293), ISNUMBER(H294), ISNUMBER(H295), ISNUMBER(H296), ISNUMBER(H297), ISNUMBER(H302)), SUM(H291:H297, H302), "")</f>
        <v/>
      </c>
      <c r="I305" s="1629"/>
      <c r="J305" s="1630"/>
      <c r="K305" s="1726"/>
      <c r="L305" s="1696"/>
      <c r="M305" s="1696"/>
      <c r="N305" s="1724" t="str">
        <f>IF(AND(ISNUMBER(N291), ISNUMBER(N292), ISNUMBER(N293), ISNUMBER(N294), ISNUMBER(N295), ISNUMBER(N296), ISNUMBER(N297), ISNUMBER(N302)), SUM(N291:N297, N302), "")</f>
        <v/>
      </c>
      <c r="O305" s="1697"/>
      <c r="P305" s="1698"/>
      <c r="Q305" s="1699"/>
      <c r="R305" s="279"/>
    </row>
    <row r="306" spans="1:19" ht="60" customHeight="1" x14ac:dyDescent="0.45">
      <c r="A306" s="280" t="s">
        <v>727</v>
      </c>
      <c r="B306" s="38"/>
      <c r="C306" s="38"/>
      <c r="D306" s="38"/>
      <c r="E306" s="39"/>
      <c r="F306" s="40"/>
      <c r="G306" s="2"/>
      <c r="H306" s="2"/>
      <c r="I306" s="2"/>
      <c r="J306" s="2"/>
      <c r="K306" s="2"/>
      <c r="L306" s="2"/>
      <c r="M306" s="2"/>
      <c r="N306" s="2"/>
      <c r="O306" s="2"/>
      <c r="P306" s="2"/>
      <c r="Q306" s="2"/>
      <c r="R306" s="279"/>
    </row>
    <row r="307" spans="1:19" ht="30" customHeight="1" x14ac:dyDescent="0.35">
      <c r="A307" s="259"/>
      <c r="B307" s="1703"/>
      <c r="C307" s="1691"/>
      <c r="D307" s="1717"/>
      <c r="E307" s="1717"/>
      <c r="F307" s="1717"/>
      <c r="G307" s="1717"/>
      <c r="H307" s="1727" t="s">
        <v>592</v>
      </c>
      <c r="I307" s="1629"/>
      <c r="J307" s="1630"/>
      <c r="K307" s="1716"/>
      <c r="L307" s="1717"/>
      <c r="M307" s="1717"/>
      <c r="N307" s="1082" t="s">
        <v>712</v>
      </c>
      <c r="O307" s="1728" t="s">
        <v>713</v>
      </c>
      <c r="P307" s="1729"/>
      <c r="Q307" s="1699"/>
      <c r="R307" s="279"/>
    </row>
    <row r="308" spans="1:19" ht="15" customHeight="1" x14ac:dyDescent="0.35">
      <c r="A308" s="259"/>
      <c r="B308" s="802" t="s">
        <v>728</v>
      </c>
      <c r="C308" s="527"/>
      <c r="D308" s="527"/>
      <c r="E308" s="527"/>
      <c r="F308" s="527"/>
      <c r="G308" s="527"/>
      <c r="H308" s="1707" t="str">
        <f>IF(AND(ISNUMBER(H288), ISNUMBER(H305)), H288+H305, "")</f>
        <v/>
      </c>
      <c r="I308" s="1701"/>
      <c r="J308" s="1702"/>
      <c r="K308" s="452"/>
      <c r="L308" s="16"/>
      <c r="M308" s="452"/>
      <c r="N308" s="1707" t="str">
        <f>IF(AND(ISNUMBER(N288), ISNUMBER(N305)), N288+N305, "")</f>
        <v/>
      </c>
      <c r="O308" s="1658"/>
      <c r="P308" s="1680"/>
      <c r="Q308" s="1626"/>
      <c r="R308" s="279"/>
    </row>
    <row r="309" spans="1:19" ht="15" hidden="1" customHeight="1" x14ac:dyDescent="0.35">
      <c r="A309" s="259"/>
      <c r="B309" s="25"/>
      <c r="C309" s="14"/>
      <c r="D309" s="14"/>
      <c r="E309" s="1560"/>
      <c r="F309" s="1560"/>
      <c r="G309" s="1560"/>
      <c r="H309" s="1656"/>
      <c r="I309" s="1633"/>
      <c r="J309" s="1634"/>
      <c r="K309" s="452"/>
      <c r="L309" s="16"/>
      <c r="M309" s="452"/>
      <c r="N309" s="65"/>
      <c r="O309" s="1658"/>
      <c r="P309" s="1680"/>
      <c r="Q309" s="1626"/>
      <c r="R309" s="279"/>
    </row>
    <row r="310" spans="1:19" ht="15" hidden="1" customHeight="1" x14ac:dyDescent="0.35">
      <c r="A310" s="259"/>
      <c r="B310" s="36"/>
      <c r="C310" s="19"/>
      <c r="D310" s="19"/>
      <c r="E310" s="1688"/>
      <c r="F310" s="1688"/>
      <c r="G310" s="1688"/>
      <c r="H310" s="1708"/>
      <c r="I310" s="1682"/>
      <c r="J310" s="1683"/>
      <c r="K310" s="453"/>
      <c r="L310" s="128"/>
      <c r="M310" s="453"/>
      <c r="N310" s="362"/>
      <c r="O310" s="1693"/>
      <c r="P310" s="1694"/>
      <c r="Q310" s="1695"/>
      <c r="R310" s="279"/>
    </row>
    <row r="311" spans="1:19" ht="15" customHeight="1" x14ac:dyDescent="0.35">
      <c r="A311" s="259"/>
      <c r="B311" s="1640" t="s">
        <v>641</v>
      </c>
      <c r="C311" s="1704"/>
      <c r="D311" s="1704"/>
      <c r="E311" s="1704"/>
      <c r="F311" s="1704"/>
      <c r="G311" s="1704"/>
      <c r="H311" s="1077" t="str">
        <f>IF(ISNUMBER(H308), H308, "")</f>
        <v/>
      </c>
      <c r="I311" s="1629"/>
      <c r="J311" s="1630"/>
      <c r="K311" s="1704"/>
      <c r="L311" s="1704"/>
      <c r="M311" s="1705"/>
      <c r="N311" s="1077" t="str">
        <f>IF(ISNUMBER(N308), N308, "")</f>
        <v/>
      </c>
      <c r="O311" s="1697"/>
      <c r="P311" s="1698"/>
      <c r="Q311" s="1699"/>
      <c r="R311" s="279"/>
    </row>
    <row r="312" spans="1:19" ht="15" customHeight="1" x14ac:dyDescent="0.35">
      <c r="A312" s="259"/>
      <c r="B312" s="2"/>
      <c r="C312" s="2"/>
      <c r="D312" s="2"/>
      <c r="E312" s="2"/>
      <c r="F312" s="2"/>
      <c r="G312" s="2"/>
      <c r="H312" s="2"/>
      <c r="I312" s="2"/>
      <c r="J312" s="2"/>
      <c r="K312" s="2"/>
      <c r="L312" s="2"/>
      <c r="M312" s="2"/>
      <c r="N312" s="2"/>
      <c r="O312" s="2"/>
      <c r="P312" s="2"/>
      <c r="Q312" s="2"/>
      <c r="R312" s="279"/>
    </row>
    <row r="313" spans="1:19" s="98" customFormat="1" ht="45" customHeight="1" x14ac:dyDescent="0.45">
      <c r="A313" s="727" t="s">
        <v>729</v>
      </c>
      <c r="B313" s="1685"/>
      <c r="C313" s="1685"/>
      <c r="D313" s="1685"/>
      <c r="E313" s="1685"/>
      <c r="F313" s="1685"/>
      <c r="G313" s="1685"/>
      <c r="H313" s="1685"/>
      <c r="I313" s="1685"/>
      <c r="J313" s="1685"/>
      <c r="K313" s="1685"/>
      <c r="L313" s="1685"/>
      <c r="M313" s="1685"/>
      <c r="N313" s="1685"/>
      <c r="O313" s="741"/>
      <c r="P313" s="741"/>
      <c r="Q313" s="741"/>
      <c r="R313" s="537"/>
    </row>
    <row r="314" spans="1:19" s="98" customFormat="1" ht="15" customHeight="1" x14ac:dyDescent="0.35">
      <c r="A314" s="263"/>
      <c r="B314"/>
      <c r="C314"/>
      <c r="D314"/>
      <c r="E314"/>
      <c r="F314"/>
      <c r="G314"/>
      <c r="H314"/>
      <c r="I314"/>
      <c r="J314"/>
      <c r="K314"/>
      <c r="L314"/>
      <c r="M314"/>
      <c r="N314"/>
      <c r="R314" s="315"/>
    </row>
    <row r="315" spans="1:19" s="98" customFormat="1" ht="15" customHeight="1" x14ac:dyDescent="0.35">
      <c r="A315" s="263"/>
      <c r="B315" s="2653" t="s">
        <v>730</v>
      </c>
      <c r="C315" s="2653"/>
      <c r="D315" s="2653"/>
      <c r="E315" s="2653"/>
      <c r="F315" s="2653"/>
      <c r="G315" s="2653"/>
      <c r="H315" s="2653"/>
      <c r="I315" s="2653"/>
      <c r="J315" s="2653"/>
      <c r="K315" s="2653"/>
      <c r="L315" s="2653"/>
      <c r="M315" s="2654"/>
      <c r="N315" s="1733" t="str">
        <f>IF(AND(ISNUMBER(N311), ISNUMBER(N46)), IF(O267&gt;0, N46/N311, ""), "")</f>
        <v/>
      </c>
      <c r="O315" s="1697"/>
      <c r="P315" s="1698"/>
      <c r="Q315" s="1699"/>
      <c r="R315" s="315"/>
    </row>
    <row r="316" spans="1:19" ht="15" customHeight="1" x14ac:dyDescent="0.35">
      <c r="A316" s="729"/>
      <c r="B316" s="388"/>
      <c r="C316" s="388"/>
      <c r="D316" s="388"/>
      <c r="E316" s="388"/>
      <c r="F316" s="388"/>
      <c r="G316" s="388"/>
      <c r="H316" s="388"/>
      <c r="I316" s="388"/>
      <c r="J316" s="388"/>
      <c r="K316" s="388"/>
      <c r="L316" s="388"/>
      <c r="M316" s="388"/>
      <c r="N316" s="388"/>
      <c r="O316" s="388"/>
      <c r="P316" s="388"/>
      <c r="Q316" s="388"/>
      <c r="R316" s="875"/>
      <c r="S316" s="275"/>
    </row>
  </sheetData>
  <sheetProtection algorithmName="SHA-512" hashValue="3K13516OfkkOELdp/hYrPJQCCnmsMkF/ZrSFhfa/mjMjjZppSffnqK/B6bMtHW8dd+8n5mlYj9SsxiZFdkwySw==" saltValue="PJoi5AsyOUv2seeL7odFdw==" spinCount="100000" sheet="1" objects="1" scenarios="1"/>
  <mergeCells count="12">
    <mergeCell ref="B315:M315"/>
    <mergeCell ref="O4:Q4"/>
    <mergeCell ref="K4:N4"/>
    <mergeCell ref="E4:H4"/>
    <mergeCell ref="C20:C22"/>
    <mergeCell ref="C30:C32"/>
    <mergeCell ref="C4:C5"/>
    <mergeCell ref="B51:B52"/>
    <mergeCell ref="O51:Q51"/>
    <mergeCell ref="K51:N51"/>
    <mergeCell ref="E51:H51"/>
    <mergeCell ref="C51:C52"/>
  </mergeCells>
  <phoneticPr fontId="9" type="noConversion"/>
  <conditionalFormatting sqref="A1:R3 R4 A5:B5 D5:G5 A4:E4 I4:K4 O4 A6 H6:I6 I5 A7:I7 A8:F8 H8:I8 S1:S12 C17:S18 C13:S14 A9:A18 J37:L37 N37:S37 J38:S44 J45 R45:S45 A47:I47 A46 C46:I46 A23:A27 A21:B22 A33 C9:I9 D21:S22 A30:D30 A37:I45 A19:D20 H10:I10 C25:G25 I25:M25 A31:B32 D31:S32 H19:S19 H20:J20 O20:S20 O25:S25 J16:S16 C15:G15 I15:M15 O15:S15 H30:J30 N30:S30 J46:S50 J5:R12 A35:S36 A51:A52 O52:S52 O51 R51:S51 A50:I50 B48:I49 A59:A67 A69:A73 A76:A81 A86:A90 A95:A99 A106 C106:S106 A114:A118 A123:A127 A132:A136 C123:G127 C132:G136 A150:A154 C150:G154 A160:A164 C160:G160 C161:F164 I160:M160 I150:M150 I132:M132 I123:M123 A169:A173 A178:A182 C178:G182 I178:M178 A196 A187:A191 C214:G218 I214:M214 C223:G227 I223:M223 I241:M241 A250:A254 C250:G254 I250:M250 A259:A263 C259:G263 E260:G265 A268:A272 C268:G272 I268:M272 A277:A283 B289:S289 A291:A302 A316:S1048576 A312:S312 A54:H56 C60:H67 A68:H68 C69:G69 C86:G90 C95:G99 C114:G118 C169:G173 C187:G191 C196:G200 C241:G245 C277:G277 I277:M277 C280:G281 I281:M281 C283:G283 I283:M283 C59:G59 C76:G81 I86:M86 I95:M95 I114:M114 I169:M169 I187:M187 I196:M196 A290:C290 C291:C305 H303:S304 I305:M305 H290:H296 H298:H302 A311 A58:S58 I59:M59 O59:S59 O54:S56 K54:M56 I60:S68 I69:M69 O69:S69 C70:S73 I76:M81 O76:S81 I87:J90 O86:S90 I96:J99 O95:S99 O114:S118 I115:J118 I124:J127 O123:S127 O132:S136 I133:J136 I151:J154 O150:S154 I161:J164 O160:S161 R162:S164 O162:Q166 O174:P175 I170:J173 M170:M173 O169:S173 I179:J182 M179:M182 O178:S182 O183:P184 O187:S191 I188:J191 O192:Q193 I197:J200 O196:S200 O201:Q202 O214:S218 I215:J218 M215:M218 O219:P220 I224:J227 O223:S227 O228:Q229 I242:J245 O241:S245 I251:J254 O250:S254 O255:Q256 I259:M263 O259:S263 O273:P274 O268:S272 A285:G285 I285:M285 O277:S277 O283:S283 O285:S285 C278:S279 C282:S282 I280:J280 O280:S281 N290:O290 K291:O296 O305:S305 K298:O302 K297:M297 O297 R290:S302 R311:S311 C311:N311 A284:S284 C11:I14 C16:I18 C23:S24 C26:S27 C33:S33">
    <cfRule type="cellIs" dxfId="10081" priority="1692" stopIfTrue="1" operator="equal">
      <formula>"Please check"</formula>
    </cfRule>
    <cfRule type="cellIs" dxfId="10080" priority="1723" stopIfTrue="1" operator="equal">
      <formula>"Pass"</formula>
    </cfRule>
    <cfRule type="cellIs" dxfId="10079" priority="1727" stopIfTrue="1" operator="equal">
      <formula>"Fail"</formula>
    </cfRule>
  </conditionalFormatting>
  <conditionalFormatting sqref="A197:A200 A214:A218 A223:A227 A241:A245">
    <cfRule type="cellIs" dxfId="10078" priority="1690" stopIfTrue="1" operator="equal">
      <formula>"Pass"</formula>
    </cfRule>
    <cfRule type="cellIs" dxfId="10077" priority="1691" stopIfTrue="1" operator="equal">
      <formula>"Fail"</formula>
    </cfRule>
  </conditionalFormatting>
  <conditionalFormatting sqref="B6">
    <cfRule type="cellIs" dxfId="10076" priority="1684" stopIfTrue="1" operator="equal">
      <formula>"Please check"</formula>
    </cfRule>
    <cfRule type="cellIs" dxfId="10075" priority="1685" stopIfTrue="1" operator="equal">
      <formula>"Pass"</formula>
    </cfRule>
    <cfRule type="cellIs" dxfId="10074" priority="1686" stopIfTrue="1" operator="equal">
      <formula>"Fail"</formula>
    </cfRule>
  </conditionalFormatting>
  <conditionalFormatting sqref="E6:G6 C6">
    <cfRule type="cellIs" dxfId="10073" priority="1681" stopIfTrue="1" operator="equal">
      <formula>"Please check"</formula>
    </cfRule>
    <cfRule type="cellIs" dxfId="10072" priority="1682" stopIfTrue="1" operator="equal">
      <formula>"Pass"</formula>
    </cfRule>
    <cfRule type="cellIs" dxfId="10071" priority="1683" stopIfTrue="1" operator="equal">
      <formula>"Fail"</formula>
    </cfRule>
  </conditionalFormatting>
  <conditionalFormatting sqref="D6">
    <cfRule type="cellIs" dxfId="10070" priority="1678" stopIfTrue="1" operator="equal">
      <formula>"Please check"</formula>
    </cfRule>
    <cfRule type="cellIs" dxfId="10069" priority="1679" stopIfTrue="1" operator="equal">
      <formula>"Pass"</formula>
    </cfRule>
    <cfRule type="cellIs" dxfId="10068" priority="1680" stopIfTrue="1" operator="equal">
      <formula>"Fail"</formula>
    </cfRule>
  </conditionalFormatting>
  <conditionalFormatting sqref="B9">
    <cfRule type="cellIs" dxfId="10067" priority="1675" stopIfTrue="1" operator="equal">
      <formula>"Please check"</formula>
    </cfRule>
    <cfRule type="cellIs" dxfId="10066" priority="1676" stopIfTrue="1" operator="equal">
      <formula>"Pass"</formula>
    </cfRule>
    <cfRule type="cellIs" dxfId="10065" priority="1677" stopIfTrue="1" operator="equal">
      <formula>"Fail"</formula>
    </cfRule>
  </conditionalFormatting>
  <conditionalFormatting sqref="E10:G10 B10:C10">
    <cfRule type="cellIs" dxfId="10064" priority="1672" stopIfTrue="1" operator="equal">
      <formula>"Please check"</formula>
    </cfRule>
    <cfRule type="cellIs" dxfId="10063" priority="1673" stopIfTrue="1" operator="equal">
      <formula>"Pass"</formula>
    </cfRule>
    <cfRule type="cellIs" dxfId="10062" priority="1674" stopIfTrue="1" operator="equal">
      <formula>"Fail"</formula>
    </cfRule>
  </conditionalFormatting>
  <conditionalFormatting sqref="D10">
    <cfRule type="cellIs" dxfId="10061" priority="1669" stopIfTrue="1" operator="equal">
      <formula>"Please check"</formula>
    </cfRule>
    <cfRule type="cellIs" dxfId="10060" priority="1670" stopIfTrue="1" operator="equal">
      <formula>"Pass"</formula>
    </cfRule>
    <cfRule type="cellIs" dxfId="10059" priority="1671" stopIfTrue="1" operator="equal">
      <formula>"Fail"</formula>
    </cfRule>
  </conditionalFormatting>
  <conditionalFormatting sqref="H5">
    <cfRule type="cellIs" dxfId="10058" priority="1666" stopIfTrue="1" operator="equal">
      <formula>"Please check"</formula>
    </cfRule>
    <cfRule type="cellIs" dxfId="10057" priority="1667" stopIfTrue="1" operator="equal">
      <formula>"Pass"</formula>
    </cfRule>
    <cfRule type="cellIs" dxfId="10056" priority="1668" stopIfTrue="1" operator="equal">
      <formula>"Fail"</formula>
    </cfRule>
  </conditionalFormatting>
  <conditionalFormatting sqref="B15">
    <cfRule type="cellIs" dxfId="10055" priority="1660" stopIfTrue="1" operator="equal">
      <formula>"Please check"</formula>
    </cfRule>
    <cfRule type="cellIs" dxfId="10054" priority="1661" stopIfTrue="1" operator="equal">
      <formula>"Pass"</formula>
    </cfRule>
    <cfRule type="cellIs" dxfId="10053" priority="1662" stopIfTrue="1" operator="equal">
      <formula>"Fail"</formula>
    </cfRule>
  </conditionalFormatting>
  <conditionalFormatting sqref="B11:B14">
    <cfRule type="cellIs" dxfId="10052" priority="1648" stopIfTrue="1" operator="equal">
      <formula>"Please check"</formula>
    </cfRule>
    <cfRule type="cellIs" dxfId="10051" priority="1649" stopIfTrue="1" operator="equal">
      <formula>"Pass"</formula>
    </cfRule>
    <cfRule type="cellIs" dxfId="10050" priority="1650" stopIfTrue="1" operator="equal">
      <formula>"Fail"</formula>
    </cfRule>
  </conditionalFormatting>
  <conditionalFormatting sqref="B16:B18">
    <cfRule type="cellIs" dxfId="10049" priority="1654" stopIfTrue="1" operator="equal">
      <formula>"Please check"</formula>
    </cfRule>
    <cfRule type="cellIs" dxfId="10048" priority="1655" stopIfTrue="1" operator="equal">
      <formula>"Pass"</formula>
    </cfRule>
    <cfRule type="cellIs" dxfId="10047" priority="1656" stopIfTrue="1" operator="equal">
      <formula>"Fail"</formula>
    </cfRule>
  </conditionalFormatting>
  <conditionalFormatting sqref="B25:B27">
    <cfRule type="cellIs" dxfId="10046" priority="1645" stopIfTrue="1" operator="equal">
      <formula>"Please check"</formula>
    </cfRule>
    <cfRule type="cellIs" dxfId="10045" priority="1646" stopIfTrue="1" operator="equal">
      <formula>"Pass"</formula>
    </cfRule>
    <cfRule type="cellIs" dxfId="10044" priority="1647" stopIfTrue="1" operator="equal">
      <formula>"Fail"</formula>
    </cfRule>
  </conditionalFormatting>
  <conditionalFormatting sqref="M37">
    <cfRule type="cellIs" dxfId="10043" priority="1642" stopIfTrue="1" operator="equal">
      <formula>"Please check"</formula>
    </cfRule>
    <cfRule type="cellIs" dxfId="10042" priority="1643" stopIfTrue="1" operator="equal">
      <formula>"Pass"</formula>
    </cfRule>
    <cfRule type="cellIs" dxfId="10041" priority="1644" stopIfTrue="1" operator="equal">
      <formula>"Fail"</formula>
    </cfRule>
  </conditionalFormatting>
  <conditionalFormatting sqref="B46">
    <cfRule type="cellIs" dxfId="10040" priority="1639" stopIfTrue="1" operator="equal">
      <formula>"Please check"</formula>
    </cfRule>
    <cfRule type="cellIs" dxfId="10039" priority="1640" stopIfTrue="1" operator="equal">
      <formula>"Pass"</formula>
    </cfRule>
    <cfRule type="cellIs" dxfId="10038" priority="1641" stopIfTrue="1" operator="equal">
      <formula>"Fail"</formula>
    </cfRule>
  </conditionalFormatting>
  <conditionalFormatting sqref="G8">
    <cfRule type="cellIs" dxfId="10037" priority="1597" stopIfTrue="1" operator="equal">
      <formula>"Please check"</formula>
    </cfRule>
    <cfRule type="cellIs" dxfId="10036" priority="1598" stopIfTrue="1" operator="equal">
      <formula>"Pass"</formula>
    </cfRule>
    <cfRule type="cellIs" dxfId="10035" priority="1599" stopIfTrue="1" operator="equal">
      <formula>"Fail"</formula>
    </cfRule>
  </conditionalFormatting>
  <conditionalFormatting sqref="B23:B24">
    <cfRule type="cellIs" dxfId="10034" priority="1633" stopIfTrue="1" operator="equal">
      <formula>"Please check"</formula>
    </cfRule>
    <cfRule type="cellIs" dxfId="10033" priority="1634" stopIfTrue="1" operator="equal">
      <formula>"Pass"</formula>
    </cfRule>
    <cfRule type="cellIs" dxfId="10032" priority="1635" stopIfTrue="1" operator="equal">
      <formula>"Fail"</formula>
    </cfRule>
  </conditionalFormatting>
  <conditionalFormatting sqref="A28:A29 C28:S28 O29:S29">
    <cfRule type="cellIs" dxfId="10031" priority="1630" stopIfTrue="1" operator="equal">
      <formula>"Please check"</formula>
    </cfRule>
    <cfRule type="cellIs" dxfId="10030" priority="1631" stopIfTrue="1" operator="equal">
      <formula>"Pass"</formula>
    </cfRule>
    <cfRule type="cellIs" dxfId="10029" priority="1632" stopIfTrue="1" operator="equal">
      <formula>"Fail"</formula>
    </cfRule>
  </conditionalFormatting>
  <conditionalFormatting sqref="B28">
    <cfRule type="cellIs" dxfId="10028" priority="1627" stopIfTrue="1" operator="equal">
      <formula>"Please check"</formula>
    </cfRule>
    <cfRule type="cellIs" dxfId="10027" priority="1628" stopIfTrue="1" operator="equal">
      <formula>"Pass"</formula>
    </cfRule>
    <cfRule type="cellIs" dxfId="10026" priority="1629" stopIfTrue="1" operator="equal">
      <formula>"Fail"</formula>
    </cfRule>
  </conditionalFormatting>
  <conditionalFormatting sqref="I29:M29">
    <cfRule type="cellIs" dxfId="10025" priority="1624" stopIfTrue="1" operator="equal">
      <formula>"Please check"</formula>
    </cfRule>
    <cfRule type="cellIs" dxfId="10024" priority="1625" stopIfTrue="1" operator="equal">
      <formula>"Pass"</formula>
    </cfRule>
    <cfRule type="cellIs" dxfId="10023" priority="1626" stopIfTrue="1" operator="equal">
      <formula>"Fail"</formula>
    </cfRule>
  </conditionalFormatting>
  <conditionalFormatting sqref="C29 E29:G29">
    <cfRule type="cellIs" dxfId="10022" priority="1621" stopIfTrue="1" operator="equal">
      <formula>"Please check"</formula>
    </cfRule>
    <cfRule type="cellIs" dxfId="10021" priority="1622" stopIfTrue="1" operator="equal">
      <formula>"Pass"</formula>
    </cfRule>
    <cfRule type="cellIs" dxfId="10020" priority="1623" stopIfTrue="1" operator="equal">
      <formula>"Fail"</formula>
    </cfRule>
  </conditionalFormatting>
  <conditionalFormatting sqref="D29">
    <cfRule type="cellIs" dxfId="10019" priority="1618" stopIfTrue="1" operator="equal">
      <formula>"Please check"</formula>
    </cfRule>
    <cfRule type="cellIs" dxfId="10018" priority="1619" stopIfTrue="1" operator="equal">
      <formula>"Pass"</formula>
    </cfRule>
    <cfRule type="cellIs" dxfId="10017" priority="1620" stopIfTrue="1" operator="equal">
      <formula>"Fail"</formula>
    </cfRule>
  </conditionalFormatting>
  <conditionalFormatting sqref="A34 C34:S34">
    <cfRule type="cellIs" dxfId="10016" priority="1603" stopIfTrue="1" operator="equal">
      <formula>"Please check"</formula>
    </cfRule>
    <cfRule type="cellIs" dxfId="10015" priority="1604" stopIfTrue="1" operator="equal">
      <formula>"Pass"</formula>
    </cfRule>
    <cfRule type="cellIs" dxfId="10014" priority="1605" stopIfTrue="1" operator="equal">
      <formula>"Fail"</formula>
    </cfRule>
  </conditionalFormatting>
  <conditionalFormatting sqref="N25">
    <cfRule type="cellIs" dxfId="10013" priority="1555" stopIfTrue="1" operator="equal">
      <formula>"Please check"</formula>
    </cfRule>
    <cfRule type="cellIs" dxfId="10012" priority="1556" stopIfTrue="1" operator="equal">
      <formula>"Pass"</formula>
    </cfRule>
    <cfRule type="cellIs" dxfId="10011" priority="1557" stopIfTrue="1" operator="equal">
      <formula>"Fail"</formula>
    </cfRule>
  </conditionalFormatting>
  <conditionalFormatting sqref="B29">
    <cfRule type="cellIs" dxfId="10010" priority="1609" stopIfTrue="1" operator="equal">
      <formula>"Please check"</formula>
    </cfRule>
    <cfRule type="cellIs" dxfId="10009" priority="1610" stopIfTrue="1" operator="equal">
      <formula>"Pass"</formula>
    </cfRule>
    <cfRule type="cellIs" dxfId="10008" priority="1611" stopIfTrue="1" operator="equal">
      <formula>"Fail"</formula>
    </cfRule>
  </conditionalFormatting>
  <conditionalFormatting sqref="B33">
    <cfRule type="cellIs" dxfId="10007" priority="1606" stopIfTrue="1" operator="equal">
      <formula>"Please check"</formula>
    </cfRule>
    <cfRule type="cellIs" dxfId="10006" priority="1607" stopIfTrue="1" operator="equal">
      <formula>"Pass"</formula>
    </cfRule>
    <cfRule type="cellIs" dxfId="10005" priority="1608" stopIfTrue="1" operator="equal">
      <formula>"Fail"</formula>
    </cfRule>
  </conditionalFormatting>
  <conditionalFormatting sqref="M30">
    <cfRule type="cellIs" dxfId="10004" priority="1537" stopIfTrue="1" operator="equal">
      <formula>"Please check"</formula>
    </cfRule>
    <cfRule type="cellIs" dxfId="10003" priority="1538" stopIfTrue="1" operator="equal">
      <formula>"Pass"</formula>
    </cfRule>
    <cfRule type="cellIs" dxfId="10002" priority="1539" stopIfTrue="1" operator="equal">
      <formula>"Fail"</formula>
    </cfRule>
  </conditionalFormatting>
  <conditionalFormatting sqref="B34">
    <cfRule type="cellIs" dxfId="10001" priority="1600" stopIfTrue="1" operator="equal">
      <formula>"Please check"</formula>
    </cfRule>
    <cfRule type="cellIs" dxfId="10000" priority="1601" stopIfTrue="1" operator="equal">
      <formula>"Pass"</formula>
    </cfRule>
    <cfRule type="cellIs" dxfId="9999" priority="1602" stopIfTrue="1" operator="equal">
      <formula>"Fail"</formula>
    </cfRule>
  </conditionalFormatting>
  <conditionalFormatting sqref="H25">
    <cfRule type="cellIs" dxfId="9998" priority="1588" stopIfTrue="1" operator="equal">
      <formula>"Please check"</formula>
    </cfRule>
    <cfRule type="cellIs" dxfId="9997" priority="1589" stopIfTrue="1" operator="equal">
      <formula>"Pass"</formula>
    </cfRule>
    <cfRule type="cellIs" dxfId="9996" priority="1590" stopIfTrue="1" operator="equal">
      <formula>"Fail"</formula>
    </cfRule>
  </conditionalFormatting>
  <conditionalFormatting sqref="E19:G19">
    <cfRule type="cellIs" dxfId="9995" priority="1594" stopIfTrue="1" operator="equal">
      <formula>"Please check"</formula>
    </cfRule>
    <cfRule type="cellIs" dxfId="9994" priority="1595" stopIfTrue="1" operator="equal">
      <formula>"Pass"</formula>
    </cfRule>
    <cfRule type="cellIs" dxfId="9993" priority="1596" stopIfTrue="1" operator="equal">
      <formula>"Fail"</formula>
    </cfRule>
  </conditionalFormatting>
  <conditionalFormatting sqref="H29">
    <cfRule type="cellIs" dxfId="9992" priority="1591" stopIfTrue="1" operator="equal">
      <formula>"Please check"</formula>
    </cfRule>
    <cfRule type="cellIs" dxfId="9991" priority="1592" stopIfTrue="1" operator="equal">
      <formula>"Pass"</formula>
    </cfRule>
    <cfRule type="cellIs" dxfId="9990" priority="1593" stopIfTrue="1" operator="equal">
      <formula>"Fail"</formula>
    </cfRule>
  </conditionalFormatting>
  <conditionalFormatting sqref="E20">
    <cfRule type="cellIs" dxfId="9989" priority="1585" stopIfTrue="1" operator="equal">
      <formula>"Please check"</formula>
    </cfRule>
    <cfRule type="cellIs" dxfId="9988" priority="1586" stopIfTrue="1" operator="equal">
      <formula>"Pass"</formula>
    </cfRule>
    <cfRule type="cellIs" dxfId="9987" priority="1587" stopIfTrue="1" operator="equal">
      <formula>"Fail"</formula>
    </cfRule>
  </conditionalFormatting>
  <conditionalFormatting sqref="F20">
    <cfRule type="cellIs" dxfId="9986" priority="1582" stopIfTrue="1" operator="equal">
      <formula>"Please check"</formula>
    </cfRule>
    <cfRule type="cellIs" dxfId="9985" priority="1583" stopIfTrue="1" operator="equal">
      <formula>"Pass"</formula>
    </cfRule>
    <cfRule type="cellIs" dxfId="9984" priority="1584" stopIfTrue="1" operator="equal">
      <formula>"Fail"</formula>
    </cfRule>
  </conditionalFormatting>
  <conditionalFormatting sqref="G20">
    <cfRule type="cellIs" dxfId="9983" priority="1579" stopIfTrue="1" operator="equal">
      <formula>"Please check"</formula>
    </cfRule>
    <cfRule type="cellIs" dxfId="9982" priority="1580" stopIfTrue="1" operator="equal">
      <formula>"Pass"</formula>
    </cfRule>
    <cfRule type="cellIs" dxfId="9981" priority="1581" stopIfTrue="1" operator="equal">
      <formula>"Fail"</formula>
    </cfRule>
  </conditionalFormatting>
  <conditionalFormatting sqref="E30">
    <cfRule type="cellIs" dxfId="9980" priority="1576" stopIfTrue="1" operator="equal">
      <formula>"Please check"</formula>
    </cfRule>
    <cfRule type="cellIs" dxfId="9979" priority="1577" stopIfTrue="1" operator="equal">
      <formula>"Pass"</formula>
    </cfRule>
    <cfRule type="cellIs" dxfId="9978" priority="1578" stopIfTrue="1" operator="equal">
      <formula>"Fail"</formula>
    </cfRule>
  </conditionalFormatting>
  <conditionalFormatting sqref="F30">
    <cfRule type="cellIs" dxfId="9977" priority="1573" stopIfTrue="1" operator="equal">
      <formula>"Please check"</formula>
    </cfRule>
    <cfRule type="cellIs" dxfId="9976" priority="1574" stopIfTrue="1" operator="equal">
      <formula>"Pass"</formula>
    </cfRule>
    <cfRule type="cellIs" dxfId="9975" priority="1575" stopIfTrue="1" operator="equal">
      <formula>"Fail"</formula>
    </cfRule>
  </conditionalFormatting>
  <conditionalFormatting sqref="G30">
    <cfRule type="cellIs" dxfId="9974" priority="1570" stopIfTrue="1" operator="equal">
      <formula>"Please check"</formula>
    </cfRule>
    <cfRule type="cellIs" dxfId="9973" priority="1571" stopIfTrue="1" operator="equal">
      <formula>"Pass"</formula>
    </cfRule>
    <cfRule type="cellIs" dxfId="9972" priority="1572" stopIfTrue="1" operator="equal">
      <formula>"Fail"</formula>
    </cfRule>
  </conditionalFormatting>
  <conditionalFormatting sqref="N20">
    <cfRule type="cellIs" dxfId="9971" priority="1567" stopIfTrue="1" operator="equal">
      <formula>"Please check"</formula>
    </cfRule>
    <cfRule type="cellIs" dxfId="9970" priority="1568" stopIfTrue="1" operator="equal">
      <formula>"Pass"</formula>
    </cfRule>
    <cfRule type="cellIs" dxfId="9969" priority="1569" stopIfTrue="1" operator="equal">
      <formula>"Fail"</formula>
    </cfRule>
  </conditionalFormatting>
  <conditionalFormatting sqref="K20">
    <cfRule type="cellIs" dxfId="9968" priority="1564" stopIfTrue="1" operator="equal">
      <formula>"Please check"</formula>
    </cfRule>
    <cfRule type="cellIs" dxfId="9967" priority="1565" stopIfTrue="1" operator="equal">
      <formula>"Pass"</formula>
    </cfRule>
    <cfRule type="cellIs" dxfId="9966" priority="1566" stopIfTrue="1" operator="equal">
      <formula>"Fail"</formula>
    </cfRule>
  </conditionalFormatting>
  <conditionalFormatting sqref="L20">
    <cfRule type="cellIs" dxfId="9965" priority="1561" stopIfTrue="1" operator="equal">
      <formula>"Please check"</formula>
    </cfRule>
    <cfRule type="cellIs" dxfId="9964" priority="1562" stopIfTrue="1" operator="equal">
      <formula>"Pass"</formula>
    </cfRule>
    <cfRule type="cellIs" dxfId="9963" priority="1563" stopIfTrue="1" operator="equal">
      <formula>"Fail"</formula>
    </cfRule>
  </conditionalFormatting>
  <conditionalFormatting sqref="M20">
    <cfRule type="cellIs" dxfId="9962" priority="1558" stopIfTrue="1" operator="equal">
      <formula>"Please check"</formula>
    </cfRule>
    <cfRule type="cellIs" dxfId="9961" priority="1559" stopIfTrue="1" operator="equal">
      <formula>"Pass"</formula>
    </cfRule>
    <cfRule type="cellIs" dxfId="9960" priority="1560" stopIfTrue="1" operator="equal">
      <formula>"Fail"</formula>
    </cfRule>
  </conditionalFormatting>
  <conditionalFormatting sqref="H15">
    <cfRule type="cellIs" dxfId="9959" priority="1552" stopIfTrue="1" operator="equal">
      <formula>"Please check"</formula>
    </cfRule>
    <cfRule type="cellIs" dxfId="9958" priority="1553" stopIfTrue="1" operator="equal">
      <formula>"Pass"</formula>
    </cfRule>
    <cfRule type="cellIs" dxfId="9957" priority="1554" stopIfTrue="1" operator="equal">
      <formula>"Fail"</formula>
    </cfRule>
  </conditionalFormatting>
  <conditionalFormatting sqref="N15">
    <cfRule type="cellIs" dxfId="9956" priority="1549" stopIfTrue="1" operator="equal">
      <formula>"Please check"</formula>
    </cfRule>
    <cfRule type="cellIs" dxfId="9955" priority="1550" stopIfTrue="1" operator="equal">
      <formula>"Pass"</formula>
    </cfRule>
    <cfRule type="cellIs" dxfId="9954" priority="1551" stopIfTrue="1" operator="equal">
      <formula>"Fail"</formula>
    </cfRule>
  </conditionalFormatting>
  <conditionalFormatting sqref="N29">
    <cfRule type="cellIs" dxfId="9953" priority="1546" stopIfTrue="1" operator="equal">
      <formula>"Please check"</formula>
    </cfRule>
    <cfRule type="cellIs" dxfId="9952" priority="1547" stopIfTrue="1" operator="equal">
      <formula>"Pass"</formula>
    </cfRule>
    <cfRule type="cellIs" dxfId="9951" priority="1548" stopIfTrue="1" operator="equal">
      <formula>"Fail"</formula>
    </cfRule>
  </conditionalFormatting>
  <conditionalFormatting sqref="K30">
    <cfRule type="cellIs" dxfId="9950" priority="1543" stopIfTrue="1" operator="equal">
      <formula>"Please check"</formula>
    </cfRule>
    <cfRule type="cellIs" dxfId="9949" priority="1544" stopIfTrue="1" operator="equal">
      <formula>"Pass"</formula>
    </cfRule>
    <cfRule type="cellIs" dxfId="9948" priority="1545" stopIfTrue="1" operator="equal">
      <formula>"Fail"</formula>
    </cfRule>
  </conditionalFormatting>
  <conditionalFormatting sqref="L30">
    <cfRule type="cellIs" dxfId="9947" priority="1540" stopIfTrue="1" operator="equal">
      <formula>"Please check"</formula>
    </cfRule>
    <cfRule type="cellIs" dxfId="9946" priority="1541" stopIfTrue="1" operator="equal">
      <formula>"Pass"</formula>
    </cfRule>
    <cfRule type="cellIs" dxfId="9945" priority="1542" stopIfTrue="1" operator="equal">
      <formula>"Fail"</formula>
    </cfRule>
  </conditionalFormatting>
  <conditionalFormatting sqref="K52:N52 B51:B52 E52:G52">
    <cfRule type="cellIs" dxfId="9944" priority="1534" stopIfTrue="1" operator="equal">
      <formula>"Please check"</formula>
    </cfRule>
    <cfRule type="cellIs" dxfId="9943" priority="1535" stopIfTrue="1" operator="equal">
      <formula>"Pass"</formula>
    </cfRule>
    <cfRule type="cellIs" dxfId="9942" priority="1536" stopIfTrue="1" operator="equal">
      <formula>"Fail"</formula>
    </cfRule>
  </conditionalFormatting>
  <conditionalFormatting sqref="D51:D52">
    <cfRule type="cellIs" dxfId="9941" priority="1504" stopIfTrue="1" operator="equal">
      <formula>"Please check"</formula>
    </cfRule>
    <cfRule type="cellIs" dxfId="9940" priority="1505" stopIfTrue="1" operator="equal">
      <formula>"Pass"</formula>
    </cfRule>
    <cfRule type="cellIs" dxfId="9939" priority="1506" stopIfTrue="1" operator="equal">
      <formula>"Fail"</formula>
    </cfRule>
  </conditionalFormatting>
  <conditionalFormatting sqref="H52">
    <cfRule type="cellIs" dxfId="9938" priority="1519" stopIfTrue="1" operator="equal">
      <formula>"Please check"</formula>
    </cfRule>
    <cfRule type="cellIs" dxfId="9937" priority="1520" stopIfTrue="1" operator="equal">
      <formula>"Pass"</formula>
    </cfRule>
    <cfRule type="cellIs" dxfId="9936" priority="1521" stopIfTrue="1" operator="equal">
      <formula>"Fail"</formula>
    </cfRule>
  </conditionalFormatting>
  <conditionalFormatting sqref="E51">
    <cfRule type="cellIs" dxfId="9935" priority="1510" stopIfTrue="1" operator="equal">
      <formula>"Please check"</formula>
    </cfRule>
    <cfRule type="cellIs" dxfId="9934" priority="1511" stopIfTrue="1" operator="equal">
      <formula>"Pass"</formula>
    </cfRule>
    <cfRule type="cellIs" dxfId="9933" priority="1512" stopIfTrue="1" operator="equal">
      <formula>"Fail"</formula>
    </cfRule>
  </conditionalFormatting>
  <conditionalFormatting sqref="C51">
    <cfRule type="cellIs" dxfId="9932" priority="1507" stopIfTrue="1" operator="equal">
      <formula>"Please check"</formula>
    </cfRule>
    <cfRule type="cellIs" dxfId="9931" priority="1508" stopIfTrue="1" operator="equal">
      <formula>"Pass"</formula>
    </cfRule>
    <cfRule type="cellIs" dxfId="9930" priority="1509" stopIfTrue="1" operator="equal">
      <formula>"Fail"</formula>
    </cfRule>
  </conditionalFormatting>
  <conditionalFormatting sqref="K51">
    <cfRule type="cellIs" dxfId="9929" priority="1516" stopIfTrue="1" operator="equal">
      <formula>"Please check"</formula>
    </cfRule>
    <cfRule type="cellIs" dxfId="9928" priority="1517" stopIfTrue="1" operator="equal">
      <formula>"Pass"</formula>
    </cfRule>
    <cfRule type="cellIs" dxfId="9927" priority="1518" stopIfTrue="1" operator="equal">
      <formula>"Fail"</formula>
    </cfRule>
  </conditionalFormatting>
  <conditionalFormatting sqref="I51:J52">
    <cfRule type="cellIs" dxfId="9926" priority="1513" stopIfTrue="1" operator="equal">
      <formula>"Please check"</formula>
    </cfRule>
    <cfRule type="cellIs" dxfId="9925" priority="1514" stopIfTrue="1" operator="equal">
      <formula>"Pass"</formula>
    </cfRule>
    <cfRule type="cellIs" dxfId="9924" priority="1515" stopIfTrue="1" operator="equal">
      <formula>"Fail"</formula>
    </cfRule>
  </conditionalFormatting>
  <conditionalFormatting sqref="A48:A49">
    <cfRule type="cellIs" dxfId="9923" priority="1498" stopIfTrue="1" operator="equal">
      <formula>"Please check"</formula>
    </cfRule>
    <cfRule type="cellIs" dxfId="9922" priority="1499" stopIfTrue="1" operator="equal">
      <formula>"Pass"</formula>
    </cfRule>
    <cfRule type="cellIs" dxfId="9921" priority="1500" stopIfTrue="1" operator="equal">
      <formula>"Fail"</formula>
    </cfRule>
  </conditionalFormatting>
  <conditionalFormatting sqref="I53:M53 A53:G53 O53:XFD53">
    <cfRule type="cellIs" dxfId="9920" priority="1495" stopIfTrue="1" operator="equal">
      <formula>"Please check"</formula>
    </cfRule>
    <cfRule type="cellIs" dxfId="9919" priority="1496" stopIfTrue="1" operator="equal">
      <formula>"Pass"</formula>
    </cfRule>
    <cfRule type="cellIs" dxfId="9918" priority="1497" stopIfTrue="1" operator="equal">
      <formula>"Fail"</formula>
    </cfRule>
  </conditionalFormatting>
  <conditionalFormatting sqref="I54:J56">
    <cfRule type="cellIs" dxfId="9917" priority="1501" stopIfTrue="1" operator="equal">
      <formula>"Please check"</formula>
    </cfRule>
    <cfRule type="cellIs" dxfId="9916" priority="1502" stopIfTrue="1" operator="equal">
      <formula>"Pass"</formula>
    </cfRule>
    <cfRule type="cellIs" dxfId="9915" priority="1503" stopIfTrue="1" operator="equal">
      <formula>"Fail"</formula>
    </cfRule>
  </conditionalFormatting>
  <conditionalFormatting sqref="E57:G57">
    <cfRule type="cellIs" dxfId="9914" priority="1483" stopIfTrue="1" operator="equal">
      <formula>"Please check"</formula>
    </cfRule>
    <cfRule type="cellIs" dxfId="9913" priority="1484" stopIfTrue="1" operator="equal">
      <formula>"Pass"</formula>
    </cfRule>
    <cfRule type="cellIs" dxfId="9912" priority="1485" stopIfTrue="1" operator="equal">
      <formula>"Fail"</formula>
    </cfRule>
  </conditionalFormatting>
  <conditionalFormatting sqref="A104:A105 C104:S105">
    <cfRule type="cellIs" dxfId="9911" priority="1354" stopIfTrue="1" operator="equal">
      <formula>"Please check"</formula>
    </cfRule>
    <cfRule type="cellIs" dxfId="9910" priority="1355" stopIfTrue="1" operator="equal">
      <formula>"Pass"</formula>
    </cfRule>
    <cfRule type="cellIs" dxfId="9909" priority="1356" stopIfTrue="1" operator="equal">
      <formula>"Fail"</formula>
    </cfRule>
  </conditionalFormatting>
  <conditionalFormatting sqref="A57:B57 R57:XFD57 E57:G57">
    <cfRule type="cellIs" dxfId="9908" priority="1486" stopIfTrue="1" operator="equal">
      <formula>"Please check"</formula>
    </cfRule>
    <cfRule type="cellIs" dxfId="9907" priority="1487" stopIfTrue="1" operator="equal">
      <formula>"Pass"</formula>
    </cfRule>
    <cfRule type="cellIs" dxfId="9906" priority="1488" stopIfTrue="1" operator="equal">
      <formula>"Fail"</formula>
    </cfRule>
  </conditionalFormatting>
  <conditionalFormatting sqref="C57:D57">
    <cfRule type="cellIs" dxfId="9905" priority="1462" stopIfTrue="1" operator="equal">
      <formula>"Please check"</formula>
    </cfRule>
    <cfRule type="cellIs" dxfId="9904" priority="1463" stopIfTrue="1" operator="equal">
      <formula>"Pass"</formula>
    </cfRule>
    <cfRule type="cellIs" dxfId="9903" priority="1464" stopIfTrue="1" operator="equal">
      <formula>"Fail"</formula>
    </cfRule>
  </conditionalFormatting>
  <conditionalFormatting sqref="I57:J57">
    <cfRule type="cellIs" dxfId="9902" priority="1465" stopIfTrue="1" operator="equal">
      <formula>"Please check"</formula>
    </cfRule>
    <cfRule type="cellIs" dxfId="9901" priority="1466" stopIfTrue="1" operator="equal">
      <formula>"Pass"</formula>
    </cfRule>
    <cfRule type="cellIs" dxfId="9900" priority="1467" stopIfTrue="1" operator="equal">
      <formula>"Fail"</formula>
    </cfRule>
  </conditionalFormatting>
  <conditionalFormatting sqref="O57:Q57">
    <cfRule type="cellIs" dxfId="9899" priority="1459" stopIfTrue="1" operator="equal">
      <formula>"Please check"</formula>
    </cfRule>
    <cfRule type="cellIs" dxfId="9898" priority="1460" stopIfTrue="1" operator="equal">
      <formula>"Pass"</formula>
    </cfRule>
    <cfRule type="cellIs" dxfId="9897" priority="1461" stopIfTrue="1" operator="equal">
      <formula>"Fail"</formula>
    </cfRule>
  </conditionalFormatting>
  <conditionalFormatting sqref="B59:B65">
    <cfRule type="cellIs" dxfId="9896" priority="1456" stopIfTrue="1" operator="equal">
      <formula>"Please check"</formula>
    </cfRule>
    <cfRule type="cellIs" dxfId="9895" priority="1457" stopIfTrue="1" operator="equal">
      <formula>"Pass"</formula>
    </cfRule>
    <cfRule type="cellIs" dxfId="9894" priority="1458" stopIfTrue="1" operator="equal">
      <formula>"Fail"</formula>
    </cfRule>
  </conditionalFormatting>
  <conditionalFormatting sqref="B67">
    <cfRule type="cellIs" dxfId="9893" priority="1450" stopIfTrue="1" operator="equal">
      <formula>"Please check"</formula>
    </cfRule>
    <cfRule type="cellIs" dxfId="9892" priority="1451" stopIfTrue="1" operator="equal">
      <formula>"Pass"</formula>
    </cfRule>
    <cfRule type="cellIs" dxfId="9891" priority="1452" stopIfTrue="1" operator="equal">
      <formula>"Fail"</formula>
    </cfRule>
  </conditionalFormatting>
  <conditionalFormatting sqref="B66">
    <cfRule type="cellIs" dxfId="9890" priority="1453" stopIfTrue="1" operator="equal">
      <formula>"Please check"</formula>
    </cfRule>
    <cfRule type="cellIs" dxfId="9889" priority="1454" stopIfTrue="1" operator="equal">
      <formula>"Pass"</formula>
    </cfRule>
    <cfRule type="cellIs" dxfId="9888" priority="1455" stopIfTrue="1" operator="equal">
      <formula>"Fail"</formula>
    </cfRule>
  </conditionalFormatting>
  <conditionalFormatting sqref="A74:A75 C74:S75">
    <cfRule type="cellIs" dxfId="9887" priority="1447" stopIfTrue="1" operator="equal">
      <formula>"Please check"</formula>
    </cfRule>
    <cfRule type="cellIs" dxfId="9886" priority="1448" stopIfTrue="1" operator="equal">
      <formula>"Pass"</formula>
    </cfRule>
    <cfRule type="cellIs" dxfId="9885" priority="1449" stopIfTrue="1" operator="equal">
      <formula>"Fail"</formula>
    </cfRule>
  </conditionalFormatting>
  <conditionalFormatting sqref="B75">
    <cfRule type="cellIs" dxfId="9884" priority="1432" stopIfTrue="1" operator="equal">
      <formula>"Please check"</formula>
    </cfRule>
    <cfRule type="cellIs" dxfId="9883" priority="1433" stopIfTrue="1" operator="equal">
      <formula>"Pass"</formula>
    </cfRule>
    <cfRule type="cellIs" dxfId="9882" priority="1434" stopIfTrue="1" operator="equal">
      <formula>"Fail"</formula>
    </cfRule>
  </conditionalFormatting>
  <conditionalFormatting sqref="B74">
    <cfRule type="cellIs" dxfId="9881" priority="1435" stopIfTrue="1" operator="equal">
      <formula>"Please check"</formula>
    </cfRule>
    <cfRule type="cellIs" dxfId="9880" priority="1436" stopIfTrue="1" operator="equal">
      <formula>"Pass"</formula>
    </cfRule>
    <cfRule type="cellIs" dxfId="9879" priority="1437" stopIfTrue="1" operator="equal">
      <formula>"Fail"</formula>
    </cfRule>
  </conditionalFormatting>
  <conditionalFormatting sqref="B69:B73">
    <cfRule type="cellIs" dxfId="9878" priority="1438" stopIfTrue="1" operator="equal">
      <formula>"Please check"</formula>
    </cfRule>
    <cfRule type="cellIs" dxfId="9877" priority="1439" stopIfTrue="1" operator="equal">
      <formula>"Pass"</formula>
    </cfRule>
    <cfRule type="cellIs" dxfId="9876" priority="1440" stopIfTrue="1" operator="equal">
      <formula>"Fail"</formula>
    </cfRule>
  </conditionalFormatting>
  <conditionalFormatting sqref="A82:A83 C82:G83 I82:J83 R82:S83">
    <cfRule type="cellIs" dxfId="9875" priority="1429" stopIfTrue="1" operator="equal">
      <formula>"Please check"</formula>
    </cfRule>
    <cfRule type="cellIs" dxfId="9874" priority="1430" stopIfTrue="1" operator="equal">
      <formula>"Pass"</formula>
    </cfRule>
    <cfRule type="cellIs" dxfId="9873" priority="1431" stopIfTrue="1" operator="equal">
      <formula>"Fail"</formula>
    </cfRule>
  </conditionalFormatting>
  <conditionalFormatting sqref="A84:A85 C84:S85">
    <cfRule type="cellIs" dxfId="9872" priority="1423" stopIfTrue="1" operator="equal">
      <formula>"Please check"</formula>
    </cfRule>
    <cfRule type="cellIs" dxfId="9871" priority="1424" stopIfTrue="1" operator="equal">
      <formula>"Pass"</formula>
    </cfRule>
    <cfRule type="cellIs" dxfId="9870" priority="1425" stopIfTrue="1" operator="equal">
      <formula>"Fail"</formula>
    </cfRule>
  </conditionalFormatting>
  <conditionalFormatting sqref="B85">
    <cfRule type="cellIs" dxfId="9869" priority="1417" stopIfTrue="1" operator="equal">
      <formula>"Please check"</formula>
    </cfRule>
    <cfRule type="cellIs" dxfId="9868" priority="1418" stopIfTrue="1" operator="equal">
      <formula>"Pass"</formula>
    </cfRule>
    <cfRule type="cellIs" dxfId="9867" priority="1419" stopIfTrue="1" operator="equal">
      <formula>"Fail"</formula>
    </cfRule>
  </conditionalFormatting>
  <conditionalFormatting sqref="B84">
    <cfRule type="cellIs" dxfId="9866" priority="1420" stopIfTrue="1" operator="equal">
      <formula>"Please check"</formula>
    </cfRule>
    <cfRule type="cellIs" dxfId="9865" priority="1421" stopIfTrue="1" operator="equal">
      <formula>"Pass"</formula>
    </cfRule>
    <cfRule type="cellIs" dxfId="9864" priority="1422" stopIfTrue="1" operator="equal">
      <formula>"Fail"</formula>
    </cfRule>
  </conditionalFormatting>
  <conditionalFormatting sqref="B76:B83">
    <cfRule type="cellIs" dxfId="9863" priority="1414" stopIfTrue="1" operator="equal">
      <formula>"Please check"</formula>
    </cfRule>
    <cfRule type="cellIs" dxfId="9862" priority="1415" stopIfTrue="1" operator="equal">
      <formula>"Pass"</formula>
    </cfRule>
    <cfRule type="cellIs" dxfId="9861" priority="1416" stopIfTrue="1" operator="equal">
      <formula>"Fail"</formula>
    </cfRule>
  </conditionalFormatting>
  <conditionalFormatting sqref="A91:A92 C91:G92 I91:J92 R91:S92">
    <cfRule type="cellIs" dxfId="9860" priority="1411" stopIfTrue="1" operator="equal">
      <formula>"Please check"</formula>
    </cfRule>
    <cfRule type="cellIs" dxfId="9859" priority="1412" stopIfTrue="1" operator="equal">
      <formula>"Pass"</formula>
    </cfRule>
    <cfRule type="cellIs" dxfId="9858" priority="1413" stopIfTrue="1" operator="equal">
      <formula>"Fail"</formula>
    </cfRule>
  </conditionalFormatting>
  <conditionalFormatting sqref="A93:A94 C93:S94">
    <cfRule type="cellIs" dxfId="9857" priority="1408" stopIfTrue="1" operator="equal">
      <formula>"Please check"</formula>
    </cfRule>
    <cfRule type="cellIs" dxfId="9856" priority="1409" stopIfTrue="1" operator="equal">
      <formula>"Pass"</formula>
    </cfRule>
    <cfRule type="cellIs" dxfId="9855" priority="1410" stopIfTrue="1" operator="equal">
      <formula>"Fail"</formula>
    </cfRule>
  </conditionalFormatting>
  <conditionalFormatting sqref="B94">
    <cfRule type="cellIs" dxfId="9854" priority="1402" stopIfTrue="1" operator="equal">
      <formula>"Please check"</formula>
    </cfRule>
    <cfRule type="cellIs" dxfId="9853" priority="1403" stopIfTrue="1" operator="equal">
      <formula>"Pass"</formula>
    </cfRule>
    <cfRule type="cellIs" dxfId="9852" priority="1404" stopIfTrue="1" operator="equal">
      <formula>"Fail"</formula>
    </cfRule>
  </conditionalFormatting>
  <conditionalFormatting sqref="B93">
    <cfRule type="cellIs" dxfId="9851" priority="1405" stopIfTrue="1" operator="equal">
      <formula>"Please check"</formula>
    </cfRule>
    <cfRule type="cellIs" dxfId="9850" priority="1406" stopIfTrue="1" operator="equal">
      <formula>"Pass"</formula>
    </cfRule>
    <cfRule type="cellIs" dxfId="9849" priority="1407" stopIfTrue="1" operator="equal">
      <formula>"Fail"</formula>
    </cfRule>
  </conditionalFormatting>
  <conditionalFormatting sqref="B91:B92">
    <cfRule type="cellIs" dxfId="9848" priority="1399" stopIfTrue="1" operator="equal">
      <formula>"Please check"</formula>
    </cfRule>
    <cfRule type="cellIs" dxfId="9847" priority="1400" stopIfTrue="1" operator="equal">
      <formula>"Pass"</formula>
    </cfRule>
    <cfRule type="cellIs" dxfId="9846" priority="1401" stopIfTrue="1" operator="equal">
      <formula>"Fail"</formula>
    </cfRule>
  </conditionalFormatting>
  <conditionalFormatting sqref="B86:B90">
    <cfRule type="cellIs" dxfId="9845" priority="1396" stopIfTrue="1" operator="equal">
      <formula>"Please check"</formula>
    </cfRule>
    <cfRule type="cellIs" dxfId="9844" priority="1397" stopIfTrue="1" operator="equal">
      <formula>"Pass"</formula>
    </cfRule>
    <cfRule type="cellIs" dxfId="9843" priority="1398" stopIfTrue="1" operator="equal">
      <formula>"Fail"</formula>
    </cfRule>
  </conditionalFormatting>
  <conditionalFormatting sqref="A100:A101 C100:G101 I100:J101 R100:S101">
    <cfRule type="cellIs" dxfId="9842" priority="1393" stopIfTrue="1" operator="equal">
      <formula>"Please check"</formula>
    </cfRule>
    <cfRule type="cellIs" dxfId="9841" priority="1394" stopIfTrue="1" operator="equal">
      <formula>"Pass"</formula>
    </cfRule>
    <cfRule type="cellIs" dxfId="9840" priority="1395" stopIfTrue="1" operator="equal">
      <formula>"Fail"</formula>
    </cfRule>
  </conditionalFormatting>
  <conditionalFormatting sqref="A109:A110 C109:S110">
    <cfRule type="cellIs" dxfId="9839" priority="1390" stopIfTrue="1" operator="equal">
      <formula>"Please check"</formula>
    </cfRule>
    <cfRule type="cellIs" dxfId="9838" priority="1391" stopIfTrue="1" operator="equal">
      <formula>"Pass"</formula>
    </cfRule>
    <cfRule type="cellIs" dxfId="9837" priority="1392" stopIfTrue="1" operator="equal">
      <formula>"Fail"</formula>
    </cfRule>
  </conditionalFormatting>
  <conditionalFormatting sqref="B110">
    <cfRule type="cellIs" dxfId="9836" priority="1384" stopIfTrue="1" operator="equal">
      <formula>"Please check"</formula>
    </cfRule>
    <cfRule type="cellIs" dxfId="9835" priority="1385" stopIfTrue="1" operator="equal">
      <formula>"Pass"</formula>
    </cfRule>
    <cfRule type="cellIs" dxfId="9834" priority="1386" stopIfTrue="1" operator="equal">
      <formula>"Fail"</formula>
    </cfRule>
  </conditionalFormatting>
  <conditionalFormatting sqref="B109">
    <cfRule type="cellIs" dxfId="9833" priority="1387" stopIfTrue="1" operator="equal">
      <formula>"Please check"</formula>
    </cfRule>
    <cfRule type="cellIs" dxfId="9832" priority="1388" stopIfTrue="1" operator="equal">
      <formula>"Pass"</formula>
    </cfRule>
    <cfRule type="cellIs" dxfId="9831" priority="1389" stopIfTrue="1" operator="equal">
      <formula>"Fail"</formula>
    </cfRule>
  </conditionalFormatting>
  <conditionalFormatting sqref="B100:B101">
    <cfRule type="cellIs" dxfId="9830" priority="1375" stopIfTrue="1" operator="equal">
      <formula>"Please check"</formula>
    </cfRule>
    <cfRule type="cellIs" dxfId="9829" priority="1376" stopIfTrue="1" operator="equal">
      <formula>"Pass"</formula>
    </cfRule>
    <cfRule type="cellIs" dxfId="9828" priority="1377" stopIfTrue="1" operator="equal">
      <formula>"Fail"</formula>
    </cfRule>
  </conditionalFormatting>
  <conditionalFormatting sqref="B95:B99">
    <cfRule type="cellIs" dxfId="9827" priority="1378" stopIfTrue="1" operator="equal">
      <formula>"Please check"</formula>
    </cfRule>
    <cfRule type="cellIs" dxfId="9826" priority="1379" stopIfTrue="1" operator="equal">
      <formula>"Pass"</formula>
    </cfRule>
    <cfRule type="cellIs" dxfId="9825" priority="1380" stopIfTrue="1" operator="equal">
      <formula>"Fail"</formula>
    </cfRule>
  </conditionalFormatting>
  <conditionalFormatting sqref="B112">
    <cfRule type="cellIs" dxfId="9824" priority="1366" stopIfTrue="1" operator="equal">
      <formula>"Please check"</formula>
    </cfRule>
    <cfRule type="cellIs" dxfId="9823" priority="1367" stopIfTrue="1" operator="equal">
      <formula>"Pass"</formula>
    </cfRule>
    <cfRule type="cellIs" dxfId="9822" priority="1368" stopIfTrue="1" operator="equal">
      <formula>"Fail"</formula>
    </cfRule>
  </conditionalFormatting>
  <conditionalFormatting sqref="A111:A112 C111:S112">
    <cfRule type="cellIs" dxfId="9821" priority="1372" stopIfTrue="1" operator="equal">
      <formula>"Please check"</formula>
    </cfRule>
    <cfRule type="cellIs" dxfId="9820" priority="1373" stopIfTrue="1" operator="equal">
      <formula>"Pass"</formula>
    </cfRule>
    <cfRule type="cellIs" dxfId="9819" priority="1374" stopIfTrue="1" operator="equal">
      <formula>"Fail"</formula>
    </cfRule>
  </conditionalFormatting>
  <conditionalFormatting sqref="B105">
    <cfRule type="cellIs" dxfId="9818" priority="1348" stopIfTrue="1" operator="equal">
      <formula>"Please check"</formula>
    </cfRule>
    <cfRule type="cellIs" dxfId="9817" priority="1349" stopIfTrue="1" operator="equal">
      <formula>"Pass"</formula>
    </cfRule>
    <cfRule type="cellIs" dxfId="9816" priority="1350" stopIfTrue="1" operator="equal">
      <formula>"Fail"</formula>
    </cfRule>
  </conditionalFormatting>
  <conditionalFormatting sqref="B111">
    <cfRule type="cellIs" dxfId="9815" priority="1369" stopIfTrue="1" operator="equal">
      <formula>"Please check"</formula>
    </cfRule>
    <cfRule type="cellIs" dxfId="9814" priority="1370" stopIfTrue="1" operator="equal">
      <formula>"Pass"</formula>
    </cfRule>
    <cfRule type="cellIs" dxfId="9813" priority="1371" stopIfTrue="1" operator="equal">
      <formula>"Fail"</formula>
    </cfRule>
  </conditionalFormatting>
  <conditionalFormatting sqref="A102:A103 C102:S103">
    <cfRule type="cellIs" dxfId="9812" priority="1363" stopIfTrue="1" operator="equal">
      <formula>"Please check"</formula>
    </cfRule>
    <cfRule type="cellIs" dxfId="9811" priority="1364" stopIfTrue="1" operator="equal">
      <formula>"Pass"</formula>
    </cfRule>
    <cfRule type="cellIs" dxfId="9810" priority="1365" stopIfTrue="1" operator="equal">
      <formula>"Fail"</formula>
    </cfRule>
  </conditionalFormatting>
  <conditionalFormatting sqref="B103">
    <cfRule type="cellIs" dxfId="9809" priority="1357" stopIfTrue="1" operator="equal">
      <formula>"Please check"</formula>
    </cfRule>
    <cfRule type="cellIs" dxfId="9808" priority="1358" stopIfTrue="1" operator="equal">
      <formula>"Pass"</formula>
    </cfRule>
    <cfRule type="cellIs" dxfId="9807" priority="1359" stopIfTrue="1" operator="equal">
      <formula>"Fail"</formula>
    </cfRule>
  </conditionalFormatting>
  <conditionalFormatting sqref="B102">
    <cfRule type="cellIs" dxfId="9806" priority="1360" stopIfTrue="1" operator="equal">
      <formula>"Please check"</formula>
    </cfRule>
    <cfRule type="cellIs" dxfId="9805" priority="1361" stopIfTrue="1" operator="equal">
      <formula>"Pass"</formula>
    </cfRule>
    <cfRule type="cellIs" dxfId="9804" priority="1362" stopIfTrue="1" operator="equal">
      <formula>"Fail"</formula>
    </cfRule>
  </conditionalFormatting>
  <conditionalFormatting sqref="B108">
    <cfRule type="cellIs" dxfId="9803" priority="1330" stopIfTrue="1" operator="equal">
      <formula>"Please check"</formula>
    </cfRule>
    <cfRule type="cellIs" dxfId="9802" priority="1331" stopIfTrue="1" operator="equal">
      <formula>"Pass"</formula>
    </cfRule>
    <cfRule type="cellIs" dxfId="9801" priority="1332" stopIfTrue="1" operator="equal">
      <formula>"Fail"</formula>
    </cfRule>
  </conditionalFormatting>
  <conditionalFormatting sqref="B104">
    <cfRule type="cellIs" dxfId="9800" priority="1351" stopIfTrue="1" operator="equal">
      <formula>"Please check"</formula>
    </cfRule>
    <cfRule type="cellIs" dxfId="9799" priority="1352" stopIfTrue="1" operator="equal">
      <formula>"Pass"</formula>
    </cfRule>
    <cfRule type="cellIs" dxfId="9798" priority="1353" stopIfTrue="1" operator="equal">
      <formula>"Fail"</formula>
    </cfRule>
  </conditionalFormatting>
  <conditionalFormatting sqref="B106">
    <cfRule type="cellIs" dxfId="9797" priority="1339" stopIfTrue="1" operator="equal">
      <formula>"Please check"</formula>
    </cfRule>
    <cfRule type="cellIs" dxfId="9796" priority="1340" stopIfTrue="1" operator="equal">
      <formula>"Pass"</formula>
    </cfRule>
    <cfRule type="cellIs" dxfId="9795" priority="1341" stopIfTrue="1" operator="equal">
      <formula>"Fail"</formula>
    </cfRule>
  </conditionalFormatting>
  <conditionalFormatting sqref="A107:A108 C107:S108">
    <cfRule type="cellIs" dxfId="9794" priority="1336" stopIfTrue="1" operator="equal">
      <formula>"Please check"</formula>
    </cfRule>
    <cfRule type="cellIs" dxfId="9793" priority="1337" stopIfTrue="1" operator="equal">
      <formula>"Pass"</formula>
    </cfRule>
    <cfRule type="cellIs" dxfId="9792" priority="1338" stopIfTrue="1" operator="equal">
      <formula>"Fail"</formula>
    </cfRule>
  </conditionalFormatting>
  <conditionalFormatting sqref="B107">
    <cfRule type="cellIs" dxfId="9791" priority="1333" stopIfTrue="1" operator="equal">
      <formula>"Please check"</formula>
    </cfRule>
    <cfRule type="cellIs" dxfId="9790" priority="1334" stopIfTrue="1" operator="equal">
      <formula>"Pass"</formula>
    </cfRule>
    <cfRule type="cellIs" dxfId="9789" priority="1335" stopIfTrue="1" operator="equal">
      <formula>"Fail"</formula>
    </cfRule>
  </conditionalFormatting>
  <conditionalFormatting sqref="A113 C113:G113 I113:M113 O113:S113">
    <cfRule type="cellIs" dxfId="9788" priority="1327" stopIfTrue="1" operator="equal">
      <formula>"Please check"</formula>
    </cfRule>
    <cfRule type="cellIs" dxfId="9787" priority="1328" stopIfTrue="1" operator="equal">
      <formula>"Pass"</formula>
    </cfRule>
    <cfRule type="cellIs" dxfId="9786" priority="1329" stopIfTrue="1" operator="equal">
      <formula>"Fail"</formula>
    </cfRule>
  </conditionalFormatting>
  <conditionalFormatting sqref="A119:A120 C119:G120 I119:J120 R119:S120">
    <cfRule type="cellIs" dxfId="9785" priority="1324" stopIfTrue="1" operator="equal">
      <formula>"Please check"</formula>
    </cfRule>
    <cfRule type="cellIs" dxfId="9784" priority="1325" stopIfTrue="1" operator="equal">
      <formula>"Pass"</formula>
    </cfRule>
    <cfRule type="cellIs" dxfId="9783" priority="1326" stopIfTrue="1" operator="equal">
      <formula>"Fail"</formula>
    </cfRule>
  </conditionalFormatting>
  <conditionalFormatting sqref="B122">
    <cfRule type="cellIs" dxfId="9782" priority="1312" stopIfTrue="1" operator="equal">
      <formula>"Please check"</formula>
    </cfRule>
    <cfRule type="cellIs" dxfId="9781" priority="1313" stopIfTrue="1" operator="equal">
      <formula>"Pass"</formula>
    </cfRule>
    <cfRule type="cellIs" dxfId="9780" priority="1314" stopIfTrue="1" operator="equal">
      <formula>"Fail"</formula>
    </cfRule>
  </conditionalFormatting>
  <conditionalFormatting sqref="A121:A122 C121:S122">
    <cfRule type="cellIs" dxfId="9779" priority="1318" stopIfTrue="1" operator="equal">
      <formula>"Please check"</formula>
    </cfRule>
    <cfRule type="cellIs" dxfId="9778" priority="1319" stopIfTrue="1" operator="equal">
      <formula>"Pass"</formula>
    </cfRule>
    <cfRule type="cellIs" dxfId="9777" priority="1320" stopIfTrue="1" operator="equal">
      <formula>"Fail"</formula>
    </cfRule>
  </conditionalFormatting>
  <conditionalFormatting sqref="A130:A131 C130:S131">
    <cfRule type="cellIs" dxfId="9776" priority="1297" stopIfTrue="1" operator="equal">
      <formula>"Please check"</formula>
    </cfRule>
    <cfRule type="cellIs" dxfId="9775" priority="1298" stopIfTrue="1" operator="equal">
      <formula>"Pass"</formula>
    </cfRule>
    <cfRule type="cellIs" dxfId="9774" priority="1299" stopIfTrue="1" operator="equal">
      <formula>"Fail"</formula>
    </cfRule>
  </conditionalFormatting>
  <conditionalFormatting sqref="B121">
    <cfRule type="cellIs" dxfId="9773" priority="1315" stopIfTrue="1" operator="equal">
      <formula>"Please check"</formula>
    </cfRule>
    <cfRule type="cellIs" dxfId="9772" priority="1316" stopIfTrue="1" operator="equal">
      <formula>"Pass"</formula>
    </cfRule>
    <cfRule type="cellIs" dxfId="9771" priority="1317" stopIfTrue="1" operator="equal">
      <formula>"Fail"</formula>
    </cfRule>
  </conditionalFormatting>
  <conditionalFormatting sqref="B114:B118">
    <cfRule type="cellIs" dxfId="9770" priority="1309" stopIfTrue="1" operator="equal">
      <formula>"Please check"</formula>
    </cfRule>
    <cfRule type="cellIs" dxfId="9769" priority="1310" stopIfTrue="1" operator="equal">
      <formula>"Pass"</formula>
    </cfRule>
    <cfRule type="cellIs" dxfId="9768" priority="1311" stopIfTrue="1" operator="equal">
      <formula>"Fail"</formula>
    </cfRule>
  </conditionalFormatting>
  <conditionalFormatting sqref="B113">
    <cfRule type="cellIs" dxfId="9767" priority="1306" stopIfTrue="1" operator="equal">
      <formula>"Please check"</formula>
    </cfRule>
    <cfRule type="cellIs" dxfId="9766" priority="1307" stopIfTrue="1" operator="equal">
      <formula>"Pass"</formula>
    </cfRule>
    <cfRule type="cellIs" dxfId="9765" priority="1308" stopIfTrue="1" operator="equal">
      <formula>"Fail"</formula>
    </cfRule>
  </conditionalFormatting>
  <conditionalFormatting sqref="B119:B120">
    <cfRule type="cellIs" dxfId="9764" priority="1303" stopIfTrue="1" operator="equal">
      <formula>"Please check"</formula>
    </cfRule>
    <cfRule type="cellIs" dxfId="9763" priority="1304" stopIfTrue="1" operator="equal">
      <formula>"Pass"</formula>
    </cfRule>
    <cfRule type="cellIs" dxfId="9762" priority="1305" stopIfTrue="1" operator="equal">
      <formula>"Fail"</formula>
    </cfRule>
  </conditionalFormatting>
  <conditionalFormatting sqref="A128:A129 C128:G129 I128:J129 R128:S129">
    <cfRule type="cellIs" dxfId="9761" priority="1300" stopIfTrue="1" operator="equal">
      <formula>"Please check"</formula>
    </cfRule>
    <cfRule type="cellIs" dxfId="9760" priority="1301" stopIfTrue="1" operator="equal">
      <formula>"Pass"</formula>
    </cfRule>
    <cfRule type="cellIs" dxfId="9759" priority="1302" stopIfTrue="1" operator="equal">
      <formula>"Fail"</formula>
    </cfRule>
  </conditionalFormatting>
  <conditionalFormatting sqref="B131">
    <cfRule type="cellIs" dxfId="9758" priority="1291" stopIfTrue="1" operator="equal">
      <formula>"Please check"</formula>
    </cfRule>
    <cfRule type="cellIs" dxfId="9757" priority="1292" stopIfTrue="1" operator="equal">
      <formula>"Pass"</formula>
    </cfRule>
    <cfRule type="cellIs" dxfId="9756" priority="1293" stopIfTrue="1" operator="equal">
      <formula>"Fail"</formula>
    </cfRule>
  </conditionalFormatting>
  <conditionalFormatting sqref="B130">
    <cfRule type="cellIs" dxfId="9755" priority="1294" stopIfTrue="1" operator="equal">
      <formula>"Please check"</formula>
    </cfRule>
    <cfRule type="cellIs" dxfId="9754" priority="1295" stopIfTrue="1" operator="equal">
      <formula>"Pass"</formula>
    </cfRule>
    <cfRule type="cellIs" dxfId="9753" priority="1296" stopIfTrue="1" operator="equal">
      <formula>"Fail"</formula>
    </cfRule>
  </conditionalFormatting>
  <conditionalFormatting sqref="B140">
    <cfRule type="cellIs" dxfId="9752" priority="1276" stopIfTrue="1" operator="equal">
      <formula>"Please check"</formula>
    </cfRule>
    <cfRule type="cellIs" dxfId="9751" priority="1277" stopIfTrue="1" operator="equal">
      <formula>"Pass"</formula>
    </cfRule>
    <cfRule type="cellIs" dxfId="9750" priority="1278" stopIfTrue="1" operator="equal">
      <formula>"Fail"</formula>
    </cfRule>
  </conditionalFormatting>
  <conditionalFormatting sqref="A139:A140 C139:S140">
    <cfRule type="cellIs" dxfId="9749" priority="1282" stopIfTrue="1" operator="equal">
      <formula>"Please check"</formula>
    </cfRule>
    <cfRule type="cellIs" dxfId="9748" priority="1283" stopIfTrue="1" operator="equal">
      <formula>"Pass"</formula>
    </cfRule>
    <cfRule type="cellIs" dxfId="9747" priority="1284" stopIfTrue="1" operator="equal">
      <formula>"Fail"</formula>
    </cfRule>
  </conditionalFormatting>
  <conditionalFormatting sqref="A137:A138 C137:G138 I137:J138 R137:S138">
    <cfRule type="cellIs" dxfId="9746" priority="1285" stopIfTrue="1" operator="equal">
      <formula>"Please check"</formula>
    </cfRule>
    <cfRule type="cellIs" dxfId="9745" priority="1286" stopIfTrue="1" operator="equal">
      <formula>"Pass"</formula>
    </cfRule>
    <cfRule type="cellIs" dxfId="9744" priority="1287" stopIfTrue="1" operator="equal">
      <formula>"Fail"</formula>
    </cfRule>
  </conditionalFormatting>
  <conditionalFormatting sqref="B141">
    <cfRule type="cellIs" dxfId="9743" priority="1234" stopIfTrue="1" operator="equal">
      <formula>"Please check"</formula>
    </cfRule>
    <cfRule type="cellIs" dxfId="9742" priority="1235" stopIfTrue="1" operator="equal">
      <formula>"Pass"</formula>
    </cfRule>
    <cfRule type="cellIs" dxfId="9741" priority="1236" stopIfTrue="1" operator="equal">
      <formula>"Fail"</formula>
    </cfRule>
  </conditionalFormatting>
  <conditionalFormatting sqref="B139">
    <cfRule type="cellIs" dxfId="9740" priority="1279" stopIfTrue="1" operator="equal">
      <formula>"Please check"</formula>
    </cfRule>
    <cfRule type="cellIs" dxfId="9739" priority="1280" stopIfTrue="1" operator="equal">
      <formula>"Pass"</formula>
    </cfRule>
    <cfRule type="cellIs" dxfId="9738" priority="1281" stopIfTrue="1" operator="equal">
      <formula>"Fail"</formula>
    </cfRule>
  </conditionalFormatting>
  <conditionalFormatting sqref="B128:B129">
    <cfRule type="cellIs" dxfId="9737" priority="1267" stopIfTrue="1" operator="equal">
      <formula>"Please check"</formula>
    </cfRule>
    <cfRule type="cellIs" dxfId="9736" priority="1268" stopIfTrue="1" operator="equal">
      <formula>"Pass"</formula>
    </cfRule>
    <cfRule type="cellIs" dxfId="9735" priority="1269" stopIfTrue="1" operator="equal">
      <formula>"Fail"</formula>
    </cfRule>
  </conditionalFormatting>
  <conditionalFormatting sqref="B123:B127">
    <cfRule type="cellIs" dxfId="9734" priority="1270" stopIfTrue="1" operator="equal">
      <formula>"Please check"</formula>
    </cfRule>
    <cfRule type="cellIs" dxfId="9733" priority="1271" stopIfTrue="1" operator="equal">
      <formula>"Pass"</formula>
    </cfRule>
    <cfRule type="cellIs" dxfId="9732" priority="1272" stopIfTrue="1" operator="equal">
      <formula>"Fail"</formula>
    </cfRule>
  </conditionalFormatting>
  <conditionalFormatting sqref="A144:A145 C144:S145">
    <cfRule type="cellIs" dxfId="9731" priority="1225" stopIfTrue="1" operator="equal">
      <formula>"Please check"</formula>
    </cfRule>
    <cfRule type="cellIs" dxfId="9730" priority="1226" stopIfTrue="1" operator="equal">
      <formula>"Pass"</formula>
    </cfRule>
    <cfRule type="cellIs" dxfId="9729" priority="1227" stopIfTrue="1" operator="equal">
      <formula>"Fail"</formula>
    </cfRule>
  </conditionalFormatting>
  <conditionalFormatting sqref="B132:B136">
    <cfRule type="cellIs" dxfId="9728" priority="1264" stopIfTrue="1" operator="equal">
      <formula>"Please check"</formula>
    </cfRule>
    <cfRule type="cellIs" dxfId="9727" priority="1265" stopIfTrue="1" operator="equal">
      <formula>"Pass"</formula>
    </cfRule>
    <cfRule type="cellIs" dxfId="9726" priority="1266" stopIfTrue="1" operator="equal">
      <formula>"Fail"</formula>
    </cfRule>
  </conditionalFormatting>
  <conditionalFormatting sqref="B137:B138">
    <cfRule type="cellIs" dxfId="9725" priority="1261" stopIfTrue="1" operator="equal">
      <formula>"Please check"</formula>
    </cfRule>
    <cfRule type="cellIs" dxfId="9724" priority="1262" stopIfTrue="1" operator="equal">
      <formula>"Pass"</formula>
    </cfRule>
    <cfRule type="cellIs" dxfId="9723" priority="1263" stopIfTrue="1" operator="equal">
      <formula>"Fail"</formula>
    </cfRule>
  </conditionalFormatting>
  <conditionalFormatting sqref="A143 C143:S143">
    <cfRule type="cellIs" dxfId="9722" priority="1258" stopIfTrue="1" operator="equal">
      <formula>"Please check"</formula>
    </cfRule>
    <cfRule type="cellIs" dxfId="9721" priority="1259" stopIfTrue="1" operator="equal">
      <formula>"Pass"</formula>
    </cfRule>
    <cfRule type="cellIs" dxfId="9720" priority="1260" stopIfTrue="1" operator="equal">
      <formula>"Fail"</formula>
    </cfRule>
  </conditionalFormatting>
  <conditionalFormatting sqref="A146:A147 C146:S147">
    <cfRule type="cellIs" dxfId="9719" priority="1255" stopIfTrue="1" operator="equal">
      <formula>"Please check"</formula>
    </cfRule>
    <cfRule type="cellIs" dxfId="9718" priority="1256" stopIfTrue="1" operator="equal">
      <formula>"Pass"</formula>
    </cfRule>
    <cfRule type="cellIs" dxfId="9717" priority="1257" stopIfTrue="1" operator="equal">
      <formula>"Fail"</formula>
    </cfRule>
  </conditionalFormatting>
  <conditionalFormatting sqref="B147">
    <cfRule type="cellIs" dxfId="9716" priority="1249" stopIfTrue="1" operator="equal">
      <formula>"Please check"</formula>
    </cfRule>
    <cfRule type="cellIs" dxfId="9715" priority="1250" stopIfTrue="1" operator="equal">
      <formula>"Pass"</formula>
    </cfRule>
    <cfRule type="cellIs" dxfId="9714" priority="1251" stopIfTrue="1" operator="equal">
      <formula>"Fail"</formula>
    </cfRule>
  </conditionalFormatting>
  <conditionalFormatting sqref="B146">
    <cfRule type="cellIs" dxfId="9713" priority="1252" stopIfTrue="1" operator="equal">
      <formula>"Please check"</formula>
    </cfRule>
    <cfRule type="cellIs" dxfId="9712" priority="1253" stopIfTrue="1" operator="equal">
      <formula>"Pass"</formula>
    </cfRule>
    <cfRule type="cellIs" dxfId="9711" priority="1254" stopIfTrue="1" operator="equal">
      <formula>"Fail"</formula>
    </cfRule>
  </conditionalFormatting>
  <conditionalFormatting sqref="B149">
    <cfRule type="cellIs" dxfId="9710" priority="1240" stopIfTrue="1" operator="equal">
      <formula>"Please check"</formula>
    </cfRule>
    <cfRule type="cellIs" dxfId="9709" priority="1241" stopIfTrue="1" operator="equal">
      <formula>"Pass"</formula>
    </cfRule>
    <cfRule type="cellIs" dxfId="9708" priority="1242" stopIfTrue="1" operator="equal">
      <formula>"Fail"</formula>
    </cfRule>
  </conditionalFormatting>
  <conditionalFormatting sqref="A148:A149 C148:S149">
    <cfRule type="cellIs" dxfId="9707" priority="1246" stopIfTrue="1" operator="equal">
      <formula>"Please check"</formula>
    </cfRule>
    <cfRule type="cellIs" dxfId="9706" priority="1247" stopIfTrue="1" operator="equal">
      <formula>"Pass"</formula>
    </cfRule>
    <cfRule type="cellIs" dxfId="9705" priority="1248" stopIfTrue="1" operator="equal">
      <formula>"Fail"</formula>
    </cfRule>
  </conditionalFormatting>
  <conditionalFormatting sqref="B142">
    <cfRule type="cellIs" dxfId="9704" priority="1231" stopIfTrue="1" operator="equal">
      <formula>"Please check"</formula>
    </cfRule>
    <cfRule type="cellIs" dxfId="9703" priority="1232" stopIfTrue="1" operator="equal">
      <formula>"Pass"</formula>
    </cfRule>
    <cfRule type="cellIs" dxfId="9702" priority="1233" stopIfTrue="1" operator="equal">
      <formula>"Fail"</formula>
    </cfRule>
  </conditionalFormatting>
  <conditionalFormatting sqref="B148">
    <cfRule type="cellIs" dxfId="9701" priority="1243" stopIfTrue="1" operator="equal">
      <formula>"Please check"</formula>
    </cfRule>
    <cfRule type="cellIs" dxfId="9700" priority="1244" stopIfTrue="1" operator="equal">
      <formula>"Pass"</formula>
    </cfRule>
    <cfRule type="cellIs" dxfId="9699" priority="1245" stopIfTrue="1" operator="equal">
      <formula>"Fail"</formula>
    </cfRule>
  </conditionalFormatting>
  <conditionalFormatting sqref="B145">
    <cfRule type="cellIs" dxfId="9698" priority="1219" stopIfTrue="1" operator="equal">
      <formula>"Please check"</formula>
    </cfRule>
    <cfRule type="cellIs" dxfId="9697" priority="1220" stopIfTrue="1" operator="equal">
      <formula>"Pass"</formula>
    </cfRule>
    <cfRule type="cellIs" dxfId="9696" priority="1221" stopIfTrue="1" operator="equal">
      <formula>"Fail"</formula>
    </cfRule>
  </conditionalFormatting>
  <conditionalFormatting sqref="A141:A142 C141:S142">
    <cfRule type="cellIs" dxfId="9695" priority="1237" stopIfTrue="1" operator="equal">
      <formula>"Please check"</formula>
    </cfRule>
    <cfRule type="cellIs" dxfId="9694" priority="1238" stopIfTrue="1" operator="equal">
      <formula>"Pass"</formula>
    </cfRule>
    <cfRule type="cellIs" dxfId="9693" priority="1239" stopIfTrue="1" operator="equal">
      <formula>"Fail"</formula>
    </cfRule>
  </conditionalFormatting>
  <conditionalFormatting sqref="B143">
    <cfRule type="cellIs" dxfId="9692" priority="1228" stopIfTrue="1" operator="equal">
      <formula>"Please check"</formula>
    </cfRule>
    <cfRule type="cellIs" dxfId="9691" priority="1229" stopIfTrue="1" operator="equal">
      <formula>"Pass"</formula>
    </cfRule>
    <cfRule type="cellIs" dxfId="9690" priority="1230" stopIfTrue="1" operator="equal">
      <formula>"Fail"</formula>
    </cfRule>
  </conditionalFormatting>
  <conditionalFormatting sqref="B157">
    <cfRule type="cellIs" dxfId="9689" priority="1210" stopIfTrue="1" operator="equal">
      <formula>"Please check"</formula>
    </cfRule>
    <cfRule type="cellIs" dxfId="9688" priority="1211" stopIfTrue="1" operator="equal">
      <formula>"Pass"</formula>
    </cfRule>
    <cfRule type="cellIs" dxfId="9687" priority="1212" stopIfTrue="1" operator="equal">
      <formula>"Fail"</formula>
    </cfRule>
  </conditionalFormatting>
  <conditionalFormatting sqref="B144">
    <cfRule type="cellIs" dxfId="9686" priority="1222" stopIfTrue="1" operator="equal">
      <formula>"Please check"</formula>
    </cfRule>
    <cfRule type="cellIs" dxfId="9685" priority="1223" stopIfTrue="1" operator="equal">
      <formula>"Pass"</formula>
    </cfRule>
    <cfRule type="cellIs" dxfId="9684" priority="1224" stopIfTrue="1" operator="equal">
      <formula>"Fail"</formula>
    </cfRule>
  </conditionalFormatting>
  <conditionalFormatting sqref="B158">
    <cfRule type="cellIs" dxfId="9683" priority="1207" stopIfTrue="1" operator="equal">
      <formula>"Please check"</formula>
    </cfRule>
    <cfRule type="cellIs" dxfId="9682" priority="1208" stopIfTrue="1" operator="equal">
      <formula>"Pass"</formula>
    </cfRule>
    <cfRule type="cellIs" dxfId="9681" priority="1209" stopIfTrue="1" operator="equal">
      <formula>"Fail"</formula>
    </cfRule>
  </conditionalFormatting>
  <conditionalFormatting sqref="A157:A158 C157:S158">
    <cfRule type="cellIs" dxfId="9680" priority="1213" stopIfTrue="1" operator="equal">
      <formula>"Please check"</formula>
    </cfRule>
    <cfRule type="cellIs" dxfId="9679" priority="1214" stopIfTrue="1" operator="equal">
      <formula>"Pass"</formula>
    </cfRule>
    <cfRule type="cellIs" dxfId="9678" priority="1215" stopIfTrue="1" operator="equal">
      <formula>"Fail"</formula>
    </cfRule>
  </conditionalFormatting>
  <conditionalFormatting sqref="A155:A156 C155:G156 I155:J156 R155:S156">
    <cfRule type="cellIs" dxfId="9677" priority="1216" stopIfTrue="1" operator="equal">
      <formula>"Please check"</formula>
    </cfRule>
    <cfRule type="cellIs" dxfId="9676" priority="1217" stopIfTrue="1" operator="equal">
      <formula>"Pass"</formula>
    </cfRule>
    <cfRule type="cellIs" dxfId="9675" priority="1218" stopIfTrue="1" operator="equal">
      <formula>"Fail"</formula>
    </cfRule>
  </conditionalFormatting>
  <conditionalFormatting sqref="B155:B156">
    <cfRule type="cellIs" dxfId="9674" priority="1198" stopIfTrue="1" operator="equal">
      <formula>"Please check"</formula>
    </cfRule>
    <cfRule type="cellIs" dxfId="9673" priority="1199" stopIfTrue="1" operator="equal">
      <formula>"Pass"</formula>
    </cfRule>
    <cfRule type="cellIs" dxfId="9672" priority="1200" stopIfTrue="1" operator="equal">
      <formula>"Fail"</formula>
    </cfRule>
  </conditionalFormatting>
  <conditionalFormatting sqref="B150:B154">
    <cfRule type="cellIs" dxfId="9671" priority="1201" stopIfTrue="1" operator="equal">
      <formula>"Please check"</formula>
    </cfRule>
    <cfRule type="cellIs" dxfId="9670" priority="1202" stopIfTrue="1" operator="equal">
      <formula>"Pass"</formula>
    </cfRule>
    <cfRule type="cellIs" dxfId="9669" priority="1203" stopIfTrue="1" operator="equal">
      <formula>"Fail"</formula>
    </cfRule>
  </conditionalFormatting>
  <conditionalFormatting sqref="B159">
    <cfRule type="cellIs" dxfId="9668" priority="1189" stopIfTrue="1" operator="equal">
      <formula>"Please check"</formula>
    </cfRule>
    <cfRule type="cellIs" dxfId="9667" priority="1190" stopIfTrue="1" operator="equal">
      <formula>"Pass"</formula>
    </cfRule>
    <cfRule type="cellIs" dxfId="9666" priority="1191" stopIfTrue="1" operator="equal">
      <formula>"Fail"</formula>
    </cfRule>
  </conditionalFormatting>
  <conditionalFormatting sqref="A159 C159:G159 I159:M159 O159:S159">
    <cfRule type="cellIs" dxfId="9665" priority="1195" stopIfTrue="1" operator="equal">
      <formula>"Please check"</formula>
    </cfRule>
    <cfRule type="cellIs" dxfId="9664" priority="1196" stopIfTrue="1" operator="equal">
      <formula>"Pass"</formula>
    </cfRule>
    <cfRule type="cellIs" dxfId="9663" priority="1197" stopIfTrue="1" operator="equal">
      <formula>"Fail"</formula>
    </cfRule>
  </conditionalFormatting>
  <conditionalFormatting sqref="B167">
    <cfRule type="cellIs" dxfId="9662" priority="1180" stopIfTrue="1" operator="equal">
      <formula>"Please check"</formula>
    </cfRule>
    <cfRule type="cellIs" dxfId="9661" priority="1181" stopIfTrue="1" operator="equal">
      <formula>"Pass"</formula>
    </cfRule>
    <cfRule type="cellIs" dxfId="9660" priority="1182" stopIfTrue="1" operator="equal">
      <formula>"Fail"</formula>
    </cfRule>
  </conditionalFormatting>
  <conditionalFormatting sqref="B168">
    <cfRule type="cellIs" dxfId="9659" priority="1177" stopIfTrue="1" operator="equal">
      <formula>"Please check"</formula>
    </cfRule>
    <cfRule type="cellIs" dxfId="9658" priority="1178" stopIfTrue="1" operator="equal">
      <formula>"Pass"</formula>
    </cfRule>
    <cfRule type="cellIs" dxfId="9657" priority="1179" stopIfTrue="1" operator="equal">
      <formula>"Fail"</formula>
    </cfRule>
  </conditionalFormatting>
  <conditionalFormatting sqref="A167:A168 C167:S168">
    <cfRule type="cellIs" dxfId="9656" priority="1183" stopIfTrue="1" operator="equal">
      <formula>"Please check"</formula>
    </cfRule>
    <cfRule type="cellIs" dxfId="9655" priority="1184" stopIfTrue="1" operator="equal">
      <formula>"Pass"</formula>
    </cfRule>
    <cfRule type="cellIs" dxfId="9654" priority="1185" stopIfTrue="1" operator="equal">
      <formula>"Fail"</formula>
    </cfRule>
  </conditionalFormatting>
  <conditionalFormatting sqref="A165:A166 C165:G166 I165:J166 R165:S166">
    <cfRule type="cellIs" dxfId="9653" priority="1186" stopIfTrue="1" operator="equal">
      <formula>"Please check"</formula>
    </cfRule>
    <cfRule type="cellIs" dxfId="9652" priority="1187" stopIfTrue="1" operator="equal">
      <formula>"Pass"</formula>
    </cfRule>
    <cfRule type="cellIs" dxfId="9651" priority="1188" stopIfTrue="1" operator="equal">
      <formula>"Fail"</formula>
    </cfRule>
  </conditionalFormatting>
  <conditionalFormatting sqref="B160:B164">
    <cfRule type="cellIs" dxfId="9650" priority="1171" stopIfTrue="1" operator="equal">
      <formula>"Please check"</formula>
    </cfRule>
    <cfRule type="cellIs" dxfId="9649" priority="1172" stopIfTrue="1" operator="equal">
      <formula>"Pass"</formula>
    </cfRule>
    <cfRule type="cellIs" dxfId="9648" priority="1173" stopIfTrue="1" operator="equal">
      <formula>"Fail"</formula>
    </cfRule>
  </conditionalFormatting>
  <conditionalFormatting sqref="B165:B166">
    <cfRule type="cellIs" dxfId="9647" priority="1168" stopIfTrue="1" operator="equal">
      <formula>"Please check"</formula>
    </cfRule>
    <cfRule type="cellIs" dxfId="9646" priority="1169" stopIfTrue="1" operator="equal">
      <formula>"Pass"</formula>
    </cfRule>
    <cfRule type="cellIs" dxfId="9645" priority="1170" stopIfTrue="1" operator="equal">
      <formula>"Fail"</formula>
    </cfRule>
  </conditionalFormatting>
  <conditionalFormatting sqref="G161:G164">
    <cfRule type="cellIs" dxfId="9644" priority="1165" stopIfTrue="1" operator="equal">
      <formula>"Please check"</formula>
    </cfRule>
    <cfRule type="cellIs" dxfId="9643" priority="1166" stopIfTrue="1" operator="equal">
      <formula>"Pass"</formula>
    </cfRule>
    <cfRule type="cellIs" dxfId="9642" priority="1167" stopIfTrue="1" operator="equal">
      <formula>"Fail"</formula>
    </cfRule>
  </conditionalFormatting>
  <conditionalFormatting sqref="A185:A186 C185:S186">
    <cfRule type="cellIs" dxfId="9641" priority="1120" stopIfTrue="1" operator="equal">
      <formula>"Please check"</formula>
    </cfRule>
    <cfRule type="cellIs" dxfId="9640" priority="1121" stopIfTrue="1" operator="equal">
      <formula>"Pass"</formula>
    </cfRule>
    <cfRule type="cellIs" dxfId="9639" priority="1122" stopIfTrue="1" operator="equal">
      <formula>"Fail"</formula>
    </cfRule>
  </conditionalFormatting>
  <conditionalFormatting sqref="B178:B182">
    <cfRule type="cellIs" dxfId="9638" priority="1105" stopIfTrue="1" operator="equal">
      <formula>"Please check"</formula>
    </cfRule>
    <cfRule type="cellIs" dxfId="9637" priority="1106" stopIfTrue="1" operator="equal">
      <formula>"Pass"</formula>
    </cfRule>
    <cfRule type="cellIs" dxfId="9636" priority="1107" stopIfTrue="1" operator="equal">
      <formula>"Fail"</formula>
    </cfRule>
  </conditionalFormatting>
  <conditionalFormatting sqref="B176">
    <cfRule type="cellIs" dxfId="9635" priority="1141" stopIfTrue="1" operator="equal">
      <formula>"Please check"</formula>
    </cfRule>
    <cfRule type="cellIs" dxfId="9634" priority="1142" stopIfTrue="1" operator="equal">
      <formula>"Pass"</formula>
    </cfRule>
    <cfRule type="cellIs" dxfId="9633" priority="1143" stopIfTrue="1" operator="equal">
      <formula>"Fail"</formula>
    </cfRule>
  </conditionalFormatting>
  <conditionalFormatting sqref="B177">
    <cfRule type="cellIs" dxfId="9632" priority="1138" stopIfTrue="1" operator="equal">
      <formula>"Please check"</formula>
    </cfRule>
    <cfRule type="cellIs" dxfId="9631" priority="1139" stopIfTrue="1" operator="equal">
      <formula>"Pass"</formula>
    </cfRule>
    <cfRule type="cellIs" dxfId="9630" priority="1140" stopIfTrue="1" operator="equal">
      <formula>"Fail"</formula>
    </cfRule>
  </conditionalFormatting>
  <conditionalFormatting sqref="A176:A177 C176:S177">
    <cfRule type="cellIs" dxfId="9629" priority="1144" stopIfTrue="1" operator="equal">
      <formula>"Please check"</formula>
    </cfRule>
    <cfRule type="cellIs" dxfId="9628" priority="1145" stopIfTrue="1" operator="equal">
      <formula>"Pass"</formula>
    </cfRule>
    <cfRule type="cellIs" dxfId="9627" priority="1146" stopIfTrue="1" operator="equal">
      <formula>"Fail"</formula>
    </cfRule>
  </conditionalFormatting>
  <conditionalFormatting sqref="A174:A175 C174:F175 I174:J175 R174:S175">
    <cfRule type="cellIs" dxfId="9626" priority="1147" stopIfTrue="1" operator="equal">
      <formula>"Please check"</formula>
    </cfRule>
    <cfRule type="cellIs" dxfId="9625" priority="1148" stopIfTrue="1" operator="equal">
      <formula>"Pass"</formula>
    </cfRule>
    <cfRule type="cellIs" dxfId="9624" priority="1149" stopIfTrue="1" operator="equal">
      <formula>"Fail"</formula>
    </cfRule>
  </conditionalFormatting>
  <conditionalFormatting sqref="G174:G175">
    <cfRule type="cellIs" dxfId="9623" priority="1126" stopIfTrue="1" operator="equal">
      <formula>"Please check"</formula>
    </cfRule>
    <cfRule type="cellIs" dxfId="9622" priority="1127" stopIfTrue="1" operator="equal">
      <formula>"Pass"</formula>
    </cfRule>
    <cfRule type="cellIs" dxfId="9621" priority="1128" stopIfTrue="1" operator="equal">
      <formula>"Fail"</formula>
    </cfRule>
  </conditionalFormatting>
  <conditionalFormatting sqref="B169:B173">
    <cfRule type="cellIs" dxfId="9620" priority="1132" stopIfTrue="1" operator="equal">
      <formula>"Please check"</formula>
    </cfRule>
    <cfRule type="cellIs" dxfId="9619" priority="1133" stopIfTrue="1" operator="equal">
      <formula>"Pass"</formula>
    </cfRule>
    <cfRule type="cellIs" dxfId="9618" priority="1134" stopIfTrue="1" operator="equal">
      <formula>"Fail"</formula>
    </cfRule>
  </conditionalFormatting>
  <conditionalFormatting sqref="B174:B175">
    <cfRule type="cellIs" dxfId="9617" priority="1129" stopIfTrue="1" operator="equal">
      <formula>"Please check"</formula>
    </cfRule>
    <cfRule type="cellIs" dxfId="9616" priority="1130" stopIfTrue="1" operator="equal">
      <formula>"Pass"</formula>
    </cfRule>
    <cfRule type="cellIs" dxfId="9615" priority="1131" stopIfTrue="1" operator="equal">
      <formula>"Fail"</formula>
    </cfRule>
  </conditionalFormatting>
  <conditionalFormatting sqref="G183:G184">
    <cfRule type="cellIs" dxfId="9614" priority="1108" stopIfTrue="1" operator="equal">
      <formula>"Please check"</formula>
    </cfRule>
    <cfRule type="cellIs" dxfId="9613" priority="1109" stopIfTrue="1" operator="equal">
      <formula>"Pass"</formula>
    </cfRule>
    <cfRule type="cellIs" dxfId="9612" priority="1110" stopIfTrue="1" operator="equal">
      <formula>"Fail"</formula>
    </cfRule>
  </conditionalFormatting>
  <conditionalFormatting sqref="B185">
    <cfRule type="cellIs" dxfId="9611" priority="1117" stopIfTrue="1" operator="equal">
      <formula>"Please check"</formula>
    </cfRule>
    <cfRule type="cellIs" dxfId="9610" priority="1118" stopIfTrue="1" operator="equal">
      <formula>"Pass"</formula>
    </cfRule>
    <cfRule type="cellIs" dxfId="9609" priority="1119" stopIfTrue="1" operator="equal">
      <formula>"Fail"</formula>
    </cfRule>
  </conditionalFormatting>
  <conditionalFormatting sqref="B186">
    <cfRule type="cellIs" dxfId="9608" priority="1114" stopIfTrue="1" operator="equal">
      <formula>"Please check"</formula>
    </cfRule>
    <cfRule type="cellIs" dxfId="9607" priority="1115" stopIfTrue="1" operator="equal">
      <formula>"Pass"</formula>
    </cfRule>
    <cfRule type="cellIs" dxfId="9606" priority="1116" stopIfTrue="1" operator="equal">
      <formula>"Fail"</formula>
    </cfRule>
  </conditionalFormatting>
  <conditionalFormatting sqref="A183:A184 C183:F184 I183:J184 R183:S184">
    <cfRule type="cellIs" dxfId="9605" priority="1123" stopIfTrue="1" operator="equal">
      <formula>"Please check"</formula>
    </cfRule>
    <cfRule type="cellIs" dxfId="9604" priority="1124" stopIfTrue="1" operator="equal">
      <formula>"Pass"</formula>
    </cfRule>
    <cfRule type="cellIs" dxfId="9603" priority="1125" stopIfTrue="1" operator="equal">
      <formula>"Fail"</formula>
    </cfRule>
  </conditionalFormatting>
  <conditionalFormatting sqref="A201:A202 C201:D202 I201:J202 R201:S202">
    <cfRule type="cellIs" dxfId="9602" priority="1063" stopIfTrue="1" operator="equal">
      <formula>"Please check"</formula>
    </cfRule>
    <cfRule type="cellIs" dxfId="9601" priority="1064" stopIfTrue="1" operator="equal">
      <formula>"Pass"</formula>
    </cfRule>
    <cfRule type="cellIs" dxfId="9600" priority="1065" stopIfTrue="1" operator="equal">
      <formula>"Fail"</formula>
    </cfRule>
  </conditionalFormatting>
  <conditionalFormatting sqref="B183:B184">
    <cfRule type="cellIs" dxfId="9599" priority="1102" stopIfTrue="1" operator="equal">
      <formula>"Please check"</formula>
    </cfRule>
    <cfRule type="cellIs" dxfId="9598" priority="1103" stopIfTrue="1" operator="equal">
      <formula>"Pass"</formula>
    </cfRule>
    <cfRule type="cellIs" dxfId="9597" priority="1104" stopIfTrue="1" operator="equal">
      <formula>"Fail"</formula>
    </cfRule>
  </conditionalFormatting>
  <conditionalFormatting sqref="G192:G193">
    <cfRule type="cellIs" dxfId="9596" priority="1072" stopIfTrue="1" operator="equal">
      <formula>"Please check"</formula>
    </cfRule>
    <cfRule type="cellIs" dxfId="9595" priority="1073" stopIfTrue="1" operator="equal">
      <formula>"Pass"</formula>
    </cfRule>
    <cfRule type="cellIs" dxfId="9594" priority="1074" stopIfTrue="1" operator="equal">
      <formula>"Fail"</formula>
    </cfRule>
  </conditionalFormatting>
  <conditionalFormatting sqref="A203:A204 C203:S204">
    <cfRule type="cellIs" dxfId="9593" priority="1060" stopIfTrue="1" operator="equal">
      <formula>"Please check"</formula>
    </cfRule>
    <cfRule type="cellIs" dxfId="9592" priority="1061" stopIfTrue="1" operator="equal">
      <formula>"Pass"</formula>
    </cfRule>
    <cfRule type="cellIs" dxfId="9591" priority="1062" stopIfTrue="1" operator="equal">
      <formula>"Fail"</formula>
    </cfRule>
  </conditionalFormatting>
  <conditionalFormatting sqref="B230">
    <cfRule type="cellIs" dxfId="9590" priority="952" stopIfTrue="1" operator="equal">
      <formula>"Please check"</formula>
    </cfRule>
    <cfRule type="cellIs" dxfId="9589" priority="953" stopIfTrue="1" operator="equal">
      <formula>"Pass"</formula>
    </cfRule>
    <cfRule type="cellIs" dxfId="9588" priority="954" stopIfTrue="1" operator="equal">
      <formula>"Fail"</formula>
    </cfRule>
  </conditionalFormatting>
  <conditionalFormatting sqref="B194">
    <cfRule type="cellIs" dxfId="9587" priority="1087" stopIfTrue="1" operator="equal">
      <formula>"Please check"</formula>
    </cfRule>
    <cfRule type="cellIs" dxfId="9586" priority="1088" stopIfTrue="1" operator="equal">
      <formula>"Pass"</formula>
    </cfRule>
    <cfRule type="cellIs" dxfId="9585" priority="1089" stopIfTrue="1" operator="equal">
      <formula>"Fail"</formula>
    </cfRule>
  </conditionalFormatting>
  <conditionalFormatting sqref="B195">
    <cfRule type="cellIs" dxfId="9584" priority="1084" stopIfTrue="1" operator="equal">
      <formula>"Please check"</formula>
    </cfRule>
    <cfRule type="cellIs" dxfId="9583" priority="1085" stopIfTrue="1" operator="equal">
      <formula>"Pass"</formula>
    </cfRule>
    <cfRule type="cellIs" dxfId="9582" priority="1086" stopIfTrue="1" operator="equal">
      <formula>"Fail"</formula>
    </cfRule>
  </conditionalFormatting>
  <conditionalFormatting sqref="A194:A195 C194:S195">
    <cfRule type="cellIs" dxfId="9581" priority="1090" stopIfTrue="1" operator="equal">
      <formula>"Please check"</formula>
    </cfRule>
    <cfRule type="cellIs" dxfId="9580" priority="1091" stopIfTrue="1" operator="equal">
      <formula>"Pass"</formula>
    </cfRule>
    <cfRule type="cellIs" dxfId="9579" priority="1092" stopIfTrue="1" operator="equal">
      <formula>"Fail"</formula>
    </cfRule>
  </conditionalFormatting>
  <conditionalFormatting sqref="A192:A193 C192:F193 I192:J193 R192:S193">
    <cfRule type="cellIs" dxfId="9578" priority="1093" stopIfTrue="1" operator="equal">
      <formula>"Please check"</formula>
    </cfRule>
    <cfRule type="cellIs" dxfId="9577" priority="1094" stopIfTrue="1" operator="equal">
      <formula>"Pass"</formula>
    </cfRule>
    <cfRule type="cellIs" dxfId="9576" priority="1095" stopIfTrue="1" operator="equal">
      <formula>"Fail"</formula>
    </cfRule>
  </conditionalFormatting>
  <conditionalFormatting sqref="B187:B191">
    <cfRule type="cellIs" dxfId="9575" priority="1069" stopIfTrue="1" operator="equal">
      <formula>"Please check"</formula>
    </cfRule>
    <cfRule type="cellIs" dxfId="9574" priority="1070" stopIfTrue="1" operator="equal">
      <formula>"Pass"</formula>
    </cfRule>
    <cfRule type="cellIs" dxfId="9573" priority="1071" stopIfTrue="1" operator="equal">
      <formula>"Fail"</formula>
    </cfRule>
  </conditionalFormatting>
  <conditionalFormatting sqref="B192:B193">
    <cfRule type="cellIs" dxfId="9572" priority="1066" stopIfTrue="1" operator="equal">
      <formula>"Please check"</formula>
    </cfRule>
    <cfRule type="cellIs" dxfId="9571" priority="1067" stopIfTrue="1" operator="equal">
      <formula>"Pass"</formula>
    </cfRule>
    <cfRule type="cellIs" dxfId="9570" priority="1068" stopIfTrue="1" operator="equal">
      <formula>"Fail"</formula>
    </cfRule>
  </conditionalFormatting>
  <conditionalFormatting sqref="G201:G202">
    <cfRule type="cellIs" dxfId="9569" priority="1048" stopIfTrue="1" operator="equal">
      <formula>"Please check"</formula>
    </cfRule>
    <cfRule type="cellIs" dxfId="9568" priority="1049" stopIfTrue="1" operator="equal">
      <formula>"Pass"</formula>
    </cfRule>
    <cfRule type="cellIs" dxfId="9567" priority="1050" stopIfTrue="1" operator="equal">
      <formula>"Fail"</formula>
    </cfRule>
  </conditionalFormatting>
  <conditionalFormatting sqref="B203">
    <cfRule type="cellIs" dxfId="9566" priority="1057" stopIfTrue="1" operator="equal">
      <formula>"Please check"</formula>
    </cfRule>
    <cfRule type="cellIs" dxfId="9565" priority="1058" stopIfTrue="1" operator="equal">
      <formula>"Pass"</formula>
    </cfRule>
    <cfRule type="cellIs" dxfId="9564" priority="1059" stopIfTrue="1" operator="equal">
      <formula>"Fail"</formula>
    </cfRule>
  </conditionalFormatting>
  <conditionalFormatting sqref="B204">
    <cfRule type="cellIs" dxfId="9563" priority="1054" stopIfTrue="1" operator="equal">
      <formula>"Please check"</formula>
    </cfRule>
    <cfRule type="cellIs" dxfId="9562" priority="1055" stopIfTrue="1" operator="equal">
      <formula>"Pass"</formula>
    </cfRule>
    <cfRule type="cellIs" dxfId="9561" priority="1056" stopIfTrue="1" operator="equal">
      <formula>"Fail"</formula>
    </cfRule>
  </conditionalFormatting>
  <conditionalFormatting sqref="B196:B200">
    <cfRule type="cellIs" dxfId="9560" priority="1039" stopIfTrue="1" operator="equal">
      <formula>"Please check"</formula>
    </cfRule>
    <cfRule type="cellIs" dxfId="9559" priority="1040" stopIfTrue="1" operator="equal">
      <formula>"Pass"</formula>
    </cfRule>
    <cfRule type="cellIs" dxfId="9558" priority="1041" stopIfTrue="1" operator="equal">
      <formula>"Fail"</formula>
    </cfRule>
  </conditionalFormatting>
  <conditionalFormatting sqref="E201:F202">
    <cfRule type="cellIs" dxfId="9557" priority="1042" stopIfTrue="1" operator="equal">
      <formula>"Please check"</formula>
    </cfRule>
    <cfRule type="cellIs" dxfId="9556" priority="1043" stopIfTrue="1" operator="equal">
      <formula>"Pass"</formula>
    </cfRule>
    <cfRule type="cellIs" dxfId="9555" priority="1044" stopIfTrue="1" operator="equal">
      <formula>"Fail"</formula>
    </cfRule>
  </conditionalFormatting>
  <conditionalFormatting sqref="B208">
    <cfRule type="cellIs" dxfId="9554" priority="997" stopIfTrue="1" operator="equal">
      <formula>"Please check"</formula>
    </cfRule>
    <cfRule type="cellIs" dxfId="9553" priority="998" stopIfTrue="1" operator="equal">
      <formula>"Pass"</formula>
    </cfRule>
    <cfRule type="cellIs" dxfId="9552" priority="999" stopIfTrue="1" operator="equal">
      <formula>"Fail"</formula>
    </cfRule>
  </conditionalFormatting>
  <conditionalFormatting sqref="B201:B202">
    <cfRule type="cellIs" dxfId="9551" priority="1036" stopIfTrue="1" operator="equal">
      <formula>"Please check"</formula>
    </cfRule>
    <cfRule type="cellIs" dxfId="9550" priority="1037" stopIfTrue="1" operator="equal">
      <formula>"Pass"</formula>
    </cfRule>
    <cfRule type="cellIs" dxfId="9549" priority="1038" stopIfTrue="1" operator="equal">
      <formula>"Fail"</formula>
    </cfRule>
  </conditionalFormatting>
  <conditionalFormatting sqref="B205">
    <cfRule type="cellIs" dxfId="9548" priority="1009" stopIfTrue="1" operator="equal">
      <formula>"Please check"</formula>
    </cfRule>
    <cfRule type="cellIs" dxfId="9547" priority="1010" stopIfTrue="1" operator="equal">
      <formula>"Pass"</formula>
    </cfRule>
    <cfRule type="cellIs" dxfId="9546" priority="1011" stopIfTrue="1" operator="equal">
      <formula>"Fail"</formula>
    </cfRule>
  </conditionalFormatting>
  <conditionalFormatting sqref="A208:A209 C208:S209">
    <cfRule type="cellIs" dxfId="9545" priority="1000" stopIfTrue="1" operator="equal">
      <formula>"Please check"</formula>
    </cfRule>
    <cfRule type="cellIs" dxfId="9544" priority="1001" stopIfTrue="1" operator="equal">
      <formula>"Pass"</formula>
    </cfRule>
    <cfRule type="cellIs" dxfId="9543" priority="1002" stopIfTrue="1" operator="equal">
      <formula>"Fail"</formula>
    </cfRule>
  </conditionalFormatting>
  <conditionalFormatting sqref="A207 C207:S207">
    <cfRule type="cellIs" dxfId="9542" priority="1033" stopIfTrue="1" operator="equal">
      <formula>"Please check"</formula>
    </cfRule>
    <cfRule type="cellIs" dxfId="9541" priority="1034" stopIfTrue="1" operator="equal">
      <formula>"Pass"</formula>
    </cfRule>
    <cfRule type="cellIs" dxfId="9540" priority="1035" stopIfTrue="1" operator="equal">
      <formula>"Fail"</formula>
    </cfRule>
  </conditionalFormatting>
  <conditionalFormatting sqref="A210:A211 C210:S211">
    <cfRule type="cellIs" dxfId="9539" priority="1030" stopIfTrue="1" operator="equal">
      <formula>"Please check"</formula>
    </cfRule>
    <cfRule type="cellIs" dxfId="9538" priority="1031" stopIfTrue="1" operator="equal">
      <formula>"Pass"</formula>
    </cfRule>
    <cfRule type="cellIs" dxfId="9537" priority="1032" stopIfTrue="1" operator="equal">
      <formula>"Fail"</formula>
    </cfRule>
  </conditionalFormatting>
  <conditionalFormatting sqref="B211">
    <cfRule type="cellIs" dxfId="9536" priority="1024" stopIfTrue="1" operator="equal">
      <formula>"Please check"</formula>
    </cfRule>
    <cfRule type="cellIs" dxfId="9535" priority="1025" stopIfTrue="1" operator="equal">
      <formula>"Pass"</formula>
    </cfRule>
    <cfRule type="cellIs" dxfId="9534" priority="1026" stopIfTrue="1" operator="equal">
      <formula>"Fail"</formula>
    </cfRule>
  </conditionalFormatting>
  <conditionalFormatting sqref="B210">
    <cfRule type="cellIs" dxfId="9533" priority="1027" stopIfTrue="1" operator="equal">
      <formula>"Please check"</formula>
    </cfRule>
    <cfRule type="cellIs" dxfId="9532" priority="1028" stopIfTrue="1" operator="equal">
      <formula>"Pass"</formula>
    </cfRule>
    <cfRule type="cellIs" dxfId="9531" priority="1029" stopIfTrue="1" operator="equal">
      <formula>"Fail"</formula>
    </cfRule>
  </conditionalFormatting>
  <conditionalFormatting sqref="B213">
    <cfRule type="cellIs" dxfId="9530" priority="1015" stopIfTrue="1" operator="equal">
      <formula>"Please check"</formula>
    </cfRule>
    <cfRule type="cellIs" dxfId="9529" priority="1016" stopIfTrue="1" operator="equal">
      <formula>"Pass"</formula>
    </cfRule>
    <cfRule type="cellIs" dxfId="9528" priority="1017" stopIfTrue="1" operator="equal">
      <formula>"Fail"</formula>
    </cfRule>
  </conditionalFormatting>
  <conditionalFormatting sqref="A212:A213 C212:S213">
    <cfRule type="cellIs" dxfId="9527" priority="1021" stopIfTrue="1" operator="equal">
      <formula>"Please check"</formula>
    </cfRule>
    <cfRule type="cellIs" dxfId="9526" priority="1022" stopIfTrue="1" operator="equal">
      <formula>"Pass"</formula>
    </cfRule>
    <cfRule type="cellIs" dxfId="9525" priority="1023" stopIfTrue="1" operator="equal">
      <formula>"Fail"</formula>
    </cfRule>
  </conditionalFormatting>
  <conditionalFormatting sqref="B206">
    <cfRule type="cellIs" dxfId="9524" priority="1006" stopIfTrue="1" operator="equal">
      <formula>"Please check"</formula>
    </cfRule>
    <cfRule type="cellIs" dxfId="9523" priority="1007" stopIfTrue="1" operator="equal">
      <formula>"Pass"</formula>
    </cfRule>
    <cfRule type="cellIs" dxfId="9522" priority="1008" stopIfTrue="1" operator="equal">
      <formula>"Fail"</formula>
    </cfRule>
  </conditionalFormatting>
  <conditionalFormatting sqref="B212">
    <cfRule type="cellIs" dxfId="9521" priority="1018" stopIfTrue="1" operator="equal">
      <formula>"Please check"</formula>
    </cfRule>
    <cfRule type="cellIs" dxfId="9520" priority="1019" stopIfTrue="1" operator="equal">
      <formula>"Pass"</formula>
    </cfRule>
    <cfRule type="cellIs" dxfId="9519" priority="1020" stopIfTrue="1" operator="equal">
      <formula>"Fail"</formula>
    </cfRule>
  </conditionalFormatting>
  <conditionalFormatting sqref="B209">
    <cfRule type="cellIs" dxfId="9518" priority="994" stopIfTrue="1" operator="equal">
      <formula>"Please check"</formula>
    </cfRule>
    <cfRule type="cellIs" dxfId="9517" priority="995" stopIfTrue="1" operator="equal">
      <formula>"Pass"</formula>
    </cfRule>
    <cfRule type="cellIs" dxfId="9516" priority="996" stopIfTrue="1" operator="equal">
      <formula>"Fail"</formula>
    </cfRule>
  </conditionalFormatting>
  <conditionalFormatting sqref="A205:A206 C205:S206">
    <cfRule type="cellIs" dxfId="9515" priority="1012" stopIfTrue="1" operator="equal">
      <formula>"Please check"</formula>
    </cfRule>
    <cfRule type="cellIs" dxfId="9514" priority="1013" stopIfTrue="1" operator="equal">
      <formula>"Pass"</formula>
    </cfRule>
    <cfRule type="cellIs" dxfId="9513" priority="1014" stopIfTrue="1" operator="equal">
      <formula>"Fail"</formula>
    </cfRule>
  </conditionalFormatting>
  <conditionalFormatting sqref="B207">
    <cfRule type="cellIs" dxfId="9512" priority="1003" stopIfTrue="1" operator="equal">
      <formula>"Please check"</formula>
    </cfRule>
    <cfRule type="cellIs" dxfId="9511" priority="1004" stopIfTrue="1" operator="equal">
      <formula>"Pass"</formula>
    </cfRule>
    <cfRule type="cellIs" dxfId="9510" priority="1005" stopIfTrue="1" operator="equal">
      <formula>"Fail"</formula>
    </cfRule>
  </conditionalFormatting>
  <conditionalFormatting sqref="B219:B220">
    <cfRule type="cellIs" dxfId="9509" priority="964" stopIfTrue="1" operator="equal">
      <formula>"Please check"</formula>
    </cfRule>
    <cfRule type="cellIs" dxfId="9508" priority="965" stopIfTrue="1" operator="equal">
      <formula>"Pass"</formula>
    </cfRule>
    <cfRule type="cellIs" dxfId="9507" priority="966" stopIfTrue="1" operator="equal">
      <formula>"Fail"</formula>
    </cfRule>
  </conditionalFormatting>
  <conditionalFormatting sqref="G219:G220">
    <cfRule type="cellIs" dxfId="9506" priority="979" stopIfTrue="1" operator="equal">
      <formula>"Please check"</formula>
    </cfRule>
    <cfRule type="cellIs" dxfId="9505" priority="980" stopIfTrue="1" operator="equal">
      <formula>"Pass"</formula>
    </cfRule>
    <cfRule type="cellIs" dxfId="9504" priority="981" stopIfTrue="1" operator="equal">
      <formula>"Fail"</formula>
    </cfRule>
  </conditionalFormatting>
  <conditionalFormatting sqref="B221">
    <cfRule type="cellIs" dxfId="9503" priority="985" stopIfTrue="1" operator="equal">
      <formula>"Please check"</formula>
    </cfRule>
    <cfRule type="cellIs" dxfId="9502" priority="986" stopIfTrue="1" operator="equal">
      <formula>"Pass"</formula>
    </cfRule>
    <cfRule type="cellIs" dxfId="9501" priority="987" stopIfTrue="1" operator="equal">
      <formula>"Fail"</formula>
    </cfRule>
  </conditionalFormatting>
  <conditionalFormatting sqref="B222">
    <cfRule type="cellIs" dxfId="9500" priority="982" stopIfTrue="1" operator="equal">
      <formula>"Please check"</formula>
    </cfRule>
    <cfRule type="cellIs" dxfId="9499" priority="983" stopIfTrue="1" operator="equal">
      <formula>"Pass"</formula>
    </cfRule>
    <cfRule type="cellIs" dxfId="9498" priority="984" stopIfTrue="1" operator="equal">
      <formula>"Fail"</formula>
    </cfRule>
  </conditionalFormatting>
  <conditionalFormatting sqref="A221:A222 C221:S222">
    <cfRule type="cellIs" dxfId="9497" priority="988" stopIfTrue="1" operator="equal">
      <formula>"Please check"</formula>
    </cfRule>
    <cfRule type="cellIs" dxfId="9496" priority="989" stopIfTrue="1" operator="equal">
      <formula>"Pass"</formula>
    </cfRule>
    <cfRule type="cellIs" dxfId="9495" priority="990" stopIfTrue="1" operator="equal">
      <formula>"Fail"</formula>
    </cfRule>
  </conditionalFormatting>
  <conditionalFormatting sqref="A219:A220 C219:F220 I219:J220 R219:S220">
    <cfRule type="cellIs" dxfId="9494" priority="991" stopIfTrue="1" operator="equal">
      <formula>"Please check"</formula>
    </cfRule>
    <cfRule type="cellIs" dxfId="9493" priority="992" stopIfTrue="1" operator="equal">
      <formula>"Pass"</formula>
    </cfRule>
    <cfRule type="cellIs" dxfId="9492" priority="993" stopIfTrue="1" operator="equal">
      <formula>"Fail"</formula>
    </cfRule>
  </conditionalFormatting>
  <conditionalFormatting sqref="B249">
    <cfRule type="cellIs" dxfId="9491" priority="877" stopIfTrue="1" operator="equal">
      <formula>"Please check"</formula>
    </cfRule>
    <cfRule type="cellIs" dxfId="9490" priority="878" stopIfTrue="1" operator="equal">
      <formula>"Pass"</formula>
    </cfRule>
    <cfRule type="cellIs" dxfId="9489" priority="879" stopIfTrue="1" operator="equal">
      <formula>"Fail"</formula>
    </cfRule>
  </conditionalFormatting>
  <conditionalFormatting sqref="B214">
    <cfRule type="cellIs" dxfId="9488" priority="970" stopIfTrue="1" operator="equal">
      <formula>"Please check"</formula>
    </cfRule>
    <cfRule type="cellIs" dxfId="9487" priority="971" stopIfTrue="1" operator="equal">
      <formula>"Pass"</formula>
    </cfRule>
    <cfRule type="cellIs" dxfId="9486" priority="972" stopIfTrue="1" operator="equal">
      <formula>"Fail"</formula>
    </cfRule>
  </conditionalFormatting>
  <conditionalFormatting sqref="B215:B218">
    <cfRule type="cellIs" dxfId="9485" priority="967" stopIfTrue="1" operator="equal">
      <formula>"Please check"</formula>
    </cfRule>
    <cfRule type="cellIs" dxfId="9484" priority="968" stopIfTrue="1" operator="equal">
      <formula>"Pass"</formula>
    </cfRule>
    <cfRule type="cellIs" dxfId="9483" priority="969" stopIfTrue="1" operator="equal">
      <formula>"Fail"</formula>
    </cfRule>
  </conditionalFormatting>
  <conditionalFormatting sqref="G228:G229">
    <cfRule type="cellIs" dxfId="9482" priority="943" stopIfTrue="1" operator="equal">
      <formula>"Please check"</formula>
    </cfRule>
    <cfRule type="cellIs" dxfId="9481" priority="944" stopIfTrue="1" operator="equal">
      <formula>"Pass"</formula>
    </cfRule>
    <cfRule type="cellIs" dxfId="9480" priority="945" stopIfTrue="1" operator="equal">
      <formula>"Fail"</formula>
    </cfRule>
  </conditionalFormatting>
  <conditionalFormatting sqref="B228:B229">
    <cfRule type="cellIs" dxfId="9479" priority="934" stopIfTrue="1" operator="equal">
      <formula>"Please check"</formula>
    </cfRule>
    <cfRule type="cellIs" dxfId="9478" priority="935" stopIfTrue="1" operator="equal">
      <formula>"Pass"</formula>
    </cfRule>
    <cfRule type="cellIs" dxfId="9477" priority="936" stopIfTrue="1" operator="equal">
      <formula>"Fail"</formula>
    </cfRule>
  </conditionalFormatting>
  <conditionalFormatting sqref="B231">
    <cfRule type="cellIs" dxfId="9476" priority="949" stopIfTrue="1" operator="equal">
      <formula>"Please check"</formula>
    </cfRule>
    <cfRule type="cellIs" dxfId="9475" priority="950" stopIfTrue="1" operator="equal">
      <formula>"Pass"</formula>
    </cfRule>
    <cfRule type="cellIs" dxfId="9474" priority="951" stopIfTrue="1" operator="equal">
      <formula>"Fail"</formula>
    </cfRule>
  </conditionalFormatting>
  <conditionalFormatting sqref="A230:A231 C230:S231">
    <cfRule type="cellIs" dxfId="9473" priority="955" stopIfTrue="1" operator="equal">
      <formula>"Please check"</formula>
    </cfRule>
    <cfRule type="cellIs" dxfId="9472" priority="956" stopIfTrue="1" operator="equal">
      <formula>"Pass"</formula>
    </cfRule>
    <cfRule type="cellIs" dxfId="9471" priority="957" stopIfTrue="1" operator="equal">
      <formula>"Fail"</formula>
    </cfRule>
  </conditionalFormatting>
  <conditionalFormatting sqref="A228:A229 C228:F229 I228:J229 R228:S229">
    <cfRule type="cellIs" dxfId="9470" priority="958" stopIfTrue="1" operator="equal">
      <formula>"Please check"</formula>
    </cfRule>
    <cfRule type="cellIs" dxfId="9469" priority="959" stopIfTrue="1" operator="equal">
      <formula>"Pass"</formula>
    </cfRule>
    <cfRule type="cellIs" dxfId="9468" priority="960" stopIfTrue="1" operator="equal">
      <formula>"Fail"</formula>
    </cfRule>
  </conditionalFormatting>
  <conditionalFormatting sqref="A234:A235 C234:S235">
    <cfRule type="cellIs" dxfId="9467" priority="907" stopIfTrue="1" operator="equal">
      <formula>"Please check"</formula>
    </cfRule>
    <cfRule type="cellIs" dxfId="9466" priority="908" stopIfTrue="1" operator="equal">
      <formula>"Pass"</formula>
    </cfRule>
    <cfRule type="cellIs" dxfId="9465" priority="909" stopIfTrue="1" operator="equal">
      <formula>"Fail"</formula>
    </cfRule>
  </conditionalFormatting>
  <conditionalFormatting sqref="B223:B227">
    <cfRule type="cellIs" dxfId="9464" priority="937" stopIfTrue="1" operator="equal">
      <formula>"Please check"</formula>
    </cfRule>
    <cfRule type="cellIs" dxfId="9463" priority="938" stopIfTrue="1" operator="equal">
      <formula>"Pass"</formula>
    </cfRule>
    <cfRule type="cellIs" dxfId="9462" priority="939" stopIfTrue="1" operator="equal">
      <formula>"Fail"</formula>
    </cfRule>
  </conditionalFormatting>
  <conditionalFormatting sqref="B238">
    <cfRule type="cellIs" dxfId="9461" priority="889" stopIfTrue="1" operator="equal">
      <formula>"Please check"</formula>
    </cfRule>
    <cfRule type="cellIs" dxfId="9460" priority="890" stopIfTrue="1" operator="equal">
      <formula>"Pass"</formula>
    </cfRule>
    <cfRule type="cellIs" dxfId="9459" priority="891" stopIfTrue="1" operator="equal">
      <formula>"Fail"</formula>
    </cfRule>
  </conditionalFormatting>
  <conditionalFormatting sqref="B232">
    <cfRule type="cellIs" dxfId="9458" priority="925" stopIfTrue="1" operator="equal">
      <formula>"Please check"</formula>
    </cfRule>
    <cfRule type="cellIs" dxfId="9457" priority="926" stopIfTrue="1" operator="equal">
      <formula>"Pass"</formula>
    </cfRule>
    <cfRule type="cellIs" dxfId="9456" priority="927" stopIfTrue="1" operator="equal">
      <formula>"Fail"</formula>
    </cfRule>
  </conditionalFormatting>
  <conditionalFormatting sqref="B233">
    <cfRule type="cellIs" dxfId="9455" priority="922" stopIfTrue="1" operator="equal">
      <formula>"Please check"</formula>
    </cfRule>
    <cfRule type="cellIs" dxfId="9454" priority="923" stopIfTrue="1" operator="equal">
      <formula>"Pass"</formula>
    </cfRule>
    <cfRule type="cellIs" dxfId="9453" priority="924" stopIfTrue="1" operator="equal">
      <formula>"Fail"</formula>
    </cfRule>
  </conditionalFormatting>
  <conditionalFormatting sqref="A232:A233 C232:S233">
    <cfRule type="cellIs" dxfId="9452" priority="928" stopIfTrue="1" operator="equal">
      <formula>"Please check"</formula>
    </cfRule>
    <cfRule type="cellIs" dxfId="9451" priority="929" stopIfTrue="1" operator="equal">
      <formula>"Pass"</formula>
    </cfRule>
    <cfRule type="cellIs" dxfId="9450" priority="930" stopIfTrue="1" operator="equal">
      <formula>"Fail"</formula>
    </cfRule>
  </conditionalFormatting>
  <conditionalFormatting sqref="B237">
    <cfRule type="cellIs" dxfId="9449" priority="892" stopIfTrue="1" operator="equal">
      <formula>"Please check"</formula>
    </cfRule>
    <cfRule type="cellIs" dxfId="9448" priority="893" stopIfTrue="1" operator="equal">
      <formula>"Pass"</formula>
    </cfRule>
    <cfRule type="cellIs" dxfId="9447" priority="894" stopIfTrue="1" operator="equal">
      <formula>"Fail"</formula>
    </cfRule>
  </conditionalFormatting>
  <conditionalFormatting sqref="B234">
    <cfRule type="cellIs" dxfId="9446" priority="904" stopIfTrue="1" operator="equal">
      <formula>"Please check"</formula>
    </cfRule>
    <cfRule type="cellIs" dxfId="9445" priority="905" stopIfTrue="1" operator="equal">
      <formula>"Pass"</formula>
    </cfRule>
    <cfRule type="cellIs" dxfId="9444" priority="906" stopIfTrue="1" operator="equal">
      <formula>"Fail"</formula>
    </cfRule>
  </conditionalFormatting>
  <conditionalFormatting sqref="A237:A238 C237:S238">
    <cfRule type="cellIs" dxfId="9443" priority="895" stopIfTrue="1" operator="equal">
      <formula>"Please check"</formula>
    </cfRule>
    <cfRule type="cellIs" dxfId="9442" priority="896" stopIfTrue="1" operator="equal">
      <formula>"Pass"</formula>
    </cfRule>
    <cfRule type="cellIs" dxfId="9441" priority="897" stopIfTrue="1" operator="equal">
      <formula>"Fail"</formula>
    </cfRule>
  </conditionalFormatting>
  <conditionalFormatting sqref="A236 C236:S236">
    <cfRule type="cellIs" dxfId="9440" priority="919" stopIfTrue="1" operator="equal">
      <formula>"Please check"</formula>
    </cfRule>
    <cfRule type="cellIs" dxfId="9439" priority="920" stopIfTrue="1" operator="equal">
      <formula>"Pass"</formula>
    </cfRule>
    <cfRule type="cellIs" dxfId="9438" priority="921" stopIfTrue="1" operator="equal">
      <formula>"Fail"</formula>
    </cfRule>
  </conditionalFormatting>
  <conditionalFormatting sqref="A239:A240 C239:S240">
    <cfRule type="cellIs" dxfId="9437" priority="916" stopIfTrue="1" operator="equal">
      <formula>"Please check"</formula>
    </cfRule>
    <cfRule type="cellIs" dxfId="9436" priority="917" stopIfTrue="1" operator="equal">
      <formula>"Pass"</formula>
    </cfRule>
    <cfRule type="cellIs" dxfId="9435" priority="918" stopIfTrue="1" operator="equal">
      <formula>"Fail"</formula>
    </cfRule>
  </conditionalFormatting>
  <conditionalFormatting sqref="B240">
    <cfRule type="cellIs" dxfId="9434" priority="910" stopIfTrue="1" operator="equal">
      <formula>"Please check"</formula>
    </cfRule>
    <cfRule type="cellIs" dxfId="9433" priority="911" stopIfTrue="1" operator="equal">
      <formula>"Pass"</formula>
    </cfRule>
    <cfRule type="cellIs" dxfId="9432" priority="912" stopIfTrue="1" operator="equal">
      <formula>"Fail"</formula>
    </cfRule>
  </conditionalFormatting>
  <conditionalFormatting sqref="B239">
    <cfRule type="cellIs" dxfId="9431" priority="913" stopIfTrue="1" operator="equal">
      <formula>"Please check"</formula>
    </cfRule>
    <cfRule type="cellIs" dxfId="9430" priority="914" stopIfTrue="1" operator="equal">
      <formula>"Pass"</formula>
    </cfRule>
    <cfRule type="cellIs" dxfId="9429" priority="915" stopIfTrue="1" operator="equal">
      <formula>"Fail"</formula>
    </cfRule>
  </conditionalFormatting>
  <conditionalFormatting sqref="B235">
    <cfRule type="cellIs" dxfId="9428" priority="901" stopIfTrue="1" operator="equal">
      <formula>"Please check"</formula>
    </cfRule>
    <cfRule type="cellIs" dxfId="9427" priority="902" stopIfTrue="1" operator="equal">
      <formula>"Pass"</formula>
    </cfRule>
    <cfRule type="cellIs" dxfId="9426" priority="903" stopIfTrue="1" operator="equal">
      <formula>"Fail"</formula>
    </cfRule>
  </conditionalFormatting>
  <conditionalFormatting sqref="B236">
    <cfRule type="cellIs" dxfId="9425" priority="898" stopIfTrue="1" operator="equal">
      <formula>"Please check"</formula>
    </cfRule>
    <cfRule type="cellIs" dxfId="9424" priority="899" stopIfTrue="1" operator="equal">
      <formula>"Pass"</formula>
    </cfRule>
    <cfRule type="cellIs" dxfId="9423" priority="900" stopIfTrue="1" operator="equal">
      <formula>"Fail"</formula>
    </cfRule>
  </conditionalFormatting>
  <conditionalFormatting sqref="A273:A274 C273:F274 I273:L274 R273:S274">
    <cfRule type="cellIs" dxfId="9422" priority="787" stopIfTrue="1" operator="equal">
      <formula>"Please check"</formula>
    </cfRule>
    <cfRule type="cellIs" dxfId="9421" priority="788" stopIfTrue="1" operator="equal">
      <formula>"Pass"</formula>
    </cfRule>
    <cfRule type="cellIs" dxfId="9420" priority="789" stopIfTrue="1" operator="equal">
      <formula>"Fail"</formula>
    </cfRule>
  </conditionalFormatting>
  <conditionalFormatting sqref="G246:G247">
    <cfRule type="cellIs" dxfId="9419" priority="871" stopIfTrue="1" operator="equal">
      <formula>"Please check"</formula>
    </cfRule>
    <cfRule type="cellIs" dxfId="9418" priority="872" stopIfTrue="1" operator="equal">
      <formula>"Pass"</formula>
    </cfRule>
    <cfRule type="cellIs" dxfId="9417" priority="873" stopIfTrue="1" operator="equal">
      <formula>"Fail"</formula>
    </cfRule>
  </conditionalFormatting>
  <conditionalFormatting sqref="B248">
    <cfRule type="cellIs" dxfId="9416" priority="880" stopIfTrue="1" operator="equal">
      <formula>"Please check"</formula>
    </cfRule>
    <cfRule type="cellIs" dxfId="9415" priority="881" stopIfTrue="1" operator="equal">
      <formula>"Pass"</formula>
    </cfRule>
    <cfRule type="cellIs" dxfId="9414" priority="882" stopIfTrue="1" operator="equal">
      <formula>"Fail"</formula>
    </cfRule>
  </conditionalFormatting>
  <conditionalFormatting sqref="A248:A249 C248:S249">
    <cfRule type="cellIs" dxfId="9413" priority="883" stopIfTrue="1" operator="equal">
      <formula>"Please check"</formula>
    </cfRule>
    <cfRule type="cellIs" dxfId="9412" priority="884" stopIfTrue="1" operator="equal">
      <formula>"Pass"</formula>
    </cfRule>
    <cfRule type="cellIs" dxfId="9411" priority="885" stopIfTrue="1" operator="equal">
      <formula>"Fail"</formula>
    </cfRule>
  </conditionalFormatting>
  <conditionalFormatting sqref="A246:A247 C246:D247 I246:J247 R246:S247">
    <cfRule type="cellIs" dxfId="9410" priority="886" stopIfTrue="1" operator="equal">
      <formula>"Please check"</formula>
    </cfRule>
    <cfRule type="cellIs" dxfId="9409" priority="887" stopIfTrue="1" operator="equal">
      <formula>"Pass"</formula>
    </cfRule>
    <cfRule type="cellIs" dxfId="9408" priority="888" stopIfTrue="1" operator="equal">
      <formula>"Fail"</formula>
    </cfRule>
  </conditionalFormatting>
  <conditionalFormatting sqref="E246:F247">
    <cfRule type="cellIs" dxfId="9407" priority="868" stopIfTrue="1" operator="equal">
      <formula>"Please check"</formula>
    </cfRule>
    <cfRule type="cellIs" dxfId="9406" priority="869" stopIfTrue="1" operator="equal">
      <formula>"Pass"</formula>
    </cfRule>
    <cfRule type="cellIs" dxfId="9405" priority="870" stopIfTrue="1" operator="equal">
      <formula>"Fail"</formula>
    </cfRule>
  </conditionalFormatting>
  <conditionalFormatting sqref="B241:B245">
    <cfRule type="cellIs" dxfId="9404" priority="862" stopIfTrue="1" operator="equal">
      <formula>"Please check"</formula>
    </cfRule>
    <cfRule type="cellIs" dxfId="9403" priority="863" stopIfTrue="1" operator="equal">
      <formula>"Pass"</formula>
    </cfRule>
    <cfRule type="cellIs" dxfId="9402" priority="864" stopIfTrue="1" operator="equal">
      <formula>"Fail"</formula>
    </cfRule>
  </conditionalFormatting>
  <conditionalFormatting sqref="B246:B247">
    <cfRule type="cellIs" dxfId="9401" priority="859" stopIfTrue="1" operator="equal">
      <formula>"Please check"</formula>
    </cfRule>
    <cfRule type="cellIs" dxfId="9400" priority="860" stopIfTrue="1" operator="equal">
      <formula>"Pass"</formula>
    </cfRule>
    <cfRule type="cellIs" dxfId="9399" priority="861" stopIfTrue="1" operator="equal">
      <formula>"Fail"</formula>
    </cfRule>
  </conditionalFormatting>
  <conditionalFormatting sqref="G264:G265">
    <cfRule type="cellIs" dxfId="9398" priority="808" stopIfTrue="1" operator="equal">
      <formula>"Please check"</formula>
    </cfRule>
    <cfRule type="cellIs" dxfId="9397" priority="809" stopIfTrue="1" operator="equal">
      <formula>"Pass"</formula>
    </cfRule>
    <cfRule type="cellIs" dxfId="9396" priority="810" stopIfTrue="1" operator="equal">
      <formula>"Fail"</formula>
    </cfRule>
  </conditionalFormatting>
  <conditionalFormatting sqref="G255:G256">
    <cfRule type="cellIs" dxfId="9395" priority="838" stopIfTrue="1" operator="equal">
      <formula>"Please check"</formula>
    </cfRule>
    <cfRule type="cellIs" dxfId="9394" priority="839" stopIfTrue="1" operator="equal">
      <formula>"Pass"</formula>
    </cfRule>
    <cfRule type="cellIs" dxfId="9393" priority="840" stopIfTrue="1" operator="equal">
      <formula>"Fail"</formula>
    </cfRule>
  </conditionalFormatting>
  <conditionalFormatting sqref="B257">
    <cfRule type="cellIs" dxfId="9392" priority="847" stopIfTrue="1" operator="equal">
      <formula>"Please check"</formula>
    </cfRule>
    <cfRule type="cellIs" dxfId="9391" priority="848" stopIfTrue="1" operator="equal">
      <formula>"Pass"</formula>
    </cfRule>
    <cfRule type="cellIs" dxfId="9390" priority="849" stopIfTrue="1" operator="equal">
      <formula>"Fail"</formula>
    </cfRule>
  </conditionalFormatting>
  <conditionalFormatting sqref="B258">
    <cfRule type="cellIs" dxfId="9389" priority="844" stopIfTrue="1" operator="equal">
      <formula>"Please check"</formula>
    </cfRule>
    <cfRule type="cellIs" dxfId="9388" priority="845" stopIfTrue="1" operator="equal">
      <formula>"Pass"</formula>
    </cfRule>
    <cfRule type="cellIs" dxfId="9387" priority="846" stopIfTrue="1" operator="equal">
      <formula>"Fail"</formula>
    </cfRule>
  </conditionalFormatting>
  <conditionalFormatting sqref="A257:A258 C257:S258">
    <cfRule type="cellIs" dxfId="9386" priority="850" stopIfTrue="1" operator="equal">
      <formula>"Please check"</formula>
    </cfRule>
    <cfRule type="cellIs" dxfId="9385" priority="851" stopIfTrue="1" operator="equal">
      <formula>"Pass"</formula>
    </cfRule>
    <cfRule type="cellIs" dxfId="9384" priority="852" stopIfTrue="1" operator="equal">
      <formula>"Fail"</formula>
    </cfRule>
  </conditionalFormatting>
  <conditionalFormatting sqref="A255:A256 C255:F256 I255:J256 R255:S256">
    <cfRule type="cellIs" dxfId="9383" priority="853" stopIfTrue="1" operator="equal">
      <formula>"Please check"</formula>
    </cfRule>
    <cfRule type="cellIs" dxfId="9382" priority="854" stopIfTrue="1" operator="equal">
      <formula>"Pass"</formula>
    </cfRule>
    <cfRule type="cellIs" dxfId="9381" priority="855" stopIfTrue="1" operator="equal">
      <formula>"Fail"</formula>
    </cfRule>
  </conditionalFormatting>
  <conditionalFormatting sqref="B250:B254">
    <cfRule type="cellIs" dxfId="9380" priority="832" stopIfTrue="1" operator="equal">
      <formula>"Please check"</formula>
    </cfRule>
    <cfRule type="cellIs" dxfId="9379" priority="833" stopIfTrue="1" operator="equal">
      <formula>"Pass"</formula>
    </cfRule>
    <cfRule type="cellIs" dxfId="9378" priority="834" stopIfTrue="1" operator="equal">
      <formula>"Fail"</formula>
    </cfRule>
  </conditionalFormatting>
  <conditionalFormatting sqref="B255:B256">
    <cfRule type="cellIs" dxfId="9377" priority="829" stopIfTrue="1" operator="equal">
      <formula>"Please check"</formula>
    </cfRule>
    <cfRule type="cellIs" dxfId="9376" priority="830" stopIfTrue="1" operator="equal">
      <formula>"Pass"</formula>
    </cfRule>
    <cfRule type="cellIs" dxfId="9375" priority="831" stopIfTrue="1" operator="equal">
      <formula>"Fail"</formula>
    </cfRule>
  </conditionalFormatting>
  <conditionalFormatting sqref="H264:H265">
    <cfRule type="cellIs" dxfId="9374" priority="790" stopIfTrue="1" operator="equal">
      <formula>"Please check"</formula>
    </cfRule>
    <cfRule type="cellIs" dxfId="9373" priority="791" stopIfTrue="1" operator="equal">
      <formula>"Pass"</formula>
    </cfRule>
    <cfRule type="cellIs" dxfId="9372" priority="792" stopIfTrue="1" operator="equal">
      <formula>"Fail"</formula>
    </cfRule>
  </conditionalFormatting>
  <conditionalFormatting sqref="B266">
    <cfRule type="cellIs" dxfId="9371" priority="817" stopIfTrue="1" operator="equal">
      <formula>"Please check"</formula>
    </cfRule>
    <cfRule type="cellIs" dxfId="9370" priority="818" stopIfTrue="1" operator="equal">
      <formula>"Pass"</formula>
    </cfRule>
    <cfRule type="cellIs" dxfId="9369" priority="819" stopIfTrue="1" operator="equal">
      <formula>"Fail"</formula>
    </cfRule>
  </conditionalFormatting>
  <conditionalFormatting sqref="B267">
    <cfRule type="cellIs" dxfId="9368" priority="814" stopIfTrue="1" operator="equal">
      <formula>"Please check"</formula>
    </cfRule>
    <cfRule type="cellIs" dxfId="9367" priority="815" stopIfTrue="1" operator="equal">
      <formula>"Pass"</formula>
    </cfRule>
    <cfRule type="cellIs" dxfId="9366" priority="816" stopIfTrue="1" operator="equal">
      <formula>"Fail"</formula>
    </cfRule>
  </conditionalFormatting>
  <conditionalFormatting sqref="A266:A267 C266:S267">
    <cfRule type="cellIs" dxfId="9365" priority="820" stopIfTrue="1" operator="equal">
      <formula>"Please check"</formula>
    </cfRule>
    <cfRule type="cellIs" dxfId="9364" priority="821" stopIfTrue="1" operator="equal">
      <formula>"Pass"</formula>
    </cfRule>
    <cfRule type="cellIs" dxfId="9363" priority="822" stopIfTrue="1" operator="equal">
      <formula>"Fail"</formula>
    </cfRule>
  </conditionalFormatting>
  <conditionalFormatting sqref="A264:A265 C264:F265 I264:J265 R264:S265">
    <cfRule type="cellIs" dxfId="9362" priority="823" stopIfTrue="1" operator="equal">
      <formula>"Please check"</formula>
    </cfRule>
    <cfRule type="cellIs" dxfId="9361" priority="824" stopIfTrue="1" operator="equal">
      <formula>"Pass"</formula>
    </cfRule>
    <cfRule type="cellIs" dxfId="9360" priority="825" stopIfTrue="1" operator="equal">
      <formula>"Fail"</formula>
    </cfRule>
  </conditionalFormatting>
  <conditionalFormatting sqref="A275:A276 C275:S276">
    <cfRule type="cellIs" dxfId="9359" priority="784" stopIfTrue="1" operator="equal">
      <formula>"Please check"</formula>
    </cfRule>
    <cfRule type="cellIs" dxfId="9358" priority="785" stopIfTrue="1" operator="equal">
      <formula>"Pass"</formula>
    </cfRule>
    <cfRule type="cellIs" dxfId="9357" priority="786" stopIfTrue="1" operator="equal">
      <formula>"Fail"</formula>
    </cfRule>
  </conditionalFormatting>
  <conditionalFormatting sqref="B259:B263">
    <cfRule type="cellIs" dxfId="9356" priority="802" stopIfTrue="1" operator="equal">
      <formula>"Please check"</formula>
    </cfRule>
    <cfRule type="cellIs" dxfId="9355" priority="803" stopIfTrue="1" operator="equal">
      <formula>"Pass"</formula>
    </cfRule>
    <cfRule type="cellIs" dxfId="9354" priority="804" stopIfTrue="1" operator="equal">
      <formula>"Fail"</formula>
    </cfRule>
  </conditionalFormatting>
  <conditionalFormatting sqref="B264:B265">
    <cfRule type="cellIs" dxfId="9353" priority="799" stopIfTrue="1" operator="equal">
      <formula>"Please check"</formula>
    </cfRule>
    <cfRule type="cellIs" dxfId="9352" priority="800" stopIfTrue="1" operator="equal">
      <formula>"Pass"</formula>
    </cfRule>
    <cfRule type="cellIs" dxfId="9351" priority="801" stopIfTrue="1" operator="equal">
      <formula>"Fail"</formula>
    </cfRule>
  </conditionalFormatting>
  <conditionalFormatting sqref="B275">
    <cfRule type="cellIs" dxfId="9350" priority="781" stopIfTrue="1" operator="equal">
      <formula>"Please check"</formula>
    </cfRule>
    <cfRule type="cellIs" dxfId="9349" priority="782" stopIfTrue="1" operator="equal">
      <formula>"Pass"</formula>
    </cfRule>
    <cfRule type="cellIs" dxfId="9348" priority="783" stopIfTrue="1" operator="equal">
      <formula>"Fail"</formula>
    </cfRule>
  </conditionalFormatting>
  <conditionalFormatting sqref="H260:H263">
    <cfRule type="cellIs" dxfId="9347" priority="793" stopIfTrue="1" operator="equal">
      <formula>"Please check"</formula>
    </cfRule>
    <cfRule type="cellIs" dxfId="9346" priority="794" stopIfTrue="1" operator="equal">
      <formula>"Pass"</formula>
    </cfRule>
    <cfRule type="cellIs" dxfId="9345" priority="795" stopIfTrue="1" operator="equal">
      <formula>"Fail"</formula>
    </cfRule>
  </conditionalFormatting>
  <conditionalFormatting sqref="G273:G274">
    <cfRule type="cellIs" dxfId="9344" priority="775" stopIfTrue="1" operator="equal">
      <formula>"Please check"</formula>
    </cfRule>
    <cfRule type="cellIs" dxfId="9343" priority="776" stopIfTrue="1" operator="equal">
      <formula>"Pass"</formula>
    </cfRule>
    <cfRule type="cellIs" dxfId="9342" priority="777" stopIfTrue="1" operator="equal">
      <formula>"Fail"</formula>
    </cfRule>
  </conditionalFormatting>
  <conditionalFormatting sqref="B276">
    <cfRule type="cellIs" dxfId="9341" priority="778" stopIfTrue="1" operator="equal">
      <formula>"Please check"</formula>
    </cfRule>
    <cfRule type="cellIs" dxfId="9340" priority="779" stopIfTrue="1" operator="equal">
      <formula>"Pass"</formula>
    </cfRule>
    <cfRule type="cellIs" dxfId="9339" priority="780" stopIfTrue="1" operator="equal">
      <formula>"Fail"</formula>
    </cfRule>
  </conditionalFormatting>
  <conditionalFormatting sqref="A288 O288:XFD288">
    <cfRule type="cellIs" dxfId="9338" priority="745" stopIfTrue="1" operator="equal">
      <formula>"Please check"</formula>
    </cfRule>
    <cfRule type="cellIs" dxfId="9337" priority="746" stopIfTrue="1" operator="equal">
      <formula>"Pass"</formula>
    </cfRule>
    <cfRule type="cellIs" dxfId="9336" priority="747" stopIfTrue="1" operator="equal">
      <formula>"Fail"</formula>
    </cfRule>
  </conditionalFormatting>
  <conditionalFormatting sqref="B268:B272">
    <cfRule type="cellIs" dxfId="9335" priority="766" stopIfTrue="1" operator="equal">
      <formula>"Please check"</formula>
    </cfRule>
    <cfRule type="cellIs" dxfId="9334" priority="767" stopIfTrue="1" operator="equal">
      <formula>"Pass"</formula>
    </cfRule>
    <cfRule type="cellIs" dxfId="9333" priority="768" stopIfTrue="1" operator="equal">
      <formula>"Fail"</formula>
    </cfRule>
  </conditionalFormatting>
  <conditionalFormatting sqref="B273:B274">
    <cfRule type="cellIs" dxfId="9332" priority="763" stopIfTrue="1" operator="equal">
      <formula>"Please check"</formula>
    </cfRule>
    <cfRule type="cellIs" dxfId="9331" priority="764" stopIfTrue="1" operator="equal">
      <formula>"Pass"</formula>
    </cfRule>
    <cfRule type="cellIs" dxfId="9330" priority="765" stopIfTrue="1" operator="equal">
      <formula>"Fail"</formula>
    </cfRule>
  </conditionalFormatting>
  <conditionalFormatting sqref="B305">
    <cfRule type="cellIs" dxfId="9329" priority="685" stopIfTrue="1" operator="equal">
      <formula>"Please check"</formula>
    </cfRule>
    <cfRule type="cellIs" dxfId="9328" priority="686" stopIfTrue="1" operator="equal">
      <formula>"Pass"</formula>
    </cfRule>
    <cfRule type="cellIs" dxfId="9327" priority="687" stopIfTrue="1" operator="equal">
      <formula>"Fail"</formula>
    </cfRule>
  </conditionalFormatting>
  <conditionalFormatting sqref="B277:B283">
    <cfRule type="cellIs" dxfId="9326" priority="751" stopIfTrue="1" operator="equal">
      <formula>"Please check"</formula>
    </cfRule>
    <cfRule type="cellIs" dxfId="9325" priority="752" stopIfTrue="1" operator="equal">
      <formula>"Pass"</formula>
    </cfRule>
    <cfRule type="cellIs" dxfId="9324" priority="753" stopIfTrue="1" operator="equal">
      <formula>"Fail"</formula>
    </cfRule>
  </conditionalFormatting>
  <conditionalFormatting sqref="I288 E288:G288 C288">
    <cfRule type="cellIs" dxfId="9323" priority="748" stopIfTrue="1" operator="equal">
      <formula>"Please check"</formula>
    </cfRule>
    <cfRule type="cellIs" dxfId="9322" priority="749" stopIfTrue="1" operator="equal">
      <formula>"Pass"</formula>
    </cfRule>
    <cfRule type="cellIs" dxfId="9321" priority="750" stopIfTrue="1" operator="equal">
      <formula>"Fail"</formula>
    </cfRule>
  </conditionalFormatting>
  <conditionalFormatting sqref="B288">
    <cfRule type="cellIs" dxfId="9320" priority="742" stopIfTrue="1" operator="equal">
      <formula>"Please check"</formula>
    </cfRule>
    <cfRule type="cellIs" dxfId="9319" priority="743" stopIfTrue="1" operator="equal">
      <formula>"Pass"</formula>
    </cfRule>
    <cfRule type="cellIs" dxfId="9318" priority="744" stopIfTrue="1" operator="equal">
      <formula>"Fail"</formula>
    </cfRule>
  </conditionalFormatting>
  <conditionalFormatting sqref="K288:M288">
    <cfRule type="cellIs" dxfId="9317" priority="739" stopIfTrue="1" operator="equal">
      <formula>"Please check"</formula>
    </cfRule>
    <cfRule type="cellIs" dxfId="9316" priority="740" stopIfTrue="1" operator="equal">
      <formula>"Pass"</formula>
    </cfRule>
    <cfRule type="cellIs" dxfId="9315" priority="741" stopIfTrue="1" operator="equal">
      <formula>"Fail"</formula>
    </cfRule>
  </conditionalFormatting>
  <conditionalFormatting sqref="D288">
    <cfRule type="cellIs" dxfId="9314" priority="733" stopIfTrue="1" operator="equal">
      <formula>"Please check"</formula>
    </cfRule>
    <cfRule type="cellIs" dxfId="9313" priority="734" stopIfTrue="1" operator="equal">
      <formula>"Pass"</formula>
    </cfRule>
    <cfRule type="cellIs" dxfId="9312" priority="735" stopIfTrue="1" operator="equal">
      <formula>"Fail"</formula>
    </cfRule>
  </conditionalFormatting>
  <conditionalFormatting sqref="J288">
    <cfRule type="cellIs" dxfId="9311" priority="730" stopIfTrue="1" operator="equal">
      <formula>"Please check"</formula>
    </cfRule>
    <cfRule type="cellIs" dxfId="9310" priority="731" stopIfTrue="1" operator="equal">
      <formula>"Pass"</formula>
    </cfRule>
    <cfRule type="cellIs" dxfId="9309" priority="732" stopIfTrue="1" operator="equal">
      <formula>"Fail"</formula>
    </cfRule>
  </conditionalFormatting>
  <conditionalFormatting sqref="H288">
    <cfRule type="cellIs" dxfId="9308" priority="727" stopIfTrue="1" operator="equal">
      <formula>"Please check"</formula>
    </cfRule>
    <cfRule type="cellIs" dxfId="9307" priority="728" stopIfTrue="1" operator="equal">
      <formula>"Pass"</formula>
    </cfRule>
    <cfRule type="cellIs" dxfId="9306" priority="729" stopIfTrue="1" operator="equal">
      <formula>"Fail"</formula>
    </cfRule>
  </conditionalFormatting>
  <conditionalFormatting sqref="A287 C287:S287">
    <cfRule type="cellIs" dxfId="9305" priority="724" stopIfTrue="1" operator="equal">
      <formula>"Please check"</formula>
    </cfRule>
    <cfRule type="cellIs" dxfId="9304" priority="725" stopIfTrue="1" operator="equal">
      <formula>"Pass"</formula>
    </cfRule>
    <cfRule type="cellIs" dxfId="9303" priority="726" stopIfTrue="1" operator="equal">
      <formula>"Fail"</formula>
    </cfRule>
  </conditionalFormatting>
  <conditionalFormatting sqref="B287">
    <cfRule type="cellIs" dxfId="9302" priority="721" stopIfTrue="1" operator="equal">
      <formula>"Please check"</formula>
    </cfRule>
    <cfRule type="cellIs" dxfId="9301" priority="722" stopIfTrue="1" operator="equal">
      <formula>"Pass"</formula>
    </cfRule>
    <cfRule type="cellIs" dxfId="9300" priority="723" stopIfTrue="1" operator="equal">
      <formula>"Fail"</formula>
    </cfRule>
  </conditionalFormatting>
  <conditionalFormatting sqref="A286 C286:S286">
    <cfRule type="cellIs" dxfId="9299" priority="718" stopIfTrue="1" operator="equal">
      <formula>"Please check"</formula>
    </cfRule>
    <cfRule type="cellIs" dxfId="9298" priority="719" stopIfTrue="1" operator="equal">
      <formula>"Pass"</formula>
    </cfRule>
    <cfRule type="cellIs" dxfId="9297" priority="720" stopIfTrue="1" operator="equal">
      <formula>"Fail"</formula>
    </cfRule>
  </conditionalFormatting>
  <conditionalFormatting sqref="B286">
    <cfRule type="cellIs" dxfId="9296" priority="715" stopIfTrue="1" operator="equal">
      <formula>"Please check"</formula>
    </cfRule>
    <cfRule type="cellIs" dxfId="9295" priority="716" stopIfTrue="1" operator="equal">
      <formula>"Pass"</formula>
    </cfRule>
    <cfRule type="cellIs" dxfId="9294" priority="717" stopIfTrue="1" operator="equal">
      <formula>"Fail"</formula>
    </cfRule>
  </conditionalFormatting>
  <conditionalFormatting sqref="A289">
    <cfRule type="cellIs" dxfId="9293" priority="712" stopIfTrue="1" operator="equal">
      <formula>"Please check"</formula>
    </cfRule>
    <cfRule type="cellIs" dxfId="9292" priority="713" stopIfTrue="1" operator="equal">
      <formula>"Pass"</formula>
    </cfRule>
    <cfRule type="cellIs" dxfId="9291" priority="714" stopIfTrue="1" operator="equal">
      <formula>"Fail"</formula>
    </cfRule>
  </conditionalFormatting>
  <conditionalFormatting sqref="A304">
    <cfRule type="cellIs" dxfId="9290" priority="709" stopIfTrue="1" operator="equal">
      <formula>"Please check"</formula>
    </cfRule>
    <cfRule type="cellIs" dxfId="9289" priority="710" stopIfTrue="1" operator="equal">
      <formula>"Pass"</formula>
    </cfRule>
    <cfRule type="cellIs" dxfId="9288" priority="711" stopIfTrue="1" operator="equal">
      <formula>"Fail"</formula>
    </cfRule>
  </conditionalFormatting>
  <conditionalFormatting sqref="A305">
    <cfRule type="cellIs" dxfId="9287" priority="697" stopIfTrue="1" operator="equal">
      <formula>"Please check"</formula>
    </cfRule>
    <cfRule type="cellIs" dxfId="9286" priority="698" stopIfTrue="1" operator="equal">
      <formula>"Pass"</formula>
    </cfRule>
    <cfRule type="cellIs" dxfId="9285" priority="699" stopIfTrue="1" operator="equal">
      <formula>"Fail"</formula>
    </cfRule>
  </conditionalFormatting>
  <conditionalFormatting sqref="A303">
    <cfRule type="cellIs" dxfId="9284" priority="703" stopIfTrue="1" operator="equal">
      <formula>"Please check"</formula>
    </cfRule>
    <cfRule type="cellIs" dxfId="9283" priority="704" stopIfTrue="1" operator="equal">
      <formula>"Pass"</formula>
    </cfRule>
    <cfRule type="cellIs" dxfId="9282" priority="705" stopIfTrue="1" operator="equal">
      <formula>"Fail"</formula>
    </cfRule>
  </conditionalFormatting>
  <conditionalFormatting sqref="B291:B302">
    <cfRule type="cellIs" dxfId="9281" priority="691" stopIfTrue="1" operator="equal">
      <formula>"Please check"</formula>
    </cfRule>
    <cfRule type="cellIs" dxfId="9280" priority="692" stopIfTrue="1" operator="equal">
      <formula>"Pass"</formula>
    </cfRule>
    <cfRule type="cellIs" dxfId="9279" priority="693" stopIfTrue="1" operator="equal">
      <formula>"Fail"</formula>
    </cfRule>
  </conditionalFormatting>
  <conditionalFormatting sqref="A306">
    <cfRule type="cellIs" dxfId="9278" priority="676" stopIfTrue="1" operator="equal">
      <formula>"Please check"</formula>
    </cfRule>
    <cfRule type="cellIs" dxfId="9277" priority="677" stopIfTrue="1" operator="equal">
      <formula>"Pass"</formula>
    </cfRule>
    <cfRule type="cellIs" dxfId="9276" priority="678" stopIfTrue="1" operator="equal">
      <formula>"Fail"</formula>
    </cfRule>
  </conditionalFormatting>
  <conditionalFormatting sqref="H313:H315">
    <cfRule type="cellIs" dxfId="9275" priority="658" stopIfTrue="1" operator="equal">
      <formula>"Please check"</formula>
    </cfRule>
    <cfRule type="cellIs" dxfId="9274" priority="659" stopIfTrue="1" operator="equal">
      <formula>"Pass"</formula>
    </cfRule>
    <cfRule type="cellIs" dxfId="9273" priority="660" stopIfTrue="1" operator="equal">
      <formula>"Fail"</formula>
    </cfRule>
  </conditionalFormatting>
  <conditionalFormatting sqref="H53">
    <cfRule type="cellIs" dxfId="9272" priority="655" stopIfTrue="1" operator="equal">
      <formula>"Please check"</formula>
    </cfRule>
    <cfRule type="cellIs" dxfId="9271" priority="656" stopIfTrue="1" operator="equal">
      <formula>"Pass"</formula>
    </cfRule>
    <cfRule type="cellIs" dxfId="9270" priority="657" stopIfTrue="1" operator="equal">
      <formula>"Fail"</formula>
    </cfRule>
  </conditionalFormatting>
  <conditionalFormatting sqref="B306:S306">
    <cfRule type="cellIs" dxfId="9269" priority="682" stopIfTrue="1" operator="equal">
      <formula>"Please check"</formula>
    </cfRule>
    <cfRule type="cellIs" dxfId="9268" priority="683" stopIfTrue="1" operator="equal">
      <formula>"Pass"</formula>
    </cfRule>
    <cfRule type="cellIs" dxfId="9267" priority="684" stopIfTrue="1" operator="equal">
      <formula>"Fail"</formula>
    </cfRule>
  </conditionalFormatting>
  <conditionalFormatting sqref="H159">
    <cfRule type="cellIs" dxfId="9266" priority="520" stopIfTrue="1" operator="equal">
      <formula>"Please check"</formula>
    </cfRule>
    <cfRule type="cellIs" dxfId="9265" priority="521" stopIfTrue="1" operator="equal">
      <formula>"Pass"</formula>
    </cfRule>
    <cfRule type="cellIs" dxfId="9264" priority="522" stopIfTrue="1" operator="equal">
      <formula>"Fail"</formula>
    </cfRule>
  </conditionalFormatting>
  <conditionalFormatting sqref="H259">
    <cfRule type="cellIs" dxfId="9263" priority="532" stopIfTrue="1" operator="equal">
      <formula>"Please check"</formula>
    </cfRule>
    <cfRule type="cellIs" dxfId="9262" priority="533" stopIfTrue="1" operator="equal">
      <formula>"Pass"</formula>
    </cfRule>
    <cfRule type="cellIs" dxfId="9261" priority="534" stopIfTrue="1" operator="equal">
      <formula>"Fail"</formula>
    </cfRule>
  </conditionalFormatting>
  <conditionalFormatting sqref="A310 C310:S310">
    <cfRule type="cellIs" dxfId="9260" priority="673" stopIfTrue="1" operator="equal">
      <formula>"Please check"</formula>
    </cfRule>
    <cfRule type="cellIs" dxfId="9259" priority="674" stopIfTrue="1" operator="equal">
      <formula>"Pass"</formula>
    </cfRule>
    <cfRule type="cellIs" dxfId="9258" priority="675" stopIfTrue="1" operator="equal">
      <formula>"Fail"</formula>
    </cfRule>
  </conditionalFormatting>
  <conditionalFormatting sqref="H76">
    <cfRule type="cellIs" dxfId="9257" priority="526" stopIfTrue="1" operator="equal">
      <formula>"Please check"</formula>
    </cfRule>
    <cfRule type="cellIs" dxfId="9256" priority="527" stopIfTrue="1" operator="equal">
      <formula>"Pass"</formula>
    </cfRule>
    <cfRule type="cellIs" dxfId="9255" priority="528" stopIfTrue="1" operator="equal">
      <formula>"Fail"</formula>
    </cfRule>
  </conditionalFormatting>
  <conditionalFormatting sqref="A309 C309:S309">
    <cfRule type="cellIs" dxfId="9254" priority="667" stopIfTrue="1" operator="equal">
      <formula>"Please check"</formula>
    </cfRule>
    <cfRule type="cellIs" dxfId="9253" priority="668" stopIfTrue="1" operator="equal">
      <formula>"Pass"</formula>
    </cfRule>
    <cfRule type="cellIs" dxfId="9252" priority="669" stopIfTrue="1" operator="equal">
      <formula>"Fail"</formula>
    </cfRule>
  </conditionalFormatting>
  <conditionalFormatting sqref="A315:B315 N315 I313:XFD314 A313:G314 R315:XFD315">
    <cfRule type="cellIs" dxfId="9251" priority="661" stopIfTrue="1" operator="equal">
      <formula>"Please check"</formula>
    </cfRule>
    <cfRule type="cellIs" dxfId="9250" priority="662" stopIfTrue="1" operator="equal">
      <formula>"Pass"</formula>
    </cfRule>
    <cfRule type="cellIs" dxfId="9249" priority="663" stopIfTrue="1" operator="equal">
      <formula>"Fail"</formula>
    </cfRule>
  </conditionalFormatting>
  <conditionalFormatting sqref="H69">
    <cfRule type="cellIs" dxfId="9248" priority="652" stopIfTrue="1" operator="equal">
      <formula>"Please check"</formula>
    </cfRule>
    <cfRule type="cellIs" dxfId="9247" priority="653" stopIfTrue="1" operator="equal">
      <formula>"Pass"</formula>
    </cfRule>
    <cfRule type="cellIs" dxfId="9246" priority="654" stopIfTrue="1" operator="equal">
      <formula>"Fail"</formula>
    </cfRule>
  </conditionalFormatting>
  <conditionalFormatting sqref="H78:H83">
    <cfRule type="cellIs" dxfId="9245" priority="649" stopIfTrue="1" operator="equal">
      <formula>"Please check"</formula>
    </cfRule>
    <cfRule type="cellIs" dxfId="9244" priority="650" stopIfTrue="1" operator="equal">
      <formula>"Pass"</formula>
    </cfRule>
    <cfRule type="cellIs" dxfId="9243" priority="651" stopIfTrue="1" operator="equal">
      <formula>"Fail"</formula>
    </cfRule>
  </conditionalFormatting>
  <conditionalFormatting sqref="H87:H92">
    <cfRule type="cellIs" dxfId="9242" priority="646" stopIfTrue="1" operator="equal">
      <formula>"Please check"</formula>
    </cfRule>
    <cfRule type="cellIs" dxfId="9241" priority="647" stopIfTrue="1" operator="equal">
      <formula>"Pass"</formula>
    </cfRule>
    <cfRule type="cellIs" dxfId="9240" priority="648" stopIfTrue="1" operator="equal">
      <formula>"Fail"</formula>
    </cfRule>
  </conditionalFormatting>
  <conditionalFormatting sqref="H96:H101">
    <cfRule type="cellIs" dxfId="9239" priority="643" stopIfTrue="1" operator="equal">
      <formula>"Please check"</formula>
    </cfRule>
    <cfRule type="cellIs" dxfId="9238" priority="644" stopIfTrue="1" operator="equal">
      <formula>"Pass"</formula>
    </cfRule>
    <cfRule type="cellIs" dxfId="9237" priority="645" stopIfTrue="1" operator="equal">
      <formula>"Fail"</formula>
    </cfRule>
  </conditionalFormatting>
  <conditionalFormatting sqref="H115:H120">
    <cfRule type="cellIs" dxfId="9236" priority="640" stopIfTrue="1" operator="equal">
      <formula>"Please check"</formula>
    </cfRule>
    <cfRule type="cellIs" dxfId="9235" priority="641" stopIfTrue="1" operator="equal">
      <formula>"Pass"</formula>
    </cfRule>
    <cfRule type="cellIs" dxfId="9234" priority="642" stopIfTrue="1" operator="equal">
      <formula>"Fail"</formula>
    </cfRule>
  </conditionalFormatting>
  <conditionalFormatting sqref="H124:H129">
    <cfRule type="cellIs" dxfId="9233" priority="637" stopIfTrue="1" operator="equal">
      <formula>"Please check"</formula>
    </cfRule>
    <cfRule type="cellIs" dxfId="9232" priority="638" stopIfTrue="1" operator="equal">
      <formula>"Pass"</formula>
    </cfRule>
    <cfRule type="cellIs" dxfId="9231" priority="639" stopIfTrue="1" operator="equal">
      <formula>"Fail"</formula>
    </cfRule>
  </conditionalFormatting>
  <conditionalFormatting sqref="H133:H138">
    <cfRule type="cellIs" dxfId="9230" priority="634" stopIfTrue="1" operator="equal">
      <formula>"Please check"</formula>
    </cfRule>
    <cfRule type="cellIs" dxfId="9229" priority="635" stopIfTrue="1" operator="equal">
      <formula>"Pass"</formula>
    </cfRule>
    <cfRule type="cellIs" dxfId="9228" priority="636" stopIfTrue="1" operator="equal">
      <formula>"Fail"</formula>
    </cfRule>
  </conditionalFormatting>
  <conditionalFormatting sqref="H151:H156">
    <cfRule type="cellIs" dxfId="9227" priority="631" stopIfTrue="1" operator="equal">
      <formula>"Please check"</formula>
    </cfRule>
    <cfRule type="cellIs" dxfId="9226" priority="632" stopIfTrue="1" operator="equal">
      <formula>"Pass"</formula>
    </cfRule>
    <cfRule type="cellIs" dxfId="9225" priority="633" stopIfTrue="1" operator="equal">
      <formula>"Fail"</formula>
    </cfRule>
  </conditionalFormatting>
  <conditionalFormatting sqref="H161:H166">
    <cfRule type="cellIs" dxfId="9224" priority="628" stopIfTrue="1" operator="equal">
      <formula>"Please check"</formula>
    </cfRule>
    <cfRule type="cellIs" dxfId="9223" priority="629" stopIfTrue="1" operator="equal">
      <formula>"Pass"</formula>
    </cfRule>
    <cfRule type="cellIs" dxfId="9222" priority="630" stopIfTrue="1" operator="equal">
      <formula>"Fail"</formula>
    </cfRule>
  </conditionalFormatting>
  <conditionalFormatting sqref="H170:H175">
    <cfRule type="cellIs" dxfId="9221" priority="625" stopIfTrue="1" operator="equal">
      <formula>"Please check"</formula>
    </cfRule>
    <cfRule type="cellIs" dxfId="9220" priority="626" stopIfTrue="1" operator="equal">
      <formula>"Pass"</formula>
    </cfRule>
    <cfRule type="cellIs" dxfId="9219" priority="627" stopIfTrue="1" operator="equal">
      <formula>"Fail"</formula>
    </cfRule>
  </conditionalFormatting>
  <conditionalFormatting sqref="H179:H184">
    <cfRule type="cellIs" dxfId="9218" priority="622" stopIfTrue="1" operator="equal">
      <formula>"Please check"</formula>
    </cfRule>
    <cfRule type="cellIs" dxfId="9217" priority="623" stopIfTrue="1" operator="equal">
      <formula>"Pass"</formula>
    </cfRule>
    <cfRule type="cellIs" dxfId="9216" priority="624" stopIfTrue="1" operator="equal">
      <formula>"Fail"</formula>
    </cfRule>
  </conditionalFormatting>
  <conditionalFormatting sqref="H188:H193">
    <cfRule type="cellIs" dxfId="9215" priority="619" stopIfTrue="1" operator="equal">
      <formula>"Please check"</formula>
    </cfRule>
    <cfRule type="cellIs" dxfId="9214" priority="620" stopIfTrue="1" operator="equal">
      <formula>"Pass"</formula>
    </cfRule>
    <cfRule type="cellIs" dxfId="9213" priority="621" stopIfTrue="1" operator="equal">
      <formula>"Fail"</formula>
    </cfRule>
  </conditionalFormatting>
  <conditionalFormatting sqref="H197:H202">
    <cfRule type="cellIs" dxfId="9212" priority="616" stopIfTrue="1" operator="equal">
      <formula>"Please check"</formula>
    </cfRule>
    <cfRule type="cellIs" dxfId="9211" priority="617" stopIfTrue="1" operator="equal">
      <formula>"Pass"</formula>
    </cfRule>
    <cfRule type="cellIs" dxfId="9210" priority="618" stopIfTrue="1" operator="equal">
      <formula>"Fail"</formula>
    </cfRule>
  </conditionalFormatting>
  <conditionalFormatting sqref="H215:H220">
    <cfRule type="cellIs" dxfId="9209" priority="610" stopIfTrue="1" operator="equal">
      <formula>"Please check"</formula>
    </cfRule>
    <cfRule type="cellIs" dxfId="9208" priority="611" stopIfTrue="1" operator="equal">
      <formula>"Pass"</formula>
    </cfRule>
    <cfRule type="cellIs" dxfId="9207" priority="612" stopIfTrue="1" operator="equal">
      <formula>"Fail"</formula>
    </cfRule>
  </conditionalFormatting>
  <conditionalFormatting sqref="H113">
    <cfRule type="cellIs" dxfId="9206" priority="523" stopIfTrue="1" operator="equal">
      <formula>"Please check"</formula>
    </cfRule>
    <cfRule type="cellIs" dxfId="9205" priority="524" stopIfTrue="1" operator="equal">
      <formula>"Pass"</formula>
    </cfRule>
    <cfRule type="cellIs" dxfId="9204" priority="525" stopIfTrue="1" operator="equal">
      <formula>"Fail"</formula>
    </cfRule>
  </conditionalFormatting>
  <conditionalFormatting sqref="H242:H247">
    <cfRule type="cellIs" dxfId="9203" priority="604" stopIfTrue="1" operator="equal">
      <formula>"Please check"</formula>
    </cfRule>
    <cfRule type="cellIs" dxfId="9202" priority="605" stopIfTrue="1" operator="equal">
      <formula>"Pass"</formula>
    </cfRule>
    <cfRule type="cellIs" dxfId="9201" priority="606" stopIfTrue="1" operator="equal">
      <formula>"Fail"</formula>
    </cfRule>
  </conditionalFormatting>
  <conditionalFormatting sqref="H224:H229">
    <cfRule type="cellIs" dxfId="9200" priority="601" stopIfTrue="1" operator="equal">
      <formula>"Please check"</formula>
    </cfRule>
    <cfRule type="cellIs" dxfId="9199" priority="602" stopIfTrue="1" operator="equal">
      <formula>"Pass"</formula>
    </cfRule>
    <cfRule type="cellIs" dxfId="9198" priority="603" stopIfTrue="1" operator="equal">
      <formula>"Fail"</formula>
    </cfRule>
  </conditionalFormatting>
  <conditionalFormatting sqref="H251:H256">
    <cfRule type="cellIs" dxfId="9197" priority="598" stopIfTrue="1" operator="equal">
      <formula>"Please check"</formula>
    </cfRule>
    <cfRule type="cellIs" dxfId="9196" priority="599" stopIfTrue="1" operator="equal">
      <formula>"Pass"</formula>
    </cfRule>
    <cfRule type="cellIs" dxfId="9195" priority="600" stopIfTrue="1" operator="equal">
      <formula>"Fail"</formula>
    </cfRule>
  </conditionalFormatting>
  <conditionalFormatting sqref="H277">
    <cfRule type="cellIs" dxfId="9194" priority="595" stopIfTrue="1" operator="equal">
      <formula>"Please check"</formula>
    </cfRule>
    <cfRule type="cellIs" dxfId="9193" priority="596" stopIfTrue="1" operator="equal">
      <formula>"Pass"</formula>
    </cfRule>
    <cfRule type="cellIs" dxfId="9192" priority="597" stopIfTrue="1" operator="equal">
      <formula>"Fail"</formula>
    </cfRule>
  </conditionalFormatting>
  <conditionalFormatting sqref="H269:H274">
    <cfRule type="cellIs" dxfId="9191" priority="592" stopIfTrue="1" operator="equal">
      <formula>"Please check"</formula>
    </cfRule>
    <cfRule type="cellIs" dxfId="9190" priority="593" stopIfTrue="1" operator="equal">
      <formula>"Pass"</formula>
    </cfRule>
    <cfRule type="cellIs" dxfId="9189" priority="594" stopIfTrue="1" operator="equal">
      <formula>"Fail"</formula>
    </cfRule>
  </conditionalFormatting>
  <conditionalFormatting sqref="H280:H281">
    <cfRule type="cellIs" dxfId="9188" priority="589" stopIfTrue="1" operator="equal">
      <formula>"Please check"</formula>
    </cfRule>
    <cfRule type="cellIs" dxfId="9187" priority="590" stopIfTrue="1" operator="equal">
      <formula>"Pass"</formula>
    </cfRule>
    <cfRule type="cellIs" dxfId="9186" priority="591" stopIfTrue="1" operator="equal">
      <formula>"Fail"</formula>
    </cfRule>
  </conditionalFormatting>
  <conditionalFormatting sqref="H283">
    <cfRule type="cellIs" dxfId="9185" priority="586" stopIfTrue="1" operator="equal">
      <formula>"Please check"</formula>
    </cfRule>
    <cfRule type="cellIs" dxfId="9184" priority="587" stopIfTrue="1" operator="equal">
      <formula>"Pass"</formula>
    </cfRule>
    <cfRule type="cellIs" dxfId="9183" priority="588" stopIfTrue="1" operator="equal">
      <formula>"Fail"</formula>
    </cfRule>
  </conditionalFormatting>
  <conditionalFormatting sqref="H59">
    <cfRule type="cellIs" dxfId="9182" priority="583" stopIfTrue="1" operator="equal">
      <formula>"Please check"</formula>
    </cfRule>
    <cfRule type="cellIs" dxfId="9181" priority="584" stopIfTrue="1" operator="equal">
      <formula>"Pass"</formula>
    </cfRule>
    <cfRule type="cellIs" dxfId="9180" priority="585" stopIfTrue="1" operator="equal">
      <formula>"Fail"</formula>
    </cfRule>
  </conditionalFormatting>
  <conditionalFormatting sqref="H77">
    <cfRule type="cellIs" dxfId="9179" priority="580" stopIfTrue="1" operator="equal">
      <formula>"Please check"</formula>
    </cfRule>
    <cfRule type="cellIs" dxfId="9178" priority="581" stopIfTrue="1" operator="equal">
      <formula>"Pass"</formula>
    </cfRule>
    <cfRule type="cellIs" dxfId="9177" priority="582" stopIfTrue="1" operator="equal">
      <formula>"Fail"</formula>
    </cfRule>
  </conditionalFormatting>
  <conditionalFormatting sqref="H86">
    <cfRule type="cellIs" dxfId="9176" priority="577" stopIfTrue="1" operator="equal">
      <formula>"Please check"</formula>
    </cfRule>
    <cfRule type="cellIs" dxfId="9175" priority="578" stopIfTrue="1" operator="equal">
      <formula>"Pass"</formula>
    </cfRule>
    <cfRule type="cellIs" dxfId="9174" priority="579" stopIfTrue="1" operator="equal">
      <formula>"Fail"</formula>
    </cfRule>
  </conditionalFormatting>
  <conditionalFormatting sqref="H95">
    <cfRule type="cellIs" dxfId="9173" priority="574" stopIfTrue="1" operator="equal">
      <formula>"Please check"</formula>
    </cfRule>
    <cfRule type="cellIs" dxfId="9172" priority="575" stopIfTrue="1" operator="equal">
      <formula>"Pass"</formula>
    </cfRule>
    <cfRule type="cellIs" dxfId="9171" priority="576" stopIfTrue="1" operator="equal">
      <formula>"Fail"</formula>
    </cfRule>
  </conditionalFormatting>
  <conditionalFormatting sqref="H114">
    <cfRule type="cellIs" dxfId="9170" priority="571" stopIfTrue="1" operator="equal">
      <formula>"Please check"</formula>
    </cfRule>
    <cfRule type="cellIs" dxfId="9169" priority="572" stopIfTrue="1" operator="equal">
      <formula>"Pass"</formula>
    </cfRule>
    <cfRule type="cellIs" dxfId="9168" priority="573" stopIfTrue="1" operator="equal">
      <formula>"Fail"</formula>
    </cfRule>
  </conditionalFormatting>
  <conditionalFormatting sqref="H123">
    <cfRule type="cellIs" dxfId="9167" priority="568" stopIfTrue="1" operator="equal">
      <formula>"Please check"</formula>
    </cfRule>
    <cfRule type="cellIs" dxfId="9166" priority="569" stopIfTrue="1" operator="equal">
      <formula>"Pass"</formula>
    </cfRule>
    <cfRule type="cellIs" dxfId="9165" priority="570" stopIfTrue="1" operator="equal">
      <formula>"Fail"</formula>
    </cfRule>
  </conditionalFormatting>
  <conditionalFormatting sqref="H132">
    <cfRule type="cellIs" dxfId="9164" priority="565" stopIfTrue="1" operator="equal">
      <formula>"Please check"</formula>
    </cfRule>
    <cfRule type="cellIs" dxfId="9163" priority="566" stopIfTrue="1" operator="equal">
      <formula>"Pass"</formula>
    </cfRule>
    <cfRule type="cellIs" dxfId="9162" priority="567" stopIfTrue="1" operator="equal">
      <formula>"Fail"</formula>
    </cfRule>
  </conditionalFormatting>
  <conditionalFormatting sqref="H150">
    <cfRule type="cellIs" dxfId="9161" priority="562" stopIfTrue="1" operator="equal">
      <formula>"Please check"</formula>
    </cfRule>
    <cfRule type="cellIs" dxfId="9160" priority="563" stopIfTrue="1" operator="equal">
      <formula>"Pass"</formula>
    </cfRule>
    <cfRule type="cellIs" dxfId="9159" priority="564" stopIfTrue="1" operator="equal">
      <formula>"Fail"</formula>
    </cfRule>
  </conditionalFormatting>
  <conditionalFormatting sqref="H160">
    <cfRule type="cellIs" dxfId="9158" priority="559" stopIfTrue="1" operator="equal">
      <formula>"Please check"</formula>
    </cfRule>
    <cfRule type="cellIs" dxfId="9157" priority="560" stopIfTrue="1" operator="equal">
      <formula>"Pass"</formula>
    </cfRule>
    <cfRule type="cellIs" dxfId="9156" priority="561" stopIfTrue="1" operator="equal">
      <formula>"Fail"</formula>
    </cfRule>
  </conditionalFormatting>
  <conditionalFormatting sqref="H169">
    <cfRule type="cellIs" dxfId="9155" priority="556" stopIfTrue="1" operator="equal">
      <formula>"Please check"</formula>
    </cfRule>
    <cfRule type="cellIs" dxfId="9154" priority="557" stopIfTrue="1" operator="equal">
      <formula>"Pass"</formula>
    </cfRule>
    <cfRule type="cellIs" dxfId="9153" priority="558" stopIfTrue="1" operator="equal">
      <formula>"Fail"</formula>
    </cfRule>
  </conditionalFormatting>
  <conditionalFormatting sqref="H178">
    <cfRule type="cellIs" dxfId="9152" priority="553" stopIfTrue="1" operator="equal">
      <formula>"Please check"</formula>
    </cfRule>
    <cfRule type="cellIs" dxfId="9151" priority="554" stopIfTrue="1" operator="equal">
      <formula>"Pass"</formula>
    </cfRule>
    <cfRule type="cellIs" dxfId="9150" priority="555" stopIfTrue="1" operator="equal">
      <formula>"Fail"</formula>
    </cfRule>
  </conditionalFormatting>
  <conditionalFormatting sqref="H187">
    <cfRule type="cellIs" dxfId="9149" priority="550" stopIfTrue="1" operator="equal">
      <formula>"Please check"</formula>
    </cfRule>
    <cfRule type="cellIs" dxfId="9148" priority="551" stopIfTrue="1" operator="equal">
      <formula>"Pass"</formula>
    </cfRule>
    <cfRule type="cellIs" dxfId="9147" priority="552" stopIfTrue="1" operator="equal">
      <formula>"Fail"</formula>
    </cfRule>
  </conditionalFormatting>
  <conditionalFormatting sqref="H196">
    <cfRule type="cellIs" dxfId="9146" priority="547" stopIfTrue="1" operator="equal">
      <formula>"Please check"</formula>
    </cfRule>
    <cfRule type="cellIs" dxfId="9145" priority="548" stopIfTrue="1" operator="equal">
      <formula>"Pass"</formula>
    </cfRule>
    <cfRule type="cellIs" dxfId="9144" priority="549" stopIfTrue="1" operator="equal">
      <formula>"Fail"</formula>
    </cfRule>
  </conditionalFormatting>
  <conditionalFormatting sqref="H214">
    <cfRule type="cellIs" dxfId="9143" priority="544" stopIfTrue="1" operator="equal">
      <formula>"Please check"</formula>
    </cfRule>
    <cfRule type="cellIs" dxfId="9142" priority="545" stopIfTrue="1" operator="equal">
      <formula>"Pass"</formula>
    </cfRule>
    <cfRule type="cellIs" dxfId="9141" priority="546" stopIfTrue="1" operator="equal">
      <formula>"Fail"</formula>
    </cfRule>
  </conditionalFormatting>
  <conditionalFormatting sqref="H223">
    <cfRule type="cellIs" dxfId="9140" priority="541" stopIfTrue="1" operator="equal">
      <formula>"Please check"</formula>
    </cfRule>
    <cfRule type="cellIs" dxfId="9139" priority="542" stopIfTrue="1" operator="equal">
      <formula>"Pass"</formula>
    </cfRule>
    <cfRule type="cellIs" dxfId="9138" priority="543" stopIfTrue="1" operator="equal">
      <formula>"Fail"</formula>
    </cfRule>
  </conditionalFormatting>
  <conditionalFormatting sqref="H241">
    <cfRule type="cellIs" dxfId="9137" priority="538" stopIfTrue="1" operator="equal">
      <formula>"Please check"</formula>
    </cfRule>
    <cfRule type="cellIs" dxfId="9136" priority="539" stopIfTrue="1" operator="equal">
      <formula>"Pass"</formula>
    </cfRule>
    <cfRule type="cellIs" dxfId="9135" priority="540" stopIfTrue="1" operator="equal">
      <formula>"Fail"</formula>
    </cfRule>
  </conditionalFormatting>
  <conditionalFormatting sqref="H250">
    <cfRule type="cellIs" dxfId="9134" priority="535" stopIfTrue="1" operator="equal">
      <formula>"Please check"</formula>
    </cfRule>
    <cfRule type="cellIs" dxfId="9133" priority="536" stopIfTrue="1" operator="equal">
      <formula>"Pass"</formula>
    </cfRule>
    <cfRule type="cellIs" dxfId="9132" priority="537" stopIfTrue="1" operator="equal">
      <formula>"Fail"</formula>
    </cfRule>
  </conditionalFormatting>
  <conditionalFormatting sqref="H268">
    <cfRule type="cellIs" dxfId="9131" priority="529" stopIfTrue="1" operator="equal">
      <formula>"Please check"</formula>
    </cfRule>
    <cfRule type="cellIs" dxfId="9130" priority="530" stopIfTrue="1" operator="equal">
      <formula>"Pass"</formula>
    </cfRule>
    <cfRule type="cellIs" dxfId="9129" priority="531" stopIfTrue="1" operator="equal">
      <formula>"Fail"</formula>
    </cfRule>
  </conditionalFormatting>
  <conditionalFormatting sqref="I307:J308">
    <cfRule type="cellIs" dxfId="9128" priority="472" stopIfTrue="1" operator="equal">
      <formula>"Please check"</formula>
    </cfRule>
    <cfRule type="cellIs" dxfId="9127" priority="473" stopIfTrue="1" operator="equal">
      <formula>"Pass"</formula>
    </cfRule>
    <cfRule type="cellIs" dxfId="9126" priority="474" stopIfTrue="1" operator="equal">
      <formula>"Fail"</formula>
    </cfRule>
  </conditionalFormatting>
  <conditionalFormatting sqref="C307">
    <cfRule type="cellIs" dxfId="9125" priority="469" stopIfTrue="1" operator="equal">
      <formula>"Please check"</formula>
    </cfRule>
    <cfRule type="cellIs" dxfId="9124" priority="470" stopIfTrue="1" operator="equal">
      <formula>"Pass"</formula>
    </cfRule>
    <cfRule type="cellIs" dxfId="9123" priority="471" stopIfTrue="1" operator="equal">
      <formula>"Fail"</formula>
    </cfRule>
  </conditionalFormatting>
  <conditionalFormatting sqref="F290:G304">
    <cfRule type="cellIs" dxfId="9122" priority="517" stopIfTrue="1" operator="equal">
      <formula>"Please check"</formula>
    </cfRule>
    <cfRule type="cellIs" dxfId="9121" priority="518" stopIfTrue="1" operator="equal">
      <formula>"Pass"</formula>
    </cfRule>
    <cfRule type="cellIs" dxfId="9120" priority="519" stopIfTrue="1" operator="equal">
      <formula>"Fail"</formula>
    </cfRule>
  </conditionalFormatting>
  <conditionalFormatting sqref="E290:E304">
    <cfRule type="cellIs" dxfId="9119" priority="514" stopIfTrue="1" operator="equal">
      <formula>"Please check"</formula>
    </cfRule>
    <cfRule type="cellIs" dxfId="9118" priority="515" stopIfTrue="1" operator="equal">
      <formula>"Pass"</formula>
    </cfRule>
    <cfRule type="cellIs" dxfId="9117" priority="516" stopIfTrue="1" operator="equal">
      <formula>"Fail"</formula>
    </cfRule>
  </conditionalFormatting>
  <conditionalFormatting sqref="D290:D304">
    <cfRule type="cellIs" dxfId="9116" priority="511" stopIfTrue="1" operator="equal">
      <formula>"Please check"</formula>
    </cfRule>
    <cfRule type="cellIs" dxfId="9115" priority="512" stopIfTrue="1" operator="equal">
      <formula>"Pass"</formula>
    </cfRule>
    <cfRule type="cellIs" dxfId="9114" priority="513" stopIfTrue="1" operator="equal">
      <formula>"Fail"</formula>
    </cfRule>
  </conditionalFormatting>
  <conditionalFormatting sqref="E305:G305">
    <cfRule type="cellIs" dxfId="9113" priority="508" stopIfTrue="1" operator="equal">
      <formula>"Please check"</formula>
    </cfRule>
    <cfRule type="cellIs" dxfId="9112" priority="509" stopIfTrue="1" operator="equal">
      <formula>"Pass"</formula>
    </cfRule>
    <cfRule type="cellIs" dxfId="9111" priority="510" stopIfTrue="1" operator="equal">
      <formula>"Fail"</formula>
    </cfRule>
  </conditionalFormatting>
  <conditionalFormatting sqref="D305">
    <cfRule type="cellIs" dxfId="9110" priority="505" stopIfTrue="1" operator="equal">
      <formula>"Please check"</formula>
    </cfRule>
    <cfRule type="cellIs" dxfId="9109" priority="506" stopIfTrue="1" operator="equal">
      <formula>"Pass"</formula>
    </cfRule>
    <cfRule type="cellIs" dxfId="9108" priority="507" stopIfTrue="1" operator="equal">
      <formula>"Fail"</formula>
    </cfRule>
  </conditionalFormatting>
  <conditionalFormatting sqref="H297">
    <cfRule type="cellIs" dxfId="9107" priority="502" stopIfTrue="1" operator="equal">
      <formula>"Please check"</formula>
    </cfRule>
    <cfRule type="cellIs" dxfId="9106" priority="503" stopIfTrue="1" operator="equal">
      <formula>"Pass"</formula>
    </cfRule>
    <cfRule type="cellIs" dxfId="9105" priority="504" stopIfTrue="1" operator="equal">
      <formula>"Fail"</formula>
    </cfRule>
  </conditionalFormatting>
  <conditionalFormatting sqref="B304">
    <cfRule type="cellIs" dxfId="9104" priority="499" stopIfTrue="1" operator="equal">
      <formula>"Please check"</formula>
    </cfRule>
    <cfRule type="cellIs" dxfId="9103" priority="500" stopIfTrue="1" operator="equal">
      <formula>"Pass"</formula>
    </cfRule>
    <cfRule type="cellIs" dxfId="9102" priority="501" stopIfTrue="1" operator="equal">
      <formula>"Fail"</formula>
    </cfRule>
  </conditionalFormatting>
  <conditionalFormatting sqref="B303">
    <cfRule type="cellIs" dxfId="9101" priority="496" stopIfTrue="1" operator="equal">
      <formula>"Please check"</formula>
    </cfRule>
    <cfRule type="cellIs" dxfId="9100" priority="497" stopIfTrue="1" operator="equal">
      <formula>"Pass"</formula>
    </cfRule>
    <cfRule type="cellIs" dxfId="9099" priority="498" stopIfTrue="1" operator="equal">
      <formula>"Fail"</formula>
    </cfRule>
  </conditionalFormatting>
  <conditionalFormatting sqref="H305">
    <cfRule type="cellIs" dxfId="9098" priority="493" stopIfTrue="1" operator="equal">
      <formula>"Please check"</formula>
    </cfRule>
    <cfRule type="cellIs" dxfId="9097" priority="494" stopIfTrue="1" operator="equal">
      <formula>"Pass"</formula>
    </cfRule>
    <cfRule type="cellIs" dxfId="9096" priority="495" stopIfTrue="1" operator="equal">
      <formula>"Fail"</formula>
    </cfRule>
  </conditionalFormatting>
  <conditionalFormatting sqref="I290:J291">
    <cfRule type="cellIs" dxfId="9095" priority="490" stopIfTrue="1" operator="equal">
      <formula>"Please check"</formula>
    </cfRule>
    <cfRule type="cellIs" dxfId="9094" priority="491" stopIfTrue="1" operator="equal">
      <formula>"Pass"</formula>
    </cfRule>
    <cfRule type="cellIs" dxfId="9093" priority="492" stopIfTrue="1" operator="equal">
      <formula>"Fail"</formula>
    </cfRule>
  </conditionalFormatting>
  <conditionalFormatting sqref="I292:J302">
    <cfRule type="cellIs" dxfId="9092" priority="487" stopIfTrue="1" operator="equal">
      <formula>"Please check"</formula>
    </cfRule>
    <cfRule type="cellIs" dxfId="9091" priority="488" stopIfTrue="1" operator="equal">
      <formula>"Pass"</formula>
    </cfRule>
    <cfRule type="cellIs" dxfId="9090" priority="489" stopIfTrue="1" operator="equal">
      <formula>"Fail"</formula>
    </cfRule>
  </conditionalFormatting>
  <conditionalFormatting sqref="H307 N307 A307:A308 R307:S308">
    <cfRule type="cellIs" dxfId="9089" priority="484" stopIfTrue="1" operator="equal">
      <formula>"Please check"</formula>
    </cfRule>
    <cfRule type="cellIs" dxfId="9088" priority="485" stopIfTrue="1" operator="equal">
      <formula>"Pass"</formula>
    </cfRule>
    <cfRule type="cellIs" dxfId="9087" priority="486" stopIfTrue="1" operator="equal">
      <formula>"Fail"</formula>
    </cfRule>
  </conditionalFormatting>
  <conditionalFormatting sqref="F307:G308">
    <cfRule type="cellIs" dxfId="9086" priority="481" stopIfTrue="1" operator="equal">
      <formula>"Please check"</formula>
    </cfRule>
    <cfRule type="cellIs" dxfId="9085" priority="482" stopIfTrue="1" operator="equal">
      <formula>"Pass"</formula>
    </cfRule>
    <cfRule type="cellIs" dxfId="9084" priority="483" stopIfTrue="1" operator="equal">
      <formula>"Fail"</formula>
    </cfRule>
  </conditionalFormatting>
  <conditionalFormatting sqref="E307:E308">
    <cfRule type="cellIs" dxfId="9083" priority="478" stopIfTrue="1" operator="equal">
      <formula>"Please check"</formula>
    </cfRule>
    <cfRule type="cellIs" dxfId="9082" priority="479" stopIfTrue="1" operator="equal">
      <formula>"Pass"</formula>
    </cfRule>
    <cfRule type="cellIs" dxfId="9081" priority="480" stopIfTrue="1" operator="equal">
      <formula>"Fail"</formula>
    </cfRule>
  </conditionalFormatting>
  <conditionalFormatting sqref="D307:D308">
    <cfRule type="cellIs" dxfId="9080" priority="475" stopIfTrue="1" operator="equal">
      <formula>"Please check"</formula>
    </cfRule>
    <cfRule type="cellIs" dxfId="9079" priority="476" stopIfTrue="1" operator="equal">
      <formula>"Pass"</formula>
    </cfRule>
    <cfRule type="cellIs" dxfId="9078" priority="477" stopIfTrue="1" operator="equal">
      <formula>"Fail"</formula>
    </cfRule>
  </conditionalFormatting>
  <conditionalFormatting sqref="B307:B308">
    <cfRule type="cellIs" dxfId="9077" priority="466" stopIfTrue="1" operator="equal">
      <formula>"Please check"</formula>
    </cfRule>
    <cfRule type="cellIs" dxfId="9076" priority="467" stopIfTrue="1" operator="equal">
      <formula>"Pass"</formula>
    </cfRule>
    <cfRule type="cellIs" dxfId="9075" priority="468" stopIfTrue="1" operator="equal">
      <formula>"Fail"</formula>
    </cfRule>
  </conditionalFormatting>
  <conditionalFormatting sqref="B311">
    <cfRule type="cellIs" dxfId="9074" priority="463" stopIfTrue="1" operator="equal">
      <formula>"Please check"</formula>
    </cfRule>
    <cfRule type="cellIs" dxfId="9073" priority="464" stopIfTrue="1" operator="equal">
      <formula>"Pass"</formula>
    </cfRule>
    <cfRule type="cellIs" dxfId="9072" priority="465" stopIfTrue="1" operator="equal">
      <formula>"Fail"</formula>
    </cfRule>
  </conditionalFormatting>
  <conditionalFormatting sqref="C308">
    <cfRule type="cellIs" dxfId="9071" priority="460" stopIfTrue="1" operator="equal">
      <formula>"Please check"</formula>
    </cfRule>
    <cfRule type="cellIs" dxfId="9070" priority="461" stopIfTrue="1" operator="equal">
      <formula>"Pass"</formula>
    </cfRule>
    <cfRule type="cellIs" dxfId="9069" priority="462" stopIfTrue="1" operator="equal">
      <formula>"Fail"</formula>
    </cfRule>
  </conditionalFormatting>
  <conditionalFormatting sqref="H308">
    <cfRule type="cellIs" dxfId="9068" priority="457" stopIfTrue="1" operator="equal">
      <formula>"Please check"</formula>
    </cfRule>
    <cfRule type="cellIs" dxfId="9067" priority="458" stopIfTrue="1" operator="equal">
      <formula>"Pass"</formula>
    </cfRule>
    <cfRule type="cellIs" dxfId="9066" priority="459" stopIfTrue="1" operator="equal">
      <formula>"Fail"</formula>
    </cfRule>
  </conditionalFormatting>
  <conditionalFormatting sqref="N59">
    <cfRule type="cellIs" dxfId="9065" priority="454" stopIfTrue="1" operator="equal">
      <formula>"Please check"</formula>
    </cfRule>
    <cfRule type="cellIs" dxfId="9064" priority="455" stopIfTrue="1" operator="equal">
      <formula>"Pass"</formula>
    </cfRule>
    <cfRule type="cellIs" dxfId="9063" priority="456" stopIfTrue="1" operator="equal">
      <formula>"Fail"</formula>
    </cfRule>
  </conditionalFormatting>
  <conditionalFormatting sqref="N54:N56">
    <cfRule type="cellIs" dxfId="9062" priority="451" stopIfTrue="1" operator="equal">
      <formula>"Please check"</formula>
    </cfRule>
    <cfRule type="cellIs" dxfId="9061" priority="452" stopIfTrue="1" operator="equal">
      <formula>"Pass"</formula>
    </cfRule>
    <cfRule type="cellIs" dxfId="9060" priority="453" stopIfTrue="1" operator="equal">
      <formula>"Fail"</formula>
    </cfRule>
  </conditionalFormatting>
  <conditionalFormatting sqref="N53">
    <cfRule type="cellIs" dxfId="9059" priority="448" stopIfTrue="1" operator="equal">
      <formula>"Please check"</formula>
    </cfRule>
    <cfRule type="cellIs" dxfId="9058" priority="449" stopIfTrue="1" operator="equal">
      <formula>"Pass"</formula>
    </cfRule>
    <cfRule type="cellIs" dxfId="9057" priority="450" stopIfTrue="1" operator="equal">
      <formula>"Fail"</formula>
    </cfRule>
  </conditionalFormatting>
  <conditionalFormatting sqref="N69">
    <cfRule type="cellIs" dxfId="9056" priority="445" stopIfTrue="1" operator="equal">
      <formula>"Please check"</formula>
    </cfRule>
    <cfRule type="cellIs" dxfId="9055" priority="446" stopIfTrue="1" operator="equal">
      <formula>"Pass"</formula>
    </cfRule>
    <cfRule type="cellIs" dxfId="9054" priority="447" stopIfTrue="1" operator="equal">
      <formula>"Fail"</formula>
    </cfRule>
  </conditionalFormatting>
  <conditionalFormatting sqref="N76">
    <cfRule type="cellIs" dxfId="9053" priority="439" stopIfTrue="1" operator="equal">
      <formula>"Please check"</formula>
    </cfRule>
    <cfRule type="cellIs" dxfId="9052" priority="440" stopIfTrue="1" operator="equal">
      <formula>"Pass"</formula>
    </cfRule>
    <cfRule type="cellIs" dxfId="9051" priority="441" stopIfTrue="1" operator="equal">
      <formula>"Fail"</formula>
    </cfRule>
  </conditionalFormatting>
  <conditionalFormatting sqref="N77">
    <cfRule type="cellIs" dxfId="9050" priority="442" stopIfTrue="1" operator="equal">
      <formula>"Please check"</formula>
    </cfRule>
    <cfRule type="cellIs" dxfId="9049" priority="443" stopIfTrue="1" operator="equal">
      <formula>"Pass"</formula>
    </cfRule>
    <cfRule type="cellIs" dxfId="9048" priority="444" stopIfTrue="1" operator="equal">
      <formula>"Fail"</formula>
    </cfRule>
  </conditionalFormatting>
  <conditionalFormatting sqref="K82:M82">
    <cfRule type="cellIs" dxfId="9047" priority="436" stopIfTrue="1" operator="equal">
      <formula>"Please check"</formula>
    </cfRule>
    <cfRule type="cellIs" dxfId="9046" priority="437" stopIfTrue="1" operator="equal">
      <formula>"Pass"</formula>
    </cfRule>
    <cfRule type="cellIs" dxfId="9045" priority="438" stopIfTrue="1" operator="equal">
      <formula>"Fail"</formula>
    </cfRule>
  </conditionalFormatting>
  <conditionalFormatting sqref="K83:M83">
    <cfRule type="cellIs" dxfId="9044" priority="433" stopIfTrue="1" operator="equal">
      <formula>"Please check"</formula>
    </cfRule>
    <cfRule type="cellIs" dxfId="9043" priority="434" stopIfTrue="1" operator="equal">
      <formula>"Pass"</formula>
    </cfRule>
    <cfRule type="cellIs" dxfId="9042" priority="435" stopIfTrue="1" operator="equal">
      <formula>"Fail"</formula>
    </cfRule>
  </conditionalFormatting>
  <conditionalFormatting sqref="N78:N83">
    <cfRule type="cellIs" dxfId="9041" priority="430" stopIfTrue="1" operator="equal">
      <formula>"Please check"</formula>
    </cfRule>
    <cfRule type="cellIs" dxfId="9040" priority="431" stopIfTrue="1" operator="equal">
      <formula>"Pass"</formula>
    </cfRule>
    <cfRule type="cellIs" dxfId="9039" priority="432" stopIfTrue="1" operator="equal">
      <formula>"Fail"</formula>
    </cfRule>
  </conditionalFormatting>
  <conditionalFormatting sqref="O82:Q82">
    <cfRule type="cellIs" dxfId="9038" priority="427" stopIfTrue="1" operator="equal">
      <formula>"Please check"</formula>
    </cfRule>
    <cfRule type="cellIs" dxfId="9037" priority="428" stopIfTrue="1" operator="equal">
      <formula>"Pass"</formula>
    </cfRule>
    <cfRule type="cellIs" dxfId="9036" priority="429" stopIfTrue="1" operator="equal">
      <formula>"Fail"</formula>
    </cfRule>
  </conditionalFormatting>
  <conditionalFormatting sqref="O83:Q83">
    <cfRule type="cellIs" dxfId="9035" priority="424" stopIfTrue="1" operator="equal">
      <formula>"Please check"</formula>
    </cfRule>
    <cfRule type="cellIs" dxfId="9034" priority="425" stopIfTrue="1" operator="equal">
      <formula>"Pass"</formula>
    </cfRule>
    <cfRule type="cellIs" dxfId="9033" priority="426" stopIfTrue="1" operator="equal">
      <formula>"Fail"</formula>
    </cfRule>
  </conditionalFormatting>
  <conditionalFormatting sqref="K87:M90">
    <cfRule type="cellIs" dxfId="9032" priority="421" stopIfTrue="1" operator="equal">
      <formula>"Please check"</formula>
    </cfRule>
    <cfRule type="cellIs" dxfId="9031" priority="422" stopIfTrue="1" operator="equal">
      <formula>"Pass"</formula>
    </cfRule>
    <cfRule type="cellIs" dxfId="9030" priority="423" stopIfTrue="1" operator="equal">
      <formula>"Fail"</formula>
    </cfRule>
  </conditionalFormatting>
  <conditionalFormatting sqref="K91:M91">
    <cfRule type="cellIs" dxfId="9029" priority="418" stopIfTrue="1" operator="equal">
      <formula>"Please check"</formula>
    </cfRule>
    <cfRule type="cellIs" dxfId="9028" priority="419" stopIfTrue="1" operator="equal">
      <formula>"Pass"</formula>
    </cfRule>
    <cfRule type="cellIs" dxfId="9027" priority="420" stopIfTrue="1" operator="equal">
      <formula>"Fail"</formula>
    </cfRule>
  </conditionalFormatting>
  <conditionalFormatting sqref="K92:M92">
    <cfRule type="cellIs" dxfId="9026" priority="415" stopIfTrue="1" operator="equal">
      <formula>"Please check"</formula>
    </cfRule>
    <cfRule type="cellIs" dxfId="9025" priority="416" stopIfTrue="1" operator="equal">
      <formula>"Pass"</formula>
    </cfRule>
    <cfRule type="cellIs" dxfId="9024" priority="417" stopIfTrue="1" operator="equal">
      <formula>"Fail"</formula>
    </cfRule>
  </conditionalFormatting>
  <conditionalFormatting sqref="N87:N92">
    <cfRule type="cellIs" dxfId="9023" priority="412" stopIfTrue="1" operator="equal">
      <formula>"Please check"</formula>
    </cfRule>
    <cfRule type="cellIs" dxfId="9022" priority="413" stopIfTrue="1" operator="equal">
      <formula>"Pass"</formula>
    </cfRule>
    <cfRule type="cellIs" dxfId="9021" priority="414" stopIfTrue="1" operator="equal">
      <formula>"Fail"</formula>
    </cfRule>
  </conditionalFormatting>
  <conditionalFormatting sqref="N86">
    <cfRule type="cellIs" dxfId="9020" priority="409" stopIfTrue="1" operator="equal">
      <formula>"Please check"</formula>
    </cfRule>
    <cfRule type="cellIs" dxfId="9019" priority="410" stopIfTrue="1" operator="equal">
      <formula>"Pass"</formula>
    </cfRule>
    <cfRule type="cellIs" dxfId="9018" priority="411" stopIfTrue="1" operator="equal">
      <formula>"Fail"</formula>
    </cfRule>
  </conditionalFormatting>
  <conditionalFormatting sqref="O91:Q91">
    <cfRule type="cellIs" dxfId="9017" priority="406" stopIfTrue="1" operator="equal">
      <formula>"Please check"</formula>
    </cfRule>
    <cfRule type="cellIs" dxfId="9016" priority="407" stopIfTrue="1" operator="equal">
      <formula>"Pass"</formula>
    </cfRule>
    <cfRule type="cellIs" dxfId="9015" priority="408" stopIfTrue="1" operator="equal">
      <formula>"Fail"</formula>
    </cfRule>
  </conditionalFormatting>
  <conditionalFormatting sqref="O92:Q92">
    <cfRule type="cellIs" dxfId="9014" priority="403" stopIfTrue="1" operator="equal">
      <formula>"Please check"</formula>
    </cfRule>
    <cfRule type="cellIs" dxfId="9013" priority="404" stopIfTrue="1" operator="equal">
      <formula>"Pass"</formula>
    </cfRule>
    <cfRule type="cellIs" dxfId="9012" priority="405" stopIfTrue="1" operator="equal">
      <formula>"Fail"</formula>
    </cfRule>
  </conditionalFormatting>
  <conditionalFormatting sqref="K96:M99">
    <cfRule type="cellIs" dxfId="9011" priority="400" stopIfTrue="1" operator="equal">
      <formula>"Please check"</formula>
    </cfRule>
    <cfRule type="cellIs" dxfId="9010" priority="401" stopIfTrue="1" operator="equal">
      <formula>"Pass"</formula>
    </cfRule>
    <cfRule type="cellIs" dxfId="9009" priority="402" stopIfTrue="1" operator="equal">
      <formula>"Fail"</formula>
    </cfRule>
  </conditionalFormatting>
  <conditionalFormatting sqref="K100:M100">
    <cfRule type="cellIs" dxfId="9008" priority="397" stopIfTrue="1" operator="equal">
      <formula>"Please check"</formula>
    </cfRule>
    <cfRule type="cellIs" dxfId="9007" priority="398" stopIfTrue="1" operator="equal">
      <formula>"Pass"</formula>
    </cfRule>
    <cfRule type="cellIs" dxfId="9006" priority="399" stopIfTrue="1" operator="equal">
      <formula>"Fail"</formula>
    </cfRule>
  </conditionalFormatting>
  <conditionalFormatting sqref="K101:M101">
    <cfRule type="cellIs" dxfId="9005" priority="394" stopIfTrue="1" operator="equal">
      <formula>"Please check"</formula>
    </cfRule>
    <cfRule type="cellIs" dxfId="9004" priority="395" stopIfTrue="1" operator="equal">
      <formula>"Pass"</formula>
    </cfRule>
    <cfRule type="cellIs" dxfId="9003" priority="396" stopIfTrue="1" operator="equal">
      <formula>"Fail"</formula>
    </cfRule>
  </conditionalFormatting>
  <conditionalFormatting sqref="N96:N101">
    <cfRule type="cellIs" dxfId="9002" priority="391" stopIfTrue="1" operator="equal">
      <formula>"Please check"</formula>
    </cfRule>
    <cfRule type="cellIs" dxfId="9001" priority="392" stopIfTrue="1" operator="equal">
      <formula>"Pass"</formula>
    </cfRule>
    <cfRule type="cellIs" dxfId="9000" priority="393" stopIfTrue="1" operator="equal">
      <formula>"Fail"</formula>
    </cfRule>
  </conditionalFormatting>
  <conditionalFormatting sqref="N95">
    <cfRule type="cellIs" dxfId="8999" priority="388" stopIfTrue="1" operator="equal">
      <formula>"Please check"</formula>
    </cfRule>
    <cfRule type="cellIs" dxfId="8998" priority="389" stopIfTrue="1" operator="equal">
      <formula>"Pass"</formula>
    </cfRule>
    <cfRule type="cellIs" dxfId="8997" priority="390" stopIfTrue="1" operator="equal">
      <formula>"Fail"</formula>
    </cfRule>
  </conditionalFormatting>
  <conditionalFormatting sqref="O100:Q100">
    <cfRule type="cellIs" dxfId="8996" priority="385" stopIfTrue="1" operator="equal">
      <formula>"Please check"</formula>
    </cfRule>
    <cfRule type="cellIs" dxfId="8995" priority="386" stopIfTrue="1" operator="equal">
      <formula>"Pass"</formula>
    </cfRule>
    <cfRule type="cellIs" dxfId="8994" priority="387" stopIfTrue="1" operator="equal">
      <formula>"Fail"</formula>
    </cfRule>
  </conditionalFormatting>
  <conditionalFormatting sqref="O101:Q101">
    <cfRule type="cellIs" dxfId="8993" priority="382" stopIfTrue="1" operator="equal">
      <formula>"Please check"</formula>
    </cfRule>
    <cfRule type="cellIs" dxfId="8992" priority="383" stopIfTrue="1" operator="equal">
      <formula>"Pass"</formula>
    </cfRule>
    <cfRule type="cellIs" dxfId="8991" priority="384" stopIfTrue="1" operator="equal">
      <formula>"Fail"</formula>
    </cfRule>
  </conditionalFormatting>
  <conditionalFormatting sqref="N115:N120">
    <cfRule type="cellIs" dxfId="8990" priority="379" stopIfTrue="1" operator="equal">
      <formula>"Please check"</formula>
    </cfRule>
    <cfRule type="cellIs" dxfId="8989" priority="380" stopIfTrue="1" operator="equal">
      <formula>"Pass"</formula>
    </cfRule>
    <cfRule type="cellIs" dxfId="8988" priority="381" stopIfTrue="1" operator="equal">
      <formula>"Fail"</formula>
    </cfRule>
  </conditionalFormatting>
  <conditionalFormatting sqref="N113">
    <cfRule type="cellIs" dxfId="8987" priority="373" stopIfTrue="1" operator="equal">
      <formula>"Please check"</formula>
    </cfRule>
    <cfRule type="cellIs" dxfId="8986" priority="374" stopIfTrue="1" operator="equal">
      <formula>"Pass"</formula>
    </cfRule>
    <cfRule type="cellIs" dxfId="8985" priority="375" stopIfTrue="1" operator="equal">
      <formula>"Fail"</formula>
    </cfRule>
  </conditionalFormatting>
  <conditionalFormatting sqref="N114">
    <cfRule type="cellIs" dxfId="8984" priority="376" stopIfTrue="1" operator="equal">
      <formula>"Please check"</formula>
    </cfRule>
    <cfRule type="cellIs" dxfId="8983" priority="377" stopIfTrue="1" operator="equal">
      <formula>"Pass"</formula>
    </cfRule>
    <cfRule type="cellIs" dxfId="8982" priority="378" stopIfTrue="1" operator="equal">
      <formula>"Fail"</formula>
    </cfRule>
  </conditionalFormatting>
  <conditionalFormatting sqref="K115:M118">
    <cfRule type="cellIs" dxfId="8981" priority="370" stopIfTrue="1" operator="equal">
      <formula>"Please check"</formula>
    </cfRule>
    <cfRule type="cellIs" dxfId="8980" priority="371" stopIfTrue="1" operator="equal">
      <formula>"Pass"</formula>
    </cfRule>
    <cfRule type="cellIs" dxfId="8979" priority="372" stopIfTrue="1" operator="equal">
      <formula>"Fail"</formula>
    </cfRule>
  </conditionalFormatting>
  <conditionalFormatting sqref="K119:M119">
    <cfRule type="cellIs" dxfId="8978" priority="367" stopIfTrue="1" operator="equal">
      <formula>"Please check"</formula>
    </cfRule>
    <cfRule type="cellIs" dxfId="8977" priority="368" stopIfTrue="1" operator="equal">
      <formula>"Pass"</formula>
    </cfRule>
    <cfRule type="cellIs" dxfId="8976" priority="369" stopIfTrue="1" operator="equal">
      <formula>"Fail"</formula>
    </cfRule>
  </conditionalFormatting>
  <conditionalFormatting sqref="K120:M120">
    <cfRule type="cellIs" dxfId="8975" priority="364" stopIfTrue="1" operator="equal">
      <formula>"Please check"</formula>
    </cfRule>
    <cfRule type="cellIs" dxfId="8974" priority="365" stopIfTrue="1" operator="equal">
      <formula>"Pass"</formula>
    </cfRule>
    <cfRule type="cellIs" dxfId="8973" priority="366" stopIfTrue="1" operator="equal">
      <formula>"Fail"</formula>
    </cfRule>
  </conditionalFormatting>
  <conditionalFormatting sqref="O119:Q119">
    <cfRule type="cellIs" dxfId="8972" priority="361" stopIfTrue="1" operator="equal">
      <formula>"Please check"</formula>
    </cfRule>
    <cfRule type="cellIs" dxfId="8971" priority="362" stopIfTrue="1" operator="equal">
      <formula>"Pass"</formula>
    </cfRule>
    <cfRule type="cellIs" dxfId="8970" priority="363" stopIfTrue="1" operator="equal">
      <formula>"Fail"</formula>
    </cfRule>
  </conditionalFormatting>
  <conditionalFormatting sqref="O120:Q120">
    <cfRule type="cellIs" dxfId="8969" priority="358" stopIfTrue="1" operator="equal">
      <formula>"Please check"</formula>
    </cfRule>
    <cfRule type="cellIs" dxfId="8968" priority="359" stopIfTrue="1" operator="equal">
      <formula>"Pass"</formula>
    </cfRule>
    <cfRule type="cellIs" dxfId="8967" priority="360" stopIfTrue="1" operator="equal">
      <formula>"Fail"</formula>
    </cfRule>
  </conditionalFormatting>
  <conditionalFormatting sqref="O128:Q128">
    <cfRule type="cellIs" dxfId="8966" priority="355" stopIfTrue="1" operator="equal">
      <formula>"Please check"</formula>
    </cfRule>
    <cfRule type="cellIs" dxfId="8965" priority="356" stopIfTrue="1" operator="equal">
      <formula>"Pass"</formula>
    </cfRule>
    <cfRule type="cellIs" dxfId="8964" priority="357" stopIfTrue="1" operator="equal">
      <formula>"Fail"</formula>
    </cfRule>
  </conditionalFormatting>
  <conditionalFormatting sqref="O129:Q129">
    <cfRule type="cellIs" dxfId="8963" priority="352" stopIfTrue="1" operator="equal">
      <formula>"Please check"</formula>
    </cfRule>
    <cfRule type="cellIs" dxfId="8962" priority="353" stopIfTrue="1" operator="equal">
      <formula>"Pass"</formula>
    </cfRule>
    <cfRule type="cellIs" dxfId="8961" priority="354" stopIfTrue="1" operator="equal">
      <formula>"Fail"</formula>
    </cfRule>
  </conditionalFormatting>
  <conditionalFormatting sqref="K124:M127">
    <cfRule type="cellIs" dxfId="8960" priority="349" stopIfTrue="1" operator="equal">
      <formula>"Please check"</formula>
    </cfRule>
    <cfRule type="cellIs" dxfId="8959" priority="350" stopIfTrue="1" operator="equal">
      <formula>"Pass"</formula>
    </cfRule>
    <cfRule type="cellIs" dxfId="8958" priority="351" stopIfTrue="1" operator="equal">
      <formula>"Fail"</formula>
    </cfRule>
  </conditionalFormatting>
  <conditionalFormatting sqref="K128:M128">
    <cfRule type="cellIs" dxfId="8957" priority="346" stopIfTrue="1" operator="equal">
      <formula>"Please check"</formula>
    </cfRule>
    <cfRule type="cellIs" dxfId="8956" priority="347" stopIfTrue="1" operator="equal">
      <formula>"Pass"</formula>
    </cfRule>
    <cfRule type="cellIs" dxfId="8955" priority="348" stopIfTrue="1" operator="equal">
      <formula>"Fail"</formula>
    </cfRule>
  </conditionalFormatting>
  <conditionalFormatting sqref="K129:M129">
    <cfRule type="cellIs" dxfId="8954" priority="343" stopIfTrue="1" operator="equal">
      <formula>"Please check"</formula>
    </cfRule>
    <cfRule type="cellIs" dxfId="8953" priority="344" stopIfTrue="1" operator="equal">
      <formula>"Pass"</formula>
    </cfRule>
    <cfRule type="cellIs" dxfId="8952" priority="345" stopIfTrue="1" operator="equal">
      <formula>"Fail"</formula>
    </cfRule>
  </conditionalFormatting>
  <conditionalFormatting sqref="N124:N129">
    <cfRule type="cellIs" dxfId="8951" priority="340" stopIfTrue="1" operator="equal">
      <formula>"Please check"</formula>
    </cfRule>
    <cfRule type="cellIs" dxfId="8950" priority="341" stopIfTrue="1" operator="equal">
      <formula>"Pass"</formula>
    </cfRule>
    <cfRule type="cellIs" dxfId="8949" priority="342" stopIfTrue="1" operator="equal">
      <formula>"Fail"</formula>
    </cfRule>
  </conditionalFormatting>
  <conditionalFormatting sqref="N123">
    <cfRule type="cellIs" dxfId="8948" priority="337" stopIfTrue="1" operator="equal">
      <formula>"Please check"</formula>
    </cfRule>
    <cfRule type="cellIs" dxfId="8947" priority="338" stopIfTrue="1" operator="equal">
      <formula>"Pass"</formula>
    </cfRule>
    <cfRule type="cellIs" dxfId="8946" priority="339" stopIfTrue="1" operator="equal">
      <formula>"Fail"</formula>
    </cfRule>
  </conditionalFormatting>
  <conditionalFormatting sqref="O137:Q137">
    <cfRule type="cellIs" dxfId="8945" priority="334" stopIfTrue="1" operator="equal">
      <formula>"Please check"</formula>
    </cfRule>
    <cfRule type="cellIs" dxfId="8944" priority="335" stopIfTrue="1" operator="equal">
      <formula>"Pass"</formula>
    </cfRule>
    <cfRule type="cellIs" dxfId="8943" priority="336" stopIfTrue="1" operator="equal">
      <formula>"Fail"</formula>
    </cfRule>
  </conditionalFormatting>
  <conditionalFormatting sqref="O138:Q138">
    <cfRule type="cellIs" dxfId="8942" priority="331" stopIfTrue="1" operator="equal">
      <formula>"Please check"</formula>
    </cfRule>
    <cfRule type="cellIs" dxfId="8941" priority="332" stopIfTrue="1" operator="equal">
      <formula>"Pass"</formula>
    </cfRule>
    <cfRule type="cellIs" dxfId="8940" priority="333" stopIfTrue="1" operator="equal">
      <formula>"Fail"</formula>
    </cfRule>
  </conditionalFormatting>
  <conditionalFormatting sqref="N133:N138">
    <cfRule type="cellIs" dxfId="8939" priority="328" stopIfTrue="1" operator="equal">
      <formula>"Please check"</formula>
    </cfRule>
    <cfRule type="cellIs" dxfId="8938" priority="329" stopIfTrue="1" operator="equal">
      <formula>"Pass"</formula>
    </cfRule>
    <cfRule type="cellIs" dxfId="8937" priority="330" stopIfTrue="1" operator="equal">
      <formula>"Fail"</formula>
    </cfRule>
  </conditionalFormatting>
  <conditionalFormatting sqref="N132">
    <cfRule type="cellIs" dxfId="8936" priority="325" stopIfTrue="1" operator="equal">
      <formula>"Please check"</formula>
    </cfRule>
    <cfRule type="cellIs" dxfId="8935" priority="326" stopIfTrue="1" operator="equal">
      <formula>"Pass"</formula>
    </cfRule>
    <cfRule type="cellIs" dxfId="8934" priority="327" stopIfTrue="1" operator="equal">
      <formula>"Fail"</formula>
    </cfRule>
  </conditionalFormatting>
  <conditionalFormatting sqref="K133:M136">
    <cfRule type="cellIs" dxfId="8933" priority="322" stopIfTrue="1" operator="equal">
      <formula>"Please check"</formula>
    </cfRule>
    <cfRule type="cellIs" dxfId="8932" priority="323" stopIfTrue="1" operator="equal">
      <formula>"Pass"</formula>
    </cfRule>
    <cfRule type="cellIs" dxfId="8931" priority="324" stopIfTrue="1" operator="equal">
      <formula>"Fail"</formula>
    </cfRule>
  </conditionalFormatting>
  <conditionalFormatting sqref="K137:M137">
    <cfRule type="cellIs" dxfId="8930" priority="319" stopIfTrue="1" operator="equal">
      <formula>"Please check"</formula>
    </cfRule>
    <cfRule type="cellIs" dxfId="8929" priority="320" stopIfTrue="1" operator="equal">
      <formula>"Pass"</formula>
    </cfRule>
    <cfRule type="cellIs" dxfId="8928" priority="321" stopIfTrue="1" operator="equal">
      <formula>"Fail"</formula>
    </cfRule>
  </conditionalFormatting>
  <conditionalFormatting sqref="K138:M138">
    <cfRule type="cellIs" dxfId="8927" priority="316" stopIfTrue="1" operator="equal">
      <formula>"Please check"</formula>
    </cfRule>
    <cfRule type="cellIs" dxfId="8926" priority="317" stopIfTrue="1" operator="equal">
      <formula>"Pass"</formula>
    </cfRule>
    <cfRule type="cellIs" dxfId="8925" priority="318" stopIfTrue="1" operator="equal">
      <formula>"Fail"</formula>
    </cfRule>
  </conditionalFormatting>
  <conditionalFormatting sqref="O155:Q155">
    <cfRule type="cellIs" dxfId="8924" priority="313" stopIfTrue="1" operator="equal">
      <formula>"Please check"</formula>
    </cfRule>
    <cfRule type="cellIs" dxfId="8923" priority="314" stopIfTrue="1" operator="equal">
      <formula>"Pass"</formula>
    </cfRule>
    <cfRule type="cellIs" dxfId="8922" priority="315" stopIfTrue="1" operator="equal">
      <formula>"Fail"</formula>
    </cfRule>
  </conditionalFormatting>
  <conditionalFormatting sqref="O156:Q156">
    <cfRule type="cellIs" dxfId="8921" priority="310" stopIfTrue="1" operator="equal">
      <formula>"Please check"</formula>
    </cfRule>
    <cfRule type="cellIs" dxfId="8920" priority="311" stopIfTrue="1" operator="equal">
      <formula>"Pass"</formula>
    </cfRule>
    <cfRule type="cellIs" dxfId="8919" priority="312" stopIfTrue="1" operator="equal">
      <formula>"Fail"</formula>
    </cfRule>
  </conditionalFormatting>
  <conditionalFormatting sqref="K151:M154">
    <cfRule type="cellIs" dxfId="8918" priority="307" stopIfTrue="1" operator="equal">
      <formula>"Please check"</formula>
    </cfRule>
    <cfRule type="cellIs" dxfId="8917" priority="308" stopIfTrue="1" operator="equal">
      <formula>"Pass"</formula>
    </cfRule>
    <cfRule type="cellIs" dxfId="8916" priority="309" stopIfTrue="1" operator="equal">
      <formula>"Fail"</formula>
    </cfRule>
  </conditionalFormatting>
  <conditionalFormatting sqref="K155:M155">
    <cfRule type="cellIs" dxfId="8915" priority="304" stopIfTrue="1" operator="equal">
      <formula>"Please check"</formula>
    </cfRule>
    <cfRule type="cellIs" dxfId="8914" priority="305" stopIfTrue="1" operator="equal">
      <formula>"Pass"</formula>
    </cfRule>
    <cfRule type="cellIs" dxfId="8913" priority="306" stopIfTrue="1" operator="equal">
      <formula>"Fail"</formula>
    </cfRule>
  </conditionalFormatting>
  <conditionalFormatting sqref="K156:M156">
    <cfRule type="cellIs" dxfId="8912" priority="301" stopIfTrue="1" operator="equal">
      <formula>"Please check"</formula>
    </cfRule>
    <cfRule type="cellIs" dxfId="8911" priority="302" stopIfTrue="1" operator="equal">
      <formula>"Pass"</formula>
    </cfRule>
    <cfRule type="cellIs" dxfId="8910" priority="303" stopIfTrue="1" operator="equal">
      <formula>"Fail"</formula>
    </cfRule>
  </conditionalFormatting>
  <conditionalFormatting sqref="N151:N156">
    <cfRule type="cellIs" dxfId="8909" priority="298" stopIfTrue="1" operator="equal">
      <formula>"Please check"</formula>
    </cfRule>
    <cfRule type="cellIs" dxfId="8908" priority="299" stopIfTrue="1" operator="equal">
      <formula>"Pass"</formula>
    </cfRule>
    <cfRule type="cellIs" dxfId="8907" priority="300" stopIfTrue="1" operator="equal">
      <formula>"Fail"</formula>
    </cfRule>
  </conditionalFormatting>
  <conditionalFormatting sqref="N150">
    <cfRule type="cellIs" dxfId="8906" priority="295" stopIfTrue="1" operator="equal">
      <formula>"Please check"</formula>
    </cfRule>
    <cfRule type="cellIs" dxfId="8905" priority="296" stopIfTrue="1" operator="equal">
      <formula>"Pass"</formula>
    </cfRule>
    <cfRule type="cellIs" dxfId="8904" priority="297" stopIfTrue="1" operator="equal">
      <formula>"Fail"</formula>
    </cfRule>
  </conditionalFormatting>
  <conditionalFormatting sqref="K161:M164">
    <cfRule type="cellIs" dxfId="8903" priority="292" stopIfTrue="1" operator="equal">
      <formula>"Please check"</formula>
    </cfRule>
    <cfRule type="cellIs" dxfId="8902" priority="293" stopIfTrue="1" operator="equal">
      <formula>"Pass"</formula>
    </cfRule>
    <cfRule type="cellIs" dxfId="8901" priority="294" stopIfTrue="1" operator="equal">
      <formula>"Fail"</formula>
    </cfRule>
  </conditionalFormatting>
  <conditionalFormatting sqref="K165:M165">
    <cfRule type="cellIs" dxfId="8900" priority="289" stopIfTrue="1" operator="equal">
      <formula>"Please check"</formula>
    </cfRule>
    <cfRule type="cellIs" dxfId="8899" priority="290" stopIfTrue="1" operator="equal">
      <formula>"Pass"</formula>
    </cfRule>
    <cfRule type="cellIs" dxfId="8898" priority="291" stopIfTrue="1" operator="equal">
      <formula>"Fail"</formula>
    </cfRule>
  </conditionalFormatting>
  <conditionalFormatting sqref="K166:M166">
    <cfRule type="cellIs" dxfId="8897" priority="286" stopIfTrue="1" operator="equal">
      <formula>"Please check"</formula>
    </cfRule>
    <cfRule type="cellIs" dxfId="8896" priority="287" stopIfTrue="1" operator="equal">
      <formula>"Pass"</formula>
    </cfRule>
    <cfRule type="cellIs" dxfId="8895" priority="288" stopIfTrue="1" operator="equal">
      <formula>"Fail"</formula>
    </cfRule>
  </conditionalFormatting>
  <conditionalFormatting sqref="N159">
    <cfRule type="cellIs" dxfId="8894" priority="277" stopIfTrue="1" operator="equal">
      <formula>"Please check"</formula>
    </cfRule>
    <cfRule type="cellIs" dxfId="8893" priority="278" stopIfTrue="1" operator="equal">
      <formula>"Pass"</formula>
    </cfRule>
    <cfRule type="cellIs" dxfId="8892" priority="279" stopIfTrue="1" operator="equal">
      <formula>"Fail"</formula>
    </cfRule>
  </conditionalFormatting>
  <conditionalFormatting sqref="N161:N166">
    <cfRule type="cellIs" dxfId="8891" priority="283" stopIfTrue="1" operator="equal">
      <formula>"Please check"</formula>
    </cfRule>
    <cfRule type="cellIs" dxfId="8890" priority="284" stopIfTrue="1" operator="equal">
      <formula>"Pass"</formula>
    </cfRule>
    <cfRule type="cellIs" dxfId="8889" priority="285" stopIfTrue="1" operator="equal">
      <formula>"Fail"</formula>
    </cfRule>
  </conditionalFormatting>
  <conditionalFormatting sqref="N160">
    <cfRule type="cellIs" dxfId="8888" priority="280" stopIfTrue="1" operator="equal">
      <formula>"Please check"</formula>
    </cfRule>
    <cfRule type="cellIs" dxfId="8887" priority="281" stopIfTrue="1" operator="equal">
      <formula>"Pass"</formula>
    </cfRule>
    <cfRule type="cellIs" dxfId="8886" priority="282" stopIfTrue="1" operator="equal">
      <formula>"Fail"</formula>
    </cfRule>
  </conditionalFormatting>
  <conditionalFormatting sqref="M174">
    <cfRule type="cellIs" dxfId="8885" priority="274" stopIfTrue="1" operator="equal">
      <formula>"Please check"</formula>
    </cfRule>
    <cfRule type="cellIs" dxfId="8884" priority="275" stopIfTrue="1" operator="equal">
      <formula>"Pass"</formula>
    </cfRule>
    <cfRule type="cellIs" dxfId="8883" priority="276" stopIfTrue="1" operator="equal">
      <formula>"Fail"</formula>
    </cfRule>
  </conditionalFormatting>
  <conditionalFormatting sqref="M175">
    <cfRule type="cellIs" dxfId="8882" priority="271" stopIfTrue="1" operator="equal">
      <formula>"Please check"</formula>
    </cfRule>
    <cfRule type="cellIs" dxfId="8881" priority="272" stopIfTrue="1" operator="equal">
      <formula>"Pass"</formula>
    </cfRule>
    <cfRule type="cellIs" dxfId="8880" priority="273" stopIfTrue="1" operator="equal">
      <formula>"Fail"</formula>
    </cfRule>
  </conditionalFormatting>
  <conditionalFormatting sqref="M183">
    <cfRule type="cellIs" dxfId="8879" priority="268" stopIfTrue="1" operator="equal">
      <formula>"Please check"</formula>
    </cfRule>
    <cfRule type="cellIs" dxfId="8878" priority="269" stopIfTrue="1" operator="equal">
      <formula>"Pass"</formula>
    </cfRule>
    <cfRule type="cellIs" dxfId="8877" priority="270" stopIfTrue="1" operator="equal">
      <formula>"Fail"</formula>
    </cfRule>
  </conditionalFormatting>
  <conditionalFormatting sqref="M184">
    <cfRule type="cellIs" dxfId="8876" priority="265" stopIfTrue="1" operator="equal">
      <formula>"Please check"</formula>
    </cfRule>
    <cfRule type="cellIs" dxfId="8875" priority="266" stopIfTrue="1" operator="equal">
      <formula>"Pass"</formula>
    </cfRule>
    <cfRule type="cellIs" dxfId="8874" priority="267" stopIfTrue="1" operator="equal">
      <formula>"Fail"</formula>
    </cfRule>
  </conditionalFormatting>
  <conditionalFormatting sqref="Q174">
    <cfRule type="cellIs" dxfId="8873" priority="262" stopIfTrue="1" operator="equal">
      <formula>"Please check"</formula>
    </cfRule>
    <cfRule type="cellIs" dxfId="8872" priority="263" stopIfTrue="1" operator="equal">
      <formula>"Pass"</formula>
    </cfRule>
    <cfRule type="cellIs" dxfId="8871" priority="264" stopIfTrue="1" operator="equal">
      <formula>"Fail"</formula>
    </cfRule>
  </conditionalFormatting>
  <conditionalFormatting sqref="Q175">
    <cfRule type="cellIs" dxfId="8870" priority="259" stopIfTrue="1" operator="equal">
      <formula>"Please check"</formula>
    </cfRule>
    <cfRule type="cellIs" dxfId="8869" priority="260" stopIfTrue="1" operator="equal">
      <formula>"Pass"</formula>
    </cfRule>
    <cfRule type="cellIs" dxfId="8868" priority="261" stopIfTrue="1" operator="equal">
      <formula>"Fail"</formula>
    </cfRule>
  </conditionalFormatting>
  <conditionalFormatting sqref="Q183">
    <cfRule type="cellIs" dxfId="8867" priority="256" stopIfTrue="1" operator="equal">
      <formula>"Please check"</formula>
    </cfRule>
    <cfRule type="cellIs" dxfId="8866" priority="257" stopIfTrue="1" operator="equal">
      <formula>"Pass"</formula>
    </cfRule>
    <cfRule type="cellIs" dxfId="8865" priority="258" stopIfTrue="1" operator="equal">
      <formula>"Fail"</formula>
    </cfRule>
  </conditionalFormatting>
  <conditionalFormatting sqref="Q184">
    <cfRule type="cellIs" dxfId="8864" priority="253" stopIfTrue="1" operator="equal">
      <formula>"Please check"</formula>
    </cfRule>
    <cfRule type="cellIs" dxfId="8863" priority="254" stopIfTrue="1" operator="equal">
      <formula>"Pass"</formula>
    </cfRule>
    <cfRule type="cellIs" dxfId="8862" priority="255" stopIfTrue="1" operator="equal">
      <formula>"Fail"</formula>
    </cfRule>
  </conditionalFormatting>
  <conditionalFormatting sqref="K170:L173">
    <cfRule type="cellIs" dxfId="8861" priority="250" stopIfTrue="1" operator="equal">
      <formula>"Please check"</formula>
    </cfRule>
    <cfRule type="cellIs" dxfId="8860" priority="251" stopIfTrue="1" operator="equal">
      <formula>"Pass"</formula>
    </cfRule>
    <cfRule type="cellIs" dxfId="8859" priority="252" stopIfTrue="1" operator="equal">
      <formula>"Fail"</formula>
    </cfRule>
  </conditionalFormatting>
  <conditionalFormatting sqref="K174:L174">
    <cfRule type="cellIs" dxfId="8858" priority="247" stopIfTrue="1" operator="equal">
      <formula>"Please check"</formula>
    </cfRule>
    <cfRule type="cellIs" dxfId="8857" priority="248" stopIfTrue="1" operator="equal">
      <formula>"Pass"</formula>
    </cfRule>
    <cfRule type="cellIs" dxfId="8856" priority="249" stopIfTrue="1" operator="equal">
      <formula>"Fail"</formula>
    </cfRule>
  </conditionalFormatting>
  <conditionalFormatting sqref="K175:L175">
    <cfRule type="cellIs" dxfId="8855" priority="244" stopIfTrue="1" operator="equal">
      <formula>"Please check"</formula>
    </cfRule>
    <cfRule type="cellIs" dxfId="8854" priority="245" stopIfTrue="1" operator="equal">
      <formula>"Pass"</formula>
    </cfRule>
    <cfRule type="cellIs" dxfId="8853" priority="246" stopIfTrue="1" operator="equal">
      <formula>"Fail"</formula>
    </cfRule>
  </conditionalFormatting>
  <conditionalFormatting sqref="N170:N175">
    <cfRule type="cellIs" dxfId="8852" priority="241" stopIfTrue="1" operator="equal">
      <formula>"Please check"</formula>
    </cfRule>
    <cfRule type="cellIs" dxfId="8851" priority="242" stopIfTrue="1" operator="equal">
      <formula>"Pass"</formula>
    </cfRule>
    <cfRule type="cellIs" dxfId="8850" priority="243" stopIfTrue="1" operator="equal">
      <formula>"Fail"</formula>
    </cfRule>
  </conditionalFormatting>
  <conditionalFormatting sqref="N169">
    <cfRule type="cellIs" dxfId="8849" priority="238" stopIfTrue="1" operator="equal">
      <formula>"Please check"</formula>
    </cfRule>
    <cfRule type="cellIs" dxfId="8848" priority="239" stopIfTrue="1" operator="equal">
      <formula>"Pass"</formula>
    </cfRule>
    <cfRule type="cellIs" dxfId="8847" priority="240" stopIfTrue="1" operator="equal">
      <formula>"Fail"</formula>
    </cfRule>
  </conditionalFormatting>
  <conditionalFormatting sqref="K179:L182">
    <cfRule type="cellIs" dxfId="8846" priority="235" stopIfTrue="1" operator="equal">
      <formula>"Please check"</formula>
    </cfRule>
    <cfRule type="cellIs" dxfId="8845" priority="236" stopIfTrue="1" operator="equal">
      <formula>"Pass"</formula>
    </cfRule>
    <cfRule type="cellIs" dxfId="8844" priority="237" stopIfTrue="1" operator="equal">
      <formula>"Fail"</formula>
    </cfRule>
  </conditionalFormatting>
  <conditionalFormatting sqref="K183:L183">
    <cfRule type="cellIs" dxfId="8843" priority="232" stopIfTrue="1" operator="equal">
      <formula>"Please check"</formula>
    </cfRule>
    <cfRule type="cellIs" dxfId="8842" priority="233" stopIfTrue="1" operator="equal">
      <formula>"Pass"</formula>
    </cfRule>
    <cfRule type="cellIs" dxfId="8841" priority="234" stopIfTrue="1" operator="equal">
      <formula>"Fail"</formula>
    </cfRule>
  </conditionalFormatting>
  <conditionalFormatting sqref="K184:L184">
    <cfRule type="cellIs" dxfId="8840" priority="229" stopIfTrue="1" operator="equal">
      <formula>"Please check"</formula>
    </cfRule>
    <cfRule type="cellIs" dxfId="8839" priority="230" stopIfTrue="1" operator="equal">
      <formula>"Pass"</formula>
    </cfRule>
    <cfRule type="cellIs" dxfId="8838" priority="231" stopIfTrue="1" operator="equal">
      <formula>"Fail"</formula>
    </cfRule>
  </conditionalFormatting>
  <conditionalFormatting sqref="N179:N184">
    <cfRule type="cellIs" dxfId="8837" priority="226" stopIfTrue="1" operator="equal">
      <formula>"Please check"</formula>
    </cfRule>
    <cfRule type="cellIs" dxfId="8836" priority="227" stopIfTrue="1" operator="equal">
      <formula>"Pass"</formula>
    </cfRule>
    <cfRule type="cellIs" dxfId="8835" priority="228" stopIfTrue="1" operator="equal">
      <formula>"Fail"</formula>
    </cfRule>
  </conditionalFormatting>
  <conditionalFormatting sqref="N178">
    <cfRule type="cellIs" dxfId="8834" priority="223" stopIfTrue="1" operator="equal">
      <formula>"Please check"</formula>
    </cfRule>
    <cfRule type="cellIs" dxfId="8833" priority="224" stopIfTrue="1" operator="equal">
      <formula>"Pass"</formula>
    </cfRule>
    <cfRule type="cellIs" dxfId="8832" priority="225" stopIfTrue="1" operator="equal">
      <formula>"Fail"</formula>
    </cfRule>
  </conditionalFormatting>
  <conditionalFormatting sqref="N188:N193">
    <cfRule type="cellIs" dxfId="8831" priority="220" stopIfTrue="1" operator="equal">
      <formula>"Please check"</formula>
    </cfRule>
    <cfRule type="cellIs" dxfId="8830" priority="221" stopIfTrue="1" operator="equal">
      <formula>"Pass"</formula>
    </cfRule>
    <cfRule type="cellIs" dxfId="8829" priority="222" stopIfTrue="1" operator="equal">
      <formula>"Fail"</formula>
    </cfRule>
  </conditionalFormatting>
  <conditionalFormatting sqref="N187">
    <cfRule type="cellIs" dxfId="8828" priority="217" stopIfTrue="1" operator="equal">
      <formula>"Please check"</formula>
    </cfRule>
    <cfRule type="cellIs" dxfId="8827" priority="218" stopIfTrue="1" operator="equal">
      <formula>"Pass"</formula>
    </cfRule>
    <cfRule type="cellIs" dxfId="8826" priority="219" stopIfTrue="1" operator="equal">
      <formula>"Fail"</formula>
    </cfRule>
  </conditionalFormatting>
  <conditionalFormatting sqref="K188:M191">
    <cfRule type="cellIs" dxfId="8825" priority="214" stopIfTrue="1" operator="equal">
      <formula>"Please check"</formula>
    </cfRule>
    <cfRule type="cellIs" dxfId="8824" priority="215" stopIfTrue="1" operator="equal">
      <formula>"Pass"</formula>
    </cfRule>
    <cfRule type="cellIs" dxfId="8823" priority="216" stopIfTrue="1" operator="equal">
      <formula>"Fail"</formula>
    </cfRule>
  </conditionalFormatting>
  <conditionalFormatting sqref="K192:M192">
    <cfRule type="cellIs" dxfId="8822" priority="211" stopIfTrue="1" operator="equal">
      <formula>"Please check"</formula>
    </cfRule>
    <cfRule type="cellIs" dxfId="8821" priority="212" stopIfTrue="1" operator="equal">
      <formula>"Pass"</formula>
    </cfRule>
    <cfRule type="cellIs" dxfId="8820" priority="213" stopIfTrue="1" operator="equal">
      <formula>"Fail"</formula>
    </cfRule>
  </conditionalFormatting>
  <conditionalFormatting sqref="K193:M193">
    <cfRule type="cellIs" dxfId="8819" priority="208" stopIfTrue="1" operator="equal">
      <formula>"Please check"</formula>
    </cfRule>
    <cfRule type="cellIs" dxfId="8818" priority="209" stopIfTrue="1" operator="equal">
      <formula>"Pass"</formula>
    </cfRule>
    <cfRule type="cellIs" dxfId="8817" priority="210" stopIfTrue="1" operator="equal">
      <formula>"Fail"</formula>
    </cfRule>
  </conditionalFormatting>
  <conditionalFormatting sqref="K197:M200">
    <cfRule type="cellIs" dxfId="8816" priority="205" stopIfTrue="1" operator="equal">
      <formula>"Please check"</formula>
    </cfRule>
    <cfRule type="cellIs" dxfId="8815" priority="206" stopIfTrue="1" operator="equal">
      <formula>"Pass"</formula>
    </cfRule>
    <cfRule type="cellIs" dxfId="8814" priority="207" stopIfTrue="1" operator="equal">
      <formula>"Fail"</formula>
    </cfRule>
  </conditionalFormatting>
  <conditionalFormatting sqref="K201:M201">
    <cfRule type="cellIs" dxfId="8813" priority="202" stopIfTrue="1" operator="equal">
      <formula>"Please check"</formula>
    </cfRule>
    <cfRule type="cellIs" dxfId="8812" priority="203" stopIfTrue="1" operator="equal">
      <formula>"Pass"</formula>
    </cfRule>
    <cfRule type="cellIs" dxfId="8811" priority="204" stopIfTrue="1" operator="equal">
      <formula>"Fail"</formula>
    </cfRule>
  </conditionalFormatting>
  <conditionalFormatting sqref="K202:M202">
    <cfRule type="cellIs" dxfId="8810" priority="199" stopIfTrue="1" operator="equal">
      <formula>"Please check"</formula>
    </cfRule>
    <cfRule type="cellIs" dxfId="8809" priority="200" stopIfTrue="1" operator="equal">
      <formula>"Pass"</formula>
    </cfRule>
    <cfRule type="cellIs" dxfId="8808" priority="201" stopIfTrue="1" operator="equal">
      <formula>"Fail"</formula>
    </cfRule>
  </conditionalFormatting>
  <conditionalFormatting sqref="N197:N202">
    <cfRule type="cellIs" dxfId="8807" priority="196" stopIfTrue="1" operator="equal">
      <formula>"Please check"</formula>
    </cfRule>
    <cfRule type="cellIs" dxfId="8806" priority="197" stopIfTrue="1" operator="equal">
      <formula>"Pass"</formula>
    </cfRule>
    <cfRule type="cellIs" dxfId="8805" priority="198" stopIfTrue="1" operator="equal">
      <formula>"Fail"</formula>
    </cfRule>
  </conditionalFormatting>
  <conditionalFormatting sqref="N196">
    <cfRule type="cellIs" dxfId="8804" priority="193" stopIfTrue="1" operator="equal">
      <formula>"Please check"</formula>
    </cfRule>
    <cfRule type="cellIs" dxfId="8803" priority="194" stopIfTrue="1" operator="equal">
      <formula>"Pass"</formula>
    </cfRule>
    <cfRule type="cellIs" dxfId="8802" priority="195" stopIfTrue="1" operator="equal">
      <formula>"Fail"</formula>
    </cfRule>
  </conditionalFormatting>
  <conditionalFormatting sqref="M219">
    <cfRule type="cellIs" dxfId="8801" priority="190" stopIfTrue="1" operator="equal">
      <formula>"Please check"</formula>
    </cfRule>
    <cfRule type="cellIs" dxfId="8800" priority="191" stopIfTrue="1" operator="equal">
      <formula>"Pass"</formula>
    </cfRule>
    <cfRule type="cellIs" dxfId="8799" priority="192" stopIfTrue="1" operator="equal">
      <formula>"Fail"</formula>
    </cfRule>
  </conditionalFormatting>
  <conditionalFormatting sqref="M220">
    <cfRule type="cellIs" dxfId="8798" priority="187" stopIfTrue="1" operator="equal">
      <formula>"Please check"</formula>
    </cfRule>
    <cfRule type="cellIs" dxfId="8797" priority="188" stopIfTrue="1" operator="equal">
      <formula>"Pass"</formula>
    </cfRule>
    <cfRule type="cellIs" dxfId="8796" priority="189" stopIfTrue="1" operator="equal">
      <formula>"Fail"</formula>
    </cfRule>
  </conditionalFormatting>
  <conditionalFormatting sqref="Q219">
    <cfRule type="cellIs" dxfId="8795" priority="184" stopIfTrue="1" operator="equal">
      <formula>"Please check"</formula>
    </cfRule>
    <cfRule type="cellIs" dxfId="8794" priority="185" stopIfTrue="1" operator="equal">
      <formula>"Pass"</formula>
    </cfRule>
    <cfRule type="cellIs" dxfId="8793" priority="186" stopIfTrue="1" operator="equal">
      <formula>"Fail"</formula>
    </cfRule>
  </conditionalFormatting>
  <conditionalFormatting sqref="Q220">
    <cfRule type="cellIs" dxfId="8792" priority="181" stopIfTrue="1" operator="equal">
      <formula>"Please check"</formula>
    </cfRule>
    <cfRule type="cellIs" dxfId="8791" priority="182" stopIfTrue="1" operator="equal">
      <formula>"Pass"</formula>
    </cfRule>
    <cfRule type="cellIs" dxfId="8790" priority="183" stopIfTrue="1" operator="equal">
      <formula>"Fail"</formula>
    </cfRule>
  </conditionalFormatting>
  <conditionalFormatting sqref="N215:N220">
    <cfRule type="cellIs" dxfId="8789" priority="178" stopIfTrue="1" operator="equal">
      <formula>"Please check"</formula>
    </cfRule>
    <cfRule type="cellIs" dxfId="8788" priority="179" stopIfTrue="1" operator="equal">
      <formula>"Pass"</formula>
    </cfRule>
    <cfRule type="cellIs" dxfId="8787" priority="180" stopIfTrue="1" operator="equal">
      <formula>"Fail"</formula>
    </cfRule>
  </conditionalFormatting>
  <conditionalFormatting sqref="N214">
    <cfRule type="cellIs" dxfId="8786" priority="175" stopIfTrue="1" operator="equal">
      <formula>"Please check"</formula>
    </cfRule>
    <cfRule type="cellIs" dxfId="8785" priority="176" stopIfTrue="1" operator="equal">
      <formula>"Pass"</formula>
    </cfRule>
    <cfRule type="cellIs" dxfId="8784" priority="177" stopIfTrue="1" operator="equal">
      <formula>"Fail"</formula>
    </cfRule>
  </conditionalFormatting>
  <conditionalFormatting sqref="K215:L218">
    <cfRule type="cellIs" dxfId="8783" priority="172" stopIfTrue="1" operator="equal">
      <formula>"Please check"</formula>
    </cfRule>
    <cfRule type="cellIs" dxfId="8782" priority="173" stopIfTrue="1" operator="equal">
      <formula>"Pass"</formula>
    </cfRule>
    <cfRule type="cellIs" dxfId="8781" priority="174" stopIfTrue="1" operator="equal">
      <formula>"Fail"</formula>
    </cfRule>
  </conditionalFormatting>
  <conditionalFormatting sqref="K219:L219">
    <cfRule type="cellIs" dxfId="8780" priority="169" stopIfTrue="1" operator="equal">
      <formula>"Please check"</formula>
    </cfRule>
    <cfRule type="cellIs" dxfId="8779" priority="170" stopIfTrue="1" operator="equal">
      <formula>"Pass"</formula>
    </cfRule>
    <cfRule type="cellIs" dxfId="8778" priority="171" stopIfTrue="1" operator="equal">
      <formula>"Fail"</formula>
    </cfRule>
  </conditionalFormatting>
  <conditionalFormatting sqref="K220:L220">
    <cfRule type="cellIs" dxfId="8777" priority="166" stopIfTrue="1" operator="equal">
      <formula>"Please check"</formula>
    </cfRule>
    <cfRule type="cellIs" dxfId="8776" priority="167" stopIfTrue="1" operator="equal">
      <formula>"Pass"</formula>
    </cfRule>
    <cfRule type="cellIs" dxfId="8775" priority="168" stopIfTrue="1" operator="equal">
      <formula>"Fail"</formula>
    </cfRule>
  </conditionalFormatting>
  <conditionalFormatting sqref="K224:M227">
    <cfRule type="cellIs" dxfId="8774" priority="163" stopIfTrue="1" operator="equal">
      <formula>"Please check"</formula>
    </cfRule>
    <cfRule type="cellIs" dxfId="8773" priority="164" stopIfTrue="1" operator="equal">
      <formula>"Pass"</formula>
    </cfRule>
    <cfRule type="cellIs" dxfId="8772" priority="165" stopIfTrue="1" operator="equal">
      <formula>"Fail"</formula>
    </cfRule>
  </conditionalFormatting>
  <conditionalFormatting sqref="K228:M228">
    <cfRule type="cellIs" dxfId="8771" priority="160" stopIfTrue="1" operator="equal">
      <formula>"Please check"</formula>
    </cfRule>
    <cfRule type="cellIs" dxfId="8770" priority="161" stopIfTrue="1" operator="equal">
      <formula>"Pass"</formula>
    </cfRule>
    <cfRule type="cellIs" dxfId="8769" priority="162" stopIfTrue="1" operator="equal">
      <formula>"Fail"</formula>
    </cfRule>
  </conditionalFormatting>
  <conditionalFormatting sqref="K229:M229">
    <cfRule type="cellIs" dxfId="8768" priority="157" stopIfTrue="1" operator="equal">
      <formula>"Please check"</formula>
    </cfRule>
    <cfRule type="cellIs" dxfId="8767" priority="158" stopIfTrue="1" operator="equal">
      <formula>"Pass"</formula>
    </cfRule>
    <cfRule type="cellIs" dxfId="8766" priority="159" stopIfTrue="1" operator="equal">
      <formula>"Fail"</formula>
    </cfRule>
  </conditionalFormatting>
  <conditionalFormatting sqref="N224:N229">
    <cfRule type="cellIs" dxfId="8765" priority="154" stopIfTrue="1" operator="equal">
      <formula>"Please check"</formula>
    </cfRule>
    <cfRule type="cellIs" dxfId="8764" priority="155" stopIfTrue="1" operator="equal">
      <formula>"Pass"</formula>
    </cfRule>
    <cfRule type="cellIs" dxfId="8763" priority="156" stopIfTrue="1" operator="equal">
      <formula>"Fail"</formula>
    </cfRule>
  </conditionalFormatting>
  <conditionalFormatting sqref="N223">
    <cfRule type="cellIs" dxfId="8762" priority="151" stopIfTrue="1" operator="equal">
      <formula>"Please check"</formula>
    </cfRule>
    <cfRule type="cellIs" dxfId="8761" priority="152" stopIfTrue="1" operator="equal">
      <formula>"Pass"</formula>
    </cfRule>
    <cfRule type="cellIs" dxfId="8760" priority="153" stopIfTrue="1" operator="equal">
      <formula>"Fail"</formula>
    </cfRule>
  </conditionalFormatting>
  <conditionalFormatting sqref="K242:M245">
    <cfRule type="cellIs" dxfId="8759" priority="148" stopIfTrue="1" operator="equal">
      <formula>"Please check"</formula>
    </cfRule>
    <cfRule type="cellIs" dxfId="8758" priority="149" stopIfTrue="1" operator="equal">
      <formula>"Pass"</formula>
    </cfRule>
    <cfRule type="cellIs" dxfId="8757" priority="150" stopIfTrue="1" operator="equal">
      <formula>"Fail"</formula>
    </cfRule>
  </conditionalFormatting>
  <conditionalFormatting sqref="K246:M246">
    <cfRule type="cellIs" dxfId="8756" priority="145" stopIfTrue="1" operator="equal">
      <formula>"Please check"</formula>
    </cfRule>
    <cfRule type="cellIs" dxfId="8755" priority="146" stopIfTrue="1" operator="equal">
      <formula>"Pass"</formula>
    </cfRule>
    <cfRule type="cellIs" dxfId="8754" priority="147" stopIfTrue="1" operator="equal">
      <formula>"Fail"</formula>
    </cfRule>
  </conditionalFormatting>
  <conditionalFormatting sqref="K247:M247">
    <cfRule type="cellIs" dxfId="8753" priority="142" stopIfTrue="1" operator="equal">
      <formula>"Please check"</formula>
    </cfRule>
    <cfRule type="cellIs" dxfId="8752" priority="143" stopIfTrue="1" operator="equal">
      <formula>"Pass"</formula>
    </cfRule>
    <cfRule type="cellIs" dxfId="8751" priority="144" stopIfTrue="1" operator="equal">
      <formula>"Fail"</formula>
    </cfRule>
  </conditionalFormatting>
  <conditionalFormatting sqref="N242:N247">
    <cfRule type="cellIs" dxfId="8750" priority="139" stopIfTrue="1" operator="equal">
      <formula>"Please check"</formula>
    </cfRule>
    <cfRule type="cellIs" dxfId="8749" priority="140" stopIfTrue="1" operator="equal">
      <formula>"Pass"</formula>
    </cfRule>
    <cfRule type="cellIs" dxfId="8748" priority="141" stopIfTrue="1" operator="equal">
      <formula>"Fail"</formula>
    </cfRule>
  </conditionalFormatting>
  <conditionalFormatting sqref="N241">
    <cfRule type="cellIs" dxfId="8747" priority="136" stopIfTrue="1" operator="equal">
      <formula>"Please check"</formula>
    </cfRule>
    <cfRule type="cellIs" dxfId="8746" priority="137" stopIfTrue="1" operator="equal">
      <formula>"Pass"</formula>
    </cfRule>
    <cfRule type="cellIs" dxfId="8745" priority="138" stopIfTrue="1" operator="equal">
      <formula>"Fail"</formula>
    </cfRule>
  </conditionalFormatting>
  <conditionalFormatting sqref="O246:Q246">
    <cfRule type="cellIs" dxfId="8744" priority="133" stopIfTrue="1" operator="equal">
      <formula>"Please check"</formula>
    </cfRule>
    <cfRule type="cellIs" dxfId="8743" priority="134" stopIfTrue="1" operator="equal">
      <formula>"Pass"</formula>
    </cfRule>
    <cfRule type="cellIs" dxfId="8742" priority="135" stopIfTrue="1" operator="equal">
      <formula>"Fail"</formula>
    </cfRule>
  </conditionalFormatting>
  <conditionalFormatting sqref="O247:Q247">
    <cfRule type="cellIs" dxfId="8741" priority="130" stopIfTrue="1" operator="equal">
      <formula>"Please check"</formula>
    </cfRule>
    <cfRule type="cellIs" dxfId="8740" priority="131" stopIfTrue="1" operator="equal">
      <formula>"Pass"</formula>
    </cfRule>
    <cfRule type="cellIs" dxfId="8739" priority="132" stopIfTrue="1" operator="equal">
      <formula>"Fail"</formula>
    </cfRule>
  </conditionalFormatting>
  <conditionalFormatting sqref="K251:M254">
    <cfRule type="cellIs" dxfId="8738" priority="127" stopIfTrue="1" operator="equal">
      <formula>"Please check"</formula>
    </cfRule>
    <cfRule type="cellIs" dxfId="8737" priority="128" stopIfTrue="1" operator="equal">
      <formula>"Pass"</formula>
    </cfRule>
    <cfRule type="cellIs" dxfId="8736" priority="129" stopIfTrue="1" operator="equal">
      <formula>"Fail"</formula>
    </cfRule>
  </conditionalFormatting>
  <conditionalFormatting sqref="K255:M255">
    <cfRule type="cellIs" dxfId="8735" priority="124" stopIfTrue="1" operator="equal">
      <formula>"Please check"</formula>
    </cfRule>
    <cfRule type="cellIs" dxfId="8734" priority="125" stopIfTrue="1" operator="equal">
      <formula>"Pass"</formula>
    </cfRule>
    <cfRule type="cellIs" dxfId="8733" priority="126" stopIfTrue="1" operator="equal">
      <formula>"Fail"</formula>
    </cfRule>
  </conditionalFormatting>
  <conditionalFormatting sqref="K256:M256">
    <cfRule type="cellIs" dxfId="8732" priority="121" stopIfTrue="1" operator="equal">
      <formula>"Please check"</formula>
    </cfRule>
    <cfRule type="cellIs" dxfId="8731" priority="122" stopIfTrue="1" operator="equal">
      <formula>"Pass"</formula>
    </cfRule>
    <cfRule type="cellIs" dxfId="8730" priority="123" stopIfTrue="1" operator="equal">
      <formula>"Fail"</formula>
    </cfRule>
  </conditionalFormatting>
  <conditionalFormatting sqref="N251:N256">
    <cfRule type="cellIs" dxfId="8729" priority="118" stopIfTrue="1" operator="equal">
      <formula>"Please check"</formula>
    </cfRule>
    <cfRule type="cellIs" dxfId="8728" priority="119" stopIfTrue="1" operator="equal">
      <formula>"Pass"</formula>
    </cfRule>
    <cfRule type="cellIs" dxfId="8727" priority="120" stopIfTrue="1" operator="equal">
      <formula>"Fail"</formula>
    </cfRule>
  </conditionalFormatting>
  <conditionalFormatting sqref="N250">
    <cfRule type="cellIs" dxfId="8726" priority="115" stopIfTrue="1" operator="equal">
      <formula>"Please check"</formula>
    </cfRule>
    <cfRule type="cellIs" dxfId="8725" priority="116" stopIfTrue="1" operator="equal">
      <formula>"Pass"</formula>
    </cfRule>
    <cfRule type="cellIs" dxfId="8724" priority="117" stopIfTrue="1" operator="equal">
      <formula>"Fail"</formula>
    </cfRule>
  </conditionalFormatting>
  <conditionalFormatting sqref="N259">
    <cfRule type="cellIs" dxfId="8723" priority="112" stopIfTrue="1" operator="equal">
      <formula>"Please check"</formula>
    </cfRule>
    <cfRule type="cellIs" dxfId="8722" priority="113" stopIfTrue="1" operator="equal">
      <formula>"Pass"</formula>
    </cfRule>
    <cfRule type="cellIs" dxfId="8721" priority="114" stopIfTrue="1" operator="equal">
      <formula>"Fail"</formula>
    </cfRule>
  </conditionalFormatting>
  <conditionalFormatting sqref="K264:M264">
    <cfRule type="cellIs" dxfId="8720" priority="109" stopIfTrue="1" operator="equal">
      <formula>"Please check"</formula>
    </cfRule>
    <cfRule type="cellIs" dxfId="8719" priority="110" stopIfTrue="1" operator="equal">
      <formula>"Pass"</formula>
    </cfRule>
    <cfRule type="cellIs" dxfId="8718" priority="111" stopIfTrue="1" operator="equal">
      <formula>"Fail"</formula>
    </cfRule>
  </conditionalFormatting>
  <conditionalFormatting sqref="K265:M265">
    <cfRule type="cellIs" dxfId="8717" priority="106" stopIfTrue="1" operator="equal">
      <formula>"Please check"</formula>
    </cfRule>
    <cfRule type="cellIs" dxfId="8716" priority="107" stopIfTrue="1" operator="equal">
      <formula>"Pass"</formula>
    </cfRule>
    <cfRule type="cellIs" dxfId="8715" priority="108" stopIfTrue="1" operator="equal">
      <formula>"Fail"</formula>
    </cfRule>
  </conditionalFormatting>
  <conditionalFormatting sqref="N260:N265">
    <cfRule type="cellIs" dxfId="8714" priority="103" stopIfTrue="1" operator="equal">
      <formula>"Please check"</formula>
    </cfRule>
    <cfRule type="cellIs" dxfId="8713" priority="104" stopIfTrue="1" operator="equal">
      <formula>"Pass"</formula>
    </cfRule>
    <cfRule type="cellIs" dxfId="8712" priority="105" stopIfTrue="1" operator="equal">
      <formula>"Fail"</formula>
    </cfRule>
  </conditionalFormatting>
  <conditionalFormatting sqref="O264:P265">
    <cfRule type="cellIs" dxfId="8711" priority="100" stopIfTrue="1" operator="equal">
      <formula>"Please check"</formula>
    </cfRule>
    <cfRule type="cellIs" dxfId="8710" priority="101" stopIfTrue="1" operator="equal">
      <formula>"Pass"</formula>
    </cfRule>
    <cfRule type="cellIs" dxfId="8709" priority="102" stopIfTrue="1" operator="equal">
      <formula>"Fail"</formula>
    </cfRule>
  </conditionalFormatting>
  <conditionalFormatting sqref="Q264">
    <cfRule type="cellIs" dxfId="8708" priority="97" stopIfTrue="1" operator="equal">
      <formula>"Please check"</formula>
    </cfRule>
    <cfRule type="cellIs" dxfId="8707" priority="98" stopIfTrue="1" operator="equal">
      <formula>"Pass"</formula>
    </cfRule>
    <cfRule type="cellIs" dxfId="8706" priority="99" stopIfTrue="1" operator="equal">
      <formula>"Fail"</formula>
    </cfRule>
  </conditionalFormatting>
  <conditionalFormatting sqref="Q265">
    <cfRule type="cellIs" dxfId="8705" priority="94" stopIfTrue="1" operator="equal">
      <formula>"Please check"</formula>
    </cfRule>
    <cfRule type="cellIs" dxfId="8704" priority="95" stopIfTrue="1" operator="equal">
      <formula>"Pass"</formula>
    </cfRule>
    <cfRule type="cellIs" dxfId="8703" priority="96" stopIfTrue="1" operator="equal">
      <formula>"Fail"</formula>
    </cfRule>
  </conditionalFormatting>
  <conditionalFormatting sqref="M273">
    <cfRule type="cellIs" dxfId="8702" priority="91" stopIfTrue="1" operator="equal">
      <formula>"Please check"</formula>
    </cfRule>
    <cfRule type="cellIs" dxfId="8701" priority="92" stopIfTrue="1" operator="equal">
      <formula>"Pass"</formula>
    </cfRule>
    <cfRule type="cellIs" dxfId="8700" priority="93" stopIfTrue="1" operator="equal">
      <formula>"Fail"</formula>
    </cfRule>
  </conditionalFormatting>
  <conditionalFormatting sqref="M274">
    <cfRule type="cellIs" dxfId="8699" priority="88" stopIfTrue="1" operator="equal">
      <formula>"Please check"</formula>
    </cfRule>
    <cfRule type="cellIs" dxfId="8698" priority="89" stopIfTrue="1" operator="equal">
      <formula>"Pass"</formula>
    </cfRule>
    <cfRule type="cellIs" dxfId="8697" priority="90" stopIfTrue="1" operator="equal">
      <formula>"Fail"</formula>
    </cfRule>
  </conditionalFormatting>
  <conditionalFormatting sqref="Q273">
    <cfRule type="cellIs" dxfId="8696" priority="85" stopIfTrue="1" operator="equal">
      <formula>"Please check"</formula>
    </cfRule>
    <cfRule type="cellIs" dxfId="8695" priority="86" stopIfTrue="1" operator="equal">
      <formula>"Pass"</formula>
    </cfRule>
    <cfRule type="cellIs" dxfId="8694" priority="87" stopIfTrue="1" operator="equal">
      <formula>"Fail"</formula>
    </cfRule>
  </conditionalFormatting>
  <conditionalFormatting sqref="Q274">
    <cfRule type="cellIs" dxfId="8693" priority="82" stopIfTrue="1" operator="equal">
      <formula>"Please check"</formula>
    </cfRule>
    <cfRule type="cellIs" dxfId="8692" priority="83" stopIfTrue="1" operator="equal">
      <formula>"Pass"</formula>
    </cfRule>
    <cfRule type="cellIs" dxfId="8691" priority="84" stopIfTrue="1" operator="equal">
      <formula>"Fail"</formula>
    </cfRule>
  </conditionalFormatting>
  <conditionalFormatting sqref="N269:N274">
    <cfRule type="cellIs" dxfId="8690" priority="79" stopIfTrue="1" operator="equal">
      <formula>"Please check"</formula>
    </cfRule>
    <cfRule type="cellIs" dxfId="8689" priority="80" stopIfTrue="1" operator="equal">
      <formula>"Pass"</formula>
    </cfRule>
    <cfRule type="cellIs" dxfId="8688" priority="81" stopIfTrue="1" operator="equal">
      <formula>"Fail"</formula>
    </cfRule>
  </conditionalFormatting>
  <conditionalFormatting sqref="N268">
    <cfRule type="cellIs" dxfId="8687" priority="76" stopIfTrue="1" operator="equal">
      <formula>"Please check"</formula>
    </cfRule>
    <cfRule type="cellIs" dxfId="8686" priority="77" stopIfTrue="1" operator="equal">
      <formula>"Pass"</formula>
    </cfRule>
    <cfRule type="cellIs" dxfId="8685" priority="78" stopIfTrue="1" operator="equal">
      <formula>"Fail"</formula>
    </cfRule>
  </conditionalFormatting>
  <conditionalFormatting sqref="H285">
    <cfRule type="cellIs" dxfId="8684" priority="73" stopIfTrue="1" operator="equal">
      <formula>"Please check"</formula>
    </cfRule>
    <cfRule type="cellIs" dxfId="8683" priority="74" stopIfTrue="1" operator="equal">
      <formula>"Pass"</formula>
    </cfRule>
    <cfRule type="cellIs" dxfId="8682" priority="75" stopIfTrue="1" operator="equal">
      <formula>"Fail"</formula>
    </cfRule>
  </conditionalFormatting>
  <conditionalFormatting sqref="N277">
    <cfRule type="cellIs" dxfId="8681" priority="70" stopIfTrue="1" operator="equal">
      <formula>"Please check"</formula>
    </cfRule>
    <cfRule type="cellIs" dxfId="8680" priority="71" stopIfTrue="1" operator="equal">
      <formula>"Pass"</formula>
    </cfRule>
    <cfRule type="cellIs" dxfId="8679" priority="72" stopIfTrue="1" operator="equal">
      <formula>"Fail"</formula>
    </cfRule>
  </conditionalFormatting>
  <conditionalFormatting sqref="N281">
    <cfRule type="cellIs" dxfId="8678" priority="67" stopIfTrue="1" operator="equal">
      <formula>"Please check"</formula>
    </cfRule>
    <cfRule type="cellIs" dxfId="8677" priority="68" stopIfTrue="1" operator="equal">
      <formula>"Pass"</formula>
    </cfRule>
    <cfRule type="cellIs" dxfId="8676" priority="69" stopIfTrue="1" operator="equal">
      <formula>"Fail"</formula>
    </cfRule>
  </conditionalFormatting>
  <conditionalFormatting sqref="N283">
    <cfRule type="cellIs" dxfId="8675" priority="64" stopIfTrue="1" operator="equal">
      <formula>"Please check"</formula>
    </cfRule>
    <cfRule type="cellIs" dxfId="8674" priority="65" stopIfTrue="1" operator="equal">
      <formula>"Pass"</formula>
    </cfRule>
    <cfRule type="cellIs" dxfId="8673" priority="66" stopIfTrue="1" operator="equal">
      <formula>"Fail"</formula>
    </cfRule>
  </conditionalFormatting>
  <conditionalFormatting sqref="N285">
    <cfRule type="cellIs" dxfId="8672" priority="61" stopIfTrue="1" operator="equal">
      <formula>"Please check"</formula>
    </cfRule>
    <cfRule type="cellIs" dxfId="8671" priority="62" stopIfTrue="1" operator="equal">
      <formula>"Pass"</formula>
    </cfRule>
    <cfRule type="cellIs" dxfId="8670" priority="63" stopIfTrue="1" operator="equal">
      <formula>"Fail"</formula>
    </cfRule>
  </conditionalFormatting>
  <conditionalFormatting sqref="K280:M280">
    <cfRule type="cellIs" dxfId="8669" priority="58" stopIfTrue="1" operator="equal">
      <formula>"Please check"</formula>
    </cfRule>
    <cfRule type="cellIs" dxfId="8668" priority="59" stopIfTrue="1" operator="equal">
      <formula>"Pass"</formula>
    </cfRule>
    <cfRule type="cellIs" dxfId="8667" priority="60" stopIfTrue="1" operator="equal">
      <formula>"Fail"</formula>
    </cfRule>
  </conditionalFormatting>
  <conditionalFormatting sqref="N280">
    <cfRule type="cellIs" dxfId="8666" priority="55" stopIfTrue="1" operator="equal">
      <formula>"Please check"</formula>
    </cfRule>
    <cfRule type="cellIs" dxfId="8665" priority="56" stopIfTrue="1" operator="equal">
      <formula>"Pass"</formula>
    </cfRule>
    <cfRule type="cellIs" dxfId="8664" priority="57" stopIfTrue="1" operator="equal">
      <formula>"Fail"</formula>
    </cfRule>
  </conditionalFormatting>
  <conditionalFormatting sqref="N288">
    <cfRule type="cellIs" dxfId="8663" priority="52" stopIfTrue="1" operator="equal">
      <formula>"Please check"</formula>
    </cfRule>
    <cfRule type="cellIs" dxfId="8662" priority="53" stopIfTrue="1" operator="equal">
      <formula>"Pass"</formula>
    </cfRule>
    <cfRule type="cellIs" dxfId="8661" priority="54" stopIfTrue="1" operator="equal">
      <formula>"Fail"</formula>
    </cfRule>
  </conditionalFormatting>
  <conditionalFormatting sqref="K290:M290">
    <cfRule type="cellIs" dxfId="8660" priority="49" stopIfTrue="1" operator="equal">
      <formula>"Please check"</formula>
    </cfRule>
    <cfRule type="cellIs" dxfId="8659" priority="50" stopIfTrue="1" operator="equal">
      <formula>"Pass"</formula>
    </cfRule>
    <cfRule type="cellIs" dxfId="8658" priority="51" stopIfTrue="1" operator="equal">
      <formula>"Fail"</formula>
    </cfRule>
  </conditionalFormatting>
  <conditionalFormatting sqref="N305">
    <cfRule type="cellIs" dxfId="8657" priority="46" stopIfTrue="1" operator="equal">
      <formula>"Please check"</formula>
    </cfRule>
    <cfRule type="cellIs" dxfId="8656" priority="47" stopIfTrue="1" operator="equal">
      <formula>"Pass"</formula>
    </cfRule>
    <cfRule type="cellIs" dxfId="8655" priority="48" stopIfTrue="1" operator="equal">
      <formula>"Fail"</formula>
    </cfRule>
  </conditionalFormatting>
  <conditionalFormatting sqref="N297">
    <cfRule type="cellIs" dxfId="8654" priority="43" stopIfTrue="1" operator="equal">
      <formula>"Please check"</formula>
    </cfRule>
    <cfRule type="cellIs" dxfId="8653" priority="44" stopIfTrue="1" operator="equal">
      <formula>"Pass"</formula>
    </cfRule>
    <cfRule type="cellIs" dxfId="8652" priority="45" stopIfTrue="1" operator="equal">
      <formula>"Fail"</formula>
    </cfRule>
  </conditionalFormatting>
  <conditionalFormatting sqref="P290:Q302">
    <cfRule type="cellIs" dxfId="8651" priority="40" stopIfTrue="1" operator="equal">
      <formula>"Please check"</formula>
    </cfRule>
    <cfRule type="cellIs" dxfId="8650" priority="41" stopIfTrue="1" operator="equal">
      <formula>"Pass"</formula>
    </cfRule>
    <cfRule type="cellIs" dxfId="8649" priority="42" stopIfTrue="1" operator="equal">
      <formula>"Fail"</formula>
    </cfRule>
  </conditionalFormatting>
  <conditionalFormatting sqref="N308">
    <cfRule type="cellIs" dxfId="8648" priority="37" stopIfTrue="1" operator="equal">
      <formula>"Please check"</formula>
    </cfRule>
    <cfRule type="cellIs" dxfId="8647" priority="38" stopIfTrue="1" operator="equal">
      <formula>"Pass"</formula>
    </cfRule>
    <cfRule type="cellIs" dxfId="8646" priority="39" stopIfTrue="1" operator="equal">
      <formula>"Fail"</formula>
    </cfRule>
  </conditionalFormatting>
  <conditionalFormatting sqref="K308:M308">
    <cfRule type="cellIs" dxfId="8645" priority="34" stopIfTrue="1" operator="equal">
      <formula>"Please check"</formula>
    </cfRule>
    <cfRule type="cellIs" dxfId="8644" priority="35" stopIfTrue="1" operator="equal">
      <formula>"Pass"</formula>
    </cfRule>
    <cfRule type="cellIs" dxfId="8643" priority="36" stopIfTrue="1" operator="equal">
      <formula>"Fail"</formula>
    </cfRule>
  </conditionalFormatting>
  <conditionalFormatting sqref="K307:M307">
    <cfRule type="cellIs" dxfId="8642" priority="31" stopIfTrue="1" operator="equal">
      <formula>"Please check"</formula>
    </cfRule>
    <cfRule type="cellIs" dxfId="8641" priority="32" stopIfTrue="1" operator="equal">
      <formula>"Pass"</formula>
    </cfRule>
    <cfRule type="cellIs" dxfId="8640" priority="33" stopIfTrue="1" operator="equal">
      <formula>"Fail"</formula>
    </cfRule>
  </conditionalFormatting>
  <conditionalFormatting sqref="O307">
    <cfRule type="cellIs" dxfId="8639" priority="28" stopIfTrue="1" operator="equal">
      <formula>"Please check"</formula>
    </cfRule>
    <cfRule type="cellIs" dxfId="8638" priority="29" stopIfTrue="1" operator="equal">
      <formula>"Pass"</formula>
    </cfRule>
    <cfRule type="cellIs" dxfId="8637" priority="30" stopIfTrue="1" operator="equal">
      <formula>"Fail"</formula>
    </cfRule>
  </conditionalFormatting>
  <conditionalFormatting sqref="P307:Q307">
    <cfRule type="cellIs" dxfId="8636" priority="25" stopIfTrue="1" operator="equal">
      <formula>"Please check"</formula>
    </cfRule>
    <cfRule type="cellIs" dxfId="8635" priority="26" stopIfTrue="1" operator="equal">
      <formula>"Pass"</formula>
    </cfRule>
    <cfRule type="cellIs" dxfId="8634" priority="27" stopIfTrue="1" operator="equal">
      <formula>"Fail"</formula>
    </cfRule>
  </conditionalFormatting>
  <conditionalFormatting sqref="O308:Q308">
    <cfRule type="cellIs" dxfId="8633" priority="22" stopIfTrue="1" operator="equal">
      <formula>"Please check"</formula>
    </cfRule>
    <cfRule type="cellIs" dxfId="8632" priority="23" stopIfTrue="1" operator="equal">
      <formula>"Pass"</formula>
    </cfRule>
    <cfRule type="cellIs" dxfId="8631" priority="24" stopIfTrue="1" operator="equal">
      <formula>"Fail"</formula>
    </cfRule>
  </conditionalFormatting>
  <conditionalFormatting sqref="O311:Q311">
    <cfRule type="cellIs" dxfId="8630" priority="19" stopIfTrue="1" operator="equal">
      <formula>"Please check"</formula>
    </cfRule>
    <cfRule type="cellIs" dxfId="8629" priority="20" stopIfTrue="1" operator="equal">
      <formula>"Pass"</formula>
    </cfRule>
    <cfRule type="cellIs" dxfId="8628" priority="21" stopIfTrue="1" operator="equal">
      <formula>"Fail"</formula>
    </cfRule>
  </conditionalFormatting>
  <conditionalFormatting sqref="O315:Q315">
    <cfRule type="cellIs" dxfId="8627" priority="16" stopIfTrue="1" operator="equal">
      <formula>"Please check"</formula>
    </cfRule>
    <cfRule type="cellIs" dxfId="8626" priority="17" stopIfTrue="1" operator="equal">
      <formula>"Pass"</formula>
    </cfRule>
    <cfRule type="cellIs" dxfId="8625" priority="18" stopIfTrue="1" operator="equal">
      <formula>"Fail"</formula>
    </cfRule>
  </conditionalFormatting>
  <conditionalFormatting sqref="B309">
    <cfRule type="cellIs" dxfId="8624" priority="13" stopIfTrue="1" operator="equal">
      <formula>"Please check"</formula>
    </cfRule>
    <cfRule type="cellIs" dxfId="8623" priority="14" stopIfTrue="1" operator="equal">
      <formula>"Pass"</formula>
    </cfRule>
    <cfRule type="cellIs" dxfId="8622" priority="15" stopIfTrue="1" operator="equal">
      <formula>"Fail"</formula>
    </cfRule>
  </conditionalFormatting>
  <conditionalFormatting sqref="B310">
    <cfRule type="cellIs" dxfId="8621" priority="10" stopIfTrue="1" operator="equal">
      <formula>"Please check"</formula>
    </cfRule>
    <cfRule type="cellIs" dxfId="8620" priority="11" stopIfTrue="1" operator="equal">
      <formula>"Pass"</formula>
    </cfRule>
    <cfRule type="cellIs" dxfId="8619" priority="12" stopIfTrue="1" operator="equal">
      <formula>"Fail"</formula>
    </cfRule>
  </conditionalFormatting>
  <conditionalFormatting sqref="K57:M57">
    <cfRule type="cellIs" dxfId="8618" priority="7" stopIfTrue="1" operator="equal">
      <formula>"Please check"</formula>
    </cfRule>
    <cfRule type="cellIs" dxfId="8617" priority="8" stopIfTrue="1" operator="equal">
      <formula>"Pass"</formula>
    </cfRule>
    <cfRule type="cellIs" dxfId="8616" priority="9" stopIfTrue="1" operator="equal">
      <formula>"Fail"</formula>
    </cfRule>
  </conditionalFormatting>
  <conditionalFormatting sqref="N57">
    <cfRule type="cellIs" dxfId="8615" priority="4" stopIfTrue="1" operator="equal">
      <formula>"Please check"</formula>
    </cfRule>
    <cfRule type="cellIs" dxfId="8614" priority="5" stopIfTrue="1" operator="equal">
      <formula>"Pass"</formula>
    </cfRule>
    <cfRule type="cellIs" dxfId="8613" priority="6" stopIfTrue="1" operator="equal">
      <formula>"Fail"</formula>
    </cfRule>
  </conditionalFormatting>
  <conditionalFormatting sqref="H57">
    <cfRule type="cellIs" dxfId="8612" priority="1" stopIfTrue="1" operator="equal">
      <formula>"Please check"</formula>
    </cfRule>
    <cfRule type="cellIs" dxfId="8611" priority="2" stopIfTrue="1" operator="equal">
      <formula>"Pass"</formula>
    </cfRule>
    <cfRule type="cellIs" dxfId="8610" priority="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34" max="15" man="1"/>
    <brk id="47" max="15" man="1"/>
    <brk id="94" max="15" man="1"/>
    <brk id="177" max="15" man="1"/>
    <brk id="258" max="15" man="1"/>
  </rowBreaks>
  <ignoredErrors>
    <ignoredError sqref="E54 E39:E40 E12 E36 E241:F241 E59:E60 E196:F197 F39:G41 F58:G60 M11:M12 M21:M22 M31:M32 M36 I40:J41 M40:M41 M44 I8:M8 K297:M297 I44:J44 I39:N39 I15:M15 I11:J12 I31:J32 J25:M25 E31:G32 E21:G22 E277:G277 E259:G259 E283:G283 G7 F44:G44 F285:G285 G9 E7:F9 F11:G12 I16:J16 E16:G16 M16 I25:I26 E25:G26 J26 M26 I35:J36 I21:J22 F35:G36 I19:M19 I7:J7 I9:J9 M9 M35:N35 F54:G56 E61:G63 E114:G118 E123:G127 E132:G136 E150:G154 E160:G160 E161:F164 E169:G173 E178:G182 E187:G191 G196:G200 E214:G218 E223:G227 G241:G245 E250:G251 E252:G254 K291:M291 L311:M311 K292:M292 K293:M293 K294:M294 K295:M295 K296:M296 K302:M302 K298:M298 K299:M299 K300:M300 K301:M301"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sheetPr>
  <dimension ref="A1:AL315"/>
  <sheetViews>
    <sheetView zoomScale="80" zoomScaleNormal="80" workbookViewId="0">
      <pane xSplit="2" ySplit="1" topLeftCell="M17" activePane="bottomRight" state="frozen"/>
      <selection activeCell="P35" sqref="P35"/>
      <selection pane="topRight" activeCell="P35" sqref="P35"/>
      <selection pane="bottomLeft" activeCell="P35" sqref="P35"/>
      <selection pane="bottomRight" activeCell="X41" sqref="X41"/>
    </sheetView>
  </sheetViews>
  <sheetFormatPr defaultColWidth="0" defaultRowHeight="15" customHeight="1" zeroHeight="1" x14ac:dyDescent="0.35"/>
  <cols>
    <col min="1" max="1" width="1.6640625" style="263" customWidth="1"/>
    <col min="2" max="2" width="74.109375" style="98" customWidth="1"/>
    <col min="3" max="3" width="16.6640625" style="98" hidden="1" customWidth="1"/>
    <col min="4" max="6" width="16.6640625" style="98" customWidth="1"/>
    <col min="7" max="7" width="16.6640625" style="98" hidden="1" customWidth="1"/>
    <col min="8" max="16" width="16.6640625" style="98" customWidth="1"/>
    <col min="17" max="17" width="16.6640625" style="98" hidden="1" customWidth="1"/>
    <col min="18" max="20" width="16.6640625" style="98" customWidth="1"/>
    <col min="21" max="21" width="16.6640625" style="98" hidden="1" customWidth="1"/>
    <col min="22" max="28" width="16.6640625" style="98" customWidth="1"/>
    <col min="29" max="29" width="20.6640625" style="98" customWidth="1"/>
    <col min="30" max="34" width="16.6640625" style="98" customWidth="1"/>
    <col min="35" max="37" width="24.6640625" style="98" customWidth="1"/>
    <col min="38" max="38" width="24.33203125" style="98" customWidth="1"/>
    <col min="39" max="16384" width="6.109375" hidden="1"/>
  </cols>
  <sheetData>
    <row r="1" spans="1:38" ht="30" customHeight="1" x14ac:dyDescent="0.65">
      <c r="A1" s="766" t="s">
        <v>731</v>
      </c>
      <c r="B1" s="767"/>
      <c r="C1" s="752"/>
      <c r="D1" s="752"/>
      <c r="E1" s="739" t="str">
        <f>CONCATENATE("Reporting unit: ", 'General Info'!$C$7, " ", 'General Info'!$C$5)</f>
        <v>Reporting unit: 1000 eur</v>
      </c>
      <c r="F1" s="739"/>
      <c r="G1" s="739"/>
      <c r="H1" s="752"/>
      <c r="I1" s="752"/>
      <c r="J1" s="752"/>
      <c r="K1" s="752"/>
      <c r="L1" s="752"/>
      <c r="M1" s="752"/>
      <c r="N1" s="752"/>
      <c r="O1" s="752"/>
      <c r="P1" s="752"/>
      <c r="Q1" s="752"/>
      <c r="R1" s="752"/>
      <c r="S1" s="752"/>
      <c r="T1" s="752"/>
      <c r="U1" s="752"/>
      <c r="V1" s="752"/>
      <c r="W1" s="752"/>
      <c r="X1" s="752"/>
      <c r="Y1" s="752"/>
      <c r="Z1" s="752"/>
      <c r="AA1" s="752"/>
      <c r="AB1" s="752"/>
      <c r="AC1" s="752"/>
      <c r="AD1" s="752"/>
      <c r="AE1" s="752"/>
      <c r="AF1" s="752"/>
      <c r="AG1" s="752"/>
      <c r="AH1" s="752"/>
      <c r="AI1" s="752"/>
      <c r="AJ1" s="752"/>
      <c r="AK1" s="752"/>
      <c r="AL1" s="694"/>
    </row>
    <row r="2" spans="1:38" ht="15" customHeight="1" x14ac:dyDescent="0.35">
      <c r="AL2" s="315"/>
    </row>
    <row r="3" spans="1:38" ht="30" customHeight="1" x14ac:dyDescent="0.35">
      <c r="B3" s="775" t="s">
        <v>732</v>
      </c>
      <c r="D3" s="776"/>
      <c r="E3" s="776"/>
      <c r="F3" s="776"/>
      <c r="G3" s="776"/>
      <c r="H3" s="776"/>
      <c r="I3" s="776"/>
      <c r="J3" s="776"/>
      <c r="K3" s="776"/>
      <c r="L3" s="776"/>
      <c r="AL3" s="315"/>
    </row>
    <row r="4" spans="1:38" ht="15" customHeight="1" x14ac:dyDescent="0.35">
      <c r="B4" s="854"/>
      <c r="D4" s="855" t="s">
        <v>165</v>
      </c>
      <c r="E4" s="856" t="s">
        <v>166</v>
      </c>
      <c r="F4" s="1540"/>
      <c r="G4" s="1540"/>
      <c r="H4" s="1540"/>
      <c r="I4" s="1540"/>
      <c r="J4" s="1540"/>
      <c r="K4" s="1540"/>
      <c r="L4" s="1540"/>
      <c r="AL4" s="315"/>
    </row>
    <row r="5" spans="1:38" ht="15" customHeight="1" x14ac:dyDescent="0.35">
      <c r="B5" s="940" t="str">
        <f>'General Info'!$B11</f>
        <v>Standardised approach</v>
      </c>
      <c r="D5" s="780" t="str">
        <f>IF(ISBLANK('General Info'!$C11),"",'General Info'!$C11)</f>
        <v>Yes</v>
      </c>
      <c r="E5" s="781" t="str">
        <f>IF(D$5="Yes",IF(AND(D$8="No",D$9="No"),"Only SA exposures, please fill in only this worksheet.","Partial use: please fill in this worksheet and the worksheet for IRB exposures"), IF(AND(D$8="No", D$9="No"), "No SA/IRB exposures, please check General Info", "No SA exposures, please leave this worksheet empty"))</f>
        <v>Partial use: please fill in this worksheet and the worksheet for IRB exposures</v>
      </c>
      <c r="F5" s="785"/>
      <c r="G5" s="785"/>
      <c r="H5" s="785"/>
      <c r="I5" s="785"/>
      <c r="J5" s="785"/>
      <c r="K5" s="785"/>
      <c r="L5" s="785"/>
      <c r="AL5" s="315"/>
    </row>
    <row r="6" spans="1:38" ht="15" customHeight="1" x14ac:dyDescent="0.35">
      <c r="B6" s="940" t="str">
        <f>Parameters!B269</f>
        <v>External ratings allowed</v>
      </c>
      <c r="D6" s="780" t="str">
        <f>IF(ISBLANK(Parameters!$F269), "", Parameters!$F269)</f>
        <v>Yes</v>
      </c>
      <c r="E6" s="781" t="str">
        <f>IF(D5="Yes", IF(D6="No", "Please complete in the panel A1 data under SCRA and Corporates-rating not allowed", "Please compete in panel A1 information under ECRA and Corporates-rating allowed"), "No SA exposures, please check General Info")</f>
        <v>Please compete in panel A1 information under ECRA and Corporates-rating allowed</v>
      </c>
      <c r="F6" s="785"/>
      <c r="G6" s="785"/>
      <c r="H6" s="785"/>
      <c r="I6" s="785"/>
      <c r="J6" s="785"/>
      <c r="K6" s="785"/>
      <c r="L6" s="785"/>
      <c r="AL6" s="315"/>
    </row>
    <row r="7" spans="1:38" ht="15" customHeight="1" x14ac:dyDescent="0.35">
      <c r="B7" s="940" t="str">
        <f>Parameters!B270</f>
        <v>Loan splitting approach</v>
      </c>
      <c r="D7" s="780" t="str">
        <f>IF(ISBLANK(Parameters!$F270), "", Parameters!$F270)</f>
        <v>Yes</v>
      </c>
      <c r="E7" s="781" t="str">
        <f>IF(D5="Yes", IF(D7="No", "Please complete in panel A1 rows referring to the whole loan appraoch ", "Please compete in panel A1 rows referring to the loan splitting approach"), "No SA exposures, please check General Info")</f>
        <v>Please compete in panel A1 rows referring to the loan splitting approach</v>
      </c>
      <c r="F7" s="785"/>
      <c r="G7" s="785"/>
      <c r="H7" s="785"/>
      <c r="I7" s="785"/>
      <c r="J7" s="785"/>
      <c r="K7" s="785"/>
      <c r="L7" s="785"/>
      <c r="AL7" s="315"/>
    </row>
    <row r="8" spans="1:38" ht="15" customHeight="1" x14ac:dyDescent="0.35">
      <c r="B8" s="940" t="str">
        <f>'General Info'!$B12</f>
        <v>FIRB approach</v>
      </c>
      <c r="D8" s="780" t="str">
        <f>IF(ISBLANK('General Info'!$C12),"",'General Info'!$C12)</f>
        <v>No</v>
      </c>
      <c r="E8" s="781"/>
      <c r="F8" s="785"/>
      <c r="G8" s="785"/>
      <c r="H8" s="785"/>
      <c r="I8" s="785"/>
      <c r="J8" s="785"/>
      <c r="K8" s="785"/>
      <c r="L8" s="785"/>
      <c r="AL8" s="315"/>
    </row>
    <row r="9" spans="1:38" ht="15" customHeight="1" x14ac:dyDescent="0.35">
      <c r="B9" s="940" t="str">
        <f>'General Info'!$B13</f>
        <v>AIRB approach</v>
      </c>
      <c r="D9" s="780" t="str">
        <f>IF(ISBLANK('General Info'!$C13),"",'General Info'!$C13)</f>
        <v>Yes</v>
      </c>
      <c r="E9" s="781"/>
      <c r="F9" s="785"/>
      <c r="G9" s="785"/>
      <c r="H9" s="785"/>
      <c r="I9" s="785"/>
      <c r="J9" s="785"/>
      <c r="K9" s="785"/>
      <c r="L9" s="785"/>
      <c r="AL9" s="315"/>
    </row>
    <row r="10" spans="1:38" ht="15" customHeight="1" x14ac:dyDescent="0.35">
      <c r="B10" s="940" t="str">
        <f>'General Info'!$B15</f>
        <v>Slotting approach for specialised lending</v>
      </c>
      <c r="D10" s="780" t="str">
        <f>IF(ISBLANK('General Info'!$C15),"",'General Info'!$C15)</f>
        <v>No</v>
      </c>
      <c r="E10" s="781"/>
      <c r="F10" s="785"/>
      <c r="G10" s="785"/>
      <c r="H10" s="785"/>
      <c r="I10" s="785"/>
      <c r="J10" s="785"/>
      <c r="K10" s="785"/>
      <c r="L10" s="785"/>
      <c r="AL10" s="315"/>
    </row>
    <row r="11" spans="1:38" ht="15" customHeight="1" x14ac:dyDescent="0.35">
      <c r="B11" s="1538" t="str">
        <f>'General Info'!B47</f>
        <v>Revised market risk framework definition of TB-BB boundary</v>
      </c>
      <c r="D11" s="782" t="str">
        <f>IF(ISBLANK('General Info'!C47),"",'General Info'!$C47)</f>
        <v>Yes</v>
      </c>
      <c r="E11" s="783" t="str">
        <f>IF(D11="Yes", "Please complete rows " &amp; ROW(B145) &amp; " and " &amp; ROW(B146) &amp; ".", IF(D11="No", "Please leave rows " &amp; ROW(B145) &amp; " and " &amp; ROW(B146) &amp; " empty.", ""))</f>
        <v>Please complete rows 145 and 146.</v>
      </c>
      <c r="F11" s="786"/>
      <c r="G11" s="786"/>
      <c r="H11" s="786"/>
      <c r="I11" s="786"/>
      <c r="J11" s="786"/>
      <c r="K11" s="786"/>
      <c r="L11" s="786"/>
      <c r="AL11" s="315"/>
    </row>
    <row r="12" spans="1:38" ht="15" customHeight="1" x14ac:dyDescent="0.35">
      <c r="AB12" s="296"/>
      <c r="AC12" s="296"/>
      <c r="AD12" s="296"/>
      <c r="AE12" s="296"/>
      <c r="AF12" s="296"/>
      <c r="AG12" s="296"/>
      <c r="AH12" s="296"/>
      <c r="AI12" s="296"/>
      <c r="AJ12" s="296"/>
      <c r="AK12" s="296"/>
      <c r="AL12" s="315"/>
    </row>
    <row r="13" spans="1:38" ht="55.5" customHeight="1" x14ac:dyDescent="0.35">
      <c r="A13" s="704" t="s">
        <v>733</v>
      </c>
      <c r="B13" s="743"/>
      <c r="C13" s="741"/>
      <c r="D13" s="741"/>
      <c r="E13" s="741"/>
      <c r="F13" s="849"/>
      <c r="G13" s="741"/>
      <c r="H13" s="741"/>
      <c r="I13" s="741"/>
      <c r="J13" s="741"/>
      <c r="K13" s="741"/>
      <c r="L13" s="741"/>
      <c r="M13" s="741"/>
      <c r="N13" s="741"/>
      <c r="O13" s="741"/>
      <c r="P13" s="741"/>
      <c r="Q13" s="849"/>
      <c r="R13" s="741"/>
      <c r="S13" s="741"/>
      <c r="T13" s="741"/>
      <c r="U13" s="741"/>
      <c r="V13" s="741"/>
      <c r="W13" s="741"/>
      <c r="X13" s="850"/>
      <c r="Y13" s="850"/>
      <c r="Z13" s="741"/>
      <c r="AA13" s="849"/>
      <c r="AB13" s="741"/>
      <c r="AC13" s="741"/>
      <c r="AD13" s="741"/>
      <c r="AE13" s="741"/>
      <c r="AF13" s="741"/>
      <c r="AG13" s="741"/>
      <c r="AH13" s="741"/>
      <c r="AI13" s="1512"/>
      <c r="AJ13" s="1512"/>
      <c r="AK13" s="1512"/>
      <c r="AL13" s="1512"/>
    </row>
    <row r="14" spans="1:38" ht="55.5" customHeight="1" x14ac:dyDescent="0.35">
      <c r="A14" s="311" t="s">
        <v>734</v>
      </c>
      <c r="B14" s="207"/>
      <c r="W14" s="1541"/>
      <c r="X14" s="1541"/>
      <c r="Y14" s="1541"/>
      <c r="AI14" s="1513"/>
      <c r="AJ14" s="1513"/>
      <c r="AK14" s="1513"/>
      <c r="AL14" s="1513"/>
    </row>
    <row r="15" spans="1:38" ht="30" customHeight="1" x14ac:dyDescent="0.35">
      <c r="B15" s="2566" t="s">
        <v>169</v>
      </c>
      <c r="C15" s="2703" t="s">
        <v>735</v>
      </c>
      <c r="D15" s="2704"/>
      <c r="E15" s="2704"/>
      <c r="F15" s="2704"/>
      <c r="G15" s="2704"/>
      <c r="H15" s="2704"/>
      <c r="I15" s="2704"/>
      <c r="J15" s="2704"/>
      <c r="K15" s="2704"/>
      <c r="L15" s="2704"/>
      <c r="M15" s="2704"/>
      <c r="N15" s="2704"/>
      <c r="O15" s="2704"/>
      <c r="P15" s="2705"/>
      <c r="Q15" s="2683" t="s">
        <v>736</v>
      </c>
      <c r="R15" s="2684"/>
      <c r="S15" s="2684"/>
      <c r="T15" s="2684"/>
      <c r="U15" s="2684"/>
      <c r="V15" s="2684"/>
      <c r="W15" s="2684"/>
      <c r="X15" s="2684"/>
      <c r="Y15" s="2684"/>
      <c r="Z15" s="2684"/>
      <c r="AA15" s="2684"/>
      <c r="AB15" s="2684"/>
      <c r="AC15" s="2685"/>
      <c r="AD15" s="2677" t="s">
        <v>99</v>
      </c>
      <c r="AE15" s="2678"/>
      <c r="AF15" s="2681" t="s">
        <v>221</v>
      </c>
      <c r="AG15" s="2682"/>
      <c r="AH15" s="2682"/>
      <c r="AI15" s="2670" t="s">
        <v>737</v>
      </c>
      <c r="AJ15" s="2671"/>
      <c r="AK15" s="2671"/>
      <c r="AL15" s="1513"/>
    </row>
    <row r="16" spans="1:38" ht="60" customHeight="1" x14ac:dyDescent="0.35">
      <c r="B16" s="2566"/>
      <c r="C16" s="2701" t="s">
        <v>738</v>
      </c>
      <c r="D16" s="2701"/>
      <c r="E16" s="2701"/>
      <c r="F16" s="2701"/>
      <c r="G16" s="2701"/>
      <c r="H16" s="2702"/>
      <c r="I16" s="2691" t="s">
        <v>176</v>
      </c>
      <c r="J16" s="2680" t="s">
        <v>177</v>
      </c>
      <c r="K16" s="2638"/>
      <c r="L16" s="2638"/>
      <c r="M16" s="2708"/>
      <c r="N16" s="2686" t="s">
        <v>739</v>
      </c>
      <c r="O16" s="2706" t="s">
        <v>740</v>
      </c>
      <c r="P16" s="2707"/>
      <c r="Q16" s="2688" t="s">
        <v>738</v>
      </c>
      <c r="R16" s="2689"/>
      <c r="S16" s="2689"/>
      <c r="T16" s="2689"/>
      <c r="U16" s="2689"/>
      <c r="V16" s="2690"/>
      <c r="W16" s="2686" t="s">
        <v>176</v>
      </c>
      <c r="X16" s="2565" t="s">
        <v>177</v>
      </c>
      <c r="Y16" s="2566"/>
      <c r="Z16" s="2566"/>
      <c r="AA16" s="2572"/>
      <c r="AB16" s="2686" t="s">
        <v>741</v>
      </c>
      <c r="AC16" s="2692" t="str">
        <f>"Check: column " &amp; LEFT(ADDRESS(ROW(AB18),COLUMN(AB18),4), 2) &amp; " RW in Parameters worksheet"</f>
        <v>Check: column AB RW in Parameters worksheet</v>
      </c>
      <c r="AD16" s="2673" t="s">
        <v>742</v>
      </c>
      <c r="AE16" s="2674"/>
      <c r="AF16" s="2565" t="s">
        <v>743</v>
      </c>
      <c r="AG16" s="2566"/>
      <c r="AH16" s="2566"/>
      <c r="AI16" s="2672" t="s">
        <v>744</v>
      </c>
      <c r="AJ16" s="2633"/>
      <c r="AK16" s="2565"/>
      <c r="AL16" s="1513"/>
    </row>
    <row r="17" spans="1:38" ht="30" customHeight="1" x14ac:dyDescent="0.35">
      <c r="B17" s="2566"/>
      <c r="C17" s="1463"/>
      <c r="D17" s="2695" t="s">
        <v>745</v>
      </c>
      <c r="E17" s="2565" t="s">
        <v>746</v>
      </c>
      <c r="F17" s="2572"/>
      <c r="G17" s="1465"/>
      <c r="H17" s="2695" t="s">
        <v>747</v>
      </c>
      <c r="I17" s="2691"/>
      <c r="J17" s="2686" t="s">
        <v>748</v>
      </c>
      <c r="K17" s="2686" t="s">
        <v>746</v>
      </c>
      <c r="L17" s="2686" t="s">
        <v>749</v>
      </c>
      <c r="M17" s="2686" t="s">
        <v>59</v>
      </c>
      <c r="N17" s="2691"/>
      <c r="O17" s="2686" t="s">
        <v>750</v>
      </c>
      <c r="P17" s="2686" t="s">
        <v>751</v>
      </c>
      <c r="Q17" s="1465"/>
      <c r="R17" s="2695" t="s">
        <v>745</v>
      </c>
      <c r="S17" s="2565" t="s">
        <v>746</v>
      </c>
      <c r="T17" s="2572"/>
      <c r="U17" s="1465"/>
      <c r="V17" s="2695" t="s">
        <v>747</v>
      </c>
      <c r="W17" s="2691"/>
      <c r="X17" s="2686" t="s">
        <v>748</v>
      </c>
      <c r="Y17" s="2686" t="s">
        <v>746</v>
      </c>
      <c r="Z17" s="2686" t="s">
        <v>749</v>
      </c>
      <c r="AA17" s="2686" t="s">
        <v>59</v>
      </c>
      <c r="AB17" s="2691"/>
      <c r="AC17" s="2693"/>
      <c r="AD17" s="2675"/>
      <c r="AE17" s="2676"/>
      <c r="AF17" s="2565" t="s">
        <v>752</v>
      </c>
      <c r="AG17" s="2572"/>
      <c r="AH17" s="2679" t="s">
        <v>177</v>
      </c>
      <c r="AI17" s="2672" t="s">
        <v>753</v>
      </c>
      <c r="AJ17" s="2633"/>
      <c r="AK17" s="2565" t="s">
        <v>177</v>
      </c>
      <c r="AL17" s="1513"/>
    </row>
    <row r="18" spans="1:38" ht="45" customHeight="1" x14ac:dyDescent="0.35">
      <c r="B18" s="2566"/>
      <c r="C18" s="760"/>
      <c r="D18" s="2696"/>
      <c r="E18" s="770" t="s">
        <v>59</v>
      </c>
      <c r="F18" s="770" t="s">
        <v>754</v>
      </c>
      <c r="G18" s="770"/>
      <c r="H18" s="2696"/>
      <c r="I18" s="2687"/>
      <c r="J18" s="2687"/>
      <c r="K18" s="2687"/>
      <c r="L18" s="2687"/>
      <c r="M18" s="2687"/>
      <c r="N18" s="2687"/>
      <c r="O18" s="2687"/>
      <c r="P18" s="2687"/>
      <c r="Q18" s="770"/>
      <c r="R18" s="2696"/>
      <c r="S18" s="770" t="s">
        <v>59</v>
      </c>
      <c r="T18" s="770" t="s">
        <v>754</v>
      </c>
      <c r="U18" s="770"/>
      <c r="V18" s="2696"/>
      <c r="W18" s="2687"/>
      <c r="X18" s="2687"/>
      <c r="Y18" s="2687"/>
      <c r="Z18" s="2687"/>
      <c r="AA18" s="2687"/>
      <c r="AB18" s="2687"/>
      <c r="AC18" s="2694"/>
      <c r="AD18" s="770" t="s">
        <v>753</v>
      </c>
      <c r="AE18" s="770" t="s">
        <v>755</v>
      </c>
      <c r="AF18" s="770" t="s">
        <v>59</v>
      </c>
      <c r="AG18" s="770" t="s">
        <v>756</v>
      </c>
      <c r="AH18" s="2680"/>
      <c r="AI18" s="1838" t="s">
        <v>59</v>
      </c>
      <c r="AJ18" s="1837" t="s">
        <v>756</v>
      </c>
      <c r="AK18" s="2565"/>
      <c r="AL18" s="1513"/>
    </row>
    <row r="19" spans="1:38" ht="15" customHeight="1" x14ac:dyDescent="0.35">
      <c r="B19" s="474" t="s">
        <v>757</v>
      </c>
      <c r="C19" s="568" t="str">
        <f t="shared" ref="C19:I19" si="0">IF(AND(ISNUMBER(C20),ISNUMBER(C21),ISNUMBER(C22),ISNUMBER(C23)),SUM(C20:C23),"")</f>
        <v/>
      </c>
      <c r="D19" s="568">
        <f t="shared" si="0"/>
        <v>19483887</v>
      </c>
      <c r="E19" s="568">
        <f t="shared" si="0"/>
        <v>0</v>
      </c>
      <c r="F19" s="568">
        <f t="shared" si="0"/>
        <v>0</v>
      </c>
      <c r="G19" s="568" t="str">
        <f t="shared" si="0"/>
        <v/>
      </c>
      <c r="H19" s="568">
        <f t="shared" si="0"/>
        <v>1486</v>
      </c>
      <c r="I19" s="568">
        <f t="shared" si="0"/>
        <v>19485373</v>
      </c>
      <c r="J19" s="568">
        <f t="shared" ref="J19:K19" si="1">IF(AND(ISNUMBER(J20),ISNUMBER(J21),ISNUMBER(J22),ISNUMBER(J23)),SUM(J20:J23),"")</f>
        <v>665308</v>
      </c>
      <c r="K19" s="568">
        <f t="shared" si="1"/>
        <v>0</v>
      </c>
      <c r="L19" s="568">
        <f t="shared" ref="L19" si="2">IF(AND(ISNUMBER(L20),ISNUMBER(L21),ISNUMBER(L22),ISNUMBER(L23)),SUM(L20:L23),"")</f>
        <v>255</v>
      </c>
      <c r="M19" s="375">
        <f>IF(AND(ISNUMBER(M20),ISNUMBER(M21),ISNUMBER(M22),ISNUMBER(M23)),SUM(M20:M23),"")</f>
        <v>665563</v>
      </c>
      <c r="N19" s="568">
        <f>IF(AND(ISNUMBER(N20),ISNUMBER(N21),ISNUMBER(N22),ISNUMBER(N23)),SUM(N20:N23),"")</f>
        <v>3064</v>
      </c>
      <c r="O19" s="299">
        <v>4385</v>
      </c>
      <c r="P19" s="208">
        <v>0</v>
      </c>
      <c r="Q19" s="375" t="str">
        <f>IF(AND(ISNUMBER(Q20),ISNUMBER(Q21),ISNUMBER(Q22),ISNUMBER(Q23)),SUM(Q20:Q23),"")</f>
        <v/>
      </c>
      <c r="R19" s="375">
        <f t="shared" ref="R19:V19" si="3">IF(AND(ISNUMBER(R20),ISNUMBER(R21),ISNUMBER(R22),ISNUMBER(R23)),SUM(R20:R23),"")</f>
        <v>19483887</v>
      </c>
      <c r="S19" s="375">
        <f t="shared" si="3"/>
        <v>0</v>
      </c>
      <c r="T19" s="375">
        <f t="shared" si="3"/>
        <v>0</v>
      </c>
      <c r="U19" s="375" t="str">
        <f t="shared" si="3"/>
        <v/>
      </c>
      <c r="V19" s="375">
        <f t="shared" si="3"/>
        <v>2244</v>
      </c>
      <c r="W19" s="375">
        <f>IF(AND(ISNUMBER(W20),ISNUMBER(W21),ISNUMBER(W22),ISNUMBER(W23)),SUM(W20:W23),"")</f>
        <v>19486131</v>
      </c>
      <c r="X19" s="375">
        <f>IF(AND(ISNUMBER(X20),ISNUMBER(X21),ISNUMBER(X22),ISNUMBER(X23)),SUM(X20:X23),"")</f>
        <v>765868</v>
      </c>
      <c r="Y19" s="375">
        <f>IF(AND(ISNUMBER(Y20),ISNUMBER(Y21),ISNUMBER(Y22),ISNUMBER(Y23)),SUM(Y20:Y23),"")</f>
        <v>0</v>
      </c>
      <c r="Z19" s="375">
        <f>IF(AND(ISNUMBER(Z20),ISNUMBER(Z21),ISNUMBER(Z22),ISNUMBER(Z23)),SUM(Z20:Z23),"")</f>
        <v>1567</v>
      </c>
      <c r="AA19" s="139">
        <f>IF(AND(ISNUMBER(AA20),ISNUMBER(AA21),ISNUMBER(AA22),ISNUMBER(AA23)),SUM(AA20:AA23),"")</f>
        <v>767435</v>
      </c>
      <c r="AB19" s="611">
        <f t="shared" ref="AB19" si="4">IF(AND(ISNUMBER(W19), ISNUMBER(AA19)),IF(W19&lt;&gt;0,(AA19/W19),""),"")</f>
        <v>3.9383651890670342E-2</v>
      </c>
      <c r="AC19" s="319"/>
      <c r="AD19" s="375" t="str">
        <f t="shared" ref="AD19" si="5">IF(AND(ISNUMBER(AD20),ISNUMBER(AD21),ISNUMBER(AD22),ISNUMBER(AD23)),SUM(AD20:AD23),"")</f>
        <v/>
      </c>
      <c r="AE19" s="375" t="str">
        <f>IF(AND(ISNUMBER(AE20),ISNUMBER(AE21),ISNUMBER(AE22),ISNUMBER(AE23)),SUM(AE20:AE23),"")</f>
        <v/>
      </c>
      <c r="AF19" s="375" t="str">
        <f t="shared" ref="AF19:AK19" si="6">IF(AND(ISNUMBER(AF20),ISNUMBER(AF21),ISNUMBER(AF22),ISNUMBER(AF23)),SUM(AF20:AF23),"")</f>
        <v/>
      </c>
      <c r="AG19" s="375" t="str">
        <f t="shared" si="6"/>
        <v/>
      </c>
      <c r="AH19" s="139" t="str">
        <f t="shared" si="6"/>
        <v/>
      </c>
      <c r="AI19" s="1842" t="str">
        <f t="shared" si="6"/>
        <v/>
      </c>
      <c r="AJ19" s="1843" t="str">
        <f t="shared" si="6"/>
        <v/>
      </c>
      <c r="AK19" s="1844" t="str">
        <f t="shared" si="6"/>
        <v/>
      </c>
      <c r="AL19" s="1513"/>
    </row>
    <row r="20" spans="1:38" ht="15" customHeight="1" x14ac:dyDescent="0.35">
      <c r="B20" s="164" t="s">
        <v>758</v>
      </c>
      <c r="C20" s="495"/>
      <c r="D20" s="212">
        <v>19108537</v>
      </c>
      <c r="E20" s="212">
        <v>0</v>
      </c>
      <c r="F20" s="212">
        <v>0</v>
      </c>
      <c r="G20" s="212"/>
      <c r="H20" s="212">
        <v>210</v>
      </c>
      <c r="I20" s="375">
        <f>IF(AND(ISNUMBER(D20),ISNUMBER(E20),ISNUMBER(H20)),SUM(D20,E20,H20),"")</f>
        <v>19108747</v>
      </c>
      <c r="J20" s="212">
        <v>617028</v>
      </c>
      <c r="K20" s="212">
        <v>0</v>
      </c>
      <c r="L20" s="155">
        <v>0</v>
      </c>
      <c r="M20" s="375">
        <f>IF(AND(ISNUMBER(J20),ISNUMBER(K20),ISNUMBER(L20)),SUM(J20:L20), "")</f>
        <v>617028</v>
      </c>
      <c r="N20" s="1803">
        <v>472</v>
      </c>
      <c r="O20" s="208">
        <v>4334</v>
      </c>
      <c r="P20" s="208">
        <v>0</v>
      </c>
      <c r="Q20" s="208"/>
      <c r="R20" s="208">
        <v>19108537</v>
      </c>
      <c r="S20" s="208">
        <v>0</v>
      </c>
      <c r="T20" s="208">
        <v>0</v>
      </c>
      <c r="U20" s="208"/>
      <c r="V20" s="208">
        <v>677</v>
      </c>
      <c r="W20" s="375">
        <f>IF(AND(ISNUMBER(R20),ISNUMBER(S20),ISNUMBER(V20)),SUM(R20,S20,V20),"")</f>
        <v>19109214</v>
      </c>
      <c r="X20" s="208">
        <v>617028</v>
      </c>
      <c r="Y20" s="208">
        <v>0</v>
      </c>
      <c r="Z20" s="208">
        <v>0</v>
      </c>
      <c r="AA20" s="139">
        <f t="shared" ref="AA20:AA23" si="7">IF(AND(ISNUMBER(X20),ISNUMBER(Y20),ISNUMBER(Z20)),SUM(X20:Z20), "")</f>
        <v>617028</v>
      </c>
      <c r="AB20" s="614">
        <f>IF(AND(ISNUMBER(W20), ISNUMBER(AA20)),IF(W20&lt;&gt;0,(AA20/W20),""),"")</f>
        <v>3.228955413864746E-2</v>
      </c>
      <c r="AC20" s="319"/>
      <c r="AD20" s="208"/>
      <c r="AE20" s="208"/>
      <c r="AF20" s="208"/>
      <c r="AG20" s="138"/>
      <c r="AH20" s="138"/>
      <c r="AI20" s="1845" t="str">
        <f>IF(AND(ISNUMBER(AF20),ISNUMBER(AG20),ISNUMBER(AJ20)),AF20-AG20+AJ20,"")</f>
        <v/>
      </c>
      <c r="AJ20" s="208"/>
      <c r="AK20" s="138"/>
      <c r="AL20" s="1513"/>
    </row>
    <row r="21" spans="1:38" ht="15" customHeight="1" x14ac:dyDescent="0.35">
      <c r="B21" s="164" t="s">
        <v>759</v>
      </c>
      <c r="C21" s="299"/>
      <c r="D21" s="208">
        <v>0</v>
      </c>
      <c r="E21" s="208">
        <v>0</v>
      </c>
      <c r="F21" s="208">
        <v>0</v>
      </c>
      <c r="G21" s="208"/>
      <c r="H21" s="208">
        <v>0</v>
      </c>
      <c r="I21" s="375">
        <f>IF(AND(ISNUMBER(D21),ISNUMBER(E21),ISNUMBER(H21)),SUM(D21,E21,H21),"")</f>
        <v>0</v>
      </c>
      <c r="J21" s="208">
        <v>0</v>
      </c>
      <c r="K21" s="208">
        <v>0</v>
      </c>
      <c r="L21" s="208">
        <v>0</v>
      </c>
      <c r="M21" s="375">
        <f>IF(AND(ISNUMBER(J21),ISNUMBER(K21),ISNUMBER(L21)),SUM(J21:L21), "")</f>
        <v>0</v>
      </c>
      <c r="N21" s="1804">
        <v>2592</v>
      </c>
      <c r="O21" s="208">
        <v>0</v>
      </c>
      <c r="P21" s="208">
        <v>0</v>
      </c>
      <c r="Q21" s="208"/>
      <c r="R21" s="208">
        <v>0</v>
      </c>
      <c r="S21" s="208">
        <v>0</v>
      </c>
      <c r="T21" s="208">
        <v>0</v>
      </c>
      <c r="U21" s="208"/>
      <c r="V21" s="208">
        <v>0</v>
      </c>
      <c r="W21" s="375">
        <f>IF(AND(ISNUMBER(R21),ISNUMBER(S21),ISNUMBER(V21)),SUM(R21,S21,V21),"")</f>
        <v>0</v>
      </c>
      <c r="X21" s="208">
        <v>0</v>
      </c>
      <c r="Y21" s="208">
        <v>0</v>
      </c>
      <c r="Z21" s="208">
        <v>0</v>
      </c>
      <c r="AA21" s="139">
        <f t="shared" si="7"/>
        <v>0</v>
      </c>
      <c r="AB21" s="614" t="str">
        <f t="shared" ref="AB21:AB86" si="8">IF(AND(ISNUMBER(W21), ISNUMBER(AA21)),IF(W21&lt;&gt;0,(AA21/W21),""),"")</f>
        <v/>
      </c>
      <c r="AC21" s="319"/>
      <c r="AD21" s="208"/>
      <c r="AE21" s="208"/>
      <c r="AF21" s="208"/>
      <c r="AG21" s="138"/>
      <c r="AH21" s="138"/>
      <c r="AI21" s="1845" t="str">
        <f t="shared" ref="AI21:AI25" si="9">IF(AND(ISNUMBER(AF21),ISNUMBER(AG21),ISNUMBER(AJ21)),AF21-AG21+AJ21,"")</f>
        <v/>
      </c>
      <c r="AJ21" s="208"/>
      <c r="AK21" s="138"/>
      <c r="AL21" s="1513"/>
    </row>
    <row r="22" spans="1:38" ht="15" customHeight="1" x14ac:dyDescent="0.35">
      <c r="B22" s="164" t="s">
        <v>760</v>
      </c>
      <c r="C22" s="299"/>
      <c r="D22" s="208">
        <v>148840</v>
      </c>
      <c r="E22" s="208">
        <v>0</v>
      </c>
      <c r="F22" s="208">
        <v>0</v>
      </c>
      <c r="G22" s="208"/>
      <c r="H22" s="208">
        <v>1276</v>
      </c>
      <c r="I22" s="375">
        <f>IF(AND(ISNUMBER(D22),ISNUMBER(E22),ISNUMBER(H22)),SUM(D22,E22,H22),"")</f>
        <v>150116</v>
      </c>
      <c r="J22" s="208">
        <v>48280</v>
      </c>
      <c r="K22" s="208">
        <v>0</v>
      </c>
      <c r="L22" s="208">
        <v>255</v>
      </c>
      <c r="M22" s="375">
        <f>IF(AND(ISNUMBER(J22),ISNUMBER(K22),ISNUMBER(L22)),SUM(J22:L22), "")</f>
        <v>48535</v>
      </c>
      <c r="N22" s="1804">
        <v>0</v>
      </c>
      <c r="O22" s="208">
        <v>44</v>
      </c>
      <c r="P22" s="208">
        <v>0</v>
      </c>
      <c r="Q22" s="208"/>
      <c r="R22" s="208">
        <v>148840</v>
      </c>
      <c r="S22" s="208">
        <v>0</v>
      </c>
      <c r="T22" s="208">
        <v>0</v>
      </c>
      <c r="U22" s="208"/>
      <c r="V22" s="208">
        <v>1567</v>
      </c>
      <c r="W22" s="375">
        <f>IF(AND(ISNUMBER(R22),ISNUMBER(S22),ISNUMBER(V22)),SUM(R22,S22,V22),"")</f>
        <v>150407</v>
      </c>
      <c r="X22" s="208">
        <v>148840</v>
      </c>
      <c r="Y22" s="208">
        <v>0</v>
      </c>
      <c r="Z22" s="208">
        <v>1567</v>
      </c>
      <c r="AA22" s="139">
        <f t="shared" si="7"/>
        <v>150407</v>
      </c>
      <c r="AB22" s="614">
        <f t="shared" si="8"/>
        <v>1</v>
      </c>
      <c r="AC22" s="319"/>
      <c r="AD22" s="208"/>
      <c r="AE22" s="208"/>
      <c r="AF22" s="208"/>
      <c r="AG22" s="138"/>
      <c r="AH22" s="138"/>
      <c r="AI22" s="1845" t="str">
        <f t="shared" si="9"/>
        <v/>
      </c>
      <c r="AJ22" s="208"/>
      <c r="AK22" s="138"/>
      <c r="AL22" s="1513"/>
    </row>
    <row r="23" spans="1:38" ht="15" customHeight="1" x14ac:dyDescent="0.35">
      <c r="B23" s="164" t="s">
        <v>547</v>
      </c>
      <c r="C23" s="307"/>
      <c r="D23" s="210">
        <v>226510</v>
      </c>
      <c r="E23" s="210">
        <v>0</v>
      </c>
      <c r="F23" s="210">
        <v>0</v>
      </c>
      <c r="G23" s="210"/>
      <c r="H23" s="210">
        <v>0</v>
      </c>
      <c r="I23" s="375">
        <f>IF(AND(ISNUMBER(D23),ISNUMBER(E23),ISNUMBER(H23)),SUM(D23,E23,H23),"")</f>
        <v>226510</v>
      </c>
      <c r="J23" s="210">
        <v>0</v>
      </c>
      <c r="K23" s="210">
        <v>0</v>
      </c>
      <c r="L23" s="210">
        <v>0</v>
      </c>
      <c r="M23" s="375">
        <f>IF(AND(ISNUMBER(J23),ISNUMBER(K23),ISNUMBER(L23)),SUM(J23:L23), "")</f>
        <v>0</v>
      </c>
      <c r="N23" s="1805">
        <v>0</v>
      </c>
      <c r="O23" s="208">
        <v>7</v>
      </c>
      <c r="P23" s="208">
        <v>0</v>
      </c>
      <c r="Q23" s="208"/>
      <c r="R23" s="208">
        <v>226510</v>
      </c>
      <c r="S23" s="208">
        <v>0</v>
      </c>
      <c r="T23" s="208">
        <v>0</v>
      </c>
      <c r="U23" s="208"/>
      <c r="V23" s="208">
        <v>0</v>
      </c>
      <c r="W23" s="375">
        <f>IF(AND(ISNUMBER(R23),ISNUMBER(S23),ISNUMBER(V23)),SUM(R23,S23,V23),"")</f>
        <v>226510</v>
      </c>
      <c r="X23" s="208">
        <v>0</v>
      </c>
      <c r="Y23" s="208">
        <v>0</v>
      </c>
      <c r="Z23" s="208">
        <v>0</v>
      </c>
      <c r="AA23" s="139">
        <f t="shared" si="7"/>
        <v>0</v>
      </c>
      <c r="AB23" s="614">
        <f t="shared" si="8"/>
        <v>0</v>
      </c>
      <c r="AC23" s="319"/>
      <c r="AD23" s="208"/>
      <c r="AE23" s="208"/>
      <c r="AF23" s="208"/>
      <c r="AG23" s="138"/>
      <c r="AH23" s="138"/>
      <c r="AI23" s="1845" t="str">
        <f t="shared" si="9"/>
        <v/>
      </c>
      <c r="AJ23" s="208"/>
      <c r="AK23" s="138"/>
      <c r="AL23" s="1513"/>
    </row>
    <row r="24" spans="1:38" ht="15" customHeight="1" x14ac:dyDescent="0.35">
      <c r="B24" s="185" t="s">
        <v>761</v>
      </c>
      <c r="C24" s="375" t="str">
        <f t="shared" ref="C24:I24" si="10">IF(AND(ISNUMBER(C25),ISNUMBER(C26),ISNUMBER(C39)),SUM(C25, C26, C39),"")</f>
        <v/>
      </c>
      <c r="D24" s="375">
        <f t="shared" si="10"/>
        <v>1530384.3600000003</v>
      </c>
      <c r="E24" s="375">
        <f t="shared" si="10"/>
        <v>133868.50985</v>
      </c>
      <c r="F24" s="375">
        <f t="shared" si="10"/>
        <v>0</v>
      </c>
      <c r="G24" s="375" t="str">
        <f t="shared" si="10"/>
        <v/>
      </c>
      <c r="H24" s="375">
        <f t="shared" si="10"/>
        <v>1364</v>
      </c>
      <c r="I24" s="375">
        <f t="shared" si="10"/>
        <v>1665616.8698499999</v>
      </c>
      <c r="J24" s="375">
        <f t="shared" ref="J24:K24" si="11">IF(AND(ISNUMBER(J25),ISNUMBER(J26),ISNUMBER(J39)),SUM(J25, J26, J39),"")</f>
        <v>646807.99999999988</v>
      </c>
      <c r="K24" s="375">
        <f t="shared" si="11"/>
        <v>16755.68362</v>
      </c>
      <c r="L24" s="375">
        <f t="shared" ref="L24" si="12">IF(AND(ISNUMBER(L25),ISNUMBER(L26),ISNUMBER(L39)),SUM(L25, L26, L39),"")</f>
        <v>713</v>
      </c>
      <c r="M24" s="375">
        <f>IF(AND(ISNUMBER(M25),ISNUMBER(M26),ISNUMBER(M39)),SUM(M25, M26, M39),"")</f>
        <v>664276.68361999991</v>
      </c>
      <c r="N24" s="375">
        <f>IF(AND(ISNUMBER(N25),ISNUMBER(N26),ISNUMBER(N39)),SUM(N25, N26, N39),"")</f>
        <v>0</v>
      </c>
      <c r="O24" s="299">
        <v>771</v>
      </c>
      <c r="P24" s="208">
        <v>0</v>
      </c>
      <c r="Q24" s="375" t="str">
        <f t="shared" ref="Q24:W24" si="13">IF(AND(ISNUMBER(Q25),ISNUMBER(Q26),ISNUMBER(Q39)),SUM(Q25, Q26, Q39),"")</f>
        <v/>
      </c>
      <c r="R24" s="375">
        <f t="shared" si="13"/>
        <v>1530384.3600000003</v>
      </c>
      <c r="S24" s="375">
        <f t="shared" si="13"/>
        <v>133868.50985</v>
      </c>
      <c r="T24" s="375">
        <f t="shared" si="13"/>
        <v>0</v>
      </c>
      <c r="U24" s="375" t="str">
        <f t="shared" si="13"/>
        <v/>
      </c>
      <c r="V24" s="375">
        <f t="shared" si="13"/>
        <v>5313</v>
      </c>
      <c r="W24" s="375">
        <f t="shared" si="13"/>
        <v>1669565.8698499999</v>
      </c>
      <c r="X24" s="375">
        <f>IF(AND(ISNUMBER(X25),ISNUMBER(X26),ISNUMBER(X39)),SUM(X25, X26, X39),"")</f>
        <v>523820.57233700005</v>
      </c>
      <c r="Y24" s="375">
        <f>IF(AND(ISNUMBER(Y25),ISNUMBER(Y26),ISNUMBER(Y39)),SUM(Y25, Y26, Y39),"")</f>
        <v>43679.171289999998</v>
      </c>
      <c r="Z24" s="375">
        <f>IF(AND(ISNUMBER(Z25),ISNUMBER(Z26),ISNUMBER(Z39)),SUM(Z25, Z26, Z39),"")</f>
        <v>1593.8999999999999</v>
      </c>
      <c r="AA24" s="139">
        <f>IF(AND(ISNUMBER(AA25),ISNUMBER(AA26),ISNUMBER(AA39)),SUM(AA25, AA26, AA39),"")</f>
        <v>569093.64362700004</v>
      </c>
      <c r="AB24" s="614">
        <f t="shared" si="8"/>
        <v>0.340863247089574</v>
      </c>
      <c r="AC24" s="319"/>
      <c r="AD24" s="375" t="str">
        <f t="shared" ref="AD24:AK24" si="14">IF(AND(ISNUMBER(AD25),ISNUMBER(AD26),ISNUMBER(AD39)),SUM(AD25, AD26, AD39),"")</f>
        <v/>
      </c>
      <c r="AE24" s="375" t="str">
        <f t="shared" si="14"/>
        <v/>
      </c>
      <c r="AF24" s="375" t="str">
        <f t="shared" si="14"/>
        <v/>
      </c>
      <c r="AG24" s="375" t="str">
        <f t="shared" si="14"/>
        <v/>
      </c>
      <c r="AH24" s="139" t="str">
        <f t="shared" si="14"/>
        <v/>
      </c>
      <c r="AI24" s="1845" t="str">
        <f t="shared" si="14"/>
        <v/>
      </c>
      <c r="AJ24" s="1846" t="str">
        <f t="shared" si="14"/>
        <v/>
      </c>
      <c r="AK24" s="1847" t="str">
        <f t="shared" si="14"/>
        <v/>
      </c>
      <c r="AL24" s="1513"/>
    </row>
    <row r="25" spans="1:38" ht="30" customHeight="1" x14ac:dyDescent="0.35">
      <c r="B25" s="410" t="s">
        <v>762</v>
      </c>
      <c r="C25" s="495"/>
      <c r="D25" s="212">
        <v>0</v>
      </c>
      <c r="E25" s="212">
        <v>0</v>
      </c>
      <c r="F25" s="212">
        <v>0</v>
      </c>
      <c r="G25" s="212"/>
      <c r="H25" s="212">
        <v>0</v>
      </c>
      <c r="I25" s="375">
        <f>IF(AND(ISNUMBER(D25),ISNUMBER(E25),ISNUMBER(H25)),SUM(D25,E25,H25),"")</f>
        <v>0</v>
      </c>
      <c r="J25" s="212">
        <v>0</v>
      </c>
      <c r="K25" s="212">
        <v>0</v>
      </c>
      <c r="L25" s="212">
        <v>0</v>
      </c>
      <c r="M25" s="375">
        <f>IF(AND(ISNUMBER(J25),ISNUMBER(K25),ISNUMBER(L25)),SUM(J25:L25), "")</f>
        <v>0</v>
      </c>
      <c r="N25" s="1806">
        <v>0</v>
      </c>
      <c r="O25" s="208">
        <v>0</v>
      </c>
      <c r="P25" s="208">
        <v>0</v>
      </c>
      <c r="Q25" s="208"/>
      <c r="R25" s="208">
        <v>0</v>
      </c>
      <c r="S25" s="208">
        <v>0</v>
      </c>
      <c r="T25" s="208">
        <v>0</v>
      </c>
      <c r="U25" s="208"/>
      <c r="V25" s="208">
        <v>0</v>
      </c>
      <c r="W25" s="375">
        <f>IF(AND(ISNUMBER(R25),ISNUMBER(S25),ISNUMBER(V25)),SUM(R25,S25,V25),"")</f>
        <v>0</v>
      </c>
      <c r="X25" s="208">
        <v>0</v>
      </c>
      <c r="Y25" s="208">
        <v>0</v>
      </c>
      <c r="Z25" s="208">
        <v>0</v>
      </c>
      <c r="AA25" s="139">
        <f>IF(AND(ISNUMBER(X25),ISNUMBER(Y25),ISNUMBER(Z25)),SUM(X25:Z25), "")</f>
        <v>0</v>
      </c>
      <c r="AB25" s="614" t="str">
        <f t="shared" si="8"/>
        <v/>
      </c>
      <c r="AC25" s="319"/>
      <c r="AD25" s="208"/>
      <c r="AE25" s="208"/>
      <c r="AF25" s="208"/>
      <c r="AG25" s="138"/>
      <c r="AH25" s="138"/>
      <c r="AI25" s="1845" t="str">
        <f t="shared" si="9"/>
        <v/>
      </c>
      <c r="AJ25" s="208"/>
      <c r="AK25" s="138"/>
      <c r="AL25" s="1513"/>
    </row>
    <row r="26" spans="1:38" ht="15" customHeight="1" x14ac:dyDescent="0.35">
      <c r="A26" s="1807"/>
      <c r="B26" s="345" t="s">
        <v>763</v>
      </c>
      <c r="C26" s="375" t="str">
        <f t="shared" ref="C26:I26" si="15">IF(AND(ISNUMBER(C27),ISNUMBER(C33)),SUM(C27,C33),"")</f>
        <v/>
      </c>
      <c r="D26" s="375">
        <f t="shared" si="15"/>
        <v>1400161.6821200002</v>
      </c>
      <c r="E26" s="375">
        <f t="shared" si="15"/>
        <v>133868.50985</v>
      </c>
      <c r="F26" s="375">
        <f t="shared" si="15"/>
        <v>0</v>
      </c>
      <c r="G26" s="375" t="str">
        <f t="shared" si="15"/>
        <v/>
      </c>
      <c r="H26" s="375">
        <f t="shared" si="15"/>
        <v>0</v>
      </c>
      <c r="I26" s="375">
        <f t="shared" si="15"/>
        <v>1534030.19197</v>
      </c>
      <c r="J26" s="375">
        <f t="shared" ref="J26:K26" si="16">IF(AND(ISNUMBER(J27),ISNUMBER(J33)),SUM(J27,J33),"")</f>
        <v>590242.78208999999</v>
      </c>
      <c r="K26" s="375">
        <f t="shared" si="16"/>
        <v>16755.68362</v>
      </c>
      <c r="L26" s="375">
        <f t="shared" ref="L26" si="17">IF(AND(ISNUMBER(L27),ISNUMBER(L33)),SUM(L27,L33),"")</f>
        <v>0</v>
      </c>
      <c r="M26" s="375">
        <f>IF(AND(ISNUMBER(M27),ISNUMBER(M33)),SUM(M27,M33),"")</f>
        <v>606998.46571000002</v>
      </c>
      <c r="N26" s="375">
        <f>IF(AND(ISNUMBER(N27),ISNUMBER(N33)),SUM(N27,N33),"")</f>
        <v>0</v>
      </c>
      <c r="O26" s="208">
        <v>674.95664999999985</v>
      </c>
      <c r="P26" s="208">
        <v>0</v>
      </c>
      <c r="Q26" s="375" t="str">
        <f t="shared" ref="Q26:W26" si="18">IF(AND(ISNUMBER(Q27),ISNUMBER(Q33)),SUM(Q27,Q33),"")</f>
        <v/>
      </c>
      <c r="R26" s="375">
        <f t="shared" si="18"/>
        <v>1400161.6821200002</v>
      </c>
      <c r="S26" s="375">
        <f t="shared" si="18"/>
        <v>133868.50985</v>
      </c>
      <c r="T26" s="375">
        <f t="shared" si="18"/>
        <v>0</v>
      </c>
      <c r="U26" s="375" t="str">
        <f t="shared" si="18"/>
        <v/>
      </c>
      <c r="V26" s="375">
        <f t="shared" si="18"/>
        <v>0</v>
      </c>
      <c r="W26" s="375">
        <f t="shared" si="18"/>
        <v>1534030.19197</v>
      </c>
      <c r="X26" s="375">
        <f>IF(AND(ISNUMBER(X27),ISNUMBER(X33)),SUM(X27,X33),"")</f>
        <v>484753.76897300006</v>
      </c>
      <c r="Y26" s="375">
        <f>IF(AND(ISNUMBER(Y27),ISNUMBER(Y33)),SUM(Y27,Y33),"")</f>
        <v>43679.171289999998</v>
      </c>
      <c r="Z26" s="375">
        <f>IF(AND(ISNUMBER(Z27),ISNUMBER(Z33)),SUM(Z27,Z33),"")</f>
        <v>0</v>
      </c>
      <c r="AA26" s="139">
        <f>IF(AND(ISNUMBER(AA27),ISNUMBER(AA33)),SUM(AA27,AA33),"")</f>
        <v>528432.94026300008</v>
      </c>
      <c r="AB26" s="614">
        <f t="shared" si="8"/>
        <v>0.34447362446262353</v>
      </c>
      <c r="AC26" s="319"/>
      <c r="AD26" s="375" t="str">
        <f t="shared" ref="AD26:AK26" si="19">IF(AND(ISNUMBER(AD27),ISNUMBER(AD33)),SUM(AD27,AD33),"")</f>
        <v/>
      </c>
      <c r="AE26" s="375" t="str">
        <f t="shared" si="19"/>
        <v/>
      </c>
      <c r="AF26" s="375" t="str">
        <f t="shared" si="19"/>
        <v/>
      </c>
      <c r="AG26" s="375" t="str">
        <f t="shared" si="19"/>
        <v/>
      </c>
      <c r="AH26" s="139" t="str">
        <f t="shared" si="19"/>
        <v/>
      </c>
      <c r="AI26" s="1845" t="str">
        <f t="shared" si="19"/>
        <v/>
      </c>
      <c r="AJ26" s="1846" t="str">
        <f t="shared" si="19"/>
        <v/>
      </c>
      <c r="AK26" s="1847" t="str">
        <f t="shared" si="19"/>
        <v/>
      </c>
      <c r="AL26" s="1513"/>
    </row>
    <row r="27" spans="1:38" ht="15" customHeight="1" x14ac:dyDescent="0.35">
      <c r="B27" s="165" t="s">
        <v>764</v>
      </c>
      <c r="C27" s="375" t="str">
        <f t="shared" ref="C27:N27" si="20">IF($D$6="No", 0, IF(AND(ISNUMBER(C28),ISNUMBER(C29),ISNUMBER(C30),ISNUMBER(C31),ISNUMBER(C32)),SUM(C28:C32),""))</f>
        <v/>
      </c>
      <c r="D27" s="375">
        <f t="shared" si="20"/>
        <v>1400161.6821200002</v>
      </c>
      <c r="E27" s="375">
        <f t="shared" si="20"/>
        <v>133868.50985</v>
      </c>
      <c r="F27" s="375">
        <f t="shared" si="20"/>
        <v>0</v>
      </c>
      <c r="G27" s="375" t="str">
        <f t="shared" si="20"/>
        <v/>
      </c>
      <c r="H27" s="375">
        <f t="shared" si="20"/>
        <v>0</v>
      </c>
      <c r="I27" s="375">
        <f t="shared" si="20"/>
        <v>1534030.19197</v>
      </c>
      <c r="J27" s="375">
        <f t="shared" si="20"/>
        <v>590242.78208999999</v>
      </c>
      <c r="K27" s="375">
        <f t="shared" si="20"/>
        <v>16755.68362</v>
      </c>
      <c r="L27" s="375">
        <f t="shared" si="20"/>
        <v>0</v>
      </c>
      <c r="M27" s="375">
        <f t="shared" si="20"/>
        <v>606998.46571000002</v>
      </c>
      <c r="N27" s="375">
        <f t="shared" si="20"/>
        <v>0</v>
      </c>
      <c r="O27" s="208">
        <v>674.95664999999985</v>
      </c>
      <c r="P27" s="208">
        <v>0</v>
      </c>
      <c r="Q27" s="375" t="str">
        <f t="shared" ref="Q27:AA27" si="21">IF($D$6="No", 0, IF(AND(ISNUMBER(Q28),ISNUMBER(Q29),ISNUMBER(Q30),ISNUMBER(Q31),ISNUMBER(Q32)),SUM(Q28:Q32),""))</f>
        <v/>
      </c>
      <c r="R27" s="375">
        <f t="shared" si="21"/>
        <v>1400161.6821200002</v>
      </c>
      <c r="S27" s="375">
        <f t="shared" si="21"/>
        <v>133868.50985</v>
      </c>
      <c r="T27" s="375">
        <f t="shared" si="21"/>
        <v>0</v>
      </c>
      <c r="U27" s="375" t="str">
        <f t="shared" si="21"/>
        <v/>
      </c>
      <c r="V27" s="375">
        <f t="shared" si="21"/>
        <v>0</v>
      </c>
      <c r="W27" s="375">
        <f t="shared" si="21"/>
        <v>1534030.19197</v>
      </c>
      <c r="X27" s="375">
        <f t="shared" si="21"/>
        <v>484753.76897300006</v>
      </c>
      <c r="Y27" s="375">
        <f t="shared" si="21"/>
        <v>43679.171289999998</v>
      </c>
      <c r="Z27" s="375">
        <f t="shared" si="21"/>
        <v>0</v>
      </c>
      <c r="AA27" s="139">
        <f t="shared" si="21"/>
        <v>528432.94026300008</v>
      </c>
      <c r="AB27" s="614">
        <f t="shared" si="8"/>
        <v>0.34447362446262353</v>
      </c>
      <c r="AC27" s="319"/>
      <c r="AD27" s="375" t="str">
        <f t="shared" ref="AD27:AK27" si="22">IF($D$6="No", 0, IF(AND(ISNUMBER(AD28),ISNUMBER(AD29),ISNUMBER(AD30),ISNUMBER(AD31),ISNUMBER(AD32)),SUM(AD28:AD32),""))</f>
        <v/>
      </c>
      <c r="AE27" s="375" t="str">
        <f t="shared" si="22"/>
        <v/>
      </c>
      <c r="AF27" s="375" t="str">
        <f t="shared" si="22"/>
        <v/>
      </c>
      <c r="AG27" s="375" t="str">
        <f t="shared" si="22"/>
        <v/>
      </c>
      <c r="AH27" s="139" t="str">
        <f t="shared" si="22"/>
        <v/>
      </c>
      <c r="AI27" s="1845" t="str">
        <f t="shared" si="22"/>
        <v/>
      </c>
      <c r="AJ27" s="1846" t="str">
        <f t="shared" si="22"/>
        <v/>
      </c>
      <c r="AK27" s="1847" t="str">
        <f t="shared" si="22"/>
        <v/>
      </c>
      <c r="AL27" s="1513"/>
    </row>
    <row r="28" spans="1:38" ht="15" customHeight="1" x14ac:dyDescent="0.35">
      <c r="B28" s="408" t="s">
        <v>765</v>
      </c>
      <c r="C28" s="299"/>
      <c r="D28" s="208">
        <v>366126.86343000008</v>
      </c>
      <c r="E28" s="208">
        <v>76125.131649999996</v>
      </c>
      <c r="F28" s="208">
        <v>0</v>
      </c>
      <c r="G28" s="208"/>
      <c r="H28" s="208">
        <v>0</v>
      </c>
      <c r="I28" s="375">
        <f>IF(AND(ISNUMBER(D28),ISNUMBER(E28),ISNUMBER(H28)),SUM(D28,E28,H28),"")</f>
        <v>442251.99508000008</v>
      </c>
      <c r="J28" s="208">
        <v>73225.37268</v>
      </c>
      <c r="K28" s="208">
        <v>15225.026329999999</v>
      </c>
      <c r="L28" s="208">
        <v>0</v>
      </c>
      <c r="M28" s="375">
        <f>IF(AND(ISNUMBER(J28),ISNUMBER(K28),ISNUMBER(L28)),SUM(J28:L28), "")</f>
        <v>88450.399009999994</v>
      </c>
      <c r="N28" s="1804">
        <v>0</v>
      </c>
      <c r="O28" s="208">
        <v>66.368130000000008</v>
      </c>
      <c r="P28" s="208">
        <v>0</v>
      </c>
      <c r="Q28" s="208"/>
      <c r="R28" s="208">
        <v>366126.86343000008</v>
      </c>
      <c r="S28" s="208">
        <v>76125.131649999996</v>
      </c>
      <c r="T28" s="208">
        <v>0</v>
      </c>
      <c r="U28" s="208"/>
      <c r="V28" s="208">
        <v>0</v>
      </c>
      <c r="W28" s="375">
        <f>IF(AND(ISNUMBER(R28),ISNUMBER(S28),ISNUMBER(V28)),SUM(R28,S28,V28),"")</f>
        <v>442251.99508000008</v>
      </c>
      <c r="X28" s="208">
        <v>73225.372686000017</v>
      </c>
      <c r="Y28" s="208">
        <v>15225.026330000001</v>
      </c>
      <c r="Z28" s="208">
        <v>0</v>
      </c>
      <c r="AA28" s="139">
        <f t="shared" ref="AA28:AA32" si="23">IF(AND(ISNUMBER(X28),ISNUMBER(Y28),ISNUMBER(Z28)),SUM(X28:Z28), "")</f>
        <v>88450.39901600001</v>
      </c>
      <c r="AB28" s="614">
        <f t="shared" si="8"/>
        <v>0.19999999999999998</v>
      </c>
      <c r="AC28" s="359" t="str">
        <f>IF(ISNUMBER(AB28),IF(AND(AB28&gt;=(Parameters!F282*0.95), AB28&lt;=(Parameters!F282*1.05)), "Pass", "Fail (RW≠" &amp; Parameters!F282*100 &amp; "%)"),"")</f>
        <v>Pass</v>
      </c>
      <c r="AD28" s="208"/>
      <c r="AE28" s="208"/>
      <c r="AF28" s="208"/>
      <c r="AG28" s="138"/>
      <c r="AH28" s="138"/>
      <c r="AI28" s="1845" t="str">
        <f t="shared" ref="AI28:AI32" si="24">IF(AND(ISNUMBER(AF28),ISNUMBER(AG28),ISNUMBER(AJ28)),AF28-AG28+AJ28,"")</f>
        <v/>
      </c>
      <c r="AJ28" s="208"/>
      <c r="AK28" s="138"/>
      <c r="AL28" s="1513"/>
    </row>
    <row r="29" spans="1:38" ht="15" customHeight="1" x14ac:dyDescent="0.35">
      <c r="B29" s="408" t="s">
        <v>766</v>
      </c>
      <c r="C29" s="299"/>
      <c r="D29" s="208">
        <v>527445.06529000006</v>
      </c>
      <c r="E29" s="208">
        <v>2087.7207000000003</v>
      </c>
      <c r="F29" s="208">
        <v>0</v>
      </c>
      <c r="G29" s="208"/>
      <c r="H29" s="208">
        <v>0</v>
      </c>
      <c r="I29" s="375">
        <f>IF(AND(ISNUMBER(D29),ISNUMBER(E29),ISNUMBER(H29)),SUM(D29,E29,H29),"")</f>
        <v>529532.78599</v>
      </c>
      <c r="J29" s="208">
        <v>263722.53267000004</v>
      </c>
      <c r="K29" s="208">
        <v>417.54414000000003</v>
      </c>
      <c r="L29" s="208">
        <v>0</v>
      </c>
      <c r="M29" s="375">
        <f>IF(AND(ISNUMBER(J29),ISNUMBER(K29),ISNUMBER(L29)),SUM(J29:L29), "")</f>
        <v>264140.07681000006</v>
      </c>
      <c r="N29" s="1804">
        <v>0</v>
      </c>
      <c r="O29" s="208">
        <v>197.81597999999997</v>
      </c>
      <c r="P29" s="208">
        <v>0</v>
      </c>
      <c r="Q29" s="208"/>
      <c r="R29" s="208">
        <v>527445.06529000006</v>
      </c>
      <c r="S29" s="208">
        <v>2087.7207000000003</v>
      </c>
      <c r="T29" s="208">
        <v>0</v>
      </c>
      <c r="U29" s="208"/>
      <c r="V29" s="208">
        <v>0</v>
      </c>
      <c r="W29" s="375">
        <f>IF(AND(ISNUMBER(R29),ISNUMBER(S29),ISNUMBER(V29)),SUM(R29,S29,V29),"")</f>
        <v>529532.78599</v>
      </c>
      <c r="X29" s="208">
        <v>158233.51958700002</v>
      </c>
      <c r="Y29" s="208">
        <v>626.31621000000007</v>
      </c>
      <c r="Z29" s="208">
        <v>0</v>
      </c>
      <c r="AA29" s="139">
        <f t="shared" si="23"/>
        <v>158859.83579700001</v>
      </c>
      <c r="AB29" s="614">
        <f t="shared" si="8"/>
        <v>0.3</v>
      </c>
      <c r="AC29" s="359" t="str">
        <f>IF(ISNUMBER(AB29),IF(AND(AB29&gt;=(Parameters!F283*0.95), AB29&lt;=(Parameters!F283*1.05)), "Pass", "Fail (RW≠" &amp; Parameters!F283*100 &amp; "%)"),"")</f>
        <v>Pass</v>
      </c>
      <c r="AD29" s="208"/>
      <c r="AE29" s="208"/>
      <c r="AF29" s="208"/>
      <c r="AG29" s="138"/>
      <c r="AH29" s="138"/>
      <c r="AI29" s="1845" t="str">
        <f t="shared" si="24"/>
        <v/>
      </c>
      <c r="AJ29" s="208"/>
      <c r="AK29" s="138"/>
      <c r="AL29" s="1513"/>
    </row>
    <row r="30" spans="1:38" ht="15" customHeight="1" x14ac:dyDescent="0.35">
      <c r="B30" s="408" t="s">
        <v>767</v>
      </c>
      <c r="C30" s="299"/>
      <c r="D30" s="208">
        <v>506589.75340000005</v>
      </c>
      <c r="E30" s="208">
        <v>55655.657499999994</v>
      </c>
      <c r="F30" s="208">
        <v>0</v>
      </c>
      <c r="G30" s="208"/>
      <c r="H30" s="208">
        <v>0</v>
      </c>
      <c r="I30" s="375">
        <f>IF(AND(ISNUMBER(D30),ISNUMBER(E30),ISNUMBER(H30)),SUM(D30,E30,H30),"")</f>
        <v>562245.41090000002</v>
      </c>
      <c r="J30" s="208">
        <v>253294.87674000001</v>
      </c>
      <c r="K30" s="208">
        <v>1113.1131499999999</v>
      </c>
      <c r="L30" s="208">
        <v>0</v>
      </c>
      <c r="M30" s="375">
        <f>IF(AND(ISNUMBER(J30),ISNUMBER(K30),ISNUMBER(L30)),SUM(J30:L30), "")</f>
        <v>254407.98989</v>
      </c>
      <c r="N30" s="1804">
        <v>0</v>
      </c>
      <c r="O30" s="208">
        <v>410.77253999999988</v>
      </c>
      <c r="P30" s="208">
        <v>0</v>
      </c>
      <c r="Q30" s="208"/>
      <c r="R30" s="208">
        <v>506589.75340000005</v>
      </c>
      <c r="S30" s="208">
        <v>55655.657499999994</v>
      </c>
      <c r="T30" s="208">
        <v>0</v>
      </c>
      <c r="U30" s="208"/>
      <c r="V30" s="208">
        <v>0</v>
      </c>
      <c r="W30" s="375">
        <f>IF(AND(ISNUMBER(R30),ISNUMBER(S30),ISNUMBER(V30)),SUM(R30,S30,V30),"")</f>
        <v>562245.41090000002</v>
      </c>
      <c r="X30" s="208">
        <v>253294.87670000002</v>
      </c>
      <c r="Y30" s="208">
        <v>27827.828749999997</v>
      </c>
      <c r="Z30" s="208">
        <v>0</v>
      </c>
      <c r="AA30" s="139">
        <f t="shared" si="23"/>
        <v>281122.70545000001</v>
      </c>
      <c r="AB30" s="614">
        <f t="shared" si="8"/>
        <v>0.5</v>
      </c>
      <c r="AC30" s="359" t="str">
        <f>IF(ISNUMBER(AB30),IF(AND(AB30&gt;=(Parameters!F284*0.95), AB30&lt;=(Parameters!F284*1.05)), "Pass", "Fail (RW≠" &amp; Parameters!F284*100 &amp; "%)"),"")</f>
        <v>Pass</v>
      </c>
      <c r="AD30" s="208"/>
      <c r="AE30" s="208"/>
      <c r="AF30" s="208"/>
      <c r="AG30" s="138"/>
      <c r="AH30" s="138"/>
      <c r="AI30" s="1845" t="str">
        <f t="shared" si="24"/>
        <v/>
      </c>
      <c r="AJ30" s="208"/>
      <c r="AK30" s="138"/>
      <c r="AL30" s="1513"/>
    </row>
    <row r="31" spans="1:38" ht="15" customHeight="1" x14ac:dyDescent="0.35">
      <c r="B31" s="408" t="s">
        <v>768</v>
      </c>
      <c r="C31" s="299"/>
      <c r="D31" s="208">
        <v>0</v>
      </c>
      <c r="E31" s="208">
        <v>0</v>
      </c>
      <c r="F31" s="208">
        <v>0</v>
      </c>
      <c r="G31" s="208"/>
      <c r="H31" s="208">
        <v>0</v>
      </c>
      <c r="I31" s="375">
        <f>IF(AND(ISNUMBER(D31),ISNUMBER(E31),ISNUMBER(H31)),SUM(D31,E31,H31),"")</f>
        <v>0</v>
      </c>
      <c r="J31" s="208">
        <v>0</v>
      </c>
      <c r="K31" s="208">
        <v>0</v>
      </c>
      <c r="L31" s="208">
        <v>0</v>
      </c>
      <c r="M31" s="375">
        <f>IF(AND(ISNUMBER(J31),ISNUMBER(K31),ISNUMBER(L31)),SUM(J31:L31), "")</f>
        <v>0</v>
      </c>
      <c r="N31" s="1804">
        <v>0</v>
      </c>
      <c r="O31" s="208">
        <v>0</v>
      </c>
      <c r="P31" s="208">
        <v>0</v>
      </c>
      <c r="Q31" s="208"/>
      <c r="R31" s="208">
        <v>0</v>
      </c>
      <c r="S31" s="208">
        <v>0</v>
      </c>
      <c r="T31" s="208">
        <v>0</v>
      </c>
      <c r="U31" s="208"/>
      <c r="V31" s="208">
        <v>0</v>
      </c>
      <c r="W31" s="375">
        <f>IF(AND(ISNUMBER(R31),ISNUMBER(S31),ISNUMBER(V31)),SUM(R31,S31,V31),"")</f>
        <v>0</v>
      </c>
      <c r="X31" s="208">
        <v>0</v>
      </c>
      <c r="Y31" s="208">
        <v>0</v>
      </c>
      <c r="Z31" s="208">
        <v>0</v>
      </c>
      <c r="AA31" s="139">
        <f t="shared" si="23"/>
        <v>0</v>
      </c>
      <c r="AB31" s="614" t="str">
        <f t="shared" si="8"/>
        <v/>
      </c>
      <c r="AC31" s="359" t="str">
        <f>IF(ISNUMBER(AB31),IF(AND(AB31&gt;=(Parameters!F285*0.95), AB31&lt;=(Parameters!F285*1.05)), "Pass", "Fail (RW≠" &amp; Parameters!F285*100 &amp; "%)"),"")</f>
        <v/>
      </c>
      <c r="AD31" s="208"/>
      <c r="AE31" s="208"/>
      <c r="AF31" s="208"/>
      <c r="AG31" s="138"/>
      <c r="AH31" s="138"/>
      <c r="AI31" s="1845" t="str">
        <f t="shared" si="24"/>
        <v/>
      </c>
      <c r="AJ31" s="208"/>
      <c r="AK31" s="138"/>
      <c r="AL31" s="1513"/>
    </row>
    <row r="32" spans="1:38" ht="15" customHeight="1" x14ac:dyDescent="0.35">
      <c r="B32" s="408" t="s">
        <v>769</v>
      </c>
      <c r="C32" s="299"/>
      <c r="D32" s="208">
        <v>0</v>
      </c>
      <c r="E32" s="208">
        <v>0</v>
      </c>
      <c r="F32" s="208">
        <v>0</v>
      </c>
      <c r="G32" s="208"/>
      <c r="H32" s="208">
        <v>0</v>
      </c>
      <c r="I32" s="375">
        <f>IF(AND(ISNUMBER(D32),ISNUMBER(E32),ISNUMBER(H32)),SUM(D32,E32,H32),"")</f>
        <v>0</v>
      </c>
      <c r="J32" s="208">
        <v>0</v>
      </c>
      <c r="K32" s="208">
        <v>0</v>
      </c>
      <c r="L32" s="208">
        <v>0</v>
      </c>
      <c r="M32" s="375">
        <f>IF(AND(ISNUMBER(J32),ISNUMBER(K32),ISNUMBER(L32)),SUM(J32:L32), "")</f>
        <v>0</v>
      </c>
      <c r="N32" s="1804">
        <v>0</v>
      </c>
      <c r="O32" s="208">
        <v>0</v>
      </c>
      <c r="P32" s="208">
        <v>0</v>
      </c>
      <c r="Q32" s="208"/>
      <c r="R32" s="208">
        <v>0</v>
      </c>
      <c r="S32" s="208">
        <v>0</v>
      </c>
      <c r="T32" s="208">
        <v>0</v>
      </c>
      <c r="U32" s="208"/>
      <c r="V32" s="208">
        <v>0</v>
      </c>
      <c r="W32" s="375">
        <f>IF(AND(ISNUMBER(R32),ISNUMBER(S32),ISNUMBER(V32)),SUM(R32,S32,V32),"")</f>
        <v>0</v>
      </c>
      <c r="X32" s="208">
        <v>0</v>
      </c>
      <c r="Y32" s="208">
        <v>0</v>
      </c>
      <c r="Z32" s="208">
        <v>0</v>
      </c>
      <c r="AA32" s="139">
        <f t="shared" si="23"/>
        <v>0</v>
      </c>
      <c r="AB32" s="614" t="str">
        <f t="shared" si="8"/>
        <v/>
      </c>
      <c r="AC32" s="359" t="str">
        <f>IF(ISNUMBER(AB32),IF(AND(AB32&gt;=(Parameters!F286*0.95), AB32&lt;=(Parameters!F286*1.05)), "Pass", "Fail (RW≠" &amp; Parameters!F286*100 &amp; "%)"),"")</f>
        <v/>
      </c>
      <c r="AD32" s="208"/>
      <c r="AE32" s="208"/>
      <c r="AF32" s="208"/>
      <c r="AG32" s="138"/>
      <c r="AH32" s="138"/>
      <c r="AI32" s="1845" t="str">
        <f t="shared" si="24"/>
        <v/>
      </c>
      <c r="AJ32" s="208"/>
      <c r="AK32" s="138"/>
      <c r="AL32" s="1513"/>
    </row>
    <row r="33" spans="1:38" ht="15" customHeight="1" x14ac:dyDescent="0.35">
      <c r="B33" s="165" t="s">
        <v>770</v>
      </c>
      <c r="C33" s="375" t="str">
        <f t="shared" ref="C33:N33" si="25">IF($D$6="No", 0, IF(AND(ISNUMBER(C34),ISNUMBER(C35),ISNUMBER(C36),ISNUMBER(C37),ISNUMBER(C38)),SUM(C34:C38),""))</f>
        <v/>
      </c>
      <c r="D33" s="375">
        <f t="shared" si="25"/>
        <v>0</v>
      </c>
      <c r="E33" s="375">
        <f t="shared" si="25"/>
        <v>0</v>
      </c>
      <c r="F33" s="375">
        <f t="shared" si="25"/>
        <v>0</v>
      </c>
      <c r="G33" s="375" t="str">
        <f t="shared" si="25"/>
        <v/>
      </c>
      <c r="H33" s="375">
        <f t="shared" si="25"/>
        <v>0</v>
      </c>
      <c r="I33" s="375">
        <f t="shared" si="25"/>
        <v>0</v>
      </c>
      <c r="J33" s="375">
        <f t="shared" si="25"/>
        <v>0</v>
      </c>
      <c r="K33" s="375">
        <f t="shared" si="25"/>
        <v>0</v>
      </c>
      <c r="L33" s="375">
        <f t="shared" si="25"/>
        <v>0</v>
      </c>
      <c r="M33" s="375">
        <f t="shared" si="25"/>
        <v>0</v>
      </c>
      <c r="N33" s="375">
        <f t="shared" si="25"/>
        <v>0</v>
      </c>
      <c r="O33" s="208">
        <v>0</v>
      </c>
      <c r="P33" s="208">
        <v>0</v>
      </c>
      <c r="Q33" s="375" t="str">
        <f t="shared" ref="Q33:AA33" si="26">IF($D$6="No", 0, IF(AND(ISNUMBER(Q34),ISNUMBER(Q35),ISNUMBER(Q36),ISNUMBER(Q37),ISNUMBER(Q38)),SUM(Q34:Q38),""))</f>
        <v/>
      </c>
      <c r="R33" s="375">
        <f t="shared" si="26"/>
        <v>0</v>
      </c>
      <c r="S33" s="375">
        <f t="shared" si="26"/>
        <v>0</v>
      </c>
      <c r="T33" s="375">
        <f t="shared" si="26"/>
        <v>0</v>
      </c>
      <c r="U33" s="375" t="str">
        <f t="shared" si="26"/>
        <v/>
      </c>
      <c r="V33" s="375">
        <f t="shared" si="26"/>
        <v>0</v>
      </c>
      <c r="W33" s="375">
        <f t="shared" si="26"/>
        <v>0</v>
      </c>
      <c r="X33" s="375">
        <f t="shared" si="26"/>
        <v>0</v>
      </c>
      <c r="Y33" s="375">
        <f t="shared" si="26"/>
        <v>0</v>
      </c>
      <c r="Z33" s="375">
        <f t="shared" si="26"/>
        <v>0</v>
      </c>
      <c r="AA33" s="139">
        <f t="shared" si="26"/>
        <v>0</v>
      </c>
      <c r="AB33" s="614" t="str">
        <f t="shared" si="8"/>
        <v/>
      </c>
      <c r="AC33" s="319"/>
      <c r="AD33" s="375" t="str">
        <f t="shared" ref="AD33:AK33" si="27">IF($D$6="No", 0, IF(AND(ISNUMBER(AD34),ISNUMBER(AD35),ISNUMBER(AD36),ISNUMBER(AD37),ISNUMBER(AD38)),SUM(AD34:AD38),""))</f>
        <v/>
      </c>
      <c r="AE33" s="375" t="str">
        <f t="shared" si="27"/>
        <v/>
      </c>
      <c r="AF33" s="375" t="str">
        <f t="shared" si="27"/>
        <v/>
      </c>
      <c r="AG33" s="375" t="str">
        <f t="shared" si="27"/>
        <v/>
      </c>
      <c r="AH33" s="139" t="str">
        <f t="shared" si="27"/>
        <v/>
      </c>
      <c r="AI33" s="1845" t="str">
        <f t="shared" si="27"/>
        <v/>
      </c>
      <c r="AJ33" s="1846" t="str">
        <f t="shared" si="27"/>
        <v/>
      </c>
      <c r="AK33" s="1847" t="str">
        <f t="shared" si="27"/>
        <v/>
      </c>
      <c r="AL33" s="1513"/>
    </row>
    <row r="34" spans="1:38" ht="15" customHeight="1" x14ac:dyDescent="0.35">
      <c r="B34" s="408" t="s">
        <v>765</v>
      </c>
      <c r="C34" s="299"/>
      <c r="D34" s="208">
        <v>0</v>
      </c>
      <c r="E34" s="208">
        <v>0</v>
      </c>
      <c r="F34" s="208">
        <v>0</v>
      </c>
      <c r="G34" s="208"/>
      <c r="H34" s="208">
        <v>0</v>
      </c>
      <c r="I34" s="375">
        <f>IF(AND(ISNUMBER(D34),ISNUMBER(E34),ISNUMBER(H34)),SUM(D34,E34,H34),"")</f>
        <v>0</v>
      </c>
      <c r="J34" s="208">
        <v>0</v>
      </c>
      <c r="K34" s="208">
        <v>0</v>
      </c>
      <c r="L34" s="208">
        <v>0</v>
      </c>
      <c r="M34" s="375">
        <f>IF(AND(ISNUMBER(J34),ISNUMBER(K34),ISNUMBER(L34)),SUM(J34:L34), "")</f>
        <v>0</v>
      </c>
      <c r="N34" s="1804">
        <v>0</v>
      </c>
      <c r="O34" s="208">
        <v>0</v>
      </c>
      <c r="P34" s="208">
        <v>0</v>
      </c>
      <c r="Q34" s="208"/>
      <c r="R34" s="208">
        <v>0</v>
      </c>
      <c r="S34" s="208">
        <v>0</v>
      </c>
      <c r="T34" s="208">
        <v>0</v>
      </c>
      <c r="U34" s="208"/>
      <c r="V34" s="208">
        <v>0</v>
      </c>
      <c r="W34" s="375">
        <f>IF(AND(ISNUMBER(R34),ISNUMBER(S34),ISNUMBER(V34)),SUM(R34,S34,V34),"")</f>
        <v>0</v>
      </c>
      <c r="X34" s="208">
        <v>0</v>
      </c>
      <c r="Y34" s="208">
        <v>0</v>
      </c>
      <c r="Z34" s="208">
        <v>0</v>
      </c>
      <c r="AA34" s="139">
        <f t="shared" ref="AA34:AA38" si="28">IF(AND(ISNUMBER(X34),ISNUMBER(Y34),ISNUMBER(Z34)),SUM(X34:Z34), "")</f>
        <v>0</v>
      </c>
      <c r="AB34" s="614" t="str">
        <f t="shared" si="8"/>
        <v/>
      </c>
      <c r="AC34" s="359" t="str">
        <f>IF(ISNUMBER(AB34),IF(AND(AB34&gt;=(Parameters!F288*0.95), AB34&lt;=(Parameters!F288*1.05)), "Pass", "Fail (RW≠" &amp; Parameters!F288*100 &amp; "%)"),"")</f>
        <v/>
      </c>
      <c r="AD34" s="208"/>
      <c r="AE34" s="208"/>
      <c r="AF34" s="208"/>
      <c r="AG34" s="138"/>
      <c r="AH34" s="138"/>
      <c r="AI34" s="1845" t="str">
        <f t="shared" ref="AI34:AI38" si="29">IF(AND(ISNUMBER(AF34),ISNUMBER(AG34),ISNUMBER(AJ34)),AF34-AG34+AJ34,"")</f>
        <v/>
      </c>
      <c r="AJ34" s="208"/>
      <c r="AK34" s="138"/>
      <c r="AL34" s="1513"/>
    </row>
    <row r="35" spans="1:38" ht="15" customHeight="1" x14ac:dyDescent="0.35">
      <c r="B35" s="408" t="s">
        <v>766</v>
      </c>
      <c r="C35" s="299"/>
      <c r="D35" s="208">
        <v>0</v>
      </c>
      <c r="E35" s="208">
        <v>0</v>
      </c>
      <c r="F35" s="208">
        <v>0</v>
      </c>
      <c r="G35" s="208"/>
      <c r="H35" s="208">
        <v>0</v>
      </c>
      <c r="I35" s="375">
        <f>IF(AND(ISNUMBER(D35),ISNUMBER(E35),ISNUMBER(H35)),SUM(D35,E35,H35),"")</f>
        <v>0</v>
      </c>
      <c r="J35" s="208">
        <v>0</v>
      </c>
      <c r="K35" s="208">
        <v>0</v>
      </c>
      <c r="L35" s="208">
        <v>0</v>
      </c>
      <c r="M35" s="375">
        <f>IF(AND(ISNUMBER(J35),ISNUMBER(K35),ISNUMBER(L35)),SUM(J35:L35), "")</f>
        <v>0</v>
      </c>
      <c r="N35" s="1804">
        <v>0</v>
      </c>
      <c r="O35" s="208">
        <v>0</v>
      </c>
      <c r="P35" s="208">
        <v>0</v>
      </c>
      <c r="Q35" s="208"/>
      <c r="R35" s="208">
        <v>0</v>
      </c>
      <c r="S35" s="208">
        <v>0</v>
      </c>
      <c r="T35" s="208">
        <v>0</v>
      </c>
      <c r="U35" s="208"/>
      <c r="V35" s="208">
        <v>0</v>
      </c>
      <c r="W35" s="375">
        <f>IF(AND(ISNUMBER(R35),ISNUMBER(S35),ISNUMBER(V35)),SUM(R35,S35,V35),"")</f>
        <v>0</v>
      </c>
      <c r="X35" s="208">
        <v>0</v>
      </c>
      <c r="Y35" s="208">
        <v>0</v>
      </c>
      <c r="Z35" s="208">
        <v>0</v>
      </c>
      <c r="AA35" s="139">
        <f t="shared" si="28"/>
        <v>0</v>
      </c>
      <c r="AB35" s="614" t="str">
        <f t="shared" si="8"/>
        <v/>
      </c>
      <c r="AC35" s="359" t="str">
        <f>IF(ISNUMBER(AB35),IF(AND(AB35&gt;=(Parameters!F289*0.95), AB35&lt;=(Parameters!F289*1.05)), "Pass", "Fail (RW≠" &amp; Parameters!F289*100 &amp; "%)"),"")</f>
        <v/>
      </c>
      <c r="AD35" s="208"/>
      <c r="AE35" s="208"/>
      <c r="AF35" s="208"/>
      <c r="AG35" s="138"/>
      <c r="AH35" s="138"/>
      <c r="AI35" s="1845" t="str">
        <f t="shared" si="29"/>
        <v/>
      </c>
      <c r="AJ35" s="208"/>
      <c r="AK35" s="138"/>
      <c r="AL35" s="1513"/>
    </row>
    <row r="36" spans="1:38" ht="15" customHeight="1" x14ac:dyDescent="0.35">
      <c r="B36" s="408" t="s">
        <v>767</v>
      </c>
      <c r="C36" s="299"/>
      <c r="D36" s="208">
        <v>0</v>
      </c>
      <c r="E36" s="208">
        <v>0</v>
      </c>
      <c r="F36" s="208">
        <v>0</v>
      </c>
      <c r="G36" s="208"/>
      <c r="H36" s="208">
        <v>0</v>
      </c>
      <c r="I36" s="375">
        <f>IF(AND(ISNUMBER(D36),ISNUMBER(E36),ISNUMBER(H36)),SUM(D36,E36,H36),"")</f>
        <v>0</v>
      </c>
      <c r="J36" s="208">
        <v>0</v>
      </c>
      <c r="K36" s="208">
        <v>0</v>
      </c>
      <c r="L36" s="208">
        <v>0</v>
      </c>
      <c r="M36" s="375">
        <f>IF(AND(ISNUMBER(J36),ISNUMBER(K36),ISNUMBER(L36)),SUM(J36:L36), "")</f>
        <v>0</v>
      </c>
      <c r="N36" s="1804">
        <v>0</v>
      </c>
      <c r="O36" s="208">
        <v>0</v>
      </c>
      <c r="P36" s="208">
        <v>0</v>
      </c>
      <c r="Q36" s="208"/>
      <c r="R36" s="208">
        <v>0</v>
      </c>
      <c r="S36" s="208">
        <v>0</v>
      </c>
      <c r="T36" s="208">
        <v>0</v>
      </c>
      <c r="U36" s="208"/>
      <c r="V36" s="208">
        <v>0</v>
      </c>
      <c r="W36" s="375">
        <f>IF(AND(ISNUMBER(R36),ISNUMBER(S36),ISNUMBER(V36)),SUM(R36,S36,V36),"")</f>
        <v>0</v>
      </c>
      <c r="X36" s="208">
        <v>0</v>
      </c>
      <c r="Y36" s="208">
        <v>0</v>
      </c>
      <c r="Z36" s="208">
        <v>0</v>
      </c>
      <c r="AA36" s="139">
        <f t="shared" si="28"/>
        <v>0</v>
      </c>
      <c r="AB36" s="614" t="str">
        <f t="shared" si="8"/>
        <v/>
      </c>
      <c r="AC36" s="359" t="str">
        <f>IF(ISNUMBER(AB36),IF(AND(AB36&gt;=(Parameters!F290*0.95), AB36&lt;=(Parameters!F290*1.05)), "Pass", "Fail (RW≠" &amp; Parameters!F290*100 &amp; "%)"),"")</f>
        <v/>
      </c>
      <c r="AD36" s="208"/>
      <c r="AE36" s="208"/>
      <c r="AF36" s="208"/>
      <c r="AG36" s="138"/>
      <c r="AH36" s="138"/>
      <c r="AI36" s="1845" t="str">
        <f t="shared" si="29"/>
        <v/>
      </c>
      <c r="AJ36" s="208"/>
      <c r="AK36" s="138"/>
      <c r="AL36" s="1513"/>
    </row>
    <row r="37" spans="1:38" ht="15" customHeight="1" x14ac:dyDescent="0.35">
      <c r="B37" s="408" t="s">
        <v>768</v>
      </c>
      <c r="C37" s="299"/>
      <c r="D37" s="208">
        <v>0</v>
      </c>
      <c r="E37" s="208">
        <v>0</v>
      </c>
      <c r="F37" s="208">
        <v>0</v>
      </c>
      <c r="G37" s="208"/>
      <c r="H37" s="208">
        <v>0</v>
      </c>
      <c r="I37" s="375">
        <f>IF(AND(ISNUMBER(D37),ISNUMBER(E37),ISNUMBER(H37)),SUM(D37,E37,H37),"")</f>
        <v>0</v>
      </c>
      <c r="J37" s="208">
        <v>0</v>
      </c>
      <c r="K37" s="208">
        <v>0</v>
      </c>
      <c r="L37" s="208">
        <v>0</v>
      </c>
      <c r="M37" s="375">
        <f>IF(AND(ISNUMBER(J37),ISNUMBER(K37),ISNUMBER(L37)),SUM(J37:L37), "")</f>
        <v>0</v>
      </c>
      <c r="N37" s="1804">
        <v>0</v>
      </c>
      <c r="O37" s="208">
        <v>0</v>
      </c>
      <c r="P37" s="208">
        <v>0</v>
      </c>
      <c r="Q37" s="208"/>
      <c r="R37" s="208">
        <v>0</v>
      </c>
      <c r="S37" s="208">
        <v>0</v>
      </c>
      <c r="T37" s="208">
        <v>0</v>
      </c>
      <c r="U37" s="208"/>
      <c r="V37" s="208">
        <v>0</v>
      </c>
      <c r="W37" s="375">
        <f>IF(AND(ISNUMBER(R37),ISNUMBER(S37),ISNUMBER(V37)),SUM(R37,S37,V37),"")</f>
        <v>0</v>
      </c>
      <c r="X37" s="208">
        <v>0</v>
      </c>
      <c r="Y37" s="208">
        <v>0</v>
      </c>
      <c r="Z37" s="208">
        <v>0</v>
      </c>
      <c r="AA37" s="139">
        <f t="shared" si="28"/>
        <v>0</v>
      </c>
      <c r="AB37" s="614" t="str">
        <f t="shared" si="8"/>
        <v/>
      </c>
      <c r="AC37" s="359" t="str">
        <f>IF(ISNUMBER(AB37),IF(AND(AB37&gt;=(Parameters!F291*0.95), AB37&lt;=(Parameters!F291*1.05)), "Pass", "Fail (RW≠" &amp; Parameters!F291*100 &amp; "%)"),"")</f>
        <v/>
      </c>
      <c r="AD37" s="208"/>
      <c r="AE37" s="208"/>
      <c r="AF37" s="208"/>
      <c r="AG37" s="138"/>
      <c r="AH37" s="138"/>
      <c r="AI37" s="1845" t="str">
        <f t="shared" si="29"/>
        <v/>
      </c>
      <c r="AJ37" s="208"/>
      <c r="AK37" s="138"/>
      <c r="AL37" s="1513"/>
    </row>
    <row r="38" spans="1:38" ht="15" customHeight="1" x14ac:dyDescent="0.35">
      <c r="B38" s="408" t="s">
        <v>769</v>
      </c>
      <c r="C38" s="299"/>
      <c r="D38" s="208">
        <v>0</v>
      </c>
      <c r="E38" s="208">
        <v>0</v>
      </c>
      <c r="F38" s="208">
        <v>0</v>
      </c>
      <c r="G38" s="208"/>
      <c r="H38" s="208">
        <v>0</v>
      </c>
      <c r="I38" s="375">
        <f>IF(AND(ISNUMBER(D38),ISNUMBER(E38),ISNUMBER(H38)),SUM(D38,E38,H38),"")</f>
        <v>0</v>
      </c>
      <c r="J38" s="208">
        <v>0</v>
      </c>
      <c r="K38" s="208">
        <v>0</v>
      </c>
      <c r="L38" s="208">
        <v>0</v>
      </c>
      <c r="M38" s="375">
        <f>IF(AND(ISNUMBER(J38),ISNUMBER(K38),ISNUMBER(L38)),SUM(J38:L38), "")</f>
        <v>0</v>
      </c>
      <c r="N38" s="1804">
        <v>0</v>
      </c>
      <c r="O38" s="208">
        <v>0</v>
      </c>
      <c r="P38" s="208">
        <v>0</v>
      </c>
      <c r="Q38" s="208"/>
      <c r="R38" s="208">
        <v>0</v>
      </c>
      <c r="S38" s="208">
        <v>0</v>
      </c>
      <c r="T38" s="208">
        <v>0</v>
      </c>
      <c r="U38" s="208"/>
      <c r="V38" s="208">
        <v>0</v>
      </c>
      <c r="W38" s="375">
        <f>IF(AND(ISNUMBER(R38),ISNUMBER(S38),ISNUMBER(V38)),SUM(R38,S38,V38),"")</f>
        <v>0</v>
      </c>
      <c r="X38" s="208">
        <v>0</v>
      </c>
      <c r="Y38" s="208">
        <v>0</v>
      </c>
      <c r="Z38" s="208">
        <v>0</v>
      </c>
      <c r="AA38" s="139">
        <f t="shared" si="28"/>
        <v>0</v>
      </c>
      <c r="AB38" s="614" t="str">
        <f t="shared" si="8"/>
        <v/>
      </c>
      <c r="AC38" s="359" t="str">
        <f>IF(ISNUMBER(AB38),IF(AND(AB38&gt;=(Parameters!F292*0.95), AB38&lt;=(Parameters!F292*1.05)), "Pass", "Fail (RW≠" &amp; Parameters!F292*100 &amp; "%)"),"")</f>
        <v/>
      </c>
      <c r="AD38" s="208"/>
      <c r="AE38" s="208"/>
      <c r="AF38" s="208"/>
      <c r="AG38" s="138"/>
      <c r="AH38" s="138"/>
      <c r="AI38" s="1845" t="str">
        <f t="shared" si="29"/>
        <v/>
      </c>
      <c r="AJ38" s="208"/>
      <c r="AK38" s="138"/>
      <c r="AL38" s="1513"/>
    </row>
    <row r="39" spans="1:38" ht="15" customHeight="1" x14ac:dyDescent="0.35">
      <c r="A39" s="542"/>
      <c r="B39" s="345" t="s">
        <v>771</v>
      </c>
      <c r="C39" s="375" t="str">
        <f t="shared" ref="C39:I39" si="30">IF(AND(ISNUMBER(C40),ISNUMBER(C46)),SUM(C40,C46),"")</f>
        <v/>
      </c>
      <c r="D39" s="375">
        <f t="shared" si="30"/>
        <v>130222.67787999999</v>
      </c>
      <c r="E39" s="375">
        <f t="shared" si="30"/>
        <v>0</v>
      </c>
      <c r="F39" s="375">
        <f t="shared" si="30"/>
        <v>0</v>
      </c>
      <c r="G39" s="375" t="str">
        <f t="shared" si="30"/>
        <v/>
      </c>
      <c r="H39" s="375">
        <f t="shared" si="30"/>
        <v>1364</v>
      </c>
      <c r="I39" s="375">
        <f t="shared" si="30"/>
        <v>131586.67787999997</v>
      </c>
      <c r="J39" s="375">
        <f t="shared" ref="J39:K39" si="31">IF(AND(ISNUMBER(J40),ISNUMBER(J46)),SUM(J40,J46),"")</f>
        <v>56565.217909999898</v>
      </c>
      <c r="K39" s="375">
        <f t="shared" si="31"/>
        <v>0</v>
      </c>
      <c r="L39" s="375">
        <f t="shared" ref="L39" si="32">IF(AND(ISNUMBER(L40),ISNUMBER(L46)),SUM(L40,L46),"")</f>
        <v>713</v>
      </c>
      <c r="M39" s="375">
        <f>IF(AND(ISNUMBER(M40),ISNUMBER(M46)),SUM(M40,M46),"")</f>
        <v>57278.217909999898</v>
      </c>
      <c r="N39" s="375">
        <f>IF(AND(ISNUMBER(N40),ISNUMBER(N46)),SUM(N40,N46),"")</f>
        <v>0</v>
      </c>
      <c r="O39" s="705">
        <v>96.043350000000089</v>
      </c>
      <c r="P39" s="705">
        <v>0</v>
      </c>
      <c r="Q39" s="375" t="str">
        <f t="shared" ref="Q39:W39" si="33">IF(AND(ISNUMBER(Q40),ISNUMBER(Q46)),SUM(Q40,Q46),"")</f>
        <v/>
      </c>
      <c r="R39" s="375">
        <f t="shared" si="33"/>
        <v>130222.67787999999</v>
      </c>
      <c r="S39" s="375">
        <f t="shared" si="33"/>
        <v>0</v>
      </c>
      <c r="T39" s="375">
        <f t="shared" si="33"/>
        <v>0</v>
      </c>
      <c r="U39" s="375" t="str">
        <f t="shared" si="33"/>
        <v/>
      </c>
      <c r="V39" s="375">
        <f t="shared" si="33"/>
        <v>5313</v>
      </c>
      <c r="W39" s="375">
        <f t="shared" si="33"/>
        <v>135535.67787999997</v>
      </c>
      <c r="X39" s="375">
        <f>IF(AND(ISNUMBER(X40),ISNUMBER(X46)),SUM(X40,X46),"")</f>
        <v>39066.803363999992</v>
      </c>
      <c r="Y39" s="375">
        <f>IF(AND(ISNUMBER(Y40),ISNUMBER(Y46)),SUM(Y40,Y46),"")</f>
        <v>0</v>
      </c>
      <c r="Z39" s="375">
        <f>IF(AND(ISNUMBER(Z40),ISNUMBER(Z46)),SUM(Z40,Z46),"")</f>
        <v>1593.8999999999999</v>
      </c>
      <c r="AA39" s="139">
        <f>IF(AND(ISNUMBER(AA40),ISNUMBER(AA46)),SUM(AA40,AA46),"")</f>
        <v>40660.703363999994</v>
      </c>
      <c r="AB39" s="614">
        <f t="shared" si="8"/>
        <v>0.3</v>
      </c>
      <c r="AC39" s="335"/>
      <c r="AD39" s="375" t="str">
        <f t="shared" ref="AD39:AK39" si="34">IF(AND(ISNUMBER(AD40),ISNUMBER(AD46)),SUM(AD40,AD46),"")</f>
        <v/>
      </c>
      <c r="AE39" s="375" t="str">
        <f t="shared" si="34"/>
        <v/>
      </c>
      <c r="AF39" s="375" t="str">
        <f t="shared" si="34"/>
        <v/>
      </c>
      <c r="AG39" s="375" t="str">
        <f t="shared" si="34"/>
        <v/>
      </c>
      <c r="AH39" s="139" t="str">
        <f t="shared" si="34"/>
        <v/>
      </c>
      <c r="AI39" s="1845" t="str">
        <f t="shared" si="34"/>
        <v/>
      </c>
      <c r="AJ39" s="1846" t="str">
        <f t="shared" si="34"/>
        <v/>
      </c>
      <c r="AK39" s="1847" t="str">
        <f t="shared" si="34"/>
        <v/>
      </c>
      <c r="AL39" s="1513"/>
    </row>
    <row r="40" spans="1:38" ht="15" customHeight="1" x14ac:dyDescent="0.35">
      <c r="B40" s="165" t="s">
        <v>772</v>
      </c>
      <c r="C40" s="375" t="str">
        <f t="shared" ref="C40:N40" si="35">IF(AND(ISNUMBER(C41), ISNUMBER(C42), ISNUMBER(C43), ISNUMBER(C44)), SUM(C41:C45), "")</f>
        <v/>
      </c>
      <c r="D40" s="375">
        <f t="shared" si="35"/>
        <v>130222.67787999999</v>
      </c>
      <c r="E40" s="375">
        <f t="shared" si="35"/>
        <v>0</v>
      </c>
      <c r="F40" s="375">
        <f t="shared" si="35"/>
        <v>0</v>
      </c>
      <c r="G40" s="375" t="str">
        <f t="shared" si="35"/>
        <v/>
      </c>
      <c r="H40" s="375">
        <f t="shared" si="35"/>
        <v>1364</v>
      </c>
      <c r="I40" s="375">
        <f t="shared" si="35"/>
        <v>131586.67787999997</v>
      </c>
      <c r="J40" s="375">
        <f t="shared" si="35"/>
        <v>56565.217909999898</v>
      </c>
      <c r="K40" s="375">
        <f t="shared" si="35"/>
        <v>0</v>
      </c>
      <c r="L40" s="375">
        <f t="shared" si="35"/>
        <v>713</v>
      </c>
      <c r="M40" s="375">
        <f t="shared" si="35"/>
        <v>57278.217909999898</v>
      </c>
      <c r="N40" s="375">
        <f t="shared" si="35"/>
        <v>0</v>
      </c>
      <c r="O40" s="208">
        <v>96.043350000000089</v>
      </c>
      <c r="P40" s="208">
        <v>0</v>
      </c>
      <c r="Q40" s="375" t="str">
        <f t="shared" ref="Q40:AA40" si="36">IF(AND(ISNUMBER(Q41), ISNUMBER(Q42), ISNUMBER(Q43), ISNUMBER(Q44)), SUM(Q41:Q45), "")</f>
        <v/>
      </c>
      <c r="R40" s="375">
        <f t="shared" si="36"/>
        <v>130222.67787999999</v>
      </c>
      <c r="S40" s="375">
        <f t="shared" si="36"/>
        <v>0</v>
      </c>
      <c r="T40" s="375">
        <f t="shared" si="36"/>
        <v>0</v>
      </c>
      <c r="U40" s="375" t="str">
        <f t="shared" si="36"/>
        <v/>
      </c>
      <c r="V40" s="375">
        <f t="shared" si="36"/>
        <v>5313</v>
      </c>
      <c r="W40" s="375">
        <f t="shared" si="36"/>
        <v>135535.67787999997</v>
      </c>
      <c r="X40" s="375">
        <f t="shared" si="36"/>
        <v>39066.803363999992</v>
      </c>
      <c r="Y40" s="375">
        <f t="shared" si="36"/>
        <v>0</v>
      </c>
      <c r="Z40" s="375">
        <f t="shared" si="36"/>
        <v>1593.8999999999999</v>
      </c>
      <c r="AA40" s="139">
        <f t="shared" si="36"/>
        <v>40660.703363999994</v>
      </c>
      <c r="AB40" s="614">
        <f t="shared" si="8"/>
        <v>0.3</v>
      </c>
      <c r="AC40" s="319"/>
      <c r="AD40" s="375" t="str">
        <f>IF(AND(ISNUMBER(AD41), ISNUMBER(AD42), ISNUMBER(AD43), ISNUMBER(AD44)), SUM(AD41:AD45), "")</f>
        <v/>
      </c>
      <c r="AE40" s="375" t="str">
        <f>IF(AND(ISNUMBER(AE41), ISNUMBER(AE42), ISNUMBER(AE43), ISNUMBER(AE44)), SUM(AE41:AE45), "")</f>
        <v/>
      </c>
      <c r="AF40" s="375" t="str">
        <f>IF(AND(ISNUMBER(AF41), ISNUMBER(AF42), ISNUMBER(AF43), ISNUMBER(AF44)), SUM(AF41:AF45), "")</f>
        <v/>
      </c>
      <c r="AG40" s="375" t="str">
        <f>IF(AND(ISNUMBER(AG41), ISNUMBER(AG42), ISNUMBER(AG43), ISNUMBER(AG44)), SUM(AG41:AG45), "")</f>
        <v/>
      </c>
      <c r="AH40" s="139" t="str">
        <f>IF(AND(ISNUMBER(AH41), ISNUMBER(AH42), ISNUMBER(AH43), ISNUMBER(AH44)), SUM(AH41:AH45), "")</f>
        <v/>
      </c>
      <c r="AI40" s="1845" t="str">
        <f t="shared" ref="AI40:AK40" si="37">IF(AND(ISNUMBER(AI41), ISNUMBER(AI42), ISNUMBER(AI43), ISNUMBER(AI44)), SUM(AI41:AI45), "")</f>
        <v/>
      </c>
      <c r="AJ40" s="1846" t="str">
        <f t="shared" si="37"/>
        <v/>
      </c>
      <c r="AK40" s="1847" t="str">
        <f t="shared" si="37"/>
        <v/>
      </c>
      <c r="AL40" s="1513"/>
    </row>
    <row r="41" spans="1:38" ht="15" customHeight="1" x14ac:dyDescent="0.35">
      <c r="A41" s="302"/>
      <c r="B41" s="408" t="s">
        <v>773</v>
      </c>
      <c r="C41" s="299"/>
      <c r="D41" s="208">
        <f>411709.31788-281586+1242/12.5</f>
        <v>130222.67787999999</v>
      </c>
      <c r="E41" s="208">
        <v>0</v>
      </c>
      <c r="F41" s="208">
        <v>0</v>
      </c>
      <c r="G41" s="208"/>
      <c r="H41" s="208">
        <v>1364</v>
      </c>
      <c r="I41" s="375">
        <f>IF(AND(ISNUMBER(D41),ISNUMBER(E41),ISNUMBER(H41)),SUM(D41,E41,H41),"")</f>
        <v>131586.67787999997</v>
      </c>
      <c r="J41" s="208">
        <f>57122.2179099999-1799+1242</f>
        <v>56565.217909999898</v>
      </c>
      <c r="K41" s="208">
        <v>0</v>
      </c>
      <c r="L41" s="208">
        <v>713</v>
      </c>
      <c r="M41" s="375">
        <f>IF(AND(ISNUMBER(J41),ISNUMBER(K41),ISNUMBER(L41)),SUM(J41:L41), "")</f>
        <v>57278.217909999898</v>
      </c>
      <c r="N41" s="1804">
        <v>0</v>
      </c>
      <c r="O41" s="208">
        <v>96.043350000000089</v>
      </c>
      <c r="P41" s="208">
        <v>0</v>
      </c>
      <c r="Q41" s="208"/>
      <c r="R41" s="2540">
        <v>130222.67787999999</v>
      </c>
      <c r="S41" s="2540">
        <v>0</v>
      </c>
      <c r="T41" s="208">
        <v>0</v>
      </c>
      <c r="U41" s="208"/>
      <c r="V41" s="208">
        <v>5313</v>
      </c>
      <c r="W41" s="375">
        <f>IF(AND(ISNUMBER(R41),ISNUMBER(S41),ISNUMBER(V41)),SUM(R41,S41,V41),"")</f>
        <v>135535.67787999997</v>
      </c>
      <c r="X41" s="208">
        <f>+R41*0.3</f>
        <v>39066.803363999992</v>
      </c>
      <c r="Y41" s="208">
        <v>0</v>
      </c>
      <c r="Z41" s="208">
        <f>+V41*0.3</f>
        <v>1593.8999999999999</v>
      </c>
      <c r="AA41" s="139">
        <f t="shared" ref="AA41:AA45" si="38">IF(AND(ISNUMBER(X41),ISNUMBER(Y41),ISNUMBER(Z41)),SUM(X41:Z41), "")</f>
        <v>40660.703363999994</v>
      </c>
      <c r="AB41" s="614">
        <f t="shared" si="8"/>
        <v>0.3</v>
      </c>
      <c r="AC41" s="359" t="str">
        <f>IF(ISNUMBER(AB41),IF(AND(AB41&gt;=(Parameters!F295*0.95), AB41&lt;=(Parameters!F295*1.05)), "Pass", "Fail (RW≠" &amp; Parameters!F295*100 &amp; "%)"),"")</f>
        <v>Pass</v>
      </c>
      <c r="AD41" s="208"/>
      <c r="AE41" s="208"/>
      <c r="AF41" s="208"/>
      <c r="AG41" s="138"/>
      <c r="AH41" s="138"/>
      <c r="AI41" s="1845" t="str">
        <f t="shared" ref="AI41:AI44" si="39">IF(AND(ISNUMBER(AF41),ISNUMBER(AG41),ISNUMBER(AJ41)),AF41-AG41+AJ41,"")</f>
        <v/>
      </c>
      <c r="AJ41" s="208"/>
      <c r="AK41" s="138"/>
      <c r="AL41" s="1513"/>
    </row>
    <row r="42" spans="1:38" ht="15" customHeight="1" x14ac:dyDescent="0.35">
      <c r="B42" s="408" t="s">
        <v>774</v>
      </c>
      <c r="C42" s="299"/>
      <c r="D42" s="208">
        <v>0</v>
      </c>
      <c r="E42" s="208">
        <v>0</v>
      </c>
      <c r="F42" s="208">
        <v>0</v>
      </c>
      <c r="G42" s="208"/>
      <c r="H42" s="208">
        <v>0</v>
      </c>
      <c r="I42" s="375">
        <f>IF(AND(ISNUMBER(D42),ISNUMBER(E42),ISNUMBER(H42)),SUM(D42,E42,H42),"")</f>
        <v>0</v>
      </c>
      <c r="J42" s="208">
        <v>0</v>
      </c>
      <c r="K42" s="208">
        <v>0</v>
      </c>
      <c r="L42" s="208">
        <v>0</v>
      </c>
      <c r="M42" s="375">
        <f>IF(AND(ISNUMBER(J42),ISNUMBER(K42),ISNUMBER(L42)),SUM(J42:L42), "")</f>
        <v>0</v>
      </c>
      <c r="N42" s="1804">
        <v>0</v>
      </c>
      <c r="O42" s="208">
        <v>0</v>
      </c>
      <c r="P42" s="208">
        <v>0</v>
      </c>
      <c r="Q42" s="208"/>
      <c r="R42" s="208">
        <v>0</v>
      </c>
      <c r="S42" s="208">
        <v>0</v>
      </c>
      <c r="T42" s="208">
        <v>0</v>
      </c>
      <c r="U42" s="208"/>
      <c r="V42" s="208">
        <v>0</v>
      </c>
      <c r="W42" s="375">
        <f>IF(AND(ISNUMBER(R42),ISNUMBER(S42),ISNUMBER(V42)),SUM(R42,S42,V42),"")</f>
        <v>0</v>
      </c>
      <c r="X42" s="208">
        <v>0</v>
      </c>
      <c r="Y42" s="208">
        <v>0</v>
      </c>
      <c r="Z42" s="208">
        <v>0</v>
      </c>
      <c r="AA42" s="139">
        <f t="shared" si="38"/>
        <v>0</v>
      </c>
      <c r="AB42" s="614" t="str">
        <f t="shared" si="8"/>
        <v/>
      </c>
      <c r="AC42" s="359" t="str">
        <f>IF(ISNUMBER(AB42),IF(AND(AB42&gt;=(Parameters!F296*0.95), AB42&lt;=(Parameters!F296*1.05)), "Pass", "Fail (RW≠" &amp; Parameters!F296*100 &amp; "%)"),"")</f>
        <v/>
      </c>
      <c r="AD42" s="208"/>
      <c r="AE42" s="208"/>
      <c r="AF42" s="208"/>
      <c r="AG42" s="138"/>
      <c r="AH42" s="138"/>
      <c r="AI42" s="1845" t="str">
        <f t="shared" si="39"/>
        <v/>
      </c>
      <c r="AJ42" s="208"/>
      <c r="AK42" s="138"/>
      <c r="AL42" s="1513"/>
    </row>
    <row r="43" spans="1:38" ht="15" customHeight="1" x14ac:dyDescent="0.35">
      <c r="B43" s="408" t="s">
        <v>775</v>
      </c>
      <c r="C43" s="299"/>
      <c r="D43" s="208">
        <v>0</v>
      </c>
      <c r="E43" s="208">
        <v>0</v>
      </c>
      <c r="F43" s="208">
        <v>0</v>
      </c>
      <c r="G43" s="208"/>
      <c r="H43" s="208">
        <v>0</v>
      </c>
      <c r="I43" s="375">
        <f>IF(AND(ISNUMBER(D43),ISNUMBER(E43),ISNUMBER(H43)),SUM(D43,E43,H43),"")</f>
        <v>0</v>
      </c>
      <c r="J43" s="208">
        <v>0</v>
      </c>
      <c r="K43" s="208">
        <v>0</v>
      </c>
      <c r="L43" s="208">
        <v>0</v>
      </c>
      <c r="M43" s="375">
        <f>IF(AND(ISNUMBER(J43),ISNUMBER(K43),ISNUMBER(L43)),SUM(J43:L43), "")</f>
        <v>0</v>
      </c>
      <c r="N43" s="1804">
        <v>0</v>
      </c>
      <c r="O43" s="208">
        <v>0</v>
      </c>
      <c r="P43" s="208">
        <v>0</v>
      </c>
      <c r="Q43" s="208"/>
      <c r="R43" s="208">
        <v>0</v>
      </c>
      <c r="S43" s="208">
        <v>0</v>
      </c>
      <c r="T43" s="208">
        <v>0</v>
      </c>
      <c r="U43" s="208"/>
      <c r="V43" s="208">
        <v>0</v>
      </c>
      <c r="W43" s="375">
        <f>IF(AND(ISNUMBER(R43),ISNUMBER(S43),ISNUMBER(V43)),SUM(R43,S43,V43),"")</f>
        <v>0</v>
      </c>
      <c r="X43" s="208">
        <v>0</v>
      </c>
      <c r="Y43" s="208">
        <v>0</v>
      </c>
      <c r="Z43" s="208">
        <v>0</v>
      </c>
      <c r="AA43" s="139">
        <f t="shared" si="38"/>
        <v>0</v>
      </c>
      <c r="AB43" s="614" t="str">
        <f t="shared" si="8"/>
        <v/>
      </c>
      <c r="AC43" s="359" t="str">
        <f>IF(ISNUMBER(AB43),IF(AND(AB43&gt;=(Parameters!F297*0.95), AB43&lt;=(Parameters!F297*1.05)), "Pass", "Fail (RW≠" &amp; Parameters!F297*100 &amp; "%)"),"")</f>
        <v/>
      </c>
      <c r="AD43" s="208"/>
      <c r="AE43" s="208"/>
      <c r="AF43" s="208"/>
      <c r="AG43" s="138"/>
      <c r="AH43" s="138"/>
      <c r="AI43" s="1845" t="str">
        <f t="shared" si="39"/>
        <v/>
      </c>
      <c r="AJ43" s="208"/>
      <c r="AK43" s="138"/>
      <c r="AL43" s="1513"/>
    </row>
    <row r="44" spans="1:38" ht="15" customHeight="1" x14ac:dyDescent="0.35">
      <c r="B44" s="408" t="s">
        <v>776</v>
      </c>
      <c r="C44" s="299"/>
      <c r="D44" s="208">
        <v>0</v>
      </c>
      <c r="E44" s="208">
        <v>0</v>
      </c>
      <c r="F44" s="208">
        <v>0</v>
      </c>
      <c r="G44" s="208"/>
      <c r="H44" s="208">
        <v>0</v>
      </c>
      <c r="I44" s="375">
        <f>IF(AND(ISNUMBER(D44),ISNUMBER(E44),ISNUMBER(H44)),SUM(D44,E44,H44),"")</f>
        <v>0</v>
      </c>
      <c r="J44" s="208">
        <v>0</v>
      </c>
      <c r="K44" s="208">
        <v>0</v>
      </c>
      <c r="L44" s="208">
        <v>0</v>
      </c>
      <c r="M44" s="375">
        <f>IF(AND(ISNUMBER(J44),ISNUMBER(K44),ISNUMBER(L44)),SUM(J44:L44), "")</f>
        <v>0</v>
      </c>
      <c r="N44" s="1804">
        <v>0</v>
      </c>
      <c r="O44" s="208">
        <v>0</v>
      </c>
      <c r="P44" s="208">
        <v>0</v>
      </c>
      <c r="Q44" s="208"/>
      <c r="R44" s="208">
        <v>0</v>
      </c>
      <c r="S44" s="208">
        <v>0</v>
      </c>
      <c r="T44" s="208">
        <v>0</v>
      </c>
      <c r="U44" s="208"/>
      <c r="V44" s="208">
        <v>0</v>
      </c>
      <c r="W44" s="375">
        <f>IF(AND(ISNUMBER(R44),ISNUMBER(S44),ISNUMBER(V44)),SUM(R44,S44,V44),"")</f>
        <v>0</v>
      </c>
      <c r="X44" s="208">
        <v>0</v>
      </c>
      <c r="Y44" s="208">
        <v>0</v>
      </c>
      <c r="Z44" s="208">
        <v>0</v>
      </c>
      <c r="AA44" s="139">
        <f t="shared" si="38"/>
        <v>0</v>
      </c>
      <c r="AB44" s="614" t="str">
        <f t="shared" si="8"/>
        <v/>
      </c>
      <c r="AC44" s="359" t="str">
        <f>IF(ISNUMBER(AB44),IF(AND(AB44&gt;=(Parameters!F298*0.95), AB44&lt;=(Parameters!F298*1.05)), "Pass", "Fail (RW≠" &amp; Parameters!F298*100 &amp; "%)"),"")</f>
        <v/>
      </c>
      <c r="AD44" s="208"/>
      <c r="AE44" s="208"/>
      <c r="AF44" s="208"/>
      <c r="AG44" s="138"/>
      <c r="AH44" s="138"/>
      <c r="AI44" s="1845" t="str">
        <f t="shared" si="39"/>
        <v/>
      </c>
      <c r="AJ44" s="208"/>
      <c r="AK44" s="138"/>
      <c r="AL44" s="1513"/>
    </row>
    <row r="45" spans="1:38" ht="15" customHeight="1" x14ac:dyDescent="0.35">
      <c r="B45" s="408" t="s">
        <v>777</v>
      </c>
      <c r="C45" s="691"/>
      <c r="D45" s="691">
        <v>0</v>
      </c>
      <c r="E45" s="691">
        <v>0</v>
      </c>
      <c r="F45" s="691">
        <v>0</v>
      </c>
      <c r="G45" s="691"/>
      <c r="H45" s="691">
        <v>0</v>
      </c>
      <c r="I45" s="375">
        <f>IF(AND(ISNUMBER(D45),ISNUMBER(E45),ISNUMBER(H45)),SUM(D45,E45,H45),"")</f>
        <v>0</v>
      </c>
      <c r="J45" s="691">
        <v>0</v>
      </c>
      <c r="K45" s="691">
        <v>0</v>
      </c>
      <c r="L45" s="691">
        <v>0</v>
      </c>
      <c r="M45" s="375">
        <f>IF(AND(ISNUMBER(J45),ISNUMBER(K45),ISNUMBER(L45)),SUM(J45:L45), "")</f>
        <v>0</v>
      </c>
      <c r="N45" s="1804">
        <v>0</v>
      </c>
      <c r="O45" s="208">
        <v>0</v>
      </c>
      <c r="P45" s="208">
        <v>0</v>
      </c>
      <c r="Q45" s="691"/>
      <c r="R45" s="691">
        <v>0</v>
      </c>
      <c r="S45" s="691">
        <v>0</v>
      </c>
      <c r="T45" s="691">
        <v>0</v>
      </c>
      <c r="U45" s="691"/>
      <c r="V45" s="691">
        <v>0</v>
      </c>
      <c r="W45" s="375">
        <f>IF(AND(ISNUMBER(R45),ISNUMBER(S45),ISNUMBER(V45)),SUM(R45,S45,V45),"")</f>
        <v>0</v>
      </c>
      <c r="X45" s="691">
        <v>0</v>
      </c>
      <c r="Y45" s="691">
        <v>0</v>
      </c>
      <c r="Z45" s="691">
        <v>0</v>
      </c>
      <c r="AA45" s="139">
        <f t="shared" si="38"/>
        <v>0</v>
      </c>
      <c r="AB45" s="614" t="str">
        <f t="shared" si="8"/>
        <v/>
      </c>
      <c r="AC45" s="621"/>
      <c r="AD45" s="691"/>
      <c r="AE45" s="691"/>
      <c r="AF45" s="691"/>
      <c r="AG45" s="691"/>
      <c r="AH45" s="690"/>
      <c r="AI45" s="1527"/>
      <c r="AJ45" s="286"/>
      <c r="AK45" s="285"/>
      <c r="AL45" s="1513"/>
    </row>
    <row r="46" spans="1:38" ht="15" customHeight="1" x14ac:dyDescent="0.35">
      <c r="B46" s="165" t="s">
        <v>778</v>
      </c>
      <c r="C46" s="375" t="str">
        <f t="shared" ref="C46:N46" si="40">IF(AND(ISNUMBER(C47), ISNUMBER(C48), ISNUMBER(C49)), SUM(C47:C50), "")</f>
        <v/>
      </c>
      <c r="D46" s="375">
        <f t="shared" si="40"/>
        <v>0</v>
      </c>
      <c r="E46" s="375">
        <f t="shared" si="40"/>
        <v>0</v>
      </c>
      <c r="F46" s="375">
        <f t="shared" si="40"/>
        <v>0</v>
      </c>
      <c r="G46" s="375" t="str">
        <f t="shared" si="40"/>
        <v/>
      </c>
      <c r="H46" s="375">
        <f t="shared" si="40"/>
        <v>0</v>
      </c>
      <c r="I46" s="375">
        <f t="shared" si="40"/>
        <v>0</v>
      </c>
      <c r="J46" s="375">
        <f t="shared" si="40"/>
        <v>0</v>
      </c>
      <c r="K46" s="375">
        <f t="shared" si="40"/>
        <v>0</v>
      </c>
      <c r="L46" s="375">
        <f t="shared" si="40"/>
        <v>0</v>
      </c>
      <c r="M46" s="375">
        <f t="shared" si="40"/>
        <v>0</v>
      </c>
      <c r="N46" s="375">
        <f t="shared" si="40"/>
        <v>0</v>
      </c>
      <c r="O46" s="208">
        <v>0</v>
      </c>
      <c r="P46" s="208">
        <v>0</v>
      </c>
      <c r="Q46" s="375" t="str">
        <f t="shared" ref="Q46:AA46" si="41">IF(AND(ISNUMBER(Q47), ISNUMBER(Q48), ISNUMBER(Q49)), SUM(Q47:Q50), "")</f>
        <v/>
      </c>
      <c r="R46" s="375">
        <f t="shared" si="41"/>
        <v>0</v>
      </c>
      <c r="S46" s="375">
        <f t="shared" si="41"/>
        <v>0</v>
      </c>
      <c r="T46" s="375">
        <f t="shared" si="41"/>
        <v>0</v>
      </c>
      <c r="U46" s="375" t="str">
        <f t="shared" si="41"/>
        <v/>
      </c>
      <c r="V46" s="375">
        <f t="shared" si="41"/>
        <v>0</v>
      </c>
      <c r="W46" s="375">
        <f t="shared" si="41"/>
        <v>0</v>
      </c>
      <c r="X46" s="375">
        <f t="shared" si="41"/>
        <v>0</v>
      </c>
      <c r="Y46" s="375">
        <f t="shared" si="41"/>
        <v>0</v>
      </c>
      <c r="Z46" s="375">
        <f t="shared" si="41"/>
        <v>0</v>
      </c>
      <c r="AA46" s="139">
        <f t="shared" si="41"/>
        <v>0</v>
      </c>
      <c r="AB46" s="614" t="str">
        <f t="shared" si="8"/>
        <v/>
      </c>
      <c r="AC46" s="621"/>
      <c r="AD46" s="375" t="str">
        <f>IF(AND(ISNUMBER(AD47), ISNUMBER(AD48), ISNUMBER(AD49)), SUM(AD47:AD50), "")</f>
        <v/>
      </c>
      <c r="AE46" s="375" t="str">
        <f t="shared" ref="AE46:AK46" si="42">IF(AND(ISNUMBER(AE47), ISNUMBER(AE48), ISNUMBER(AE49)), SUM(AE47:AE50), "")</f>
        <v/>
      </c>
      <c r="AF46" s="375" t="str">
        <f t="shared" si="42"/>
        <v/>
      </c>
      <c r="AG46" s="375" t="str">
        <f t="shared" si="42"/>
        <v/>
      </c>
      <c r="AH46" s="139" t="str">
        <f t="shared" si="42"/>
        <v/>
      </c>
      <c r="AI46" s="1845" t="str">
        <f t="shared" si="42"/>
        <v/>
      </c>
      <c r="AJ46" s="1846" t="str">
        <f t="shared" si="42"/>
        <v/>
      </c>
      <c r="AK46" s="1847" t="str">
        <f t="shared" si="42"/>
        <v/>
      </c>
      <c r="AL46" s="1513"/>
    </row>
    <row r="47" spans="1:38" ht="15" customHeight="1" x14ac:dyDescent="0.35">
      <c r="B47" s="408" t="s">
        <v>779</v>
      </c>
      <c r="C47" s="299"/>
      <c r="D47" s="208">
        <v>0</v>
      </c>
      <c r="E47" s="208">
        <v>0</v>
      </c>
      <c r="F47" s="208">
        <v>0</v>
      </c>
      <c r="G47" s="208"/>
      <c r="H47" s="208">
        <v>0</v>
      </c>
      <c r="I47" s="375">
        <f>IF(AND(ISNUMBER(D47),ISNUMBER(E47),ISNUMBER(H47)),SUM(D47,E47,H47),"")</f>
        <v>0</v>
      </c>
      <c r="J47" s="208">
        <v>0</v>
      </c>
      <c r="K47" s="208">
        <v>0</v>
      </c>
      <c r="L47" s="208">
        <v>0</v>
      </c>
      <c r="M47" s="375">
        <f t="shared" ref="M47:M50" si="43">IF(AND(ISNUMBER(J47),ISNUMBER(K47),ISNUMBER(L47)),SUM(J47:L47), "")</f>
        <v>0</v>
      </c>
      <c r="N47" s="1804">
        <v>0</v>
      </c>
      <c r="O47" s="208">
        <v>0</v>
      </c>
      <c r="P47" s="208">
        <v>0</v>
      </c>
      <c r="Q47" s="208"/>
      <c r="R47" s="208">
        <v>0</v>
      </c>
      <c r="S47" s="208">
        <v>0</v>
      </c>
      <c r="T47" s="208">
        <v>0</v>
      </c>
      <c r="U47" s="208"/>
      <c r="V47" s="208">
        <v>0</v>
      </c>
      <c r="W47" s="375">
        <f>IF(AND(ISNUMBER(R47),ISNUMBER(S47),ISNUMBER(V47)),SUM(R47,S47,V47),"")</f>
        <v>0</v>
      </c>
      <c r="X47" s="208">
        <v>0</v>
      </c>
      <c r="Y47" s="208">
        <v>0</v>
      </c>
      <c r="Z47" s="208">
        <v>0</v>
      </c>
      <c r="AA47" s="139">
        <f t="shared" ref="AA47:AA50" si="44">IF(AND(ISNUMBER(X47),ISNUMBER(Y47),ISNUMBER(Z47)),SUM(X47:Z47), "")</f>
        <v>0</v>
      </c>
      <c r="AB47" s="614" t="str">
        <f t="shared" si="8"/>
        <v/>
      </c>
      <c r="AC47" s="359" t="str">
        <f>IF(ISNUMBER(AB47),IF(AND(AB47&gt;=(Parameters!F300*0.95), AB47&lt;=(Parameters!F300*1.05)), "Pass", "Fail (RW≠" &amp; Parameters!F300*100 &amp; "%)"),"")</f>
        <v/>
      </c>
      <c r="AD47" s="208"/>
      <c r="AE47" s="208"/>
      <c r="AF47" s="208"/>
      <c r="AG47" s="138"/>
      <c r="AH47" s="138"/>
      <c r="AI47" s="1845" t="str">
        <f t="shared" ref="AI47:AI49" si="45">IF(AND(ISNUMBER(AF47),ISNUMBER(AG47),ISNUMBER(AJ47)),AF47-AG47+AJ47,"")</f>
        <v/>
      </c>
      <c r="AJ47" s="208"/>
      <c r="AK47" s="138"/>
      <c r="AL47" s="1513"/>
    </row>
    <row r="48" spans="1:38" ht="15" customHeight="1" x14ac:dyDescent="0.35">
      <c r="B48" s="408" t="s">
        <v>775</v>
      </c>
      <c r="C48" s="299"/>
      <c r="D48" s="208">
        <v>0</v>
      </c>
      <c r="E48" s="208">
        <v>0</v>
      </c>
      <c r="F48" s="208">
        <v>0</v>
      </c>
      <c r="G48" s="208"/>
      <c r="H48" s="208">
        <v>0</v>
      </c>
      <c r="I48" s="375">
        <f>IF(AND(ISNUMBER(D48),ISNUMBER(E48),ISNUMBER(H48)),SUM(D48,E48,H48),"")</f>
        <v>0</v>
      </c>
      <c r="J48" s="208">
        <v>0</v>
      </c>
      <c r="K48" s="208">
        <v>0</v>
      </c>
      <c r="L48" s="208">
        <v>0</v>
      </c>
      <c r="M48" s="375">
        <f t="shared" si="43"/>
        <v>0</v>
      </c>
      <c r="N48" s="1804">
        <v>0</v>
      </c>
      <c r="O48" s="208">
        <v>0</v>
      </c>
      <c r="P48" s="208">
        <v>0</v>
      </c>
      <c r="Q48" s="208"/>
      <c r="R48" s="208">
        <v>0</v>
      </c>
      <c r="S48" s="208">
        <v>0</v>
      </c>
      <c r="T48" s="208">
        <v>0</v>
      </c>
      <c r="U48" s="208"/>
      <c r="V48" s="208">
        <v>0</v>
      </c>
      <c r="W48" s="375">
        <f>IF(AND(ISNUMBER(R48),ISNUMBER(S48),ISNUMBER(V48)),SUM(R48,S48,V48),"")</f>
        <v>0</v>
      </c>
      <c r="X48" s="208">
        <v>0</v>
      </c>
      <c r="Y48" s="208">
        <v>0</v>
      </c>
      <c r="Z48" s="208">
        <v>0</v>
      </c>
      <c r="AA48" s="139">
        <f t="shared" si="44"/>
        <v>0</v>
      </c>
      <c r="AB48" s="614" t="str">
        <f t="shared" si="8"/>
        <v/>
      </c>
      <c r="AC48" s="359" t="str">
        <f>IF(ISNUMBER(AB48),IF(AND(AB48&gt;=(Parameters!F301*0.95), AB48&lt;=(Parameters!F301*1.05)), "Pass", "Fail (RW≠" &amp; Parameters!F301*100 &amp; "%)"),"")</f>
        <v/>
      </c>
      <c r="AD48" s="208"/>
      <c r="AE48" s="208"/>
      <c r="AF48" s="208"/>
      <c r="AG48" s="138"/>
      <c r="AH48" s="138"/>
      <c r="AI48" s="1845" t="str">
        <f t="shared" si="45"/>
        <v/>
      </c>
      <c r="AJ48" s="208"/>
      <c r="AK48" s="138"/>
      <c r="AL48" s="1513"/>
    </row>
    <row r="49" spans="1:38" ht="15" customHeight="1" x14ac:dyDescent="0.35">
      <c r="B49" s="408" t="s">
        <v>776</v>
      </c>
      <c r="C49" s="299"/>
      <c r="D49" s="208">
        <v>0</v>
      </c>
      <c r="E49" s="208">
        <v>0</v>
      </c>
      <c r="F49" s="208">
        <v>0</v>
      </c>
      <c r="G49" s="208"/>
      <c r="H49" s="208">
        <v>0</v>
      </c>
      <c r="I49" s="375">
        <f>IF(AND(ISNUMBER(D49),ISNUMBER(E49),ISNUMBER(H49)),SUM(D49,E49,H49),"")</f>
        <v>0</v>
      </c>
      <c r="J49" s="208">
        <v>0</v>
      </c>
      <c r="K49" s="208">
        <v>0</v>
      </c>
      <c r="L49" s="208">
        <v>0</v>
      </c>
      <c r="M49" s="375">
        <f t="shared" si="43"/>
        <v>0</v>
      </c>
      <c r="N49" s="1804">
        <v>0</v>
      </c>
      <c r="O49" s="208">
        <v>0</v>
      </c>
      <c r="P49" s="208">
        <v>0</v>
      </c>
      <c r="Q49" s="208"/>
      <c r="R49" s="208">
        <v>0</v>
      </c>
      <c r="S49" s="208">
        <v>0</v>
      </c>
      <c r="T49" s="208">
        <v>0</v>
      </c>
      <c r="U49" s="208"/>
      <c r="V49" s="208">
        <v>0</v>
      </c>
      <c r="W49" s="375">
        <f>IF(AND(ISNUMBER(R49),ISNUMBER(S49),ISNUMBER(V49)),SUM(R49,S49,V49),"")</f>
        <v>0</v>
      </c>
      <c r="X49" s="208">
        <v>0</v>
      </c>
      <c r="Y49" s="208">
        <v>0</v>
      </c>
      <c r="Z49" s="208">
        <v>0</v>
      </c>
      <c r="AA49" s="139">
        <f t="shared" si="44"/>
        <v>0</v>
      </c>
      <c r="AB49" s="614" t="str">
        <f t="shared" si="8"/>
        <v/>
      </c>
      <c r="AC49" s="359" t="str">
        <f>IF(ISNUMBER(AB49),IF(AND(AB49&gt;=(Parameters!F302*0.95), AB49&lt;=(Parameters!F302*1.05)), "Pass", "Fail (RW≠" &amp; Parameters!F302*100 &amp; "%)"),"")</f>
        <v/>
      </c>
      <c r="AD49" s="208"/>
      <c r="AE49" s="208"/>
      <c r="AF49" s="208"/>
      <c r="AG49" s="138"/>
      <c r="AH49" s="138"/>
      <c r="AI49" s="1845" t="str">
        <f t="shared" si="45"/>
        <v/>
      </c>
      <c r="AJ49" s="208"/>
      <c r="AK49" s="138"/>
      <c r="AL49" s="1513"/>
    </row>
    <row r="50" spans="1:38" ht="15" customHeight="1" x14ac:dyDescent="0.35">
      <c r="B50" s="408" t="s">
        <v>777</v>
      </c>
      <c r="C50" s="691"/>
      <c r="D50" s="691"/>
      <c r="E50" s="691"/>
      <c r="F50" s="691"/>
      <c r="G50" s="691"/>
      <c r="H50" s="691"/>
      <c r="I50" s="375" t="str">
        <f>IF(AND(ISNUMBER(D50),ISNUMBER(E50),ISNUMBER(H50)),SUM(D50,E50,H50),"")</f>
        <v/>
      </c>
      <c r="J50" s="691"/>
      <c r="K50" s="691"/>
      <c r="L50" s="691"/>
      <c r="M50" s="375" t="str">
        <f t="shared" si="43"/>
        <v/>
      </c>
      <c r="N50" s="1804">
        <v>0</v>
      </c>
      <c r="O50" s="208">
        <v>0</v>
      </c>
      <c r="P50" s="208">
        <v>0</v>
      </c>
      <c r="Q50" s="691"/>
      <c r="R50" s="691">
        <v>0</v>
      </c>
      <c r="S50" s="691">
        <v>0</v>
      </c>
      <c r="T50" s="691">
        <v>0</v>
      </c>
      <c r="U50" s="691"/>
      <c r="V50" s="691">
        <v>0</v>
      </c>
      <c r="W50" s="375">
        <f>IF(AND(ISNUMBER(R50),ISNUMBER(S50),ISNUMBER(V50)),SUM(R50,S50,V50),"")</f>
        <v>0</v>
      </c>
      <c r="X50" s="691">
        <v>0</v>
      </c>
      <c r="Y50" s="691">
        <v>0</v>
      </c>
      <c r="Z50" s="691">
        <v>0</v>
      </c>
      <c r="AA50" s="139">
        <f t="shared" si="44"/>
        <v>0</v>
      </c>
      <c r="AB50" s="614" t="str">
        <f t="shared" si="8"/>
        <v/>
      </c>
      <c r="AC50" s="621"/>
      <c r="AD50" s="691"/>
      <c r="AE50" s="691"/>
      <c r="AF50" s="691"/>
      <c r="AG50" s="691"/>
      <c r="AH50" s="690"/>
      <c r="AI50" s="1527"/>
      <c r="AJ50" s="286"/>
      <c r="AK50" s="285"/>
      <c r="AL50" s="1513"/>
    </row>
    <row r="51" spans="1:38" ht="15" customHeight="1" x14ac:dyDescent="0.35">
      <c r="A51" s="542"/>
      <c r="B51" s="185" t="s">
        <v>780</v>
      </c>
      <c r="C51" s="375" t="str">
        <f t="shared" ref="C51:I51" si="46">IF(AND(ISNUMBER(C52),ISNUMBER(C58)), SUM(C52,C58),"")</f>
        <v/>
      </c>
      <c r="D51" s="375">
        <f t="shared" si="46"/>
        <v>0</v>
      </c>
      <c r="E51" s="375">
        <f t="shared" si="46"/>
        <v>0</v>
      </c>
      <c r="F51" s="375">
        <f t="shared" si="46"/>
        <v>0</v>
      </c>
      <c r="G51" s="375" t="str">
        <f t="shared" si="46"/>
        <v/>
      </c>
      <c r="H51" s="375">
        <f t="shared" si="46"/>
        <v>0</v>
      </c>
      <c r="I51" s="375">
        <f t="shared" si="46"/>
        <v>0</v>
      </c>
      <c r="J51" s="375">
        <f t="shared" ref="J51:K51" si="47">IF(AND(ISNUMBER(J52),ISNUMBER(J58)), SUM(J52,J58),"")</f>
        <v>0</v>
      </c>
      <c r="K51" s="375">
        <f t="shared" si="47"/>
        <v>0</v>
      </c>
      <c r="L51" s="375">
        <f t="shared" ref="L51" si="48">IF(AND(ISNUMBER(L52),ISNUMBER(L58)), SUM(L52,L58),"")</f>
        <v>0</v>
      </c>
      <c r="M51" s="375">
        <f>IF(AND(ISNUMBER(M52),ISNUMBER(M58)), SUM(M52,M58),"")</f>
        <v>0</v>
      </c>
      <c r="N51" s="375">
        <f>IF(AND(ISNUMBER(N52),ISNUMBER(N58)), SUM(N52,N58),"")</f>
        <v>0</v>
      </c>
      <c r="O51" s="705">
        <v>0</v>
      </c>
      <c r="P51" s="705">
        <v>0</v>
      </c>
      <c r="Q51" s="375" t="str">
        <f t="shared" ref="Q51:W51" si="49">IF(AND(ISNUMBER(Q52),ISNUMBER(Q58)), SUM(Q52,Q58),"")</f>
        <v/>
      </c>
      <c r="R51" s="375">
        <f t="shared" si="49"/>
        <v>0</v>
      </c>
      <c r="S51" s="375">
        <f t="shared" si="49"/>
        <v>0</v>
      </c>
      <c r="T51" s="375">
        <f t="shared" si="49"/>
        <v>0</v>
      </c>
      <c r="U51" s="375" t="str">
        <f t="shared" si="49"/>
        <v/>
      </c>
      <c r="V51" s="375">
        <f t="shared" si="49"/>
        <v>0</v>
      </c>
      <c r="W51" s="375">
        <f t="shared" si="49"/>
        <v>0</v>
      </c>
      <c r="X51" s="375">
        <f>IF(AND(ISNUMBER(X52),ISNUMBER(X58)), SUM(X52,X58),"")</f>
        <v>0</v>
      </c>
      <c r="Y51" s="375">
        <f>IF(AND(ISNUMBER(Y52),ISNUMBER(Y58)), SUM(Y52,Y58),"")</f>
        <v>0</v>
      </c>
      <c r="Z51" s="375">
        <f>IF(AND(ISNUMBER(Z52),ISNUMBER(Z58)), SUM(Z52,Z58),"")</f>
        <v>0</v>
      </c>
      <c r="AA51" s="139">
        <f>IF(AND(ISNUMBER(AA52),ISNUMBER(AA58)), SUM(AA52,AA58),"")</f>
        <v>0</v>
      </c>
      <c r="AB51" s="614" t="str">
        <f t="shared" si="8"/>
        <v/>
      </c>
      <c r="AC51" s="621"/>
      <c r="AD51" s="375" t="str">
        <f t="shared" ref="AD51" si="50">IF(AND(ISNUMBER(AD52),ISNUMBER(AD58)), SUM(AD52,AD58),"")</f>
        <v/>
      </c>
      <c r="AE51" s="375" t="str">
        <f>IF(AND(ISNUMBER(AE52),ISNUMBER(AE58)), SUM(AE52,AE58),"")</f>
        <v/>
      </c>
      <c r="AF51" s="375" t="str">
        <f t="shared" ref="AF51:AK51" si="51">IF(AND(ISNUMBER(AF52),ISNUMBER(AF58)), SUM(AF52,AF58),"")</f>
        <v/>
      </c>
      <c r="AG51" s="375" t="str">
        <f t="shared" si="51"/>
        <v/>
      </c>
      <c r="AH51" s="139" t="str">
        <f t="shared" si="51"/>
        <v/>
      </c>
      <c r="AI51" s="1845" t="str">
        <f t="shared" si="51"/>
        <v/>
      </c>
      <c r="AJ51" s="1846" t="str">
        <f t="shared" si="51"/>
        <v/>
      </c>
      <c r="AK51" s="1847" t="str">
        <f t="shared" si="51"/>
        <v/>
      </c>
      <c r="AL51" s="1513"/>
    </row>
    <row r="52" spans="1:38" ht="15" customHeight="1" x14ac:dyDescent="0.35">
      <c r="B52" s="164" t="s">
        <v>781</v>
      </c>
      <c r="C52" s="375" t="str">
        <f t="shared" ref="C52:N52" si="52">IF($D$6="No",0,IF(AND(ISNUMBER(C53),ISNUMBER(C54),ISNUMBER(C55),ISNUMBER(C56),ISNUMBER(C57)),SUM(C53:C57),""))</f>
        <v/>
      </c>
      <c r="D52" s="375">
        <f t="shared" si="52"/>
        <v>0</v>
      </c>
      <c r="E52" s="375">
        <f t="shared" si="52"/>
        <v>0</v>
      </c>
      <c r="F52" s="375">
        <f t="shared" si="52"/>
        <v>0</v>
      </c>
      <c r="G52" s="375" t="str">
        <f t="shared" si="52"/>
        <v/>
      </c>
      <c r="H52" s="375">
        <f t="shared" si="52"/>
        <v>0</v>
      </c>
      <c r="I52" s="375">
        <f t="shared" si="52"/>
        <v>0</v>
      </c>
      <c r="J52" s="375">
        <f t="shared" si="52"/>
        <v>0</v>
      </c>
      <c r="K52" s="375">
        <f t="shared" si="52"/>
        <v>0</v>
      </c>
      <c r="L52" s="375">
        <f t="shared" si="52"/>
        <v>0</v>
      </c>
      <c r="M52" s="375">
        <f t="shared" si="52"/>
        <v>0</v>
      </c>
      <c r="N52" s="375">
        <f t="shared" si="52"/>
        <v>0</v>
      </c>
      <c r="O52" s="208">
        <v>0</v>
      </c>
      <c r="P52" s="208">
        <v>0</v>
      </c>
      <c r="Q52" s="375" t="str">
        <f t="shared" ref="Q52:AA52" si="53">IF($D$6="No",0,IF(AND(ISNUMBER(Q53),ISNUMBER(Q54),ISNUMBER(Q55),ISNUMBER(Q56),ISNUMBER(Q57)),SUM(Q53:Q57),""))</f>
        <v/>
      </c>
      <c r="R52" s="375">
        <f t="shared" si="53"/>
        <v>0</v>
      </c>
      <c r="S52" s="375">
        <f t="shared" si="53"/>
        <v>0</v>
      </c>
      <c r="T52" s="375">
        <f t="shared" si="53"/>
        <v>0</v>
      </c>
      <c r="U52" s="375" t="str">
        <f t="shared" si="53"/>
        <v/>
      </c>
      <c r="V52" s="375">
        <f t="shared" si="53"/>
        <v>0</v>
      </c>
      <c r="W52" s="375">
        <f t="shared" si="53"/>
        <v>0</v>
      </c>
      <c r="X52" s="375">
        <f t="shared" si="53"/>
        <v>0</v>
      </c>
      <c r="Y52" s="375">
        <f t="shared" si="53"/>
        <v>0</v>
      </c>
      <c r="Z52" s="375">
        <f t="shared" si="53"/>
        <v>0</v>
      </c>
      <c r="AA52" s="139">
        <f t="shared" si="53"/>
        <v>0</v>
      </c>
      <c r="AB52" s="614" t="str">
        <f t="shared" si="8"/>
        <v/>
      </c>
      <c r="AC52" s="319"/>
      <c r="AD52" s="375" t="str">
        <f t="shared" ref="AD52:AK52" si="54">IF($D$6="No",0,IF(AND(ISNUMBER(AD53),ISNUMBER(AD54),ISNUMBER(AD55),ISNUMBER(AD56),ISNUMBER(AD57)),SUM(AD53:AD57),""))</f>
        <v/>
      </c>
      <c r="AE52" s="375" t="str">
        <f t="shared" si="54"/>
        <v/>
      </c>
      <c r="AF52" s="375" t="str">
        <f t="shared" si="54"/>
        <v/>
      </c>
      <c r="AG52" s="375" t="str">
        <f t="shared" si="54"/>
        <v/>
      </c>
      <c r="AH52" s="139" t="str">
        <f t="shared" si="54"/>
        <v/>
      </c>
      <c r="AI52" s="1845" t="str">
        <f t="shared" si="54"/>
        <v/>
      </c>
      <c r="AJ52" s="1846" t="str">
        <f t="shared" si="54"/>
        <v/>
      </c>
      <c r="AK52" s="1847" t="str">
        <f t="shared" si="54"/>
        <v/>
      </c>
      <c r="AL52" s="1513"/>
    </row>
    <row r="53" spans="1:38" ht="15" customHeight="1" x14ac:dyDescent="0.35">
      <c r="B53" s="407" t="s">
        <v>765</v>
      </c>
      <c r="C53" s="299"/>
      <c r="D53" s="208">
        <v>0</v>
      </c>
      <c r="E53" s="208">
        <v>0</v>
      </c>
      <c r="F53" s="208">
        <v>0</v>
      </c>
      <c r="G53" s="208"/>
      <c r="H53" s="208">
        <v>0</v>
      </c>
      <c r="I53" s="375">
        <f>IF(AND(ISNUMBER(D53),ISNUMBER(E53),ISNUMBER(H53)),SUM(D53,E53,H53),"")</f>
        <v>0</v>
      </c>
      <c r="J53" s="208">
        <v>0</v>
      </c>
      <c r="K53" s="208">
        <v>0</v>
      </c>
      <c r="L53" s="208">
        <v>0</v>
      </c>
      <c r="M53" s="375">
        <f t="shared" ref="M53:M57" si="55">IF(AND(ISNUMBER(J53),ISNUMBER(K53),ISNUMBER(L53)),SUM(J53:L53), "")</f>
        <v>0</v>
      </c>
      <c r="N53" s="1804">
        <v>0</v>
      </c>
      <c r="O53" s="208">
        <v>0</v>
      </c>
      <c r="P53" s="208">
        <v>0</v>
      </c>
      <c r="Q53" s="208"/>
      <c r="R53" s="208">
        <v>0</v>
      </c>
      <c r="S53" s="208">
        <v>0</v>
      </c>
      <c r="T53" s="208">
        <v>0</v>
      </c>
      <c r="U53" s="208"/>
      <c r="V53" s="208">
        <v>0</v>
      </c>
      <c r="W53" s="375">
        <f>IF(AND(ISNUMBER(R53),ISNUMBER(S53),ISNUMBER(V53)),SUM(R53,S53,V53),"")</f>
        <v>0</v>
      </c>
      <c r="X53" s="208">
        <v>0</v>
      </c>
      <c r="Y53" s="208">
        <v>0</v>
      </c>
      <c r="Z53" s="208">
        <v>0</v>
      </c>
      <c r="AA53" s="139">
        <f t="shared" ref="AA53:AA57" si="56">IF(AND(ISNUMBER(X53),ISNUMBER(Y53),ISNUMBER(Z53)),SUM(X53:Z53), "")</f>
        <v>0</v>
      </c>
      <c r="AB53" s="614" t="str">
        <f t="shared" si="8"/>
        <v/>
      </c>
      <c r="AC53" s="359" t="str">
        <f>IF(ISNUMBER(AB53),IF(AND(AB53&gt;=(Parameters!F305*0.95), AB53&lt;=(Parameters!F305*1.05)), "Pass", "Fail (RW≠" &amp; Parameters!F305*100 &amp; "%)"),"")</f>
        <v/>
      </c>
      <c r="AD53" s="208"/>
      <c r="AE53" s="208"/>
      <c r="AF53" s="208"/>
      <c r="AG53" s="138"/>
      <c r="AH53" s="138"/>
      <c r="AI53" s="1845" t="str">
        <f t="shared" ref="AI53:AI57" si="57">IF(AND(ISNUMBER(AF53),ISNUMBER(AG53),ISNUMBER(AJ53)),AF53-AG53+AJ53,"")</f>
        <v/>
      </c>
      <c r="AJ53" s="208"/>
      <c r="AK53" s="138"/>
      <c r="AL53" s="1513"/>
    </row>
    <row r="54" spans="1:38" ht="15" customHeight="1" x14ac:dyDescent="0.35">
      <c r="B54" s="407" t="s">
        <v>766</v>
      </c>
      <c r="C54" s="299"/>
      <c r="D54" s="208">
        <v>0</v>
      </c>
      <c r="E54" s="208">
        <v>0</v>
      </c>
      <c r="F54" s="208">
        <v>0</v>
      </c>
      <c r="G54" s="208"/>
      <c r="H54" s="208">
        <v>0</v>
      </c>
      <c r="I54" s="375">
        <f>IF(AND(ISNUMBER(D54),ISNUMBER(E54),ISNUMBER(H54)),SUM(D54,E54,H54),"")</f>
        <v>0</v>
      </c>
      <c r="J54" s="208">
        <v>0</v>
      </c>
      <c r="K54" s="208">
        <v>0</v>
      </c>
      <c r="L54" s="208">
        <v>0</v>
      </c>
      <c r="M54" s="375">
        <f t="shared" si="55"/>
        <v>0</v>
      </c>
      <c r="N54" s="1804">
        <v>0</v>
      </c>
      <c r="O54" s="208">
        <v>0</v>
      </c>
      <c r="P54" s="208">
        <v>0</v>
      </c>
      <c r="Q54" s="208"/>
      <c r="R54" s="208">
        <v>0</v>
      </c>
      <c r="S54" s="208">
        <v>0</v>
      </c>
      <c r="T54" s="208">
        <v>0</v>
      </c>
      <c r="U54" s="208"/>
      <c r="V54" s="208">
        <v>0</v>
      </c>
      <c r="W54" s="375">
        <f>IF(AND(ISNUMBER(R54),ISNUMBER(S54),ISNUMBER(V54)),SUM(R54,S54,V54),"")</f>
        <v>0</v>
      </c>
      <c r="X54" s="208">
        <v>0</v>
      </c>
      <c r="Y54" s="208">
        <v>0</v>
      </c>
      <c r="Z54" s="208">
        <v>0</v>
      </c>
      <c r="AA54" s="139">
        <f t="shared" si="56"/>
        <v>0</v>
      </c>
      <c r="AB54" s="614" t="str">
        <f t="shared" si="8"/>
        <v/>
      </c>
      <c r="AC54" s="359" t="str">
        <f>IF(ISNUMBER(AB54),IF(AND(AB54&gt;=(Parameters!F306*0.95), AB54&lt;=(Parameters!F306*1.05)), "Pass", "Fail (RW≠" &amp; Parameters!F306*100 &amp; "%)"),"")</f>
        <v/>
      </c>
      <c r="AD54" s="208"/>
      <c r="AE54" s="208"/>
      <c r="AF54" s="208"/>
      <c r="AG54" s="138"/>
      <c r="AH54" s="138"/>
      <c r="AI54" s="1845" t="str">
        <f t="shared" si="57"/>
        <v/>
      </c>
      <c r="AJ54" s="208"/>
      <c r="AK54" s="138"/>
      <c r="AL54" s="1513"/>
    </row>
    <row r="55" spans="1:38" ht="15" customHeight="1" x14ac:dyDescent="0.35">
      <c r="B55" s="407" t="s">
        <v>767</v>
      </c>
      <c r="C55" s="299"/>
      <c r="D55" s="208">
        <v>0</v>
      </c>
      <c r="E55" s="208">
        <v>0</v>
      </c>
      <c r="F55" s="208">
        <v>0</v>
      </c>
      <c r="G55" s="208"/>
      <c r="H55" s="208">
        <v>0</v>
      </c>
      <c r="I55" s="375">
        <f>IF(AND(ISNUMBER(D55),ISNUMBER(E55),ISNUMBER(H55)),SUM(D55,E55,H55),"")</f>
        <v>0</v>
      </c>
      <c r="J55" s="208">
        <v>0</v>
      </c>
      <c r="K55" s="208">
        <v>0</v>
      </c>
      <c r="L55" s="208">
        <v>0</v>
      </c>
      <c r="M55" s="375">
        <f t="shared" si="55"/>
        <v>0</v>
      </c>
      <c r="N55" s="1804">
        <v>0</v>
      </c>
      <c r="O55" s="208">
        <v>0</v>
      </c>
      <c r="P55" s="208">
        <v>0</v>
      </c>
      <c r="Q55" s="208"/>
      <c r="R55" s="208">
        <v>0</v>
      </c>
      <c r="S55" s="208">
        <v>0</v>
      </c>
      <c r="T55" s="208">
        <v>0</v>
      </c>
      <c r="U55" s="208"/>
      <c r="V55" s="208">
        <v>0</v>
      </c>
      <c r="W55" s="375">
        <f>IF(AND(ISNUMBER(R55),ISNUMBER(S55),ISNUMBER(V55)),SUM(R55,S55,V55),"")</f>
        <v>0</v>
      </c>
      <c r="X55" s="208">
        <v>0</v>
      </c>
      <c r="Y55" s="208">
        <v>0</v>
      </c>
      <c r="Z55" s="208">
        <v>0</v>
      </c>
      <c r="AA55" s="139">
        <f t="shared" si="56"/>
        <v>0</v>
      </c>
      <c r="AB55" s="614" t="str">
        <f t="shared" si="8"/>
        <v/>
      </c>
      <c r="AC55" s="359" t="str">
        <f>IF(ISNUMBER(AB55),IF(AND(AB55&gt;=(Parameters!F307*0.95), AB55&lt;=(Parameters!F307*1.05)), "Pass", "Fail (RW≠" &amp; Parameters!F307*100 &amp; "%)"),"")</f>
        <v/>
      </c>
      <c r="AD55" s="208"/>
      <c r="AE55" s="208"/>
      <c r="AF55" s="208"/>
      <c r="AG55" s="138"/>
      <c r="AH55" s="138"/>
      <c r="AI55" s="1845" t="str">
        <f t="shared" si="57"/>
        <v/>
      </c>
      <c r="AJ55" s="208"/>
      <c r="AK55" s="138"/>
      <c r="AL55" s="1513"/>
    </row>
    <row r="56" spans="1:38" ht="15" customHeight="1" x14ac:dyDescent="0.35">
      <c r="B56" s="407" t="s">
        <v>768</v>
      </c>
      <c r="C56" s="299"/>
      <c r="D56" s="208">
        <v>0</v>
      </c>
      <c r="E56" s="208">
        <v>0</v>
      </c>
      <c r="F56" s="208">
        <v>0</v>
      </c>
      <c r="G56" s="208"/>
      <c r="H56" s="208">
        <v>0</v>
      </c>
      <c r="I56" s="375">
        <f>IF(AND(ISNUMBER(D56),ISNUMBER(E56),ISNUMBER(H56)),SUM(D56,E56,H56),"")</f>
        <v>0</v>
      </c>
      <c r="J56" s="208">
        <v>0</v>
      </c>
      <c r="K56" s="208">
        <v>0</v>
      </c>
      <c r="L56" s="208">
        <v>0</v>
      </c>
      <c r="M56" s="375">
        <f t="shared" si="55"/>
        <v>0</v>
      </c>
      <c r="N56" s="1804">
        <v>0</v>
      </c>
      <c r="O56" s="208">
        <v>0</v>
      </c>
      <c r="P56" s="208">
        <v>0</v>
      </c>
      <c r="Q56" s="208"/>
      <c r="R56" s="208">
        <v>0</v>
      </c>
      <c r="S56" s="208">
        <v>0</v>
      </c>
      <c r="T56" s="208">
        <v>0</v>
      </c>
      <c r="U56" s="208"/>
      <c r="V56" s="208">
        <v>0</v>
      </c>
      <c r="W56" s="375">
        <f>IF(AND(ISNUMBER(R56),ISNUMBER(S56),ISNUMBER(V56)),SUM(R56,S56,V56),"")</f>
        <v>0</v>
      </c>
      <c r="X56" s="208">
        <v>0</v>
      </c>
      <c r="Y56" s="208">
        <v>0</v>
      </c>
      <c r="Z56" s="208">
        <v>0</v>
      </c>
      <c r="AA56" s="139">
        <f t="shared" si="56"/>
        <v>0</v>
      </c>
      <c r="AB56" s="614" t="str">
        <f t="shared" si="8"/>
        <v/>
      </c>
      <c r="AC56" s="359" t="str">
        <f>IF(ISNUMBER(AB56),IF(AND(AB56&gt;=(Parameters!F308*0.95), AB56&lt;=(Parameters!F308*1.05)), "Pass", "Fail (RW≠" &amp; Parameters!F308*100 &amp; "%)"),"")</f>
        <v/>
      </c>
      <c r="AD56" s="208"/>
      <c r="AE56" s="208"/>
      <c r="AF56" s="208"/>
      <c r="AG56" s="138"/>
      <c r="AH56" s="138"/>
      <c r="AI56" s="1845" t="str">
        <f t="shared" si="57"/>
        <v/>
      </c>
      <c r="AJ56" s="208"/>
      <c r="AK56" s="138"/>
      <c r="AL56" s="1513"/>
    </row>
    <row r="57" spans="1:38" ht="15" customHeight="1" x14ac:dyDescent="0.35">
      <c r="B57" s="407" t="s">
        <v>769</v>
      </c>
      <c r="C57" s="299"/>
      <c r="D57" s="208">
        <v>0</v>
      </c>
      <c r="E57" s="208">
        <v>0</v>
      </c>
      <c r="F57" s="208">
        <v>0</v>
      </c>
      <c r="G57" s="208"/>
      <c r="H57" s="208">
        <v>0</v>
      </c>
      <c r="I57" s="375">
        <f>IF(AND(ISNUMBER(D57),ISNUMBER(E57),ISNUMBER(H57)),SUM(D57,E57,H57),"")</f>
        <v>0</v>
      </c>
      <c r="J57" s="208">
        <v>0</v>
      </c>
      <c r="K57" s="208">
        <v>0</v>
      </c>
      <c r="L57" s="208">
        <v>0</v>
      </c>
      <c r="M57" s="375">
        <f t="shared" si="55"/>
        <v>0</v>
      </c>
      <c r="N57" s="1804">
        <v>0</v>
      </c>
      <c r="O57" s="208">
        <v>0</v>
      </c>
      <c r="P57" s="208">
        <v>0</v>
      </c>
      <c r="Q57" s="208"/>
      <c r="R57" s="208">
        <v>0</v>
      </c>
      <c r="S57" s="208">
        <v>0</v>
      </c>
      <c r="T57" s="208">
        <v>0</v>
      </c>
      <c r="U57" s="208"/>
      <c r="V57" s="208">
        <v>0</v>
      </c>
      <c r="W57" s="375">
        <f>IF(AND(ISNUMBER(R57),ISNUMBER(S57),ISNUMBER(V57)),SUM(R57,S57,V57),"")</f>
        <v>0</v>
      </c>
      <c r="X57" s="208">
        <v>0</v>
      </c>
      <c r="Y57" s="208">
        <v>0</v>
      </c>
      <c r="Z57" s="208">
        <v>0</v>
      </c>
      <c r="AA57" s="139">
        <f t="shared" si="56"/>
        <v>0</v>
      </c>
      <c r="AB57" s="614" t="str">
        <f t="shared" si="8"/>
        <v/>
      </c>
      <c r="AC57" s="359" t="str">
        <f>IF(ISNUMBER(AB57),IF(AND(AB57&gt;=(Parameters!F309*0.95), AB57&lt;=(Parameters!F309*1.05)), "Pass", "Fail (RW≠" &amp; Parameters!F309*100 &amp; "%)"),"")</f>
        <v/>
      </c>
      <c r="AD57" s="208"/>
      <c r="AE57" s="208"/>
      <c r="AF57" s="208"/>
      <c r="AG57" s="138"/>
      <c r="AH57" s="138"/>
      <c r="AI57" s="1845" t="str">
        <f t="shared" si="57"/>
        <v/>
      </c>
      <c r="AJ57" s="208"/>
      <c r="AK57" s="138"/>
      <c r="AL57" s="1513"/>
    </row>
    <row r="58" spans="1:38" ht="15" customHeight="1" x14ac:dyDescent="0.35">
      <c r="B58" s="164" t="s">
        <v>782</v>
      </c>
      <c r="C58" s="375" t="str">
        <f t="shared" ref="C58:D58" si="58">IF(AND(ISNUMBER(C59),ISNUMBER(C60),ISNUMBER(C61),ISNUMBER(C62),ISNUMBER(C63),ISNUMBER(C64),ISNUMBER(C65)),SUM(C59:C65),"")</f>
        <v/>
      </c>
      <c r="D58" s="375">
        <f t="shared" si="58"/>
        <v>0</v>
      </c>
      <c r="E58" s="375">
        <f t="shared" ref="E58:I58" si="59">IF(AND(ISNUMBER(E59),ISNUMBER(E60),ISNUMBER(E61),ISNUMBER(E62),ISNUMBER(E63),ISNUMBER(E64),ISNUMBER(E65)),SUM(E59:E65),"")</f>
        <v>0</v>
      </c>
      <c r="F58" s="375">
        <f t="shared" si="59"/>
        <v>0</v>
      </c>
      <c r="G58" s="375" t="str">
        <f t="shared" si="59"/>
        <v/>
      </c>
      <c r="H58" s="375">
        <f t="shared" si="59"/>
        <v>0</v>
      </c>
      <c r="I58" s="375">
        <f t="shared" si="59"/>
        <v>0</v>
      </c>
      <c r="J58" s="375">
        <f t="shared" ref="J58:K58" si="60">IF(AND(ISNUMBER(J59),ISNUMBER(J60),ISNUMBER(J61),ISNUMBER(J62),ISNUMBER(J63),ISNUMBER(J64),ISNUMBER(J65)),SUM(J59:J65),"")</f>
        <v>0</v>
      </c>
      <c r="K58" s="375">
        <f t="shared" si="60"/>
        <v>0</v>
      </c>
      <c r="L58" s="375">
        <f t="shared" ref="L58" si="61">IF(AND(ISNUMBER(L59),ISNUMBER(L60),ISNUMBER(L61),ISNUMBER(L62),ISNUMBER(L63),ISNUMBER(L64),ISNUMBER(L65)),SUM(L59:L65),"")</f>
        <v>0</v>
      </c>
      <c r="M58" s="375">
        <f>IF(AND(ISNUMBER(M59),ISNUMBER(M60),ISNUMBER(M61),ISNUMBER(M62),ISNUMBER(M63),ISNUMBER(M64),ISNUMBER(M65)),SUM(M59:M65),"")</f>
        <v>0</v>
      </c>
      <c r="N58" s="375">
        <f>IF(AND(ISNUMBER(N59),ISNUMBER(N60),ISNUMBER(N61),ISNUMBER(N62),ISNUMBER(N63),ISNUMBER(N64),ISNUMBER(N65)),SUM(N59:N65),"")</f>
        <v>0</v>
      </c>
      <c r="O58" s="208">
        <v>0</v>
      </c>
      <c r="P58" s="208">
        <v>0</v>
      </c>
      <c r="Q58" s="375" t="str">
        <f t="shared" ref="Q58:W58" si="62">IF(AND(ISNUMBER(Q59),ISNUMBER(Q60),ISNUMBER(Q61),ISNUMBER(Q62),ISNUMBER(Q63),ISNUMBER(Q64),ISNUMBER(Q65)),SUM(Q59:Q65),"")</f>
        <v/>
      </c>
      <c r="R58" s="375">
        <f t="shared" si="62"/>
        <v>0</v>
      </c>
      <c r="S58" s="375">
        <f t="shared" si="62"/>
        <v>0</v>
      </c>
      <c r="T58" s="375">
        <f t="shared" si="62"/>
        <v>0</v>
      </c>
      <c r="U58" s="375" t="str">
        <f t="shared" si="62"/>
        <v/>
      </c>
      <c r="V58" s="375">
        <f t="shared" si="62"/>
        <v>0</v>
      </c>
      <c r="W58" s="375">
        <f t="shared" si="62"/>
        <v>0</v>
      </c>
      <c r="X58" s="375">
        <f>IF(AND(ISNUMBER(X59),ISNUMBER(X60),ISNUMBER(X61),ISNUMBER(X62),ISNUMBER(X63),ISNUMBER(X64),ISNUMBER(X65)),SUM(X59:X65),"")</f>
        <v>0</v>
      </c>
      <c r="Y58" s="375">
        <f>IF(AND(ISNUMBER(Y59),ISNUMBER(Y60),ISNUMBER(Y61),ISNUMBER(Y62),ISNUMBER(Y63),ISNUMBER(Y64),ISNUMBER(Y65)),SUM(Y59:Y65),"")</f>
        <v>0</v>
      </c>
      <c r="Z58" s="375">
        <f>IF(AND(ISNUMBER(Z59),ISNUMBER(Z60),ISNUMBER(Z61),ISNUMBER(Z62),ISNUMBER(Z63),ISNUMBER(Z64),ISNUMBER(Z65)),SUM(Z59:Z65),"")</f>
        <v>0</v>
      </c>
      <c r="AA58" s="139">
        <f>IF(AND(ISNUMBER(AA59),ISNUMBER(AA60),ISNUMBER(AA61),ISNUMBER(AA62),ISNUMBER(AA63),ISNUMBER(AA64),ISNUMBER(AA65)),SUM(AA59:AA65),"")</f>
        <v>0</v>
      </c>
      <c r="AB58" s="614" t="str">
        <f t="shared" si="8"/>
        <v/>
      </c>
      <c r="AC58" s="319"/>
      <c r="AD58" s="375" t="str">
        <f t="shared" ref="AD58" si="63">IF(AND(ISNUMBER(AD59),ISNUMBER(AD60),ISNUMBER(AD61),ISNUMBER(AD62),ISNUMBER(AD63),ISNUMBER(AD64),ISNUMBER(AD65)),SUM(AD59:AD65),"")</f>
        <v/>
      </c>
      <c r="AE58" s="375" t="str">
        <f>IF(AND(ISNUMBER(AE59),ISNUMBER(AE60),ISNUMBER(AE61),ISNUMBER(AE62),ISNUMBER(AE63),ISNUMBER(AE64),ISNUMBER(AE65)),SUM(AE59:AE65),"")</f>
        <v/>
      </c>
      <c r="AF58" s="375" t="str">
        <f t="shared" ref="AF58:AK58" si="64">IF(AND(ISNUMBER(AF59),ISNUMBER(AF60),ISNUMBER(AF61),ISNUMBER(AF62),ISNUMBER(AF63),ISNUMBER(AF64),ISNUMBER(AF65)),SUM(AF59:AF65),"")</f>
        <v/>
      </c>
      <c r="AG58" s="375" t="str">
        <f t="shared" si="64"/>
        <v/>
      </c>
      <c r="AH58" s="139" t="str">
        <f t="shared" si="64"/>
        <v/>
      </c>
      <c r="AI58" s="1845" t="str">
        <f t="shared" si="64"/>
        <v/>
      </c>
      <c r="AJ58" s="1846" t="str">
        <f t="shared" si="64"/>
        <v/>
      </c>
      <c r="AK58" s="1847" t="str">
        <f t="shared" si="64"/>
        <v/>
      </c>
      <c r="AL58" s="1513"/>
    </row>
    <row r="59" spans="1:38" ht="15" customHeight="1" x14ac:dyDescent="0.35">
      <c r="B59" s="407" t="s">
        <v>783</v>
      </c>
      <c r="C59" s="299"/>
      <c r="D59" s="208">
        <v>0</v>
      </c>
      <c r="E59" s="208">
        <v>0</v>
      </c>
      <c r="F59" s="208">
        <v>0</v>
      </c>
      <c r="G59" s="208"/>
      <c r="H59" s="208">
        <v>0</v>
      </c>
      <c r="I59" s="375">
        <f t="shared" ref="I59:I65" si="65">IF(AND(ISNUMBER(D59),ISNUMBER(E59),ISNUMBER(H59)),SUM(D59,E59,H59),"")</f>
        <v>0</v>
      </c>
      <c r="J59" s="208">
        <v>0</v>
      </c>
      <c r="K59" s="208">
        <v>0</v>
      </c>
      <c r="L59" s="208">
        <v>0</v>
      </c>
      <c r="M59" s="375">
        <f t="shared" ref="M59:M65" si="66">IF(AND(ISNUMBER(J59),ISNUMBER(K59),ISNUMBER(L59)),SUM(J59:L59), "")</f>
        <v>0</v>
      </c>
      <c r="N59" s="1804">
        <v>0</v>
      </c>
      <c r="O59" s="208">
        <v>0</v>
      </c>
      <c r="P59" s="208">
        <v>0</v>
      </c>
      <c r="Q59" s="208"/>
      <c r="R59" s="208">
        <v>0</v>
      </c>
      <c r="S59" s="208">
        <v>0</v>
      </c>
      <c r="T59" s="208">
        <v>0</v>
      </c>
      <c r="U59" s="208"/>
      <c r="V59" s="208">
        <v>0</v>
      </c>
      <c r="W59" s="375">
        <f t="shared" ref="W59:W65" si="67">IF(AND(ISNUMBER(R59),ISNUMBER(S59),ISNUMBER(V59)),SUM(R59,S59,V59),"")</f>
        <v>0</v>
      </c>
      <c r="X59" s="208">
        <v>0</v>
      </c>
      <c r="Y59" s="208">
        <v>0</v>
      </c>
      <c r="Z59" s="208">
        <v>0</v>
      </c>
      <c r="AA59" s="139">
        <f t="shared" ref="AA59:AA65" si="68">IF(AND(ISNUMBER(X59),ISNUMBER(Y59),ISNUMBER(Z59)),SUM(X59:Z59), "")</f>
        <v>0</v>
      </c>
      <c r="AB59" s="614" t="str">
        <f t="shared" si="8"/>
        <v/>
      </c>
      <c r="AC59" s="359" t="str">
        <f>IF(ISNUMBER(AB59),IF(AND(AB59&gt;=(Parameters!F311*0.95), AB59&lt;=(Parameters!F311*1.05)), "Pass", "Fail (RW≠" &amp; Parameters!F311*100 &amp; "%)"),"")</f>
        <v/>
      </c>
      <c r="AD59" s="208"/>
      <c r="AE59" s="208"/>
      <c r="AF59" s="208"/>
      <c r="AG59" s="138"/>
      <c r="AH59" s="138"/>
      <c r="AI59" s="1845" t="str">
        <f t="shared" ref="AI59:AI65" si="69">IF(AND(ISNUMBER(AF59),ISNUMBER(AG59),ISNUMBER(AJ59)),AF59-AG59+AJ59,"")</f>
        <v/>
      </c>
      <c r="AJ59" s="208"/>
      <c r="AK59" s="138"/>
      <c r="AL59" s="1513"/>
    </row>
    <row r="60" spans="1:38" ht="15" customHeight="1" x14ac:dyDescent="0.35">
      <c r="B60" s="407" t="s">
        <v>784</v>
      </c>
      <c r="C60" s="299"/>
      <c r="D60" s="208">
        <v>0</v>
      </c>
      <c r="E60" s="208">
        <v>0</v>
      </c>
      <c r="F60" s="208">
        <v>0</v>
      </c>
      <c r="G60" s="208"/>
      <c r="H60" s="208">
        <v>0</v>
      </c>
      <c r="I60" s="375">
        <f t="shared" si="65"/>
        <v>0</v>
      </c>
      <c r="J60" s="208">
        <v>0</v>
      </c>
      <c r="K60" s="208">
        <v>0</v>
      </c>
      <c r="L60" s="208">
        <v>0</v>
      </c>
      <c r="M60" s="375">
        <f t="shared" si="66"/>
        <v>0</v>
      </c>
      <c r="N60" s="1804">
        <v>0</v>
      </c>
      <c r="O60" s="208">
        <v>0</v>
      </c>
      <c r="P60" s="208">
        <v>0</v>
      </c>
      <c r="Q60" s="208"/>
      <c r="R60" s="208">
        <v>0</v>
      </c>
      <c r="S60" s="208">
        <v>0</v>
      </c>
      <c r="T60" s="208">
        <v>0</v>
      </c>
      <c r="U60" s="208"/>
      <c r="V60" s="208">
        <v>0</v>
      </c>
      <c r="W60" s="375">
        <f t="shared" si="67"/>
        <v>0</v>
      </c>
      <c r="X60" s="208">
        <v>0</v>
      </c>
      <c r="Y60" s="208">
        <v>0</v>
      </c>
      <c r="Z60" s="208">
        <v>0</v>
      </c>
      <c r="AA60" s="139">
        <f t="shared" si="68"/>
        <v>0</v>
      </c>
      <c r="AB60" s="614" t="str">
        <f t="shared" si="8"/>
        <v/>
      </c>
      <c r="AC60" s="359" t="str">
        <f>IF(ISNUMBER(AB60),IF(AND(AB60&gt;=(Parameters!F312*0.95), AB60&lt;=(Parameters!F312*1.05)), "Pass", "Fail (RW≠" &amp; Parameters!F312*100 &amp; "%)"),"")</f>
        <v/>
      </c>
      <c r="AD60" s="208"/>
      <c r="AE60" s="208"/>
      <c r="AF60" s="208"/>
      <c r="AG60" s="138"/>
      <c r="AH60" s="138"/>
      <c r="AI60" s="1845" t="str">
        <f t="shared" si="69"/>
        <v/>
      </c>
      <c r="AJ60" s="208"/>
      <c r="AK60" s="138"/>
      <c r="AL60" s="1513"/>
    </row>
    <row r="61" spans="1:38" ht="15" customHeight="1" x14ac:dyDescent="0.35">
      <c r="B61" s="407" t="s">
        <v>785</v>
      </c>
      <c r="C61" s="299"/>
      <c r="D61" s="208">
        <v>0</v>
      </c>
      <c r="E61" s="208">
        <v>0</v>
      </c>
      <c r="F61" s="208">
        <v>0</v>
      </c>
      <c r="G61" s="208"/>
      <c r="H61" s="208">
        <v>0</v>
      </c>
      <c r="I61" s="375">
        <f t="shared" si="65"/>
        <v>0</v>
      </c>
      <c r="J61" s="208">
        <v>0</v>
      </c>
      <c r="K61" s="208">
        <v>0</v>
      </c>
      <c r="L61" s="208">
        <v>0</v>
      </c>
      <c r="M61" s="375">
        <f t="shared" si="66"/>
        <v>0</v>
      </c>
      <c r="N61" s="1804">
        <v>0</v>
      </c>
      <c r="O61" s="208">
        <v>0</v>
      </c>
      <c r="P61" s="208">
        <v>0</v>
      </c>
      <c r="Q61" s="208"/>
      <c r="R61" s="208">
        <v>0</v>
      </c>
      <c r="S61" s="208">
        <v>0</v>
      </c>
      <c r="T61" s="208">
        <v>0</v>
      </c>
      <c r="U61" s="208"/>
      <c r="V61" s="208">
        <v>0</v>
      </c>
      <c r="W61" s="375">
        <f t="shared" si="67"/>
        <v>0</v>
      </c>
      <c r="X61" s="208">
        <v>0</v>
      </c>
      <c r="Y61" s="208">
        <v>0</v>
      </c>
      <c r="Z61" s="208">
        <v>0</v>
      </c>
      <c r="AA61" s="139">
        <f t="shared" si="68"/>
        <v>0</v>
      </c>
      <c r="AB61" s="614" t="str">
        <f t="shared" si="8"/>
        <v/>
      </c>
      <c r="AC61" s="359" t="str">
        <f>IF(ISNUMBER(AB61),IF(AND(AB61&gt;=(Parameters!F313*0.95), AB61&lt;=(Parameters!F313*1.05)), "Pass", "Fail (RW≠" &amp; Parameters!F313*100 &amp; "%)"),"")</f>
        <v/>
      </c>
      <c r="AD61" s="208"/>
      <c r="AE61" s="208"/>
      <c r="AF61" s="208"/>
      <c r="AG61" s="138"/>
      <c r="AH61" s="138"/>
      <c r="AI61" s="1845" t="str">
        <f t="shared" si="69"/>
        <v/>
      </c>
      <c r="AJ61" s="208"/>
      <c r="AK61" s="138"/>
      <c r="AL61" s="1513"/>
    </row>
    <row r="62" spans="1:38" ht="15" customHeight="1" x14ac:dyDescent="0.35">
      <c r="B62" s="407" t="s">
        <v>786</v>
      </c>
      <c r="C62" s="299"/>
      <c r="D62" s="208">
        <v>0</v>
      </c>
      <c r="E62" s="208">
        <v>0</v>
      </c>
      <c r="F62" s="208">
        <v>0</v>
      </c>
      <c r="G62" s="208"/>
      <c r="H62" s="208">
        <v>0</v>
      </c>
      <c r="I62" s="375">
        <f t="shared" si="65"/>
        <v>0</v>
      </c>
      <c r="J62" s="208">
        <v>0</v>
      </c>
      <c r="K62" s="208">
        <v>0</v>
      </c>
      <c r="L62" s="208">
        <v>0</v>
      </c>
      <c r="M62" s="375">
        <f t="shared" si="66"/>
        <v>0</v>
      </c>
      <c r="N62" s="1804">
        <v>0</v>
      </c>
      <c r="O62" s="208">
        <v>0</v>
      </c>
      <c r="P62" s="208">
        <v>0</v>
      </c>
      <c r="Q62" s="208"/>
      <c r="R62" s="208">
        <v>0</v>
      </c>
      <c r="S62" s="208">
        <v>0</v>
      </c>
      <c r="T62" s="208">
        <v>0</v>
      </c>
      <c r="U62" s="208"/>
      <c r="V62" s="208">
        <v>0</v>
      </c>
      <c r="W62" s="375">
        <f t="shared" si="67"/>
        <v>0</v>
      </c>
      <c r="X62" s="208">
        <v>0</v>
      </c>
      <c r="Y62" s="208">
        <v>0</v>
      </c>
      <c r="Z62" s="208">
        <v>0</v>
      </c>
      <c r="AA62" s="139">
        <f t="shared" si="68"/>
        <v>0</v>
      </c>
      <c r="AB62" s="614" t="str">
        <f t="shared" si="8"/>
        <v/>
      </c>
      <c r="AC62" s="359" t="str">
        <f>IF(ISNUMBER(AB62),IF(AND(AB62&gt;=(Parameters!F314*0.95), AB62&lt;=(Parameters!F314*1.05)), "Pass", "Fail (RW≠" &amp; Parameters!F314*100 &amp; "%)"),"")</f>
        <v/>
      </c>
      <c r="AD62" s="208"/>
      <c r="AE62" s="208"/>
      <c r="AF62" s="208"/>
      <c r="AG62" s="138"/>
      <c r="AH62" s="138"/>
      <c r="AI62" s="1845" t="str">
        <f t="shared" si="69"/>
        <v/>
      </c>
      <c r="AJ62" s="208"/>
      <c r="AK62" s="138"/>
      <c r="AL62" s="1513"/>
    </row>
    <row r="63" spans="1:38" ht="15" customHeight="1" x14ac:dyDescent="0.35">
      <c r="B63" s="407" t="s">
        <v>787</v>
      </c>
      <c r="C63" s="299"/>
      <c r="D63" s="208">
        <v>0</v>
      </c>
      <c r="E63" s="208">
        <v>0</v>
      </c>
      <c r="F63" s="208">
        <v>0</v>
      </c>
      <c r="G63" s="208"/>
      <c r="H63" s="208">
        <v>0</v>
      </c>
      <c r="I63" s="375">
        <f t="shared" si="65"/>
        <v>0</v>
      </c>
      <c r="J63" s="208">
        <v>0</v>
      </c>
      <c r="K63" s="208">
        <v>0</v>
      </c>
      <c r="L63" s="208">
        <v>0</v>
      </c>
      <c r="M63" s="375">
        <f t="shared" si="66"/>
        <v>0</v>
      </c>
      <c r="N63" s="1804">
        <v>0</v>
      </c>
      <c r="O63" s="208">
        <v>0</v>
      </c>
      <c r="P63" s="208">
        <v>0</v>
      </c>
      <c r="Q63" s="208"/>
      <c r="R63" s="208">
        <v>0</v>
      </c>
      <c r="S63" s="208">
        <v>0</v>
      </c>
      <c r="T63" s="208">
        <v>0</v>
      </c>
      <c r="U63" s="208"/>
      <c r="V63" s="208">
        <v>0</v>
      </c>
      <c r="W63" s="375">
        <f t="shared" si="67"/>
        <v>0</v>
      </c>
      <c r="X63" s="208">
        <v>0</v>
      </c>
      <c r="Y63" s="208">
        <v>0</v>
      </c>
      <c r="Z63" s="208">
        <v>0</v>
      </c>
      <c r="AA63" s="139">
        <f t="shared" si="68"/>
        <v>0</v>
      </c>
      <c r="AB63" s="614" t="str">
        <f t="shared" si="8"/>
        <v/>
      </c>
      <c r="AC63" s="359" t="str">
        <f>IF(ISNUMBER(AB63),IF(AND(AB63&gt;=(Parameters!F315*0.95), AB63&lt;=(Parameters!F315*1.05)), "Pass", "Fail (RW≠" &amp; Parameters!F315*100 &amp; "%)"),"")</f>
        <v/>
      </c>
      <c r="AD63" s="208"/>
      <c r="AE63" s="208"/>
      <c r="AF63" s="208"/>
      <c r="AG63" s="138"/>
      <c r="AH63" s="138"/>
      <c r="AI63" s="1845" t="str">
        <f t="shared" si="69"/>
        <v/>
      </c>
      <c r="AJ63" s="208"/>
      <c r="AK63" s="138"/>
      <c r="AL63" s="1513"/>
    </row>
    <row r="64" spans="1:38" ht="15" customHeight="1" x14ac:dyDescent="0.35">
      <c r="B64" s="407" t="s">
        <v>788</v>
      </c>
      <c r="C64" s="299"/>
      <c r="D64" s="208">
        <v>0</v>
      </c>
      <c r="E64" s="208">
        <v>0</v>
      </c>
      <c r="F64" s="208">
        <v>0</v>
      </c>
      <c r="G64" s="208"/>
      <c r="H64" s="208">
        <v>0</v>
      </c>
      <c r="I64" s="375">
        <f t="shared" si="65"/>
        <v>0</v>
      </c>
      <c r="J64" s="208">
        <v>0</v>
      </c>
      <c r="K64" s="208">
        <v>0</v>
      </c>
      <c r="L64" s="208">
        <v>0</v>
      </c>
      <c r="M64" s="375">
        <f t="shared" si="66"/>
        <v>0</v>
      </c>
      <c r="N64" s="1804">
        <v>0</v>
      </c>
      <c r="O64" s="208">
        <v>0</v>
      </c>
      <c r="P64" s="208">
        <v>0</v>
      </c>
      <c r="Q64" s="208"/>
      <c r="R64" s="208">
        <v>0</v>
      </c>
      <c r="S64" s="208">
        <v>0</v>
      </c>
      <c r="T64" s="208">
        <v>0</v>
      </c>
      <c r="U64" s="208"/>
      <c r="V64" s="208">
        <v>0</v>
      </c>
      <c r="W64" s="375">
        <f t="shared" si="67"/>
        <v>0</v>
      </c>
      <c r="X64" s="208">
        <v>0</v>
      </c>
      <c r="Y64" s="208">
        <v>0</v>
      </c>
      <c r="Z64" s="208">
        <v>0</v>
      </c>
      <c r="AA64" s="139">
        <f t="shared" si="68"/>
        <v>0</v>
      </c>
      <c r="AB64" s="614" t="str">
        <f t="shared" si="8"/>
        <v/>
      </c>
      <c r="AC64" s="359" t="str">
        <f>IF(ISNUMBER(AB64),IF(AND(AB64&gt;=(Parameters!F316*0.95), AB64&lt;=(Parameters!F316*1.05)), "Pass", "Fail (RW≠" &amp; Parameters!F316*100 &amp; "%)"),"")</f>
        <v/>
      </c>
      <c r="AD64" s="208"/>
      <c r="AE64" s="208"/>
      <c r="AF64" s="208"/>
      <c r="AG64" s="138"/>
      <c r="AH64" s="138"/>
      <c r="AI64" s="1845" t="str">
        <f t="shared" si="69"/>
        <v/>
      </c>
      <c r="AJ64" s="208"/>
      <c r="AK64" s="138"/>
      <c r="AL64" s="1513"/>
    </row>
    <row r="65" spans="2:38" ht="15" customHeight="1" x14ac:dyDescent="0.35">
      <c r="B65" s="407" t="s">
        <v>789</v>
      </c>
      <c r="C65" s="299"/>
      <c r="D65" s="208">
        <v>0</v>
      </c>
      <c r="E65" s="208">
        <v>0</v>
      </c>
      <c r="F65" s="208">
        <v>0</v>
      </c>
      <c r="G65" s="208"/>
      <c r="H65" s="208">
        <v>0</v>
      </c>
      <c r="I65" s="375">
        <f t="shared" si="65"/>
        <v>0</v>
      </c>
      <c r="J65" s="208">
        <v>0</v>
      </c>
      <c r="K65" s="208">
        <v>0</v>
      </c>
      <c r="L65" s="208">
        <v>0</v>
      </c>
      <c r="M65" s="375">
        <f t="shared" si="66"/>
        <v>0</v>
      </c>
      <c r="N65" s="1804">
        <v>0</v>
      </c>
      <c r="O65" s="208">
        <v>0</v>
      </c>
      <c r="P65" s="208">
        <v>0</v>
      </c>
      <c r="Q65" s="208"/>
      <c r="R65" s="208">
        <v>0</v>
      </c>
      <c r="S65" s="208">
        <v>0</v>
      </c>
      <c r="T65" s="208">
        <v>0</v>
      </c>
      <c r="U65" s="208"/>
      <c r="V65" s="208">
        <v>0</v>
      </c>
      <c r="W65" s="375">
        <f t="shared" si="67"/>
        <v>0</v>
      </c>
      <c r="X65" s="208">
        <v>0</v>
      </c>
      <c r="Y65" s="208">
        <v>0</v>
      </c>
      <c r="Z65" s="208">
        <v>0</v>
      </c>
      <c r="AA65" s="139">
        <f t="shared" si="68"/>
        <v>0</v>
      </c>
      <c r="AB65" s="614" t="str">
        <f t="shared" si="8"/>
        <v/>
      </c>
      <c r="AC65" s="359" t="str">
        <f>IF(ISNUMBER(AB65),IF(AND(AB65&gt;=(Parameters!F317*0.95), AB65&lt;=(Parameters!F317*1.05)), "Pass", "Fail (RW≠" &amp; Parameters!F317*100 &amp; "%)"),"")</f>
        <v/>
      </c>
      <c r="AD65" s="208"/>
      <c r="AE65" s="208"/>
      <c r="AF65" s="208"/>
      <c r="AG65" s="138"/>
      <c r="AH65" s="138"/>
      <c r="AI65" s="1845" t="str">
        <f t="shared" si="69"/>
        <v/>
      </c>
      <c r="AJ65" s="208"/>
      <c r="AK65" s="138"/>
      <c r="AL65" s="1513"/>
    </row>
    <row r="66" spans="2:38" ht="15" customHeight="1" x14ac:dyDescent="0.35">
      <c r="B66" s="185" t="s">
        <v>790</v>
      </c>
      <c r="C66" s="375" t="str">
        <f t="shared" ref="C66:N66" si="70">IF($D$6="No", C75, C67)</f>
        <v/>
      </c>
      <c r="D66" s="375">
        <f t="shared" si="70"/>
        <v>2535676.2388299997</v>
      </c>
      <c r="E66" s="375">
        <f t="shared" si="70"/>
        <v>7892</v>
      </c>
      <c r="F66" s="375">
        <f t="shared" si="70"/>
        <v>0</v>
      </c>
      <c r="G66" s="375" t="str">
        <f t="shared" si="70"/>
        <v/>
      </c>
      <c r="H66" s="375">
        <f t="shared" si="70"/>
        <v>6480</v>
      </c>
      <c r="I66" s="375">
        <f t="shared" si="70"/>
        <v>2550048.2388299992</v>
      </c>
      <c r="J66" s="375">
        <f t="shared" si="70"/>
        <v>1906390.9682100001</v>
      </c>
      <c r="K66" s="375">
        <f t="shared" si="70"/>
        <v>4805</v>
      </c>
      <c r="L66" s="375">
        <f t="shared" si="70"/>
        <v>6463</v>
      </c>
      <c r="M66" s="375">
        <f t="shared" si="70"/>
        <v>1917658.9682100001</v>
      </c>
      <c r="N66" s="375">
        <f t="shared" si="70"/>
        <v>9519</v>
      </c>
      <c r="O66" s="208">
        <v>2478</v>
      </c>
      <c r="P66" s="208">
        <v>0</v>
      </c>
      <c r="Q66" s="375" t="str">
        <f t="shared" ref="Q66:AA66" si="71">IF($D$6="No", Q75, Q67)</f>
        <v/>
      </c>
      <c r="R66" s="375">
        <f t="shared" si="71"/>
        <v>2535676.2388299997</v>
      </c>
      <c r="S66" s="375">
        <f t="shared" si="71"/>
        <v>7892</v>
      </c>
      <c r="T66" s="375">
        <f t="shared" si="71"/>
        <v>0</v>
      </c>
      <c r="U66" s="375" t="str">
        <f t="shared" si="71"/>
        <v/>
      </c>
      <c r="V66" s="375">
        <f t="shared" si="71"/>
        <v>35222</v>
      </c>
      <c r="W66" s="375">
        <f t="shared" si="71"/>
        <v>2578790.2388299992</v>
      </c>
      <c r="X66" s="375">
        <f t="shared" si="71"/>
        <v>1863859.1143884996</v>
      </c>
      <c r="Y66" s="375">
        <f t="shared" si="71"/>
        <v>4805.0348240000003</v>
      </c>
      <c r="Z66" s="375">
        <f t="shared" si="71"/>
        <v>35222</v>
      </c>
      <c r="AA66" s="139">
        <f t="shared" si="71"/>
        <v>1903886.1492124996</v>
      </c>
      <c r="AB66" s="614">
        <f t="shared" si="8"/>
        <v>0.7382865502377175</v>
      </c>
      <c r="AC66" s="319"/>
      <c r="AD66" s="375" t="str">
        <f t="shared" ref="AD66:AK66" si="72">IF($D$6="No", AD75, AD67)</f>
        <v/>
      </c>
      <c r="AE66" s="375" t="str">
        <f t="shared" si="72"/>
        <v/>
      </c>
      <c r="AF66" s="375" t="str">
        <f t="shared" si="72"/>
        <v/>
      </c>
      <c r="AG66" s="375" t="str">
        <f t="shared" si="72"/>
        <v/>
      </c>
      <c r="AH66" s="139" t="str">
        <f t="shared" si="72"/>
        <v/>
      </c>
      <c r="AI66" s="1845" t="str">
        <f t="shared" si="72"/>
        <v/>
      </c>
      <c r="AJ66" s="1846" t="str">
        <f t="shared" si="72"/>
        <v/>
      </c>
      <c r="AK66" s="1847" t="str">
        <f t="shared" si="72"/>
        <v/>
      </c>
      <c r="AL66" s="1513"/>
    </row>
    <row r="67" spans="2:38" ht="15" customHeight="1" x14ac:dyDescent="0.35">
      <c r="B67" s="345" t="s">
        <v>791</v>
      </c>
      <c r="C67" s="375" t="str">
        <f t="shared" ref="C67:N67" si="73">IF($D$6="No", 0, IF(AND(ISNUMBER(C68),ISNUMBER(C74)), SUM(C68,C74),""))</f>
        <v/>
      </c>
      <c r="D67" s="375">
        <f t="shared" si="73"/>
        <v>2535676.2388299997</v>
      </c>
      <c r="E67" s="375">
        <f t="shared" si="73"/>
        <v>7892</v>
      </c>
      <c r="F67" s="375">
        <f t="shared" si="73"/>
        <v>0</v>
      </c>
      <c r="G67" s="375" t="str">
        <f t="shared" si="73"/>
        <v/>
      </c>
      <c r="H67" s="375">
        <f t="shared" si="73"/>
        <v>6480</v>
      </c>
      <c r="I67" s="375">
        <f t="shared" si="73"/>
        <v>2550048.2388299992</v>
      </c>
      <c r="J67" s="375">
        <f t="shared" si="73"/>
        <v>1906390.9682100001</v>
      </c>
      <c r="K67" s="375">
        <f t="shared" si="73"/>
        <v>4805</v>
      </c>
      <c r="L67" s="375">
        <f t="shared" si="73"/>
        <v>6463</v>
      </c>
      <c r="M67" s="375">
        <f t="shared" si="73"/>
        <v>1917658.9682100001</v>
      </c>
      <c r="N67" s="375">
        <f t="shared" si="73"/>
        <v>9519</v>
      </c>
      <c r="O67" s="208">
        <v>2478</v>
      </c>
      <c r="P67" s="208">
        <v>0</v>
      </c>
      <c r="Q67" s="375" t="str">
        <f t="shared" ref="Q67:AA67" si="74">IF($D$6="No", 0, IF(AND(ISNUMBER(Q68),ISNUMBER(Q74)), SUM(Q68,Q74),""))</f>
        <v/>
      </c>
      <c r="R67" s="375">
        <f t="shared" si="74"/>
        <v>2535676.2388299997</v>
      </c>
      <c r="S67" s="375">
        <f t="shared" si="74"/>
        <v>7892</v>
      </c>
      <c r="T67" s="375">
        <f t="shared" si="74"/>
        <v>0</v>
      </c>
      <c r="U67" s="375" t="str">
        <f t="shared" si="74"/>
        <v/>
      </c>
      <c r="V67" s="375">
        <f t="shared" si="74"/>
        <v>35222</v>
      </c>
      <c r="W67" s="375">
        <f t="shared" si="74"/>
        <v>2578790.2388299992</v>
      </c>
      <c r="X67" s="375">
        <f t="shared" si="74"/>
        <v>1863859.1143884996</v>
      </c>
      <c r="Y67" s="375">
        <f t="shared" si="74"/>
        <v>4805.0348240000003</v>
      </c>
      <c r="Z67" s="375">
        <f t="shared" si="74"/>
        <v>35222</v>
      </c>
      <c r="AA67" s="139">
        <f t="shared" si="74"/>
        <v>1903886.1492124996</v>
      </c>
      <c r="AB67" s="614">
        <f t="shared" si="8"/>
        <v>0.7382865502377175</v>
      </c>
      <c r="AC67" s="319"/>
      <c r="AD67" s="375" t="str">
        <f t="shared" ref="AD67:AK67" si="75">IF($D$6="No", 0, IF(AND(ISNUMBER(AD68),ISNUMBER(AD74)), SUM(AD68,AD74),""))</f>
        <v/>
      </c>
      <c r="AE67" s="375" t="str">
        <f t="shared" si="75"/>
        <v/>
      </c>
      <c r="AF67" s="375" t="str">
        <f t="shared" si="75"/>
        <v/>
      </c>
      <c r="AG67" s="375" t="str">
        <f t="shared" si="75"/>
        <v/>
      </c>
      <c r="AH67" s="139" t="str">
        <f t="shared" si="75"/>
        <v/>
      </c>
      <c r="AI67" s="1845" t="str">
        <f t="shared" si="75"/>
        <v/>
      </c>
      <c r="AJ67" s="1846" t="str">
        <f t="shared" si="75"/>
        <v/>
      </c>
      <c r="AK67" s="1847" t="str">
        <f t="shared" si="75"/>
        <v/>
      </c>
      <c r="AL67" s="1513"/>
    </row>
    <row r="68" spans="2:38" ht="15" customHeight="1" x14ac:dyDescent="0.35">
      <c r="B68" s="165" t="s">
        <v>792</v>
      </c>
      <c r="C68" s="375" t="str">
        <f t="shared" ref="C68:N68" si="76">IF($D$6="No", 0, IF(AND(ISNUMBER(C69),ISNUMBER(C70),ISNUMBER(C71),ISNUMBER(C72),ISNUMBER(C73)),SUM(C69:C73),""))</f>
        <v/>
      </c>
      <c r="D68" s="375">
        <f t="shared" si="76"/>
        <v>1185201.1532300001</v>
      </c>
      <c r="E68" s="375">
        <f t="shared" si="76"/>
        <v>3858.7064700000001</v>
      </c>
      <c r="F68" s="375">
        <f t="shared" si="76"/>
        <v>0</v>
      </c>
      <c r="G68" s="375" t="str">
        <f t="shared" si="76"/>
        <v/>
      </c>
      <c r="H68" s="375">
        <f t="shared" si="76"/>
        <v>0</v>
      </c>
      <c r="I68" s="375">
        <f t="shared" si="76"/>
        <v>1189059.8596999999</v>
      </c>
      <c r="J68" s="375">
        <f t="shared" si="76"/>
        <v>540266.28211999999</v>
      </c>
      <c r="K68" s="375">
        <f t="shared" si="76"/>
        <v>771.74129000000005</v>
      </c>
      <c r="L68" s="375">
        <f t="shared" si="76"/>
        <v>0</v>
      </c>
      <c r="M68" s="375">
        <f t="shared" si="76"/>
        <v>541038.02341000002</v>
      </c>
      <c r="N68" s="375">
        <f t="shared" si="76"/>
        <v>0</v>
      </c>
      <c r="O68" s="208">
        <v>461.40701000000001</v>
      </c>
      <c r="P68" s="208">
        <v>0</v>
      </c>
      <c r="Q68" s="375" t="str">
        <f t="shared" ref="Q68:AA68" si="77">IF($D$6="No", 0, IF(AND(ISNUMBER(Q69),ISNUMBER(Q70),ISNUMBER(Q71),ISNUMBER(Q72),ISNUMBER(Q73)),SUM(Q69:Q73),""))</f>
        <v/>
      </c>
      <c r="R68" s="375">
        <f t="shared" si="77"/>
        <v>1185201.1532300001</v>
      </c>
      <c r="S68" s="375">
        <f t="shared" si="77"/>
        <v>3858.7064700000001</v>
      </c>
      <c r="T68" s="375">
        <f t="shared" si="77"/>
        <v>0</v>
      </c>
      <c r="U68" s="375" t="str">
        <f t="shared" si="77"/>
        <v/>
      </c>
      <c r="V68" s="375">
        <f t="shared" si="77"/>
        <v>0</v>
      </c>
      <c r="W68" s="375">
        <f t="shared" si="77"/>
        <v>1189059.8596999999</v>
      </c>
      <c r="X68" s="375">
        <f t="shared" si="77"/>
        <v>513384.0287885</v>
      </c>
      <c r="Y68" s="375">
        <f t="shared" si="77"/>
        <v>771.74129400000004</v>
      </c>
      <c r="Z68" s="375">
        <f t="shared" si="77"/>
        <v>0</v>
      </c>
      <c r="AA68" s="139">
        <f t="shared" si="77"/>
        <v>514155.77008250006</v>
      </c>
      <c r="AB68" s="614">
        <f t="shared" si="8"/>
        <v>0.432405287158732</v>
      </c>
      <c r="AC68" s="319"/>
      <c r="AD68" s="375" t="str">
        <f t="shared" ref="AD68:AK68" si="78">IF($D$6="No", 0, IF(AND(ISNUMBER(AD69),ISNUMBER(AD70),ISNUMBER(AD71),ISNUMBER(AD72),ISNUMBER(AD73)),SUM(AD69:AD73),""))</f>
        <v/>
      </c>
      <c r="AE68" s="375" t="str">
        <f t="shared" si="78"/>
        <v/>
      </c>
      <c r="AF68" s="375" t="str">
        <f t="shared" si="78"/>
        <v/>
      </c>
      <c r="AG68" s="375" t="str">
        <f t="shared" si="78"/>
        <v/>
      </c>
      <c r="AH68" s="139" t="str">
        <f t="shared" si="78"/>
        <v/>
      </c>
      <c r="AI68" s="1845" t="str">
        <f t="shared" si="78"/>
        <v/>
      </c>
      <c r="AJ68" s="1846" t="str">
        <f t="shared" si="78"/>
        <v/>
      </c>
      <c r="AK68" s="1847" t="str">
        <f t="shared" si="78"/>
        <v/>
      </c>
      <c r="AL68" s="1513"/>
    </row>
    <row r="69" spans="2:38" ht="15" customHeight="1" x14ac:dyDescent="0.35">
      <c r="B69" s="408" t="s">
        <v>765</v>
      </c>
      <c r="C69" s="299"/>
      <c r="D69" s="208">
        <v>353662.67027999996</v>
      </c>
      <c r="E69" s="208">
        <v>3858.7064700000001</v>
      </c>
      <c r="F69" s="208">
        <v>0</v>
      </c>
      <c r="G69" s="208"/>
      <c r="H69" s="208">
        <v>0</v>
      </c>
      <c r="I69" s="375">
        <f t="shared" ref="I69:I74" si="79">IF(AND(ISNUMBER(D69),ISNUMBER(E69),ISNUMBER(H69)),SUM(D69,E69,H69),"")</f>
        <v>357521.37674999994</v>
      </c>
      <c r="J69" s="208">
        <v>70732.534060000005</v>
      </c>
      <c r="K69" s="208">
        <v>771.74129000000005</v>
      </c>
      <c r="L69" s="208">
        <v>0</v>
      </c>
      <c r="M69" s="375">
        <f t="shared" ref="M69:M74" si="80">IF(AND(ISNUMBER(J69),ISNUMBER(K69),ISNUMBER(L69)),SUM(J69:L69), "")</f>
        <v>71504.275350000011</v>
      </c>
      <c r="N69" s="1804">
        <v>0</v>
      </c>
      <c r="O69" s="208">
        <v>74.338160000000002</v>
      </c>
      <c r="P69" s="208">
        <v>0</v>
      </c>
      <c r="Q69" s="208"/>
      <c r="R69" s="208">
        <v>353662.67027999996</v>
      </c>
      <c r="S69" s="208">
        <v>3858.7064700000001</v>
      </c>
      <c r="T69" s="208">
        <v>0</v>
      </c>
      <c r="U69" s="208"/>
      <c r="V69" s="208">
        <v>0</v>
      </c>
      <c r="W69" s="375">
        <f t="shared" ref="W69:W74" si="81">IF(AND(ISNUMBER(R69),ISNUMBER(S69),ISNUMBER(V69)),SUM(R69,S69,V69),"")</f>
        <v>357521.37674999994</v>
      </c>
      <c r="X69" s="208">
        <v>70732.53405599999</v>
      </c>
      <c r="Y69" s="208">
        <v>771.74129400000004</v>
      </c>
      <c r="Z69" s="208">
        <v>0</v>
      </c>
      <c r="AA69" s="139">
        <f t="shared" ref="AA69:AA74" si="82">IF(AND(ISNUMBER(X69),ISNUMBER(Y69),ISNUMBER(Z69)),SUM(X69:Z69), "")</f>
        <v>71504.275349999996</v>
      </c>
      <c r="AB69" s="614">
        <f t="shared" si="8"/>
        <v>0.2</v>
      </c>
      <c r="AC69" s="359" t="str">
        <f>IF(ISNUMBER(AB69),IF(AND(AB69&gt;=(Parameters!F321*0.95), AB69&lt;=(Parameters!F321*1.05)), "Pass", "Fail (RW≠" &amp; Parameters!F321*100 &amp; "%)"),"")</f>
        <v>Pass</v>
      </c>
      <c r="AD69" s="208"/>
      <c r="AE69" s="208"/>
      <c r="AF69" s="208"/>
      <c r="AG69" s="138"/>
      <c r="AH69" s="138"/>
      <c r="AI69" s="1845" t="str">
        <f t="shared" ref="AI69:AI74" si="83">IF(AND(ISNUMBER(AF69),ISNUMBER(AG69),ISNUMBER(AJ69)),AF69-AG69+AJ69,"")</f>
        <v/>
      </c>
      <c r="AJ69" s="208"/>
      <c r="AK69" s="138"/>
      <c r="AL69" s="1513"/>
    </row>
    <row r="70" spans="2:38" ht="15" customHeight="1" x14ac:dyDescent="0.35">
      <c r="B70" s="408" t="s">
        <v>766</v>
      </c>
      <c r="C70" s="299"/>
      <c r="D70" s="208">
        <v>724009.46992000006</v>
      </c>
      <c r="E70" s="208">
        <v>0</v>
      </c>
      <c r="F70" s="208">
        <v>0</v>
      </c>
      <c r="G70" s="208"/>
      <c r="H70" s="208">
        <v>0</v>
      </c>
      <c r="I70" s="375">
        <f t="shared" si="79"/>
        <v>724009.46992000006</v>
      </c>
      <c r="J70" s="208">
        <v>362004.73502999998</v>
      </c>
      <c r="K70" s="208">
        <v>0</v>
      </c>
      <c r="L70" s="208">
        <v>0</v>
      </c>
      <c r="M70" s="375">
        <f t="shared" si="80"/>
        <v>362004.73502999998</v>
      </c>
      <c r="N70" s="1804">
        <v>0</v>
      </c>
      <c r="O70" s="208">
        <v>311.74135999999999</v>
      </c>
      <c r="P70" s="208">
        <v>0</v>
      </c>
      <c r="Q70" s="208"/>
      <c r="R70" s="208">
        <v>724009.46992000006</v>
      </c>
      <c r="S70" s="208">
        <v>0</v>
      </c>
      <c r="T70" s="208">
        <v>0</v>
      </c>
      <c r="U70" s="208"/>
      <c r="V70" s="208">
        <v>0</v>
      </c>
      <c r="W70" s="375">
        <f t="shared" si="81"/>
        <v>724009.46992000006</v>
      </c>
      <c r="X70" s="208">
        <v>362004.73496000003</v>
      </c>
      <c r="Y70" s="208">
        <v>0</v>
      </c>
      <c r="Z70" s="208">
        <v>0</v>
      </c>
      <c r="AA70" s="139">
        <f t="shared" si="82"/>
        <v>362004.73496000003</v>
      </c>
      <c r="AB70" s="614">
        <f t="shared" si="8"/>
        <v>0.5</v>
      </c>
      <c r="AC70" s="359" t="str">
        <f>IF(ISNUMBER(AB70),IF(AND(AB70&gt;=(Parameters!F322*0.95), AB70&lt;=(Parameters!F322*1.05)), "Pass", "Fail (RW≠" &amp; Parameters!F322*100 &amp; "%)"),"")</f>
        <v>Pass</v>
      </c>
      <c r="AD70" s="208"/>
      <c r="AE70" s="208"/>
      <c r="AF70" s="208"/>
      <c r="AG70" s="138"/>
      <c r="AH70" s="138"/>
      <c r="AI70" s="1845" t="str">
        <f t="shared" si="83"/>
        <v/>
      </c>
      <c r="AJ70" s="208"/>
      <c r="AK70" s="138"/>
      <c r="AL70" s="1513"/>
    </row>
    <row r="71" spans="2:38" ht="15" customHeight="1" x14ac:dyDescent="0.35">
      <c r="B71" s="408" t="s">
        <v>767</v>
      </c>
      <c r="C71" s="299"/>
      <c r="D71" s="208">
        <v>107529.01303</v>
      </c>
      <c r="E71" s="208">
        <v>0</v>
      </c>
      <c r="F71" s="208">
        <v>0</v>
      </c>
      <c r="G71" s="208"/>
      <c r="H71" s="208">
        <v>0</v>
      </c>
      <c r="I71" s="375">
        <f t="shared" si="79"/>
        <v>107529.01303</v>
      </c>
      <c r="J71" s="208">
        <v>107529.01303</v>
      </c>
      <c r="K71" s="208">
        <v>0</v>
      </c>
      <c r="L71" s="208">
        <v>0</v>
      </c>
      <c r="M71" s="375">
        <f t="shared" si="80"/>
        <v>107529.01303</v>
      </c>
      <c r="N71" s="1804">
        <v>0</v>
      </c>
      <c r="O71" s="208">
        <v>75.327490000000012</v>
      </c>
      <c r="P71" s="208">
        <v>0</v>
      </c>
      <c r="Q71" s="208"/>
      <c r="R71" s="208">
        <v>107529.01303</v>
      </c>
      <c r="S71" s="208">
        <v>0</v>
      </c>
      <c r="T71" s="208">
        <v>0</v>
      </c>
      <c r="U71" s="208"/>
      <c r="V71" s="208">
        <v>0</v>
      </c>
      <c r="W71" s="375">
        <f t="shared" si="81"/>
        <v>107529.01303</v>
      </c>
      <c r="X71" s="208">
        <v>80646.759772499994</v>
      </c>
      <c r="Y71" s="208">
        <v>0</v>
      </c>
      <c r="Z71" s="208">
        <v>0</v>
      </c>
      <c r="AA71" s="139">
        <f t="shared" si="82"/>
        <v>80646.759772499994</v>
      </c>
      <c r="AB71" s="614">
        <f t="shared" si="8"/>
        <v>0.74999999999999989</v>
      </c>
      <c r="AC71" s="359" t="str">
        <f>IF(ISNUMBER(AB71),IF(AND(AB71&gt;=(Parameters!F323*0.95), AB71&lt;=(Parameters!F323*1.05)), "Pass", "Fail (RW≠" &amp; Parameters!F323*100 &amp; "%)"),"")</f>
        <v>Pass</v>
      </c>
      <c r="AD71" s="208"/>
      <c r="AE71" s="208"/>
      <c r="AF71" s="208"/>
      <c r="AG71" s="138"/>
      <c r="AH71" s="138"/>
      <c r="AI71" s="1845" t="str">
        <f t="shared" si="83"/>
        <v/>
      </c>
      <c r="AJ71" s="208"/>
      <c r="AK71" s="138"/>
      <c r="AL71" s="1513"/>
    </row>
    <row r="72" spans="2:38" ht="15" customHeight="1" x14ac:dyDescent="0.35">
      <c r="B72" s="408" t="s">
        <v>793</v>
      </c>
      <c r="C72" s="299"/>
      <c r="D72" s="208">
        <v>0</v>
      </c>
      <c r="E72" s="208">
        <v>0</v>
      </c>
      <c r="F72" s="208">
        <v>0</v>
      </c>
      <c r="G72" s="208"/>
      <c r="H72" s="208">
        <v>0</v>
      </c>
      <c r="I72" s="375">
        <f t="shared" si="79"/>
        <v>0</v>
      </c>
      <c r="J72" s="208">
        <v>0</v>
      </c>
      <c r="K72" s="208">
        <v>0</v>
      </c>
      <c r="L72" s="208">
        <v>0</v>
      </c>
      <c r="M72" s="375">
        <f t="shared" si="80"/>
        <v>0</v>
      </c>
      <c r="N72" s="1804">
        <v>0</v>
      </c>
      <c r="O72" s="208">
        <v>0</v>
      </c>
      <c r="P72" s="208">
        <v>0</v>
      </c>
      <c r="Q72" s="208"/>
      <c r="R72" s="208">
        <v>0</v>
      </c>
      <c r="S72" s="208">
        <v>0</v>
      </c>
      <c r="T72" s="208">
        <v>0</v>
      </c>
      <c r="U72" s="208"/>
      <c r="V72" s="208">
        <v>0</v>
      </c>
      <c r="W72" s="375">
        <f t="shared" si="81"/>
        <v>0</v>
      </c>
      <c r="X72" s="208">
        <v>0</v>
      </c>
      <c r="Y72" s="208">
        <v>0</v>
      </c>
      <c r="Z72" s="208">
        <v>0</v>
      </c>
      <c r="AA72" s="139">
        <f t="shared" si="82"/>
        <v>0</v>
      </c>
      <c r="AB72" s="614" t="str">
        <f t="shared" si="8"/>
        <v/>
      </c>
      <c r="AC72" s="359" t="str">
        <f>IF(ISNUMBER(AB72),IF(AND(AB72&gt;=(Parameters!F324*0.95), AB72&lt;=(Parameters!F324*1.05)), "Pass", "Fail (RW≠" &amp; Parameters!F324*100 &amp; "%)"),"")</f>
        <v/>
      </c>
      <c r="AD72" s="208"/>
      <c r="AE72" s="208"/>
      <c r="AF72" s="208"/>
      <c r="AG72" s="138"/>
      <c r="AH72" s="138"/>
      <c r="AI72" s="1845" t="str">
        <f t="shared" si="83"/>
        <v/>
      </c>
      <c r="AJ72" s="208"/>
      <c r="AK72" s="138"/>
      <c r="AL72" s="1513"/>
    </row>
    <row r="73" spans="2:38" ht="15" customHeight="1" x14ac:dyDescent="0.35">
      <c r="B73" s="408" t="s">
        <v>794</v>
      </c>
      <c r="C73" s="299"/>
      <c r="D73" s="208">
        <v>0</v>
      </c>
      <c r="E73" s="208">
        <v>0</v>
      </c>
      <c r="F73" s="208">
        <v>0</v>
      </c>
      <c r="G73" s="208"/>
      <c r="H73" s="208">
        <v>0</v>
      </c>
      <c r="I73" s="375">
        <f t="shared" si="79"/>
        <v>0</v>
      </c>
      <c r="J73" s="208">
        <v>0</v>
      </c>
      <c r="K73" s="208">
        <v>0</v>
      </c>
      <c r="L73" s="208">
        <v>0</v>
      </c>
      <c r="M73" s="375">
        <f t="shared" si="80"/>
        <v>0</v>
      </c>
      <c r="N73" s="1804">
        <v>0</v>
      </c>
      <c r="O73" s="208">
        <v>0</v>
      </c>
      <c r="P73" s="208">
        <v>0</v>
      </c>
      <c r="Q73" s="208"/>
      <c r="R73" s="208">
        <v>0</v>
      </c>
      <c r="S73" s="208">
        <v>0</v>
      </c>
      <c r="T73" s="208">
        <v>0</v>
      </c>
      <c r="U73" s="208"/>
      <c r="V73" s="208">
        <v>0</v>
      </c>
      <c r="W73" s="375">
        <f t="shared" si="81"/>
        <v>0</v>
      </c>
      <c r="X73" s="208">
        <v>0</v>
      </c>
      <c r="Y73" s="208">
        <v>0</v>
      </c>
      <c r="Z73" s="208">
        <v>0</v>
      </c>
      <c r="AA73" s="139">
        <f t="shared" si="82"/>
        <v>0</v>
      </c>
      <c r="AB73" s="614" t="str">
        <f t="shared" si="8"/>
        <v/>
      </c>
      <c r="AC73" s="359" t="str">
        <f>IF(ISNUMBER(AB73),IF(AND(AB73&gt;=(Parameters!F325*0.95), AB73&lt;=(Parameters!F325*1.05)), "Pass", "Fail (RW≠" &amp; Parameters!F325*100 &amp; "%)"),"")</f>
        <v/>
      </c>
      <c r="AD73" s="208"/>
      <c r="AE73" s="208"/>
      <c r="AF73" s="208"/>
      <c r="AG73" s="138"/>
      <c r="AH73" s="138"/>
      <c r="AI73" s="1845" t="str">
        <f t="shared" si="83"/>
        <v/>
      </c>
      <c r="AJ73" s="208"/>
      <c r="AK73" s="138"/>
      <c r="AL73" s="1513"/>
    </row>
    <row r="74" spans="2:38" ht="15" customHeight="1" x14ac:dyDescent="0.35">
      <c r="B74" s="165" t="s">
        <v>795</v>
      </c>
      <c r="C74" s="299"/>
      <c r="D74" s="208">
        <v>1350475.0855999996</v>
      </c>
      <c r="E74" s="208">
        <v>4033.2935299999999</v>
      </c>
      <c r="F74" s="208">
        <v>0</v>
      </c>
      <c r="G74" s="208"/>
      <c r="H74" s="208">
        <v>6480</v>
      </c>
      <c r="I74" s="375">
        <f t="shared" si="79"/>
        <v>1360988.3791299996</v>
      </c>
      <c r="J74" s="208">
        <v>1366124.68609</v>
      </c>
      <c r="K74" s="208">
        <v>4033.2587100000001</v>
      </c>
      <c r="L74" s="208">
        <v>6463</v>
      </c>
      <c r="M74" s="375">
        <f t="shared" si="80"/>
        <v>1376620.9447999999</v>
      </c>
      <c r="N74" s="1804">
        <v>9519</v>
      </c>
      <c r="O74" s="208">
        <v>2016.5929900000001</v>
      </c>
      <c r="P74" s="208">
        <v>0</v>
      </c>
      <c r="Q74" s="208"/>
      <c r="R74" s="208">
        <v>1350475.0855999996</v>
      </c>
      <c r="S74" s="208">
        <v>4033.2935299999999</v>
      </c>
      <c r="T74" s="208">
        <v>0</v>
      </c>
      <c r="U74" s="208"/>
      <c r="V74" s="208">
        <v>35222</v>
      </c>
      <c r="W74" s="375">
        <f t="shared" si="81"/>
        <v>1389730.3791299996</v>
      </c>
      <c r="X74" s="208">
        <v>1350475.0855999996</v>
      </c>
      <c r="Y74" s="208">
        <v>4033.2935299999999</v>
      </c>
      <c r="Z74" s="208">
        <v>35222</v>
      </c>
      <c r="AA74" s="139">
        <f t="shared" si="82"/>
        <v>1389730.3791299996</v>
      </c>
      <c r="AB74" s="614">
        <f t="shared" si="8"/>
        <v>1</v>
      </c>
      <c r="AC74" s="359" t="str">
        <f>IF(ISNUMBER(AB74),IF(AND(AB74&gt;=(Parameters!F326*0.95), AB74&lt;=(Parameters!F326*1.05)), "Pass", "Fail (RW≠" &amp; Parameters!F326*100 &amp; "%)"),"")</f>
        <v>Pass</v>
      </c>
      <c r="AD74" s="208"/>
      <c r="AE74" s="208"/>
      <c r="AF74" s="208"/>
      <c r="AG74" s="138"/>
      <c r="AH74" s="138"/>
      <c r="AI74" s="1845" t="str">
        <f t="shared" si="83"/>
        <v/>
      </c>
      <c r="AJ74" s="208"/>
      <c r="AK74" s="138"/>
      <c r="AL74" s="1513"/>
    </row>
    <row r="75" spans="2:38" ht="15" customHeight="1" x14ac:dyDescent="0.35">
      <c r="B75" s="345" t="s">
        <v>796</v>
      </c>
      <c r="C75" s="375">
        <f t="shared" ref="C75:N75" si="84">IF($D$6="Yes", 0, IF(AND(ISNUMBER(C76),ISNUMBER(C77)), SUM(C76,C77),""))</f>
        <v>0</v>
      </c>
      <c r="D75" s="375">
        <f t="shared" si="84"/>
        <v>0</v>
      </c>
      <c r="E75" s="375">
        <f t="shared" si="84"/>
        <v>0</v>
      </c>
      <c r="F75" s="375">
        <f t="shared" si="84"/>
        <v>0</v>
      </c>
      <c r="G75" s="375">
        <f t="shared" si="84"/>
        <v>0</v>
      </c>
      <c r="H75" s="375">
        <f t="shared" si="84"/>
        <v>0</v>
      </c>
      <c r="I75" s="375">
        <f t="shared" si="84"/>
        <v>0</v>
      </c>
      <c r="J75" s="375">
        <f t="shared" si="84"/>
        <v>0</v>
      </c>
      <c r="K75" s="375">
        <f t="shared" si="84"/>
        <v>0</v>
      </c>
      <c r="L75" s="375">
        <f t="shared" si="84"/>
        <v>0</v>
      </c>
      <c r="M75" s="375">
        <f t="shared" si="84"/>
        <v>0</v>
      </c>
      <c r="N75" s="375">
        <f t="shared" si="84"/>
        <v>0</v>
      </c>
      <c r="O75" s="208">
        <v>0</v>
      </c>
      <c r="P75" s="208">
        <v>0</v>
      </c>
      <c r="Q75" s="375">
        <f t="shared" ref="Q75:AA75" si="85">IF($D$6="Yes", 0, IF(AND(ISNUMBER(Q76),ISNUMBER(Q77)), SUM(Q76,Q77),""))</f>
        <v>0</v>
      </c>
      <c r="R75" s="375">
        <f t="shared" si="85"/>
        <v>0</v>
      </c>
      <c r="S75" s="375">
        <f t="shared" si="85"/>
        <v>0</v>
      </c>
      <c r="T75" s="375">
        <f t="shared" si="85"/>
        <v>0</v>
      </c>
      <c r="U75" s="375">
        <f t="shared" si="85"/>
        <v>0</v>
      </c>
      <c r="V75" s="375">
        <f t="shared" si="85"/>
        <v>0</v>
      </c>
      <c r="W75" s="375">
        <f t="shared" si="85"/>
        <v>0</v>
      </c>
      <c r="X75" s="375">
        <f t="shared" si="85"/>
        <v>0</v>
      </c>
      <c r="Y75" s="375">
        <f t="shared" si="85"/>
        <v>0</v>
      </c>
      <c r="Z75" s="375">
        <f t="shared" si="85"/>
        <v>0</v>
      </c>
      <c r="AA75" s="139">
        <f t="shared" si="85"/>
        <v>0</v>
      </c>
      <c r="AB75" s="614" t="str">
        <f t="shared" si="8"/>
        <v/>
      </c>
      <c r="AC75" s="319"/>
      <c r="AD75" s="375">
        <f t="shared" ref="AD75:AK75" si="86">IF($D$6="Yes", 0, IF(AND(ISNUMBER(AD76),ISNUMBER(AD77)), SUM(AD76,AD77),""))</f>
        <v>0</v>
      </c>
      <c r="AE75" s="375">
        <f t="shared" si="86"/>
        <v>0</v>
      </c>
      <c r="AF75" s="375">
        <f t="shared" si="86"/>
        <v>0</v>
      </c>
      <c r="AG75" s="375">
        <f t="shared" si="86"/>
        <v>0</v>
      </c>
      <c r="AH75" s="139">
        <f t="shared" si="86"/>
        <v>0</v>
      </c>
      <c r="AI75" s="1845">
        <f t="shared" si="86"/>
        <v>0</v>
      </c>
      <c r="AJ75" s="1846">
        <f t="shared" si="86"/>
        <v>0</v>
      </c>
      <c r="AK75" s="1847">
        <f t="shared" si="86"/>
        <v>0</v>
      </c>
      <c r="AL75" s="1513"/>
    </row>
    <row r="76" spans="2:38" ht="15" customHeight="1" x14ac:dyDescent="0.35">
      <c r="B76" s="407" t="s">
        <v>797</v>
      </c>
      <c r="C76" s="299"/>
      <c r="D76" s="208">
        <v>0</v>
      </c>
      <c r="E76" s="208">
        <v>0</v>
      </c>
      <c r="F76" s="208">
        <v>0</v>
      </c>
      <c r="G76" s="208"/>
      <c r="H76" s="208">
        <v>0</v>
      </c>
      <c r="I76" s="375">
        <f t="shared" ref="I76:I78" si="87">IF(AND(ISNUMBER(D76),ISNUMBER(E76),ISNUMBER(H76)),SUM(D76,E76,H76),"")</f>
        <v>0</v>
      </c>
      <c r="J76" s="208">
        <v>0</v>
      </c>
      <c r="K76" s="208">
        <v>0</v>
      </c>
      <c r="L76" s="208">
        <v>0</v>
      </c>
      <c r="M76" s="375">
        <f t="shared" ref="M76:M78" si="88">IF(AND(ISNUMBER(J76),ISNUMBER(K76),ISNUMBER(L76)),SUM(J76:L76), "")</f>
        <v>0</v>
      </c>
      <c r="N76" s="1804">
        <v>0</v>
      </c>
      <c r="O76" s="208">
        <v>0</v>
      </c>
      <c r="P76" s="208">
        <v>0</v>
      </c>
      <c r="Q76" s="208"/>
      <c r="R76" s="208">
        <v>0</v>
      </c>
      <c r="S76" s="208">
        <v>0</v>
      </c>
      <c r="T76" s="208">
        <v>0</v>
      </c>
      <c r="U76" s="208"/>
      <c r="V76" s="208">
        <v>0</v>
      </c>
      <c r="W76" s="375">
        <f>IF(AND(ISNUMBER(R76),ISNUMBER(S76),ISNUMBER(V76)),SUM(R76,S76,V76),"")</f>
        <v>0</v>
      </c>
      <c r="X76" s="208">
        <v>0</v>
      </c>
      <c r="Y76" s="208">
        <v>0</v>
      </c>
      <c r="Z76" s="208">
        <v>0</v>
      </c>
      <c r="AA76" s="139">
        <f t="shared" ref="AA76:AA78" si="89">IF(AND(ISNUMBER(X76),ISNUMBER(Y76),ISNUMBER(Z76)),SUM(X76:Z76), "")</f>
        <v>0</v>
      </c>
      <c r="AB76" s="614" t="str">
        <f t="shared" si="8"/>
        <v/>
      </c>
      <c r="AC76" s="359" t="str">
        <f>IF(ISNUMBER(AB76),IF(AND(AB76&gt;=(Parameters!F328*0.95), AB76&lt;=(Parameters!F328*1.05)), "Pass", "Fail (RW≠" &amp; Parameters!F328*100 &amp; "%)"),"")</f>
        <v/>
      </c>
      <c r="AD76" s="208"/>
      <c r="AE76" s="208"/>
      <c r="AF76" s="208"/>
      <c r="AG76" s="138"/>
      <c r="AH76" s="138"/>
      <c r="AI76" s="1845" t="str">
        <f t="shared" ref="AI76:AI78" si="90">IF(AND(ISNUMBER(AF76),ISNUMBER(AG76),ISNUMBER(AJ76)),AF76-AG76+AJ76,"")</f>
        <v/>
      </c>
      <c r="AJ76" s="208"/>
      <c r="AK76" s="138"/>
      <c r="AL76" s="1513"/>
    </row>
    <row r="77" spans="2:38" ht="15" customHeight="1" x14ac:dyDescent="0.35">
      <c r="B77" s="407" t="s">
        <v>798</v>
      </c>
      <c r="C77" s="299"/>
      <c r="D77" s="208">
        <v>0</v>
      </c>
      <c r="E77" s="208">
        <v>0</v>
      </c>
      <c r="F77" s="208">
        <v>0</v>
      </c>
      <c r="G77" s="208"/>
      <c r="H77" s="208">
        <v>0</v>
      </c>
      <c r="I77" s="375">
        <f t="shared" si="87"/>
        <v>0</v>
      </c>
      <c r="J77" s="208">
        <v>0</v>
      </c>
      <c r="K77" s="208">
        <v>0</v>
      </c>
      <c r="L77" s="208">
        <v>0</v>
      </c>
      <c r="M77" s="375">
        <f t="shared" si="88"/>
        <v>0</v>
      </c>
      <c r="N77" s="1804">
        <v>0</v>
      </c>
      <c r="O77" s="208">
        <v>0</v>
      </c>
      <c r="P77" s="208">
        <v>0</v>
      </c>
      <c r="Q77" s="208"/>
      <c r="R77" s="208">
        <v>0</v>
      </c>
      <c r="S77" s="208">
        <v>0</v>
      </c>
      <c r="T77" s="208">
        <v>0</v>
      </c>
      <c r="U77" s="208"/>
      <c r="V77" s="208">
        <v>0</v>
      </c>
      <c r="W77" s="375">
        <f>IF(AND(ISNUMBER(R77),ISNUMBER(S77),ISNUMBER(V77)),SUM(R77,S77,V77),"")</f>
        <v>0</v>
      </c>
      <c r="X77" s="208">
        <v>0</v>
      </c>
      <c r="Y77" s="208">
        <v>0</v>
      </c>
      <c r="Z77" s="208">
        <v>0</v>
      </c>
      <c r="AA77" s="139">
        <f t="shared" si="89"/>
        <v>0</v>
      </c>
      <c r="AB77" s="614" t="str">
        <f t="shared" si="8"/>
        <v/>
      </c>
      <c r="AC77" s="359" t="str">
        <f>IF(ISNUMBER(AB77),IF(AND(AB77&gt;=(Parameters!F329*0.95), AB77&lt;=(Parameters!F329*1.05)), "Pass", "Fail (RW≠" &amp; Parameters!F329*100 &amp; "%)"),"")</f>
        <v/>
      </c>
      <c r="AD77" s="208"/>
      <c r="AE77" s="208"/>
      <c r="AF77" s="208"/>
      <c r="AG77" s="138"/>
      <c r="AH77" s="138"/>
      <c r="AI77" s="1845" t="str">
        <f t="shared" si="90"/>
        <v/>
      </c>
      <c r="AJ77" s="208"/>
      <c r="AK77" s="138"/>
      <c r="AL77" s="1513"/>
    </row>
    <row r="78" spans="2:38" ht="15" customHeight="1" x14ac:dyDescent="0.35">
      <c r="B78" s="185" t="s">
        <v>799</v>
      </c>
      <c r="C78" s="299"/>
      <c r="D78" s="208">
        <v>305587.76117000001</v>
      </c>
      <c r="E78" s="208">
        <v>0</v>
      </c>
      <c r="F78" s="208">
        <v>0</v>
      </c>
      <c r="G78" s="208"/>
      <c r="H78" s="208">
        <v>4999</v>
      </c>
      <c r="I78" s="375">
        <f t="shared" si="87"/>
        <v>310586.76117000001</v>
      </c>
      <c r="J78" s="208">
        <v>223796.03179000001</v>
      </c>
      <c r="K78" s="208">
        <v>0</v>
      </c>
      <c r="L78" s="208">
        <v>3820</v>
      </c>
      <c r="M78" s="375">
        <f t="shared" si="88"/>
        <v>227616.03179000001</v>
      </c>
      <c r="N78" s="1804">
        <v>0</v>
      </c>
      <c r="O78" s="208">
        <v>877</v>
      </c>
      <c r="P78" s="208">
        <v>0</v>
      </c>
      <c r="Q78" s="208"/>
      <c r="R78" s="208">
        <v>305587.76117000001</v>
      </c>
      <c r="S78" s="208">
        <v>0</v>
      </c>
      <c r="T78" s="208">
        <v>0</v>
      </c>
      <c r="U78" s="208"/>
      <c r="V78" s="208">
        <v>39463</v>
      </c>
      <c r="W78" s="375">
        <f>IF(AND(ISNUMBER(R78),ISNUMBER(S78),ISNUMBER(V78)),SUM(R78,S78,V78),"")</f>
        <v>345050.76117000001</v>
      </c>
      <c r="X78" s="208">
        <v>259749.5969945</v>
      </c>
      <c r="Y78" s="208">
        <v>0</v>
      </c>
      <c r="Z78" s="208">
        <v>33543.549999999996</v>
      </c>
      <c r="AA78" s="139">
        <f t="shared" si="89"/>
        <v>293293.14699450001</v>
      </c>
      <c r="AB78" s="614">
        <f t="shared" si="8"/>
        <v>0.85</v>
      </c>
      <c r="AC78" s="359" t="str">
        <f>IF(ISNUMBER(AB78),IF(AND(AB78&gt;=(Parameters!F330*0.95), AB78&lt;=(Parameters!F330*1.05)), "Pass", "Fail (RW≠" &amp; Parameters!F330*100 &amp; "%)"),"")</f>
        <v>Pass</v>
      </c>
      <c r="AD78" s="208"/>
      <c r="AE78" s="208"/>
      <c r="AF78" s="208"/>
      <c r="AG78" s="138"/>
      <c r="AH78" s="138"/>
      <c r="AI78" s="1845" t="str">
        <f t="shared" si="90"/>
        <v/>
      </c>
      <c r="AJ78" s="208"/>
      <c r="AK78" s="138"/>
      <c r="AL78" s="1513"/>
    </row>
    <row r="79" spans="2:38" ht="15" customHeight="1" x14ac:dyDescent="0.35">
      <c r="B79" s="185" t="s">
        <v>800</v>
      </c>
      <c r="C79" s="375" t="str">
        <f t="shared" ref="C79:N79" si="91">IF(AND(OR(ISNUMBER(C80), $D$6="No"), ISNUMBER(C81), ISNUMBER(C85), ISNUMBER(C86)), SUM(C80,C81,C85,C86), "")</f>
        <v/>
      </c>
      <c r="D79" s="375">
        <f t="shared" si="91"/>
        <v>0</v>
      </c>
      <c r="E79" s="375">
        <f t="shared" si="91"/>
        <v>0</v>
      </c>
      <c r="F79" s="375">
        <f t="shared" si="91"/>
        <v>0</v>
      </c>
      <c r="G79" s="375" t="str">
        <f t="shared" si="91"/>
        <v/>
      </c>
      <c r="H79" s="375">
        <f t="shared" si="91"/>
        <v>0</v>
      </c>
      <c r="I79" s="375">
        <f t="shared" si="91"/>
        <v>0</v>
      </c>
      <c r="J79" s="375">
        <f t="shared" si="91"/>
        <v>0</v>
      </c>
      <c r="K79" s="375">
        <f t="shared" si="91"/>
        <v>0</v>
      </c>
      <c r="L79" s="375">
        <f t="shared" si="91"/>
        <v>0</v>
      </c>
      <c r="M79" s="375">
        <f t="shared" si="91"/>
        <v>0</v>
      </c>
      <c r="N79" s="375">
        <f t="shared" si="91"/>
        <v>0</v>
      </c>
      <c r="O79" s="208">
        <v>0</v>
      </c>
      <c r="P79" s="208">
        <v>0</v>
      </c>
      <c r="Q79" s="375" t="str">
        <f t="shared" ref="Q79:AA79" si="92">IF(AND(OR(ISNUMBER(Q80), $D$6="No"), ISNUMBER(Q81), ISNUMBER(Q85), ISNUMBER(Q86)), SUM(Q80,Q81,Q85,Q86), "")</f>
        <v/>
      </c>
      <c r="R79" s="375">
        <f t="shared" si="92"/>
        <v>0</v>
      </c>
      <c r="S79" s="375">
        <f t="shared" si="92"/>
        <v>0</v>
      </c>
      <c r="T79" s="375">
        <f t="shared" si="92"/>
        <v>0</v>
      </c>
      <c r="U79" s="375" t="str">
        <f t="shared" si="92"/>
        <v/>
      </c>
      <c r="V79" s="375">
        <f t="shared" si="92"/>
        <v>0</v>
      </c>
      <c r="W79" s="375">
        <f t="shared" si="92"/>
        <v>0</v>
      </c>
      <c r="X79" s="375">
        <f t="shared" si="92"/>
        <v>0</v>
      </c>
      <c r="Y79" s="375">
        <f t="shared" si="92"/>
        <v>0</v>
      </c>
      <c r="Z79" s="375">
        <f t="shared" si="92"/>
        <v>0</v>
      </c>
      <c r="AA79" s="139">
        <f t="shared" si="92"/>
        <v>0</v>
      </c>
      <c r="AB79" s="614" t="str">
        <f t="shared" si="8"/>
        <v/>
      </c>
      <c r="AC79" s="319"/>
      <c r="AD79" s="375" t="str">
        <f>IF(AND(OR(ISNUMBER(AD80), $D$6="No"), ISNUMBER(AD81), ISNUMBER(AD85), ISNUMBER(AD86)), SUM(AD80,AD81,AD85,AD86), "")</f>
        <v/>
      </c>
      <c r="AE79" s="375" t="str">
        <f>IF(AND(OR(ISNUMBER(AE80), $D$6="No"), ISNUMBER(AE81), ISNUMBER(AE85), ISNUMBER(AE86)), SUM(AE80,AE81,AE85,AE86), "")</f>
        <v/>
      </c>
      <c r="AF79" s="375" t="str">
        <f>IF(AND(OR(ISNUMBER(AF80), $D$6="No"), ISNUMBER(AF81), ISNUMBER(AF85), ISNUMBER(AF86)), SUM(AF80,AF81,AF85,AF86), "")</f>
        <v/>
      </c>
      <c r="AG79" s="375" t="str">
        <f>IF(AND(OR(ISNUMBER(AG80), $D$6="No"), ISNUMBER(AG81), ISNUMBER(AG85), ISNUMBER(AG86)), SUM(AG80,AG81,AG85,AG86), "")</f>
        <v/>
      </c>
      <c r="AH79" s="139" t="str">
        <f>IF(AND(OR(ISNUMBER(AH80), $D$6="No"), ISNUMBER(AH81), ISNUMBER(AH85), ISNUMBER(AH86)), SUM(AH80,AH81,AH85,AH86), "")</f>
        <v/>
      </c>
      <c r="AI79" s="1845" t="str">
        <f t="shared" ref="AI79:AK79" si="93">IF(AND(OR(ISNUMBER(AI80), $C$6="No"), ISNUMBER(AI81), ISNUMBER(AI85), ISNUMBER(AI86)), SUM(AI80,AI81,AI85,AI86), "")</f>
        <v/>
      </c>
      <c r="AJ79" s="1846" t="str">
        <f t="shared" si="93"/>
        <v/>
      </c>
      <c r="AK79" s="1847" t="str">
        <f t="shared" si="93"/>
        <v/>
      </c>
      <c r="AL79" s="1513"/>
    </row>
    <row r="80" spans="2:38" ht="15" customHeight="1" x14ac:dyDescent="0.35">
      <c r="B80" s="164" t="s">
        <v>801</v>
      </c>
      <c r="C80" s="299"/>
      <c r="D80" s="208">
        <v>0</v>
      </c>
      <c r="E80" s="208">
        <v>0</v>
      </c>
      <c r="F80" s="208">
        <v>0</v>
      </c>
      <c r="G80" s="208"/>
      <c r="H80" s="208">
        <v>0</v>
      </c>
      <c r="I80" s="375">
        <f>IF(AND(ISNUMBER(D80),ISNUMBER(E80),ISNUMBER(H80)),SUM(D80,E80,H80),"")</f>
        <v>0</v>
      </c>
      <c r="J80" s="208">
        <v>0</v>
      </c>
      <c r="K80" s="208">
        <v>0</v>
      </c>
      <c r="L80" s="208">
        <v>0</v>
      </c>
      <c r="M80" s="375">
        <f>IF(AND(ISNUMBER(J80),ISNUMBER(K80),ISNUMBER(L80)),SUM(J80:L80), "")</f>
        <v>0</v>
      </c>
      <c r="N80" s="1804">
        <v>0</v>
      </c>
      <c r="O80" s="208">
        <v>0</v>
      </c>
      <c r="P80" s="208">
        <v>0</v>
      </c>
      <c r="Q80" s="208"/>
      <c r="R80" s="208">
        <v>0</v>
      </c>
      <c r="S80" s="208">
        <v>0</v>
      </c>
      <c r="T80" s="208">
        <v>0</v>
      </c>
      <c r="U80" s="208"/>
      <c r="V80" s="208">
        <v>0</v>
      </c>
      <c r="W80" s="375">
        <f>IF(AND(ISNUMBER(R80),ISNUMBER(S80),ISNUMBER(V80)),SUM(R80,S80,V80),"")</f>
        <v>0</v>
      </c>
      <c r="X80" s="208">
        <v>0</v>
      </c>
      <c r="Y80" s="208">
        <v>0</v>
      </c>
      <c r="Z80" s="208">
        <v>0</v>
      </c>
      <c r="AA80" s="139">
        <f>IF(AND(ISNUMBER(X80),ISNUMBER(Y80),ISNUMBER(Z80)),SUM(X80:Z80), "")</f>
        <v>0</v>
      </c>
      <c r="AB80" s="614" t="str">
        <f t="shared" si="8"/>
        <v/>
      </c>
      <c r="AC80" s="319"/>
      <c r="AD80" s="208"/>
      <c r="AE80" s="208"/>
      <c r="AF80" s="208"/>
      <c r="AG80" s="138"/>
      <c r="AH80" s="138"/>
      <c r="AI80" s="1845" t="str">
        <f t="shared" ref="AI80" si="94">IF(AND(ISNUMBER(AF80),ISNUMBER(AG80),ISNUMBER(AJ80)),AF80-AG80+AJ80,"")</f>
        <v/>
      </c>
      <c r="AJ80" s="208"/>
      <c r="AK80" s="138"/>
      <c r="AL80" s="1513"/>
    </row>
    <row r="81" spans="2:38" ht="15" customHeight="1" x14ac:dyDescent="0.35">
      <c r="B81" s="164" t="s">
        <v>802</v>
      </c>
      <c r="C81" s="375" t="str">
        <f>IF(AND(ISNUMBER(C82),ISNUMBER(C83),ISNUMBER(C84)),SUM(C82:C84),"")</f>
        <v/>
      </c>
      <c r="D81" s="375">
        <f t="shared" ref="D81:I81" si="95">IF(AND(ISNUMBER(D82),ISNUMBER(D83),ISNUMBER(D84)),SUM(D82:D84),"")</f>
        <v>0</v>
      </c>
      <c r="E81" s="375">
        <f t="shared" si="95"/>
        <v>0</v>
      </c>
      <c r="F81" s="375">
        <f t="shared" si="95"/>
        <v>0</v>
      </c>
      <c r="G81" s="375" t="str">
        <f t="shared" si="95"/>
        <v/>
      </c>
      <c r="H81" s="375">
        <f t="shared" si="95"/>
        <v>0</v>
      </c>
      <c r="I81" s="375">
        <f t="shared" si="95"/>
        <v>0</v>
      </c>
      <c r="J81" s="375">
        <f t="shared" ref="J81:K81" si="96">IF(AND(ISNUMBER(J82),ISNUMBER(J83),ISNUMBER(J84)),SUM(J82:J84),"")</f>
        <v>0</v>
      </c>
      <c r="K81" s="375">
        <f t="shared" si="96"/>
        <v>0</v>
      </c>
      <c r="L81" s="375">
        <f t="shared" ref="L81" si="97">IF(AND(ISNUMBER(L82),ISNUMBER(L83),ISNUMBER(L84)),SUM(L82:L84),"")</f>
        <v>0</v>
      </c>
      <c r="M81" s="375">
        <f>IF(AND(ISNUMBER(M82),ISNUMBER(M83),ISNUMBER(M84)),SUM(M82:M84),"")</f>
        <v>0</v>
      </c>
      <c r="N81" s="375">
        <f>IF(AND(ISNUMBER(N82),ISNUMBER(N83),ISNUMBER(N84)),SUM(N82:N84),"")</f>
        <v>0</v>
      </c>
      <c r="O81" s="208">
        <v>0</v>
      </c>
      <c r="P81" s="208">
        <v>0</v>
      </c>
      <c r="Q81" s="375" t="str">
        <f t="shared" ref="Q81:V81" si="98">IF(AND(ISNUMBER(Q82),ISNUMBER(Q83),ISNUMBER(Q84)),SUM(Q82:Q84),"")</f>
        <v/>
      </c>
      <c r="R81" s="375">
        <f t="shared" si="98"/>
        <v>0</v>
      </c>
      <c r="S81" s="375">
        <f t="shared" si="98"/>
        <v>0</v>
      </c>
      <c r="T81" s="375">
        <f t="shared" si="98"/>
        <v>0</v>
      </c>
      <c r="U81" s="375" t="str">
        <f t="shared" si="98"/>
        <v/>
      </c>
      <c r="V81" s="375">
        <f t="shared" si="98"/>
        <v>0</v>
      </c>
      <c r="W81" s="375">
        <f>IF(AND(ISNUMBER(W82),ISNUMBER(W83),ISNUMBER(W84)), SUM(W82,W83,W84),"")</f>
        <v>0</v>
      </c>
      <c r="X81" s="375">
        <f>IF(AND(ISNUMBER(X82),ISNUMBER(X83),ISNUMBER(X84)), SUM(X82,X83,X84),"")</f>
        <v>0</v>
      </c>
      <c r="Y81" s="375">
        <f>IF(AND(ISNUMBER(Y82),ISNUMBER(Y83),ISNUMBER(Y84)), SUM(Y82,Y83,Y84),"")</f>
        <v>0</v>
      </c>
      <c r="Z81" s="375">
        <f>IF(AND(ISNUMBER(Z82),ISNUMBER(Z83),ISNUMBER(Z84)), SUM(Z82,Z83,Z84),"")</f>
        <v>0</v>
      </c>
      <c r="AA81" s="139">
        <f>IF(AND(ISNUMBER(AA82),ISNUMBER(AA83),ISNUMBER(AA84)), SUM(AA82,AA83,AA84),"")</f>
        <v>0</v>
      </c>
      <c r="AB81" s="614" t="str">
        <f t="shared" si="8"/>
        <v/>
      </c>
      <c r="AC81" s="319"/>
      <c r="AD81" s="375" t="str">
        <f t="shared" ref="AD81" si="99">IF(AND(ISNUMBER(AD82),ISNUMBER(AD83),ISNUMBER(AD84)),SUM(AD82:AD84),"")</f>
        <v/>
      </c>
      <c r="AE81" s="375" t="str">
        <f>IF(AND(ISNUMBER(AE82),ISNUMBER(AE83),ISNUMBER(AE84)),SUM(AE82:AE84),"")</f>
        <v/>
      </c>
      <c r="AF81" s="375" t="str">
        <f t="shared" ref="AF81:AK81" si="100">IF(AND(ISNUMBER(AF82),ISNUMBER(AF83),ISNUMBER(AF84)),SUM(AF82:AF84),"")</f>
        <v/>
      </c>
      <c r="AG81" s="375" t="str">
        <f t="shared" si="100"/>
        <v/>
      </c>
      <c r="AH81" s="139" t="str">
        <f t="shared" si="100"/>
        <v/>
      </c>
      <c r="AI81" s="1845" t="str">
        <f t="shared" si="100"/>
        <v/>
      </c>
      <c r="AJ81" s="1846" t="str">
        <f t="shared" si="100"/>
        <v/>
      </c>
      <c r="AK81" s="1847" t="str">
        <f t="shared" si="100"/>
        <v/>
      </c>
      <c r="AL81" s="1513"/>
    </row>
    <row r="82" spans="2:38" ht="15" customHeight="1" x14ac:dyDescent="0.35">
      <c r="B82" s="409" t="s">
        <v>803</v>
      </c>
      <c r="C82" s="299"/>
      <c r="D82" s="208">
        <v>0</v>
      </c>
      <c r="E82" s="208">
        <v>0</v>
      </c>
      <c r="F82" s="208">
        <v>0</v>
      </c>
      <c r="G82" s="208"/>
      <c r="H82" s="208">
        <v>0</v>
      </c>
      <c r="I82" s="375">
        <f t="shared" ref="I82:I86" si="101">IF(AND(ISNUMBER(D82),ISNUMBER(E82),ISNUMBER(H82)),SUM(D82,E82,H82),"")</f>
        <v>0</v>
      </c>
      <c r="J82" s="208">
        <v>0</v>
      </c>
      <c r="K82" s="208">
        <v>0</v>
      </c>
      <c r="L82" s="208">
        <v>0</v>
      </c>
      <c r="M82" s="375">
        <f t="shared" ref="M82:M86" si="102">IF(AND(ISNUMBER(J82),ISNUMBER(K82),ISNUMBER(L82)),SUM(J82:L82), "")</f>
        <v>0</v>
      </c>
      <c r="N82" s="1804">
        <v>0</v>
      </c>
      <c r="O82" s="208">
        <v>0</v>
      </c>
      <c r="P82" s="208">
        <v>0</v>
      </c>
      <c r="Q82" s="208"/>
      <c r="R82" s="208">
        <v>0</v>
      </c>
      <c r="S82" s="208">
        <v>0</v>
      </c>
      <c r="T82" s="208">
        <v>0</v>
      </c>
      <c r="U82" s="208"/>
      <c r="V82" s="208">
        <v>0</v>
      </c>
      <c r="W82" s="375">
        <f>IF(AND(ISNUMBER(R82),ISNUMBER(S82),ISNUMBER(V82)),SUM(R82,S82,V82),"")</f>
        <v>0</v>
      </c>
      <c r="X82" s="208">
        <v>0</v>
      </c>
      <c r="Y82" s="208">
        <v>0</v>
      </c>
      <c r="Z82" s="208">
        <v>0</v>
      </c>
      <c r="AA82" s="139">
        <f t="shared" ref="AA82:AA86" si="103">IF(AND(ISNUMBER(X82),ISNUMBER(Y82),ISNUMBER(Z82)),SUM(X82:Z82), "")</f>
        <v>0</v>
      </c>
      <c r="AB82" s="614" t="str">
        <f t="shared" si="8"/>
        <v/>
      </c>
      <c r="AC82" s="359" t="str">
        <f>IF(ISNUMBER(AB82),IF(AND(AB82&gt;=(Parameters!F334*0.95), AB82&lt;=(Parameters!F334*1.05)), "Pass", "Fail (RW≠" &amp; Parameters!F334*100 &amp; "%)"),"")</f>
        <v/>
      </c>
      <c r="AD82" s="208"/>
      <c r="AE82" s="208"/>
      <c r="AF82" s="208"/>
      <c r="AG82" s="138"/>
      <c r="AH82" s="138"/>
      <c r="AI82" s="1845" t="str">
        <f t="shared" ref="AI82:AI86" si="104">IF(AND(ISNUMBER(AF82),ISNUMBER(AG82),ISNUMBER(AJ82)),AF82-AG82+AJ82,"")</f>
        <v/>
      </c>
      <c r="AJ82" s="208"/>
      <c r="AK82" s="138"/>
      <c r="AL82" s="1513"/>
    </row>
    <row r="83" spans="2:38" ht="15" customHeight="1" x14ac:dyDescent="0.35">
      <c r="B83" s="409" t="s">
        <v>804</v>
      </c>
      <c r="C83" s="299"/>
      <c r="D83" s="208">
        <v>0</v>
      </c>
      <c r="E83" s="208">
        <v>0</v>
      </c>
      <c r="F83" s="208">
        <v>0</v>
      </c>
      <c r="G83" s="208"/>
      <c r="H83" s="208">
        <v>0</v>
      </c>
      <c r="I83" s="375">
        <f t="shared" si="101"/>
        <v>0</v>
      </c>
      <c r="J83" s="208">
        <v>0</v>
      </c>
      <c r="K83" s="208">
        <v>0</v>
      </c>
      <c r="L83" s="208">
        <v>0</v>
      </c>
      <c r="M83" s="375">
        <f t="shared" si="102"/>
        <v>0</v>
      </c>
      <c r="N83" s="1804">
        <v>0</v>
      </c>
      <c r="O83" s="208">
        <v>0</v>
      </c>
      <c r="P83" s="208">
        <v>0</v>
      </c>
      <c r="Q83" s="208"/>
      <c r="R83" s="208">
        <v>0</v>
      </c>
      <c r="S83" s="208">
        <v>0</v>
      </c>
      <c r="T83" s="208">
        <v>0</v>
      </c>
      <c r="U83" s="208"/>
      <c r="V83" s="208">
        <v>0</v>
      </c>
      <c r="W83" s="375">
        <f>IF(AND(ISNUMBER(R83),ISNUMBER(S83),ISNUMBER(V83)),SUM(R83,S83,V83),"")</f>
        <v>0</v>
      </c>
      <c r="X83" s="208">
        <v>0</v>
      </c>
      <c r="Y83" s="208">
        <v>0</v>
      </c>
      <c r="Z83" s="208">
        <v>0</v>
      </c>
      <c r="AA83" s="139">
        <f t="shared" si="103"/>
        <v>0</v>
      </c>
      <c r="AB83" s="614" t="str">
        <f t="shared" si="8"/>
        <v/>
      </c>
      <c r="AC83" s="359" t="str">
        <f>IF(ISNUMBER(AB83),IF(AND(AB83&gt;=(Parameters!F335*0.95), AB83&lt;=(Parameters!F335*1.05)), "Pass", "Fail (RW≠" &amp; Parameters!F335*100 &amp; "%)"),"")</f>
        <v/>
      </c>
      <c r="AD83" s="208"/>
      <c r="AE83" s="208"/>
      <c r="AF83" s="208"/>
      <c r="AG83" s="138"/>
      <c r="AH83" s="138"/>
      <c r="AI83" s="1845" t="str">
        <f t="shared" si="104"/>
        <v/>
      </c>
      <c r="AJ83" s="208"/>
      <c r="AK83" s="138"/>
      <c r="AL83" s="1513"/>
    </row>
    <row r="84" spans="2:38" ht="15" customHeight="1" x14ac:dyDescent="0.35">
      <c r="B84" s="407" t="s">
        <v>805</v>
      </c>
      <c r="C84" s="299"/>
      <c r="D84" s="208">
        <v>0</v>
      </c>
      <c r="E84" s="208">
        <v>0</v>
      </c>
      <c r="F84" s="208">
        <v>0</v>
      </c>
      <c r="G84" s="208"/>
      <c r="H84" s="208">
        <v>0</v>
      </c>
      <c r="I84" s="375">
        <f t="shared" si="101"/>
        <v>0</v>
      </c>
      <c r="J84" s="208">
        <v>0</v>
      </c>
      <c r="K84" s="208">
        <v>0</v>
      </c>
      <c r="L84" s="208">
        <v>0</v>
      </c>
      <c r="M84" s="375">
        <f t="shared" si="102"/>
        <v>0</v>
      </c>
      <c r="N84" s="1804">
        <v>0</v>
      </c>
      <c r="O84" s="208">
        <v>0</v>
      </c>
      <c r="P84" s="208">
        <v>0</v>
      </c>
      <c r="Q84" s="208"/>
      <c r="R84" s="208">
        <v>0</v>
      </c>
      <c r="S84" s="208">
        <v>0</v>
      </c>
      <c r="T84" s="208">
        <v>0</v>
      </c>
      <c r="U84" s="208"/>
      <c r="V84" s="208">
        <v>0</v>
      </c>
      <c r="W84" s="375">
        <f>IF(AND(ISNUMBER(R84),ISNUMBER(S84),ISNUMBER(V84)),SUM(R84,S84,V84),"")</f>
        <v>0</v>
      </c>
      <c r="X84" s="208">
        <v>0</v>
      </c>
      <c r="Y84" s="208">
        <v>0</v>
      </c>
      <c r="Z84" s="208">
        <v>0</v>
      </c>
      <c r="AA84" s="139">
        <f t="shared" si="103"/>
        <v>0</v>
      </c>
      <c r="AB84" s="614" t="str">
        <f t="shared" si="8"/>
        <v/>
      </c>
      <c r="AC84" s="359" t="str">
        <f>IF(ISNUMBER(AB84),IF(AND(AB84&gt;=(Parameters!F336*0.95), AB84&lt;=(Parameters!F336*1.05)), "Pass", "Fail (RW≠" &amp; Parameters!F336*100 &amp; "%)"),"")</f>
        <v/>
      </c>
      <c r="AD84" s="208"/>
      <c r="AE84" s="208"/>
      <c r="AF84" s="208"/>
      <c r="AG84" s="138"/>
      <c r="AH84" s="138"/>
      <c r="AI84" s="1845" t="str">
        <f t="shared" si="104"/>
        <v/>
      </c>
      <c r="AJ84" s="208"/>
      <c r="AK84" s="138"/>
      <c r="AL84" s="1513"/>
    </row>
    <row r="85" spans="2:38" ht="15" customHeight="1" x14ac:dyDescent="0.35">
      <c r="B85" s="164" t="s">
        <v>806</v>
      </c>
      <c r="C85" s="299"/>
      <c r="D85" s="208">
        <v>0</v>
      </c>
      <c r="E85" s="208">
        <v>0</v>
      </c>
      <c r="F85" s="208">
        <v>0</v>
      </c>
      <c r="G85" s="208"/>
      <c r="H85" s="208">
        <v>0</v>
      </c>
      <c r="I85" s="375">
        <f t="shared" si="101"/>
        <v>0</v>
      </c>
      <c r="J85" s="208">
        <v>0</v>
      </c>
      <c r="K85" s="208">
        <v>0</v>
      </c>
      <c r="L85" s="208">
        <v>0</v>
      </c>
      <c r="M85" s="375">
        <f t="shared" si="102"/>
        <v>0</v>
      </c>
      <c r="N85" s="1804">
        <v>0</v>
      </c>
      <c r="O85" s="208">
        <v>0</v>
      </c>
      <c r="P85" s="208">
        <v>0</v>
      </c>
      <c r="Q85" s="208"/>
      <c r="R85" s="208">
        <v>0</v>
      </c>
      <c r="S85" s="208">
        <v>0</v>
      </c>
      <c r="T85" s="208">
        <v>0</v>
      </c>
      <c r="U85" s="208"/>
      <c r="V85" s="208">
        <v>0</v>
      </c>
      <c r="W85" s="375">
        <f>IF(AND(ISNUMBER(R85),ISNUMBER(S85),ISNUMBER(V85)),SUM(R85,S85,V85),"")</f>
        <v>0</v>
      </c>
      <c r="X85" s="208">
        <v>0</v>
      </c>
      <c r="Y85" s="208">
        <v>0</v>
      </c>
      <c r="Z85" s="208">
        <v>0</v>
      </c>
      <c r="AA85" s="139">
        <f t="shared" si="103"/>
        <v>0</v>
      </c>
      <c r="AB85" s="614" t="str">
        <f t="shared" si="8"/>
        <v/>
      </c>
      <c r="AC85" s="359" t="str">
        <f>IF(ISNUMBER(AB85),IF(AND(AB85&gt;=(Parameters!F337*0.95), AB85&lt;=(Parameters!F337*1.05)), "Pass", "Fail (RW≠" &amp; Parameters!F337*100 &amp; "%)"),"")</f>
        <v/>
      </c>
      <c r="AD85" s="208"/>
      <c r="AE85" s="208"/>
      <c r="AF85" s="208"/>
      <c r="AG85" s="138"/>
      <c r="AH85" s="138"/>
      <c r="AI85" s="1845" t="str">
        <f t="shared" si="104"/>
        <v/>
      </c>
      <c r="AJ85" s="208"/>
      <c r="AK85" s="138"/>
      <c r="AL85" s="1513"/>
    </row>
    <row r="86" spans="2:38" ht="15" customHeight="1" x14ac:dyDescent="0.35">
      <c r="B86" s="164" t="s">
        <v>807</v>
      </c>
      <c r="C86" s="299"/>
      <c r="D86" s="208">
        <v>0</v>
      </c>
      <c r="E86" s="208">
        <v>0</v>
      </c>
      <c r="F86" s="208">
        <v>0</v>
      </c>
      <c r="G86" s="208"/>
      <c r="H86" s="208">
        <v>0</v>
      </c>
      <c r="I86" s="375">
        <f t="shared" si="101"/>
        <v>0</v>
      </c>
      <c r="J86" s="208">
        <v>0</v>
      </c>
      <c r="K86" s="208">
        <v>0</v>
      </c>
      <c r="L86" s="208">
        <v>0</v>
      </c>
      <c r="M86" s="375">
        <f t="shared" si="102"/>
        <v>0</v>
      </c>
      <c r="N86" s="1804">
        <v>0</v>
      </c>
      <c r="O86" s="208">
        <v>0</v>
      </c>
      <c r="P86" s="208">
        <v>0</v>
      </c>
      <c r="Q86" s="208"/>
      <c r="R86" s="208">
        <v>0</v>
      </c>
      <c r="S86" s="208">
        <v>0</v>
      </c>
      <c r="T86" s="208">
        <v>0</v>
      </c>
      <c r="U86" s="208"/>
      <c r="V86" s="208">
        <v>0</v>
      </c>
      <c r="W86" s="375">
        <f>IF(AND(ISNUMBER(R86),ISNUMBER(S86),ISNUMBER(V86)),SUM(R86,S86,V86),"")</f>
        <v>0</v>
      </c>
      <c r="X86" s="208">
        <v>0</v>
      </c>
      <c r="Y86" s="208">
        <v>0</v>
      </c>
      <c r="Z86" s="208">
        <v>0</v>
      </c>
      <c r="AA86" s="139">
        <f t="shared" si="103"/>
        <v>0</v>
      </c>
      <c r="AB86" s="614" t="str">
        <f t="shared" si="8"/>
        <v/>
      </c>
      <c r="AC86" s="359" t="str">
        <f>IF(ISNUMBER(AB86),IF(AND(AB86&gt;=(Parameters!F338*0.95), AB86&lt;=(Parameters!F338*1.05)), "Pass", "Fail (RW≠" &amp; Parameters!F338*100 &amp; "%)"),"")</f>
        <v/>
      </c>
      <c r="AD86" s="208"/>
      <c r="AE86" s="208"/>
      <c r="AF86" s="208"/>
      <c r="AG86" s="138"/>
      <c r="AH86" s="138"/>
      <c r="AI86" s="1845" t="str">
        <f t="shared" si="104"/>
        <v/>
      </c>
      <c r="AJ86" s="208"/>
      <c r="AK86" s="138"/>
      <c r="AL86" s="1513"/>
    </row>
    <row r="87" spans="2:38" ht="15" customHeight="1" x14ac:dyDescent="0.35">
      <c r="B87" s="332" t="s">
        <v>808</v>
      </c>
      <c r="C87" s="375" t="str">
        <f t="shared" ref="C87:D87" si="105">IF(AND(ISNUMBER(C88),ISNUMBER(C89),ISNUMBER(C90)),SUM(C88:C90),"")</f>
        <v/>
      </c>
      <c r="D87" s="375">
        <f t="shared" si="105"/>
        <v>26374</v>
      </c>
      <c r="E87" s="375">
        <f t="shared" ref="E87:I87" si="106">IF(AND(ISNUMBER(E88),ISNUMBER(E89),ISNUMBER(E90)),SUM(E88:E90),"")</f>
        <v>0</v>
      </c>
      <c r="F87" s="375">
        <f t="shared" si="106"/>
        <v>0</v>
      </c>
      <c r="G87" s="375" t="str">
        <f t="shared" si="106"/>
        <v/>
      </c>
      <c r="H87" s="375">
        <f t="shared" si="106"/>
        <v>0</v>
      </c>
      <c r="I87" s="375">
        <f t="shared" si="106"/>
        <v>26374</v>
      </c>
      <c r="J87" s="375">
        <f t="shared" ref="J87:K87" si="107">IF(AND(ISNUMBER(J88),ISNUMBER(J89),ISNUMBER(J90)),SUM(J88:J90),"")</f>
        <v>26374</v>
      </c>
      <c r="K87" s="375">
        <f t="shared" si="107"/>
        <v>0</v>
      </c>
      <c r="L87" s="375">
        <f t="shared" ref="L87" si="108">IF(AND(ISNUMBER(L88),ISNUMBER(L89),ISNUMBER(L90)),SUM(L88:L90),"")</f>
        <v>0</v>
      </c>
      <c r="M87" s="375">
        <f>IF(AND(ISNUMBER(M88),ISNUMBER(M89),ISNUMBER(M90)),SUM(M88:M90),"")</f>
        <v>26374</v>
      </c>
      <c r="N87" s="375">
        <f>IF(AND(ISNUMBER(N88),ISNUMBER(N89),ISNUMBER(N90)),SUM(N88:N90),"")</f>
        <v>0</v>
      </c>
      <c r="O87" s="208">
        <v>0</v>
      </c>
      <c r="P87" s="208">
        <v>0</v>
      </c>
      <c r="Q87" s="375" t="str">
        <f t="shared" ref="Q87:V87" si="109">IF(AND(ISNUMBER(Q88),ISNUMBER(Q89),ISNUMBER(Q90)),SUM(Q88:Q90),"")</f>
        <v/>
      </c>
      <c r="R87" s="375">
        <f t="shared" si="109"/>
        <v>26374</v>
      </c>
      <c r="S87" s="375">
        <f t="shared" si="109"/>
        <v>0</v>
      </c>
      <c r="T87" s="375">
        <f t="shared" si="109"/>
        <v>0</v>
      </c>
      <c r="U87" s="375" t="str">
        <f t="shared" si="109"/>
        <v/>
      </c>
      <c r="V87" s="375">
        <f t="shared" si="109"/>
        <v>0</v>
      </c>
      <c r="W87" s="375">
        <f>IF(AND(ISNUMBER(W88),ISNUMBER(W89),ISNUMBER(W90)),SUM(W88:W90),"")</f>
        <v>26374</v>
      </c>
      <c r="X87" s="375">
        <f>IF(AND(ISNUMBER(X88),ISNUMBER(X89),ISNUMBER(X90)),SUM(X88:X90),"")</f>
        <v>65935</v>
      </c>
      <c r="Y87" s="375">
        <f>IF(AND(ISNUMBER(Y88),ISNUMBER(Y89),ISNUMBER(Y90)),SUM(Y88:Y90),"")</f>
        <v>0</v>
      </c>
      <c r="Z87" s="375">
        <f>IF(AND(ISNUMBER(Z88),ISNUMBER(Z89),ISNUMBER(Z90)),SUM(Z88:Z90),"")</f>
        <v>0</v>
      </c>
      <c r="AA87" s="139">
        <f>IF(AND(ISNUMBER(AA88),ISNUMBER(AA89),ISNUMBER(AA90)),SUM(AA88:AA90),"")</f>
        <v>65935</v>
      </c>
      <c r="AB87" s="614">
        <f t="shared" ref="AB87:AB143" si="110">IF(AND(ISNUMBER(W87), ISNUMBER(AA87)),IF(W87&lt;&gt;0,(AA87/W87),""),"")</f>
        <v>2.5</v>
      </c>
      <c r="AC87" s="319"/>
      <c r="AD87" s="375" t="str">
        <f t="shared" ref="AD87" si="111">IF(AND(ISNUMBER(AD88),ISNUMBER(AD89),ISNUMBER(AD90)),SUM(AD88:AD90),"")</f>
        <v/>
      </c>
      <c r="AE87" s="375" t="str">
        <f>IF(AND(ISNUMBER(AE88),ISNUMBER(AE89),ISNUMBER(AE90)),SUM(AE88:AE90),"")</f>
        <v/>
      </c>
      <c r="AF87" s="375" t="str">
        <f t="shared" ref="AF87:AK87" si="112">IF(AND(ISNUMBER(AF88),ISNUMBER(AF89),ISNUMBER(AF90)),SUM(AF88:AF90),"")</f>
        <v/>
      </c>
      <c r="AG87" s="375" t="str">
        <f t="shared" si="112"/>
        <v/>
      </c>
      <c r="AH87" s="139" t="str">
        <f t="shared" si="112"/>
        <v/>
      </c>
      <c r="AI87" s="1845" t="str">
        <f t="shared" si="112"/>
        <v/>
      </c>
      <c r="AJ87" s="1846" t="str">
        <f>IF(AND(ISNUMBER(AJ88),ISNUMBER(AJ89),ISNUMBER(AJ90)),SUM(AJ88:AJ90),"")</f>
        <v/>
      </c>
      <c r="AK87" s="1847" t="str">
        <f t="shared" si="112"/>
        <v/>
      </c>
      <c r="AL87" s="1513"/>
    </row>
    <row r="88" spans="2:38" ht="15" customHeight="1" x14ac:dyDescent="0.35">
      <c r="B88" s="219" t="s">
        <v>809</v>
      </c>
      <c r="C88" s="299"/>
      <c r="D88" s="208">
        <v>0</v>
      </c>
      <c r="E88" s="208">
        <v>0</v>
      </c>
      <c r="F88" s="208">
        <v>0</v>
      </c>
      <c r="G88" s="208"/>
      <c r="H88" s="208">
        <v>0</v>
      </c>
      <c r="I88" s="375">
        <f t="shared" ref="I88:I91" si="113">IF(AND(ISNUMBER(D88),ISNUMBER(E88),ISNUMBER(H88)),SUM(D88,E88,H88),"")</f>
        <v>0</v>
      </c>
      <c r="J88" s="208">
        <v>0</v>
      </c>
      <c r="K88" s="208">
        <v>0</v>
      </c>
      <c r="L88" s="208">
        <v>0</v>
      </c>
      <c r="M88" s="375">
        <f t="shared" ref="M88:M91" si="114">IF(AND(ISNUMBER(J88),ISNUMBER(K88),ISNUMBER(L88)),SUM(J88:L88), "")</f>
        <v>0</v>
      </c>
      <c r="N88" s="1804">
        <v>0</v>
      </c>
      <c r="O88" s="208">
        <v>0</v>
      </c>
      <c r="P88" s="208">
        <v>0</v>
      </c>
      <c r="Q88" s="208"/>
      <c r="R88" s="208">
        <v>0</v>
      </c>
      <c r="S88" s="208">
        <v>0</v>
      </c>
      <c r="T88" s="208">
        <v>0</v>
      </c>
      <c r="U88" s="208"/>
      <c r="V88" s="208">
        <v>0</v>
      </c>
      <c r="W88" s="375">
        <f>IF(AND(ISNUMBER(R88),ISNUMBER(S88),ISNUMBER(V88)),SUM(R88,S88,V88),"")</f>
        <v>0</v>
      </c>
      <c r="X88" s="208">
        <v>0</v>
      </c>
      <c r="Y88" s="208">
        <v>0</v>
      </c>
      <c r="Z88" s="208">
        <v>0</v>
      </c>
      <c r="AA88" s="139">
        <f t="shared" ref="AA88:AA91" si="115">IF(AND(ISNUMBER(X88),ISNUMBER(Y88),ISNUMBER(Z88)),SUM(X88:Z88), "")</f>
        <v>0</v>
      </c>
      <c r="AB88" s="614" t="str">
        <f t="shared" si="110"/>
        <v/>
      </c>
      <c r="AC88" s="359" t="str">
        <f>IF(ISNUMBER(AB88),IF(AND(AB88&gt;=(Parameters!F340*0.95), AB88&lt;=(Parameters!F340*1.05)), "Pass", "Fail (RW≠" &amp; Parameters!F340*100 &amp; "%)"),"")</f>
        <v/>
      </c>
      <c r="AD88" s="208"/>
      <c r="AE88" s="208"/>
      <c r="AF88" s="208"/>
      <c r="AG88" s="138"/>
      <c r="AH88" s="138"/>
      <c r="AI88" s="1845" t="str">
        <f t="shared" ref="AI88:AI91" si="116">IF(AND(ISNUMBER(AF88),ISNUMBER(AG88),ISNUMBER(AJ88)),AF88-AG88+AJ88,"")</f>
        <v/>
      </c>
      <c r="AJ88" s="208"/>
      <c r="AK88" s="138"/>
      <c r="AL88" s="1513"/>
    </row>
    <row r="89" spans="2:38" ht="15" customHeight="1" x14ac:dyDescent="0.35">
      <c r="B89" s="219" t="s">
        <v>810</v>
      </c>
      <c r="C89" s="299"/>
      <c r="D89" s="208">
        <v>0</v>
      </c>
      <c r="E89" s="208">
        <v>0</v>
      </c>
      <c r="F89" s="208">
        <v>0</v>
      </c>
      <c r="G89" s="208"/>
      <c r="H89" s="208">
        <v>0</v>
      </c>
      <c r="I89" s="375">
        <f t="shared" si="113"/>
        <v>0</v>
      </c>
      <c r="J89" s="208">
        <v>0</v>
      </c>
      <c r="K89" s="208">
        <v>0</v>
      </c>
      <c r="L89" s="208">
        <v>0</v>
      </c>
      <c r="M89" s="375">
        <f t="shared" si="114"/>
        <v>0</v>
      </c>
      <c r="N89" s="1804">
        <v>0</v>
      </c>
      <c r="O89" s="208">
        <v>0</v>
      </c>
      <c r="P89" s="208">
        <v>0</v>
      </c>
      <c r="Q89" s="208"/>
      <c r="R89" s="208">
        <v>0</v>
      </c>
      <c r="S89" s="208">
        <v>0</v>
      </c>
      <c r="T89" s="208">
        <v>0</v>
      </c>
      <c r="U89" s="208"/>
      <c r="V89" s="208">
        <v>0</v>
      </c>
      <c r="W89" s="375">
        <f>IF(AND(ISNUMBER(R89),ISNUMBER(S89),ISNUMBER(V89)),SUM(R89,S89,V89),"")</f>
        <v>0</v>
      </c>
      <c r="X89" s="208">
        <v>0</v>
      </c>
      <c r="Y89" s="208">
        <v>0</v>
      </c>
      <c r="Z89" s="208">
        <v>0</v>
      </c>
      <c r="AA89" s="139">
        <f t="shared" si="115"/>
        <v>0</v>
      </c>
      <c r="AB89" s="614" t="str">
        <f t="shared" si="110"/>
        <v/>
      </c>
      <c r="AC89" s="359" t="str">
        <f>IF(ISNUMBER(AB89),IF(AND(AB89&gt;=(Parameters!F341*0.95), AB89&lt;=(Parameters!F341*1.05)), "Pass", "Fail (RW≠" &amp; Parameters!F341*100 &amp; "%)"),"")</f>
        <v/>
      </c>
      <c r="AD89" s="208"/>
      <c r="AE89" s="208"/>
      <c r="AF89" s="208"/>
      <c r="AG89" s="138"/>
      <c r="AH89" s="138"/>
      <c r="AI89" s="1845" t="str">
        <f t="shared" si="116"/>
        <v/>
      </c>
      <c r="AJ89" s="208"/>
      <c r="AK89" s="138"/>
      <c r="AL89" s="1513"/>
    </row>
    <row r="90" spans="2:38" ht="15" customHeight="1" x14ac:dyDescent="0.35">
      <c r="B90" s="219" t="s">
        <v>811</v>
      </c>
      <c r="C90" s="299"/>
      <c r="D90" s="208">
        <v>26374</v>
      </c>
      <c r="E90" s="208">
        <v>0</v>
      </c>
      <c r="F90" s="208">
        <v>0</v>
      </c>
      <c r="G90" s="208"/>
      <c r="H90" s="208">
        <v>0</v>
      </c>
      <c r="I90" s="375">
        <f t="shared" si="113"/>
        <v>26374</v>
      </c>
      <c r="J90" s="208">
        <v>26374</v>
      </c>
      <c r="K90" s="208">
        <v>0</v>
      </c>
      <c r="L90" s="208">
        <v>0</v>
      </c>
      <c r="M90" s="375">
        <f t="shared" si="114"/>
        <v>26374</v>
      </c>
      <c r="N90" s="1804">
        <v>0</v>
      </c>
      <c r="O90" s="208">
        <v>0</v>
      </c>
      <c r="P90" s="208">
        <v>0</v>
      </c>
      <c r="Q90" s="208"/>
      <c r="R90" s="208">
        <v>26374</v>
      </c>
      <c r="S90" s="208">
        <v>0</v>
      </c>
      <c r="T90" s="208">
        <v>0</v>
      </c>
      <c r="U90" s="208"/>
      <c r="V90" s="208">
        <v>0</v>
      </c>
      <c r="W90" s="375">
        <f>IF(AND(ISNUMBER(R90),ISNUMBER(S90),ISNUMBER(V90)),SUM(R90,S90,V90),"")</f>
        <v>26374</v>
      </c>
      <c r="X90" s="208">
        <v>65935</v>
      </c>
      <c r="Y90" s="208">
        <v>0</v>
      </c>
      <c r="Z90" s="208">
        <v>0</v>
      </c>
      <c r="AA90" s="139">
        <f t="shared" si="115"/>
        <v>65935</v>
      </c>
      <c r="AB90" s="614">
        <f t="shared" si="110"/>
        <v>2.5</v>
      </c>
      <c r="AC90" s="359" t="str">
        <f>IF(ISNUMBER(AB90),IF(AND(AB90&gt;=(Parameters!F342*0.95), AB90&lt;=(Parameters!F342*1.05)), "Pass", "Fail (RW≠" &amp; Parameters!F342*100 &amp; "%)"),"")</f>
        <v>Pass</v>
      </c>
      <c r="AD90" s="208"/>
      <c r="AE90" s="208"/>
      <c r="AF90" s="208"/>
      <c r="AG90" s="138"/>
      <c r="AH90" s="138"/>
      <c r="AI90" s="1845" t="str">
        <f t="shared" si="116"/>
        <v/>
      </c>
      <c r="AJ90" s="208"/>
      <c r="AK90" s="138"/>
      <c r="AL90" s="1513"/>
    </row>
    <row r="91" spans="2:38" ht="30" customHeight="1" x14ac:dyDescent="0.35">
      <c r="B91" s="1539" t="s">
        <v>812</v>
      </c>
      <c r="C91" s="299"/>
      <c r="D91" s="208">
        <v>0</v>
      </c>
      <c r="E91" s="208">
        <v>0</v>
      </c>
      <c r="F91" s="208">
        <v>0</v>
      </c>
      <c r="G91" s="208"/>
      <c r="H91" s="208">
        <v>0</v>
      </c>
      <c r="I91" s="375">
        <f t="shared" si="113"/>
        <v>0</v>
      </c>
      <c r="J91" s="208">
        <v>0</v>
      </c>
      <c r="K91" s="208">
        <v>0</v>
      </c>
      <c r="L91" s="208">
        <v>0</v>
      </c>
      <c r="M91" s="375">
        <f t="shared" si="114"/>
        <v>0</v>
      </c>
      <c r="N91" s="1804">
        <v>0</v>
      </c>
      <c r="O91" s="208">
        <v>0</v>
      </c>
      <c r="P91" s="208">
        <v>0</v>
      </c>
      <c r="Q91" s="208"/>
      <c r="R91" s="208">
        <v>0</v>
      </c>
      <c r="S91" s="208">
        <v>0</v>
      </c>
      <c r="T91" s="208">
        <v>0</v>
      </c>
      <c r="U91" s="208"/>
      <c r="V91" s="208">
        <v>0</v>
      </c>
      <c r="W91" s="375">
        <f>IF(AND(ISNUMBER(R91),ISNUMBER(S91),ISNUMBER(V91)),SUM(R91,S91,V91),"")</f>
        <v>0</v>
      </c>
      <c r="X91" s="208">
        <v>0</v>
      </c>
      <c r="Y91" s="208">
        <v>0</v>
      </c>
      <c r="Z91" s="208">
        <v>0</v>
      </c>
      <c r="AA91" s="139">
        <f t="shared" si="115"/>
        <v>0</v>
      </c>
      <c r="AB91" s="614" t="str">
        <f t="shared" si="110"/>
        <v/>
      </c>
      <c r="AC91" s="319"/>
      <c r="AD91" s="208"/>
      <c r="AE91" s="208"/>
      <c r="AF91" s="208"/>
      <c r="AG91" s="138"/>
      <c r="AH91" s="138"/>
      <c r="AI91" s="1845" t="str">
        <f t="shared" si="116"/>
        <v/>
      </c>
      <c r="AJ91" s="208"/>
      <c r="AK91" s="138"/>
      <c r="AL91" s="1513"/>
    </row>
    <row r="92" spans="2:38" ht="15" customHeight="1" x14ac:dyDescent="0.35">
      <c r="B92" s="332" t="s">
        <v>813</v>
      </c>
      <c r="C92" s="375" t="str">
        <f>IF(AND(ISNUMBER(C93),ISNUMBER(C94)),SUM(C93:C94),"")</f>
        <v/>
      </c>
      <c r="D92" s="375">
        <f t="shared" ref="D92:I92" si="117">IF(AND(ISNUMBER(D93),ISNUMBER(D94)),SUM(D93:D94),"")</f>
        <v>4977</v>
      </c>
      <c r="E92" s="375">
        <f t="shared" si="117"/>
        <v>0</v>
      </c>
      <c r="F92" s="375">
        <f t="shared" si="117"/>
        <v>0</v>
      </c>
      <c r="G92" s="375" t="str">
        <f t="shared" si="117"/>
        <v/>
      </c>
      <c r="H92" s="375">
        <f t="shared" si="117"/>
        <v>0</v>
      </c>
      <c r="I92" s="375">
        <f t="shared" si="117"/>
        <v>4977</v>
      </c>
      <c r="J92" s="375">
        <f t="shared" ref="J92:K92" si="118">IF(AND(ISNUMBER(J93),ISNUMBER(J94)),SUM(J93:J94),"")</f>
        <v>1918</v>
      </c>
      <c r="K92" s="375">
        <f t="shared" si="118"/>
        <v>0</v>
      </c>
      <c r="L92" s="375">
        <f t="shared" ref="L92" si="119">IF(AND(ISNUMBER(L93),ISNUMBER(L94)),SUM(L93:L94),"")</f>
        <v>0</v>
      </c>
      <c r="M92" s="375">
        <f>IF(AND(ISNUMBER(M93),ISNUMBER(M94)),SUM(M93:M94),"")</f>
        <v>1918</v>
      </c>
      <c r="N92" s="375">
        <f>IF(AND(ISNUMBER(N93),ISNUMBER(N94)),SUM(N93:N94),"")</f>
        <v>0</v>
      </c>
      <c r="O92" s="208">
        <v>0</v>
      </c>
      <c r="P92" s="208">
        <v>0</v>
      </c>
      <c r="Q92" s="375" t="str">
        <f>IF(AND(ISNUMBER(Q93),ISNUMBER(Q94)),SUM(Q93:Q94),"")</f>
        <v/>
      </c>
      <c r="R92" s="375">
        <f t="shared" ref="R92:V92" si="120">IF(AND(ISNUMBER(R93),ISNUMBER(R94)),SUM(R93:R94),"")</f>
        <v>4977</v>
      </c>
      <c r="S92" s="375">
        <f t="shared" si="120"/>
        <v>0</v>
      </c>
      <c r="T92" s="375">
        <f t="shared" si="120"/>
        <v>0</v>
      </c>
      <c r="U92" s="375" t="str">
        <f t="shared" si="120"/>
        <v/>
      </c>
      <c r="V92" s="375">
        <f t="shared" si="120"/>
        <v>0</v>
      </c>
      <c r="W92" s="375">
        <f>IF(AND(ISNUMBER(W93),ISNUMBER(W94)),SUM(W93:W94),"")</f>
        <v>4977</v>
      </c>
      <c r="X92" s="375">
        <f t="shared" ref="X92" si="121">IF(AND(ISNUMBER(X93),ISNUMBER(X94)),SUM(X93:X94),"")</f>
        <v>1918</v>
      </c>
      <c r="Y92" s="375">
        <f t="shared" ref="Y92:AA92" si="122">IF(AND(ISNUMBER(Y93),ISNUMBER(Y94)),SUM(Y93:Y94),"")</f>
        <v>0</v>
      </c>
      <c r="Z92" s="375">
        <f t="shared" ref="Z92" si="123">IF(AND(ISNUMBER(Z93),ISNUMBER(Z94)),SUM(Z93:Z94),"")</f>
        <v>0</v>
      </c>
      <c r="AA92" s="139">
        <f t="shared" si="122"/>
        <v>1918</v>
      </c>
      <c r="AB92" s="614">
        <f t="shared" si="110"/>
        <v>0.38537271448663851</v>
      </c>
      <c r="AC92" s="319"/>
      <c r="AD92" s="375" t="str">
        <f>IF(AND(ISNUMBER(AD93),ISNUMBER(AD94)),SUM(AD93:AD94),"")</f>
        <v/>
      </c>
      <c r="AE92" s="375" t="str">
        <f>IF(AND(ISNUMBER(AE93),ISNUMBER(AE94)),SUM(AE93:AE94),"")</f>
        <v/>
      </c>
      <c r="AF92" s="375" t="str">
        <f t="shared" ref="AF92:AK92" si="124">IF(AND(ISNUMBER(AF93),ISNUMBER(AF94)),SUM(AF93:AF94),"")</f>
        <v/>
      </c>
      <c r="AG92" s="375" t="str">
        <f t="shared" si="124"/>
        <v/>
      </c>
      <c r="AH92" s="139" t="str">
        <f t="shared" si="124"/>
        <v/>
      </c>
      <c r="AI92" s="1845" t="str">
        <f t="shared" si="124"/>
        <v/>
      </c>
      <c r="AJ92" s="1846" t="str">
        <f t="shared" si="124"/>
        <v/>
      </c>
      <c r="AK92" s="1847" t="str">
        <f t="shared" si="124"/>
        <v/>
      </c>
      <c r="AL92" s="1513"/>
    </row>
    <row r="93" spans="2:38" ht="15" customHeight="1" x14ac:dyDescent="0.35">
      <c r="B93" s="219" t="s">
        <v>814</v>
      </c>
      <c r="C93" s="299"/>
      <c r="D93" s="208">
        <v>4977</v>
      </c>
      <c r="E93" s="208">
        <v>0</v>
      </c>
      <c r="F93" s="208">
        <v>0</v>
      </c>
      <c r="G93" s="208"/>
      <c r="H93" s="208">
        <v>0</v>
      </c>
      <c r="I93" s="375">
        <f t="shared" ref="I93:I94" si="125">IF(AND(ISNUMBER(D93),ISNUMBER(E93),ISNUMBER(H93)),SUM(D93,E93,H93),"")</f>
        <v>4977</v>
      </c>
      <c r="J93" s="208">
        <v>1918</v>
      </c>
      <c r="K93" s="208">
        <v>0</v>
      </c>
      <c r="L93" s="208">
        <v>0</v>
      </c>
      <c r="M93" s="375">
        <f t="shared" ref="M93:M98" si="126">IF(AND(ISNUMBER(J93),ISNUMBER(K93),ISNUMBER(L93)),SUM(J93:L93), "")</f>
        <v>1918</v>
      </c>
      <c r="N93" s="1804">
        <v>0</v>
      </c>
      <c r="O93" s="208">
        <v>0</v>
      </c>
      <c r="P93" s="208">
        <v>0</v>
      </c>
      <c r="Q93" s="208"/>
      <c r="R93" s="208">
        <v>4977</v>
      </c>
      <c r="S93" s="208">
        <v>0</v>
      </c>
      <c r="T93" s="208">
        <v>0</v>
      </c>
      <c r="U93" s="208"/>
      <c r="V93" s="208">
        <v>0</v>
      </c>
      <c r="W93" s="375">
        <f>IF(AND(ISNUMBER(R93),ISNUMBER(S93),ISNUMBER(V93)),SUM(R93,S93,V93),"")</f>
        <v>4977</v>
      </c>
      <c r="X93" s="208">
        <v>1918</v>
      </c>
      <c r="Y93" s="208">
        <v>0</v>
      </c>
      <c r="Z93" s="208">
        <v>0</v>
      </c>
      <c r="AA93" s="139">
        <f t="shared" ref="AA93:AA94" si="127">IF(AND(ISNUMBER(X93),ISNUMBER(Y93),ISNUMBER(Z93)),SUM(X93:Z93), "")</f>
        <v>1918</v>
      </c>
      <c r="AB93" s="614">
        <f t="shared" si="110"/>
        <v>0.38537271448663851</v>
      </c>
      <c r="AC93" s="319"/>
      <c r="AD93" s="208"/>
      <c r="AE93" s="208"/>
      <c r="AF93" s="208"/>
      <c r="AG93" s="138"/>
      <c r="AH93" s="138"/>
      <c r="AI93" s="1845" t="str">
        <f t="shared" ref="AI93:AI94" si="128">IF(AND(ISNUMBER(AF93),ISNUMBER(AG93),ISNUMBER(AJ93)),AF93-AG93+AJ93,"")</f>
        <v/>
      </c>
      <c r="AJ93" s="208"/>
      <c r="AK93" s="138"/>
      <c r="AL93" s="1513"/>
    </row>
    <row r="94" spans="2:38" ht="15" customHeight="1" x14ac:dyDescent="0.35">
      <c r="B94" s="219" t="s">
        <v>815</v>
      </c>
      <c r="C94" s="299"/>
      <c r="D94" s="208">
        <v>0</v>
      </c>
      <c r="E94" s="208">
        <v>0</v>
      </c>
      <c r="F94" s="208">
        <v>0</v>
      </c>
      <c r="G94" s="208"/>
      <c r="H94" s="208">
        <v>0</v>
      </c>
      <c r="I94" s="375">
        <f t="shared" si="125"/>
        <v>0</v>
      </c>
      <c r="J94" s="208">
        <v>0</v>
      </c>
      <c r="K94" s="208">
        <v>0</v>
      </c>
      <c r="L94" s="208">
        <v>0</v>
      </c>
      <c r="M94" s="375">
        <f t="shared" si="126"/>
        <v>0</v>
      </c>
      <c r="N94" s="1804">
        <v>0</v>
      </c>
      <c r="O94" s="208">
        <v>0</v>
      </c>
      <c r="P94" s="208">
        <v>0</v>
      </c>
      <c r="Q94" s="208"/>
      <c r="R94" s="208">
        <v>0</v>
      </c>
      <c r="S94" s="208">
        <v>0</v>
      </c>
      <c r="T94" s="208">
        <v>0</v>
      </c>
      <c r="U94" s="208"/>
      <c r="V94" s="208">
        <v>0</v>
      </c>
      <c r="W94" s="375">
        <f>IF(AND(ISNUMBER(R94),ISNUMBER(S94),ISNUMBER(V94)),SUM(R94,S94,V94),"")</f>
        <v>0</v>
      </c>
      <c r="X94" s="208">
        <v>0</v>
      </c>
      <c r="Y94" s="208">
        <v>0</v>
      </c>
      <c r="Z94" s="208">
        <v>0</v>
      </c>
      <c r="AA94" s="139">
        <f t="shared" si="127"/>
        <v>0</v>
      </c>
      <c r="AB94" s="614" t="str">
        <f t="shared" si="110"/>
        <v/>
      </c>
      <c r="AC94" s="319"/>
      <c r="AD94" s="208"/>
      <c r="AE94" s="208"/>
      <c r="AF94" s="208"/>
      <c r="AG94" s="138"/>
      <c r="AH94" s="138"/>
      <c r="AI94" s="1845" t="str">
        <f t="shared" si="128"/>
        <v/>
      </c>
      <c r="AJ94" s="208"/>
      <c r="AK94" s="138"/>
      <c r="AL94" s="1513"/>
    </row>
    <row r="95" spans="2:38" ht="15" customHeight="1" x14ac:dyDescent="0.35">
      <c r="B95" s="185" t="s">
        <v>550</v>
      </c>
      <c r="C95" s="375" t="str">
        <f t="shared" ref="C95:D95" si="129">IF(AND(ISNUMBER(C96),ISNUMBER(C97),ISNUMBER(C98)),SUM(C96:C98),"")</f>
        <v/>
      </c>
      <c r="D95" s="375">
        <f t="shared" si="129"/>
        <v>2257065</v>
      </c>
      <c r="E95" s="375">
        <f t="shared" ref="E95:I95" si="130">IF(AND(ISNUMBER(E96),ISNUMBER(E97),ISNUMBER(E98)),SUM(E96:E98),"")</f>
        <v>670</v>
      </c>
      <c r="F95" s="375">
        <f t="shared" si="130"/>
        <v>0</v>
      </c>
      <c r="G95" s="375" t="str">
        <f t="shared" si="130"/>
        <v/>
      </c>
      <c r="H95" s="375">
        <f t="shared" si="130"/>
        <v>5875</v>
      </c>
      <c r="I95" s="375">
        <f t="shared" si="130"/>
        <v>2263610</v>
      </c>
      <c r="J95" s="375">
        <f t="shared" ref="J95:K95" si="131">IF(AND(ISNUMBER(J96),ISNUMBER(J97),ISNUMBER(J98)),SUM(J96:J98),"")</f>
        <v>1309457</v>
      </c>
      <c r="K95" s="375">
        <f t="shared" si="131"/>
        <v>502</v>
      </c>
      <c r="L95" s="375">
        <f t="shared" ref="L95" si="132">IF(AND(ISNUMBER(L96),ISNUMBER(L97),ISNUMBER(L98)),SUM(L96:L98),"")</f>
        <v>4219</v>
      </c>
      <c r="M95" s="375">
        <f t="shared" si="126"/>
        <v>1314178</v>
      </c>
      <c r="N95" s="375">
        <f>IF(AND(ISNUMBER(N96),ISNUMBER(N97),ISNUMBER(N98)),SUM(N96:N98),"")</f>
        <v>22787</v>
      </c>
      <c r="O95" s="208">
        <v>10297</v>
      </c>
      <c r="P95" s="208">
        <v>0</v>
      </c>
      <c r="Q95" s="375" t="str">
        <f t="shared" ref="Q95:W95" si="133">IF(AND(ISNUMBER(Q96),ISNUMBER(Q97),ISNUMBER(Q98)),SUM(Q96:Q98),"")</f>
        <v/>
      </c>
      <c r="R95" s="375">
        <f t="shared" si="133"/>
        <v>2257065</v>
      </c>
      <c r="S95" s="375">
        <f t="shared" si="133"/>
        <v>670</v>
      </c>
      <c r="T95" s="375">
        <f t="shared" si="133"/>
        <v>0</v>
      </c>
      <c r="U95" s="375" t="str">
        <f t="shared" si="133"/>
        <v/>
      </c>
      <c r="V95" s="375">
        <f t="shared" si="133"/>
        <v>52995</v>
      </c>
      <c r="W95" s="375">
        <f t="shared" si="133"/>
        <v>2310730</v>
      </c>
      <c r="X95" s="375">
        <f>IF(AND(ISNUMBER(X96),ISNUMBER(X97),ISNUMBER(X98)),SUM(X96:X98),"")</f>
        <v>1692798.75</v>
      </c>
      <c r="Y95" s="375">
        <f>IF(AND(ISNUMBER(Y96),ISNUMBER(Y97),ISNUMBER(Y98)),SUM(Y96:Y98),"")</f>
        <v>502.5</v>
      </c>
      <c r="Z95" s="375">
        <f>IF(AND(ISNUMBER(Z96),ISNUMBER(Z97),ISNUMBER(Z98)),SUM(Z96:Z98),"")</f>
        <v>39746.25</v>
      </c>
      <c r="AA95" s="139">
        <f>IF(AND(ISNUMBER(AA96),ISNUMBER(AA97),ISNUMBER(AA98)),SUM(AA96:AA98),"")</f>
        <v>1733047.5</v>
      </c>
      <c r="AB95" s="614">
        <f t="shared" si="110"/>
        <v>0.75</v>
      </c>
      <c r="AC95" s="319"/>
      <c r="AD95" s="375" t="str">
        <f t="shared" ref="AD95" si="134">IF(AND(ISNUMBER(AD96),ISNUMBER(AD97),ISNUMBER(AD98)),SUM(AD96:AD98),"")</f>
        <v/>
      </c>
      <c r="AE95" s="375" t="str">
        <f>IF(AND(ISNUMBER(AE96),ISNUMBER(AE97),ISNUMBER(AE98)),SUM(AE96:AE98),"")</f>
        <v/>
      </c>
      <c r="AF95" s="375" t="str">
        <f t="shared" ref="AF95:AK95" si="135">IF(AND(ISNUMBER(AF96),ISNUMBER(AF97),ISNUMBER(AF98)),SUM(AF96:AF98),"")</f>
        <v/>
      </c>
      <c r="AG95" s="375" t="str">
        <f t="shared" si="135"/>
        <v/>
      </c>
      <c r="AH95" s="139" t="str">
        <f t="shared" si="135"/>
        <v/>
      </c>
      <c r="AI95" s="1845" t="str">
        <f t="shared" si="135"/>
        <v/>
      </c>
      <c r="AJ95" s="1846" t="str">
        <f t="shared" si="135"/>
        <v/>
      </c>
      <c r="AK95" s="1847" t="str">
        <f t="shared" si="135"/>
        <v/>
      </c>
      <c r="AL95" s="1513"/>
    </row>
    <row r="96" spans="2:38" ht="15" customHeight="1" x14ac:dyDescent="0.35">
      <c r="B96" s="164" t="s">
        <v>816</v>
      </c>
      <c r="C96" s="299"/>
      <c r="D96" s="208">
        <v>0</v>
      </c>
      <c r="E96" s="208">
        <v>0</v>
      </c>
      <c r="F96" s="208">
        <v>0</v>
      </c>
      <c r="G96" s="208"/>
      <c r="H96" s="208">
        <v>0</v>
      </c>
      <c r="I96" s="375">
        <f t="shared" ref="I96:I98" si="136">IF(AND(ISNUMBER(D96),ISNUMBER(E96),ISNUMBER(H96)),SUM(D96,E96,H96),"")</f>
        <v>0</v>
      </c>
      <c r="J96" s="208">
        <v>0</v>
      </c>
      <c r="K96" s="208">
        <v>0</v>
      </c>
      <c r="L96" s="208">
        <v>0</v>
      </c>
      <c r="M96" s="375">
        <f t="shared" si="126"/>
        <v>0</v>
      </c>
      <c r="N96" s="1804">
        <v>0</v>
      </c>
      <c r="O96" s="208">
        <v>0</v>
      </c>
      <c r="P96" s="208">
        <v>0</v>
      </c>
      <c r="Q96" s="208"/>
      <c r="R96" s="208">
        <v>0</v>
      </c>
      <c r="S96" s="208">
        <v>0</v>
      </c>
      <c r="T96" s="208">
        <v>0</v>
      </c>
      <c r="U96" s="208"/>
      <c r="V96" s="208">
        <v>0</v>
      </c>
      <c r="W96" s="375">
        <f>IF(AND(ISNUMBER(R96),ISNUMBER(S96),ISNUMBER(V96)),SUM(R96,S96,V96),"")</f>
        <v>0</v>
      </c>
      <c r="X96" s="208">
        <v>0</v>
      </c>
      <c r="Y96" s="208">
        <v>0</v>
      </c>
      <c r="Z96" s="208">
        <v>0</v>
      </c>
      <c r="AA96" s="139">
        <f t="shared" ref="AA96:AA98" si="137">IF(AND(ISNUMBER(X96),ISNUMBER(Y96),ISNUMBER(Z96)),SUM(X96:Z96), "")</f>
        <v>0</v>
      </c>
      <c r="AB96" s="614" t="str">
        <f t="shared" si="110"/>
        <v/>
      </c>
      <c r="AC96" s="359" t="str">
        <f>IF(ISNUMBER(AB96), IF(AND(AB96&gt;=(Parameters!F348*0.95), AB96&lt;=(Parameters!G348*1.05)), "Pass", IF(AB96&lt;Parameters!F348, "Fail (RW&lt;" &amp; Parameters!F348*100 &amp; "%)", "Fail (RW&gt;" &amp; Parameters!G348*100 &amp; "%)")), "")</f>
        <v/>
      </c>
      <c r="AD96" s="208"/>
      <c r="AE96" s="208"/>
      <c r="AF96" s="208"/>
      <c r="AG96" s="138"/>
      <c r="AH96" s="138"/>
      <c r="AI96" s="1845" t="str">
        <f t="shared" ref="AI96:AI98" si="138">IF(AND(ISNUMBER(AF96),ISNUMBER(AG96),ISNUMBER(AJ96)),AF96-AG96+AJ96,"")</f>
        <v/>
      </c>
      <c r="AJ96" s="208"/>
      <c r="AK96" s="138"/>
      <c r="AL96" s="1513"/>
    </row>
    <row r="97" spans="2:38" ht="15" customHeight="1" x14ac:dyDescent="0.35">
      <c r="B97" s="303" t="s">
        <v>817</v>
      </c>
      <c r="C97" s="299"/>
      <c r="D97" s="208">
        <v>2257065</v>
      </c>
      <c r="E97" s="208">
        <v>670</v>
      </c>
      <c r="F97" s="208">
        <v>0</v>
      </c>
      <c r="G97" s="208"/>
      <c r="H97" s="208">
        <v>5875</v>
      </c>
      <c r="I97" s="375">
        <f t="shared" si="136"/>
        <v>2263610</v>
      </c>
      <c r="J97" s="208">
        <v>1309457</v>
      </c>
      <c r="K97" s="208">
        <v>502</v>
      </c>
      <c r="L97" s="208">
        <v>4219</v>
      </c>
      <c r="M97" s="375">
        <f t="shared" si="126"/>
        <v>1314178</v>
      </c>
      <c r="N97" s="1804">
        <v>22787</v>
      </c>
      <c r="O97" s="208">
        <v>10297</v>
      </c>
      <c r="P97" s="208">
        <v>0</v>
      </c>
      <c r="Q97" s="208"/>
      <c r="R97" s="208">
        <v>2257065</v>
      </c>
      <c r="S97" s="208">
        <v>670</v>
      </c>
      <c r="T97" s="208">
        <v>0</v>
      </c>
      <c r="U97" s="208"/>
      <c r="V97" s="208">
        <v>52995</v>
      </c>
      <c r="W97" s="375">
        <f>IF(AND(ISNUMBER(R97),ISNUMBER(S97),ISNUMBER(V97)),SUM(R97,S97,V97),"")</f>
        <v>2310730</v>
      </c>
      <c r="X97" s="208">
        <v>1692798.75</v>
      </c>
      <c r="Y97" s="208">
        <v>502.5</v>
      </c>
      <c r="Z97" s="208">
        <v>39746.25</v>
      </c>
      <c r="AA97" s="139">
        <f t="shared" si="137"/>
        <v>1733047.5</v>
      </c>
      <c r="AB97" s="614">
        <f t="shared" si="110"/>
        <v>0.75</v>
      </c>
      <c r="AC97" s="359" t="str">
        <f>IF(ISNUMBER(AB97), IF(AND(AB97&gt;=(Parameters!F349*0.95), AB97&lt;=(Parameters!G349*1.05)), "Pass", IF(AB97&lt;Parameters!F349, "Fail (RW&lt;" &amp; Parameters!F349*100 &amp; "%)", "Fail (RW&gt;" &amp; Parameters!G349*100 &amp; "%)")), "")</f>
        <v>Pass</v>
      </c>
      <c r="AD97" s="208"/>
      <c r="AE97" s="208"/>
      <c r="AF97" s="208"/>
      <c r="AG97" s="138"/>
      <c r="AH97" s="138"/>
      <c r="AI97" s="1845" t="str">
        <f t="shared" si="138"/>
        <v/>
      </c>
      <c r="AJ97" s="208"/>
      <c r="AK97" s="138"/>
      <c r="AL97" s="1513"/>
    </row>
    <row r="98" spans="2:38" ht="15" customHeight="1" x14ac:dyDescent="0.35">
      <c r="B98" s="303" t="s">
        <v>818</v>
      </c>
      <c r="C98" s="299"/>
      <c r="D98" s="208">
        <v>0</v>
      </c>
      <c r="E98" s="208">
        <v>0</v>
      </c>
      <c r="F98" s="208">
        <v>0</v>
      </c>
      <c r="G98" s="208"/>
      <c r="H98" s="208">
        <v>0</v>
      </c>
      <c r="I98" s="375">
        <f t="shared" si="136"/>
        <v>0</v>
      </c>
      <c r="J98" s="208">
        <v>0</v>
      </c>
      <c r="K98" s="208">
        <v>0</v>
      </c>
      <c r="L98" s="208">
        <v>0</v>
      </c>
      <c r="M98" s="375">
        <f t="shared" si="126"/>
        <v>0</v>
      </c>
      <c r="N98" s="1804">
        <v>0</v>
      </c>
      <c r="O98" s="208">
        <v>0</v>
      </c>
      <c r="P98" s="208">
        <v>0</v>
      </c>
      <c r="Q98" s="208"/>
      <c r="R98" s="208">
        <v>0</v>
      </c>
      <c r="S98" s="208">
        <v>0</v>
      </c>
      <c r="T98" s="208">
        <v>0</v>
      </c>
      <c r="U98" s="208"/>
      <c r="V98" s="208">
        <v>0</v>
      </c>
      <c r="W98" s="375">
        <f>IF(AND(ISNUMBER(R98),ISNUMBER(S98),ISNUMBER(V98)),SUM(R98,S98,V98),"")</f>
        <v>0</v>
      </c>
      <c r="X98" s="208">
        <v>0</v>
      </c>
      <c r="Y98" s="208">
        <v>0</v>
      </c>
      <c r="Z98" s="208">
        <v>0</v>
      </c>
      <c r="AA98" s="139">
        <f t="shared" si="137"/>
        <v>0</v>
      </c>
      <c r="AB98" s="614" t="str">
        <f t="shared" si="110"/>
        <v/>
      </c>
      <c r="AC98" s="359" t="str">
        <f>IF(ISNUMBER(AB98), IF(AND(AB98&gt;=(Parameters!F350*0.95), AB98&lt;=(Parameters!G350*1.05)), "Pass", IF(AB98&lt;Parameters!F350, "Fail (RW&lt;" &amp; Parameters!F350*100 &amp; "%)", "Fail (RW&gt;" &amp; Parameters!G350*100 &amp; "%)")), "")</f>
        <v/>
      </c>
      <c r="AD98" s="208"/>
      <c r="AE98" s="208"/>
      <c r="AF98" s="208"/>
      <c r="AG98" s="138"/>
      <c r="AH98" s="138"/>
      <c r="AI98" s="1845" t="str">
        <f t="shared" si="138"/>
        <v/>
      </c>
      <c r="AJ98" s="208"/>
      <c r="AK98" s="138"/>
      <c r="AL98" s="1513"/>
    </row>
    <row r="99" spans="2:38" ht="15" customHeight="1" x14ac:dyDescent="0.35">
      <c r="B99" s="300" t="s">
        <v>819</v>
      </c>
      <c r="C99" s="375" t="str">
        <f>IF(AND(ISNUMBER(C100),ISNUMBER(C113),ISNUMBER(C122),ISNUMBER(C130),ISNUMBER(C135)),SUM(C100,C113,C122,C130,C135),"")</f>
        <v/>
      </c>
      <c r="D99" s="375">
        <f t="shared" ref="D99:I99" si="139">IF(AND(ISNUMBER(D100),ISNUMBER(D113),ISNUMBER(D122),ISNUMBER(D130),ISNUMBER(D135)),SUM(D100,D113,D122,D130,D135),"")</f>
        <v>312518</v>
      </c>
      <c r="E99" s="375">
        <f t="shared" si="139"/>
        <v>0</v>
      </c>
      <c r="F99" s="375">
        <f t="shared" si="139"/>
        <v>0</v>
      </c>
      <c r="G99" s="375" t="str">
        <f t="shared" si="139"/>
        <v/>
      </c>
      <c r="H99" s="375">
        <f t="shared" si="139"/>
        <v>161.99999999999997</v>
      </c>
      <c r="I99" s="375">
        <f t="shared" si="139"/>
        <v>312680</v>
      </c>
      <c r="J99" s="375">
        <f t="shared" ref="J99:K99" si="140">IF(AND(ISNUMBER(J100),ISNUMBER(J113),ISNUMBER(J122),ISNUMBER(J130),ISNUMBER(J135)),SUM(J100,J113,J122,J130,J135),"")</f>
        <v>108192</v>
      </c>
      <c r="K99" s="375">
        <f t="shared" si="140"/>
        <v>0</v>
      </c>
      <c r="L99" s="375">
        <f t="shared" ref="L99" si="141">IF(AND(ISNUMBER(L100),ISNUMBER(L113),ISNUMBER(L122),ISNUMBER(L130),ISNUMBER(L135)),SUM(L100,L113,L122,L130,L135),"")</f>
        <v>57.000000000000014</v>
      </c>
      <c r="M99" s="375">
        <f>IF(AND(ISNUMBER(M100),ISNUMBER(M113),ISNUMBER(M122),ISNUMBER(M130),ISNUMBER(M135)),SUM(M100,M113,M122,M130,M135),"")</f>
        <v>108249</v>
      </c>
      <c r="N99" s="375">
        <f>IF(AND(ISNUMBER(N100),ISNUMBER(N113),ISNUMBER(N122),ISNUMBER(N130),ISNUMBER(N135)),SUM(N100,N113,N122,N130,N135),"")</f>
        <v>0</v>
      </c>
      <c r="O99" s="208">
        <v>635</v>
      </c>
      <c r="P99" s="208">
        <v>0</v>
      </c>
      <c r="Q99" s="375" t="str">
        <f t="shared" ref="Q99:W99" si="142">IF(AND(ISNUMBER(Q100),ISNUMBER(Q113),ISNUMBER(Q122),ISNUMBER(Q130),ISNUMBER(Q135)),SUM(Q100,Q113,Q122,Q130,Q135),"")</f>
        <v/>
      </c>
      <c r="R99" s="375">
        <f t="shared" si="142"/>
        <v>312518</v>
      </c>
      <c r="S99" s="375">
        <f t="shared" si="142"/>
        <v>0</v>
      </c>
      <c r="T99" s="375">
        <f t="shared" si="142"/>
        <v>0</v>
      </c>
      <c r="U99" s="375" t="str">
        <f t="shared" si="142"/>
        <v/>
      </c>
      <c r="V99" s="375">
        <f t="shared" si="142"/>
        <v>161.99999999999997</v>
      </c>
      <c r="W99" s="375">
        <f t="shared" si="142"/>
        <v>312680</v>
      </c>
      <c r="X99" s="375">
        <f>IF(AND(ISNUMBER(X100),ISNUMBER(X113),ISNUMBER(X122),ISNUMBER(X130),ISNUMBER(X135)),SUM(X100,X113,X122,X130,X135),"")</f>
        <v>62503.600000000006</v>
      </c>
      <c r="Y99" s="375">
        <f>IF(AND(ISNUMBER(Y100),ISNUMBER(Y113),ISNUMBER(Y122),ISNUMBER(Y130),ISNUMBER(Y135)),SUM(Y100,Y113,Y122,Y130,Y135),"")</f>
        <v>0</v>
      </c>
      <c r="Z99" s="375">
        <f>IF(AND(ISNUMBER(Z100),ISNUMBER(Z113),ISNUMBER(Z122),ISNUMBER(Z130),ISNUMBER(Z135)),SUM(Z100,Z113,Z122,Z130,Z135),"")</f>
        <v>32.4</v>
      </c>
      <c r="AA99" s="139">
        <f>IF(AND(ISNUMBER(AA100),ISNUMBER(AA113),ISNUMBER(AA122),ISNUMBER(AA130),ISNUMBER(AA135)),SUM(AA100,AA113,AA122,AA130,AA135),"")</f>
        <v>62536.000000000007</v>
      </c>
      <c r="AB99" s="614">
        <f t="shared" si="110"/>
        <v>0.2</v>
      </c>
      <c r="AC99" s="319"/>
      <c r="AD99" s="375" t="str">
        <f t="shared" ref="AD99:AK99" si="143">IF(AND(ISNUMBER(AD100),ISNUMBER(AD113),ISNUMBER(AD122),ISNUMBER(AD130),ISNUMBER(AD135)),SUM(AD100,AD113,AD122,AD130,AD135),"")</f>
        <v/>
      </c>
      <c r="AE99" s="375" t="str">
        <f t="shared" si="143"/>
        <v/>
      </c>
      <c r="AF99" s="375" t="str">
        <f t="shared" si="143"/>
        <v/>
      </c>
      <c r="AG99" s="375" t="str">
        <f t="shared" si="143"/>
        <v/>
      </c>
      <c r="AH99" s="139" t="str">
        <f t="shared" si="143"/>
        <v/>
      </c>
      <c r="AI99" s="1845" t="str">
        <f t="shared" si="143"/>
        <v/>
      </c>
      <c r="AJ99" s="1846" t="str">
        <f t="shared" si="143"/>
        <v/>
      </c>
      <c r="AK99" s="1847" t="str">
        <f t="shared" si="143"/>
        <v/>
      </c>
      <c r="AL99" s="1513"/>
    </row>
    <row r="100" spans="2:38" ht="15" customHeight="1" x14ac:dyDescent="0.35">
      <c r="B100" s="305" t="s">
        <v>820</v>
      </c>
      <c r="C100" s="375" t="str">
        <f>IF(AND(ISNUMBER(C101),ISNUMBER(C109)),SUM(C101,C109),"")</f>
        <v/>
      </c>
      <c r="D100" s="375">
        <f t="shared" ref="D100:I100" si="144">IF(AND(ISNUMBER(D101),ISNUMBER(D109)),SUM(D101,D109),"")</f>
        <v>312518</v>
      </c>
      <c r="E100" s="375">
        <f t="shared" si="144"/>
        <v>0</v>
      </c>
      <c r="F100" s="375">
        <f t="shared" si="144"/>
        <v>0</v>
      </c>
      <c r="G100" s="375" t="str">
        <f t="shared" si="144"/>
        <v/>
      </c>
      <c r="H100" s="375">
        <f t="shared" si="144"/>
        <v>161.99999999999997</v>
      </c>
      <c r="I100" s="375">
        <f t="shared" si="144"/>
        <v>312680</v>
      </c>
      <c r="J100" s="375">
        <f t="shared" ref="J100:K100" si="145">IF(AND(ISNUMBER(J101),ISNUMBER(J109)),SUM(J101,J109),"")</f>
        <v>108192</v>
      </c>
      <c r="K100" s="375">
        <f t="shared" si="145"/>
        <v>0</v>
      </c>
      <c r="L100" s="375">
        <f t="shared" ref="L100" si="146">IF(AND(ISNUMBER(L101),ISNUMBER(L109)),SUM(L101,L109),"")</f>
        <v>57.000000000000014</v>
      </c>
      <c r="M100" s="375">
        <f>IF(AND(ISNUMBER(M101),ISNUMBER(M109)),SUM(M101,M109),"")</f>
        <v>108249</v>
      </c>
      <c r="N100" s="375">
        <f>IF(AND(ISNUMBER(N101),ISNUMBER(N109)),SUM(N101,N109),"")</f>
        <v>0</v>
      </c>
      <c r="O100" s="208">
        <v>635</v>
      </c>
      <c r="P100" s="208">
        <v>0</v>
      </c>
      <c r="Q100" s="375" t="str">
        <f t="shared" ref="Q100:W100" si="147">IF(AND(ISNUMBER(Q101),ISNUMBER(Q109)),SUM(Q101,Q109),"")</f>
        <v/>
      </c>
      <c r="R100" s="375">
        <f t="shared" si="147"/>
        <v>312518</v>
      </c>
      <c r="S100" s="375">
        <f t="shared" si="147"/>
        <v>0</v>
      </c>
      <c r="T100" s="375">
        <f t="shared" si="147"/>
        <v>0</v>
      </c>
      <c r="U100" s="375" t="str">
        <f t="shared" si="147"/>
        <v/>
      </c>
      <c r="V100" s="375">
        <f t="shared" si="147"/>
        <v>161.99999999999997</v>
      </c>
      <c r="W100" s="375">
        <f t="shared" si="147"/>
        <v>312680</v>
      </c>
      <c r="X100" s="375">
        <f>IF(AND(ISNUMBER(X101),ISNUMBER(X109)),SUM(X101,X109),"")</f>
        <v>62503.600000000006</v>
      </c>
      <c r="Y100" s="375">
        <f>IF(AND(ISNUMBER(Y101),ISNUMBER(Y109)),SUM(Y101,Y109),"")</f>
        <v>0</v>
      </c>
      <c r="Z100" s="375">
        <f>IF(AND(ISNUMBER(Z101),ISNUMBER(Z109)),SUM(Z101,Z109),"")</f>
        <v>32.4</v>
      </c>
      <c r="AA100" s="139">
        <f>IF(AND(ISNUMBER(AA101),ISNUMBER(AA109)),SUM(AA101,AA109),"")</f>
        <v>62536.000000000007</v>
      </c>
      <c r="AB100" s="614">
        <f t="shared" si="110"/>
        <v>0.2</v>
      </c>
      <c r="AC100" s="319"/>
      <c r="AD100" s="375" t="str">
        <f t="shared" ref="AD100" si="148">IF(AND(ISNUMBER(AD101),ISNUMBER(AD109)),SUM(AD101,AD109),"")</f>
        <v/>
      </c>
      <c r="AE100" s="375" t="str">
        <f>IF(AND(ISNUMBER(AE101),ISNUMBER(AE109)),SUM(AE101,AE109),"")</f>
        <v/>
      </c>
      <c r="AF100" s="375" t="str">
        <f t="shared" ref="AF100:AK100" si="149">IF(AND(ISNUMBER(AF101),ISNUMBER(AF109)),SUM(AF101,AF109),"")</f>
        <v/>
      </c>
      <c r="AG100" s="375" t="str">
        <f t="shared" si="149"/>
        <v/>
      </c>
      <c r="AH100" s="139" t="str">
        <f t="shared" si="149"/>
        <v/>
      </c>
      <c r="AI100" s="1845" t="str">
        <f t="shared" si="149"/>
        <v/>
      </c>
      <c r="AJ100" s="1846" t="str">
        <f t="shared" si="149"/>
        <v/>
      </c>
      <c r="AK100" s="1847" t="str">
        <f t="shared" si="149"/>
        <v/>
      </c>
      <c r="AL100" s="1513"/>
    </row>
    <row r="101" spans="2:38" ht="15" customHeight="1" x14ac:dyDescent="0.35">
      <c r="B101" s="405" t="s">
        <v>821</v>
      </c>
      <c r="C101" s="375">
        <f t="shared" ref="C101:N101" si="150">IF($D$7="Yes", 0, IF(AND(ISNUMBER(C102),ISNUMBER(C103),ISNUMBER(C104),ISNUMBER(C105),ISNUMBER(C106),ISNUMBER(C107),ISNUMBER(C108)),SUM(C102:C108),""))</f>
        <v>0</v>
      </c>
      <c r="D101" s="375">
        <f t="shared" si="150"/>
        <v>0</v>
      </c>
      <c r="E101" s="375">
        <f t="shared" si="150"/>
        <v>0</v>
      </c>
      <c r="F101" s="375">
        <f t="shared" si="150"/>
        <v>0</v>
      </c>
      <c r="G101" s="375">
        <f t="shared" si="150"/>
        <v>0</v>
      </c>
      <c r="H101" s="375">
        <f t="shared" si="150"/>
        <v>0</v>
      </c>
      <c r="I101" s="375">
        <f t="shared" si="150"/>
        <v>0</v>
      </c>
      <c r="J101" s="375">
        <f t="shared" si="150"/>
        <v>0</v>
      </c>
      <c r="K101" s="375">
        <f t="shared" si="150"/>
        <v>0</v>
      </c>
      <c r="L101" s="375">
        <f t="shared" si="150"/>
        <v>0</v>
      </c>
      <c r="M101" s="375">
        <f t="shared" si="150"/>
        <v>0</v>
      </c>
      <c r="N101" s="375">
        <f t="shared" si="150"/>
        <v>0</v>
      </c>
      <c r="O101" s="208">
        <v>0</v>
      </c>
      <c r="P101" s="208">
        <v>0</v>
      </c>
      <c r="Q101" s="375">
        <f t="shared" ref="Q101:AA101" si="151">IF($D$7="Yes", 0, IF(AND(ISNUMBER(Q102),ISNUMBER(Q103),ISNUMBER(Q104),ISNUMBER(Q105),ISNUMBER(Q106),ISNUMBER(Q107),ISNUMBER(Q108)),SUM(Q102:Q108),""))</f>
        <v>0</v>
      </c>
      <c r="R101" s="375">
        <f t="shared" si="151"/>
        <v>0</v>
      </c>
      <c r="S101" s="375">
        <f t="shared" si="151"/>
        <v>0</v>
      </c>
      <c r="T101" s="375">
        <f t="shared" si="151"/>
        <v>0</v>
      </c>
      <c r="U101" s="375">
        <f t="shared" si="151"/>
        <v>0</v>
      </c>
      <c r="V101" s="375">
        <f t="shared" si="151"/>
        <v>0</v>
      </c>
      <c r="W101" s="375">
        <f t="shared" si="151"/>
        <v>0</v>
      </c>
      <c r="X101" s="375">
        <f t="shared" si="151"/>
        <v>0</v>
      </c>
      <c r="Y101" s="375">
        <f t="shared" si="151"/>
        <v>0</v>
      </c>
      <c r="Z101" s="375">
        <f t="shared" si="151"/>
        <v>0</v>
      </c>
      <c r="AA101" s="139">
        <f t="shared" si="151"/>
        <v>0</v>
      </c>
      <c r="AB101" s="614" t="str">
        <f t="shared" si="110"/>
        <v/>
      </c>
      <c r="AC101" s="319"/>
      <c r="AD101" s="375">
        <f t="shared" ref="AD101:AK101" si="152">IF($D$7="Yes", 0, IF(AND(ISNUMBER(AD102),ISNUMBER(AD103),ISNUMBER(AD104),ISNUMBER(AD105),ISNUMBER(AD106),ISNUMBER(AD107),ISNUMBER(AD108)),SUM(AD102:AD108),""))</f>
        <v>0</v>
      </c>
      <c r="AE101" s="375">
        <f t="shared" si="152"/>
        <v>0</v>
      </c>
      <c r="AF101" s="375">
        <f t="shared" si="152"/>
        <v>0</v>
      </c>
      <c r="AG101" s="375">
        <f t="shared" si="152"/>
        <v>0</v>
      </c>
      <c r="AH101" s="139">
        <f t="shared" si="152"/>
        <v>0</v>
      </c>
      <c r="AI101" s="1845">
        <f t="shared" si="152"/>
        <v>0</v>
      </c>
      <c r="AJ101" s="1846">
        <f t="shared" si="152"/>
        <v>0</v>
      </c>
      <c r="AK101" s="1847">
        <f t="shared" si="152"/>
        <v>0</v>
      </c>
      <c r="AL101" s="1513"/>
    </row>
    <row r="102" spans="2:38" ht="15" customHeight="1" x14ac:dyDescent="0.35">
      <c r="B102" s="406" t="s">
        <v>822</v>
      </c>
      <c r="C102" s="299"/>
      <c r="D102" s="208">
        <v>0</v>
      </c>
      <c r="E102" s="208">
        <v>0</v>
      </c>
      <c r="F102" s="208">
        <v>0</v>
      </c>
      <c r="G102" s="208"/>
      <c r="H102" s="208">
        <v>0</v>
      </c>
      <c r="I102" s="375">
        <f t="shared" ref="I102:I108" si="153">IF(AND(ISNUMBER(D102),ISNUMBER(E102),ISNUMBER(H102)),SUM(D102,E102,H102),"")</f>
        <v>0</v>
      </c>
      <c r="J102" s="208">
        <v>0</v>
      </c>
      <c r="K102" s="208">
        <v>0</v>
      </c>
      <c r="L102" s="208">
        <v>0</v>
      </c>
      <c r="M102" s="375">
        <f t="shared" ref="M102:M108" si="154">IF(AND(ISNUMBER(J102),ISNUMBER(K102),ISNUMBER(L102)),SUM(J102:L102), "")</f>
        <v>0</v>
      </c>
      <c r="N102" s="1804">
        <v>0</v>
      </c>
      <c r="O102" s="208">
        <v>0</v>
      </c>
      <c r="P102" s="208">
        <v>0</v>
      </c>
      <c r="Q102" s="208"/>
      <c r="R102" s="208">
        <v>0</v>
      </c>
      <c r="S102" s="208">
        <v>0</v>
      </c>
      <c r="T102" s="208">
        <v>0</v>
      </c>
      <c r="U102" s="208"/>
      <c r="V102" s="208">
        <v>0</v>
      </c>
      <c r="W102" s="375">
        <f t="shared" ref="W102:W108" si="155">IF(AND(ISNUMBER(R102),ISNUMBER(S102),ISNUMBER(V102)),SUM(R102,S102,V102),"")</f>
        <v>0</v>
      </c>
      <c r="X102" s="208">
        <v>0</v>
      </c>
      <c r="Y102" s="208">
        <v>0</v>
      </c>
      <c r="Z102" s="208">
        <v>0</v>
      </c>
      <c r="AA102" s="139">
        <f t="shared" ref="AA102:AA108" si="156">IF(AND(ISNUMBER(X102),ISNUMBER(Y102),ISNUMBER(Z102)),SUM(X102:Z102), "")</f>
        <v>0</v>
      </c>
      <c r="AB102" s="614" t="str">
        <f t="shared" si="110"/>
        <v/>
      </c>
      <c r="AC102" s="359" t="str">
        <f>IF(ISNUMBER(AB102), IF(AND(AB102&gt;=(Parameters!F354*0.95), AB102&lt;=(Parameters!G354*1.05)), "Pass", IF(AB102&lt;Parameters!F354, "Fail (RW&lt;" &amp; Parameters!F354*100 &amp; "%)", "Fail (RW&gt;" &amp; Parameters!G354*100 &amp; "%)")), "")</f>
        <v/>
      </c>
      <c r="AD102" s="208"/>
      <c r="AE102" s="208"/>
      <c r="AF102" s="208"/>
      <c r="AG102" s="138"/>
      <c r="AH102" s="138"/>
      <c r="AI102" s="1845" t="str">
        <f t="shared" ref="AI102:AI108" si="157">IF(AND(ISNUMBER(AF102),ISNUMBER(AG102),ISNUMBER(AJ102)),AF102-AG102+AJ102,"")</f>
        <v/>
      </c>
      <c r="AJ102" s="208"/>
      <c r="AK102" s="138"/>
      <c r="AL102" s="1513"/>
    </row>
    <row r="103" spans="2:38" ht="15" customHeight="1" x14ac:dyDescent="0.35">
      <c r="B103" s="406" t="s">
        <v>823</v>
      </c>
      <c r="C103" s="299"/>
      <c r="D103" s="208">
        <v>0</v>
      </c>
      <c r="E103" s="208">
        <v>0</v>
      </c>
      <c r="F103" s="208">
        <v>0</v>
      </c>
      <c r="G103" s="208"/>
      <c r="H103" s="208">
        <v>0</v>
      </c>
      <c r="I103" s="375">
        <f t="shared" si="153"/>
        <v>0</v>
      </c>
      <c r="J103" s="208">
        <v>0</v>
      </c>
      <c r="K103" s="208">
        <v>0</v>
      </c>
      <c r="L103" s="208">
        <v>0</v>
      </c>
      <c r="M103" s="375">
        <f t="shared" si="154"/>
        <v>0</v>
      </c>
      <c r="N103" s="1804">
        <v>0</v>
      </c>
      <c r="O103" s="208">
        <v>0</v>
      </c>
      <c r="P103" s="208">
        <v>0</v>
      </c>
      <c r="Q103" s="208"/>
      <c r="R103" s="208">
        <v>0</v>
      </c>
      <c r="S103" s="208">
        <v>0</v>
      </c>
      <c r="T103" s="208">
        <v>0</v>
      </c>
      <c r="U103" s="208"/>
      <c r="V103" s="208">
        <v>0</v>
      </c>
      <c r="W103" s="375">
        <f t="shared" si="155"/>
        <v>0</v>
      </c>
      <c r="X103" s="208">
        <v>0</v>
      </c>
      <c r="Y103" s="208">
        <v>0</v>
      </c>
      <c r="Z103" s="208">
        <v>0</v>
      </c>
      <c r="AA103" s="139">
        <f t="shared" si="156"/>
        <v>0</v>
      </c>
      <c r="AB103" s="614" t="str">
        <f t="shared" si="110"/>
        <v/>
      </c>
      <c r="AC103" s="359" t="str">
        <f>IF(ISNUMBER(AB103), IF(AND(AB103&gt;=(Parameters!F355*0.95), AB103&lt;=(Parameters!G355*1.05)), "Pass", IF(AB103&lt;Parameters!F355, "Fail (RW&lt;" &amp; Parameters!F355*100 &amp; "%)", "Fail (RW&gt;" &amp; Parameters!G355*100 &amp; "%)")), "")</f>
        <v/>
      </c>
      <c r="AD103" s="208"/>
      <c r="AE103" s="208"/>
      <c r="AF103" s="208"/>
      <c r="AG103" s="138"/>
      <c r="AH103" s="138"/>
      <c r="AI103" s="1845" t="str">
        <f t="shared" si="157"/>
        <v/>
      </c>
      <c r="AJ103" s="208"/>
      <c r="AK103" s="138"/>
      <c r="AL103" s="1513"/>
    </row>
    <row r="104" spans="2:38" ht="15" customHeight="1" x14ac:dyDescent="0.35">
      <c r="B104" s="406" t="s">
        <v>824</v>
      </c>
      <c r="C104" s="299"/>
      <c r="D104" s="208">
        <v>0</v>
      </c>
      <c r="E104" s="208">
        <v>0</v>
      </c>
      <c r="F104" s="208">
        <v>0</v>
      </c>
      <c r="G104" s="208"/>
      <c r="H104" s="208">
        <v>0</v>
      </c>
      <c r="I104" s="375">
        <f t="shared" si="153"/>
        <v>0</v>
      </c>
      <c r="J104" s="208">
        <v>0</v>
      </c>
      <c r="K104" s="208">
        <v>0</v>
      </c>
      <c r="L104" s="208">
        <v>0</v>
      </c>
      <c r="M104" s="375">
        <f t="shared" si="154"/>
        <v>0</v>
      </c>
      <c r="N104" s="1804">
        <v>0</v>
      </c>
      <c r="O104" s="208">
        <v>0</v>
      </c>
      <c r="P104" s="208">
        <v>0</v>
      </c>
      <c r="Q104" s="208"/>
      <c r="R104" s="208">
        <v>0</v>
      </c>
      <c r="S104" s="208">
        <v>0</v>
      </c>
      <c r="T104" s="208">
        <v>0</v>
      </c>
      <c r="U104" s="208"/>
      <c r="V104" s="208">
        <v>0</v>
      </c>
      <c r="W104" s="375">
        <f t="shared" si="155"/>
        <v>0</v>
      </c>
      <c r="X104" s="208">
        <v>0</v>
      </c>
      <c r="Y104" s="208">
        <v>0</v>
      </c>
      <c r="Z104" s="208">
        <v>0</v>
      </c>
      <c r="AA104" s="139">
        <f t="shared" si="156"/>
        <v>0</v>
      </c>
      <c r="AB104" s="614" t="str">
        <f t="shared" si="110"/>
        <v/>
      </c>
      <c r="AC104" s="359" t="str">
        <f>IF(ISNUMBER(AB104), IF(AND(AB104&gt;=(Parameters!F356*0.95), AB104&lt;=(Parameters!G356*1.05)), "Pass", IF(AB104&lt;Parameters!F356, "Fail (RW&lt;" &amp; Parameters!F356*100 &amp; "%)", "Fail (RW&gt;" &amp; Parameters!G356*100 &amp; "%)")), "")</f>
        <v/>
      </c>
      <c r="AD104" s="208"/>
      <c r="AE104" s="208"/>
      <c r="AF104" s="208"/>
      <c r="AG104" s="138"/>
      <c r="AH104" s="138"/>
      <c r="AI104" s="1845" t="str">
        <f t="shared" si="157"/>
        <v/>
      </c>
      <c r="AJ104" s="208"/>
      <c r="AK104" s="138"/>
      <c r="AL104" s="1513"/>
    </row>
    <row r="105" spans="2:38" ht="15" customHeight="1" x14ac:dyDescent="0.35">
      <c r="B105" s="406" t="s">
        <v>825</v>
      </c>
      <c r="C105" s="299"/>
      <c r="D105" s="208">
        <v>0</v>
      </c>
      <c r="E105" s="208">
        <v>0</v>
      </c>
      <c r="F105" s="208">
        <v>0</v>
      </c>
      <c r="G105" s="208"/>
      <c r="H105" s="208">
        <v>0</v>
      </c>
      <c r="I105" s="375">
        <f t="shared" si="153"/>
        <v>0</v>
      </c>
      <c r="J105" s="208">
        <v>0</v>
      </c>
      <c r="K105" s="208">
        <v>0</v>
      </c>
      <c r="L105" s="208">
        <v>0</v>
      </c>
      <c r="M105" s="375">
        <f t="shared" si="154"/>
        <v>0</v>
      </c>
      <c r="N105" s="1804">
        <v>0</v>
      </c>
      <c r="O105" s="208">
        <v>0</v>
      </c>
      <c r="P105" s="208">
        <v>0</v>
      </c>
      <c r="Q105" s="208"/>
      <c r="R105" s="208">
        <v>0</v>
      </c>
      <c r="S105" s="208">
        <v>0</v>
      </c>
      <c r="T105" s="208">
        <v>0</v>
      </c>
      <c r="U105" s="208"/>
      <c r="V105" s="208">
        <v>0</v>
      </c>
      <c r="W105" s="375">
        <f t="shared" si="155"/>
        <v>0</v>
      </c>
      <c r="X105" s="208">
        <v>0</v>
      </c>
      <c r="Y105" s="208">
        <v>0</v>
      </c>
      <c r="Z105" s="208">
        <v>0</v>
      </c>
      <c r="AA105" s="139">
        <f t="shared" si="156"/>
        <v>0</v>
      </c>
      <c r="AB105" s="614" t="str">
        <f t="shared" si="110"/>
        <v/>
      </c>
      <c r="AC105" s="359" t="str">
        <f>IF(ISNUMBER(AB105), IF(AND(AB105&gt;=(Parameters!F357*0.95), AB105&lt;=(Parameters!G357*1.05)), "Pass", IF(AB105&lt;Parameters!F357, "Fail (RW&lt;" &amp; Parameters!F357*100 &amp; "%)", "Fail (RW&gt;" &amp; Parameters!G357*100 &amp; "%)")), "")</f>
        <v/>
      </c>
      <c r="AD105" s="208"/>
      <c r="AE105" s="208"/>
      <c r="AF105" s="208"/>
      <c r="AG105" s="138"/>
      <c r="AH105" s="138"/>
      <c r="AI105" s="1845" t="str">
        <f t="shared" si="157"/>
        <v/>
      </c>
      <c r="AJ105" s="208"/>
      <c r="AK105" s="138"/>
      <c r="AL105" s="1513"/>
    </row>
    <row r="106" spans="2:38" ht="15" customHeight="1" x14ac:dyDescent="0.35">
      <c r="B106" s="406" t="s">
        <v>826</v>
      </c>
      <c r="C106" s="299"/>
      <c r="D106" s="208">
        <v>0</v>
      </c>
      <c r="E106" s="208">
        <v>0</v>
      </c>
      <c r="F106" s="208">
        <v>0</v>
      </c>
      <c r="G106" s="208"/>
      <c r="H106" s="208">
        <v>0</v>
      </c>
      <c r="I106" s="375">
        <f t="shared" si="153"/>
        <v>0</v>
      </c>
      <c r="J106" s="208">
        <v>0</v>
      </c>
      <c r="K106" s="208">
        <v>0</v>
      </c>
      <c r="L106" s="208">
        <v>0</v>
      </c>
      <c r="M106" s="375">
        <f t="shared" si="154"/>
        <v>0</v>
      </c>
      <c r="N106" s="1804">
        <v>0</v>
      </c>
      <c r="O106" s="208">
        <v>0</v>
      </c>
      <c r="P106" s="208">
        <v>0</v>
      </c>
      <c r="Q106" s="208"/>
      <c r="R106" s="208">
        <v>0</v>
      </c>
      <c r="S106" s="208">
        <v>0</v>
      </c>
      <c r="T106" s="208">
        <v>0</v>
      </c>
      <c r="U106" s="208"/>
      <c r="V106" s="208">
        <v>0</v>
      </c>
      <c r="W106" s="375">
        <f t="shared" si="155"/>
        <v>0</v>
      </c>
      <c r="X106" s="208">
        <v>0</v>
      </c>
      <c r="Y106" s="208">
        <v>0</v>
      </c>
      <c r="Z106" s="208">
        <v>0</v>
      </c>
      <c r="AA106" s="139">
        <f t="shared" si="156"/>
        <v>0</v>
      </c>
      <c r="AB106" s="614" t="str">
        <f t="shared" si="110"/>
        <v/>
      </c>
      <c r="AC106" s="359" t="str">
        <f>IF(ISNUMBER(AB106), IF(AND(AB106&gt;=(Parameters!F358*0.95), AB106&lt;=(Parameters!G358*1.05)), "Pass", IF(AB106&lt;Parameters!F358, "Fail (RW&lt;" &amp; Parameters!F358*100 &amp; "%)", "Fail (RW&gt;" &amp; Parameters!G358*100 &amp; "%)")), "")</f>
        <v/>
      </c>
      <c r="AD106" s="208"/>
      <c r="AE106" s="208"/>
      <c r="AF106" s="208"/>
      <c r="AG106" s="138"/>
      <c r="AH106" s="138"/>
      <c r="AI106" s="1845" t="str">
        <f t="shared" si="157"/>
        <v/>
      </c>
      <c r="AJ106" s="208"/>
      <c r="AK106" s="138"/>
      <c r="AL106" s="1513"/>
    </row>
    <row r="107" spans="2:38" ht="15" customHeight="1" x14ac:dyDescent="0.35">
      <c r="B107" s="406" t="s">
        <v>827</v>
      </c>
      <c r="C107" s="299"/>
      <c r="D107" s="208">
        <v>0</v>
      </c>
      <c r="E107" s="208">
        <v>0</v>
      </c>
      <c r="F107" s="208">
        <v>0</v>
      </c>
      <c r="G107" s="208"/>
      <c r="H107" s="208">
        <v>0</v>
      </c>
      <c r="I107" s="375">
        <f t="shared" si="153"/>
        <v>0</v>
      </c>
      <c r="J107" s="208">
        <v>0</v>
      </c>
      <c r="K107" s="208">
        <v>0</v>
      </c>
      <c r="L107" s="208">
        <v>0</v>
      </c>
      <c r="M107" s="375">
        <f t="shared" si="154"/>
        <v>0</v>
      </c>
      <c r="N107" s="1804">
        <v>0</v>
      </c>
      <c r="O107" s="208">
        <v>0</v>
      </c>
      <c r="P107" s="208">
        <v>0</v>
      </c>
      <c r="Q107" s="208"/>
      <c r="R107" s="208">
        <v>0</v>
      </c>
      <c r="S107" s="208">
        <v>0</v>
      </c>
      <c r="T107" s="208">
        <v>0</v>
      </c>
      <c r="U107" s="208"/>
      <c r="V107" s="208">
        <v>0</v>
      </c>
      <c r="W107" s="375">
        <f t="shared" si="155"/>
        <v>0</v>
      </c>
      <c r="X107" s="208">
        <v>0</v>
      </c>
      <c r="Y107" s="208">
        <v>0</v>
      </c>
      <c r="Z107" s="208">
        <v>0</v>
      </c>
      <c r="AA107" s="139">
        <f t="shared" si="156"/>
        <v>0</v>
      </c>
      <c r="AB107" s="614" t="str">
        <f t="shared" si="110"/>
        <v/>
      </c>
      <c r="AC107" s="359" t="str">
        <f>IF(ISNUMBER(AB107), IF(AND(AB107&gt;=(Parameters!F359*0.95), AB107&lt;=(Parameters!G359*1.05)), "Pass", IF(AB107&lt;Parameters!F359, "Fail (RW&lt;" &amp; Parameters!F359*100 &amp; "%)", "Fail (RW&gt;" &amp; Parameters!G359*100 &amp; "%)")), "")</f>
        <v/>
      </c>
      <c r="AD107" s="208"/>
      <c r="AE107" s="208"/>
      <c r="AF107" s="208"/>
      <c r="AG107" s="138"/>
      <c r="AH107" s="138"/>
      <c r="AI107" s="1845" t="str">
        <f t="shared" si="157"/>
        <v/>
      </c>
      <c r="AJ107" s="208"/>
      <c r="AK107" s="138"/>
      <c r="AL107" s="1513"/>
    </row>
    <row r="108" spans="2:38" ht="15" customHeight="1" x14ac:dyDescent="0.35">
      <c r="B108" s="406" t="s">
        <v>828</v>
      </c>
      <c r="C108" s="299"/>
      <c r="D108" s="208">
        <v>0</v>
      </c>
      <c r="E108" s="208">
        <v>0</v>
      </c>
      <c r="F108" s="208">
        <v>0</v>
      </c>
      <c r="G108" s="208"/>
      <c r="H108" s="208">
        <v>0</v>
      </c>
      <c r="I108" s="375">
        <f t="shared" si="153"/>
        <v>0</v>
      </c>
      <c r="J108" s="208">
        <v>0</v>
      </c>
      <c r="K108" s="208">
        <v>0</v>
      </c>
      <c r="L108" s="208">
        <v>0</v>
      </c>
      <c r="M108" s="375">
        <f t="shared" si="154"/>
        <v>0</v>
      </c>
      <c r="N108" s="1804">
        <v>0</v>
      </c>
      <c r="O108" s="208">
        <v>0</v>
      </c>
      <c r="P108" s="208">
        <v>0</v>
      </c>
      <c r="Q108" s="208"/>
      <c r="R108" s="208">
        <v>0</v>
      </c>
      <c r="S108" s="208">
        <v>0</v>
      </c>
      <c r="T108" s="208">
        <v>0</v>
      </c>
      <c r="U108" s="208"/>
      <c r="V108" s="208">
        <v>0</v>
      </c>
      <c r="W108" s="375">
        <f t="shared" si="155"/>
        <v>0</v>
      </c>
      <c r="X108" s="208">
        <v>0</v>
      </c>
      <c r="Y108" s="208">
        <v>0</v>
      </c>
      <c r="Z108" s="208">
        <v>0</v>
      </c>
      <c r="AA108" s="139">
        <f t="shared" si="156"/>
        <v>0</v>
      </c>
      <c r="AB108" s="614" t="str">
        <f t="shared" si="110"/>
        <v/>
      </c>
      <c r="AC108" s="319"/>
      <c r="AD108" s="208"/>
      <c r="AE108" s="208"/>
      <c r="AF108" s="208"/>
      <c r="AG108" s="138"/>
      <c r="AH108" s="138"/>
      <c r="AI108" s="1845" t="str">
        <f t="shared" si="157"/>
        <v/>
      </c>
      <c r="AJ108" s="208"/>
      <c r="AK108" s="138"/>
      <c r="AL108" s="1513"/>
    </row>
    <row r="109" spans="2:38" ht="15" customHeight="1" x14ac:dyDescent="0.35">
      <c r="B109" s="405" t="s">
        <v>829</v>
      </c>
      <c r="C109" s="375" t="str">
        <f t="shared" ref="C109:N109" si="158">IF($D$7="No", 0, IF(AND(ISNUMBER(C110), ISNUMBER(C111), ISNUMBER(C112)), SUM(C110:C112), ""))</f>
        <v/>
      </c>
      <c r="D109" s="375">
        <f t="shared" si="158"/>
        <v>312518</v>
      </c>
      <c r="E109" s="375">
        <f t="shared" si="158"/>
        <v>0</v>
      </c>
      <c r="F109" s="375">
        <f t="shared" si="158"/>
        <v>0</v>
      </c>
      <c r="G109" s="375" t="str">
        <f t="shared" si="158"/>
        <v/>
      </c>
      <c r="H109" s="375">
        <f t="shared" si="158"/>
        <v>161.99999999999997</v>
      </c>
      <c r="I109" s="375">
        <f t="shared" si="158"/>
        <v>312680</v>
      </c>
      <c r="J109" s="375">
        <f t="shared" si="158"/>
        <v>108192</v>
      </c>
      <c r="K109" s="375">
        <f t="shared" si="158"/>
        <v>0</v>
      </c>
      <c r="L109" s="375">
        <f t="shared" si="158"/>
        <v>57.000000000000014</v>
      </c>
      <c r="M109" s="375">
        <f t="shared" si="158"/>
        <v>108249</v>
      </c>
      <c r="N109" s="375">
        <f t="shared" si="158"/>
        <v>0</v>
      </c>
      <c r="O109" s="208">
        <v>635</v>
      </c>
      <c r="P109" s="208">
        <v>0</v>
      </c>
      <c r="Q109" s="375" t="str">
        <f t="shared" ref="Q109:AA109" si="159">IF($D$7="No", 0, IF(AND(ISNUMBER(Q110), ISNUMBER(Q111), ISNUMBER(Q112)), SUM(Q110:Q112), ""))</f>
        <v/>
      </c>
      <c r="R109" s="375">
        <f t="shared" si="159"/>
        <v>312518</v>
      </c>
      <c r="S109" s="375">
        <f t="shared" si="159"/>
        <v>0</v>
      </c>
      <c r="T109" s="375">
        <f t="shared" si="159"/>
        <v>0</v>
      </c>
      <c r="U109" s="375" t="str">
        <f t="shared" si="159"/>
        <v/>
      </c>
      <c r="V109" s="375">
        <f t="shared" si="159"/>
        <v>161.99999999999997</v>
      </c>
      <c r="W109" s="375">
        <f t="shared" si="159"/>
        <v>312680</v>
      </c>
      <c r="X109" s="375">
        <f t="shared" si="159"/>
        <v>62503.600000000006</v>
      </c>
      <c r="Y109" s="375">
        <f t="shared" si="159"/>
        <v>0</v>
      </c>
      <c r="Z109" s="375">
        <f t="shared" si="159"/>
        <v>32.4</v>
      </c>
      <c r="AA109" s="139">
        <f t="shared" si="159"/>
        <v>62536.000000000007</v>
      </c>
      <c r="AB109" s="614">
        <f t="shared" si="110"/>
        <v>0.2</v>
      </c>
      <c r="AC109" s="319"/>
      <c r="AD109" s="375" t="str">
        <f t="shared" ref="AD109:AK109" si="160">IF($D$7="No", 0, IF(AND(ISNUMBER(AD110), ISNUMBER(AD111), ISNUMBER(AD112)), SUM(AD110:AD112), ""))</f>
        <v/>
      </c>
      <c r="AE109" s="375" t="str">
        <f t="shared" si="160"/>
        <v/>
      </c>
      <c r="AF109" s="375" t="str">
        <f t="shared" si="160"/>
        <v/>
      </c>
      <c r="AG109" s="375" t="str">
        <f t="shared" si="160"/>
        <v/>
      </c>
      <c r="AH109" s="139" t="str">
        <f t="shared" si="160"/>
        <v/>
      </c>
      <c r="AI109" s="1845" t="str">
        <f t="shared" si="160"/>
        <v/>
      </c>
      <c r="AJ109" s="1846" t="str">
        <f t="shared" si="160"/>
        <v/>
      </c>
      <c r="AK109" s="1847" t="str">
        <f t="shared" si="160"/>
        <v/>
      </c>
      <c r="AL109" s="1513"/>
    </row>
    <row r="110" spans="2:38" ht="15" customHeight="1" x14ac:dyDescent="0.35">
      <c r="B110" s="406" t="s">
        <v>830</v>
      </c>
      <c r="C110" s="299"/>
      <c r="D110" s="208">
        <v>312518</v>
      </c>
      <c r="E110" s="208">
        <v>0</v>
      </c>
      <c r="F110" s="208">
        <v>0</v>
      </c>
      <c r="G110" s="208"/>
      <c r="H110" s="208">
        <v>161.99999999999997</v>
      </c>
      <c r="I110" s="375">
        <f t="shared" ref="I110:I112" si="161">IF(AND(ISNUMBER(D110),ISNUMBER(E110),ISNUMBER(H110)),SUM(D110,E110,H110),"")</f>
        <v>312680</v>
      </c>
      <c r="J110" s="208">
        <v>108192</v>
      </c>
      <c r="K110" s="208">
        <v>0</v>
      </c>
      <c r="L110" s="208">
        <v>57.000000000000014</v>
      </c>
      <c r="M110" s="375">
        <f t="shared" ref="M110:M112" si="162">IF(AND(ISNUMBER(J110),ISNUMBER(K110),ISNUMBER(L110)),SUM(J110:L110), "")</f>
        <v>108249</v>
      </c>
      <c r="N110" s="1804">
        <v>0</v>
      </c>
      <c r="O110" s="208">
        <v>635</v>
      </c>
      <c r="P110" s="208">
        <v>0</v>
      </c>
      <c r="Q110" s="208"/>
      <c r="R110" s="208">
        <v>312518</v>
      </c>
      <c r="S110" s="208">
        <v>0</v>
      </c>
      <c r="T110" s="208">
        <v>0</v>
      </c>
      <c r="U110" s="208"/>
      <c r="V110" s="208">
        <v>161.99999999999997</v>
      </c>
      <c r="W110" s="375">
        <f>IF(AND(ISNUMBER(R110),ISNUMBER(S110),ISNUMBER(V110)),SUM(R110,S110,V110),"")</f>
        <v>312680</v>
      </c>
      <c r="X110" s="208">
        <v>62503.600000000006</v>
      </c>
      <c r="Y110" s="208">
        <v>0</v>
      </c>
      <c r="Z110" s="208">
        <v>32.4</v>
      </c>
      <c r="AA110" s="139">
        <f t="shared" ref="AA110:AA112" si="163">IF(AND(ISNUMBER(X110),ISNUMBER(Y110),ISNUMBER(Z110)),SUM(X110:Z110), "")</f>
        <v>62536.000000000007</v>
      </c>
      <c r="AB110" s="614">
        <f t="shared" si="110"/>
        <v>0.2</v>
      </c>
      <c r="AC110" s="359" t="str">
        <f>IF(ISNUMBER(AB110), IF(AND(AB110&gt;=(Parameters!F362*0.95), AB110&lt;=(Parameters!G362*1.05)), "Pass", IF(AB110&lt;Parameters!F362, "Fail (RW&lt;" &amp; Parameters!F362*100 &amp; "%)", "Fail (RW&gt;" &amp; Parameters!G362*100 &amp; "%)")), "")</f>
        <v>Pass</v>
      </c>
      <c r="AD110" s="208"/>
      <c r="AE110" s="208"/>
      <c r="AF110" s="208"/>
      <c r="AG110" s="138"/>
      <c r="AH110" s="138"/>
      <c r="AI110" s="1845" t="str">
        <f t="shared" ref="AI110:AI112" si="164">IF(AND(ISNUMBER(AF110),ISNUMBER(AG110),ISNUMBER(AJ110)),AF110-AG110+AJ110,"")</f>
        <v/>
      </c>
      <c r="AJ110" s="208"/>
      <c r="AK110" s="138"/>
      <c r="AL110" s="1513"/>
    </row>
    <row r="111" spans="2:38" ht="15" customHeight="1" x14ac:dyDescent="0.35">
      <c r="B111" s="406" t="s">
        <v>831</v>
      </c>
      <c r="C111" s="299"/>
      <c r="D111" s="208">
        <v>0</v>
      </c>
      <c r="E111" s="208">
        <v>0</v>
      </c>
      <c r="F111" s="208">
        <v>0</v>
      </c>
      <c r="G111" s="208"/>
      <c r="H111" s="208">
        <v>0</v>
      </c>
      <c r="I111" s="375">
        <f t="shared" si="161"/>
        <v>0</v>
      </c>
      <c r="J111" s="208">
        <v>0</v>
      </c>
      <c r="K111" s="208">
        <v>0</v>
      </c>
      <c r="L111" s="208">
        <v>0</v>
      </c>
      <c r="M111" s="375">
        <f t="shared" si="162"/>
        <v>0</v>
      </c>
      <c r="N111" s="1804">
        <v>0</v>
      </c>
      <c r="O111" s="208">
        <v>0</v>
      </c>
      <c r="P111" s="208">
        <v>0</v>
      </c>
      <c r="Q111" s="208"/>
      <c r="R111" s="208">
        <v>0</v>
      </c>
      <c r="S111" s="208">
        <v>0</v>
      </c>
      <c r="T111" s="208">
        <v>0</v>
      </c>
      <c r="U111" s="208"/>
      <c r="V111" s="208">
        <v>0</v>
      </c>
      <c r="W111" s="375">
        <f>IF(AND(ISNUMBER(R111),ISNUMBER(S111),ISNUMBER(V111)),SUM(R111,S111,V111),"")</f>
        <v>0</v>
      </c>
      <c r="X111" s="208">
        <v>0</v>
      </c>
      <c r="Y111" s="208">
        <v>0</v>
      </c>
      <c r="Z111" s="208">
        <v>0</v>
      </c>
      <c r="AA111" s="139">
        <f t="shared" si="163"/>
        <v>0</v>
      </c>
      <c r="AB111" s="614" t="str">
        <f t="shared" si="110"/>
        <v/>
      </c>
      <c r="AC111" s="319"/>
      <c r="AD111" s="208"/>
      <c r="AE111" s="208"/>
      <c r="AF111" s="208"/>
      <c r="AG111" s="138"/>
      <c r="AH111" s="138"/>
      <c r="AI111" s="1845" t="str">
        <f t="shared" si="164"/>
        <v/>
      </c>
      <c r="AJ111" s="208"/>
      <c r="AK111" s="138"/>
      <c r="AL111" s="1513"/>
    </row>
    <row r="112" spans="2:38" ht="15" customHeight="1" x14ac:dyDescent="0.35">
      <c r="B112" s="406" t="s">
        <v>828</v>
      </c>
      <c r="C112" s="299"/>
      <c r="D112" s="208">
        <v>0</v>
      </c>
      <c r="E112" s="208">
        <v>0</v>
      </c>
      <c r="F112" s="208">
        <v>0</v>
      </c>
      <c r="G112" s="208"/>
      <c r="H112" s="208">
        <v>0</v>
      </c>
      <c r="I112" s="375">
        <f t="shared" si="161"/>
        <v>0</v>
      </c>
      <c r="J112" s="208">
        <v>0</v>
      </c>
      <c r="K112" s="208">
        <v>0</v>
      </c>
      <c r="L112" s="208">
        <v>0</v>
      </c>
      <c r="M112" s="375">
        <f t="shared" si="162"/>
        <v>0</v>
      </c>
      <c r="N112" s="1804">
        <v>0</v>
      </c>
      <c r="O112" s="208">
        <v>0</v>
      </c>
      <c r="P112" s="208">
        <v>0</v>
      </c>
      <c r="Q112" s="208"/>
      <c r="R112" s="208">
        <v>0</v>
      </c>
      <c r="S112" s="208">
        <v>0</v>
      </c>
      <c r="T112" s="208">
        <v>0</v>
      </c>
      <c r="U112" s="208"/>
      <c r="V112" s="208">
        <v>0</v>
      </c>
      <c r="W112" s="375">
        <f>IF(AND(ISNUMBER(R112),ISNUMBER(S112),ISNUMBER(V112)),SUM(R112,S112,V112),"")</f>
        <v>0</v>
      </c>
      <c r="X112" s="208">
        <v>0</v>
      </c>
      <c r="Y112" s="208">
        <v>0</v>
      </c>
      <c r="Z112" s="208">
        <v>0</v>
      </c>
      <c r="AA112" s="139">
        <f t="shared" si="163"/>
        <v>0</v>
      </c>
      <c r="AB112" s="614" t="str">
        <f t="shared" si="110"/>
        <v/>
      </c>
      <c r="AC112" s="319"/>
      <c r="AD112" s="208"/>
      <c r="AE112" s="208"/>
      <c r="AF112" s="208"/>
      <c r="AG112" s="138"/>
      <c r="AH112" s="138"/>
      <c r="AI112" s="1845" t="str">
        <f t="shared" si="164"/>
        <v/>
      </c>
      <c r="AJ112" s="208"/>
      <c r="AK112" s="138"/>
      <c r="AL112" s="1513"/>
    </row>
    <row r="113" spans="2:38" ht="15" customHeight="1" x14ac:dyDescent="0.35">
      <c r="B113" s="305" t="s">
        <v>832</v>
      </c>
      <c r="C113" s="375" t="str">
        <f>IF(AND(ISNUMBER(C114),ISNUMBER(C118)),SUM(C114,C118),"")</f>
        <v/>
      </c>
      <c r="D113" s="375">
        <f t="shared" ref="D113:I113" si="165">IF(AND(ISNUMBER(D114),ISNUMBER(D118)),SUM(D114,D118),"")</f>
        <v>0</v>
      </c>
      <c r="E113" s="375">
        <f t="shared" si="165"/>
        <v>0</v>
      </c>
      <c r="F113" s="375">
        <f t="shared" si="165"/>
        <v>0</v>
      </c>
      <c r="G113" s="375" t="str">
        <f t="shared" si="165"/>
        <v/>
      </c>
      <c r="H113" s="375">
        <f t="shared" si="165"/>
        <v>0</v>
      </c>
      <c r="I113" s="375">
        <f t="shared" si="165"/>
        <v>0</v>
      </c>
      <c r="J113" s="375">
        <f t="shared" ref="J113:K113" si="166">IF(AND(ISNUMBER(J114),ISNUMBER(J118)),SUM(J114,J118),"")</f>
        <v>0</v>
      </c>
      <c r="K113" s="375">
        <f t="shared" si="166"/>
        <v>0</v>
      </c>
      <c r="L113" s="375">
        <f t="shared" ref="L113" si="167">IF(AND(ISNUMBER(L114),ISNUMBER(L118)),SUM(L114,L118),"")</f>
        <v>0</v>
      </c>
      <c r="M113" s="375">
        <f>IF(AND(ISNUMBER(M114),ISNUMBER(M118)),SUM(M114,M118),"")</f>
        <v>0</v>
      </c>
      <c r="N113" s="375">
        <f>IF(AND(ISNUMBER(N114),ISNUMBER(N118)),SUM(N114,N118),"")</f>
        <v>0</v>
      </c>
      <c r="O113" s="208">
        <v>0</v>
      </c>
      <c r="P113" s="208">
        <v>0</v>
      </c>
      <c r="Q113" s="375" t="str">
        <f>IF(AND(ISNUMBER(Q114),ISNUMBER(Q118)),SUM(Q114,Q118),"")</f>
        <v/>
      </c>
      <c r="R113" s="375">
        <f t="shared" ref="R113:W113" si="168">IF(AND(ISNUMBER(R114),ISNUMBER(R118)),SUM(R114,R118),"")</f>
        <v>0</v>
      </c>
      <c r="S113" s="375">
        <f t="shared" si="168"/>
        <v>0</v>
      </c>
      <c r="T113" s="375">
        <f t="shared" si="168"/>
        <v>0</v>
      </c>
      <c r="U113" s="375" t="str">
        <f t="shared" si="168"/>
        <v/>
      </c>
      <c r="V113" s="375">
        <f t="shared" si="168"/>
        <v>0</v>
      </c>
      <c r="W113" s="375">
        <f t="shared" si="168"/>
        <v>0</v>
      </c>
      <c r="X113" s="375">
        <f>IF(AND(ISNUMBER(X114),ISNUMBER(X118)),SUM(X114,X118),"")</f>
        <v>0</v>
      </c>
      <c r="Y113" s="375">
        <f>IF(AND(ISNUMBER(Y114),ISNUMBER(Y118)),SUM(Y114,Y118),"")</f>
        <v>0</v>
      </c>
      <c r="Z113" s="375">
        <f>IF(AND(ISNUMBER(Z114),ISNUMBER(Z118)),SUM(Z114,Z118),"")</f>
        <v>0</v>
      </c>
      <c r="AA113" s="139">
        <f>IF(AND(ISNUMBER(AA114),ISNUMBER(AA118)),SUM(AA114,AA118),"")</f>
        <v>0</v>
      </c>
      <c r="AB113" s="614" t="str">
        <f t="shared" si="110"/>
        <v/>
      </c>
      <c r="AC113" s="319"/>
      <c r="AD113" s="375" t="str">
        <f t="shared" ref="AD113" si="169">IF(AND(ISNUMBER(AD114),ISNUMBER(AD118)),SUM(AD114,AD118),"")</f>
        <v/>
      </c>
      <c r="AE113" s="375" t="str">
        <f>IF(AND(ISNUMBER(AE114),ISNUMBER(AE118)),SUM(AE114,AE118),"")</f>
        <v/>
      </c>
      <c r="AF113" s="375" t="str">
        <f t="shared" ref="AF113:AK113" si="170">IF(AND(ISNUMBER(AF114),ISNUMBER(AF118)),SUM(AF114,AF118),"")</f>
        <v/>
      </c>
      <c r="AG113" s="375" t="str">
        <f t="shared" si="170"/>
        <v/>
      </c>
      <c r="AH113" s="139" t="str">
        <f t="shared" si="170"/>
        <v/>
      </c>
      <c r="AI113" s="1845" t="str">
        <f t="shared" si="170"/>
        <v/>
      </c>
      <c r="AJ113" s="1846" t="str">
        <f t="shared" si="170"/>
        <v/>
      </c>
      <c r="AK113" s="1847" t="str">
        <f t="shared" si="170"/>
        <v/>
      </c>
      <c r="AL113" s="1513"/>
    </row>
    <row r="114" spans="2:38" ht="15" customHeight="1" x14ac:dyDescent="0.35">
      <c r="B114" s="405" t="s">
        <v>821</v>
      </c>
      <c r="C114" s="375">
        <f t="shared" ref="C114:N114" si="171">IF($D$7="Yes", 0, IF(AND(ISNUMBER(C115),ISNUMBER(C116),ISNUMBER(C117)),SUM(C115:C117),""))</f>
        <v>0</v>
      </c>
      <c r="D114" s="375">
        <f t="shared" si="171"/>
        <v>0</v>
      </c>
      <c r="E114" s="375">
        <f t="shared" si="171"/>
        <v>0</v>
      </c>
      <c r="F114" s="375">
        <f t="shared" si="171"/>
        <v>0</v>
      </c>
      <c r="G114" s="375">
        <f t="shared" si="171"/>
        <v>0</v>
      </c>
      <c r="H114" s="375">
        <f t="shared" si="171"/>
        <v>0</v>
      </c>
      <c r="I114" s="375">
        <f t="shared" si="171"/>
        <v>0</v>
      </c>
      <c r="J114" s="375">
        <f t="shared" si="171"/>
        <v>0</v>
      </c>
      <c r="K114" s="375">
        <f t="shared" si="171"/>
        <v>0</v>
      </c>
      <c r="L114" s="375">
        <f t="shared" si="171"/>
        <v>0</v>
      </c>
      <c r="M114" s="375">
        <f t="shared" si="171"/>
        <v>0</v>
      </c>
      <c r="N114" s="375">
        <f t="shared" si="171"/>
        <v>0</v>
      </c>
      <c r="O114" s="208">
        <v>0</v>
      </c>
      <c r="P114" s="208">
        <v>0</v>
      </c>
      <c r="Q114" s="375">
        <f t="shared" ref="Q114:AA114" si="172">IF($D$7="Yes", 0, IF(AND(ISNUMBER(Q115),ISNUMBER(Q116),ISNUMBER(Q117)),SUM(Q115:Q117),""))</f>
        <v>0</v>
      </c>
      <c r="R114" s="375">
        <f t="shared" si="172"/>
        <v>0</v>
      </c>
      <c r="S114" s="375">
        <f t="shared" si="172"/>
        <v>0</v>
      </c>
      <c r="T114" s="375">
        <f t="shared" si="172"/>
        <v>0</v>
      </c>
      <c r="U114" s="375">
        <f t="shared" si="172"/>
        <v>0</v>
      </c>
      <c r="V114" s="375">
        <f t="shared" si="172"/>
        <v>0</v>
      </c>
      <c r="W114" s="375">
        <f t="shared" si="172"/>
        <v>0</v>
      </c>
      <c r="X114" s="375">
        <f t="shared" si="172"/>
        <v>0</v>
      </c>
      <c r="Y114" s="375">
        <f t="shared" si="172"/>
        <v>0</v>
      </c>
      <c r="Z114" s="375">
        <f t="shared" si="172"/>
        <v>0</v>
      </c>
      <c r="AA114" s="139">
        <f t="shared" si="172"/>
        <v>0</v>
      </c>
      <c r="AB114" s="614" t="str">
        <f t="shared" si="110"/>
        <v/>
      </c>
      <c r="AC114" s="319"/>
      <c r="AD114" s="375">
        <f t="shared" ref="AD114:AK114" si="173">IF($D$7="Yes", 0, IF(AND(ISNUMBER(AD115),ISNUMBER(AD116),ISNUMBER(AD117)),SUM(AD115:AD117),""))</f>
        <v>0</v>
      </c>
      <c r="AE114" s="375">
        <f t="shared" si="173"/>
        <v>0</v>
      </c>
      <c r="AF114" s="375">
        <f t="shared" si="173"/>
        <v>0</v>
      </c>
      <c r="AG114" s="375">
        <f t="shared" si="173"/>
        <v>0</v>
      </c>
      <c r="AH114" s="139">
        <f t="shared" si="173"/>
        <v>0</v>
      </c>
      <c r="AI114" s="1845">
        <f t="shared" si="173"/>
        <v>0</v>
      </c>
      <c r="AJ114" s="1846">
        <f t="shared" si="173"/>
        <v>0</v>
      </c>
      <c r="AK114" s="1847">
        <f t="shared" si="173"/>
        <v>0</v>
      </c>
      <c r="AL114" s="1513"/>
    </row>
    <row r="115" spans="2:38" ht="15" customHeight="1" x14ac:dyDescent="0.35">
      <c r="B115" s="406" t="s">
        <v>833</v>
      </c>
      <c r="C115" s="299"/>
      <c r="D115" s="208">
        <v>0</v>
      </c>
      <c r="E115" s="208">
        <v>0</v>
      </c>
      <c r="F115" s="208">
        <v>0</v>
      </c>
      <c r="G115" s="208"/>
      <c r="H115" s="208">
        <v>0</v>
      </c>
      <c r="I115" s="375">
        <f t="shared" ref="I115:I117" si="174">IF(AND(ISNUMBER(D115),ISNUMBER(E115),ISNUMBER(H115)),SUM(D115,E115,H115),"")</f>
        <v>0</v>
      </c>
      <c r="J115" s="208">
        <v>0</v>
      </c>
      <c r="K115" s="208">
        <v>0</v>
      </c>
      <c r="L115" s="208">
        <v>0</v>
      </c>
      <c r="M115" s="375">
        <f t="shared" ref="M115:M117" si="175">IF(AND(ISNUMBER(J115),ISNUMBER(K115),ISNUMBER(L115)),SUM(J115:L115), "")</f>
        <v>0</v>
      </c>
      <c r="N115" s="1804">
        <v>0</v>
      </c>
      <c r="O115" s="208">
        <v>0</v>
      </c>
      <c r="P115" s="208">
        <v>0</v>
      </c>
      <c r="Q115" s="208"/>
      <c r="R115" s="208">
        <v>0</v>
      </c>
      <c r="S115" s="208">
        <v>0</v>
      </c>
      <c r="T115" s="208">
        <v>0</v>
      </c>
      <c r="U115" s="208"/>
      <c r="V115" s="208">
        <v>0</v>
      </c>
      <c r="W115" s="375">
        <f>IF(AND(ISNUMBER(R115),ISNUMBER(S115),ISNUMBER(V115)),SUM(R115,S115,V115),"")</f>
        <v>0</v>
      </c>
      <c r="X115" s="208">
        <v>0</v>
      </c>
      <c r="Y115" s="208">
        <v>0</v>
      </c>
      <c r="Z115" s="208">
        <v>0</v>
      </c>
      <c r="AA115" s="139">
        <f t="shared" ref="AA115:AA117" si="176">IF(AND(ISNUMBER(X115),ISNUMBER(Y115),ISNUMBER(Z115)),SUM(X115:Z115), "")</f>
        <v>0</v>
      </c>
      <c r="AB115" s="614" t="str">
        <f t="shared" si="110"/>
        <v/>
      </c>
      <c r="AC115" s="319"/>
      <c r="AD115" s="208"/>
      <c r="AE115" s="208"/>
      <c r="AF115" s="208"/>
      <c r="AG115" s="138"/>
      <c r="AH115" s="138"/>
      <c r="AI115" s="1845" t="str">
        <f t="shared" ref="AI115:AI117" si="177">IF(AND(ISNUMBER(AF115),ISNUMBER(AG115),ISNUMBER(AJ115)),AF115-AG115+AJ115,"")</f>
        <v/>
      </c>
      <c r="AJ115" s="208"/>
      <c r="AK115" s="138"/>
      <c r="AL115" s="1513"/>
    </row>
    <row r="116" spans="2:38" ht="15" customHeight="1" x14ac:dyDescent="0.35">
      <c r="B116" s="406" t="s">
        <v>834</v>
      </c>
      <c r="C116" s="299"/>
      <c r="D116" s="208">
        <v>0</v>
      </c>
      <c r="E116" s="208">
        <v>0</v>
      </c>
      <c r="F116" s="208">
        <v>0</v>
      </c>
      <c r="G116" s="208"/>
      <c r="H116" s="208">
        <v>0</v>
      </c>
      <c r="I116" s="375">
        <f t="shared" si="174"/>
        <v>0</v>
      </c>
      <c r="J116" s="208">
        <v>0</v>
      </c>
      <c r="K116" s="208">
        <v>0</v>
      </c>
      <c r="L116" s="208">
        <v>0</v>
      </c>
      <c r="M116" s="375">
        <f t="shared" si="175"/>
        <v>0</v>
      </c>
      <c r="N116" s="1804">
        <v>0</v>
      </c>
      <c r="O116" s="208">
        <v>0</v>
      </c>
      <c r="P116" s="208">
        <v>0</v>
      </c>
      <c r="Q116" s="208"/>
      <c r="R116" s="208">
        <v>0</v>
      </c>
      <c r="S116" s="208">
        <v>0</v>
      </c>
      <c r="T116" s="208">
        <v>0</v>
      </c>
      <c r="U116" s="208"/>
      <c r="V116" s="208">
        <v>0</v>
      </c>
      <c r="W116" s="375">
        <f>IF(AND(ISNUMBER(R116),ISNUMBER(S116),ISNUMBER(V116)),SUM(R116,S116,V116),"")</f>
        <v>0</v>
      </c>
      <c r="X116" s="208">
        <v>0</v>
      </c>
      <c r="Y116" s="208">
        <v>0</v>
      </c>
      <c r="Z116" s="208">
        <v>0</v>
      </c>
      <c r="AA116" s="139">
        <f t="shared" si="176"/>
        <v>0</v>
      </c>
      <c r="AB116" s="614" t="str">
        <f t="shared" si="110"/>
        <v/>
      </c>
      <c r="AC116" s="319"/>
      <c r="AD116" s="208"/>
      <c r="AE116" s="208"/>
      <c r="AF116" s="208"/>
      <c r="AG116" s="138"/>
      <c r="AH116" s="138"/>
      <c r="AI116" s="1845" t="str">
        <f t="shared" si="177"/>
        <v/>
      </c>
      <c r="AJ116" s="208"/>
      <c r="AK116" s="138"/>
      <c r="AL116" s="1513"/>
    </row>
    <row r="117" spans="2:38" ht="15" customHeight="1" x14ac:dyDescent="0.35">
      <c r="B117" s="406" t="s">
        <v>828</v>
      </c>
      <c r="C117" s="299"/>
      <c r="D117" s="208">
        <v>0</v>
      </c>
      <c r="E117" s="208">
        <v>0</v>
      </c>
      <c r="F117" s="208">
        <v>0</v>
      </c>
      <c r="G117" s="208"/>
      <c r="H117" s="208">
        <v>0</v>
      </c>
      <c r="I117" s="375">
        <f t="shared" si="174"/>
        <v>0</v>
      </c>
      <c r="J117" s="208">
        <v>0</v>
      </c>
      <c r="K117" s="208">
        <v>0</v>
      </c>
      <c r="L117" s="208">
        <v>0</v>
      </c>
      <c r="M117" s="375">
        <f t="shared" si="175"/>
        <v>0</v>
      </c>
      <c r="N117" s="1804">
        <v>0</v>
      </c>
      <c r="O117" s="208">
        <v>0</v>
      </c>
      <c r="P117" s="208">
        <v>0</v>
      </c>
      <c r="Q117" s="208"/>
      <c r="R117" s="208">
        <v>0</v>
      </c>
      <c r="S117" s="208">
        <v>0</v>
      </c>
      <c r="T117" s="208">
        <v>0</v>
      </c>
      <c r="U117" s="208"/>
      <c r="V117" s="208">
        <v>0</v>
      </c>
      <c r="W117" s="375">
        <f>IF(AND(ISNUMBER(R117),ISNUMBER(S117),ISNUMBER(V117)),SUM(R117,S117,V117),"")</f>
        <v>0</v>
      </c>
      <c r="X117" s="208">
        <v>0</v>
      </c>
      <c r="Y117" s="208">
        <v>0</v>
      </c>
      <c r="Z117" s="208">
        <v>0</v>
      </c>
      <c r="AA117" s="139">
        <f t="shared" si="176"/>
        <v>0</v>
      </c>
      <c r="AB117" s="614" t="str">
        <f t="shared" si="110"/>
        <v/>
      </c>
      <c r="AC117" s="319"/>
      <c r="AD117" s="208"/>
      <c r="AE117" s="208"/>
      <c r="AF117" s="208"/>
      <c r="AG117" s="138"/>
      <c r="AH117" s="138"/>
      <c r="AI117" s="1845" t="str">
        <f t="shared" si="177"/>
        <v/>
      </c>
      <c r="AJ117" s="208"/>
      <c r="AK117" s="138"/>
      <c r="AL117" s="1513"/>
    </row>
    <row r="118" spans="2:38" ht="15" customHeight="1" x14ac:dyDescent="0.35">
      <c r="B118" s="405" t="s">
        <v>829</v>
      </c>
      <c r="C118" s="375" t="str">
        <f t="shared" ref="C118:N118" si="178">IF($D$7="No", 0, IF(AND(ISNUMBER(C119), ISNUMBER(C120), ISNUMBER(C121)), SUM(C119:C121), ""))</f>
        <v/>
      </c>
      <c r="D118" s="375">
        <f t="shared" si="178"/>
        <v>0</v>
      </c>
      <c r="E118" s="375">
        <f t="shared" si="178"/>
        <v>0</v>
      </c>
      <c r="F118" s="375">
        <f t="shared" si="178"/>
        <v>0</v>
      </c>
      <c r="G118" s="375" t="str">
        <f t="shared" si="178"/>
        <v/>
      </c>
      <c r="H118" s="375">
        <f t="shared" si="178"/>
        <v>0</v>
      </c>
      <c r="I118" s="375">
        <f t="shared" si="178"/>
        <v>0</v>
      </c>
      <c r="J118" s="375">
        <f t="shared" si="178"/>
        <v>0</v>
      </c>
      <c r="K118" s="375">
        <f t="shared" si="178"/>
        <v>0</v>
      </c>
      <c r="L118" s="375">
        <f t="shared" si="178"/>
        <v>0</v>
      </c>
      <c r="M118" s="375">
        <f t="shared" si="178"/>
        <v>0</v>
      </c>
      <c r="N118" s="375">
        <f t="shared" si="178"/>
        <v>0</v>
      </c>
      <c r="O118" s="208">
        <v>0</v>
      </c>
      <c r="P118" s="208">
        <v>0</v>
      </c>
      <c r="Q118" s="375" t="str">
        <f t="shared" ref="Q118:AA118" si="179">IF($D$7="No", 0, IF(AND(ISNUMBER(Q119), ISNUMBER(Q120), ISNUMBER(Q121)), SUM(Q119:Q121), ""))</f>
        <v/>
      </c>
      <c r="R118" s="375">
        <f t="shared" si="179"/>
        <v>0</v>
      </c>
      <c r="S118" s="375">
        <f t="shared" si="179"/>
        <v>0</v>
      </c>
      <c r="T118" s="375">
        <f t="shared" si="179"/>
        <v>0</v>
      </c>
      <c r="U118" s="375" t="str">
        <f t="shared" si="179"/>
        <v/>
      </c>
      <c r="V118" s="375">
        <f t="shared" si="179"/>
        <v>0</v>
      </c>
      <c r="W118" s="375">
        <f t="shared" si="179"/>
        <v>0</v>
      </c>
      <c r="X118" s="375">
        <f t="shared" si="179"/>
        <v>0</v>
      </c>
      <c r="Y118" s="375">
        <f t="shared" si="179"/>
        <v>0</v>
      </c>
      <c r="Z118" s="375">
        <f t="shared" si="179"/>
        <v>0</v>
      </c>
      <c r="AA118" s="139">
        <f t="shared" si="179"/>
        <v>0</v>
      </c>
      <c r="AB118" s="614" t="str">
        <f t="shared" si="110"/>
        <v/>
      </c>
      <c r="AC118" s="319"/>
      <c r="AD118" s="375" t="str">
        <f t="shared" ref="AD118:AK118" si="180">IF($D$7="No", 0, IF(AND(ISNUMBER(AD119), ISNUMBER(AD120), ISNUMBER(AD121)), SUM(AD119:AD121), ""))</f>
        <v/>
      </c>
      <c r="AE118" s="375" t="str">
        <f t="shared" si="180"/>
        <v/>
      </c>
      <c r="AF118" s="375" t="str">
        <f t="shared" si="180"/>
        <v/>
      </c>
      <c r="AG118" s="375" t="str">
        <f t="shared" si="180"/>
        <v/>
      </c>
      <c r="AH118" s="139" t="str">
        <f t="shared" si="180"/>
        <v/>
      </c>
      <c r="AI118" s="1845" t="str">
        <f t="shared" si="180"/>
        <v/>
      </c>
      <c r="AJ118" s="1846" t="str">
        <f t="shared" si="180"/>
        <v/>
      </c>
      <c r="AK118" s="1847" t="str">
        <f t="shared" si="180"/>
        <v/>
      </c>
      <c r="AL118" s="1513"/>
    </row>
    <row r="119" spans="2:38" ht="15" customHeight="1" x14ac:dyDescent="0.35">
      <c r="B119" s="406" t="s">
        <v>830</v>
      </c>
      <c r="C119" s="299"/>
      <c r="D119" s="208">
        <v>0</v>
      </c>
      <c r="E119" s="208">
        <v>0</v>
      </c>
      <c r="F119" s="208">
        <v>0</v>
      </c>
      <c r="G119" s="208"/>
      <c r="H119" s="208">
        <v>0</v>
      </c>
      <c r="I119" s="375">
        <f t="shared" ref="I119:I121" si="181">IF(AND(ISNUMBER(D119),ISNUMBER(E119),ISNUMBER(H119)),SUM(D119,E119,H119),"")</f>
        <v>0</v>
      </c>
      <c r="J119" s="208">
        <v>0</v>
      </c>
      <c r="K119" s="208">
        <v>0</v>
      </c>
      <c r="L119" s="208">
        <v>0</v>
      </c>
      <c r="M119" s="375">
        <f t="shared" ref="M119:M121" si="182">IF(AND(ISNUMBER(J119),ISNUMBER(K119),ISNUMBER(L119)),SUM(J119:L119), "")</f>
        <v>0</v>
      </c>
      <c r="N119" s="1804">
        <v>0</v>
      </c>
      <c r="O119" s="208">
        <v>0</v>
      </c>
      <c r="P119" s="208">
        <v>0</v>
      </c>
      <c r="Q119" s="208"/>
      <c r="R119" s="208">
        <v>0</v>
      </c>
      <c r="S119" s="208">
        <v>0</v>
      </c>
      <c r="T119" s="208">
        <v>0</v>
      </c>
      <c r="U119" s="208"/>
      <c r="V119" s="208">
        <v>0</v>
      </c>
      <c r="W119" s="375">
        <f>IF(AND(ISNUMBER(R119),ISNUMBER(S119),ISNUMBER(V119)),SUM(R119,S119,V119),"")</f>
        <v>0</v>
      </c>
      <c r="X119" s="208">
        <v>0</v>
      </c>
      <c r="Y119" s="208">
        <v>0</v>
      </c>
      <c r="Z119" s="208">
        <v>0</v>
      </c>
      <c r="AA119" s="139">
        <f t="shared" ref="AA119:AA121" si="183">IF(AND(ISNUMBER(X119),ISNUMBER(Y119),ISNUMBER(Z119)),SUM(X119:Z119), "")</f>
        <v>0</v>
      </c>
      <c r="AB119" s="614" t="str">
        <f t="shared" si="110"/>
        <v/>
      </c>
      <c r="AC119" s="319"/>
      <c r="AD119" s="208"/>
      <c r="AE119" s="208"/>
      <c r="AF119" s="208"/>
      <c r="AG119" s="138"/>
      <c r="AH119" s="138"/>
      <c r="AI119" s="1845" t="str">
        <f t="shared" ref="AI119:AI121" si="184">IF(AND(ISNUMBER(AF119),ISNUMBER(AG119),ISNUMBER(AJ119)),AF119-AG119+AJ119,"")</f>
        <v/>
      </c>
      <c r="AJ119" s="208"/>
      <c r="AK119" s="138"/>
      <c r="AL119" s="1513"/>
    </row>
    <row r="120" spans="2:38" ht="15" customHeight="1" x14ac:dyDescent="0.35">
      <c r="B120" s="406" t="s">
        <v>831</v>
      </c>
      <c r="C120" s="299"/>
      <c r="D120" s="208">
        <v>0</v>
      </c>
      <c r="E120" s="208">
        <v>0</v>
      </c>
      <c r="F120" s="208">
        <v>0</v>
      </c>
      <c r="G120" s="208"/>
      <c r="H120" s="208">
        <v>0</v>
      </c>
      <c r="I120" s="375">
        <f t="shared" si="181"/>
        <v>0</v>
      </c>
      <c r="J120" s="208">
        <v>0</v>
      </c>
      <c r="K120" s="208">
        <v>0</v>
      </c>
      <c r="L120" s="208">
        <v>0</v>
      </c>
      <c r="M120" s="375">
        <f t="shared" si="182"/>
        <v>0</v>
      </c>
      <c r="N120" s="1804">
        <v>0</v>
      </c>
      <c r="O120" s="208">
        <v>0</v>
      </c>
      <c r="P120" s="208">
        <v>0</v>
      </c>
      <c r="Q120" s="208"/>
      <c r="R120" s="208">
        <v>0</v>
      </c>
      <c r="S120" s="208">
        <v>0</v>
      </c>
      <c r="T120" s="208">
        <v>0</v>
      </c>
      <c r="U120" s="208"/>
      <c r="V120" s="208">
        <v>0</v>
      </c>
      <c r="W120" s="375">
        <f>IF(AND(ISNUMBER(R120),ISNUMBER(S120),ISNUMBER(V120)),SUM(R120,S120,V120),"")</f>
        <v>0</v>
      </c>
      <c r="X120" s="208">
        <v>0</v>
      </c>
      <c r="Y120" s="208">
        <v>0</v>
      </c>
      <c r="Z120" s="208">
        <v>0</v>
      </c>
      <c r="AA120" s="139">
        <f t="shared" si="183"/>
        <v>0</v>
      </c>
      <c r="AB120" s="614" t="str">
        <f t="shared" si="110"/>
        <v/>
      </c>
      <c r="AC120" s="319"/>
      <c r="AD120" s="208"/>
      <c r="AE120" s="208"/>
      <c r="AF120" s="208"/>
      <c r="AG120" s="138"/>
      <c r="AH120" s="138"/>
      <c r="AI120" s="1845" t="str">
        <f t="shared" si="184"/>
        <v/>
      </c>
      <c r="AJ120" s="208"/>
      <c r="AK120" s="138"/>
      <c r="AL120" s="1513"/>
    </row>
    <row r="121" spans="2:38" ht="15" customHeight="1" x14ac:dyDescent="0.35">
      <c r="B121" s="406" t="s">
        <v>828</v>
      </c>
      <c r="C121" s="299"/>
      <c r="D121" s="208">
        <v>0</v>
      </c>
      <c r="E121" s="208">
        <v>0</v>
      </c>
      <c r="F121" s="208">
        <v>0</v>
      </c>
      <c r="G121" s="208"/>
      <c r="H121" s="208">
        <v>0</v>
      </c>
      <c r="I121" s="375">
        <f t="shared" si="181"/>
        <v>0</v>
      </c>
      <c r="J121" s="208">
        <v>0</v>
      </c>
      <c r="K121" s="208">
        <v>0</v>
      </c>
      <c r="L121" s="208">
        <v>0</v>
      </c>
      <c r="M121" s="375">
        <f t="shared" si="182"/>
        <v>0</v>
      </c>
      <c r="N121" s="1804">
        <v>0</v>
      </c>
      <c r="O121" s="208">
        <v>0</v>
      </c>
      <c r="P121" s="208">
        <v>0</v>
      </c>
      <c r="Q121" s="208"/>
      <c r="R121" s="208">
        <v>0</v>
      </c>
      <c r="S121" s="208">
        <v>0</v>
      </c>
      <c r="T121" s="208">
        <v>0</v>
      </c>
      <c r="U121" s="208"/>
      <c r="V121" s="208">
        <v>0</v>
      </c>
      <c r="W121" s="375">
        <f>IF(AND(ISNUMBER(R121),ISNUMBER(S121),ISNUMBER(V121)),SUM(R121,S121,V121),"")</f>
        <v>0</v>
      </c>
      <c r="X121" s="208">
        <v>0</v>
      </c>
      <c r="Y121" s="208">
        <v>0</v>
      </c>
      <c r="Z121" s="208">
        <v>0</v>
      </c>
      <c r="AA121" s="139">
        <f t="shared" si="183"/>
        <v>0</v>
      </c>
      <c r="AB121" s="614" t="str">
        <f t="shared" si="110"/>
        <v/>
      </c>
      <c r="AC121" s="319"/>
      <c r="AD121" s="208"/>
      <c r="AE121" s="208"/>
      <c r="AF121" s="208"/>
      <c r="AG121" s="138"/>
      <c r="AH121" s="138"/>
      <c r="AI121" s="1845" t="str">
        <f t="shared" si="184"/>
        <v/>
      </c>
      <c r="AJ121" s="208"/>
      <c r="AK121" s="138"/>
      <c r="AL121" s="1513"/>
    </row>
    <row r="122" spans="2:38" ht="15" customHeight="1" x14ac:dyDescent="0.35">
      <c r="B122" s="305" t="s">
        <v>835</v>
      </c>
      <c r="C122" s="375" t="str">
        <f t="shared" ref="C122:D122" si="185">IF(AND(ISNUMBER(C123),ISNUMBER(C124),ISNUMBER(C125),ISNUMBER(C126),ISNUMBER(C127),ISNUMBER(C128),ISNUMBER(C129)),SUM(C123:C129),"")</f>
        <v/>
      </c>
      <c r="D122" s="375">
        <f t="shared" si="185"/>
        <v>0</v>
      </c>
      <c r="E122" s="375">
        <f t="shared" ref="E122:I122" si="186">IF(AND(ISNUMBER(E123),ISNUMBER(E124),ISNUMBER(E125),ISNUMBER(E126),ISNUMBER(E127),ISNUMBER(E128),ISNUMBER(E129)),SUM(E123:E129),"")</f>
        <v>0</v>
      </c>
      <c r="F122" s="375">
        <f t="shared" si="186"/>
        <v>0</v>
      </c>
      <c r="G122" s="375" t="str">
        <f t="shared" si="186"/>
        <v/>
      </c>
      <c r="H122" s="375">
        <f t="shared" si="186"/>
        <v>0</v>
      </c>
      <c r="I122" s="375">
        <f t="shared" si="186"/>
        <v>0</v>
      </c>
      <c r="J122" s="375">
        <f t="shared" ref="J122:K122" si="187">IF(AND(ISNUMBER(J123),ISNUMBER(J124),ISNUMBER(J125),ISNUMBER(J126),ISNUMBER(J127),ISNUMBER(J128),ISNUMBER(J129)),SUM(J123:J129),"")</f>
        <v>0</v>
      </c>
      <c r="K122" s="375">
        <f t="shared" si="187"/>
        <v>0</v>
      </c>
      <c r="L122" s="375">
        <f t="shared" ref="L122" si="188">IF(AND(ISNUMBER(L123),ISNUMBER(L124),ISNUMBER(L125),ISNUMBER(L126),ISNUMBER(L127),ISNUMBER(L128),ISNUMBER(L129)),SUM(L123:L129),"")</f>
        <v>0</v>
      </c>
      <c r="M122" s="375">
        <f>IF(AND(ISNUMBER(M123),ISNUMBER(M124),ISNUMBER(M125),ISNUMBER(M126),ISNUMBER(M127),ISNUMBER(M128),ISNUMBER(M129)),SUM(M123:M129),"")</f>
        <v>0</v>
      </c>
      <c r="N122" s="375">
        <f>IF(AND(ISNUMBER(N123),ISNUMBER(N124),ISNUMBER(N125),ISNUMBER(N126),ISNUMBER(N127),ISNUMBER(N128),ISNUMBER(N129)),SUM(N123:N129),"")</f>
        <v>0</v>
      </c>
      <c r="O122" s="208">
        <v>0</v>
      </c>
      <c r="P122" s="208">
        <v>0</v>
      </c>
      <c r="Q122" s="375" t="str">
        <f t="shared" ref="Q122:W122" si="189">IF(AND(ISNUMBER(Q123),ISNUMBER(Q124),ISNUMBER(Q125),ISNUMBER(Q126),ISNUMBER(Q127),ISNUMBER(Q128),ISNUMBER(Q129)),SUM(Q123:Q129),"")</f>
        <v/>
      </c>
      <c r="R122" s="375">
        <f t="shared" si="189"/>
        <v>0</v>
      </c>
      <c r="S122" s="375">
        <f t="shared" si="189"/>
        <v>0</v>
      </c>
      <c r="T122" s="375">
        <f t="shared" si="189"/>
        <v>0</v>
      </c>
      <c r="U122" s="375" t="str">
        <f t="shared" si="189"/>
        <v/>
      </c>
      <c r="V122" s="375">
        <f t="shared" si="189"/>
        <v>0</v>
      </c>
      <c r="W122" s="375">
        <f t="shared" si="189"/>
        <v>0</v>
      </c>
      <c r="X122" s="375">
        <f>IF(AND(ISNUMBER(X123),ISNUMBER(X124),ISNUMBER(X125),ISNUMBER(X126),ISNUMBER(X127),ISNUMBER(X128),ISNUMBER(X129)),SUM(X123:X129),"")</f>
        <v>0</v>
      </c>
      <c r="Y122" s="375">
        <f>IF(AND(ISNUMBER(Y123),ISNUMBER(Y124),ISNUMBER(Y125),ISNUMBER(Y126),ISNUMBER(Y127),ISNUMBER(Y128),ISNUMBER(Y129)),SUM(Y123:Y129),"")</f>
        <v>0</v>
      </c>
      <c r="Z122" s="375">
        <f>IF(AND(ISNUMBER(Z123),ISNUMBER(Z124),ISNUMBER(Z125),ISNUMBER(Z126),ISNUMBER(Z127),ISNUMBER(Z128),ISNUMBER(Z129)),SUM(Z123:Z129),"")</f>
        <v>0</v>
      </c>
      <c r="AA122" s="139">
        <f>IF(AND(ISNUMBER(AA123),ISNUMBER(AA124),ISNUMBER(AA125),ISNUMBER(AA126),ISNUMBER(AA127),ISNUMBER(AA128),ISNUMBER(AA129)),SUM(AA123:AA129),"")</f>
        <v>0</v>
      </c>
      <c r="AB122" s="614" t="str">
        <f t="shared" si="110"/>
        <v/>
      </c>
      <c r="AC122" s="319"/>
      <c r="AD122" s="375" t="str">
        <f t="shared" ref="AD122" si="190">IF(AND(ISNUMBER(AD123),ISNUMBER(AD124),ISNUMBER(AD125),ISNUMBER(AD126),ISNUMBER(AD127),ISNUMBER(AD128),ISNUMBER(AD129)),SUM(AD123:AD129),"")</f>
        <v/>
      </c>
      <c r="AE122" s="375" t="str">
        <f>IF(AND(ISNUMBER(AE123),ISNUMBER(AE124),ISNUMBER(AE125),ISNUMBER(AE126),ISNUMBER(AE127),ISNUMBER(AE128),ISNUMBER(AE129)),SUM(AE123:AE129),"")</f>
        <v/>
      </c>
      <c r="AF122" s="375" t="str">
        <f t="shared" ref="AF122:AK122" si="191">IF(AND(ISNUMBER(AF123),ISNUMBER(AF124),ISNUMBER(AF125),ISNUMBER(AF126),ISNUMBER(AF127),ISNUMBER(AF128),ISNUMBER(AF129)),SUM(AF123:AF129),"")</f>
        <v/>
      </c>
      <c r="AG122" s="375" t="str">
        <f t="shared" si="191"/>
        <v/>
      </c>
      <c r="AH122" s="139" t="str">
        <f t="shared" si="191"/>
        <v/>
      </c>
      <c r="AI122" s="1845" t="str">
        <f t="shared" si="191"/>
        <v/>
      </c>
      <c r="AJ122" s="1846" t="str">
        <f t="shared" si="191"/>
        <v/>
      </c>
      <c r="AK122" s="1847" t="str">
        <f t="shared" si="191"/>
        <v/>
      </c>
      <c r="AL122" s="1513"/>
    </row>
    <row r="123" spans="2:38" ht="15" customHeight="1" x14ac:dyDescent="0.35">
      <c r="B123" s="406" t="s">
        <v>822</v>
      </c>
      <c r="C123" s="299"/>
      <c r="D123" s="208">
        <v>0</v>
      </c>
      <c r="E123" s="208">
        <v>0</v>
      </c>
      <c r="F123" s="208">
        <v>0</v>
      </c>
      <c r="G123" s="208"/>
      <c r="H123" s="208">
        <v>0</v>
      </c>
      <c r="I123" s="375">
        <f t="shared" ref="I123:I129" si="192">IF(AND(ISNUMBER(D123),ISNUMBER(E123),ISNUMBER(H123)),SUM(D123,E123,H123),"")</f>
        <v>0</v>
      </c>
      <c r="J123" s="208">
        <v>0</v>
      </c>
      <c r="K123" s="208">
        <v>0</v>
      </c>
      <c r="L123" s="208">
        <v>0</v>
      </c>
      <c r="M123" s="375">
        <f t="shared" ref="M123:M129" si="193">IF(AND(ISNUMBER(J123),ISNUMBER(K123),ISNUMBER(L123)),SUM(J123:L123), "")</f>
        <v>0</v>
      </c>
      <c r="N123" s="1804">
        <v>0</v>
      </c>
      <c r="O123" s="208">
        <v>0</v>
      </c>
      <c r="P123" s="208">
        <v>0</v>
      </c>
      <c r="Q123" s="208"/>
      <c r="R123" s="208">
        <v>0</v>
      </c>
      <c r="S123" s="208">
        <v>0</v>
      </c>
      <c r="T123" s="208">
        <v>0</v>
      </c>
      <c r="U123" s="208"/>
      <c r="V123" s="208">
        <v>0</v>
      </c>
      <c r="W123" s="375">
        <f t="shared" ref="W123:W129" si="194">IF(AND(ISNUMBER(R123),ISNUMBER(S123),ISNUMBER(V123)),SUM(R123,S123,V123),"")</f>
        <v>0</v>
      </c>
      <c r="X123" s="208">
        <v>0</v>
      </c>
      <c r="Y123" s="208">
        <v>0</v>
      </c>
      <c r="Z123" s="208">
        <v>0</v>
      </c>
      <c r="AA123" s="139">
        <f t="shared" ref="AA123:AA129" si="195">IF(AND(ISNUMBER(X123),ISNUMBER(Y123),ISNUMBER(Z123)),SUM(X123:Z123), "")</f>
        <v>0</v>
      </c>
      <c r="AB123" s="614" t="str">
        <f t="shared" si="110"/>
        <v/>
      </c>
      <c r="AC123" s="359" t="str">
        <f>IF(ISNUMBER(AB123),IF(AND(AB123&gt;=(Parameters!F375*0.95), AB123&lt;=(Parameters!F375*1.05)), "Pass", "Fail (RW≠" &amp; Parameters!F375*100 &amp; "%)"),"")</f>
        <v/>
      </c>
      <c r="AD123" s="208"/>
      <c r="AE123" s="208"/>
      <c r="AF123" s="208"/>
      <c r="AG123" s="138"/>
      <c r="AH123" s="138"/>
      <c r="AI123" s="1845" t="str">
        <f t="shared" ref="AI123:AI129" si="196">IF(AND(ISNUMBER(AF123),ISNUMBER(AG123),ISNUMBER(AJ123)),AF123-AG123+AJ123,"")</f>
        <v/>
      </c>
      <c r="AJ123" s="208"/>
      <c r="AK123" s="138"/>
      <c r="AL123" s="1513"/>
    </row>
    <row r="124" spans="2:38" ht="15" customHeight="1" x14ac:dyDescent="0.35">
      <c r="B124" s="406" t="s">
        <v>823</v>
      </c>
      <c r="C124" s="299"/>
      <c r="D124" s="208">
        <v>0</v>
      </c>
      <c r="E124" s="208">
        <v>0</v>
      </c>
      <c r="F124" s="208">
        <v>0</v>
      </c>
      <c r="G124" s="208"/>
      <c r="H124" s="208">
        <v>0</v>
      </c>
      <c r="I124" s="375">
        <f t="shared" si="192"/>
        <v>0</v>
      </c>
      <c r="J124" s="208">
        <v>0</v>
      </c>
      <c r="K124" s="208">
        <v>0</v>
      </c>
      <c r="L124" s="208">
        <v>0</v>
      </c>
      <c r="M124" s="375">
        <f t="shared" si="193"/>
        <v>0</v>
      </c>
      <c r="N124" s="1804">
        <v>0</v>
      </c>
      <c r="O124" s="208">
        <v>0</v>
      </c>
      <c r="P124" s="208">
        <v>0</v>
      </c>
      <c r="Q124" s="208"/>
      <c r="R124" s="208">
        <v>0</v>
      </c>
      <c r="S124" s="208">
        <v>0</v>
      </c>
      <c r="T124" s="208">
        <v>0</v>
      </c>
      <c r="U124" s="208"/>
      <c r="V124" s="208">
        <v>0</v>
      </c>
      <c r="W124" s="375">
        <f t="shared" si="194"/>
        <v>0</v>
      </c>
      <c r="X124" s="208">
        <v>0</v>
      </c>
      <c r="Y124" s="208">
        <v>0</v>
      </c>
      <c r="Z124" s="208">
        <v>0</v>
      </c>
      <c r="AA124" s="139">
        <f t="shared" si="195"/>
        <v>0</v>
      </c>
      <c r="AB124" s="614" t="str">
        <f t="shared" si="110"/>
        <v/>
      </c>
      <c r="AC124" s="359" t="str">
        <f>IF(ISNUMBER(AB124),IF(AND(AB124&gt;=(Parameters!F376*0.95), AB124&lt;=(Parameters!F376*1.05)), "Pass", "Fail (RW≠" &amp; Parameters!F376*100 &amp; "%)"),"")</f>
        <v/>
      </c>
      <c r="AD124" s="208"/>
      <c r="AE124" s="208"/>
      <c r="AF124" s="208"/>
      <c r="AG124" s="138"/>
      <c r="AH124" s="138"/>
      <c r="AI124" s="1845" t="str">
        <f t="shared" si="196"/>
        <v/>
      </c>
      <c r="AJ124" s="208"/>
      <c r="AK124" s="138"/>
      <c r="AL124" s="1513"/>
    </row>
    <row r="125" spans="2:38" ht="15" customHeight="1" x14ac:dyDescent="0.35">
      <c r="B125" s="406" t="s">
        <v>824</v>
      </c>
      <c r="C125" s="299"/>
      <c r="D125" s="208">
        <v>0</v>
      </c>
      <c r="E125" s="208">
        <v>0</v>
      </c>
      <c r="F125" s="208">
        <v>0</v>
      </c>
      <c r="G125" s="208"/>
      <c r="H125" s="208">
        <v>0</v>
      </c>
      <c r="I125" s="375">
        <f t="shared" si="192"/>
        <v>0</v>
      </c>
      <c r="J125" s="208">
        <v>0</v>
      </c>
      <c r="K125" s="208">
        <v>0</v>
      </c>
      <c r="L125" s="208">
        <v>0</v>
      </c>
      <c r="M125" s="375">
        <f t="shared" si="193"/>
        <v>0</v>
      </c>
      <c r="N125" s="1804">
        <v>0</v>
      </c>
      <c r="O125" s="208">
        <v>0</v>
      </c>
      <c r="P125" s="208">
        <v>0</v>
      </c>
      <c r="Q125" s="208"/>
      <c r="R125" s="208">
        <v>0</v>
      </c>
      <c r="S125" s="208">
        <v>0</v>
      </c>
      <c r="T125" s="208">
        <v>0</v>
      </c>
      <c r="U125" s="208"/>
      <c r="V125" s="208">
        <v>0</v>
      </c>
      <c r="W125" s="375">
        <f t="shared" si="194"/>
        <v>0</v>
      </c>
      <c r="X125" s="208">
        <v>0</v>
      </c>
      <c r="Y125" s="208">
        <v>0</v>
      </c>
      <c r="Z125" s="208">
        <v>0</v>
      </c>
      <c r="AA125" s="139">
        <f t="shared" si="195"/>
        <v>0</v>
      </c>
      <c r="AB125" s="614" t="str">
        <f t="shared" si="110"/>
        <v/>
      </c>
      <c r="AC125" s="359" t="str">
        <f>IF(ISNUMBER(AB125),IF(AND(AB125&gt;=(Parameters!F377*0.95), AB125&lt;=(Parameters!F377*1.05)), "Pass", "Fail (RW≠" &amp; Parameters!F377*100 &amp; "%)"),"")</f>
        <v/>
      </c>
      <c r="AD125" s="208"/>
      <c r="AE125" s="208"/>
      <c r="AF125" s="208"/>
      <c r="AG125" s="138"/>
      <c r="AH125" s="138"/>
      <c r="AI125" s="1845" t="str">
        <f t="shared" si="196"/>
        <v/>
      </c>
      <c r="AJ125" s="208"/>
      <c r="AK125" s="138"/>
      <c r="AL125" s="1513"/>
    </row>
    <row r="126" spans="2:38" ht="15" customHeight="1" x14ac:dyDescent="0.35">
      <c r="B126" s="406" t="s">
        <v>825</v>
      </c>
      <c r="C126" s="299"/>
      <c r="D126" s="208">
        <v>0</v>
      </c>
      <c r="E126" s="208">
        <v>0</v>
      </c>
      <c r="F126" s="208">
        <v>0</v>
      </c>
      <c r="G126" s="208"/>
      <c r="H126" s="208">
        <v>0</v>
      </c>
      <c r="I126" s="375">
        <f t="shared" si="192"/>
        <v>0</v>
      </c>
      <c r="J126" s="208">
        <v>0</v>
      </c>
      <c r="K126" s="208">
        <v>0</v>
      </c>
      <c r="L126" s="208">
        <v>0</v>
      </c>
      <c r="M126" s="375">
        <f t="shared" si="193"/>
        <v>0</v>
      </c>
      <c r="N126" s="1804">
        <v>0</v>
      </c>
      <c r="O126" s="208">
        <v>0</v>
      </c>
      <c r="P126" s="208">
        <v>0</v>
      </c>
      <c r="Q126" s="208"/>
      <c r="R126" s="208">
        <v>0</v>
      </c>
      <c r="S126" s="208">
        <v>0</v>
      </c>
      <c r="T126" s="208">
        <v>0</v>
      </c>
      <c r="U126" s="208"/>
      <c r="V126" s="208">
        <v>0</v>
      </c>
      <c r="W126" s="375">
        <f t="shared" si="194"/>
        <v>0</v>
      </c>
      <c r="X126" s="208">
        <v>0</v>
      </c>
      <c r="Y126" s="208">
        <v>0</v>
      </c>
      <c r="Z126" s="208">
        <v>0</v>
      </c>
      <c r="AA126" s="139">
        <f t="shared" si="195"/>
        <v>0</v>
      </c>
      <c r="AB126" s="614" t="str">
        <f t="shared" si="110"/>
        <v/>
      </c>
      <c r="AC126" s="359" t="str">
        <f>IF(ISNUMBER(AB126),IF(AND(AB126&gt;=(Parameters!F378*0.95), AB126&lt;=(Parameters!F378*1.05)), "Pass", "Fail (RW≠" &amp; Parameters!F378*100 &amp; "%)"),"")</f>
        <v/>
      </c>
      <c r="AD126" s="208"/>
      <c r="AE126" s="208"/>
      <c r="AF126" s="208"/>
      <c r="AG126" s="138"/>
      <c r="AH126" s="138"/>
      <c r="AI126" s="1845" t="str">
        <f t="shared" si="196"/>
        <v/>
      </c>
      <c r="AJ126" s="208"/>
      <c r="AK126" s="138"/>
      <c r="AL126" s="1513"/>
    </row>
    <row r="127" spans="2:38" ht="15" customHeight="1" x14ac:dyDescent="0.35">
      <c r="B127" s="406" t="s">
        <v>826</v>
      </c>
      <c r="C127" s="299"/>
      <c r="D127" s="208">
        <v>0</v>
      </c>
      <c r="E127" s="208">
        <v>0</v>
      </c>
      <c r="F127" s="208">
        <v>0</v>
      </c>
      <c r="G127" s="208"/>
      <c r="H127" s="208">
        <v>0</v>
      </c>
      <c r="I127" s="375">
        <f t="shared" si="192"/>
        <v>0</v>
      </c>
      <c r="J127" s="208">
        <v>0</v>
      </c>
      <c r="K127" s="208">
        <v>0</v>
      </c>
      <c r="L127" s="208">
        <v>0</v>
      </c>
      <c r="M127" s="375">
        <f t="shared" si="193"/>
        <v>0</v>
      </c>
      <c r="N127" s="1804">
        <v>0</v>
      </c>
      <c r="O127" s="208">
        <v>0</v>
      </c>
      <c r="P127" s="208">
        <v>0</v>
      </c>
      <c r="Q127" s="208"/>
      <c r="R127" s="208">
        <v>0</v>
      </c>
      <c r="S127" s="208">
        <v>0</v>
      </c>
      <c r="T127" s="208">
        <v>0</v>
      </c>
      <c r="U127" s="208"/>
      <c r="V127" s="208">
        <v>0</v>
      </c>
      <c r="W127" s="375">
        <f t="shared" si="194"/>
        <v>0</v>
      </c>
      <c r="X127" s="208">
        <v>0</v>
      </c>
      <c r="Y127" s="208">
        <v>0</v>
      </c>
      <c r="Z127" s="208">
        <v>0</v>
      </c>
      <c r="AA127" s="139">
        <f t="shared" si="195"/>
        <v>0</v>
      </c>
      <c r="AB127" s="614" t="str">
        <f t="shared" si="110"/>
        <v/>
      </c>
      <c r="AC127" s="359" t="str">
        <f>IF(ISNUMBER(AB127),IF(AND(AB127&gt;=(Parameters!F379*0.95), AB127&lt;=(Parameters!F379*1.05)), "Pass", "Fail (RW≠" &amp; Parameters!F379*100 &amp; "%)"),"")</f>
        <v/>
      </c>
      <c r="AD127" s="208"/>
      <c r="AE127" s="208"/>
      <c r="AF127" s="208"/>
      <c r="AG127" s="138"/>
      <c r="AH127" s="138"/>
      <c r="AI127" s="1845" t="str">
        <f t="shared" si="196"/>
        <v/>
      </c>
      <c r="AJ127" s="208"/>
      <c r="AK127" s="138"/>
      <c r="AL127" s="1513"/>
    </row>
    <row r="128" spans="2:38" ht="15" customHeight="1" x14ac:dyDescent="0.35">
      <c r="B128" s="406" t="s">
        <v>827</v>
      </c>
      <c r="C128" s="299"/>
      <c r="D128" s="208">
        <v>0</v>
      </c>
      <c r="E128" s="208">
        <v>0</v>
      </c>
      <c r="F128" s="208">
        <v>0</v>
      </c>
      <c r="G128" s="208"/>
      <c r="H128" s="208">
        <v>0</v>
      </c>
      <c r="I128" s="375">
        <f t="shared" si="192"/>
        <v>0</v>
      </c>
      <c r="J128" s="208">
        <v>0</v>
      </c>
      <c r="K128" s="208">
        <v>0</v>
      </c>
      <c r="L128" s="208">
        <v>0</v>
      </c>
      <c r="M128" s="375">
        <f t="shared" si="193"/>
        <v>0</v>
      </c>
      <c r="N128" s="1804">
        <v>0</v>
      </c>
      <c r="O128" s="208">
        <v>0</v>
      </c>
      <c r="P128" s="208">
        <v>0</v>
      </c>
      <c r="Q128" s="208"/>
      <c r="R128" s="208">
        <v>0</v>
      </c>
      <c r="S128" s="208">
        <v>0</v>
      </c>
      <c r="T128" s="208">
        <v>0</v>
      </c>
      <c r="U128" s="208"/>
      <c r="V128" s="208">
        <v>0</v>
      </c>
      <c r="W128" s="375">
        <f t="shared" si="194"/>
        <v>0</v>
      </c>
      <c r="X128" s="208">
        <v>0</v>
      </c>
      <c r="Y128" s="208">
        <v>0</v>
      </c>
      <c r="Z128" s="208">
        <v>0</v>
      </c>
      <c r="AA128" s="139">
        <f t="shared" si="195"/>
        <v>0</v>
      </c>
      <c r="AB128" s="614" t="str">
        <f t="shared" si="110"/>
        <v/>
      </c>
      <c r="AC128" s="359" t="str">
        <f>IF(ISNUMBER(AB128),IF(AND(AB128&gt;=(Parameters!F380*0.95), AB128&lt;=(Parameters!F380*1.05)), "Pass", "Fail (RW≠" &amp; Parameters!F380*100 &amp; "%)"),"")</f>
        <v/>
      </c>
      <c r="AD128" s="208"/>
      <c r="AE128" s="208"/>
      <c r="AF128" s="208"/>
      <c r="AG128" s="138"/>
      <c r="AH128" s="138"/>
      <c r="AI128" s="1845" t="str">
        <f t="shared" si="196"/>
        <v/>
      </c>
      <c r="AJ128" s="208"/>
      <c r="AK128" s="138"/>
      <c r="AL128" s="1513"/>
    </row>
    <row r="129" spans="2:38" ht="15" customHeight="1" x14ac:dyDescent="0.35">
      <c r="B129" s="406" t="s">
        <v>828</v>
      </c>
      <c r="C129" s="299"/>
      <c r="D129" s="208">
        <v>0</v>
      </c>
      <c r="E129" s="208">
        <v>0</v>
      </c>
      <c r="F129" s="208">
        <v>0</v>
      </c>
      <c r="G129" s="208"/>
      <c r="H129" s="208">
        <v>0</v>
      </c>
      <c r="I129" s="375">
        <f t="shared" si="192"/>
        <v>0</v>
      </c>
      <c r="J129" s="208">
        <v>0</v>
      </c>
      <c r="K129" s="208">
        <v>0</v>
      </c>
      <c r="L129" s="208">
        <v>0</v>
      </c>
      <c r="M129" s="375">
        <f t="shared" si="193"/>
        <v>0</v>
      </c>
      <c r="N129" s="1804">
        <v>0</v>
      </c>
      <c r="O129" s="208">
        <v>0</v>
      </c>
      <c r="P129" s="208">
        <v>0</v>
      </c>
      <c r="Q129" s="208"/>
      <c r="R129" s="208">
        <v>0</v>
      </c>
      <c r="S129" s="208">
        <v>0</v>
      </c>
      <c r="T129" s="208">
        <v>0</v>
      </c>
      <c r="U129" s="208"/>
      <c r="V129" s="208">
        <v>0</v>
      </c>
      <c r="W129" s="375">
        <f t="shared" si="194"/>
        <v>0</v>
      </c>
      <c r="X129" s="208">
        <v>0</v>
      </c>
      <c r="Y129" s="208">
        <v>0</v>
      </c>
      <c r="Z129" s="208">
        <v>0</v>
      </c>
      <c r="AA129" s="139">
        <f t="shared" si="195"/>
        <v>0</v>
      </c>
      <c r="AB129" s="614" t="str">
        <f t="shared" si="110"/>
        <v/>
      </c>
      <c r="AC129" s="359" t="str">
        <f>IF(ISNUMBER(AB129),IF(AND(AB129&gt;=(Parameters!F381*0.95), AB129&lt;=(Parameters!F381*1.05)), "Pass", "Fail (RW≠" &amp; Parameters!F381*100 &amp; "%)"),"")</f>
        <v/>
      </c>
      <c r="AD129" s="208"/>
      <c r="AE129" s="208"/>
      <c r="AF129" s="208"/>
      <c r="AG129" s="138"/>
      <c r="AH129" s="138"/>
      <c r="AI129" s="1845" t="str">
        <f t="shared" si="196"/>
        <v/>
      </c>
      <c r="AJ129" s="208"/>
      <c r="AK129" s="138"/>
      <c r="AL129" s="1513"/>
    </row>
    <row r="130" spans="2:38" ht="15" customHeight="1" x14ac:dyDescent="0.35">
      <c r="B130" s="305" t="s">
        <v>836</v>
      </c>
      <c r="C130" s="375" t="str">
        <f t="shared" ref="C130:D130" si="197">IF(AND(ISNUMBER(C131),ISNUMBER(C132),ISNUMBER(C133),ISNUMBER(C134)),SUM(C131:C134),"")</f>
        <v/>
      </c>
      <c r="D130" s="375">
        <f t="shared" si="197"/>
        <v>0</v>
      </c>
      <c r="E130" s="375">
        <f t="shared" ref="E130:I130" si="198">IF(AND(ISNUMBER(E131),ISNUMBER(E132),ISNUMBER(E133),ISNUMBER(E134)),SUM(E131:E134),"")</f>
        <v>0</v>
      </c>
      <c r="F130" s="375">
        <f t="shared" si="198"/>
        <v>0</v>
      </c>
      <c r="G130" s="375" t="str">
        <f t="shared" si="198"/>
        <v/>
      </c>
      <c r="H130" s="375">
        <f t="shared" si="198"/>
        <v>0</v>
      </c>
      <c r="I130" s="375">
        <f t="shared" si="198"/>
        <v>0</v>
      </c>
      <c r="J130" s="375">
        <f t="shared" ref="J130:K130" si="199">IF(AND(ISNUMBER(J131),ISNUMBER(J132),ISNUMBER(J133),ISNUMBER(J134)),SUM(J131:J134),"")</f>
        <v>0</v>
      </c>
      <c r="K130" s="375">
        <f t="shared" si="199"/>
        <v>0</v>
      </c>
      <c r="L130" s="375">
        <f t="shared" ref="L130" si="200">IF(AND(ISNUMBER(L131),ISNUMBER(L132),ISNUMBER(L133),ISNUMBER(L134)),SUM(L131:L134),"")</f>
        <v>0</v>
      </c>
      <c r="M130" s="375">
        <f>IF(AND(ISNUMBER(M131),ISNUMBER(M132),ISNUMBER(M133),ISNUMBER(M134)),SUM(M131:M134),"")</f>
        <v>0</v>
      </c>
      <c r="N130" s="375">
        <f>IF(AND(ISNUMBER(N131),ISNUMBER(N132),ISNUMBER(N133),ISNUMBER(N134)),SUM(N131:N134),"")</f>
        <v>0</v>
      </c>
      <c r="O130" s="208">
        <v>0</v>
      </c>
      <c r="P130" s="208">
        <v>0</v>
      </c>
      <c r="Q130" s="375" t="str">
        <f t="shared" ref="Q130:W130" si="201">IF(AND(ISNUMBER(Q131),ISNUMBER(Q132),ISNUMBER(Q133),ISNUMBER(Q134)),SUM(Q131:Q134),"")</f>
        <v/>
      </c>
      <c r="R130" s="375">
        <f t="shared" si="201"/>
        <v>0</v>
      </c>
      <c r="S130" s="375">
        <f t="shared" si="201"/>
        <v>0</v>
      </c>
      <c r="T130" s="375">
        <f t="shared" si="201"/>
        <v>0</v>
      </c>
      <c r="U130" s="375" t="str">
        <f t="shared" si="201"/>
        <v/>
      </c>
      <c r="V130" s="375">
        <f t="shared" si="201"/>
        <v>0</v>
      </c>
      <c r="W130" s="375">
        <f t="shared" si="201"/>
        <v>0</v>
      </c>
      <c r="X130" s="375">
        <f>IF(AND(ISNUMBER(X131),ISNUMBER(X132),ISNUMBER(X133),ISNUMBER(X134)),SUM(X131:X134),"")</f>
        <v>0</v>
      </c>
      <c r="Y130" s="375">
        <f>IF(AND(ISNUMBER(Y131),ISNUMBER(Y132),ISNUMBER(Y133),ISNUMBER(Y134)),SUM(Y131:Y134),"")</f>
        <v>0</v>
      </c>
      <c r="Z130" s="375">
        <f>IF(AND(ISNUMBER(Z131),ISNUMBER(Z132),ISNUMBER(Z133),ISNUMBER(Z134)),SUM(Z131:Z134),"")</f>
        <v>0</v>
      </c>
      <c r="AA130" s="139">
        <f>IF(AND(ISNUMBER(AA131),ISNUMBER(AA132),ISNUMBER(AA133),ISNUMBER(AA134)),SUM(AA131:AA134),"")</f>
        <v>0</v>
      </c>
      <c r="AB130" s="614" t="str">
        <f t="shared" si="110"/>
        <v/>
      </c>
      <c r="AC130" s="319"/>
      <c r="AD130" s="375" t="str">
        <f>IF(AND(ISNUMBER(AD131),ISNUMBER(AD132),ISNUMBER(AD133),ISNUMBER(AD134)),SUM(AD131:AD134),"")</f>
        <v/>
      </c>
      <c r="AE130" s="375" t="str">
        <f>IF(AND(ISNUMBER(AE131),ISNUMBER(AE132),ISNUMBER(AE133),ISNUMBER(AE134)),SUM(AE131:AE134),"")</f>
        <v/>
      </c>
      <c r="AF130" s="375" t="str">
        <f>IF(AND(ISNUMBER(AF131),ISNUMBER(AF132),ISNUMBER(AF133),ISNUMBER(AF134)),SUM(AF131:AF134),"")</f>
        <v/>
      </c>
      <c r="AG130" s="375" t="str">
        <f>IF(AND(ISNUMBER(AG131),ISNUMBER(AG132),ISNUMBER(AG133),ISNUMBER(AG134)),SUM(AG131:AG134),"")</f>
        <v/>
      </c>
      <c r="AH130" s="139" t="str">
        <f>IF(AND(ISNUMBER(AH131),ISNUMBER(AH132),ISNUMBER(AH133),ISNUMBER(AH134)),SUM(AH131:AH134),"")</f>
        <v/>
      </c>
      <c r="AI130" s="1845" t="str">
        <f t="shared" ref="AI130:AK130" si="202">IF(AND(ISNUMBER(AI131),ISNUMBER(AI132),ISNUMBER(AI133),ISNUMBER(AI134)),SUM(AI131:AI134),"")</f>
        <v/>
      </c>
      <c r="AJ130" s="1846" t="str">
        <f t="shared" si="202"/>
        <v/>
      </c>
      <c r="AK130" s="1847" t="str">
        <f t="shared" si="202"/>
        <v/>
      </c>
      <c r="AL130" s="1513"/>
    </row>
    <row r="131" spans="2:38" ht="15" customHeight="1" x14ac:dyDescent="0.35">
      <c r="B131" s="406" t="s">
        <v>837</v>
      </c>
      <c r="C131" s="299"/>
      <c r="D131" s="208">
        <v>0</v>
      </c>
      <c r="E131" s="208">
        <v>0</v>
      </c>
      <c r="F131" s="208">
        <v>0</v>
      </c>
      <c r="G131" s="208"/>
      <c r="H131" s="208">
        <v>0</v>
      </c>
      <c r="I131" s="375">
        <f t="shared" ref="I131:I134" si="203">IF(AND(ISNUMBER(D131),ISNUMBER(E131),ISNUMBER(H131)),SUM(D131,E131,H131),"")</f>
        <v>0</v>
      </c>
      <c r="J131" s="208">
        <v>0</v>
      </c>
      <c r="K131" s="208">
        <v>0</v>
      </c>
      <c r="L131" s="208">
        <v>0</v>
      </c>
      <c r="M131" s="375">
        <f t="shared" ref="M131:M134" si="204">IF(AND(ISNUMBER(J131),ISNUMBER(K131),ISNUMBER(L131)),SUM(J131:L131), "")</f>
        <v>0</v>
      </c>
      <c r="N131" s="1804">
        <v>0</v>
      </c>
      <c r="O131" s="208">
        <v>0</v>
      </c>
      <c r="P131" s="208">
        <v>0</v>
      </c>
      <c r="Q131" s="208"/>
      <c r="R131" s="208">
        <v>0</v>
      </c>
      <c r="S131" s="208">
        <v>0</v>
      </c>
      <c r="T131" s="208">
        <v>0</v>
      </c>
      <c r="U131" s="208"/>
      <c r="V131" s="208">
        <v>0</v>
      </c>
      <c r="W131" s="375">
        <f>IF(AND(ISNUMBER(R131),ISNUMBER(S131),ISNUMBER(V131)),SUM(R131,S131,V131),"")</f>
        <v>0</v>
      </c>
      <c r="X131" s="208">
        <v>0</v>
      </c>
      <c r="Y131" s="208">
        <v>0</v>
      </c>
      <c r="Z131" s="208">
        <v>0</v>
      </c>
      <c r="AA131" s="139">
        <f t="shared" ref="AA131:AA134" si="205">IF(AND(ISNUMBER(X131),ISNUMBER(Y131),ISNUMBER(Z131)),SUM(X131:Z131), "")</f>
        <v>0</v>
      </c>
      <c r="AB131" s="614" t="str">
        <f t="shared" si="110"/>
        <v/>
      </c>
      <c r="AC131" s="359" t="str">
        <f>IF(ISNUMBER(AB131),IF(AND(AB131&gt;=(Parameters!F383*0.95), AB131&lt;=(Parameters!F383*1.05)), "Pass", "Fail (RW≠" &amp; Parameters!F383*100 &amp; "%)"),"")</f>
        <v/>
      </c>
      <c r="AD131" s="208"/>
      <c r="AE131" s="208"/>
      <c r="AF131" s="208"/>
      <c r="AG131" s="138"/>
      <c r="AH131" s="138"/>
      <c r="AI131" s="1845" t="str">
        <f t="shared" ref="AI131:AI134" si="206">IF(AND(ISNUMBER(AF131),ISNUMBER(AG131),ISNUMBER(AJ131)),AF131-AG131+AJ131,"")</f>
        <v/>
      </c>
      <c r="AJ131" s="208"/>
      <c r="AK131" s="138"/>
      <c r="AL131" s="1513"/>
    </row>
    <row r="132" spans="2:38" ht="15" customHeight="1" x14ac:dyDescent="0.35">
      <c r="B132" s="406" t="s">
        <v>838</v>
      </c>
      <c r="C132" s="299"/>
      <c r="D132" s="208">
        <v>0</v>
      </c>
      <c r="E132" s="208">
        <v>0</v>
      </c>
      <c r="F132" s="208">
        <v>0</v>
      </c>
      <c r="G132" s="208"/>
      <c r="H132" s="208">
        <v>0</v>
      </c>
      <c r="I132" s="375">
        <f t="shared" si="203"/>
        <v>0</v>
      </c>
      <c r="J132" s="208">
        <v>0</v>
      </c>
      <c r="K132" s="208">
        <v>0</v>
      </c>
      <c r="L132" s="208">
        <v>0</v>
      </c>
      <c r="M132" s="375">
        <f t="shared" si="204"/>
        <v>0</v>
      </c>
      <c r="N132" s="1804">
        <v>0</v>
      </c>
      <c r="O132" s="208">
        <v>0</v>
      </c>
      <c r="P132" s="208">
        <v>0</v>
      </c>
      <c r="Q132" s="208"/>
      <c r="R132" s="208">
        <v>0</v>
      </c>
      <c r="S132" s="208">
        <v>0</v>
      </c>
      <c r="T132" s="208">
        <v>0</v>
      </c>
      <c r="U132" s="208"/>
      <c r="V132" s="208">
        <v>0</v>
      </c>
      <c r="W132" s="375">
        <f>IF(AND(ISNUMBER(R132),ISNUMBER(S132),ISNUMBER(V132)),SUM(R132,S132,V132),"")</f>
        <v>0</v>
      </c>
      <c r="X132" s="208">
        <v>0</v>
      </c>
      <c r="Y132" s="208">
        <v>0</v>
      </c>
      <c r="Z132" s="208">
        <v>0</v>
      </c>
      <c r="AA132" s="139">
        <f t="shared" si="205"/>
        <v>0</v>
      </c>
      <c r="AB132" s="614" t="str">
        <f t="shared" si="110"/>
        <v/>
      </c>
      <c r="AC132" s="359" t="str">
        <f>IF(ISNUMBER(AB132),IF(AND(AB132&gt;=(Parameters!F384*0.95), AB132&lt;=(Parameters!F384*1.05)), "Pass", "Fail (RW≠" &amp; Parameters!F384*100 &amp; "%)"),"")</f>
        <v/>
      </c>
      <c r="AD132" s="208"/>
      <c r="AE132" s="208"/>
      <c r="AF132" s="208"/>
      <c r="AG132" s="138"/>
      <c r="AH132" s="138"/>
      <c r="AI132" s="1845" t="str">
        <f t="shared" si="206"/>
        <v/>
      </c>
      <c r="AJ132" s="208"/>
      <c r="AK132" s="138"/>
      <c r="AL132" s="1513"/>
    </row>
    <row r="133" spans="2:38" ht="15" customHeight="1" x14ac:dyDescent="0.35">
      <c r="B133" s="406" t="s">
        <v>839</v>
      </c>
      <c r="C133" s="299"/>
      <c r="D133" s="208">
        <v>0</v>
      </c>
      <c r="E133" s="208">
        <v>0</v>
      </c>
      <c r="F133" s="208">
        <v>0</v>
      </c>
      <c r="G133" s="208"/>
      <c r="H133" s="208">
        <v>0</v>
      </c>
      <c r="I133" s="375">
        <f t="shared" si="203"/>
        <v>0</v>
      </c>
      <c r="J133" s="208">
        <v>0</v>
      </c>
      <c r="K133" s="208">
        <v>0</v>
      </c>
      <c r="L133" s="208">
        <v>0</v>
      </c>
      <c r="M133" s="375">
        <f t="shared" si="204"/>
        <v>0</v>
      </c>
      <c r="N133" s="1804">
        <v>0</v>
      </c>
      <c r="O133" s="208">
        <v>0</v>
      </c>
      <c r="P133" s="208">
        <v>0</v>
      </c>
      <c r="Q133" s="208"/>
      <c r="R133" s="208">
        <v>0</v>
      </c>
      <c r="S133" s="208">
        <v>0</v>
      </c>
      <c r="T133" s="208">
        <v>0</v>
      </c>
      <c r="U133" s="208"/>
      <c r="V133" s="208">
        <v>0</v>
      </c>
      <c r="W133" s="375">
        <f>IF(AND(ISNUMBER(R133),ISNUMBER(S133),ISNUMBER(V133)),SUM(R133,S133,V133),"")</f>
        <v>0</v>
      </c>
      <c r="X133" s="208">
        <v>0</v>
      </c>
      <c r="Y133" s="208">
        <v>0</v>
      </c>
      <c r="Z133" s="208">
        <v>0</v>
      </c>
      <c r="AA133" s="139">
        <f t="shared" si="205"/>
        <v>0</v>
      </c>
      <c r="AB133" s="614" t="str">
        <f t="shared" si="110"/>
        <v/>
      </c>
      <c r="AC133" s="359" t="str">
        <f>IF(ISNUMBER(AB133),IF(AND(AB133&gt;=(Parameters!F385*0.95), AB133&lt;=(Parameters!F385*1.05)), "Pass", "Fail (RW≠" &amp; Parameters!F385*100 &amp; "%)"),"")</f>
        <v/>
      </c>
      <c r="AD133" s="208"/>
      <c r="AE133" s="208"/>
      <c r="AF133" s="208"/>
      <c r="AG133" s="138"/>
      <c r="AH133" s="138"/>
      <c r="AI133" s="1845" t="str">
        <f t="shared" si="206"/>
        <v/>
      </c>
      <c r="AJ133" s="208"/>
      <c r="AK133" s="138"/>
      <c r="AL133" s="1513"/>
    </row>
    <row r="134" spans="2:38" ht="15" customHeight="1" x14ac:dyDescent="0.35">
      <c r="B134" s="406" t="s">
        <v>828</v>
      </c>
      <c r="C134" s="299"/>
      <c r="D134" s="208">
        <v>0</v>
      </c>
      <c r="E134" s="208">
        <v>0</v>
      </c>
      <c r="F134" s="208">
        <v>0</v>
      </c>
      <c r="G134" s="208"/>
      <c r="H134" s="208">
        <v>0</v>
      </c>
      <c r="I134" s="375">
        <f t="shared" si="203"/>
        <v>0</v>
      </c>
      <c r="J134" s="208">
        <v>0</v>
      </c>
      <c r="K134" s="208">
        <v>0</v>
      </c>
      <c r="L134" s="208">
        <v>0</v>
      </c>
      <c r="M134" s="375">
        <f t="shared" si="204"/>
        <v>0</v>
      </c>
      <c r="N134" s="1804">
        <v>0</v>
      </c>
      <c r="O134" s="208">
        <v>0</v>
      </c>
      <c r="P134" s="208">
        <v>0</v>
      </c>
      <c r="Q134" s="208"/>
      <c r="R134" s="208">
        <v>0</v>
      </c>
      <c r="S134" s="208">
        <v>0</v>
      </c>
      <c r="T134" s="208">
        <v>0</v>
      </c>
      <c r="U134" s="208"/>
      <c r="V134" s="208">
        <v>0</v>
      </c>
      <c r="W134" s="375">
        <f>IF(AND(ISNUMBER(R134),ISNUMBER(S134),ISNUMBER(V134)),SUM(R134,S134,V134),"")</f>
        <v>0</v>
      </c>
      <c r="X134" s="208">
        <v>0</v>
      </c>
      <c r="Y134" s="208">
        <v>0</v>
      </c>
      <c r="Z134" s="208">
        <v>0</v>
      </c>
      <c r="AA134" s="139">
        <f t="shared" si="205"/>
        <v>0</v>
      </c>
      <c r="AB134" s="614" t="str">
        <f t="shared" si="110"/>
        <v/>
      </c>
      <c r="AC134" s="359" t="str">
        <f>IF(ISNUMBER(AB134),IF(AND(AB134&gt;=(Parameters!F386*0.95), AB134&lt;=(Parameters!F386*1.05)), "Pass", "Fail (RW≠" &amp; Parameters!F386*100 &amp; "%)"),"")</f>
        <v/>
      </c>
      <c r="AD134" s="208"/>
      <c r="AE134" s="208"/>
      <c r="AF134" s="208"/>
      <c r="AG134" s="138"/>
      <c r="AH134" s="138"/>
      <c r="AI134" s="1845" t="str">
        <f t="shared" si="206"/>
        <v/>
      </c>
      <c r="AJ134" s="208"/>
      <c r="AK134" s="138"/>
      <c r="AL134" s="1513"/>
    </row>
    <row r="135" spans="2:38" ht="15" customHeight="1" x14ac:dyDescent="0.35">
      <c r="B135" s="305" t="s">
        <v>840</v>
      </c>
      <c r="C135" s="375" t="str">
        <f t="shared" ref="C135:D135" si="207">IF(AND(ISNUMBER(C136),ISNUMBER(C137)),SUM(C136:C137),"")</f>
        <v/>
      </c>
      <c r="D135" s="375">
        <f t="shared" si="207"/>
        <v>0</v>
      </c>
      <c r="E135" s="375">
        <f t="shared" ref="E135:I135" si="208">IF(AND(ISNUMBER(E136),ISNUMBER(E137)),SUM(E136:E137),"")</f>
        <v>0</v>
      </c>
      <c r="F135" s="375">
        <f t="shared" si="208"/>
        <v>0</v>
      </c>
      <c r="G135" s="375" t="str">
        <f t="shared" si="208"/>
        <v/>
      </c>
      <c r="H135" s="375">
        <f t="shared" si="208"/>
        <v>0</v>
      </c>
      <c r="I135" s="375">
        <f t="shared" si="208"/>
        <v>0</v>
      </c>
      <c r="J135" s="375">
        <f t="shared" ref="J135:K135" si="209">IF(AND(ISNUMBER(J136),ISNUMBER(J137)),SUM(J136:J137),"")</f>
        <v>0</v>
      </c>
      <c r="K135" s="375">
        <f t="shared" si="209"/>
        <v>0</v>
      </c>
      <c r="L135" s="375">
        <f t="shared" ref="L135" si="210">IF(AND(ISNUMBER(L136),ISNUMBER(L137)),SUM(L136:L137),"")</f>
        <v>0</v>
      </c>
      <c r="M135" s="375">
        <f>IF(AND(ISNUMBER(M136),ISNUMBER(M137)),SUM(M136:M137),"")</f>
        <v>0</v>
      </c>
      <c r="N135" s="375">
        <f>IF(AND(ISNUMBER(N136),ISNUMBER(N137)),SUM(N136:N137),"")</f>
        <v>0</v>
      </c>
      <c r="O135" s="208">
        <v>0</v>
      </c>
      <c r="P135" s="208">
        <v>0</v>
      </c>
      <c r="Q135" s="375" t="str">
        <f t="shared" ref="Q135:W135" si="211">IF(AND(ISNUMBER(Q136),ISNUMBER(Q137)),SUM(Q136:Q137),"")</f>
        <v/>
      </c>
      <c r="R135" s="375">
        <f t="shared" si="211"/>
        <v>0</v>
      </c>
      <c r="S135" s="375">
        <f t="shared" si="211"/>
        <v>0</v>
      </c>
      <c r="T135" s="375">
        <f t="shared" si="211"/>
        <v>0</v>
      </c>
      <c r="U135" s="375" t="str">
        <f t="shared" si="211"/>
        <v/>
      </c>
      <c r="V135" s="375">
        <f t="shared" si="211"/>
        <v>0</v>
      </c>
      <c r="W135" s="375">
        <f t="shared" si="211"/>
        <v>0</v>
      </c>
      <c r="X135" s="375">
        <f>IF(AND(ISNUMBER(X136),ISNUMBER(X137)),SUM(X136:X137),"")</f>
        <v>0</v>
      </c>
      <c r="Y135" s="375">
        <f>IF(AND(ISNUMBER(Y136),ISNUMBER(Y137)),SUM(Y136:Y137),"")</f>
        <v>0</v>
      </c>
      <c r="Z135" s="375">
        <f>IF(AND(ISNUMBER(Z136),ISNUMBER(Z137)),SUM(Z136:Z137),"")</f>
        <v>0</v>
      </c>
      <c r="AA135" s="139">
        <f>IF(AND(ISNUMBER(AA136),ISNUMBER(AA137)),SUM(AA136:AA137),"")</f>
        <v>0</v>
      </c>
      <c r="AB135" s="614" t="str">
        <f t="shared" si="110"/>
        <v/>
      </c>
      <c r="AC135" s="319"/>
      <c r="AD135" s="375" t="str">
        <f t="shared" ref="AD135:AK135" si="212">IF(AND(ISNUMBER(AD136),ISNUMBER(AD137)),SUM(AD136:AD137),"")</f>
        <v/>
      </c>
      <c r="AE135" s="375" t="str">
        <f t="shared" si="212"/>
        <v/>
      </c>
      <c r="AF135" s="375" t="str">
        <f t="shared" si="212"/>
        <v/>
      </c>
      <c r="AG135" s="375" t="str">
        <f t="shared" si="212"/>
        <v/>
      </c>
      <c r="AH135" s="139" t="str">
        <f t="shared" si="212"/>
        <v/>
      </c>
      <c r="AI135" s="1845" t="str">
        <f t="shared" si="212"/>
        <v/>
      </c>
      <c r="AJ135" s="1846" t="str">
        <f t="shared" si="212"/>
        <v/>
      </c>
      <c r="AK135" s="1847" t="str">
        <f t="shared" si="212"/>
        <v/>
      </c>
      <c r="AL135" s="1513"/>
    </row>
    <row r="136" spans="2:38" ht="15" customHeight="1" x14ac:dyDescent="0.35">
      <c r="B136" s="406" t="s">
        <v>841</v>
      </c>
      <c r="C136" s="299"/>
      <c r="D136" s="208">
        <v>0</v>
      </c>
      <c r="E136" s="208">
        <v>0</v>
      </c>
      <c r="F136" s="208">
        <v>0</v>
      </c>
      <c r="G136" s="208"/>
      <c r="H136" s="208">
        <v>0</v>
      </c>
      <c r="I136" s="375">
        <f t="shared" ref="I136:I139" si="213">IF(AND(ISNUMBER(D136),ISNUMBER(E136),ISNUMBER(H136)),SUM(D136,E136,H136),"")</f>
        <v>0</v>
      </c>
      <c r="J136" s="208">
        <v>0</v>
      </c>
      <c r="K136" s="208">
        <v>0</v>
      </c>
      <c r="L136" s="208">
        <v>0</v>
      </c>
      <c r="M136" s="375">
        <f t="shared" ref="M136:M139" si="214">IF(AND(ISNUMBER(J136),ISNUMBER(K136),ISNUMBER(L136)),SUM(J136:L136), "")</f>
        <v>0</v>
      </c>
      <c r="N136" s="1804">
        <v>0</v>
      </c>
      <c r="O136" s="208">
        <v>0</v>
      </c>
      <c r="P136" s="208">
        <v>0</v>
      </c>
      <c r="Q136" s="208"/>
      <c r="R136" s="208">
        <v>0</v>
      </c>
      <c r="S136" s="208">
        <v>0</v>
      </c>
      <c r="T136" s="208">
        <v>0</v>
      </c>
      <c r="U136" s="208"/>
      <c r="V136" s="208">
        <v>0</v>
      </c>
      <c r="W136" s="375">
        <f t="shared" ref="W136:W142" si="215">IF(AND(ISNUMBER(R136),ISNUMBER(S136),ISNUMBER(V136)),SUM(R136,S136,V136),"")</f>
        <v>0</v>
      </c>
      <c r="X136" s="208">
        <v>0</v>
      </c>
      <c r="Y136" s="208">
        <v>0</v>
      </c>
      <c r="Z136" s="208">
        <v>0</v>
      </c>
      <c r="AA136" s="139">
        <f t="shared" ref="AA136:AA142" si="216">IF(AND(ISNUMBER(X136),ISNUMBER(Y136),ISNUMBER(Z136)),SUM(X136:Z136), "")</f>
        <v>0</v>
      </c>
      <c r="AB136" s="614" t="str">
        <f t="shared" si="110"/>
        <v/>
      </c>
      <c r="AC136" s="359" t="str">
        <f>IF(ISNUMBER(AB136),IF(AND(AB136&gt;=(Parameters!F388*0.95), AB136&lt;=(Parameters!F388*1.05)), "Pass", "Fail (RW≠" &amp; Parameters!F388*100 &amp; "%)"),"")</f>
        <v/>
      </c>
      <c r="AD136" s="208"/>
      <c r="AE136" s="208"/>
      <c r="AF136" s="208"/>
      <c r="AG136" s="138"/>
      <c r="AH136" s="138"/>
      <c r="AI136" s="1845" t="str">
        <f t="shared" ref="AI136:AI139" si="217">IF(AND(ISNUMBER(AF136),ISNUMBER(AG136),ISNUMBER(AJ136)),AF136-AG136+AJ136,"")</f>
        <v/>
      </c>
      <c r="AJ136" s="208"/>
      <c r="AK136" s="208"/>
      <c r="AL136" s="1513"/>
    </row>
    <row r="137" spans="2:38" ht="15" customHeight="1" x14ac:dyDescent="0.35">
      <c r="B137" s="406" t="s">
        <v>842</v>
      </c>
      <c r="C137" s="299"/>
      <c r="D137" s="208">
        <v>0</v>
      </c>
      <c r="E137" s="208">
        <v>0</v>
      </c>
      <c r="F137" s="208">
        <v>0</v>
      </c>
      <c r="G137" s="208"/>
      <c r="H137" s="208">
        <v>0</v>
      </c>
      <c r="I137" s="375">
        <f t="shared" si="213"/>
        <v>0</v>
      </c>
      <c r="J137" s="208">
        <v>0</v>
      </c>
      <c r="K137" s="208">
        <v>0</v>
      </c>
      <c r="L137" s="208">
        <v>0</v>
      </c>
      <c r="M137" s="375">
        <f t="shared" si="214"/>
        <v>0</v>
      </c>
      <c r="N137" s="1804">
        <v>0</v>
      </c>
      <c r="O137" s="208">
        <v>0</v>
      </c>
      <c r="P137" s="208">
        <v>0</v>
      </c>
      <c r="Q137" s="208"/>
      <c r="R137" s="208">
        <v>0</v>
      </c>
      <c r="S137" s="208">
        <v>0</v>
      </c>
      <c r="T137" s="208">
        <v>0</v>
      </c>
      <c r="U137" s="208"/>
      <c r="V137" s="208">
        <v>0</v>
      </c>
      <c r="W137" s="375">
        <f t="shared" si="215"/>
        <v>0</v>
      </c>
      <c r="X137" s="208">
        <v>0</v>
      </c>
      <c r="Y137" s="208">
        <v>0</v>
      </c>
      <c r="Z137" s="208">
        <v>0</v>
      </c>
      <c r="AA137" s="139">
        <f t="shared" si="216"/>
        <v>0</v>
      </c>
      <c r="AB137" s="614" t="str">
        <f t="shared" si="110"/>
        <v/>
      </c>
      <c r="AC137" s="359" t="str">
        <f>IF(ISNUMBER(AB137),IF(AND(AB137&gt;=(Parameters!F389*0.95), AB137&lt;=(Parameters!F389*1.05)), "Pass", "Fail (RW≠" &amp; Parameters!F389*100 &amp; "%)"),"")</f>
        <v/>
      </c>
      <c r="AD137" s="208"/>
      <c r="AE137" s="208"/>
      <c r="AF137" s="208"/>
      <c r="AG137" s="138"/>
      <c r="AH137" s="138"/>
      <c r="AI137" s="1845" t="str">
        <f t="shared" si="217"/>
        <v/>
      </c>
      <c r="AJ137" s="208"/>
      <c r="AK137" s="208"/>
      <c r="AL137" s="1513"/>
    </row>
    <row r="138" spans="2:38" ht="15" customHeight="1" x14ac:dyDescent="0.35">
      <c r="B138" s="300" t="s">
        <v>843</v>
      </c>
      <c r="C138" s="299"/>
      <c r="D138" s="208">
        <v>35177</v>
      </c>
      <c r="E138" s="208">
        <v>16</v>
      </c>
      <c r="F138" s="208">
        <v>0</v>
      </c>
      <c r="G138" s="208"/>
      <c r="H138" s="208">
        <v>177</v>
      </c>
      <c r="I138" s="375">
        <f t="shared" si="213"/>
        <v>35370</v>
      </c>
      <c r="J138" s="208">
        <v>46607</v>
      </c>
      <c r="K138" s="208">
        <v>24</v>
      </c>
      <c r="L138" s="208">
        <v>180</v>
      </c>
      <c r="M138" s="375">
        <f t="shared" si="214"/>
        <v>46811</v>
      </c>
      <c r="N138" s="298"/>
      <c r="O138" s="208">
        <v>15298</v>
      </c>
      <c r="P138" s="208">
        <v>0</v>
      </c>
      <c r="Q138" s="208"/>
      <c r="R138" s="208">
        <v>35177</v>
      </c>
      <c r="S138" s="208">
        <v>16</v>
      </c>
      <c r="T138" s="208">
        <v>0</v>
      </c>
      <c r="U138" s="208"/>
      <c r="V138" s="208">
        <v>479</v>
      </c>
      <c r="W138" s="375">
        <f t="shared" si="215"/>
        <v>35672</v>
      </c>
      <c r="X138" s="208">
        <v>0</v>
      </c>
      <c r="Y138" s="208">
        <v>0</v>
      </c>
      <c r="Z138" s="208">
        <v>0</v>
      </c>
      <c r="AA138" s="139">
        <f t="shared" si="216"/>
        <v>0</v>
      </c>
      <c r="AB138" s="614">
        <f t="shared" si="110"/>
        <v>0</v>
      </c>
      <c r="AC138" s="319"/>
      <c r="AD138" s="208"/>
      <c r="AE138" s="208"/>
      <c r="AF138" s="208"/>
      <c r="AG138" s="138"/>
      <c r="AH138" s="138"/>
      <c r="AI138" s="1845" t="str">
        <f t="shared" si="217"/>
        <v/>
      </c>
      <c r="AJ138" s="208"/>
      <c r="AK138" s="138"/>
      <c r="AL138" s="1513"/>
    </row>
    <row r="139" spans="2:38" ht="15" customHeight="1" x14ac:dyDescent="0.35">
      <c r="B139" s="512" t="s">
        <v>844</v>
      </c>
      <c r="C139" s="299"/>
      <c r="D139" s="208">
        <v>22882</v>
      </c>
      <c r="E139" s="208">
        <v>0</v>
      </c>
      <c r="F139" s="208">
        <v>0</v>
      </c>
      <c r="G139" s="208"/>
      <c r="H139" s="208">
        <v>0</v>
      </c>
      <c r="I139" s="375">
        <f t="shared" si="213"/>
        <v>22882</v>
      </c>
      <c r="J139" s="208">
        <v>34322</v>
      </c>
      <c r="K139" s="208">
        <v>0</v>
      </c>
      <c r="L139" s="208">
        <v>0</v>
      </c>
      <c r="M139" s="375">
        <f t="shared" si="214"/>
        <v>34322</v>
      </c>
      <c r="N139" s="298"/>
      <c r="O139" s="298"/>
      <c r="P139" s="298"/>
      <c r="Q139" s="208"/>
      <c r="R139" s="208">
        <v>22882</v>
      </c>
      <c r="S139" s="208">
        <v>0</v>
      </c>
      <c r="T139" s="208">
        <v>0</v>
      </c>
      <c r="U139" s="208"/>
      <c r="V139" s="208">
        <v>0</v>
      </c>
      <c r="W139" s="375">
        <f t="shared" si="215"/>
        <v>22882</v>
      </c>
      <c r="X139" s="208">
        <v>0</v>
      </c>
      <c r="Y139" s="208">
        <v>0</v>
      </c>
      <c r="Z139" s="208">
        <v>0</v>
      </c>
      <c r="AA139" s="139">
        <f t="shared" si="216"/>
        <v>0</v>
      </c>
      <c r="AB139" s="614">
        <f t="shared" si="110"/>
        <v>0</v>
      </c>
      <c r="AC139" s="319"/>
      <c r="AD139" s="208"/>
      <c r="AE139" s="208"/>
      <c r="AF139" s="208"/>
      <c r="AG139" s="138"/>
      <c r="AH139" s="138"/>
      <c r="AI139" s="1845" t="str">
        <f t="shared" si="217"/>
        <v/>
      </c>
      <c r="AJ139" s="208"/>
      <c r="AK139" s="138"/>
      <c r="AL139" s="1513"/>
    </row>
    <row r="140" spans="2:38" ht="15" customHeight="1" x14ac:dyDescent="0.35">
      <c r="B140" s="514" t="str">
        <f>"Check: row" &amp; ROW(C139) &amp; " ≤ row "&amp; ROW(C138)</f>
        <v>Check: row139 ≤ row 138</v>
      </c>
      <c r="C140" s="359" t="str">
        <f t="shared" ref="C140:H140" si="218">IF(AND(ISNUMBER(C138), ISNUMBER(C139)), IF(C139&lt;=C138, "Pass", "Fail"), "")</f>
        <v/>
      </c>
      <c r="D140" s="359" t="str">
        <f t="shared" si="218"/>
        <v>Pass</v>
      </c>
      <c r="E140" s="359" t="str">
        <f t="shared" si="218"/>
        <v>Pass</v>
      </c>
      <c r="F140" s="359" t="str">
        <f t="shared" si="218"/>
        <v>Pass</v>
      </c>
      <c r="G140" s="359" t="str">
        <f t="shared" si="218"/>
        <v/>
      </c>
      <c r="H140" s="359" t="str">
        <f t="shared" si="218"/>
        <v>Pass</v>
      </c>
      <c r="I140" s="298"/>
      <c r="J140" s="359" t="str">
        <f>IF(AND(ISNUMBER(J138), ISNUMBER(J139)), IF(J139&lt;=J138, "Pass", "Fail"), "")</f>
        <v>Pass</v>
      </c>
      <c r="K140" s="359" t="str">
        <f>IF(AND(ISNUMBER(K138), ISNUMBER(K139)), IF(K139&lt;=K138, "Pass", "Fail"), "")</f>
        <v>Pass</v>
      </c>
      <c r="L140" s="359" t="str">
        <f>IF(AND(ISNUMBER(L138), ISNUMBER(L139)), IF(L139&lt;=L138, "Pass", "Fail"), "")</f>
        <v>Pass</v>
      </c>
      <c r="M140" s="298"/>
      <c r="N140" s="298"/>
      <c r="O140" s="298"/>
      <c r="P140" s="298"/>
      <c r="Q140" s="359" t="str">
        <f t="shared" ref="Q140:W140" si="219">IF(AND(ISNUMBER(Q138), ISNUMBER(Q139)), IF(Q139&lt;=Q138, "Pass", "Fail"), "")</f>
        <v/>
      </c>
      <c r="R140" s="359" t="str">
        <f t="shared" si="219"/>
        <v>Pass</v>
      </c>
      <c r="S140" s="359" t="str">
        <f t="shared" si="219"/>
        <v>Pass</v>
      </c>
      <c r="T140" s="359" t="str">
        <f t="shared" si="219"/>
        <v>Pass</v>
      </c>
      <c r="U140" s="359" t="str">
        <f t="shared" si="219"/>
        <v/>
      </c>
      <c r="V140" s="359" t="str">
        <f t="shared" si="219"/>
        <v>Pass</v>
      </c>
      <c r="W140" s="359" t="str">
        <f t="shared" si="219"/>
        <v>Pass</v>
      </c>
      <c r="X140" s="359" t="str">
        <f>IF(AND(ISNUMBER(X138), ISNUMBER(X139)), IF(X139&lt;=X138, "Pass", "Fail"), "")</f>
        <v>Pass</v>
      </c>
      <c r="Y140" s="359" t="str">
        <f>IF(AND(ISNUMBER(Y138), ISNUMBER(Y139)), IF(Y139&lt;=Y138, "Pass", "Fail"), "")</f>
        <v>Pass</v>
      </c>
      <c r="Z140" s="359" t="str">
        <f>IF(AND(ISNUMBER(Z138), ISNUMBER(Z139)), IF(Z139&lt;=Z138, "Pass", "Fail"), "")</f>
        <v>Pass</v>
      </c>
      <c r="AA140" s="316"/>
      <c r="AB140" s="298"/>
      <c r="AC140" s="319"/>
      <c r="AD140" s="359" t="str">
        <f>IF(AND(ISNUMBER(AD138), ISNUMBER(AD139)), IF(AD139&lt;=AD138, "Pass", "Fail"), "")</f>
        <v/>
      </c>
      <c r="AE140" s="359" t="str">
        <f>IF(AND(ISNUMBER(AE138), ISNUMBER(AE139)), IF(AE139&lt;=AE138, "Pass", "Fail"), "")</f>
        <v/>
      </c>
      <c r="AF140" s="359" t="str">
        <f>IF(AND(ISNUMBER(AF138), ISNUMBER(AF139)), IF(AF139&lt;=AF138, "Pass", "Fail"), "")</f>
        <v/>
      </c>
      <c r="AG140" s="359" t="str">
        <f>IF(AND(ISNUMBER(AG138), ISNUMBER(AG139)), IF(AG139&lt;=AG138, "Pass", "Fail"), "")</f>
        <v/>
      </c>
      <c r="AH140" s="356" t="str">
        <f>IF(AND(ISNUMBER(AH138), ISNUMBER(AH139)), IF(AH139&lt;=AH138, "Pass", "Fail"), "")</f>
        <v/>
      </c>
      <c r="AI140" s="1528" t="str">
        <f t="shared" ref="AI140:AK140" si="220">IF(AND(ISNUMBER(AI138), ISNUMBER(AI139)), IF(AI139&lt;=AI138, "Pass", "Fail"), "")</f>
        <v/>
      </c>
      <c r="AJ140" s="352" t="str">
        <f t="shared" si="220"/>
        <v/>
      </c>
      <c r="AK140" s="356" t="str">
        <f t="shared" si="220"/>
        <v/>
      </c>
      <c r="AL140" s="1513"/>
    </row>
    <row r="141" spans="2:38" ht="15" customHeight="1" x14ac:dyDescent="0.35">
      <c r="B141" s="513" t="s">
        <v>202</v>
      </c>
      <c r="C141" s="299"/>
      <c r="D141" s="208">
        <v>0</v>
      </c>
      <c r="E141" s="208">
        <v>0</v>
      </c>
      <c r="F141" s="208">
        <v>0</v>
      </c>
      <c r="G141" s="208"/>
      <c r="H141" s="208">
        <v>0</v>
      </c>
      <c r="I141" s="375">
        <f>IF(AND(ISNUMBER(D141),ISNUMBER(E141),ISNUMBER(H141)),SUM(D141,E141,H141),"")</f>
        <v>0</v>
      </c>
      <c r="J141" s="208">
        <v>0</v>
      </c>
      <c r="K141" s="208">
        <v>0</v>
      </c>
      <c r="L141" s="208">
        <v>0</v>
      </c>
      <c r="M141" s="375">
        <f t="shared" ref="M141:M142" si="221">IF(AND(ISNUMBER(J141),ISNUMBER(K141),ISNUMBER(L141)),SUM(J141:L141), "")</f>
        <v>0</v>
      </c>
      <c r="N141" s="298"/>
      <c r="O141" s="208">
        <v>0</v>
      </c>
      <c r="P141" s="208">
        <v>0</v>
      </c>
      <c r="Q141" s="208"/>
      <c r="R141" s="208">
        <v>0</v>
      </c>
      <c r="S141" s="208">
        <v>0</v>
      </c>
      <c r="T141" s="208">
        <v>0</v>
      </c>
      <c r="U141" s="208"/>
      <c r="V141" s="208">
        <v>0</v>
      </c>
      <c r="W141" s="375">
        <f t="shared" si="215"/>
        <v>0</v>
      </c>
      <c r="X141" s="208">
        <v>0</v>
      </c>
      <c r="Y141" s="208">
        <v>0</v>
      </c>
      <c r="Z141" s="208">
        <v>0</v>
      </c>
      <c r="AA141" s="139">
        <f t="shared" si="216"/>
        <v>0</v>
      </c>
      <c r="AB141" s="614" t="str">
        <f t="shared" si="110"/>
        <v/>
      </c>
      <c r="AC141" s="319"/>
      <c r="AD141" s="208"/>
      <c r="AE141" s="208"/>
      <c r="AF141" s="208"/>
      <c r="AG141" s="138"/>
      <c r="AH141" s="138"/>
      <c r="AI141" s="1845" t="str">
        <f t="shared" ref="AI141:AI142" si="222">IF(AND(ISNUMBER(AF141),ISNUMBER(AG141),ISNUMBER(AJ141)),AF141-AG141+AJ141,"")</f>
        <v/>
      </c>
      <c r="AJ141" s="208"/>
      <c r="AK141" s="138"/>
      <c r="AL141" s="1513"/>
    </row>
    <row r="142" spans="2:38" ht="15" customHeight="1" x14ac:dyDescent="0.35">
      <c r="B142" s="306" t="s">
        <v>203</v>
      </c>
      <c r="C142" s="307"/>
      <c r="D142" s="210">
        <v>1061605</v>
      </c>
      <c r="E142" s="210">
        <v>659</v>
      </c>
      <c r="F142" s="210">
        <v>0</v>
      </c>
      <c r="G142" s="210"/>
      <c r="H142" s="210">
        <v>2268</v>
      </c>
      <c r="I142" s="375">
        <f>IF(AND(ISNUMBER(D142),ISNUMBER(E142),ISNUMBER(H142)),SUM(D142,E142,H142),"")</f>
        <v>1064532</v>
      </c>
      <c r="J142" s="210">
        <v>786353</v>
      </c>
      <c r="K142" s="210">
        <v>989</v>
      </c>
      <c r="L142" s="210">
        <v>3402</v>
      </c>
      <c r="M142" s="375">
        <f t="shared" si="221"/>
        <v>790744</v>
      </c>
      <c r="N142" s="1805">
        <v>0</v>
      </c>
      <c r="O142" s="210">
        <v>802</v>
      </c>
      <c r="P142" s="210">
        <v>0</v>
      </c>
      <c r="Q142" s="210"/>
      <c r="R142" s="210">
        <v>1061605</v>
      </c>
      <c r="S142" s="210">
        <v>659</v>
      </c>
      <c r="T142" s="210">
        <v>0</v>
      </c>
      <c r="U142" s="210"/>
      <c r="V142" s="210">
        <v>3101</v>
      </c>
      <c r="W142" s="375">
        <f t="shared" si="215"/>
        <v>1065365</v>
      </c>
      <c r="X142" s="210">
        <v>786353</v>
      </c>
      <c r="Y142" s="210">
        <v>989</v>
      </c>
      <c r="Z142" s="210">
        <v>3402</v>
      </c>
      <c r="AA142" s="139">
        <f t="shared" si="216"/>
        <v>790744</v>
      </c>
      <c r="AB142" s="614">
        <f t="shared" si="110"/>
        <v>0.74222825041183071</v>
      </c>
      <c r="AC142" s="666"/>
      <c r="AD142" s="210"/>
      <c r="AE142" s="210"/>
      <c r="AF142" s="210"/>
      <c r="AG142" s="237"/>
      <c r="AH142" s="237"/>
      <c r="AI142" s="1845" t="str">
        <f t="shared" si="222"/>
        <v/>
      </c>
      <c r="AJ142" s="208"/>
      <c r="AK142" s="138"/>
      <c r="AL142" s="1513"/>
    </row>
    <row r="143" spans="2:38" ht="15" customHeight="1" x14ac:dyDescent="0.35">
      <c r="B143" s="569" t="s">
        <v>845</v>
      </c>
      <c r="C143" s="570" t="str">
        <f t="shared" ref="C143:I143" si="223">IF(AND(ISNUMBER(C19),ISNUMBER(C24),ISNUMBER(C51), ISNUMBER(C66), ISNUMBER(C78),ISNUMBER(C79),ISNUMBER(C87),ISNUMBER(C91),ISNUMBER(C92),ISNUMBER(C95),ISNUMBER(C99), ISNUMBER(C138),ISNUMBER(C141), ISNUMBER(C142)), SUM(C19,C24,C51,C66,C78,C79,C87,C91,C92,C95,C99,C138,C141, C142)," ")</f>
        <v xml:space="preserve"> </v>
      </c>
      <c r="D143" s="570">
        <f t="shared" si="223"/>
        <v>27553251.359999999</v>
      </c>
      <c r="E143" s="570">
        <f t="shared" si="223"/>
        <v>143105.50985</v>
      </c>
      <c r="F143" s="570">
        <f t="shared" si="223"/>
        <v>0</v>
      </c>
      <c r="G143" s="570" t="str">
        <f t="shared" si="223"/>
        <v xml:space="preserve"> </v>
      </c>
      <c r="H143" s="570">
        <f t="shared" si="223"/>
        <v>22811</v>
      </c>
      <c r="I143" s="570">
        <f t="shared" si="223"/>
        <v>27719167.869849999</v>
      </c>
      <c r="J143" s="570">
        <f t="shared" ref="J143:K143" si="224">IF(AND(ISNUMBER(J19),ISNUMBER(J24),ISNUMBER(J51), ISNUMBER(J66), ISNUMBER(J78),ISNUMBER(J79),ISNUMBER(J87),ISNUMBER(J91),ISNUMBER(J92),ISNUMBER(J95),ISNUMBER(J99), ISNUMBER(J138),ISNUMBER(J141), ISNUMBER(J142)), SUM(J19,J24,J51,J66,J78,J79,J87,J91,J92,J95,J99,J138,J141, J142)," ")</f>
        <v>5721204</v>
      </c>
      <c r="K143" s="570">
        <f t="shared" si="224"/>
        <v>23075.68362</v>
      </c>
      <c r="L143" s="570">
        <f t="shared" ref="L143" si="225">IF(AND(ISNUMBER(L19),ISNUMBER(L24),ISNUMBER(L51), ISNUMBER(L66), ISNUMBER(L78),ISNUMBER(L79),ISNUMBER(L87),ISNUMBER(L91),ISNUMBER(L92),ISNUMBER(L95),ISNUMBER(L99), ISNUMBER(L138),ISNUMBER(L141), ISNUMBER(L142)), SUM(L19,L24,L51,L66,L78,L79,L87,L91,L92,L95,L99,L138,L141, L142)," ")</f>
        <v>19109</v>
      </c>
      <c r="M143" s="570">
        <f>IF(AND(ISNUMBER(M19),ISNUMBER(M24),ISNUMBER(M51), ISNUMBER(M66), ISNUMBER(M78),ISNUMBER(M79),ISNUMBER(M87),ISNUMBER(M91),ISNUMBER(M92),ISNUMBER(M95),ISNUMBER(M99), ISNUMBER(M138),ISNUMBER(M141), ISNUMBER(M142)), SUM(M19,M24,M51,M66,M78,M79,M87,M91,M92,M95,M99,M138,M141, M142)," ")</f>
        <v>5763388.6836200003</v>
      </c>
      <c r="N143" s="570">
        <f>IF(AND(ISNUMBER(N19),ISNUMBER(N24),ISNUMBER(N51), ISNUMBER(N66), ISNUMBER(N78),ISNUMBER(N79),ISNUMBER(N87),ISNUMBER(N91),ISNUMBER(N92),ISNUMBER(N95),ISNUMBER(N99), ISNUMBER(N142)), SUM(N19,N24,N51,N66,N78,N79,N87,N91,N92,N95,N99,N142)," ")</f>
        <v>35370</v>
      </c>
      <c r="O143" s="208">
        <v>35543</v>
      </c>
      <c r="P143" s="208">
        <v>0</v>
      </c>
      <c r="Q143" s="570" t="str">
        <f t="shared" ref="Q143:W143" si="226">IF(AND(ISNUMBER(Q19),ISNUMBER(Q24),ISNUMBER(Q51), ISNUMBER(Q66), ISNUMBER(Q78),ISNUMBER(Q79),ISNUMBER(Q87),ISNUMBER(Q91),ISNUMBER(Q92),ISNUMBER(Q95),ISNUMBER(Q99), ISNUMBER(Q138),ISNUMBER(Q141), ISNUMBER(Q142)), SUM(Q19,Q24,Q51,Q66,Q78,Q79,Q87,Q91,Q92,Q95,Q99,Q138,Q141, Q142)," ")</f>
        <v xml:space="preserve"> </v>
      </c>
      <c r="R143" s="570">
        <f t="shared" si="226"/>
        <v>27553251.359999999</v>
      </c>
      <c r="S143" s="570">
        <f t="shared" si="226"/>
        <v>143105.50985</v>
      </c>
      <c r="T143" s="570">
        <f t="shared" si="226"/>
        <v>0</v>
      </c>
      <c r="U143" s="570" t="str">
        <f t="shared" si="226"/>
        <v xml:space="preserve"> </v>
      </c>
      <c r="V143" s="570">
        <f t="shared" si="226"/>
        <v>138979</v>
      </c>
      <c r="W143" s="570">
        <f t="shared" si="226"/>
        <v>27835335.869849999</v>
      </c>
      <c r="X143" s="570">
        <f>IF(AND(ISNUMBER(X19),ISNUMBER(X24),ISNUMBER(X51), ISNUMBER(X66), ISNUMBER(X78),ISNUMBER(X79),ISNUMBER(X87),ISNUMBER(X91),ISNUMBER(X92),ISNUMBER(X95),ISNUMBER(X99), ISNUMBER(X138),ISNUMBER(X141), ISNUMBER(X142)), SUM(X19,X24,X51,X66,X78,X79,X87,X91,X92,X95,X99,X138,X141, X142)," ")</f>
        <v>6022805.6337199993</v>
      </c>
      <c r="Y143" s="570">
        <f>IF(AND(ISNUMBER(Y19),ISNUMBER(Y24),ISNUMBER(Y51), ISNUMBER(Y66), ISNUMBER(Y78),ISNUMBER(Y79),ISNUMBER(Y87),ISNUMBER(Y91),ISNUMBER(Y92),ISNUMBER(Y95),ISNUMBER(Y99), ISNUMBER(Y138),ISNUMBER(Y141), ISNUMBER(Y142)), SUM(Y19,Y24,Y51,Y66,Y78,Y79,Y87,Y91,Y92,Y95,Y99,Y138,Y141, Y142)," ")</f>
        <v>49975.706114000001</v>
      </c>
      <c r="Z143" s="570">
        <f>IF(AND(ISNUMBER(Z19),ISNUMBER(Z24),ISNUMBER(Z51), ISNUMBER(Z66), ISNUMBER(Z78),ISNUMBER(Z79),ISNUMBER(Z87),ISNUMBER(Z91),ISNUMBER(Z92),ISNUMBER(Z95),ISNUMBER(Z99), ISNUMBER(Z138),ISNUMBER(Z141), ISNUMBER(Z142)), SUM(Z19,Z24,Z51,Z66,Z78,Z79,Z87,Z91,Z92,Z95,Z99,Z138,Z141, Z142)," ")</f>
        <v>115107.09999999999</v>
      </c>
      <c r="AA143" s="571">
        <f>IF(AND(ISNUMBER(AA19),ISNUMBER(AA24),ISNUMBER(AA51), ISNUMBER(AA66), ISNUMBER(AA78),ISNUMBER(AA79),ISNUMBER(AA87),ISNUMBER(AA91),ISNUMBER(AA92),ISNUMBER(AA95),ISNUMBER(AA99), ISNUMBER(AA138),ISNUMBER(AA141), ISNUMBER(AA142)), SUM(AA19,AA24,AA51,AA66,AA78,AA79,AA87,AA91,AA92,AA95,AA99,AA138,AA141, AA142)," ")</f>
        <v>6187888.4398339996</v>
      </c>
      <c r="AB143" s="706">
        <f t="shared" si="110"/>
        <v>0.22230335099122861</v>
      </c>
      <c r="AC143" s="319"/>
      <c r="AD143" s="570" t="str">
        <f>IF(AND(ISNUMBER(AD19),ISNUMBER(AD24),ISNUMBER(AD51), ISNUMBER(AD66), ISNUMBER(AD78),ISNUMBER(AD79),ISNUMBER(AD87),ISNUMBER(AD91),ISNUMBER(AD92),ISNUMBER(AD95),ISNUMBER(AD99), ISNUMBER(AD138),ISNUMBER(AD141), ISNUMBER(AD142)), SUM(AD19,AD24,AD51,AD66,AD78,AD79,AD87,AD91,AD92,AD95,AD99,AD138,AD141, AD142)," ")</f>
        <v xml:space="preserve"> </v>
      </c>
      <c r="AE143" s="570" t="str">
        <f>IF(AND(ISNUMBER(AE19),ISNUMBER(AE24),ISNUMBER(AE51), ISNUMBER(AE66), ISNUMBER(AE78),ISNUMBER(AE79),ISNUMBER(AE87),ISNUMBER(AE91),ISNUMBER(AE92),ISNUMBER(AE95),ISNUMBER(AE99), ISNUMBER(AE138),ISNUMBER(AE141), ISNUMBER(AE142)), SUM(AE19,AE24,AE51,AE66,AE78,AE79,AE87,AE91,AE92,AE95,AE99,AE138,AE141, AE142)," ")</f>
        <v xml:space="preserve"> </v>
      </c>
      <c r="AF143" s="570" t="str">
        <f>IF(AND(ISNUMBER(AF19),ISNUMBER(AF24),ISNUMBER(AF51), ISNUMBER(AF66), ISNUMBER(AF78),ISNUMBER(AF79),ISNUMBER(AF87),ISNUMBER(AF91),ISNUMBER(AF92),ISNUMBER(AF95),ISNUMBER(AF99), ISNUMBER(AF138),ISNUMBER(AF141), ISNUMBER(AF142)), SUM(AF19,AF24,AF51,AF66,AF78,AF79,AF87,AF91,AF92,AF95,AF99,AF138,AF141, AF142)," ")</f>
        <v xml:space="preserve"> </v>
      </c>
      <c r="AG143" s="570" t="str">
        <f>IF(AND(ISNUMBER(AG19),ISNUMBER(AG24),ISNUMBER(AG51), ISNUMBER(AG66), ISNUMBER(AG78),ISNUMBER(AG79),ISNUMBER(AG87),ISNUMBER(AG91),ISNUMBER(AG92),ISNUMBER(AG95),ISNUMBER(AG99), ISNUMBER(AG138),ISNUMBER(AG141), ISNUMBER(AG142)), SUM(AG19,AG24,AG51,AG66,AG78,AG79,AG87,AG91,AG92,AG95,AG99,AG138,AG141, AG142)," ")</f>
        <v xml:space="preserve"> </v>
      </c>
      <c r="AH143" s="571" t="str">
        <f>IF(AND(ISNUMBER(AH19),ISNUMBER(AH24),ISNUMBER(AH51), ISNUMBER(AH66), ISNUMBER(AH78),ISNUMBER(AH79),ISNUMBER(AH87),ISNUMBER(AH91),ISNUMBER(AH92),ISNUMBER(AH95),ISNUMBER(AH99), ISNUMBER(AH138),ISNUMBER(AH141), ISNUMBER(AH142)), SUM(AH19,AH24,AH51,AH66,AH78,AH79,AH87,AH91,AH92,AH95,AH99,AH138,AH141, AH142)," ")</f>
        <v xml:space="preserve"> </v>
      </c>
      <c r="AI143" s="1529" t="str">
        <f t="shared" ref="AI143:AK143" si="227">IF(AND(ISNUMBER(AI19),ISNUMBER(AI24),ISNUMBER(AI51), ISNUMBER(AI66), ISNUMBER(AI78),ISNUMBER(AI79),ISNUMBER(AI87),ISNUMBER(AI91),ISNUMBER(AI92),ISNUMBER(AI95),ISNUMBER(AI99), ISNUMBER(AI138),ISNUMBER(AI141), ISNUMBER(AI142)), SUM(AI19,AI24,AI51,AI66,AI78,AI79,AI87,AI91,AI92,AI95,AI99,AI138,AI141, AI142)," ")</f>
        <v xml:space="preserve"> </v>
      </c>
      <c r="AJ143" s="570" t="str">
        <f t="shared" si="227"/>
        <v xml:space="preserve"> </v>
      </c>
      <c r="AK143" s="571" t="str">
        <f t="shared" si="227"/>
        <v xml:space="preserve"> </v>
      </c>
      <c r="AL143" s="1513"/>
    </row>
    <row r="144" spans="2:38" ht="15" customHeight="1" x14ac:dyDescent="0.35">
      <c r="B144" s="249" t="str">
        <f>"Check: cell I" &amp; ROW(I138) &amp; " = cell N"&amp; ROW(N143)</f>
        <v>Check: cell I138 = cell N143</v>
      </c>
      <c r="C144" s="320"/>
      <c r="D144" s="317"/>
      <c r="E144" s="317"/>
      <c r="F144" s="317"/>
      <c r="G144" s="317"/>
      <c r="H144" s="317"/>
      <c r="I144" s="317"/>
      <c r="J144" s="317"/>
      <c r="K144" s="317"/>
      <c r="L144" s="317"/>
      <c r="M144" s="317"/>
      <c r="N144" s="354" t="str">
        <f>IF(AND(ISNUMBER(I138),ISNUMBER(N143)), IF(I138=N143, "Pass", "Fail"),"")</f>
        <v>Pass</v>
      </c>
      <c r="O144" s="310"/>
      <c r="P144" s="310"/>
      <c r="Q144" s="317"/>
      <c r="R144" s="317"/>
      <c r="S144" s="317"/>
      <c r="T144" s="317"/>
      <c r="U144" s="317"/>
      <c r="V144" s="317"/>
      <c r="W144" s="317"/>
      <c r="X144" s="317"/>
      <c r="Y144" s="317"/>
      <c r="Z144" s="317"/>
      <c r="AA144" s="318"/>
      <c r="AB144" s="317"/>
      <c r="AC144" s="320"/>
      <c r="AD144" s="317"/>
      <c r="AE144" s="317"/>
      <c r="AF144" s="317"/>
      <c r="AG144" s="317"/>
      <c r="AH144" s="318"/>
      <c r="AI144" s="1531"/>
      <c r="AJ144" s="309"/>
      <c r="AK144" s="667"/>
      <c r="AL144" s="1513"/>
    </row>
    <row r="145" spans="1:38" ht="45" customHeight="1" x14ac:dyDescent="0.35">
      <c r="B145" s="1352" t="s">
        <v>846</v>
      </c>
      <c r="C145" s="929"/>
      <c r="D145" s="929">
        <v>0</v>
      </c>
      <c r="E145" s="929">
        <v>0</v>
      </c>
      <c r="F145" s="929">
        <v>0</v>
      </c>
      <c r="G145" s="929"/>
      <c r="H145" s="929">
        <v>0</v>
      </c>
      <c r="I145" s="719">
        <f>IF(AND(ISNUMBER(D145),ISNUMBER(E145),ISNUMBER(H145)),SUM(D145,E145,H145),"")</f>
        <v>0</v>
      </c>
      <c r="J145" s="1371">
        <v>0</v>
      </c>
      <c r="K145" s="1371">
        <v>0</v>
      </c>
      <c r="L145" s="1371">
        <v>0</v>
      </c>
      <c r="M145" s="719">
        <f t="shared" ref="M145:M146" si="228">IF(AND(ISNUMBER(J145),ISNUMBER(K145),ISNUMBER(L145)),SUM(J145:L145), "")</f>
        <v>0</v>
      </c>
      <c r="N145" s="1808"/>
      <c r="O145" s="929">
        <v>0</v>
      </c>
      <c r="P145" s="929">
        <v>0</v>
      </c>
      <c r="Q145" s="1107"/>
      <c r="R145" s="1107"/>
      <c r="S145" s="1107"/>
      <c r="T145" s="1107"/>
      <c r="U145" s="1107"/>
      <c r="V145" s="1107"/>
      <c r="W145" s="1107"/>
      <c r="X145" s="1107"/>
      <c r="Y145" s="1107"/>
      <c r="Z145" s="1107"/>
      <c r="AA145" s="1107"/>
      <c r="AB145" s="1107"/>
      <c r="AC145" s="1107"/>
      <c r="AD145" s="1107"/>
      <c r="AE145" s="1107"/>
      <c r="AF145" s="1107"/>
      <c r="AG145" s="1107"/>
      <c r="AH145" s="1296"/>
      <c r="AI145" s="1532"/>
      <c r="AJ145" s="1107"/>
      <c r="AK145" s="1296"/>
      <c r="AL145" s="1513"/>
    </row>
    <row r="146" spans="1:38" ht="45" customHeight="1" x14ac:dyDescent="0.35">
      <c r="B146" s="1353" t="s">
        <v>847</v>
      </c>
      <c r="C146" s="900"/>
      <c r="D146" s="900">
        <v>0</v>
      </c>
      <c r="E146" s="900">
        <v>0</v>
      </c>
      <c r="F146" s="900">
        <v>0</v>
      </c>
      <c r="G146" s="900"/>
      <c r="H146" s="900">
        <v>0</v>
      </c>
      <c r="I146" s="722">
        <f>IF(AND(ISNUMBER(D146),ISNUMBER(E146),ISNUMBER(H146)),SUM(D146,E146,H146),"")</f>
        <v>0</v>
      </c>
      <c r="J146" s="900">
        <v>0</v>
      </c>
      <c r="K146" s="900">
        <v>0</v>
      </c>
      <c r="L146" s="900">
        <v>0</v>
      </c>
      <c r="M146" s="722">
        <f t="shared" si="228"/>
        <v>0</v>
      </c>
      <c r="N146" s="1809"/>
      <c r="O146" s="900">
        <v>0</v>
      </c>
      <c r="P146" s="900">
        <v>0</v>
      </c>
      <c r="Q146" s="1184"/>
      <c r="R146" s="1184"/>
      <c r="S146" s="1184"/>
      <c r="T146" s="1184"/>
      <c r="U146" s="1184"/>
      <c r="V146" s="1184"/>
      <c r="W146" s="1184"/>
      <c r="X146" s="1184"/>
      <c r="Y146" s="1184"/>
      <c r="Z146" s="1184"/>
      <c r="AA146" s="1184"/>
      <c r="AB146" s="1184"/>
      <c r="AC146" s="1184"/>
      <c r="AD146" s="1184"/>
      <c r="AE146" s="1184"/>
      <c r="AF146" s="1184"/>
      <c r="AG146" s="1184"/>
      <c r="AH146" s="1350"/>
      <c r="AI146" s="1530"/>
      <c r="AJ146" s="1184"/>
      <c r="AK146" s="1350"/>
      <c r="AL146" s="1513"/>
    </row>
    <row r="147" spans="1:38" ht="60" customHeight="1" x14ac:dyDescent="0.35">
      <c r="A147" s="311" t="s">
        <v>848</v>
      </c>
      <c r="B147" s="312"/>
      <c r="AI147" s="1513"/>
      <c r="AJ147" s="1513"/>
      <c r="AK147" s="1513"/>
      <c r="AL147" s="1514"/>
    </row>
    <row r="148" spans="1:38" ht="15" customHeight="1" x14ac:dyDescent="0.45">
      <c r="A148" s="311"/>
      <c r="B148" s="741"/>
      <c r="C148" s="2697" t="s">
        <v>849</v>
      </c>
      <c r="D148" s="2698"/>
      <c r="E148" s="2698"/>
      <c r="F148" s="2698"/>
      <c r="G148" s="2698"/>
      <c r="H148" s="2698"/>
      <c r="I148" s="2698"/>
      <c r="J148" s="2699"/>
      <c r="AI148" s="1513"/>
      <c r="AJ148" s="1513"/>
      <c r="AK148" s="1513"/>
      <c r="AL148" s="1514"/>
    </row>
    <row r="149" spans="1:38" ht="15" customHeight="1" x14ac:dyDescent="0.35">
      <c r="A149" s="321"/>
      <c r="B149" s="137"/>
      <c r="C149" s="1467" t="s">
        <v>738</v>
      </c>
      <c r="D149" s="2686" t="s">
        <v>850</v>
      </c>
      <c r="E149" s="2686" t="s">
        <v>746</v>
      </c>
      <c r="F149" s="2686" t="s">
        <v>851</v>
      </c>
      <c r="G149" s="1468"/>
      <c r="H149" s="2686" t="s">
        <v>176</v>
      </c>
      <c r="I149" s="2686" t="s">
        <v>177</v>
      </c>
      <c r="J149" s="2679" t="s">
        <v>739</v>
      </c>
      <c r="AI149" s="1513"/>
      <c r="AJ149" s="1513"/>
      <c r="AK149" s="1513"/>
      <c r="AL149" s="1514"/>
    </row>
    <row r="150" spans="1:38" ht="15" customHeight="1" x14ac:dyDescent="0.35">
      <c r="A150" s="321"/>
      <c r="B150" s="137"/>
      <c r="C150" s="1466"/>
      <c r="D150" s="2691"/>
      <c r="E150" s="2691"/>
      <c r="F150" s="2691"/>
      <c r="G150" s="1468"/>
      <c r="H150" s="2691"/>
      <c r="I150" s="2691"/>
      <c r="J150" s="2700"/>
      <c r="AI150" s="1513"/>
      <c r="AJ150" s="1513"/>
      <c r="AK150" s="1513"/>
      <c r="AL150" s="1514"/>
    </row>
    <row r="151" spans="1:38" ht="45" customHeight="1" x14ac:dyDescent="0.35">
      <c r="A151" s="321"/>
      <c r="B151" s="1542"/>
      <c r="C151" s="760"/>
      <c r="D151" s="2687"/>
      <c r="E151" s="2687"/>
      <c r="F151" s="2687"/>
      <c r="G151" s="770"/>
      <c r="H151" s="2687"/>
      <c r="I151" s="2687"/>
      <c r="J151" s="2680"/>
      <c r="AI151" s="1513"/>
      <c r="AJ151" s="1513"/>
      <c r="AK151" s="1513"/>
      <c r="AL151" s="1514"/>
    </row>
    <row r="152" spans="1:38" ht="15" customHeight="1" x14ac:dyDescent="0.35">
      <c r="A152" s="321"/>
      <c r="B152" s="313" t="s">
        <v>852</v>
      </c>
      <c r="C152" s="375" t="str">
        <f>IF(AND(ISNUMBER(C153),ISNUMBER(C154)), SUM(C153,C154),"")</f>
        <v/>
      </c>
      <c r="D152" s="375">
        <f t="shared" ref="D152:J152" si="229">IF(AND(ISNUMBER(D153),ISNUMBER(D154)), SUM(D153,D154),"")</f>
        <v>26374</v>
      </c>
      <c r="E152" s="375">
        <f t="shared" si="229"/>
        <v>0</v>
      </c>
      <c r="F152" s="375">
        <f>IF(AND(ISNUMBER(F153),ISNUMBER(F154)), SUM(F153,F154),"")</f>
        <v>0</v>
      </c>
      <c r="H152" s="375">
        <f t="shared" si="229"/>
        <v>26374</v>
      </c>
      <c r="I152" s="375">
        <f t="shared" si="229"/>
        <v>26374</v>
      </c>
      <c r="J152" s="622">
        <f t="shared" si="229"/>
        <v>0</v>
      </c>
      <c r="AI152" s="1513"/>
      <c r="AJ152" s="1513"/>
      <c r="AK152" s="1513"/>
      <c r="AL152" s="1514"/>
    </row>
    <row r="153" spans="1:38" ht="15" customHeight="1" x14ac:dyDescent="0.35">
      <c r="A153" s="321"/>
      <c r="B153" s="304" t="s">
        <v>853</v>
      </c>
      <c r="C153" s="1810"/>
      <c r="D153" s="1804">
        <v>26374</v>
      </c>
      <c r="E153" s="1804">
        <v>0</v>
      </c>
      <c r="F153" s="1804">
        <v>0</v>
      </c>
      <c r="H153" s="375">
        <f>IF(AND(ISNUMBER(D153),ISNUMBER(E153),ISNUMBER(F153)),SUM(D153,E153,F153),"")</f>
        <v>26374</v>
      </c>
      <c r="I153" s="1804">
        <v>26374</v>
      </c>
      <c r="J153" s="1811">
        <v>0</v>
      </c>
      <c r="AI153" s="1513"/>
      <c r="AJ153" s="1513"/>
      <c r="AK153" s="1513"/>
      <c r="AL153" s="1514"/>
    </row>
    <row r="154" spans="1:38" ht="15" customHeight="1" x14ac:dyDescent="0.35">
      <c r="A154" s="321"/>
      <c r="B154" s="314" t="s">
        <v>854</v>
      </c>
      <c r="C154" s="1812"/>
      <c r="D154" s="1809">
        <v>0</v>
      </c>
      <c r="E154" s="1809">
        <v>0</v>
      </c>
      <c r="F154" s="1809">
        <v>0</v>
      </c>
      <c r="H154" s="375">
        <f>IF(AND(ISNUMBER(D154),ISNUMBER(E154),ISNUMBER(F154)),SUM(D154,E154,F154),"")</f>
        <v>0</v>
      </c>
      <c r="I154" s="1809">
        <v>0</v>
      </c>
      <c r="J154" s="1813">
        <v>0</v>
      </c>
      <c r="AI154" s="1513"/>
      <c r="AJ154" s="1513"/>
      <c r="AK154" s="1513"/>
      <c r="AL154" s="1514"/>
    </row>
    <row r="155" spans="1:38" ht="15" customHeight="1" x14ac:dyDescent="0.35">
      <c r="A155" s="321"/>
      <c r="B155" s="851" t="str">
        <f>"Check: row " &amp; ROW(B152) &amp;" = row " &amp; ROW(B87)</f>
        <v>Check: row 152 = row 87</v>
      </c>
      <c r="C155" s="539" t="str">
        <f>IF(AND(ISNUMBER(C152), ISNUMBER(C87)), IF(C152=C87, "Pass", "Fail"), "")</f>
        <v/>
      </c>
      <c r="D155" s="852" t="str">
        <f>IF(AND(ISNUMBER(D152), ISNUMBER(D87)), IF(D152=D87, "Pass", "Fail"), "")</f>
        <v>Pass</v>
      </c>
      <c r="E155" s="852" t="str">
        <f>IF(AND(ISNUMBER(E152), ISNUMBER(E87)), IF(E152=E87, "Pass", "Fail"), "")</f>
        <v>Pass</v>
      </c>
      <c r="F155" s="852" t="str">
        <f>IF(AND(ISNUMBER(F152), ISNUMBER(H87)), IF(F152=H87, "Pass", "Fail"), "")</f>
        <v>Pass</v>
      </c>
      <c r="H155" s="852" t="str">
        <f>IF(AND(ISNUMBER(H152), ISNUMBER(I87)), IF(H152=I87, "Pass", "Fail"), "")</f>
        <v>Pass</v>
      </c>
      <c r="I155" s="852" t="str">
        <f>IF(AND(ISNUMBER(I152), ISNUMBER(M87)), IF(I152=M87, "Pass", "Fail"), "")</f>
        <v>Pass</v>
      </c>
      <c r="J155" s="853" t="str">
        <f>IF(AND(ISNUMBER(J152), ISNUMBER(N87)), IF(J152=N87, "Pass", "Fail"), "")</f>
        <v>Pass</v>
      </c>
      <c r="AI155" s="1513"/>
      <c r="AJ155" s="1513"/>
      <c r="AK155" s="1513"/>
      <c r="AL155" s="1514"/>
    </row>
    <row r="156" spans="1:38" ht="15" hidden="1" customHeight="1" x14ac:dyDescent="0.35">
      <c r="A156" s="717"/>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1543"/>
      <c r="AC156" s="1543"/>
      <c r="AD156" s="1543"/>
      <c r="AE156" s="1543"/>
      <c r="AF156" s="1543"/>
      <c r="AG156" s="1543"/>
      <c r="AH156" s="1543"/>
      <c r="AI156" s="1544"/>
      <c r="AJ156" s="1544"/>
      <c r="AK156" s="1544"/>
      <c r="AL156" s="1515"/>
    </row>
    <row r="187" spans="1:38" ht="50.1" customHeight="1" x14ac:dyDescent="0.35">
      <c r="A187" s="1848" t="s">
        <v>2299</v>
      </c>
      <c r="B187" s="1513"/>
      <c r="C187" s="1849"/>
      <c r="D187" s="1513"/>
      <c r="E187" s="1513"/>
      <c r="F187" s="1513"/>
      <c r="G187" s="1513"/>
      <c r="H187" s="1513"/>
      <c r="I187" s="1513"/>
      <c r="J187" s="1513"/>
      <c r="K187" s="1513"/>
      <c r="L187" s="1513"/>
      <c r="M187" s="1513"/>
      <c r="N187" s="1513"/>
      <c r="O187" s="1513"/>
      <c r="P187" s="1513"/>
      <c r="Q187" s="1513"/>
      <c r="R187" s="1513"/>
      <c r="S187" s="1513"/>
      <c r="T187" s="1850"/>
      <c r="U187" s="1850"/>
      <c r="V187" s="1850"/>
      <c r="W187" s="1513"/>
      <c r="X187" s="1513"/>
      <c r="Y187" s="1513"/>
      <c r="Z187" s="1513"/>
      <c r="AA187" s="1513"/>
      <c r="AB187" s="1513"/>
      <c r="AC187" s="1513"/>
      <c r="AD187" s="1513"/>
      <c r="AE187" s="1513"/>
      <c r="AF187" s="1513"/>
      <c r="AG187" s="1513"/>
      <c r="AH187" s="1513"/>
      <c r="AI187" s="1513"/>
      <c r="AJ187" s="1513"/>
      <c r="AK187" s="1513"/>
      <c r="AL187" s="1513"/>
    </row>
    <row r="188" spans="1:38" ht="50.1" customHeight="1" x14ac:dyDescent="0.35">
      <c r="A188" s="1848" t="s">
        <v>2300</v>
      </c>
      <c r="B188" s="1513"/>
      <c r="C188" s="1849"/>
      <c r="D188" s="1513"/>
      <c r="E188" s="1513"/>
      <c r="F188" s="1513"/>
      <c r="G188" s="1513"/>
      <c r="H188" s="1513"/>
      <c r="I188" s="1513"/>
      <c r="J188" s="1513"/>
      <c r="K188" s="1513"/>
      <c r="L188" s="1513"/>
      <c r="M188" s="1513"/>
      <c r="N188" s="1513"/>
      <c r="O188" s="1513"/>
      <c r="P188" s="1513"/>
      <c r="Q188" s="1513"/>
      <c r="R188" s="1513"/>
      <c r="S188" s="1513"/>
      <c r="T188" s="1850"/>
      <c r="U188" s="1850"/>
      <c r="V188" s="1850"/>
      <c r="W188" s="1513"/>
      <c r="X188" s="1513"/>
      <c r="Y188" s="1513"/>
      <c r="Z188" s="1513"/>
      <c r="AA188" s="1513"/>
      <c r="AB188" s="1513"/>
      <c r="AC188" s="1513"/>
      <c r="AD188" s="1513"/>
      <c r="AE188" s="1513"/>
      <c r="AF188" s="1513"/>
      <c r="AG188" s="1513"/>
      <c r="AH188" s="1513"/>
      <c r="AI188" s="1513"/>
      <c r="AJ188" s="1513"/>
      <c r="AK188" s="1513"/>
      <c r="AL188" s="1513"/>
    </row>
    <row r="189" spans="1:38" ht="50.1" customHeight="1" x14ac:dyDescent="0.35">
      <c r="A189" s="1513"/>
      <c r="B189" s="2714" t="s">
        <v>2301</v>
      </c>
      <c r="C189" s="1849"/>
      <c r="D189" s="2717" t="s">
        <v>735</v>
      </c>
      <c r="E189" s="2717"/>
      <c r="F189" s="2717"/>
      <c r="G189" s="2717"/>
      <c r="H189" s="2717"/>
      <c r="I189" s="2717"/>
      <c r="J189" s="2717"/>
      <c r="K189" s="2717"/>
      <c r="L189" s="2717"/>
      <c r="M189" s="2718" t="s">
        <v>2302</v>
      </c>
      <c r="N189" s="2718"/>
      <c r="O189" s="2718"/>
      <c r="P189" s="2718"/>
      <c r="Q189" s="2718"/>
      <c r="R189" s="2718"/>
      <c r="S189" s="2718"/>
      <c r="T189" s="2718"/>
      <c r="U189" s="2718"/>
      <c r="V189" s="2718"/>
      <c r="W189" s="2719" t="s">
        <v>2303</v>
      </c>
      <c r="X189" s="2720"/>
      <c r="Y189" s="2720"/>
      <c r="Z189" s="2721"/>
      <c r="AA189" s="2722" t="s">
        <v>2304</v>
      </c>
      <c r="AB189" s="2682"/>
      <c r="AC189" s="2723"/>
      <c r="AD189" s="2670" t="s">
        <v>737</v>
      </c>
      <c r="AE189" s="2671"/>
      <c r="AF189" s="2671"/>
      <c r="AG189" s="1513"/>
      <c r="AH189" s="1513"/>
      <c r="AI189" s="1513"/>
      <c r="AJ189" s="1513"/>
      <c r="AK189" s="1513"/>
      <c r="AL189" s="1513"/>
    </row>
    <row r="190" spans="1:38" ht="50.1" customHeight="1" x14ac:dyDescent="0.35">
      <c r="A190" s="1513"/>
      <c r="B190" s="2715"/>
      <c r="C190" s="1849"/>
      <c r="D190" s="2709" t="s">
        <v>2305</v>
      </c>
      <c r="E190" s="2709"/>
      <c r="F190" s="2709"/>
      <c r="G190" s="2709"/>
      <c r="H190" s="2709"/>
      <c r="I190" s="2709" t="s">
        <v>2306</v>
      </c>
      <c r="J190" s="2709"/>
      <c r="K190" s="2709"/>
      <c r="L190" s="2709"/>
      <c r="M190" s="2709" t="s">
        <v>2305</v>
      </c>
      <c r="N190" s="2709"/>
      <c r="O190" s="2709"/>
      <c r="P190" s="2709"/>
      <c r="Q190" s="2709"/>
      <c r="R190" s="2709" t="s">
        <v>2307</v>
      </c>
      <c r="S190" s="2709"/>
      <c r="T190" s="2709"/>
      <c r="U190" s="2709"/>
      <c r="V190" s="2709"/>
      <c r="W190" s="2710" t="s">
        <v>2308</v>
      </c>
      <c r="X190" s="2566"/>
      <c r="Y190" s="2566"/>
      <c r="Z190" s="2572"/>
      <c r="AA190" s="2711" t="s">
        <v>2309</v>
      </c>
      <c r="AB190" s="2712"/>
      <c r="AC190" s="2713"/>
      <c r="AD190" s="2710" t="s">
        <v>2310</v>
      </c>
      <c r="AE190" s="2566"/>
      <c r="AF190" s="2566"/>
      <c r="AG190" s="1513"/>
      <c r="AH190" s="1513"/>
      <c r="AI190" s="1513"/>
      <c r="AJ190" s="1513"/>
      <c r="AK190" s="1513"/>
      <c r="AL190" s="1513"/>
    </row>
    <row r="191" spans="1:38" ht="50.1" customHeight="1" x14ac:dyDescent="0.35">
      <c r="A191" s="1513"/>
      <c r="B191" s="2715"/>
      <c r="C191" s="1849"/>
      <c r="D191" s="2709" t="s">
        <v>2311</v>
      </c>
      <c r="E191" s="2709" t="s">
        <v>746</v>
      </c>
      <c r="F191" s="2709" t="s">
        <v>2312</v>
      </c>
      <c r="G191" s="1851"/>
      <c r="H191" s="2709" t="s">
        <v>59</v>
      </c>
      <c r="I191" s="2709" t="s">
        <v>2313</v>
      </c>
      <c r="J191" s="2709" t="s">
        <v>746</v>
      </c>
      <c r="K191" s="2709" t="s">
        <v>2314</v>
      </c>
      <c r="L191" s="2709" t="s">
        <v>2315</v>
      </c>
      <c r="M191" s="2709" t="s">
        <v>2311</v>
      </c>
      <c r="N191" s="2709" t="s">
        <v>746</v>
      </c>
      <c r="O191" s="2709" t="s">
        <v>2312</v>
      </c>
      <c r="P191" s="2726" t="s">
        <v>59</v>
      </c>
      <c r="Q191" s="2709"/>
      <c r="R191" s="2709" t="s">
        <v>2311</v>
      </c>
      <c r="S191" s="2709" t="s">
        <v>746</v>
      </c>
      <c r="T191" s="2709" t="s">
        <v>2314</v>
      </c>
      <c r="U191" s="1852"/>
      <c r="V191" s="2709" t="s">
        <v>2316</v>
      </c>
      <c r="W191" s="2724" t="s">
        <v>2311</v>
      </c>
      <c r="X191" s="2724" t="s">
        <v>746</v>
      </c>
      <c r="Y191" s="2724" t="s">
        <v>2314</v>
      </c>
      <c r="Z191" s="2724" t="s">
        <v>2316</v>
      </c>
      <c r="AA191" s="2710" t="s">
        <v>752</v>
      </c>
      <c r="AB191" s="2729"/>
      <c r="AC191" s="2724" t="s">
        <v>177</v>
      </c>
      <c r="AD191" s="2710" t="s">
        <v>753</v>
      </c>
      <c r="AE191" s="2729"/>
      <c r="AF191" s="2724" t="s">
        <v>177</v>
      </c>
      <c r="AG191" s="2727" t="s">
        <v>3557</v>
      </c>
      <c r="AH191" s="2727" t="s">
        <v>2317</v>
      </c>
      <c r="AI191" s="2727" t="s">
        <v>2318</v>
      </c>
      <c r="AJ191" s="2727" t="s">
        <v>3558</v>
      </c>
      <c r="AK191" s="2727" t="s">
        <v>2319</v>
      </c>
      <c r="AL191" s="2727" t="s">
        <v>2320</v>
      </c>
    </row>
    <row r="192" spans="1:38" ht="50.1" customHeight="1" x14ac:dyDescent="0.35">
      <c r="A192" s="1513"/>
      <c r="B192" s="2716"/>
      <c r="C192" s="1849"/>
      <c r="D192" s="2709"/>
      <c r="E192" s="2709"/>
      <c r="F192" s="2709"/>
      <c r="G192" s="1851"/>
      <c r="H192" s="2709"/>
      <c r="I192" s="2709"/>
      <c r="J192" s="2709"/>
      <c r="K192" s="2709"/>
      <c r="L192" s="2709"/>
      <c r="M192" s="2709"/>
      <c r="N192" s="2709"/>
      <c r="O192" s="2709"/>
      <c r="P192" s="2726"/>
      <c r="Q192" s="2709"/>
      <c r="R192" s="2709"/>
      <c r="S192" s="2709"/>
      <c r="T192" s="2709"/>
      <c r="U192" s="1852"/>
      <c r="V192" s="2709"/>
      <c r="W192" s="2725"/>
      <c r="X192" s="2725"/>
      <c r="Y192" s="2725"/>
      <c r="Z192" s="2725"/>
      <c r="AA192" s="1853" t="s">
        <v>59</v>
      </c>
      <c r="AB192" s="1853" t="s">
        <v>756</v>
      </c>
      <c r="AC192" s="2725"/>
      <c r="AD192" s="1838" t="s">
        <v>59</v>
      </c>
      <c r="AE192" s="1837" t="s">
        <v>756</v>
      </c>
      <c r="AF192" s="2725"/>
      <c r="AG192" s="2728"/>
      <c r="AH192" s="2728"/>
      <c r="AI192" s="2728"/>
      <c r="AJ192" s="2728"/>
      <c r="AK192" s="2728"/>
      <c r="AL192" s="2728"/>
    </row>
    <row r="193" spans="1:38" ht="15" customHeight="1" x14ac:dyDescent="0.35">
      <c r="A193" s="1513"/>
      <c r="B193" s="1854" t="s">
        <v>2321</v>
      </c>
      <c r="C193" s="1849"/>
      <c r="D193" s="1843">
        <f>IF(ISNUMBER(D66),D66,"")</f>
        <v>2535676.2388299997</v>
      </c>
      <c r="E193" s="1843">
        <f>IF(ISNUMBER(E66),E66,"")</f>
        <v>7892</v>
      </c>
      <c r="F193" s="1843">
        <f>IF(ISNUMBER(H66),H66,"")</f>
        <v>6480</v>
      </c>
      <c r="H193" s="1843">
        <f t="shared" ref="H193:H229" si="230">IF(AND(ISNUMBER(D193),ISNUMBER(E193),ISNUMBER(F193)),SUM(D193:F193),"")</f>
        <v>2550048.2388299997</v>
      </c>
      <c r="I193" s="1843">
        <f>IF(ISNUMBER(J66), J66, "")</f>
        <v>1906390.9682100001</v>
      </c>
      <c r="J193" s="1843">
        <f>IF(ISNUMBER(K66), K66, "")</f>
        <v>4805</v>
      </c>
      <c r="K193" s="1843">
        <f>IF(ISNUMBER(L66), L66, "")</f>
        <v>6463</v>
      </c>
      <c r="L193" s="1843">
        <f t="shared" ref="L193:L229" si="231">IF(AND(ISNUMBER(I193),ISNUMBER(J193),ISNUMBER(K193)),SUM(I193:K193),"")</f>
        <v>1917658.9682100001</v>
      </c>
      <c r="M193" s="1846">
        <f>IF(ISNUMBER(R66), R66, "")</f>
        <v>2535676.2388299997</v>
      </c>
      <c r="N193" s="1846">
        <f>IF(ISNUMBER(S66), S66, "")</f>
        <v>7892</v>
      </c>
      <c r="O193" s="1846">
        <f>IF(ISNUMBER(V66), V66, "")</f>
        <v>35222</v>
      </c>
      <c r="P193" s="1846">
        <f t="shared" ref="P193:P229" si="232">IF(AND(ISNUMBER(M193),ISNUMBER(N193),ISNUMBER(O193)),SUM(M193:O193),"")</f>
        <v>2578790.2388299997</v>
      </c>
      <c r="R193" s="1846">
        <f>IF(ISNUMBER(X66), X66, "")</f>
        <v>1863859.1143884996</v>
      </c>
      <c r="S193" s="1846">
        <f>IF(ISNUMBER(Y66), Y66, "")</f>
        <v>4805.0348240000003</v>
      </c>
      <c r="T193" s="1855">
        <f>IF(ISNUMBER(Z66), Z66, "")</f>
        <v>35222</v>
      </c>
      <c r="U193" s="1126"/>
      <c r="V193" s="1855">
        <f t="shared" ref="V193:V229" si="233">IF(AND(ISNUMBER(R193),ISNUMBER(S193),ISNUMBER(T193)),SUM(R193:T193),"")</f>
        <v>1903886.1492124996</v>
      </c>
      <c r="W193" s="212"/>
      <c r="X193" s="212"/>
      <c r="Y193" s="212"/>
      <c r="Z193" s="1846" t="str">
        <f>IF(AND(ISNUMBER(W193),ISNUMBER(X193),ISNUMBER(Y193)),SUM(W193:Y193),"")</f>
        <v/>
      </c>
      <c r="AA193" s="212"/>
      <c r="AB193" s="212"/>
      <c r="AC193" s="212"/>
      <c r="AD193" s="1846" t="str">
        <f t="shared" ref="AD193:AD229" si="234">IF(AND(ISNUMBER(AA193),ISNUMBER(AB193),ISNUMBER(AE193)),AA193-AB193+AE193,"")</f>
        <v/>
      </c>
      <c r="AE193" s="212"/>
      <c r="AF193" s="212"/>
      <c r="AG193" s="1856" t="str">
        <f>IF(AND(V193&lt;&gt;"",OR(Z193="",Z193=0)),"Missing Input",IF(AND(Z193&gt;0,Z193&lt;&gt;"",V193&gt;0,V193&lt;&gt;"",OR(_xlfn.NUMBERVALUE(V193)&gt;_xlfn.NUMBERVALUE(Z193),_xlfn.NUMBERVALUE(V193)=_xlfn.NUMBERVALUE(Z193))),"Ok","Please check"))</f>
        <v>Missing Input</v>
      </c>
      <c r="AH193" s="1857"/>
      <c r="AI193" s="1856" t="str">
        <f>+IFERROR(IF(AND(ABS(Z193-V193)&gt;ABS(0.95*(Z194-V194)),ABS(Z193-V193)&lt;ABS(1.05*(Z194-V194))),"Ok","Please Check"),"Please Check")</f>
        <v>Please Check</v>
      </c>
      <c r="AJ193" s="1856" t="str">
        <f>IF(OR('General Info'!C19="Yes",'General Info'!D19="Yes"),IF(AND(AC193&gt;0,AC193&lt;&gt;"",AH66&gt;0,AH66&lt;&gt;"",OR(_xlfn.NUMBERVALUE(AC193)&lt;_xlfn.NUMBERVALUE(AH66),_xlfn.NUMBERVALUE(AC193)=_xlfn.NUMBERVALUE(AH66))),"Ok","Please check"),"NA")</f>
        <v>NA</v>
      </c>
      <c r="AK193" s="1856" t="str">
        <f>IF(OR('General Info'!C19="Yes",'General Info'!D19="Yes"),IFERROR(IF(_xlfn.NUMBERVALUE(AC193)/_xlfn.NUMBERVALUE(AH66)&lt;0.7119,"Please check","Ok"),"Please check"),"NA")</f>
        <v>NA</v>
      </c>
      <c r="AL193" s="1858" t="str">
        <f>IF(OR('General Info'!$C$19="Yes",'General Info'!$D$19="Yes"),IFERROR(IF(AND(_xlfn.NUMBERVALUE(AF193)/_xlfn.NUMBERVALUE(AC193)&gt;0.7143,_xlfn.NUMBERVALUE(AF193)/_xlfn.NUMBERVALUE(AC193)&lt;=1),"Ok", "Please check"),"Please check"),"NA")</f>
        <v>NA</v>
      </c>
    </row>
    <row r="194" spans="1:38" ht="15" customHeight="1" x14ac:dyDescent="0.35">
      <c r="A194" s="1513"/>
      <c r="B194" s="219" t="s">
        <v>2322</v>
      </c>
      <c r="C194" s="1849"/>
      <c r="D194" s="1846">
        <f>IF(AND(ISNUMBER(D195), ISNUMBER(D196)), SUM(D195:D196), "")</f>
        <v>0</v>
      </c>
      <c r="E194" s="1846">
        <f>IF(AND(ISNUMBER(E195), ISNUMBER(E196)), SUM(E195:E196), "")</f>
        <v>0</v>
      </c>
      <c r="F194" s="1846">
        <f>IF(AND(ISNUMBER(F195), ISNUMBER(F196)), SUM(F195:F196), "")</f>
        <v>0</v>
      </c>
      <c r="H194" s="1846">
        <f t="shared" si="230"/>
        <v>0</v>
      </c>
      <c r="I194" s="1846">
        <f>IF(AND(ISNUMBER(I195), ISNUMBER(I196)), SUM(I195:I196), "")</f>
        <v>0</v>
      </c>
      <c r="J194" s="1846">
        <f>IF(AND(ISNUMBER(J195), ISNUMBER(J196)), SUM(J195:J196), "")</f>
        <v>0</v>
      </c>
      <c r="K194" s="1846">
        <f>IF(AND(ISNUMBER(K195), ISNUMBER(K196)), SUM(K195:K196), "")</f>
        <v>0</v>
      </c>
      <c r="L194" s="1846">
        <f t="shared" si="231"/>
        <v>0</v>
      </c>
      <c r="M194" s="1846">
        <f>IF(AND(ISNUMBER(M195), ISNUMBER(M196)), SUM(M195:M196), "")</f>
        <v>0</v>
      </c>
      <c r="N194" s="1846">
        <f>IF(AND(ISNUMBER(N195), ISNUMBER(N196)), SUM(N195:N196), "")</f>
        <v>0</v>
      </c>
      <c r="O194" s="1846">
        <f>IF(AND(ISNUMBER(O195), ISNUMBER(O196)), SUM(O195:O196), "")</f>
        <v>0</v>
      </c>
      <c r="P194" s="1846">
        <f t="shared" si="232"/>
        <v>0</v>
      </c>
      <c r="R194" s="1846">
        <f>IF(AND(ISNUMBER(R195), ISNUMBER(R196)), SUM(R195:R196), "")</f>
        <v>0</v>
      </c>
      <c r="S194" s="1846">
        <f>IF(AND(ISNUMBER(S195), ISNUMBER(S196)), SUM(S195:S196), "")</f>
        <v>0</v>
      </c>
      <c r="T194" s="1855">
        <f>IF(AND(ISNUMBER(T195), ISNUMBER(T196)), SUM(T195:T196), "")</f>
        <v>0</v>
      </c>
      <c r="U194" s="1126"/>
      <c r="V194" s="1855">
        <f t="shared" si="233"/>
        <v>0</v>
      </c>
      <c r="W194" s="1846" t="str">
        <f>IF(AND(ISNUMBER(W195), ISNUMBER(W196)), SUM(W195:W196), "")</f>
        <v/>
      </c>
      <c r="X194" s="1846" t="str">
        <f>IF(AND(ISNUMBER(X195), ISNUMBER(X196)), SUM(X195:X196), "")</f>
        <v/>
      </c>
      <c r="Y194" s="1846" t="str">
        <f>IF(AND(ISNUMBER(Y195), ISNUMBER(Y196)), SUM(Y195:Y196), "")</f>
        <v/>
      </c>
      <c r="Z194" s="1846" t="str">
        <f>IF(AND(ISNUMBER(W194),ISNUMBER(X194),ISNUMBER(Y194)),SUM(W194:Y194),"")</f>
        <v/>
      </c>
      <c r="AA194" s="1846" t="str">
        <f>IF(AND(ISNUMBER(AA195), ISNUMBER(AA196)), SUM(AA195:AA196), "")</f>
        <v/>
      </c>
      <c r="AB194" s="1846" t="str">
        <f t="shared" ref="AB194" si="235">IF(AND(ISNUMBER(AB195), ISNUMBER(AB196)), SUM(AB195:AB196), "")</f>
        <v/>
      </c>
      <c r="AC194" s="1846" t="str">
        <f>IF(AND(ISNUMBER(AC195), ISNUMBER(AC196)), SUM(AC195:AC196), "")</f>
        <v/>
      </c>
      <c r="AD194" s="1846" t="str">
        <f t="shared" si="234"/>
        <v/>
      </c>
      <c r="AE194" s="1846" t="str">
        <f>IF(AND(ISNUMBER(AE195), ISNUMBER(AE196)), SUM(AE195:AE196), "")</f>
        <v/>
      </c>
      <c r="AF194" s="1846" t="str">
        <f>IF(AND(ISNUMBER(AF195), ISNUMBER(AF196)), SUM(AF195:AF196), "")</f>
        <v/>
      </c>
      <c r="AG194" s="1856" t="str">
        <f t="shared" ref="AG194:AG229" si="236">IF(AND(V194&lt;&gt;"",OR(Z194="",Z194=0)),"Missing Input",IF(AND(Z194&gt;0,Z194&lt;&gt;"",V194&gt;0,V194&lt;&gt;"",_xlfn.NUMBERVALUE(Z194)&lt;_xlfn.NUMBERVALUE(V194)),"Ok","Please check"))</f>
        <v>Missing Input</v>
      </c>
      <c r="AH194" s="1857"/>
      <c r="AI194" s="1857"/>
      <c r="AJ194" s="1857"/>
      <c r="AK194" s="1857"/>
      <c r="AL194" s="1859"/>
    </row>
    <row r="195" spans="1:38" ht="15" customHeight="1" x14ac:dyDescent="0.35">
      <c r="A195" s="1513"/>
      <c r="B195" s="407" t="s">
        <v>2323</v>
      </c>
      <c r="C195" s="1849"/>
      <c r="D195" s="208">
        <v>0</v>
      </c>
      <c r="E195" s="208">
        <v>0</v>
      </c>
      <c r="F195" s="208">
        <v>0</v>
      </c>
      <c r="H195" s="1846">
        <f t="shared" si="230"/>
        <v>0</v>
      </c>
      <c r="I195" s="208">
        <v>0</v>
      </c>
      <c r="J195" s="208">
        <v>0</v>
      </c>
      <c r="K195" s="208">
        <v>0</v>
      </c>
      <c r="L195" s="1846">
        <f t="shared" si="231"/>
        <v>0</v>
      </c>
      <c r="M195" s="2540">
        <v>0</v>
      </c>
      <c r="N195" s="2540">
        <v>0</v>
      </c>
      <c r="O195" s="2540">
        <v>0</v>
      </c>
      <c r="P195" s="1846">
        <f t="shared" si="232"/>
        <v>0</v>
      </c>
      <c r="R195" s="208">
        <v>0</v>
      </c>
      <c r="S195" s="208">
        <v>0</v>
      </c>
      <c r="T195" s="1860">
        <v>0</v>
      </c>
      <c r="U195" s="1126"/>
      <c r="V195" s="1855">
        <f>IF(AND(ISNUMBER(R195),ISNUMBER(S195),ISNUMBER(T195)),SUM(R195:T195),"")</f>
        <v>0</v>
      </c>
      <c r="W195" s="208"/>
      <c r="X195" s="208"/>
      <c r="Y195" s="208"/>
      <c r="Z195" s="1846" t="str">
        <f t="shared" ref="Z195:Z229" si="237">IF(AND(ISNUMBER(W195),ISNUMBER(X195),ISNUMBER(Y195)),SUM(W195:Y195),"")</f>
        <v/>
      </c>
      <c r="AA195" s="208"/>
      <c r="AB195" s="208"/>
      <c r="AC195" s="1861"/>
      <c r="AD195" s="1846" t="str">
        <f>IF(AND(ISNUMBER(AA195),ISNUMBER(AB195),ISNUMBER(AE195)),AA195-AB195+AE195,"")</f>
        <v/>
      </c>
      <c r="AE195" s="208"/>
      <c r="AF195" s="1862"/>
      <c r="AG195" s="1856" t="str">
        <f t="shared" si="236"/>
        <v>Missing Input</v>
      </c>
      <c r="AH195" s="1856" t="str">
        <f>IFERROR(IF(OR(V195="",Z195=""),"Missing input",IF(AND(_xlfn.NUMBERVALUE(Z195)/_xlfn.NUMBERVALUE(V195)&gt;0.7119,_xlfn.NUMBERVALUE(Z195)/_xlfn.NUMBERVALUE(V195)&lt;0.8119),"Ok","Please check")),"Please check")</f>
        <v>Missing input</v>
      </c>
      <c r="AI195" s="1857"/>
      <c r="AJ195" s="1857"/>
      <c r="AK195" s="1857"/>
      <c r="AL195" s="1859"/>
    </row>
    <row r="196" spans="1:38" ht="15" customHeight="1" x14ac:dyDescent="0.35">
      <c r="A196" s="1513"/>
      <c r="B196" s="407" t="s">
        <v>2324</v>
      </c>
      <c r="C196" s="1849"/>
      <c r="D196" s="208">
        <v>0</v>
      </c>
      <c r="E196" s="208">
        <v>0</v>
      </c>
      <c r="F196" s="208">
        <v>0</v>
      </c>
      <c r="H196" s="1846">
        <f t="shared" si="230"/>
        <v>0</v>
      </c>
      <c r="I196" s="208">
        <v>0</v>
      </c>
      <c r="J196" s="208">
        <v>0</v>
      </c>
      <c r="K196" s="208">
        <v>0</v>
      </c>
      <c r="L196" s="1846">
        <f t="shared" si="231"/>
        <v>0</v>
      </c>
      <c r="M196" s="2540">
        <v>0</v>
      </c>
      <c r="N196" s="2540">
        <v>0</v>
      </c>
      <c r="O196" s="2540">
        <v>0</v>
      </c>
      <c r="P196" s="1846">
        <f t="shared" si="232"/>
        <v>0</v>
      </c>
      <c r="R196" s="208">
        <v>0</v>
      </c>
      <c r="S196" s="208">
        <v>0</v>
      </c>
      <c r="T196" s="1860">
        <v>0</v>
      </c>
      <c r="U196" s="1126"/>
      <c r="V196" s="1855">
        <f t="shared" si="233"/>
        <v>0</v>
      </c>
      <c r="W196" s="208"/>
      <c r="X196" s="208"/>
      <c r="Y196" s="208"/>
      <c r="Z196" s="1846" t="str">
        <f t="shared" si="237"/>
        <v/>
      </c>
      <c r="AA196" s="208"/>
      <c r="AB196" s="208"/>
      <c r="AC196" s="208"/>
      <c r="AD196" s="1846" t="str">
        <f t="shared" si="234"/>
        <v/>
      </c>
      <c r="AE196" s="208"/>
      <c r="AF196" s="208"/>
      <c r="AG196" s="1856" t="str">
        <f t="shared" si="236"/>
        <v>Missing Input</v>
      </c>
      <c r="AH196" s="1856" t="str">
        <f>IFERROR(IF(OR(V196="",Z196=""),"Missing input",IF(AND(_xlfn.NUMBERVALUE(Z196)/_xlfn.NUMBERVALUE(V196)&gt;0.7119,_xlfn.NUMBERVALUE(Z196)/_xlfn.NUMBERVALUE(V196)&lt;0.9),"Ok","Please check")),"Please check")</f>
        <v>Missing input</v>
      </c>
      <c r="AI196" s="1857"/>
      <c r="AJ196" s="1857"/>
      <c r="AK196" s="1857"/>
      <c r="AL196" s="1859"/>
    </row>
    <row r="197" spans="1:38" ht="15" customHeight="1" x14ac:dyDescent="0.35">
      <c r="A197" s="1513"/>
      <c r="B197" s="185" t="s">
        <v>2325</v>
      </c>
      <c r="C197" s="1849"/>
      <c r="D197" s="1846">
        <f>IF(ISNUMBER(D78), D78,"")</f>
        <v>305587.76117000001</v>
      </c>
      <c r="E197" s="1846">
        <f>IF(ISNUMBER(E78), E78,"")</f>
        <v>0</v>
      </c>
      <c r="F197" s="1846">
        <f>IF(ISNUMBER(H78), H78,"")</f>
        <v>4999</v>
      </c>
      <c r="H197" s="1846">
        <f t="shared" si="230"/>
        <v>310586.76117000001</v>
      </c>
      <c r="I197" s="1846">
        <f>IF(ISNUMBER(J78), J78, "")</f>
        <v>223796.03179000001</v>
      </c>
      <c r="J197" s="1846">
        <f>IF(ISNUMBER(K78), K78, "")</f>
        <v>0</v>
      </c>
      <c r="K197" s="1846">
        <f>IF(ISNUMBER(L78), L78, "")</f>
        <v>3820</v>
      </c>
      <c r="L197" s="1846">
        <f t="shared" si="231"/>
        <v>227616.03179000001</v>
      </c>
      <c r="M197" s="1846">
        <f>IF(ISNUMBER(R78), R78, "")</f>
        <v>305587.76117000001</v>
      </c>
      <c r="N197" s="1846">
        <f>IF(ISNUMBER(S78), S78, "")</f>
        <v>0</v>
      </c>
      <c r="O197" s="1846">
        <f>IF(ISNUMBER(V78), V78, "")</f>
        <v>39463</v>
      </c>
      <c r="P197" s="1846">
        <f t="shared" si="232"/>
        <v>345050.76117000001</v>
      </c>
      <c r="R197" s="1846">
        <f>IF(ISNUMBER(X78), X78, "")</f>
        <v>259749.5969945</v>
      </c>
      <c r="S197" s="1846">
        <f>IF(ISNUMBER(Y78), Y78, "")</f>
        <v>0</v>
      </c>
      <c r="T197" s="1855">
        <f>IF(ISNUMBER(Z78), Z78, "")</f>
        <v>33543.549999999996</v>
      </c>
      <c r="U197" s="1126"/>
      <c r="V197" s="1855">
        <f t="shared" si="233"/>
        <v>293293.14699450001</v>
      </c>
      <c r="W197" s="208"/>
      <c r="X197" s="208"/>
      <c r="Y197" s="1861"/>
      <c r="Z197" s="1846" t="str">
        <f t="shared" si="237"/>
        <v/>
      </c>
      <c r="AA197" s="208"/>
      <c r="AB197" s="208"/>
      <c r="AC197" s="208"/>
      <c r="AD197" s="1846" t="str">
        <f t="shared" si="234"/>
        <v/>
      </c>
      <c r="AE197" s="208"/>
      <c r="AF197" s="208"/>
      <c r="AG197" s="1856" t="str">
        <f>IF(AND(V197&lt;&gt;"",OR(Z197="",Z197=0)),"Missing Input",IF(AND(Z197&gt;0,Z197&lt;&gt;"",V197&gt;0,V197&lt;&gt;"",OR(_xlfn.NUMBERVALUE(V197)&gt;_xlfn.NUMBERVALUE(Z197),_xlfn.NUMBERVALUE(V197)=_xlfn.NUMBERVALUE(Z197))),"Ok","Please check"))</f>
        <v>Missing Input</v>
      </c>
      <c r="AH197" s="1857"/>
      <c r="AI197" s="1856" t="str">
        <f>+IFERROR(IF(AND(ABS(Z197-V197)&gt;ABS(0.95*(Z198-V198)),ABS(Z197-V197)&lt;ABS(1.05*(Z198-V198))),"Ok","Please Check"),"Please Check")</f>
        <v>Please Check</v>
      </c>
      <c r="AJ197" s="1856" t="str">
        <f>IF(OR('General Info'!C19="Yes",'General Info'!D19="Yes"),IF(AND(AC197&gt;0,AC197&lt;&gt;"",AH78&gt;0,AH78&lt;&gt;"",OR(_xlfn.NUMBERVALUE(AC197)&lt;_xlfn.NUMBERVALUE(AH78),_xlfn.NUMBERVALUE(AC197)=_xlfn.NUMBERVALUE(AH78))),"Ok","Please check"),"NA")</f>
        <v>NA</v>
      </c>
      <c r="AK197" s="1856" t="str">
        <f>IF(OR('General Info'!C19="Yes",'General Info'!D19="Yes"),IFERROR(IF(_xlfn.NUMBERVALUE(AC197)/_xlfn.NUMBERVALUE(AH78)&lt;0.7119,"Please check","Ok"),"Please check"),"NA")</f>
        <v>NA</v>
      </c>
      <c r="AL197" s="1858" t="str">
        <f>IF(OR('General Info'!$C$19="Yes",'General Info'!$D$19="Yes"),IFERROR(IF(AND(_xlfn.NUMBERVALUE(AF197)/_xlfn.NUMBERVALUE(AC197)&gt;0.7143,_xlfn.NUMBERVALUE(AF197)/_xlfn.NUMBERVALUE(AC197)&lt;=1),"Ok", "Please check"),"Please check"),"NA")</f>
        <v>NA</v>
      </c>
    </row>
    <row r="198" spans="1:38" ht="15" customHeight="1" x14ac:dyDescent="0.35">
      <c r="A198" s="1513"/>
      <c r="B198" s="219" t="s">
        <v>2326</v>
      </c>
      <c r="C198" s="1849"/>
      <c r="D198" s="1846">
        <f>IF(AND(ISNUMBER(D199), ISNUMBER(D200)), SUM(D199:D200), "")</f>
        <v>305587.76117000001</v>
      </c>
      <c r="E198" s="1846">
        <f>IF(AND(ISNUMBER(E199), ISNUMBER(E200)), SUM(E199:E200), "")</f>
        <v>0</v>
      </c>
      <c r="F198" s="1846">
        <f>IF(AND(ISNUMBER(F199), ISNUMBER(F200)), SUM(F199:F200), "")</f>
        <v>4999</v>
      </c>
      <c r="H198" s="1846">
        <f t="shared" si="230"/>
        <v>310586.76117000001</v>
      </c>
      <c r="I198" s="1846">
        <f>IF(AND(ISNUMBER(I199), ISNUMBER(I200)), SUM(I199:I200), "")</f>
        <v>223796.03179000001</v>
      </c>
      <c r="J198" s="1846">
        <f>IF(AND(ISNUMBER(J199), ISNUMBER(J200)), SUM(J199:J200), "")</f>
        <v>0</v>
      </c>
      <c r="K198" s="1846">
        <f>IF(AND(ISNUMBER(K199), ISNUMBER(K200)), SUM(K199:K200), "")</f>
        <v>3820</v>
      </c>
      <c r="L198" s="1846">
        <f t="shared" si="231"/>
        <v>227616.03179000001</v>
      </c>
      <c r="M198" s="1846">
        <f>IF(AND(ISNUMBER(M199), ISNUMBER(M200)), SUM(M199:M200), "")</f>
        <v>305587.76117000001</v>
      </c>
      <c r="N198" s="1846">
        <f>IF(AND(ISNUMBER(N199), ISNUMBER(N200)), SUM(N199:N200), "")</f>
        <v>0</v>
      </c>
      <c r="O198" s="1846">
        <f>IF(AND(ISNUMBER(O199), ISNUMBER(O200)), SUM(O199:O200), "")</f>
        <v>39463</v>
      </c>
      <c r="P198" s="1846">
        <f t="shared" si="232"/>
        <v>345050.76117000001</v>
      </c>
      <c r="R198" s="1846">
        <f>IF(AND(ISNUMBER(R199), ISNUMBER(R200)), SUM(R199:R200), "")</f>
        <v>259749.5969945</v>
      </c>
      <c r="S198" s="1846">
        <f>IF(AND(ISNUMBER(S199), ISNUMBER(S200)), SUM(S199:S200), "")</f>
        <v>0</v>
      </c>
      <c r="T198" s="1855">
        <f>IF(AND(ISNUMBER(T199), ISNUMBER(T200)), SUM(T199:T200), "")</f>
        <v>33543.549999999996</v>
      </c>
      <c r="U198" s="1126"/>
      <c r="V198" s="1855">
        <f t="shared" si="233"/>
        <v>293293.14699450001</v>
      </c>
      <c r="W198" s="1846" t="str">
        <f>IF(AND(ISNUMBER(W199), ISNUMBER(W200)), SUM(W199:W200), "")</f>
        <v/>
      </c>
      <c r="X198" s="1846" t="str">
        <f>IF(AND(ISNUMBER(X199), ISNUMBER(X200)), SUM(X199:X200), "")</f>
        <v/>
      </c>
      <c r="Y198" s="1846" t="str">
        <f>IF(AND(ISNUMBER(Y199), ISNUMBER(Y200)), SUM(Y199:Y200), "")</f>
        <v/>
      </c>
      <c r="Z198" s="1846" t="str">
        <f t="shared" si="237"/>
        <v/>
      </c>
      <c r="AA198" s="1846" t="str">
        <f t="shared" ref="AA198" si="238">IF(AND(ISNUMBER(AA199), ISNUMBER(AA200)), SUM(AA199:AA200), "")</f>
        <v/>
      </c>
      <c r="AB198" s="1846" t="str">
        <f>IF(AND(ISNUMBER(AB199), ISNUMBER(AB200)), SUM(AB199:AB200), "")</f>
        <v/>
      </c>
      <c r="AC198" s="1846" t="str">
        <f>IF(AND(ISNUMBER(AC199), ISNUMBER(AC200)), SUM(AC199:AC200), "")</f>
        <v/>
      </c>
      <c r="AD198" s="1846" t="str">
        <f t="shared" si="234"/>
        <v/>
      </c>
      <c r="AE198" s="1846" t="str">
        <f>IF(AND(ISNUMBER(AE199), ISNUMBER(AE200)), SUM(AE199:AE200), "")</f>
        <v/>
      </c>
      <c r="AF198" s="1846" t="str">
        <f>IF(AND(ISNUMBER(AF199), ISNUMBER(AF200)), SUM(AF199:AF200), "")</f>
        <v/>
      </c>
      <c r="AG198" s="1856" t="str">
        <f>IF(AND(V198&lt;&gt;"",OR(Z198="",Z198=0)),"Missing Input",IF(AND(Z198&gt;0,Z198&lt;&gt;"",V198&gt;0,V198&lt;&gt;"",_xlfn.NUMBERVALUE(Z198)&lt;_xlfn.NUMBERVALUE(V198)),"Ok","Please check"))</f>
        <v>Missing Input</v>
      </c>
      <c r="AH198" s="1857"/>
      <c r="AI198" s="1857"/>
      <c r="AJ198" s="1857"/>
      <c r="AK198" s="1857"/>
      <c r="AL198" s="1859"/>
    </row>
    <row r="199" spans="1:38" ht="15" customHeight="1" x14ac:dyDescent="0.35">
      <c r="A199" s="1513"/>
      <c r="B199" s="407" t="s">
        <v>2323</v>
      </c>
      <c r="C199" s="1849"/>
      <c r="D199" s="208">
        <v>283204.76117000001</v>
      </c>
      <c r="E199" s="208">
        <v>0</v>
      </c>
      <c r="F199" s="208">
        <v>4999</v>
      </c>
      <c r="H199" s="1846">
        <f t="shared" si="230"/>
        <v>288203.76117000001</v>
      </c>
      <c r="I199" s="208">
        <v>205824.03179000001</v>
      </c>
      <c r="J199" s="208">
        <v>0</v>
      </c>
      <c r="K199" s="208">
        <v>3820</v>
      </c>
      <c r="L199" s="1846">
        <f t="shared" si="231"/>
        <v>209644.03179000001</v>
      </c>
      <c r="M199" s="2540">
        <f>+D199</f>
        <v>283204.76117000001</v>
      </c>
      <c r="N199" s="2540">
        <f t="shared" ref="N199:N200" si="239">+E199</f>
        <v>0</v>
      </c>
      <c r="O199" s="2540">
        <f>+F199+31894</f>
        <v>36893</v>
      </c>
      <c r="P199" s="1846">
        <f t="shared" si="232"/>
        <v>320097.76117000001</v>
      </c>
      <c r="R199" s="208">
        <v>238539.54699450001</v>
      </c>
      <c r="S199" s="208">
        <v>0</v>
      </c>
      <c r="T199" s="1860">
        <v>15515.007499999996</v>
      </c>
      <c r="U199" s="1126"/>
      <c r="V199" s="1855">
        <f t="shared" si="233"/>
        <v>254054.55449450001</v>
      </c>
      <c r="W199" s="208"/>
      <c r="X199" s="208"/>
      <c r="Y199" s="208"/>
      <c r="Z199" s="1846" t="str">
        <f t="shared" si="237"/>
        <v/>
      </c>
      <c r="AA199" s="1863"/>
      <c r="AB199" s="208"/>
      <c r="AC199" s="208"/>
      <c r="AD199" s="1846" t="str">
        <f t="shared" si="234"/>
        <v/>
      </c>
      <c r="AE199" s="208"/>
      <c r="AF199" s="208"/>
      <c r="AG199" s="1856" t="str">
        <f t="shared" si="236"/>
        <v>Missing Input</v>
      </c>
      <c r="AH199" s="1856" t="str">
        <f>IFERROR(IF(OR(V199="",Z199=""),"Missing input",IF(AND(_xlfn.NUMBERVALUE(Z199)/_xlfn.NUMBERVALUE(V199)&gt;0.7119,_xlfn.NUMBERVALUE(Z199)/_xlfn.NUMBERVALUE(V199)&lt;0.946),"Ok","Please check")),"Please check")</f>
        <v>Missing input</v>
      </c>
      <c r="AI199" s="1857"/>
      <c r="AJ199" s="1857"/>
      <c r="AK199" s="1857"/>
      <c r="AL199" s="1859"/>
    </row>
    <row r="200" spans="1:38" ht="15" customHeight="1" x14ac:dyDescent="0.35">
      <c r="A200" s="1513"/>
      <c r="B200" s="407" t="s">
        <v>2324</v>
      </c>
      <c r="C200" s="1849"/>
      <c r="D200" s="208">
        <v>22383</v>
      </c>
      <c r="E200" s="208">
        <v>0</v>
      </c>
      <c r="F200" s="208">
        <v>0</v>
      </c>
      <c r="H200" s="1846">
        <f t="shared" si="230"/>
        <v>22383</v>
      </c>
      <c r="I200" s="208">
        <v>17972</v>
      </c>
      <c r="J200" s="208">
        <v>0</v>
      </c>
      <c r="K200" s="208">
        <v>0</v>
      </c>
      <c r="L200" s="1846">
        <f t="shared" si="231"/>
        <v>17972</v>
      </c>
      <c r="M200" s="2540">
        <f>+D200</f>
        <v>22383</v>
      </c>
      <c r="N200" s="2540">
        <f t="shared" si="239"/>
        <v>0</v>
      </c>
      <c r="O200" s="2540">
        <f>34464-31894</f>
        <v>2570</v>
      </c>
      <c r="P200" s="1846">
        <f t="shared" si="232"/>
        <v>24953</v>
      </c>
      <c r="R200" s="208">
        <v>21210.05</v>
      </c>
      <c r="S200" s="208">
        <v>0</v>
      </c>
      <c r="T200" s="1860">
        <v>18028.5425</v>
      </c>
      <c r="U200" s="1126"/>
      <c r="V200" s="1855">
        <f t="shared" si="233"/>
        <v>39238.592499999999</v>
      </c>
      <c r="W200" s="208"/>
      <c r="X200" s="208"/>
      <c r="Y200" s="208"/>
      <c r="Z200" s="1846" t="str">
        <f t="shared" si="237"/>
        <v/>
      </c>
      <c r="AA200" s="208"/>
      <c r="AB200" s="1863"/>
      <c r="AC200" s="208"/>
      <c r="AD200" s="1846" t="str">
        <f t="shared" si="234"/>
        <v/>
      </c>
      <c r="AE200" s="208"/>
      <c r="AF200" s="208"/>
      <c r="AG200" s="1856" t="str">
        <f>IF(AND(V200&lt;&gt;"",OR(Z200="",Z200=0)),"Missing Input",IF(AND(Z200&gt;0,Z200&lt;&gt;"",V200&gt;0,V200&lt;&gt;"",OR(_xlfn.NUMBERVALUE(V200)&gt;_xlfn.NUMBERVALUE(Z200),_xlfn.NUMBERVALUE(V200)=_xlfn.NUMBERVALUE(Z200))),"Ok","Please check"))</f>
        <v>Missing Input</v>
      </c>
      <c r="AH200" s="1856" t="str">
        <f>IFERROR(IF(OR(V200="",Z200=""),"Missing input",IF(AND(_xlfn.NUMBERVALUE(Z200)/_xlfn.NUMBERVALUE(V200)&gt;0.7119,_xlfn.NUMBERVALUE(Z200)/_xlfn.NUMBERVALUE(V200)&lt;1.05),"Ok","Please check")),"Please check")</f>
        <v>Missing input</v>
      </c>
      <c r="AI200" s="1857"/>
      <c r="AJ200" s="1857"/>
      <c r="AK200" s="1857"/>
      <c r="AL200" s="1859"/>
    </row>
    <row r="201" spans="1:38" ht="15" customHeight="1" x14ac:dyDescent="0.35">
      <c r="A201" s="1513"/>
      <c r="B201" s="185" t="s">
        <v>2327</v>
      </c>
      <c r="C201" s="1849"/>
      <c r="D201" s="1846">
        <f>IF(ISNUMBER(D95), D95, "")</f>
        <v>2257065</v>
      </c>
      <c r="E201" s="1846">
        <f>IF(ISNUMBER(E95), E95, "")</f>
        <v>670</v>
      </c>
      <c r="F201" s="1846">
        <f>IF(ISNUMBER(H95), H95, "")</f>
        <v>5875</v>
      </c>
      <c r="H201" s="1846">
        <f t="shared" si="230"/>
        <v>2263610</v>
      </c>
      <c r="I201" s="1846">
        <f>IF(ISNUMBER(J95), J95, "")</f>
        <v>1309457</v>
      </c>
      <c r="J201" s="1846">
        <f>IF(ISNUMBER(K95), K95, "")</f>
        <v>502</v>
      </c>
      <c r="K201" s="1846">
        <f>IF(ISNUMBER(L95), L95, "")</f>
        <v>4219</v>
      </c>
      <c r="L201" s="1846">
        <f t="shared" si="231"/>
        <v>1314178</v>
      </c>
      <c r="M201" s="1846">
        <f>IF(ISNUMBER(R95), R95, "")</f>
        <v>2257065</v>
      </c>
      <c r="N201" s="1846">
        <f>IF(ISNUMBER(S95), S95, "")</f>
        <v>670</v>
      </c>
      <c r="O201" s="1846">
        <f>IF(ISNUMBER(V95), V95, "")</f>
        <v>52995</v>
      </c>
      <c r="P201" s="1846">
        <f t="shared" si="232"/>
        <v>2310730</v>
      </c>
      <c r="R201" s="1846">
        <f>IF(ISNUMBER(X95), X95, "")</f>
        <v>1692798.75</v>
      </c>
      <c r="S201" s="1846">
        <f>IF(ISNUMBER(Y95), Y95, "")</f>
        <v>502.5</v>
      </c>
      <c r="T201" s="1855">
        <f>IF(ISNUMBER(Z95), Z95, "")</f>
        <v>39746.25</v>
      </c>
      <c r="U201" s="1126"/>
      <c r="V201" s="1855">
        <f t="shared" si="233"/>
        <v>1733047.5</v>
      </c>
      <c r="W201" s="208"/>
      <c r="X201" s="208"/>
      <c r="Y201" s="208"/>
      <c r="Z201" s="1846" t="str">
        <f t="shared" si="237"/>
        <v/>
      </c>
      <c r="AA201" s="1864"/>
      <c r="AB201" s="1865"/>
      <c r="AC201" s="1864"/>
      <c r="AD201" s="1846" t="str">
        <f t="shared" si="234"/>
        <v/>
      </c>
      <c r="AE201" s="1864"/>
      <c r="AF201" s="1864"/>
      <c r="AG201" s="1856" t="str">
        <f>IF(AND(V201&lt;&gt;"",OR(Z201="",Z201=0)),"Missing Input",IF(AND(Z201&gt;0,Z201&lt;&gt;"",V201&gt;0,V201&lt;&gt;"",OR(_xlfn.NUMBERVALUE(V201)&gt;_xlfn.NUMBERVALUE(Z201),_xlfn.NUMBERVALUE(V201)=_xlfn.NUMBERVALUE(Z201))),"Ok","Please check"))</f>
        <v>Missing Input</v>
      </c>
      <c r="AH201" s="1857"/>
      <c r="AI201" s="1856" t="str">
        <f>+IFERROR(IF(AND(ABS(Z201-V201)&gt;ABS(0.95*(Z202-V202)),ABS(Z201-V201)&lt;ABS(1.05*(Z202-V202))),"Ok","Please Check"),"Please Check")</f>
        <v>Please Check</v>
      </c>
      <c r="AJ201" s="1856" t="str">
        <f>IF(OR('General Info'!C19="Yes",'General Info'!D19="Yes"),IF(AND(AC201&gt;0,AC201&lt;&gt;"",AH95&gt;0,AH95&lt;&gt;"",OR(_xlfn.NUMBERVALUE(AC201)&lt;_xlfn.NUMBERVALUE(AH95),_xlfn.NUMBERVALUE(AC201)=_xlfn.NUMBERVALUE(AH95))),"Ok","Please check"),"NA")</f>
        <v>NA</v>
      </c>
      <c r="AK201" s="1856" t="str">
        <f>IF(OR('General Info'!C19="Yes",'General Info'!D19="Yes"),IFERROR(IF(_xlfn.NUMBERVALUE(AC201)/_xlfn.NUMBERVALUE(AH95)&lt;0.7119,"Please check","Ok"),"Please check"),"NA")</f>
        <v>NA</v>
      </c>
      <c r="AL201" s="1858" t="str">
        <f>IF(OR('General Info'!$C$19="Yes",'General Info'!$D$19="Yes"),IFERROR(IF(AND(_xlfn.NUMBERVALUE(AF201)/_xlfn.NUMBERVALUE(AC201)&gt;0.7143,_xlfn.NUMBERVALUE(AF201)/_xlfn.NUMBERVALUE(AC201)&lt;=1),"Ok", "Please check"),"Please check"),"NA")</f>
        <v>NA</v>
      </c>
    </row>
    <row r="202" spans="1:38" ht="15" customHeight="1" x14ac:dyDescent="0.35">
      <c r="A202" s="1513"/>
      <c r="B202" s="219" t="s">
        <v>2322</v>
      </c>
      <c r="C202" s="1849"/>
      <c r="D202" s="1846">
        <f>IF(AND(ISNUMBER(D203), ISNUMBER(D204)), SUM(D203:D204), "")</f>
        <v>340097.94117499999</v>
      </c>
      <c r="E202" s="1846">
        <f>IF(AND(ISNUMBER(E203), ISNUMBER(E204)), SUM(E203:E204), "")</f>
        <v>0</v>
      </c>
      <c r="F202" s="1846">
        <f>IF(AND(ISNUMBER(F203), ISNUMBER(F204)), SUM(F203:F204), "")</f>
        <v>1028</v>
      </c>
      <c r="H202" s="1846">
        <f t="shared" si="230"/>
        <v>341125.94117499999</v>
      </c>
      <c r="I202" s="1846">
        <f>IF(AND(ISNUMBER(I203), ISNUMBER(I204)), SUM(I203:I204), "")</f>
        <v>194551.66530000002</v>
      </c>
      <c r="J202" s="1846">
        <f>IF(AND(ISNUMBER(J203), ISNUMBER(J204)), SUM(J203:J204), "")</f>
        <v>0</v>
      </c>
      <c r="K202" s="1846">
        <f>IF(AND(ISNUMBER(K203), ISNUMBER(K204)), SUM(K203:K204), "")</f>
        <v>586</v>
      </c>
      <c r="L202" s="1846">
        <f t="shared" si="231"/>
        <v>195137.66530000002</v>
      </c>
      <c r="M202" s="1846">
        <f>IF(AND(ISNUMBER(M203), ISNUMBER(M204)), SUM(M203:M204), "")</f>
        <v>340097.94117499999</v>
      </c>
      <c r="N202" s="1846">
        <f>IF(AND(ISNUMBER(N203), ISNUMBER(N204)), SUM(N203:N204), "")</f>
        <v>0</v>
      </c>
      <c r="O202" s="1846">
        <f>IF(AND(ISNUMBER(O203), ISNUMBER(O204)), SUM(O203:O204), "")</f>
        <v>27052</v>
      </c>
      <c r="P202" s="1846">
        <f t="shared" si="232"/>
        <v>367149.94117499999</v>
      </c>
      <c r="R202" s="1846">
        <f>IF(AND(ISNUMBER(R203), ISNUMBER(R204)), SUM(R203:R204), "")</f>
        <v>255073.45588124997</v>
      </c>
      <c r="S202" s="1846">
        <f>IF(AND(ISNUMBER(S203), ISNUMBER(S204)), SUM(S203:S204), "")</f>
        <v>0</v>
      </c>
      <c r="T202" s="1855">
        <f>IF(AND(ISNUMBER(T203), ISNUMBER(T204)), SUM(T203:T204), "")</f>
        <v>20289</v>
      </c>
      <c r="U202" s="1126"/>
      <c r="V202" s="1855">
        <f t="shared" si="233"/>
        <v>275362.45588124997</v>
      </c>
      <c r="W202" s="1846" t="str">
        <f>IF(AND(ISNUMBER(W203), ISNUMBER(W204)), SUM(W203:W204), "")</f>
        <v/>
      </c>
      <c r="X202" s="1846" t="str">
        <f>IF(AND(ISNUMBER(X203), ISNUMBER(X204)), SUM(X203:X204), "")</f>
        <v/>
      </c>
      <c r="Y202" s="1846" t="str">
        <f>IF(AND(ISNUMBER(Y203), ISNUMBER(Y204)), SUM(Y203:Y204), "")</f>
        <v/>
      </c>
      <c r="Z202" s="1846" t="str">
        <f t="shared" si="237"/>
        <v/>
      </c>
      <c r="AA202" s="1846" t="str">
        <f>IF(AND(ISNUMBER(AA203), ISNUMBER(AA204)), SUM(AA203:AA204), "")</f>
        <v/>
      </c>
      <c r="AB202" s="1846" t="str">
        <f>IF(AND(ISNUMBER(AB203), ISNUMBER(AB204)), SUM(AB203:AB204), "")</f>
        <v/>
      </c>
      <c r="AC202" s="1846" t="str">
        <f>IF(AND(ISNUMBER(AC203), ISNUMBER(AC204)), SUM(AC203:AC204), "")</f>
        <v/>
      </c>
      <c r="AD202" s="1846" t="str">
        <f t="shared" si="234"/>
        <v/>
      </c>
      <c r="AE202" s="1846" t="str">
        <f>IF(AND(ISNUMBER(AE203), ISNUMBER(AE204)), SUM(AE203:AE204), "")</f>
        <v/>
      </c>
      <c r="AF202" s="1846" t="str">
        <f>IF(AND(ISNUMBER(AF203), ISNUMBER(AF204)), SUM(AF203:AF204), "")</f>
        <v/>
      </c>
      <c r="AG202" s="1856" t="str">
        <f t="shared" si="236"/>
        <v>Missing Input</v>
      </c>
      <c r="AH202" s="1857"/>
      <c r="AI202" s="1857"/>
      <c r="AJ202" s="1857"/>
      <c r="AK202" s="1857"/>
      <c r="AL202" s="1859"/>
    </row>
    <row r="203" spans="1:38" ht="15" customHeight="1" x14ac:dyDescent="0.35">
      <c r="A203" s="1513"/>
      <c r="B203" s="407" t="s">
        <v>2323</v>
      </c>
      <c r="C203" s="1849"/>
      <c r="D203" s="208">
        <v>340097.94117499999</v>
      </c>
      <c r="E203" s="208">
        <v>0</v>
      </c>
      <c r="F203" s="208">
        <v>1028</v>
      </c>
      <c r="H203" s="1846">
        <f t="shared" si="230"/>
        <v>341125.94117499999</v>
      </c>
      <c r="I203" s="208">
        <v>194551.66530000002</v>
      </c>
      <c r="J203" s="208">
        <v>0</v>
      </c>
      <c r="K203" s="208">
        <v>586</v>
      </c>
      <c r="L203" s="1846">
        <f t="shared" si="231"/>
        <v>195137.66530000002</v>
      </c>
      <c r="M203" s="208">
        <v>340097.94117499999</v>
      </c>
      <c r="N203" s="208">
        <v>0</v>
      </c>
      <c r="O203" s="208">
        <v>27052</v>
      </c>
      <c r="P203" s="1846">
        <f t="shared" si="232"/>
        <v>367149.94117499999</v>
      </c>
      <c r="R203" s="208">
        <v>255073.45588124997</v>
      </c>
      <c r="S203" s="208">
        <v>0</v>
      </c>
      <c r="T203" s="1860">
        <v>20289</v>
      </c>
      <c r="U203" s="1126"/>
      <c r="V203" s="1855">
        <f t="shared" si="233"/>
        <v>275362.45588124997</v>
      </c>
      <c r="W203" s="208"/>
      <c r="X203" s="208"/>
      <c r="Y203" s="208"/>
      <c r="Z203" s="1846" t="str">
        <f t="shared" si="237"/>
        <v/>
      </c>
      <c r="AA203" s="208"/>
      <c r="AB203" s="208"/>
      <c r="AC203" s="208"/>
      <c r="AD203" s="1846" t="str">
        <f t="shared" si="234"/>
        <v/>
      </c>
      <c r="AE203" s="208"/>
      <c r="AF203" s="208"/>
      <c r="AG203" s="1856" t="str">
        <f t="shared" si="236"/>
        <v>Missing Input</v>
      </c>
      <c r="AH203" s="1856" t="str">
        <f>IFERROR(IF(OR(V203="",Z203=""),"Missing input",IF(AND(_xlfn.NUMBERVALUE(Z203)/_xlfn.NUMBERVALUE(V203)&gt;0.7119,_xlfn.NUMBERVALUE(Z203)/_xlfn.NUMBERVALUE(V203)&lt;0.8119),"Ok","Please check")),"Please check")</f>
        <v>Missing input</v>
      </c>
      <c r="AI203" s="1857"/>
      <c r="AJ203" s="1857"/>
      <c r="AK203" s="1857"/>
      <c r="AL203" s="1859"/>
    </row>
    <row r="204" spans="1:38" ht="15" customHeight="1" x14ac:dyDescent="0.35">
      <c r="A204" s="1513"/>
      <c r="B204" s="407" t="s">
        <v>2324</v>
      </c>
      <c r="C204" s="1849"/>
      <c r="D204" s="208">
        <v>0</v>
      </c>
      <c r="E204" s="208">
        <v>0</v>
      </c>
      <c r="F204" s="208">
        <v>0</v>
      </c>
      <c r="H204" s="1846">
        <f t="shared" si="230"/>
        <v>0</v>
      </c>
      <c r="I204" s="208">
        <v>0</v>
      </c>
      <c r="J204" s="208">
        <v>0</v>
      </c>
      <c r="K204" s="208">
        <v>0</v>
      </c>
      <c r="L204" s="1846">
        <f t="shared" si="231"/>
        <v>0</v>
      </c>
      <c r="M204" s="208">
        <v>0</v>
      </c>
      <c r="N204" s="208">
        <v>0</v>
      </c>
      <c r="O204" s="208">
        <v>0</v>
      </c>
      <c r="P204" s="1846">
        <f t="shared" si="232"/>
        <v>0</v>
      </c>
      <c r="R204" s="208">
        <v>0</v>
      </c>
      <c r="S204" s="208">
        <v>0</v>
      </c>
      <c r="T204" s="1860">
        <v>0</v>
      </c>
      <c r="U204" s="1126"/>
      <c r="V204" s="1855">
        <f t="shared" si="233"/>
        <v>0</v>
      </c>
      <c r="W204" s="208"/>
      <c r="X204" s="208"/>
      <c r="Y204" s="208"/>
      <c r="Z204" s="1846" t="str">
        <f t="shared" si="237"/>
        <v/>
      </c>
      <c r="AA204" s="208"/>
      <c r="AB204" s="208"/>
      <c r="AC204" s="208"/>
      <c r="AD204" s="1846" t="str">
        <f t="shared" si="234"/>
        <v/>
      </c>
      <c r="AE204" s="208"/>
      <c r="AF204" s="208"/>
      <c r="AG204" s="1856" t="str">
        <f t="shared" si="236"/>
        <v>Missing Input</v>
      </c>
      <c r="AH204" s="1856" t="str">
        <f>IFERROR(IF(OR(V204="",Z204=""),"Missing input",IF(AND(_xlfn.NUMBERVALUE(Z204)/_xlfn.NUMBERVALUE(V204)&gt;0.7119,_xlfn.NUMBERVALUE(Z204)/_xlfn.NUMBERVALUE(V204)&lt;0.9),"Ok","Please check")),"Please check")</f>
        <v>Missing input</v>
      </c>
      <c r="AI204" s="1857"/>
      <c r="AJ204" s="1857"/>
      <c r="AK204" s="1857"/>
      <c r="AL204" s="1859"/>
    </row>
    <row r="205" spans="1:38" ht="15" customHeight="1" x14ac:dyDescent="0.35">
      <c r="A205" s="1513"/>
      <c r="B205" s="185" t="s">
        <v>2328</v>
      </c>
      <c r="C205" s="1849"/>
      <c r="D205" s="1846">
        <f>IF(ISNUMBER(D99), D99, "")</f>
        <v>312518</v>
      </c>
      <c r="E205" s="1846">
        <f>IF(ISNUMBER(E99), E99, "")</f>
        <v>0</v>
      </c>
      <c r="F205" s="1846">
        <f>IF(ISNUMBER(H99), H99, "")</f>
        <v>161.99999999999997</v>
      </c>
      <c r="H205" s="1846">
        <f t="shared" si="230"/>
        <v>312680</v>
      </c>
      <c r="I205" s="1846">
        <f t="shared" ref="I205:K206" si="240">IF(ISNUMBER(J99), J99, "")</f>
        <v>108192</v>
      </c>
      <c r="J205" s="1846">
        <f t="shared" si="240"/>
        <v>0</v>
      </c>
      <c r="K205" s="1846">
        <f t="shared" si="240"/>
        <v>57.000000000000014</v>
      </c>
      <c r="L205" s="1846">
        <f t="shared" si="231"/>
        <v>108249</v>
      </c>
      <c r="M205" s="1846">
        <f>IF(ISNUMBER(R99), R99, "")</f>
        <v>312518</v>
      </c>
      <c r="N205" s="1846">
        <f>IF(ISNUMBER(S99), S99, "")</f>
        <v>0</v>
      </c>
      <c r="O205" s="1846">
        <f>IF(ISNUMBER(V99), V99, "")</f>
        <v>161.99999999999997</v>
      </c>
      <c r="P205" s="1846">
        <f t="shared" si="232"/>
        <v>312680</v>
      </c>
      <c r="R205" s="1846">
        <f t="shared" ref="R205:T206" si="241">IF(ISNUMBER(X99), X99, "")</f>
        <v>62503.600000000006</v>
      </c>
      <c r="S205" s="1846">
        <f t="shared" si="241"/>
        <v>0</v>
      </c>
      <c r="T205" s="1855">
        <f t="shared" si="241"/>
        <v>32.4</v>
      </c>
      <c r="U205" s="1126"/>
      <c r="V205" s="1855">
        <f t="shared" si="233"/>
        <v>62536.000000000007</v>
      </c>
      <c r="W205" s="1846" t="str">
        <f>+IF(AND(ISNUMBER(W206),ISNUMBER(W210),ISNUMBER(W214),ISNUMBER(W218),ISNUMBER(W222)),W206+W210+W214+W218+W222,"")</f>
        <v/>
      </c>
      <c r="X205" s="1846" t="str">
        <f>+IF(AND(ISNUMBER(X206),ISNUMBER(X210),ISNUMBER(X214),ISNUMBER(X218),ISNUMBER(X222)),X206+X210+X214+X218+X222,"")</f>
        <v/>
      </c>
      <c r="Y205" s="1846" t="str">
        <f>+IF(AND(ISNUMBER(Y206),ISNUMBER(Y210),ISNUMBER(Y214),ISNUMBER(Y218),ISNUMBER(Y222)),Y206+Y210+Y214+Y218+Y222,"")</f>
        <v/>
      </c>
      <c r="Z205" s="1846" t="str">
        <f t="shared" si="237"/>
        <v/>
      </c>
      <c r="AA205" s="1846" t="str">
        <f t="shared" ref="AA205:AE205" si="242">+IF(AND(ISNUMBER(AA206),ISNUMBER(AA210),ISNUMBER(AA214),ISNUMBER(AA218),ISNUMBER(AA222)),AA206+AA210+AA214+AA218+AA222,"")</f>
        <v/>
      </c>
      <c r="AB205" s="1846" t="str">
        <f t="shared" si="242"/>
        <v/>
      </c>
      <c r="AC205" s="1846" t="str">
        <f>+IF(AND(ISNUMBER(AC206),ISNUMBER(AC210),ISNUMBER(AC214),ISNUMBER(AC218),ISNUMBER(AC222)),AC206+AC210+AC214+AC218+AC222,"")</f>
        <v/>
      </c>
      <c r="AD205" s="1846" t="str">
        <f t="shared" si="234"/>
        <v/>
      </c>
      <c r="AE205" s="1846" t="str">
        <f t="shared" si="242"/>
        <v/>
      </c>
      <c r="AF205" s="1846" t="str">
        <f>+IF(AND(ISNUMBER(AF206),ISNUMBER(AF210),ISNUMBER(AF214),ISNUMBER(AF218),ISNUMBER(AF222)),AF206+AF210+AF214+AF218+AF222,"")</f>
        <v/>
      </c>
      <c r="AG205" s="1856" t="str">
        <f>IF(AND(V205&lt;&gt;"",OR(Z205="",Z205=0)),"Missing Input",IF(AND(Z205&gt;0,Z205&lt;&gt;"",V205&gt;0,V205&lt;&gt;"",OR(_xlfn.NUMBERVALUE(V205)&gt;_xlfn.NUMBERVALUE(Z205),_xlfn.NUMBERVALUE(V205)=_xlfn.NUMBERVALUE(Z205))),"Ok","Please check"))</f>
        <v>Missing Input</v>
      </c>
      <c r="AH205" s="1857"/>
      <c r="AI205" s="1857"/>
      <c r="AJ205" s="1857"/>
      <c r="AK205" s="1857"/>
      <c r="AL205" s="1859"/>
    </row>
    <row r="206" spans="1:38" ht="15" customHeight="1" x14ac:dyDescent="0.35">
      <c r="A206" s="1513"/>
      <c r="B206" s="345" t="s">
        <v>2329</v>
      </c>
      <c r="C206" s="1849"/>
      <c r="D206" s="1846">
        <f>IF(ISNUMBER(D100), D100, "")</f>
        <v>312518</v>
      </c>
      <c r="E206" s="1846">
        <f>IF(ISNUMBER(E100), E100, "")</f>
        <v>0</v>
      </c>
      <c r="F206" s="1846">
        <f>IF(ISNUMBER(H100), H100, "")</f>
        <v>161.99999999999997</v>
      </c>
      <c r="H206" s="1846">
        <f t="shared" si="230"/>
        <v>312680</v>
      </c>
      <c r="I206" s="1846">
        <f t="shared" si="240"/>
        <v>108192</v>
      </c>
      <c r="J206" s="1846">
        <f t="shared" si="240"/>
        <v>0</v>
      </c>
      <c r="K206" s="1846">
        <f t="shared" si="240"/>
        <v>57.000000000000014</v>
      </c>
      <c r="L206" s="1846">
        <f t="shared" si="231"/>
        <v>108249</v>
      </c>
      <c r="M206" s="1846">
        <f>IF(ISNUMBER(R100), R100, "")</f>
        <v>312518</v>
      </c>
      <c r="N206" s="1846">
        <f>IF(ISNUMBER(S100), S100, "")</f>
        <v>0</v>
      </c>
      <c r="O206" s="1846">
        <f>IF(ISNUMBER(V100), V100, "")</f>
        <v>161.99999999999997</v>
      </c>
      <c r="P206" s="1846">
        <f t="shared" si="232"/>
        <v>312680</v>
      </c>
      <c r="R206" s="1846">
        <f t="shared" si="241"/>
        <v>62503.600000000006</v>
      </c>
      <c r="S206" s="1846">
        <f t="shared" si="241"/>
        <v>0</v>
      </c>
      <c r="T206" s="1855">
        <f t="shared" si="241"/>
        <v>32.4</v>
      </c>
      <c r="U206" s="1126"/>
      <c r="V206" s="1855">
        <f t="shared" si="233"/>
        <v>62536.000000000007</v>
      </c>
      <c r="W206" s="208"/>
      <c r="X206" s="208"/>
      <c r="Y206" s="208"/>
      <c r="Z206" s="1846" t="str">
        <f t="shared" si="237"/>
        <v/>
      </c>
      <c r="AA206" s="1864"/>
      <c r="AB206" s="1864"/>
      <c r="AC206" s="1864"/>
      <c r="AD206" s="1846" t="str">
        <f t="shared" si="234"/>
        <v/>
      </c>
      <c r="AE206" s="1864"/>
      <c r="AF206" s="1864"/>
      <c r="AG206" s="1856" t="str">
        <f>IF(AND(V206&lt;&gt;"",OR(Z206="",Z206=0)),"Missing Input",IF(AND(Z206&gt;0,Z206&lt;&gt;"",V206&gt;0,V206&lt;&gt;"",OR(_xlfn.NUMBERVALUE(V206)&gt;_xlfn.NUMBERVALUE(Z206),_xlfn.NUMBERVALUE(V206)=_xlfn.NUMBERVALUE(Z206))),"Ok","Please check"))</f>
        <v>Missing Input</v>
      </c>
      <c r="AH206" s="1857"/>
      <c r="AI206" s="1856" t="str">
        <f>+IFERROR(IF(AND(ABS(Z206-V206)&gt;ABS(0.95*(Z207-V207)),ABS(Z206-V206)&lt;ABS(1.05*(Z207-V207))),"Ok","Please Check"),"Please Check")</f>
        <v>Please Check</v>
      </c>
      <c r="AJ206" s="1856" t="str">
        <f>IF(OR('General Info'!C19="Yes",'General Info'!D19="Yes"),IF(AND(AC206&gt;0,AC206&lt;&gt;"",AH100&lt;&gt;"",AH100&gt;0,OR(_xlfn.NUMBERVALUE(AC206)&lt;_xlfn.NUMBERVALUE(AH100),_xlfn.NUMBERVALUE(AC206)=_xlfn.NUMBERVALUE(AH100))),"Ok","Please check"),"NA")</f>
        <v>NA</v>
      </c>
      <c r="AK206" s="1856" t="str">
        <f>IF(OR('General Info'!C19="Yes",'General Info'!D19="Yes"),IFERROR(IF(_xlfn.NUMBERVALUE(AC206)/_xlfn.NUMBERVALUE(AH100)&lt;0.7119,"Please check","Ok"),"Please check"),"NA")</f>
        <v>NA</v>
      </c>
      <c r="AL206" s="1858" t="str">
        <f>IF(OR('General Info'!$C$19="Yes",'General Info'!$D$19="Yes"),IFERROR(IF(AND(_xlfn.NUMBERVALUE(AF206)/_xlfn.NUMBERVALUE(AC206)&gt;0.7143,_xlfn.NUMBERVALUE(AF206)/_xlfn.NUMBERVALUE(AC206)&lt;=1),"Ok", "Please check"),"Please check"),"NA")</f>
        <v>NA</v>
      </c>
    </row>
    <row r="207" spans="1:38" ht="15" customHeight="1" x14ac:dyDescent="0.35">
      <c r="A207" s="1513"/>
      <c r="B207" s="219" t="s">
        <v>2322</v>
      </c>
      <c r="C207" s="1849"/>
      <c r="D207" s="1846">
        <f>IF(AND(ISNUMBER(D208), ISNUMBER(D209)), SUM(D208:D209), "")</f>
        <v>21576</v>
      </c>
      <c r="E207" s="1846">
        <f>IF(AND(ISNUMBER(E208), ISNUMBER(E209)), SUM(E208:E209), "")</f>
        <v>0</v>
      </c>
      <c r="F207" s="1846">
        <f>IF(AND(ISNUMBER(F208), ISNUMBER(F209)), SUM(F208:F209), "")</f>
        <v>0</v>
      </c>
      <c r="H207" s="1846">
        <f t="shared" si="230"/>
        <v>21576</v>
      </c>
      <c r="I207" s="1846">
        <f>IF(AND(ISNUMBER(I208), ISNUMBER(I209)), SUM(I208:I209), "")</f>
        <v>5955</v>
      </c>
      <c r="J207" s="1846">
        <f>IF(AND(ISNUMBER(J208), ISNUMBER(J209)), SUM(J208:J209), "")</f>
        <v>0</v>
      </c>
      <c r="K207" s="1846">
        <f>IF(AND(ISNUMBER(K208), ISNUMBER(K209)), SUM(K208:K209), "")</f>
        <v>0</v>
      </c>
      <c r="L207" s="1846">
        <f t="shared" si="231"/>
        <v>5955</v>
      </c>
      <c r="M207" s="1846">
        <f>IF(AND(ISNUMBER(M208), ISNUMBER(M209)), SUM(M208:M209), "")</f>
        <v>21576</v>
      </c>
      <c r="N207" s="1846">
        <f>IF(AND(ISNUMBER(N208), ISNUMBER(N209)), SUM(N208:N209), "")</f>
        <v>0</v>
      </c>
      <c r="O207" s="1846">
        <f>IF(AND(ISNUMBER(O208), ISNUMBER(O209)), SUM(O208:O209), "")</f>
        <v>0</v>
      </c>
      <c r="P207" s="1846">
        <f t="shared" si="232"/>
        <v>21576</v>
      </c>
      <c r="R207" s="1846">
        <f>IF(AND(ISNUMBER(R208), ISNUMBER(R209)), SUM(R208:R209), "")</f>
        <v>4315.2</v>
      </c>
      <c r="S207" s="1846">
        <f>IF(AND(ISNUMBER(S208), ISNUMBER(S209)), SUM(S208:S209), "")</f>
        <v>0</v>
      </c>
      <c r="T207" s="1855">
        <f>IF(AND(ISNUMBER(T208), ISNUMBER(T209)), SUM(T208:T209), "")</f>
        <v>0</v>
      </c>
      <c r="U207" s="1126"/>
      <c r="V207" s="1855">
        <f t="shared" si="233"/>
        <v>4315.2</v>
      </c>
      <c r="W207" s="1846" t="str">
        <f>IF(AND(ISNUMBER(W208), ISNUMBER(W209)), SUM(W208:W209), "")</f>
        <v/>
      </c>
      <c r="X207" s="1846" t="str">
        <f>IF(AND(ISNUMBER(X208), ISNUMBER(X209)), SUM(X208:X209), "")</f>
        <v/>
      </c>
      <c r="Y207" s="1846" t="str">
        <f>IF(AND(ISNUMBER(Y208), ISNUMBER(Y209)), SUM(Y208:Y209), "")</f>
        <v/>
      </c>
      <c r="Z207" s="1846" t="str">
        <f t="shared" si="237"/>
        <v/>
      </c>
      <c r="AA207" s="1846" t="str">
        <f>IF(AND(ISNUMBER(AA208), ISNUMBER(AA209)), SUM(AA208:AA209), "")</f>
        <v/>
      </c>
      <c r="AB207" s="1846" t="str">
        <f>IF(AND(ISNUMBER(AB208), ISNUMBER(AB209)), SUM(AB208:AB209), "")</f>
        <v/>
      </c>
      <c r="AC207" s="1846" t="str">
        <f>IF(AND(ISNUMBER(AC208), ISNUMBER(AC209)), SUM(AC208:AC209), "")</f>
        <v/>
      </c>
      <c r="AD207" s="1846" t="str">
        <f t="shared" si="234"/>
        <v/>
      </c>
      <c r="AE207" s="1846" t="str">
        <f>IF(AND(ISNUMBER(AE208), ISNUMBER(AE209)), SUM(AE208:AE209), "")</f>
        <v/>
      </c>
      <c r="AF207" s="1846" t="str">
        <f>IF(AND(ISNUMBER(AF208), ISNUMBER(AF209)), SUM(AF208:AF209), "")</f>
        <v/>
      </c>
      <c r="AG207" s="1856" t="str">
        <f t="shared" si="236"/>
        <v>Missing Input</v>
      </c>
      <c r="AH207" s="1857"/>
      <c r="AI207" s="1857"/>
      <c r="AJ207" s="1857"/>
      <c r="AK207" s="1857"/>
      <c r="AL207" s="1859"/>
    </row>
    <row r="208" spans="1:38" ht="15" customHeight="1" x14ac:dyDescent="0.35">
      <c r="A208" s="1513"/>
      <c r="B208" s="407" t="s">
        <v>2323</v>
      </c>
      <c r="C208" s="1849"/>
      <c r="D208" s="208">
        <v>21576</v>
      </c>
      <c r="E208" s="208">
        <v>0</v>
      </c>
      <c r="F208" s="208">
        <v>0</v>
      </c>
      <c r="H208" s="1846">
        <f t="shared" si="230"/>
        <v>21576</v>
      </c>
      <c r="I208" s="208">
        <v>5955</v>
      </c>
      <c r="J208" s="208">
        <v>0</v>
      </c>
      <c r="K208" s="208">
        <v>0</v>
      </c>
      <c r="L208" s="1846">
        <f t="shared" si="231"/>
        <v>5955</v>
      </c>
      <c r="M208" s="208">
        <v>21576</v>
      </c>
      <c r="N208" s="208">
        <v>0</v>
      </c>
      <c r="O208" s="208">
        <v>0</v>
      </c>
      <c r="P208" s="1846">
        <f t="shared" si="232"/>
        <v>21576</v>
      </c>
      <c r="R208" s="208">
        <v>4315.2</v>
      </c>
      <c r="S208" s="208">
        <v>0</v>
      </c>
      <c r="T208" s="1860">
        <v>0</v>
      </c>
      <c r="U208" s="1126"/>
      <c r="V208" s="1855">
        <f t="shared" si="233"/>
        <v>4315.2</v>
      </c>
      <c r="W208" s="208"/>
      <c r="X208" s="208"/>
      <c r="Y208" s="208"/>
      <c r="Z208" s="1846" t="str">
        <f t="shared" si="237"/>
        <v/>
      </c>
      <c r="AA208" s="208"/>
      <c r="AB208" s="208"/>
      <c r="AC208" s="208"/>
      <c r="AD208" s="1846" t="str">
        <f t="shared" si="234"/>
        <v/>
      </c>
      <c r="AE208" s="208"/>
      <c r="AF208" s="208"/>
      <c r="AG208" s="1856" t="str">
        <f t="shared" si="236"/>
        <v>Missing Input</v>
      </c>
      <c r="AH208" s="1856" t="str">
        <f>IFERROR(IF(OR(V208="",Z208=""),"Missing input",IF(AND(_xlfn.NUMBERVALUE(Z208)/_xlfn.NUMBERVALUE(V208)&gt;0.7119,_xlfn.NUMBERVALUE(Z208)/_xlfn.NUMBERVALUE(V208)&lt;0.8119),"Ok","Please check")),"Please check")</f>
        <v>Missing input</v>
      </c>
      <c r="AI208" s="1857"/>
      <c r="AJ208" s="1857"/>
      <c r="AK208" s="1857"/>
      <c r="AL208" s="1859"/>
    </row>
    <row r="209" spans="1:38" ht="15" customHeight="1" x14ac:dyDescent="0.35">
      <c r="A209" s="1513"/>
      <c r="B209" s="407" t="s">
        <v>2324</v>
      </c>
      <c r="C209" s="1849"/>
      <c r="D209" s="208">
        <v>0</v>
      </c>
      <c r="E209" s="208">
        <v>0</v>
      </c>
      <c r="F209" s="208">
        <v>0</v>
      </c>
      <c r="H209" s="1846">
        <f t="shared" si="230"/>
        <v>0</v>
      </c>
      <c r="I209" s="208">
        <v>0</v>
      </c>
      <c r="J209" s="208">
        <v>0</v>
      </c>
      <c r="K209" s="208">
        <v>0</v>
      </c>
      <c r="L209" s="1846">
        <f t="shared" si="231"/>
        <v>0</v>
      </c>
      <c r="M209" s="208">
        <v>0</v>
      </c>
      <c r="N209" s="208">
        <v>0</v>
      </c>
      <c r="O209" s="208">
        <v>0</v>
      </c>
      <c r="P209" s="1846">
        <f t="shared" si="232"/>
        <v>0</v>
      </c>
      <c r="R209" s="208">
        <v>0</v>
      </c>
      <c r="S209" s="208">
        <v>0</v>
      </c>
      <c r="T209" s="1860">
        <v>0</v>
      </c>
      <c r="U209" s="1126"/>
      <c r="V209" s="1855">
        <f t="shared" si="233"/>
        <v>0</v>
      </c>
      <c r="W209" s="208"/>
      <c r="X209" s="208"/>
      <c r="Y209" s="208"/>
      <c r="Z209" s="1846" t="str">
        <f t="shared" si="237"/>
        <v/>
      </c>
      <c r="AA209" s="208"/>
      <c r="AB209" s="208"/>
      <c r="AC209" s="208"/>
      <c r="AD209" s="1846" t="str">
        <f t="shared" si="234"/>
        <v/>
      </c>
      <c r="AE209" s="208"/>
      <c r="AF209" s="208"/>
      <c r="AG209" s="1856" t="str">
        <f t="shared" si="236"/>
        <v>Missing Input</v>
      </c>
      <c r="AH209" s="1856" t="str">
        <f>IFERROR(IF(OR(V209="",Z209=""),"Missing input",IF(AND(_xlfn.NUMBERVALUE(Z209)/_xlfn.NUMBERVALUE(V209)&gt;0.7119,_xlfn.NUMBERVALUE(Z209)/_xlfn.NUMBERVALUE(V209)&lt;0.9),"Ok","Please check")),"Please check")</f>
        <v>Missing input</v>
      </c>
      <c r="AI209" s="1857"/>
      <c r="AJ209" s="1857"/>
      <c r="AK209" s="1857"/>
      <c r="AL209" s="1859"/>
    </row>
    <row r="210" spans="1:38" ht="15" customHeight="1" x14ac:dyDescent="0.35">
      <c r="A210" s="1513"/>
      <c r="B210" s="345" t="s">
        <v>2330</v>
      </c>
      <c r="C210" s="1849"/>
      <c r="D210" s="1846">
        <f>IF(ISNUMBER(D113), D113, "")</f>
        <v>0</v>
      </c>
      <c r="E210" s="1846">
        <f>IF(ISNUMBER(E113), E113, "")</f>
        <v>0</v>
      </c>
      <c r="F210" s="1846">
        <f>IF(ISNUMBER(H113), H113, "")</f>
        <v>0</v>
      </c>
      <c r="H210" s="1846">
        <f t="shared" si="230"/>
        <v>0</v>
      </c>
      <c r="I210" s="1846">
        <f>IF(ISNUMBER(J113), J113,"")</f>
        <v>0</v>
      </c>
      <c r="J210" s="1846">
        <f>IF(ISNUMBER(K113), K113,"")</f>
        <v>0</v>
      </c>
      <c r="K210" s="1846">
        <f>IF(ISNUMBER(L113), L113,"")</f>
        <v>0</v>
      </c>
      <c r="L210" s="1846">
        <f t="shared" si="231"/>
        <v>0</v>
      </c>
      <c r="M210" s="1846">
        <f>IF(ISNUMBER(R113), R113, "")</f>
        <v>0</v>
      </c>
      <c r="N210" s="1846">
        <f>IF(ISNUMBER(S113), S113, "")</f>
        <v>0</v>
      </c>
      <c r="O210" s="1846">
        <f>IF(ISNUMBER(V113), V113, "")</f>
        <v>0</v>
      </c>
      <c r="P210" s="1846">
        <f t="shared" si="232"/>
        <v>0</v>
      </c>
      <c r="R210" s="1846">
        <f>IF(ISNUMBER(X113), X113, "")</f>
        <v>0</v>
      </c>
      <c r="S210" s="1846">
        <f>IF(ISNUMBER(Y113), Y113, "")</f>
        <v>0</v>
      </c>
      <c r="T210" s="1855">
        <f>IF(ISNUMBER(Z113), Z113, "")</f>
        <v>0</v>
      </c>
      <c r="U210" s="1126"/>
      <c r="V210" s="1855">
        <f t="shared" si="233"/>
        <v>0</v>
      </c>
      <c r="W210" s="208"/>
      <c r="X210" s="208"/>
      <c r="Y210" s="208"/>
      <c r="Z210" s="1846" t="str">
        <f t="shared" si="237"/>
        <v/>
      </c>
      <c r="AA210" s="1864"/>
      <c r="AB210" s="1864"/>
      <c r="AC210" s="1864"/>
      <c r="AD210" s="1846" t="str">
        <f t="shared" si="234"/>
        <v/>
      </c>
      <c r="AE210" s="1864"/>
      <c r="AF210" s="1864"/>
      <c r="AG210" s="1856" t="str">
        <f>IF(AND(V210&lt;&gt;"",OR(Z210="",Z210=0)),"Missing Input",IF(AND(Z210&gt;0,Z210&lt;&gt;"",V210&gt;0,V210&lt;&gt;"",OR(_xlfn.NUMBERVALUE(V210)&gt;_xlfn.NUMBERVALUE(Z210),_xlfn.NUMBERVALUE(V210)=_xlfn.NUMBERVALUE(Z210))),"Ok","Please check"))</f>
        <v>Missing Input</v>
      </c>
      <c r="AH210" s="1857"/>
      <c r="AI210" s="1856" t="str">
        <f>+IFERROR(IF(AND(ABS(Z210-V210)&gt;ABS(0.95*(Z211-V211)),ABS(Z210-V210)&lt;ABS(1.05*(Z211-V211))),"Ok","Please Check"),"Please Check")</f>
        <v>Please Check</v>
      </c>
      <c r="AJ210" s="1856" t="str">
        <f>IF(OR('General Info'!C19="Yes",'General Info'!D19="Yes"),IF(AND(AC210&gt;0,AC210&lt;&gt;"",AH113&gt;0,AH113&lt;&gt;"",OR(_xlfn.NUMBERVALUE(AC210)&lt;_xlfn.NUMBERVALUE(AH113),_xlfn.NUMBERVALUE(AC210)=_xlfn.NUMBERVALUE(AH113))),"Ok","Please check"),"NA")</f>
        <v>NA</v>
      </c>
      <c r="AK210" s="1856" t="str">
        <f>IF(OR('General Info'!C19="Yes",'General Info'!D19="Yes"),IFERROR(IF(_xlfn.NUMBERVALUE(AC210)/_xlfn.NUMBERVALUE(AH113)&lt;0.7119,"Please check","Ok"),"Please check"),"NA")</f>
        <v>NA</v>
      </c>
      <c r="AL210" s="1858" t="str">
        <f>IF(OR('General Info'!$C$19="Yes",'General Info'!$D$19="Yes"),IFERROR(IF(AND(_xlfn.NUMBERVALUE(AF210)/_xlfn.NUMBERVALUE(AC210)&gt;0.7143,_xlfn.NUMBERVALUE(AF210)/_xlfn.NUMBERVALUE(AC210)&lt;=1),"Ok", "Please check"),"Please check"),"NA")</f>
        <v>NA</v>
      </c>
    </row>
    <row r="211" spans="1:38" ht="15" customHeight="1" x14ac:dyDescent="0.35">
      <c r="A211" s="1513"/>
      <c r="B211" s="219" t="s">
        <v>2322</v>
      </c>
      <c r="C211" s="1849"/>
      <c r="D211" s="1846">
        <f>IF(AND(ISNUMBER(D212), ISNUMBER(D213)), SUM(D212:D213), "")</f>
        <v>0</v>
      </c>
      <c r="E211" s="1846">
        <f>IF(AND(ISNUMBER(E212), ISNUMBER(E213)), SUM(E212:E213), "")</f>
        <v>0</v>
      </c>
      <c r="F211" s="1846">
        <f>IF(AND(ISNUMBER(F212), ISNUMBER(F213)), SUM(F212:F213), "")</f>
        <v>0</v>
      </c>
      <c r="H211" s="1846">
        <f t="shared" si="230"/>
        <v>0</v>
      </c>
      <c r="I211" s="1846">
        <f>IF(AND(ISNUMBER(I212), ISNUMBER(I213)), SUM(I212:I213), "")</f>
        <v>0</v>
      </c>
      <c r="J211" s="1846">
        <f>IF(AND(ISNUMBER(J212), ISNUMBER(J213)), SUM(J212:J213), "")</f>
        <v>0</v>
      </c>
      <c r="K211" s="1846">
        <f>IF(AND(ISNUMBER(K212), ISNUMBER(K213)), SUM(K212:K213), "")</f>
        <v>0</v>
      </c>
      <c r="L211" s="1846">
        <f t="shared" si="231"/>
        <v>0</v>
      </c>
      <c r="M211" s="1846">
        <f>IF(AND(ISNUMBER(M212), ISNUMBER(M213)), SUM(M212:M213), "")</f>
        <v>0</v>
      </c>
      <c r="N211" s="1846">
        <f>IF(AND(ISNUMBER(N212), ISNUMBER(N213)), SUM(N212:N213), "")</f>
        <v>0</v>
      </c>
      <c r="O211" s="1846">
        <f>IF(AND(ISNUMBER(O212), ISNUMBER(O213)), SUM(O212:O213), "")</f>
        <v>0</v>
      </c>
      <c r="P211" s="1846">
        <f t="shared" si="232"/>
        <v>0</v>
      </c>
      <c r="R211" s="1846">
        <f>IF(AND(ISNUMBER(R212), ISNUMBER(R213)), SUM(R212:R213), "")</f>
        <v>0</v>
      </c>
      <c r="S211" s="1846">
        <f>IF(AND(ISNUMBER(S212), ISNUMBER(S213)), SUM(S212:S213), "")</f>
        <v>0</v>
      </c>
      <c r="T211" s="1855">
        <f>IF(AND(ISNUMBER(T212), ISNUMBER(T213)), SUM(T212:T213), "")</f>
        <v>0</v>
      </c>
      <c r="U211" s="1126"/>
      <c r="V211" s="1855">
        <f t="shared" si="233"/>
        <v>0</v>
      </c>
      <c r="W211" s="1846" t="str">
        <f>IF(AND(ISNUMBER(W212), ISNUMBER(W213)), SUM(W212:W213), "")</f>
        <v/>
      </c>
      <c r="X211" s="1846" t="str">
        <f>IF(AND(ISNUMBER(X212), ISNUMBER(X213)), SUM(X212:X213), "")</f>
        <v/>
      </c>
      <c r="Y211" s="1846" t="str">
        <f>IF(AND(ISNUMBER(Y212), ISNUMBER(Y213)), SUM(Y212:Y213), "")</f>
        <v/>
      </c>
      <c r="Z211" s="1846" t="str">
        <f t="shared" si="237"/>
        <v/>
      </c>
      <c r="AA211" s="1846" t="str">
        <f>IF(AND(ISNUMBER(AA212), ISNUMBER(AA213)), SUM(AA212:AA213), "")</f>
        <v/>
      </c>
      <c r="AB211" s="1846" t="str">
        <f>IF(AND(ISNUMBER(AB212), ISNUMBER(AB213)), SUM(AB212:AB213), "")</f>
        <v/>
      </c>
      <c r="AC211" s="1846" t="str">
        <f>IF(AND(ISNUMBER(AC212), ISNUMBER(AC213)), SUM(AC212:AC213), "")</f>
        <v/>
      </c>
      <c r="AD211" s="1846" t="str">
        <f t="shared" si="234"/>
        <v/>
      </c>
      <c r="AE211" s="1846" t="str">
        <f>IF(AND(ISNUMBER(AE212), ISNUMBER(AE213)), SUM(AE212:AE213), "")</f>
        <v/>
      </c>
      <c r="AF211" s="1846" t="str">
        <f>IF(AND(ISNUMBER(AF212), ISNUMBER(AF213)), SUM(AF212:AF213), "")</f>
        <v/>
      </c>
      <c r="AG211" s="1856" t="str">
        <f t="shared" si="236"/>
        <v>Missing Input</v>
      </c>
      <c r="AH211" s="1857"/>
      <c r="AI211" s="1857"/>
      <c r="AJ211" s="1857"/>
      <c r="AK211" s="1857"/>
      <c r="AL211" s="1859"/>
    </row>
    <row r="212" spans="1:38" ht="15" customHeight="1" x14ac:dyDescent="0.35">
      <c r="A212" s="1513"/>
      <c r="B212" s="407" t="s">
        <v>2323</v>
      </c>
      <c r="C212" s="1849"/>
      <c r="D212" s="208">
        <v>0</v>
      </c>
      <c r="E212" s="208">
        <v>0</v>
      </c>
      <c r="F212" s="208">
        <v>0</v>
      </c>
      <c r="H212" s="1846">
        <f t="shared" si="230"/>
        <v>0</v>
      </c>
      <c r="I212" s="208">
        <v>0</v>
      </c>
      <c r="J212" s="208">
        <v>0</v>
      </c>
      <c r="K212" s="208">
        <v>0</v>
      </c>
      <c r="L212" s="1846">
        <f t="shared" si="231"/>
        <v>0</v>
      </c>
      <c r="M212" s="2540">
        <v>0</v>
      </c>
      <c r="N212" s="2540">
        <v>0</v>
      </c>
      <c r="O212" s="2540">
        <v>0</v>
      </c>
      <c r="P212" s="1846">
        <f t="shared" si="232"/>
        <v>0</v>
      </c>
      <c r="R212" s="2540">
        <v>0</v>
      </c>
      <c r="S212" s="2540">
        <v>0</v>
      </c>
      <c r="T212" s="2544">
        <v>0</v>
      </c>
      <c r="U212" s="1126"/>
      <c r="V212" s="1855">
        <f t="shared" si="233"/>
        <v>0</v>
      </c>
      <c r="W212" s="208"/>
      <c r="X212" s="208"/>
      <c r="Y212" s="208"/>
      <c r="Z212" s="1846" t="str">
        <f t="shared" si="237"/>
        <v/>
      </c>
      <c r="AA212" s="208"/>
      <c r="AB212" s="208"/>
      <c r="AC212" s="208"/>
      <c r="AD212" s="1846" t="str">
        <f t="shared" si="234"/>
        <v/>
      </c>
      <c r="AE212" s="208"/>
      <c r="AF212" s="208"/>
      <c r="AG212" s="1856" t="str">
        <f t="shared" si="236"/>
        <v>Missing Input</v>
      </c>
      <c r="AH212" s="1856" t="str">
        <f>IFERROR(IF(OR(V212="",Z212=""),"Missing input",IF(AND(_xlfn.NUMBERVALUE(Z212)/_xlfn.NUMBERVALUE(V212)&gt;0.7119,_xlfn.NUMBERVALUE(Z212)/_xlfn.NUMBERVALUE(V212)&lt;0.8119),"Ok","Please check")),"Please check")</f>
        <v>Missing input</v>
      </c>
      <c r="AI212" s="1857"/>
      <c r="AJ212" s="1857"/>
      <c r="AK212" s="1857"/>
      <c r="AL212" s="1859"/>
    </row>
    <row r="213" spans="1:38" ht="15" customHeight="1" x14ac:dyDescent="0.35">
      <c r="A213" s="1513"/>
      <c r="B213" s="407" t="s">
        <v>2324</v>
      </c>
      <c r="C213" s="1849"/>
      <c r="D213" s="208">
        <v>0</v>
      </c>
      <c r="E213" s="208">
        <v>0</v>
      </c>
      <c r="F213" s="208">
        <v>0</v>
      </c>
      <c r="H213" s="1846">
        <f t="shared" si="230"/>
        <v>0</v>
      </c>
      <c r="I213" s="208">
        <v>0</v>
      </c>
      <c r="J213" s="208">
        <v>0</v>
      </c>
      <c r="K213" s="208">
        <v>0</v>
      </c>
      <c r="L213" s="1846">
        <f t="shared" si="231"/>
        <v>0</v>
      </c>
      <c r="M213" s="2540">
        <v>0</v>
      </c>
      <c r="N213" s="2540">
        <v>0</v>
      </c>
      <c r="O213" s="2540">
        <v>0</v>
      </c>
      <c r="P213" s="1846">
        <f t="shared" si="232"/>
        <v>0</v>
      </c>
      <c r="R213" s="2540">
        <v>0</v>
      </c>
      <c r="S213" s="2540">
        <v>0</v>
      </c>
      <c r="T213" s="2544">
        <v>0</v>
      </c>
      <c r="U213" s="1126"/>
      <c r="V213" s="1855">
        <f t="shared" si="233"/>
        <v>0</v>
      </c>
      <c r="W213" s="208"/>
      <c r="X213" s="208"/>
      <c r="Y213" s="208"/>
      <c r="Z213" s="1846" t="str">
        <f t="shared" si="237"/>
        <v/>
      </c>
      <c r="AA213" s="208"/>
      <c r="AB213" s="208"/>
      <c r="AC213" s="208"/>
      <c r="AD213" s="1846" t="str">
        <f t="shared" si="234"/>
        <v/>
      </c>
      <c r="AE213" s="208"/>
      <c r="AF213" s="208"/>
      <c r="AG213" s="1856" t="str">
        <f t="shared" si="236"/>
        <v>Missing Input</v>
      </c>
      <c r="AH213" s="1856" t="str">
        <f>IFERROR(IF(OR(V213="",Z213=""),"Missing input",IF(AND(_xlfn.NUMBERVALUE(Z213)/_xlfn.NUMBERVALUE(V213)&gt;0.7119,_xlfn.NUMBERVALUE(Z213)/_xlfn.NUMBERVALUE(V213)&lt;0.9),"Ok","Please check")),"Please check")</f>
        <v>Missing input</v>
      </c>
      <c r="AI213" s="1857"/>
      <c r="AJ213" s="1857"/>
      <c r="AK213" s="1857"/>
      <c r="AL213" s="1859"/>
    </row>
    <row r="214" spans="1:38" ht="15" customHeight="1" x14ac:dyDescent="0.35">
      <c r="A214" s="1513"/>
      <c r="B214" s="345" t="s">
        <v>2331</v>
      </c>
      <c r="C214" s="1849"/>
      <c r="D214" s="1846">
        <f>IF(ISNUMBER(D122), D122, "")</f>
        <v>0</v>
      </c>
      <c r="E214" s="1846">
        <f>IF(ISNUMBER(E122), E122, "")</f>
        <v>0</v>
      </c>
      <c r="F214" s="1846">
        <f>IF(ISNUMBER(H122), H122, "")</f>
        <v>0</v>
      </c>
      <c r="H214" s="1846">
        <f t="shared" si="230"/>
        <v>0</v>
      </c>
      <c r="I214" s="1846">
        <f>IF(ISNUMBER(J122), J122, "")</f>
        <v>0</v>
      </c>
      <c r="J214" s="1846">
        <f>IF(ISNUMBER(K122), K122, "")</f>
        <v>0</v>
      </c>
      <c r="K214" s="1846">
        <f>IF(ISNUMBER(L122), L122, "")</f>
        <v>0</v>
      </c>
      <c r="L214" s="1846">
        <f t="shared" si="231"/>
        <v>0</v>
      </c>
      <c r="M214" s="1846">
        <f>IF(ISNUMBER(R122), R122, "")</f>
        <v>0</v>
      </c>
      <c r="N214" s="1846">
        <f>IF(ISNUMBER(S122), S122, "")</f>
        <v>0</v>
      </c>
      <c r="O214" s="1846">
        <f>IF(ISNUMBER(V122), V122, "")</f>
        <v>0</v>
      </c>
      <c r="P214" s="1846">
        <f t="shared" si="232"/>
        <v>0</v>
      </c>
      <c r="R214" s="1846">
        <f>IF(ISNUMBER(X122), X122, "")</f>
        <v>0</v>
      </c>
      <c r="S214" s="1846">
        <f>IF(ISNUMBER(Y122), Y122, "")</f>
        <v>0</v>
      </c>
      <c r="T214" s="1855">
        <f>IF(ISNUMBER(Z122), Z122, "")</f>
        <v>0</v>
      </c>
      <c r="U214" s="1126"/>
      <c r="V214" s="1855">
        <f t="shared" si="233"/>
        <v>0</v>
      </c>
      <c r="W214" s="208"/>
      <c r="X214" s="208"/>
      <c r="Y214" s="208"/>
      <c r="Z214" s="1846" t="str">
        <f t="shared" si="237"/>
        <v/>
      </c>
      <c r="AA214" s="1864"/>
      <c r="AB214" s="1864"/>
      <c r="AC214" s="1864"/>
      <c r="AD214" s="1846" t="str">
        <f t="shared" si="234"/>
        <v/>
      </c>
      <c r="AE214" s="1864"/>
      <c r="AF214" s="1864"/>
      <c r="AG214" s="1856" t="str">
        <f>IF(AND(V214&lt;&gt;"",OR(Z214="",Z214=0)),"Missing Input",IF(AND(Z214&gt;0,Z214&lt;&gt;"",V214&gt;0,V214&lt;&gt;"",OR(_xlfn.NUMBERVALUE(V214)&gt;_xlfn.NUMBERVALUE(Z214),_xlfn.NUMBERVALUE(V214)=_xlfn.NUMBERVALUE(Z214))),"Ok","Please check"))</f>
        <v>Missing Input</v>
      </c>
      <c r="AH214" s="1857"/>
      <c r="AI214" s="1856" t="str">
        <f>+IFERROR(IF(AND(ABS(Z214-V214)&gt;ABS(0.95*(Z215-V215)),ABS(Z214-V214)&lt;ABS(1.05*(Z215-V215))),"Ok","Please Check"),"Please Check")</f>
        <v>Please Check</v>
      </c>
      <c r="AJ214" s="1856" t="str">
        <f>IF(OR('General Info'!C19="Yes",'General Info'!D19="Yes"),IF(AND(AC214&gt;0,AC214&lt;&gt;"",AH122&gt;0,AH122&lt;&gt;"",OR(_xlfn.NUMBERVALUE(AC214)&lt;_xlfn.NUMBERVALUE(AH122),_xlfn.NUMBERVALUE(AC214)=_xlfn.NUMBERVALUE(AH122))),"Ok","Please check"),"NA")</f>
        <v>NA</v>
      </c>
      <c r="AK214" s="1856" t="str">
        <f>IF(OR('General Info'!C19="Yes",'General Info'!D19="Yes"),IFERROR(IF(_xlfn.NUMBERVALUE(AC214)/_xlfn.NUMBERVALUE(AH122)&lt;0.7119,"Please check","Ok"),"Please check"),"NA")</f>
        <v>NA</v>
      </c>
      <c r="AL214" s="1858" t="str">
        <f>IF(OR('General Info'!$C$19="Yes",'General Info'!$D$19="Yes"),IFERROR(IF(AND(_xlfn.NUMBERVALUE(AF214)/_xlfn.NUMBERVALUE(AC214)&gt;0.7143,_xlfn.NUMBERVALUE(AF214)/_xlfn.NUMBERVALUE(AC214)&lt;=1),"Ok", "Please check"),"Please check"),"NA")</f>
        <v>NA</v>
      </c>
    </row>
    <row r="215" spans="1:38" ht="15" customHeight="1" x14ac:dyDescent="0.35">
      <c r="A215" s="1513"/>
      <c r="B215" s="219" t="s">
        <v>2322</v>
      </c>
      <c r="C215" s="1849"/>
      <c r="D215" s="1846">
        <f>IF(AND(ISNUMBER(D216), ISNUMBER(D217)), SUM(D216:D217), "")</f>
        <v>0</v>
      </c>
      <c r="E215" s="1846">
        <f>IF(AND(ISNUMBER(E216), ISNUMBER(E217)), SUM(E216:E217), "")</f>
        <v>0</v>
      </c>
      <c r="F215" s="1846">
        <f>IF(AND(ISNUMBER(F216), ISNUMBER(F217)), SUM(F216:F217), "")</f>
        <v>0</v>
      </c>
      <c r="H215" s="1846">
        <f t="shared" si="230"/>
        <v>0</v>
      </c>
      <c r="I215" s="1846">
        <f>IF(AND(ISNUMBER(I216), ISNUMBER(I217)), SUM(I216:I217), "")</f>
        <v>0</v>
      </c>
      <c r="J215" s="1846">
        <f>IF(AND(ISNUMBER(J216), ISNUMBER(J217)), SUM(J216:J217), "")</f>
        <v>0</v>
      </c>
      <c r="K215" s="1846">
        <f>IF(AND(ISNUMBER(K216), ISNUMBER(K217)), SUM(K216:K217), "")</f>
        <v>0</v>
      </c>
      <c r="L215" s="1846">
        <f t="shared" si="231"/>
        <v>0</v>
      </c>
      <c r="M215" s="1846">
        <f>IF(AND(ISNUMBER(M216), ISNUMBER(M217)), SUM(M216:M217), "")</f>
        <v>0</v>
      </c>
      <c r="N215" s="1846">
        <f>IF(AND(ISNUMBER(N216), ISNUMBER(N217)), SUM(N216:N217), "")</f>
        <v>0</v>
      </c>
      <c r="O215" s="1846">
        <f>IF(AND(ISNUMBER(O216), ISNUMBER(O217)), SUM(O216:O217), "")</f>
        <v>0</v>
      </c>
      <c r="P215" s="1846">
        <f t="shared" si="232"/>
        <v>0</v>
      </c>
      <c r="R215" s="1846">
        <f>IF(AND(ISNUMBER(R216), ISNUMBER(R217)), SUM(R216:R217), "")</f>
        <v>0</v>
      </c>
      <c r="S215" s="1846">
        <f>IF(AND(ISNUMBER(S216), ISNUMBER(S217)), SUM(S216:S217), "")</f>
        <v>0</v>
      </c>
      <c r="T215" s="1855">
        <f>IF(AND(ISNUMBER(T216), ISNUMBER(T217)), SUM(T216:T217), "")</f>
        <v>0</v>
      </c>
      <c r="U215" s="1126"/>
      <c r="V215" s="1855">
        <f t="shared" si="233"/>
        <v>0</v>
      </c>
      <c r="W215" s="1846" t="str">
        <f>IF(AND(ISNUMBER(W216), ISNUMBER(W217)), SUM(W216:W217), "")</f>
        <v/>
      </c>
      <c r="X215" s="1846" t="str">
        <f>IF(AND(ISNUMBER(X216), ISNUMBER(X217)), SUM(X216:X217), "")</f>
        <v/>
      </c>
      <c r="Y215" s="1846" t="str">
        <f>IF(AND(ISNUMBER(Y216), ISNUMBER(Y217)), SUM(Y216:Y217), "")</f>
        <v/>
      </c>
      <c r="Z215" s="1846" t="str">
        <f t="shared" si="237"/>
        <v/>
      </c>
      <c r="AA215" s="1846" t="str">
        <f>IF(AND(ISNUMBER(AA216), ISNUMBER(AA217)), SUM(AA216:AA217), "")</f>
        <v/>
      </c>
      <c r="AB215" s="1846" t="str">
        <f>IF(AND(ISNUMBER(AB216), ISNUMBER(AB217)), SUM(AB216:AB217), "")</f>
        <v/>
      </c>
      <c r="AC215" s="1846" t="str">
        <f>IF(AND(ISNUMBER(AC216), ISNUMBER(AC217)), SUM(AC216:AC217), "")</f>
        <v/>
      </c>
      <c r="AD215" s="1846" t="str">
        <f t="shared" si="234"/>
        <v/>
      </c>
      <c r="AE215" s="1846" t="str">
        <f>IF(AND(ISNUMBER(AE216), ISNUMBER(AE217)), SUM(AE216:AE217), "")</f>
        <v/>
      </c>
      <c r="AF215" s="1846" t="str">
        <f>IF(AND(ISNUMBER(AF216), ISNUMBER(AF217)), SUM(AF216:AF217), "")</f>
        <v/>
      </c>
      <c r="AG215" s="1856" t="str">
        <f t="shared" si="236"/>
        <v>Missing Input</v>
      </c>
      <c r="AH215" s="1857"/>
      <c r="AI215" s="1857"/>
      <c r="AJ215" s="1857"/>
      <c r="AK215" s="1857"/>
      <c r="AL215" s="1859"/>
    </row>
    <row r="216" spans="1:38" ht="15" customHeight="1" x14ac:dyDescent="0.35">
      <c r="A216" s="1513"/>
      <c r="B216" s="407" t="s">
        <v>2323</v>
      </c>
      <c r="C216" s="1849"/>
      <c r="D216" s="2540">
        <v>0</v>
      </c>
      <c r="E216" s="2540">
        <v>0</v>
      </c>
      <c r="F216" s="2540">
        <v>0</v>
      </c>
      <c r="H216" s="1846">
        <f t="shared" si="230"/>
        <v>0</v>
      </c>
      <c r="I216" s="208">
        <v>0</v>
      </c>
      <c r="J216" s="208">
        <v>0</v>
      </c>
      <c r="K216" s="208">
        <v>0</v>
      </c>
      <c r="L216" s="1846">
        <f t="shared" si="231"/>
        <v>0</v>
      </c>
      <c r="M216" s="2540">
        <v>0</v>
      </c>
      <c r="N216" s="2540">
        <v>0</v>
      </c>
      <c r="O216" s="2540">
        <v>0</v>
      </c>
      <c r="P216" s="1846">
        <f t="shared" si="232"/>
        <v>0</v>
      </c>
      <c r="R216" s="2540">
        <v>0</v>
      </c>
      <c r="S216" s="2540">
        <v>0</v>
      </c>
      <c r="T216" s="2544">
        <v>0</v>
      </c>
      <c r="U216" s="1126"/>
      <c r="V216" s="1855">
        <f t="shared" si="233"/>
        <v>0</v>
      </c>
      <c r="W216" s="208"/>
      <c r="X216" s="208"/>
      <c r="Y216" s="208"/>
      <c r="Z216" s="1846" t="str">
        <f t="shared" si="237"/>
        <v/>
      </c>
      <c r="AA216" s="208"/>
      <c r="AB216" s="208"/>
      <c r="AC216" s="208"/>
      <c r="AD216" s="1846" t="str">
        <f t="shared" si="234"/>
        <v/>
      </c>
      <c r="AE216" s="208"/>
      <c r="AF216" s="208"/>
      <c r="AG216" s="1856" t="str">
        <f t="shared" si="236"/>
        <v>Missing Input</v>
      </c>
      <c r="AH216" s="1856" t="str">
        <f>IFERROR(IF(OR(V216="",Z216=""),"Missing input",IF(AND(_xlfn.NUMBERVALUE(Z216)/_xlfn.NUMBERVALUE(V216)&gt;0.7119,_xlfn.NUMBERVALUE(Z216)/_xlfn.NUMBERVALUE(V216)&lt;0.8119),"Ok","Please check")),"Please check")</f>
        <v>Missing input</v>
      </c>
      <c r="AI216" s="1857"/>
      <c r="AJ216" s="1857"/>
      <c r="AK216" s="1857"/>
      <c r="AL216" s="1859"/>
    </row>
    <row r="217" spans="1:38" ht="15" customHeight="1" x14ac:dyDescent="0.35">
      <c r="A217" s="1513"/>
      <c r="B217" s="407" t="s">
        <v>2324</v>
      </c>
      <c r="C217" s="1849"/>
      <c r="D217" s="2540">
        <v>0</v>
      </c>
      <c r="E217" s="2540">
        <v>0</v>
      </c>
      <c r="F217" s="2540">
        <v>0</v>
      </c>
      <c r="H217" s="1846">
        <f t="shared" si="230"/>
        <v>0</v>
      </c>
      <c r="I217" s="208">
        <v>0</v>
      </c>
      <c r="J217" s="208">
        <v>0</v>
      </c>
      <c r="K217" s="208">
        <v>0</v>
      </c>
      <c r="L217" s="1846">
        <f t="shared" si="231"/>
        <v>0</v>
      </c>
      <c r="M217" s="2540">
        <v>0</v>
      </c>
      <c r="N217" s="2540">
        <v>0</v>
      </c>
      <c r="O217" s="2540">
        <v>0</v>
      </c>
      <c r="P217" s="1846">
        <f t="shared" si="232"/>
        <v>0</v>
      </c>
      <c r="R217" s="2540">
        <v>0</v>
      </c>
      <c r="S217" s="2540">
        <v>0</v>
      </c>
      <c r="T217" s="2544">
        <v>0</v>
      </c>
      <c r="U217" s="1126"/>
      <c r="V217" s="1855">
        <f t="shared" si="233"/>
        <v>0</v>
      </c>
      <c r="W217" s="208"/>
      <c r="X217" s="208"/>
      <c r="Y217" s="208"/>
      <c r="Z217" s="1846" t="str">
        <f t="shared" si="237"/>
        <v/>
      </c>
      <c r="AA217" s="208"/>
      <c r="AB217" s="208"/>
      <c r="AC217" s="208"/>
      <c r="AD217" s="1846" t="str">
        <f t="shared" si="234"/>
        <v/>
      </c>
      <c r="AE217" s="208"/>
      <c r="AF217" s="208"/>
      <c r="AG217" s="1856" t="str">
        <f t="shared" si="236"/>
        <v>Missing Input</v>
      </c>
      <c r="AH217" s="1856" t="str">
        <f>IFERROR(IF(OR(V217="",Z217=""),"Missing input",IF(AND(_xlfn.NUMBERVALUE(Z217)/_xlfn.NUMBERVALUE(V217)&gt;0.7119,_xlfn.NUMBERVALUE(Z217)/_xlfn.NUMBERVALUE(V217)&lt;0.9),"Ok","Please check")),"Please check")</f>
        <v>Missing input</v>
      </c>
      <c r="AI217" s="1857"/>
      <c r="AJ217" s="1857"/>
      <c r="AK217" s="1857"/>
      <c r="AL217" s="1859"/>
    </row>
    <row r="218" spans="1:38" ht="15" customHeight="1" x14ac:dyDescent="0.35">
      <c r="A218" s="1513"/>
      <c r="B218" s="345" t="s">
        <v>2332</v>
      </c>
      <c r="C218" s="1849"/>
      <c r="D218" s="1846">
        <f>IF(ISNUMBER(D130), D130, "")</f>
        <v>0</v>
      </c>
      <c r="E218" s="1846">
        <f>IF(ISNUMBER(E130), E130, "")</f>
        <v>0</v>
      </c>
      <c r="F218" s="1846">
        <f>IF(ISNUMBER(H130), H130, "")</f>
        <v>0</v>
      </c>
      <c r="H218" s="1846">
        <f t="shared" si="230"/>
        <v>0</v>
      </c>
      <c r="I218" s="1846">
        <f>IF(ISNUMBER(J130), J130, "")</f>
        <v>0</v>
      </c>
      <c r="J218" s="1846">
        <f>IF(ISNUMBER(K130), K130, "")</f>
        <v>0</v>
      </c>
      <c r="K218" s="1846">
        <f>IF(ISNUMBER(L130), L130, "")</f>
        <v>0</v>
      </c>
      <c r="L218" s="1846">
        <f t="shared" si="231"/>
        <v>0</v>
      </c>
      <c r="M218" s="1846">
        <f>IF(ISNUMBER(R130), R130, "")</f>
        <v>0</v>
      </c>
      <c r="N218" s="1846">
        <f>IF(ISNUMBER(S130), S130, "")</f>
        <v>0</v>
      </c>
      <c r="O218" s="1846">
        <f>IF(ISNUMBER(V130), V130, "")</f>
        <v>0</v>
      </c>
      <c r="P218" s="1846">
        <f t="shared" si="232"/>
        <v>0</v>
      </c>
      <c r="R218" s="1846">
        <f>IF(ISNUMBER(X130), X130, "")</f>
        <v>0</v>
      </c>
      <c r="S218" s="1846">
        <f>IF(ISNUMBER(Y130), Y130, "")</f>
        <v>0</v>
      </c>
      <c r="T218" s="1855">
        <f>IF(ISNUMBER(Z130), Z130, "")</f>
        <v>0</v>
      </c>
      <c r="U218" s="1126"/>
      <c r="V218" s="1855">
        <f t="shared" si="233"/>
        <v>0</v>
      </c>
      <c r="W218" s="208"/>
      <c r="X218" s="208"/>
      <c r="Y218" s="208"/>
      <c r="Z218" s="1846" t="str">
        <f t="shared" si="237"/>
        <v/>
      </c>
      <c r="AA218" s="1864"/>
      <c r="AB218" s="1864"/>
      <c r="AC218" s="1864"/>
      <c r="AD218" s="1846" t="str">
        <f t="shared" si="234"/>
        <v/>
      </c>
      <c r="AE218" s="1864"/>
      <c r="AF218" s="1864"/>
      <c r="AG218" s="1856" t="str">
        <f>IF(AND(V218&lt;&gt;"",OR(Z218="",Z218=0)),"Missing Input",IF(AND(Z218&gt;0,Z218&lt;&gt;"",V218&gt;0,V218&lt;&gt;"",OR(_xlfn.NUMBERVALUE(V218)&gt;_xlfn.NUMBERVALUE(Z218),_xlfn.NUMBERVALUE(V218)=_xlfn.NUMBERVALUE(Z218))),"Ok","Please check"))</f>
        <v>Missing Input</v>
      </c>
      <c r="AH218" s="1857"/>
      <c r="AI218" s="1856" t="str">
        <f>+IFERROR(IF(AND(ABS(Z218-V218)&gt;ABS(0.95*(Z219-V219)),ABS(Z218-V218)&lt;ABS(1.05*(Z219-V219))),"Ok","Please Check"),"Please Check")</f>
        <v>Please Check</v>
      </c>
      <c r="AJ218" s="1856" t="str">
        <f>IF(OR('General Info'!C19="Yes",'General Info'!D19="Yes"),IF(AND(AC218&gt;0,AC218&lt;&gt;"",AH130&gt;0,AH130&lt;&gt;"",OR(_xlfn.NUMBERVALUE(AC218)&lt;_xlfn.NUMBERVALUE(AH130),_xlfn.NUMBERVALUE(AC218)=_xlfn.NUMBERVALUE(AH130))),"Ok","Please check"),"NA")</f>
        <v>NA</v>
      </c>
      <c r="AK218" s="1856" t="str">
        <f>IF(OR('General Info'!C19="Yes",'General Info'!D19="Yes"),IFERROR(IF(_xlfn.NUMBERVALUE(AC218)/_xlfn.NUMBERVALUE(AH130)&lt;0.7119,"Please check","Ok"),"Please check"),"NA")</f>
        <v>NA</v>
      </c>
      <c r="AL218" s="1858" t="str">
        <f>IF(OR('General Info'!$C$19="Yes",'General Info'!$D$19="Yes"),IFERROR(IF(AND(_xlfn.NUMBERVALUE(AF218)/_xlfn.NUMBERVALUE(AC218)&gt;0.7143,_xlfn.NUMBERVALUE(AF218)/_xlfn.NUMBERVALUE(AC218)&lt;=1),"Ok", "Please check"),"Please check"),"NA")</f>
        <v>NA</v>
      </c>
    </row>
    <row r="219" spans="1:38" ht="15" customHeight="1" x14ac:dyDescent="0.35">
      <c r="A219" s="1513"/>
      <c r="B219" s="219" t="s">
        <v>2322</v>
      </c>
      <c r="C219" s="1849"/>
      <c r="D219" s="1846">
        <f>IF(AND(ISNUMBER(D220), ISNUMBER(D221)), SUM(D220:D221), "")</f>
        <v>0</v>
      </c>
      <c r="E219" s="1846">
        <f>IF(AND(ISNUMBER(E220), ISNUMBER(E221)), SUM(E220:E221), "")</f>
        <v>0</v>
      </c>
      <c r="F219" s="1846">
        <f>IF(AND(ISNUMBER(F220), ISNUMBER(F221)), SUM(F220:F221), "")</f>
        <v>0</v>
      </c>
      <c r="H219" s="1846">
        <f t="shared" si="230"/>
        <v>0</v>
      </c>
      <c r="I219" s="1846">
        <f>IF(AND(ISNUMBER(I220), ISNUMBER(I221)), SUM(I220:I221), "")</f>
        <v>0</v>
      </c>
      <c r="J219" s="1846">
        <f>IF(AND(ISNUMBER(J220), ISNUMBER(J221)), SUM(J220:J221), "")</f>
        <v>0</v>
      </c>
      <c r="K219" s="1846">
        <f>IF(AND(ISNUMBER(K220), ISNUMBER(K221)), SUM(K220:K221), "")</f>
        <v>0</v>
      </c>
      <c r="L219" s="1846">
        <f t="shared" si="231"/>
        <v>0</v>
      </c>
      <c r="M219" s="1846">
        <f>IF(AND(ISNUMBER(M220), ISNUMBER(M221)), SUM(M220:M221), "")</f>
        <v>0</v>
      </c>
      <c r="N219" s="1846">
        <f>IF(AND(ISNUMBER(N220), ISNUMBER(N221)), SUM(N220:N221), "")</f>
        <v>0</v>
      </c>
      <c r="O219" s="1846">
        <f>IF(AND(ISNUMBER(O220), ISNUMBER(O221)), SUM(O220:O221), "")</f>
        <v>0</v>
      </c>
      <c r="P219" s="1846">
        <f t="shared" si="232"/>
        <v>0</v>
      </c>
      <c r="R219" s="1846">
        <f>IF(AND(ISNUMBER(R220), ISNUMBER(R221)), SUM(R220:R221), "")</f>
        <v>0</v>
      </c>
      <c r="S219" s="1846">
        <f>IF(AND(ISNUMBER(S220), ISNUMBER(S221)), SUM(S220:S221), "")</f>
        <v>0</v>
      </c>
      <c r="T219" s="1855">
        <f>IF(AND(ISNUMBER(T220), ISNUMBER(T221)), SUM(T220:T221), "")</f>
        <v>0</v>
      </c>
      <c r="U219" s="1126"/>
      <c r="V219" s="1855">
        <f t="shared" si="233"/>
        <v>0</v>
      </c>
      <c r="W219" s="1846" t="str">
        <f>IF(AND(ISNUMBER(W220), ISNUMBER(W221)), SUM(W220:W221), "")</f>
        <v/>
      </c>
      <c r="X219" s="1846" t="str">
        <f>IF(AND(ISNUMBER(X220), ISNUMBER(X221)), SUM(X220:X221), "")</f>
        <v/>
      </c>
      <c r="Y219" s="1846" t="str">
        <f>IF(AND(ISNUMBER(Y220), ISNUMBER(Y221)), SUM(Y220:Y221), "")</f>
        <v/>
      </c>
      <c r="Z219" s="1846" t="str">
        <f>IF(AND(ISNUMBER(W219),ISNUMBER(X219),ISNUMBER(Y219)),SUM(W219:Y219),"")</f>
        <v/>
      </c>
      <c r="AA219" s="1846" t="str">
        <f>IF(AND(ISNUMBER(AA220), ISNUMBER(AA221)), SUM(AA220:AA221), "")</f>
        <v/>
      </c>
      <c r="AB219" s="1846" t="str">
        <f>IF(AND(ISNUMBER(AB220), ISNUMBER(AB221)), SUM(AB220:AB221), "")</f>
        <v/>
      </c>
      <c r="AC219" s="1846" t="str">
        <f>IF(AND(ISNUMBER(AC220), ISNUMBER(AC221)), SUM(AC220:AC221), "")</f>
        <v/>
      </c>
      <c r="AD219" s="1846" t="str">
        <f t="shared" si="234"/>
        <v/>
      </c>
      <c r="AE219" s="1846" t="str">
        <f>IF(AND(ISNUMBER(AE220), ISNUMBER(AE221)), SUM(AE220:AE221), "")</f>
        <v/>
      </c>
      <c r="AF219" s="1846" t="str">
        <f>IF(AND(ISNUMBER(AF220), ISNUMBER(AF221)), SUM(AF220:AF221), "")</f>
        <v/>
      </c>
      <c r="AG219" s="1856" t="str">
        <f t="shared" si="236"/>
        <v>Missing Input</v>
      </c>
      <c r="AH219" s="1857"/>
      <c r="AI219" s="1857"/>
      <c r="AJ219" s="1857"/>
      <c r="AK219" s="1857"/>
      <c r="AL219" s="1859"/>
    </row>
    <row r="220" spans="1:38" ht="15" customHeight="1" x14ac:dyDescent="0.35">
      <c r="A220" s="1513"/>
      <c r="B220" s="407" t="s">
        <v>2323</v>
      </c>
      <c r="C220" s="1849"/>
      <c r="D220" s="2540">
        <v>0</v>
      </c>
      <c r="E220" s="2540">
        <v>0</v>
      </c>
      <c r="F220" s="2540">
        <v>0</v>
      </c>
      <c r="H220" s="1846">
        <f t="shared" si="230"/>
        <v>0</v>
      </c>
      <c r="I220" s="208">
        <v>0</v>
      </c>
      <c r="J220" s="208">
        <v>0</v>
      </c>
      <c r="K220" s="208">
        <v>0</v>
      </c>
      <c r="L220" s="1846">
        <f t="shared" si="231"/>
        <v>0</v>
      </c>
      <c r="M220" s="2540">
        <v>0</v>
      </c>
      <c r="N220" s="2540">
        <v>0</v>
      </c>
      <c r="O220" s="2540">
        <v>0</v>
      </c>
      <c r="P220" s="1846">
        <f t="shared" si="232"/>
        <v>0</v>
      </c>
      <c r="R220" s="2540">
        <v>0</v>
      </c>
      <c r="S220" s="2540">
        <v>0</v>
      </c>
      <c r="T220" s="2544">
        <v>0</v>
      </c>
      <c r="U220" s="1126"/>
      <c r="V220" s="1855">
        <f t="shared" si="233"/>
        <v>0</v>
      </c>
      <c r="W220" s="208"/>
      <c r="X220" s="208"/>
      <c r="Y220" s="208"/>
      <c r="Z220" s="1846" t="str">
        <f t="shared" si="237"/>
        <v/>
      </c>
      <c r="AA220" s="208"/>
      <c r="AB220" s="208"/>
      <c r="AC220" s="208"/>
      <c r="AD220" s="1846" t="str">
        <f t="shared" si="234"/>
        <v/>
      </c>
      <c r="AE220" s="208"/>
      <c r="AF220" s="208"/>
      <c r="AG220" s="1856" t="str">
        <f t="shared" si="236"/>
        <v>Missing Input</v>
      </c>
      <c r="AH220" s="1856" t="str">
        <f>IFERROR(IF(OR(V220="",Z220=""),"Missing input",IF(AND(_xlfn.NUMBERVALUE(Z220)/_xlfn.NUMBERVALUE(V220)&gt;0.7119,_xlfn.NUMBERVALUE(Z220)/_xlfn.NUMBERVALUE(V220)&lt;0.8119),"Ok","Please check")),"Please check")</f>
        <v>Missing input</v>
      </c>
      <c r="AI220" s="1857"/>
      <c r="AJ220" s="1857"/>
      <c r="AK220" s="1857"/>
      <c r="AL220" s="1859"/>
    </row>
    <row r="221" spans="1:38" ht="15" customHeight="1" x14ac:dyDescent="0.35">
      <c r="A221" s="1513"/>
      <c r="B221" s="407" t="s">
        <v>2324</v>
      </c>
      <c r="C221" s="1849"/>
      <c r="D221" s="2540">
        <v>0</v>
      </c>
      <c r="E221" s="2540">
        <v>0</v>
      </c>
      <c r="F221" s="2540">
        <v>0</v>
      </c>
      <c r="H221" s="1846">
        <f t="shared" si="230"/>
        <v>0</v>
      </c>
      <c r="I221" s="208">
        <v>0</v>
      </c>
      <c r="J221" s="208">
        <v>0</v>
      </c>
      <c r="K221" s="208">
        <v>0</v>
      </c>
      <c r="L221" s="1846">
        <f t="shared" si="231"/>
        <v>0</v>
      </c>
      <c r="M221" s="2540">
        <v>0</v>
      </c>
      <c r="N221" s="2540">
        <v>0</v>
      </c>
      <c r="O221" s="2540">
        <v>0</v>
      </c>
      <c r="P221" s="1846">
        <f t="shared" si="232"/>
        <v>0</v>
      </c>
      <c r="R221" s="2540">
        <v>0</v>
      </c>
      <c r="S221" s="2540">
        <v>0</v>
      </c>
      <c r="T221" s="2544">
        <v>0</v>
      </c>
      <c r="U221" s="1126"/>
      <c r="V221" s="1855">
        <f t="shared" si="233"/>
        <v>0</v>
      </c>
      <c r="W221" s="208"/>
      <c r="X221" s="208"/>
      <c r="Y221" s="208"/>
      <c r="Z221" s="1846" t="str">
        <f>IF(AND(ISNUMBER(W221),ISNUMBER(X221),ISNUMBER(Y221)),SUM(W221:Y221),"")</f>
        <v/>
      </c>
      <c r="AA221" s="208"/>
      <c r="AB221" s="208"/>
      <c r="AC221" s="208"/>
      <c r="AD221" s="1846" t="str">
        <f t="shared" si="234"/>
        <v/>
      </c>
      <c r="AE221" s="208"/>
      <c r="AF221" s="208"/>
      <c r="AG221" s="1856" t="str">
        <f t="shared" si="236"/>
        <v>Missing Input</v>
      </c>
      <c r="AH221" s="1856" t="str">
        <f>IFERROR(IF(OR(V221="",Z221=""),"Missing input",IF(AND(_xlfn.NUMBERVALUE(Z221)/_xlfn.NUMBERVALUE(V221)&gt;0.7119,_xlfn.NUMBERVALUE(Z221)/_xlfn.NUMBERVALUE(V221)&lt;0.9),"Ok","Please check")),"Please check")</f>
        <v>Missing input</v>
      </c>
      <c r="AI221" s="1857"/>
      <c r="AJ221" s="1857"/>
      <c r="AK221" s="1857"/>
      <c r="AL221" s="1859"/>
    </row>
    <row r="222" spans="1:38" ht="15" customHeight="1" x14ac:dyDescent="0.35">
      <c r="A222" s="1513"/>
      <c r="B222" s="345" t="s">
        <v>2333</v>
      </c>
      <c r="C222" s="1849"/>
      <c r="D222" s="1846">
        <f>IF(ISNUMBER(D135), D135, "")</f>
        <v>0</v>
      </c>
      <c r="E222" s="1846">
        <f>IF(ISNUMBER(E135), E135, "")</f>
        <v>0</v>
      </c>
      <c r="F222" s="1846">
        <f>IF(ISNUMBER(H135), H135, "")</f>
        <v>0</v>
      </c>
      <c r="H222" s="1846">
        <f t="shared" si="230"/>
        <v>0</v>
      </c>
      <c r="I222" s="1846">
        <f>IF(ISNUMBER(J135), J135, "")</f>
        <v>0</v>
      </c>
      <c r="J222" s="1846">
        <f>IF(ISNUMBER(K135), K135, "")</f>
        <v>0</v>
      </c>
      <c r="K222" s="1846">
        <f>IF(ISNUMBER(L135), L135, "")</f>
        <v>0</v>
      </c>
      <c r="L222" s="1846">
        <f t="shared" si="231"/>
        <v>0</v>
      </c>
      <c r="M222" s="1846">
        <f>IF(ISNUMBER(R135), R135, "")</f>
        <v>0</v>
      </c>
      <c r="N222" s="1846">
        <f>IF(ISNUMBER(S135), S135, "")</f>
        <v>0</v>
      </c>
      <c r="O222" s="1846">
        <f>IF(ISNUMBER(V135), V135, "")</f>
        <v>0</v>
      </c>
      <c r="P222" s="1846">
        <f t="shared" si="232"/>
        <v>0</v>
      </c>
      <c r="R222" s="1846">
        <f>IF(ISNUMBER(X135), X135, "")</f>
        <v>0</v>
      </c>
      <c r="S222" s="1846">
        <f>IF(ISNUMBER(Y135), Y135, "")</f>
        <v>0</v>
      </c>
      <c r="T222" s="1855">
        <f>IF(ISNUMBER(Z135), Z135, "")</f>
        <v>0</v>
      </c>
      <c r="U222" s="1126"/>
      <c r="V222" s="1855">
        <f t="shared" si="233"/>
        <v>0</v>
      </c>
      <c r="W222" s="208"/>
      <c r="X222" s="208"/>
      <c r="Y222" s="208"/>
      <c r="Z222" s="1846" t="str">
        <f t="shared" si="237"/>
        <v/>
      </c>
      <c r="AA222" s="1864"/>
      <c r="AB222" s="1864"/>
      <c r="AC222" s="1864"/>
      <c r="AD222" s="1846" t="str">
        <f t="shared" si="234"/>
        <v/>
      </c>
      <c r="AE222" s="1864"/>
      <c r="AF222" s="1864"/>
      <c r="AG222" s="1856" t="str">
        <f>IF(AND(V222&lt;&gt;"",OR(Z222="",Z222=0)),"Missing Input",IF(AND(Z222&gt;0,Z222&lt;&gt;"",V222&gt;0,V222&lt;&gt;"",OR(_xlfn.NUMBERVALUE(V222)&gt;_xlfn.NUMBERVALUE(Z222),_xlfn.NUMBERVALUE(V222)=_xlfn.NUMBERVALUE(Z222))),"Ok","Please check"))</f>
        <v>Missing Input</v>
      </c>
      <c r="AH222" s="1857"/>
      <c r="AI222" s="1856" t="str">
        <f>+IFERROR(IF(AND(ABS(Z222-V222)&gt;ABS(0.95*(Z223-V223)),ABS(Z222-V222)&lt;ABS(1.05*(Z223-V223))),"Ok","Please Check"),"Please Check")</f>
        <v>Please Check</v>
      </c>
      <c r="AJ222" s="1856" t="str">
        <f>IF(OR('General Info'!C19="Yes",'General Info'!D19="Yes"),IF(AND(AC222&gt;0,AC222&lt;&gt;"",AH135&gt;0,AH135&lt;&gt;"",OR(_xlfn.NUMBERVALUE(AC222)&lt;_xlfn.NUMBERVALUE(AH135),_xlfn.NUMBERVALUE(AC222)=_xlfn.NUMBERVALUE(AH135))),"Ok","Please check"),"NA")</f>
        <v>NA</v>
      </c>
      <c r="AK222" s="1856" t="str">
        <f>IF(OR('General Info'!$C$19="Yes",'General Info'!$D$19="Yes"),IFERROR(IF(_xlfn.NUMBERVALUE(AC222)/_xlfn.NUMBERVALUE(AH135)&lt;0.7119,"Please check","Ok"),"Please check"),"NA")</f>
        <v>NA</v>
      </c>
      <c r="AL222" s="1858" t="str">
        <f>IF(OR('General Info'!$C$19="Yes",'General Info'!$D$19="Yes"),IFERROR(IF(AND(_xlfn.NUMBERVALUE(AF222)/_xlfn.NUMBERVALUE(AC222)&gt;0.7143,_xlfn.NUMBERVALUE(AF222)/_xlfn.NUMBERVALUE(AC222)&lt;=1),"Ok", "Please check"),"Please check"),"NA")</f>
        <v>NA</v>
      </c>
    </row>
    <row r="223" spans="1:38" ht="15" customHeight="1" x14ac:dyDescent="0.35">
      <c r="A223" s="1513"/>
      <c r="B223" s="219" t="s">
        <v>2322</v>
      </c>
      <c r="C223" s="1849"/>
      <c r="D223" s="1846">
        <f>IF(AND(ISNUMBER(D224), ISNUMBER(D225)), SUM(D224:D225), "")</f>
        <v>0</v>
      </c>
      <c r="E223" s="1846">
        <f>IF(AND(ISNUMBER(E224), ISNUMBER(E225)), SUM(E224:E225), "")</f>
        <v>0</v>
      </c>
      <c r="F223" s="1846">
        <f>IF(AND(ISNUMBER(F224), ISNUMBER(F225)), SUM(F224:F225), "")</f>
        <v>0</v>
      </c>
      <c r="H223" s="1846">
        <f t="shared" si="230"/>
        <v>0</v>
      </c>
      <c r="I223" s="1846">
        <f>IF(AND(ISNUMBER(I224), ISNUMBER(I225)), SUM(I224:I225), "")</f>
        <v>0</v>
      </c>
      <c r="J223" s="1846">
        <f>IF(AND(ISNUMBER(J224), ISNUMBER(J225)), SUM(J224:J225), "")</f>
        <v>0</v>
      </c>
      <c r="K223" s="1846">
        <f>IF(AND(ISNUMBER(K224), ISNUMBER(K225)), SUM(K224:K225), "")</f>
        <v>0</v>
      </c>
      <c r="L223" s="1846">
        <f t="shared" si="231"/>
        <v>0</v>
      </c>
      <c r="M223" s="1846">
        <f>IF(AND(ISNUMBER(M224), ISNUMBER(M225)), SUM(M224:M225), "")</f>
        <v>0</v>
      </c>
      <c r="N223" s="1846">
        <f>IF(AND(ISNUMBER(N224), ISNUMBER(N225)), SUM(N224:N225), "")</f>
        <v>0</v>
      </c>
      <c r="O223" s="1846">
        <f>IF(AND(ISNUMBER(O224), ISNUMBER(O225)), SUM(O224:O225), "")</f>
        <v>0</v>
      </c>
      <c r="P223" s="1846">
        <f t="shared" si="232"/>
        <v>0</v>
      </c>
      <c r="R223" s="1846">
        <f>IF(AND(ISNUMBER(R224), ISNUMBER(R225)), SUM(R224:R225), "")</f>
        <v>0</v>
      </c>
      <c r="S223" s="1846">
        <f>IF(AND(ISNUMBER(S224), ISNUMBER(S225)), SUM(S224:S225), "")</f>
        <v>0</v>
      </c>
      <c r="T223" s="1855">
        <f>IF(AND(ISNUMBER(T224), ISNUMBER(T225)), SUM(T224:T225), "")</f>
        <v>0</v>
      </c>
      <c r="U223" s="1126"/>
      <c r="V223" s="1855">
        <f t="shared" si="233"/>
        <v>0</v>
      </c>
      <c r="W223" s="1846" t="str">
        <f>IF(AND(ISNUMBER(W224), ISNUMBER(W225)), SUM(W224:W225), "")</f>
        <v/>
      </c>
      <c r="X223" s="1846" t="str">
        <f>IF(AND(ISNUMBER(X224), ISNUMBER(X225)), SUM(X224:X225), "")</f>
        <v/>
      </c>
      <c r="Y223" s="1846" t="str">
        <f>IF(AND(ISNUMBER(Y224), ISNUMBER(Y225)), SUM(Y224:Y225), "")</f>
        <v/>
      </c>
      <c r="Z223" s="1846" t="str">
        <f t="shared" si="237"/>
        <v/>
      </c>
      <c r="AA223" s="1846" t="str">
        <f>IF(AND(ISNUMBER(AA224), ISNUMBER(AA225)), SUM(AA224:AA225), "")</f>
        <v/>
      </c>
      <c r="AB223" s="1846" t="str">
        <f>IF(AND(ISNUMBER(AB224), ISNUMBER(AB225)), SUM(AB224:AB225), "")</f>
        <v/>
      </c>
      <c r="AC223" s="1846" t="str">
        <f>IF(AND(ISNUMBER(AC224), ISNUMBER(AC225)), SUM(AC224:AC225), "")</f>
        <v/>
      </c>
      <c r="AD223" s="1846" t="str">
        <f t="shared" si="234"/>
        <v/>
      </c>
      <c r="AE223" s="1846" t="str">
        <f>IF(AND(ISNUMBER(AE224), ISNUMBER(AE225)), SUM(AE224:AE225), "")</f>
        <v/>
      </c>
      <c r="AF223" s="1846" t="str">
        <f>IF(AND(ISNUMBER(AF224), ISNUMBER(AF225)), SUM(AF224:AF225), "")</f>
        <v/>
      </c>
      <c r="AG223" s="1856" t="str">
        <f t="shared" si="236"/>
        <v>Missing Input</v>
      </c>
      <c r="AH223" s="1857"/>
      <c r="AI223" s="1857"/>
      <c r="AJ223" s="1857"/>
      <c r="AK223" s="1857"/>
      <c r="AL223" s="1859"/>
    </row>
    <row r="224" spans="1:38" ht="15" customHeight="1" x14ac:dyDescent="0.35">
      <c r="A224" s="1513"/>
      <c r="B224" s="407" t="s">
        <v>2323</v>
      </c>
      <c r="C224" s="1849"/>
      <c r="D224" s="2540">
        <v>0</v>
      </c>
      <c r="E224" s="2540">
        <v>0</v>
      </c>
      <c r="F224" s="2540">
        <v>0</v>
      </c>
      <c r="H224" s="1846">
        <f t="shared" si="230"/>
        <v>0</v>
      </c>
      <c r="I224" s="208">
        <v>0</v>
      </c>
      <c r="J224" s="208">
        <v>0</v>
      </c>
      <c r="K224" s="208">
        <v>0</v>
      </c>
      <c r="L224" s="1846">
        <f t="shared" si="231"/>
        <v>0</v>
      </c>
      <c r="M224" s="2540">
        <v>0</v>
      </c>
      <c r="N224" s="2540">
        <v>0</v>
      </c>
      <c r="O224" s="2540">
        <v>0</v>
      </c>
      <c r="P224" s="1846">
        <f t="shared" si="232"/>
        <v>0</v>
      </c>
      <c r="R224" s="2540">
        <v>0</v>
      </c>
      <c r="S224" s="2540">
        <v>0</v>
      </c>
      <c r="T224" s="2544">
        <v>0</v>
      </c>
      <c r="U224" s="1126"/>
      <c r="V224" s="1855">
        <f t="shared" si="233"/>
        <v>0</v>
      </c>
      <c r="W224" s="208"/>
      <c r="X224" s="208"/>
      <c r="Y224" s="208"/>
      <c r="Z224" s="1846" t="str">
        <f t="shared" si="237"/>
        <v/>
      </c>
      <c r="AA224" s="208"/>
      <c r="AB224" s="208"/>
      <c r="AC224" s="208"/>
      <c r="AD224" s="1846" t="str">
        <f t="shared" si="234"/>
        <v/>
      </c>
      <c r="AE224" s="208"/>
      <c r="AF224" s="208"/>
      <c r="AG224" s="1856" t="str">
        <f t="shared" si="236"/>
        <v>Missing Input</v>
      </c>
      <c r="AH224" s="1856" t="str">
        <f>IFERROR(IF(OR(V224="",Z224=""),"Missing input",IF(AND(_xlfn.NUMBERVALUE(Z224)/_xlfn.NUMBERVALUE(V224)&gt;0.7119,_xlfn.NUMBERVALUE(Z224)/_xlfn.NUMBERVALUE(V224)&lt;0.8119),"Ok","Please check")),"Please check")</f>
        <v>Missing input</v>
      </c>
      <c r="AI224" s="1857"/>
      <c r="AJ224" s="1857"/>
      <c r="AK224" s="1857"/>
      <c r="AL224" s="1859"/>
    </row>
    <row r="225" spans="1:38" ht="15" customHeight="1" x14ac:dyDescent="0.35">
      <c r="A225" s="1513"/>
      <c r="B225" s="407" t="s">
        <v>2324</v>
      </c>
      <c r="C225" s="1849"/>
      <c r="D225" s="2540">
        <v>0</v>
      </c>
      <c r="E225" s="2540">
        <v>0</v>
      </c>
      <c r="F225" s="2540">
        <v>0</v>
      </c>
      <c r="H225" s="1846">
        <f t="shared" si="230"/>
        <v>0</v>
      </c>
      <c r="I225" s="208">
        <v>0</v>
      </c>
      <c r="J225" s="208">
        <v>0</v>
      </c>
      <c r="K225" s="208">
        <v>0</v>
      </c>
      <c r="L225" s="1846">
        <f t="shared" si="231"/>
        <v>0</v>
      </c>
      <c r="M225" s="2540">
        <v>0</v>
      </c>
      <c r="N225" s="2540">
        <v>0</v>
      </c>
      <c r="O225" s="2540">
        <v>0</v>
      </c>
      <c r="P225" s="1846">
        <f t="shared" si="232"/>
        <v>0</v>
      </c>
      <c r="R225" s="2540">
        <v>0</v>
      </c>
      <c r="S225" s="2540">
        <v>0</v>
      </c>
      <c r="T225" s="2544">
        <v>0</v>
      </c>
      <c r="U225" s="1126"/>
      <c r="V225" s="1855">
        <f t="shared" si="233"/>
        <v>0</v>
      </c>
      <c r="W225" s="208"/>
      <c r="X225" s="208"/>
      <c r="Y225" s="208"/>
      <c r="Z225" s="1846" t="str">
        <f t="shared" si="237"/>
        <v/>
      </c>
      <c r="AA225" s="208"/>
      <c r="AB225" s="208"/>
      <c r="AC225" s="208"/>
      <c r="AD225" s="1846" t="str">
        <f t="shared" si="234"/>
        <v/>
      </c>
      <c r="AE225" s="208"/>
      <c r="AF225" s="208"/>
      <c r="AG225" s="1856" t="str">
        <f t="shared" si="236"/>
        <v>Missing Input</v>
      </c>
      <c r="AH225" s="1856" t="str">
        <f>IFERROR(IF(OR(V225="",Z225=""),"Missing input",IF(AND(_xlfn.NUMBERVALUE(Z225)/_xlfn.NUMBERVALUE(V225)&gt;0.7119,_xlfn.NUMBERVALUE(Z225)/_xlfn.NUMBERVALUE(V225)&lt;0.9),"Ok","Please check")),"Please check")</f>
        <v>Missing input</v>
      </c>
      <c r="AI225" s="1857"/>
      <c r="AJ225" s="1857"/>
      <c r="AK225" s="1857"/>
      <c r="AL225" s="1859"/>
    </row>
    <row r="226" spans="1:38" ht="15" customHeight="1" x14ac:dyDescent="0.35">
      <c r="A226" s="1513"/>
      <c r="B226" s="185" t="s">
        <v>2334</v>
      </c>
      <c r="C226" s="1849"/>
      <c r="D226" s="1846">
        <f>IF(AND(ISNUMBER(D19), ISNUMBER(D24), ISNUMBER(D79), ISNUMBER(D51), ISNUMBER(D87), ISNUMBER(D91), ISNUMBER(D92), ISNUMBER(D138), ISNUMBER(D141),ISNUMBER(D142)), SUM(D19, D24, D79, D51, D87, D91, D92, D138, D141,D142), "")</f>
        <v>22142404.359999999</v>
      </c>
      <c r="E226" s="1846">
        <f>IF(AND(ISNUMBER(E19), ISNUMBER(E24), ISNUMBER(E79), ISNUMBER(E51), ISNUMBER(E87), ISNUMBER(E91), ISNUMBER(E92), ISNUMBER(E138), ISNUMBER(E141),ISNUMBER(E142)), SUM(E19, E24, E79, E51, E87, E91, E92, E138, E141,E142), "")</f>
        <v>134543.50985</v>
      </c>
      <c r="F226" s="1846">
        <f>IF(AND(ISNUMBER(H19), ISNUMBER(H24), ISNUMBER(H79), ISNUMBER(H51), ISNUMBER(H87), ISNUMBER(H91), ISNUMBER(H92), ISNUMBER(H138), ISNUMBER(H141),ISNUMBER(H142)), SUM(H19, H24, H79, H51, H87, H91, H92, H138, H141,H142), "")</f>
        <v>5295</v>
      </c>
      <c r="H226" s="1846">
        <f t="shared" si="230"/>
        <v>22282242.869849999</v>
      </c>
      <c r="I226" s="1846">
        <f>IF(AND(ISNUMBER(J19), ISNUMBER(J24), ISNUMBER(J79), ISNUMBER(J51), ISNUMBER(J87), ISNUMBER(J91), ISNUMBER(J92), ISNUMBER(J138), ISNUMBER(J141),ISNUMBER(J142)), SUM(J19, J24, J79, J51, J87, J91, J92, J138, J141,J142), "")</f>
        <v>2173368</v>
      </c>
      <c r="J226" s="1846">
        <f>IF(AND(ISNUMBER(K19), ISNUMBER(K24), ISNUMBER(K79), ISNUMBER(K51), ISNUMBER(K87), ISNUMBER(K91), ISNUMBER(K92), ISNUMBER(K138), ISNUMBER(K141),ISNUMBER(K142)), SUM(K19, K24, K79, K51, K87, K91, K92, K138, K141,K142), "")</f>
        <v>17768.68362</v>
      </c>
      <c r="K226" s="1846">
        <f>IF(AND(ISNUMBER(L19), ISNUMBER(L24), ISNUMBER(L79), ISNUMBER(L51), ISNUMBER(L87), ISNUMBER(L91), ISNUMBER(L92), ISNUMBER(L138), ISNUMBER(L141),ISNUMBER(L142)), SUM(L19, L24, L79, L51, L87, L91, L92, L138, L141,L142), "")</f>
        <v>4550</v>
      </c>
      <c r="L226" s="1846">
        <f t="shared" si="231"/>
        <v>2195686.6836199998</v>
      </c>
      <c r="M226" s="1846">
        <f>IF(AND(ISNUMBER(R19), ISNUMBER(R24), ISNUMBER(R79), ISNUMBER(R51), ISNUMBER(R87), ISNUMBER(R91), ISNUMBER(R92), ISNUMBER(R138), ISNUMBER(R141),ISNUMBER(R142)), SUM(R19, R24, R79, R51, R87, R91, R92, R138, R141,R142), "")</f>
        <v>22142404.359999999</v>
      </c>
      <c r="N226" s="1846">
        <f>IF(AND(ISNUMBER(S19), ISNUMBER(S24), ISNUMBER(S79), ISNUMBER(S51), ISNUMBER(S87), ISNUMBER(S91), ISNUMBER(S92), ISNUMBER(S138), ISNUMBER(S141),ISNUMBER(S142)), SUM(S19, S24, S79, S51, S87, S91, S92, S138, S141,S142), "")</f>
        <v>134543.50985</v>
      </c>
      <c r="O226" s="1846">
        <f>IF(AND(ISNUMBER(V19), ISNUMBER(V24), ISNUMBER(V79), ISNUMBER(V51), ISNUMBER(V87), ISNUMBER(V91), ISNUMBER(V92), ISNUMBER(V138), ISNUMBER(V141),ISNUMBER(V142)), SUM(V19, V24, V79, V51, V87, V91, V92, V138, V141,V142), "")</f>
        <v>11137</v>
      </c>
      <c r="P226" s="1846">
        <f t="shared" si="232"/>
        <v>22288084.869849999</v>
      </c>
      <c r="R226" s="1846">
        <f>IF(AND(ISNUMBER(X19), ISNUMBER(X24), ISNUMBER(X79), ISNUMBER(X51), ISNUMBER(X87), ISNUMBER(X91), ISNUMBER(X92), ISNUMBER(X138), ISNUMBER(X141),ISNUMBER(X142)), SUM(X19, X24, X79, X51, X87, X91, X92, X138, X141,X142), "")</f>
        <v>2143894.5723370002</v>
      </c>
      <c r="S226" s="1846">
        <f>IF(AND(ISNUMBER(Y19), ISNUMBER(Y24), ISNUMBER(Y79), ISNUMBER(Y51), ISNUMBER(Y87), ISNUMBER(Y91), ISNUMBER(Y92), ISNUMBER(Y138), ISNUMBER(Y141),ISNUMBER(Y142)), SUM(Y19, Y24, Y79, Y51, Y87, Y91, Y92, Y138, Y141,Y142), "")</f>
        <v>44668.171289999998</v>
      </c>
      <c r="T226" s="1855">
        <f>IF(AND(ISNUMBER(Z19), ISNUMBER(Z24), ISNUMBER(Z79), ISNUMBER(Z51), ISNUMBER(Z87), ISNUMBER(Z91), ISNUMBER(Z92), ISNUMBER(Z138), ISNUMBER(Z141),ISNUMBER(Z142)), SUM(Z19, Z24, Z79, Z51, Z87, Z91, Z92, Z138, Z141,Z142), "")</f>
        <v>6562.9</v>
      </c>
      <c r="U226" s="1126"/>
      <c r="V226" s="1855">
        <f t="shared" si="233"/>
        <v>2195125.643627</v>
      </c>
      <c r="W226" s="208"/>
      <c r="X226" s="208"/>
      <c r="Y226" s="208"/>
      <c r="Z226" s="1846" t="str">
        <f t="shared" si="237"/>
        <v/>
      </c>
      <c r="AA226" s="208"/>
      <c r="AB226" s="208"/>
      <c r="AC226" s="208"/>
      <c r="AD226" s="1846" t="str">
        <f t="shared" si="234"/>
        <v/>
      </c>
      <c r="AE226" s="208"/>
      <c r="AF226" s="208"/>
      <c r="AG226" s="1857"/>
      <c r="AH226" s="1857"/>
      <c r="AI226" s="1857"/>
      <c r="AJ226" s="1857"/>
      <c r="AK226" s="1857"/>
      <c r="AL226" s="1859"/>
    </row>
    <row r="227" spans="1:38" ht="15" customHeight="1" x14ac:dyDescent="0.35">
      <c r="A227" s="1513"/>
      <c r="B227" s="219" t="s">
        <v>2322</v>
      </c>
      <c r="C227" s="1849"/>
      <c r="D227" s="1846">
        <f>IF(AND(ISNUMBER(D228), ISNUMBER(D229)), SUM(D228:D229), "")</f>
        <v>0</v>
      </c>
      <c r="E227" s="1846">
        <f>IF(AND(ISNUMBER(E228), ISNUMBER(E229)), SUM(E228:E229), "")</f>
        <v>0</v>
      </c>
      <c r="F227" s="1846">
        <f>IF(AND(ISNUMBER(F228), ISNUMBER(F229)), SUM(F228:F229), "")</f>
        <v>0</v>
      </c>
      <c r="H227" s="1846">
        <f t="shared" si="230"/>
        <v>0</v>
      </c>
      <c r="I227" s="1846">
        <f>IF(AND(ISNUMBER(I228), ISNUMBER(I229)), SUM(I228:I229), "")</f>
        <v>0</v>
      </c>
      <c r="J227" s="1846">
        <f>IF(AND(ISNUMBER(J228), ISNUMBER(J229)), SUM(J228:J229), "")</f>
        <v>0</v>
      </c>
      <c r="K227" s="1846">
        <f>IF(AND(ISNUMBER(K228), ISNUMBER(K229)), SUM(K228:K229), "")</f>
        <v>0</v>
      </c>
      <c r="L227" s="1846">
        <f t="shared" si="231"/>
        <v>0</v>
      </c>
      <c r="M227" s="1846">
        <f>IF(AND(ISNUMBER(M228), ISNUMBER(M229)), SUM(M228:M229), "")</f>
        <v>0</v>
      </c>
      <c r="N227" s="1846">
        <f>IF(AND(ISNUMBER(N228), ISNUMBER(N229)), SUM(N228:N229), "")</f>
        <v>0</v>
      </c>
      <c r="O227" s="1846">
        <f>IF(AND(ISNUMBER(O228), ISNUMBER(O229)), SUM(O228:O229), "")</f>
        <v>0</v>
      </c>
      <c r="P227" s="1846">
        <f t="shared" si="232"/>
        <v>0</v>
      </c>
      <c r="R227" s="1846">
        <f>IF(AND(ISNUMBER(R228), ISNUMBER(R229)), SUM(R228:R229), "")</f>
        <v>0</v>
      </c>
      <c r="S227" s="1846">
        <f>IF(AND(ISNUMBER(S228), ISNUMBER(S229)), SUM(S228:S229), "")</f>
        <v>0</v>
      </c>
      <c r="T227" s="1855">
        <f>IF(AND(ISNUMBER(T228), ISNUMBER(T229)), SUM(T228:T229), "")</f>
        <v>0</v>
      </c>
      <c r="U227" s="1126"/>
      <c r="V227" s="1855">
        <f t="shared" si="233"/>
        <v>0</v>
      </c>
      <c r="W227" s="1846" t="str">
        <f>IF(AND(ISNUMBER(W228), ISNUMBER(W229)), SUM(W228:W229), "")</f>
        <v/>
      </c>
      <c r="X227" s="1846" t="str">
        <f>IF(AND(ISNUMBER(X228), ISNUMBER(X229)), SUM(X228:X229), "")</f>
        <v/>
      </c>
      <c r="Y227" s="1846" t="str">
        <f>IF(AND(ISNUMBER(Y228), ISNUMBER(Y229)), SUM(Y228:Y229), "")</f>
        <v/>
      </c>
      <c r="Z227" s="1846" t="str">
        <f t="shared" si="237"/>
        <v/>
      </c>
      <c r="AA227" s="1846" t="str">
        <f>IF(AND(ISNUMBER(AA228), ISNUMBER(AA229)), SUM(AA228:AA229), "")</f>
        <v/>
      </c>
      <c r="AB227" s="1846" t="str">
        <f>IF(AND(ISNUMBER(AB228), ISNUMBER(AB229)), SUM(AB228:AB229), "")</f>
        <v/>
      </c>
      <c r="AC227" s="1846" t="str">
        <f>IF(AND(ISNUMBER(AC228), ISNUMBER(AC229)), SUM(AC228:AC229), "")</f>
        <v/>
      </c>
      <c r="AD227" s="1846" t="str">
        <f t="shared" si="234"/>
        <v/>
      </c>
      <c r="AE227" s="1846" t="str">
        <f>IF(AND(ISNUMBER(AE228), ISNUMBER(AE229)), SUM(AE228:AE229), "")</f>
        <v/>
      </c>
      <c r="AF227" s="1846" t="str">
        <f>IF(AND(ISNUMBER(AF228), ISNUMBER(AF229)), SUM(AF228:AF229), "")</f>
        <v/>
      </c>
      <c r="AG227" s="1856" t="str">
        <f t="shared" si="236"/>
        <v>Missing Input</v>
      </c>
      <c r="AH227" s="1857"/>
      <c r="AI227" s="1857"/>
      <c r="AJ227" s="1857"/>
      <c r="AK227" s="1857"/>
      <c r="AL227" s="1859"/>
    </row>
    <row r="228" spans="1:38" ht="15" customHeight="1" x14ac:dyDescent="0.35">
      <c r="A228" s="1513"/>
      <c r="B228" s="407" t="s">
        <v>2323</v>
      </c>
      <c r="C228" s="1849"/>
      <c r="D228" s="208">
        <v>0</v>
      </c>
      <c r="E228" s="208">
        <v>0</v>
      </c>
      <c r="F228" s="208">
        <v>0</v>
      </c>
      <c r="H228" s="1846">
        <f t="shared" si="230"/>
        <v>0</v>
      </c>
      <c r="I228" s="208">
        <v>0</v>
      </c>
      <c r="J228" s="208">
        <v>0</v>
      </c>
      <c r="K228" s="208">
        <v>0</v>
      </c>
      <c r="L228" s="1846">
        <f t="shared" si="231"/>
        <v>0</v>
      </c>
      <c r="M228" s="2540">
        <v>0</v>
      </c>
      <c r="N228" s="2540">
        <v>0</v>
      </c>
      <c r="O228" s="2540">
        <v>0</v>
      </c>
      <c r="P228" s="1846">
        <f t="shared" si="232"/>
        <v>0</v>
      </c>
      <c r="R228" s="2540">
        <v>0</v>
      </c>
      <c r="S228" s="2540">
        <v>0</v>
      </c>
      <c r="T228" s="2544">
        <v>0</v>
      </c>
      <c r="U228" s="1126"/>
      <c r="V228" s="1855">
        <f t="shared" si="233"/>
        <v>0</v>
      </c>
      <c r="W228" s="208"/>
      <c r="X228" s="208"/>
      <c r="Y228" s="208"/>
      <c r="Z228" s="1846" t="str">
        <f t="shared" si="237"/>
        <v/>
      </c>
      <c r="AA228" s="208"/>
      <c r="AB228" s="208"/>
      <c r="AC228" s="208"/>
      <c r="AD228" s="1846" t="str">
        <f t="shared" si="234"/>
        <v/>
      </c>
      <c r="AE228" s="208"/>
      <c r="AF228" s="208"/>
      <c r="AG228" s="1856" t="str">
        <f t="shared" si="236"/>
        <v>Missing Input</v>
      </c>
      <c r="AH228" s="1856" t="str">
        <f>IFERROR(IF(OR(V228="",Z228=""),"Missing input",IF(AND(_xlfn.NUMBERVALUE(Z228)/_xlfn.NUMBERVALUE(V228)&gt;0.7119,_xlfn.NUMBERVALUE(Z228)/_xlfn.NUMBERVALUE(V228)&lt;0.8119),"Ok","Please check")),"Please check")</f>
        <v>Missing input</v>
      </c>
      <c r="AI228" s="1857"/>
      <c r="AJ228" s="1857"/>
      <c r="AK228" s="1857"/>
      <c r="AL228" s="1859"/>
    </row>
    <row r="229" spans="1:38" ht="15" customHeight="1" x14ac:dyDescent="0.35">
      <c r="A229" s="1513"/>
      <c r="B229" s="407" t="s">
        <v>2324</v>
      </c>
      <c r="C229" s="1849"/>
      <c r="D229" s="208">
        <v>0</v>
      </c>
      <c r="E229" s="208">
        <v>0</v>
      </c>
      <c r="F229" s="208">
        <v>0</v>
      </c>
      <c r="H229" s="1846">
        <f t="shared" si="230"/>
        <v>0</v>
      </c>
      <c r="I229" s="208">
        <v>0</v>
      </c>
      <c r="J229" s="208">
        <v>0</v>
      </c>
      <c r="K229" s="208">
        <v>0</v>
      </c>
      <c r="L229" s="1846">
        <f t="shared" si="231"/>
        <v>0</v>
      </c>
      <c r="M229" s="2540">
        <v>0</v>
      </c>
      <c r="N229" s="2540">
        <v>0</v>
      </c>
      <c r="O229" s="2540">
        <v>0</v>
      </c>
      <c r="P229" s="1846">
        <f t="shared" si="232"/>
        <v>0</v>
      </c>
      <c r="R229" s="2540">
        <v>0</v>
      </c>
      <c r="S229" s="2540">
        <v>0</v>
      </c>
      <c r="T229" s="2544">
        <v>0</v>
      </c>
      <c r="U229" s="1126"/>
      <c r="V229" s="1855">
        <f t="shared" si="233"/>
        <v>0</v>
      </c>
      <c r="W229" s="208"/>
      <c r="X229" s="208"/>
      <c r="Y229" s="208"/>
      <c r="Z229" s="1846" t="str">
        <f t="shared" si="237"/>
        <v/>
      </c>
      <c r="AA229" s="208"/>
      <c r="AB229" s="208"/>
      <c r="AC229" s="208"/>
      <c r="AD229" s="1846" t="str">
        <f t="shared" si="234"/>
        <v/>
      </c>
      <c r="AE229" s="208"/>
      <c r="AF229" s="208"/>
      <c r="AG229" s="1856" t="str">
        <f t="shared" si="236"/>
        <v>Missing Input</v>
      </c>
      <c r="AH229" s="1856" t="str">
        <f>IFERROR(IF(OR(V229="",Z229=""),"Missing input",IF(AND(_xlfn.NUMBERVALUE(Z229)/_xlfn.NUMBERVALUE(V229)&gt;0.7119,_xlfn.NUMBERVALUE(Z229)/_xlfn.NUMBERVALUE(V229)&lt;0.9),"Ok","Please check")),"Please check")</f>
        <v>Missing input</v>
      </c>
      <c r="AI229" s="1857"/>
      <c r="AJ229" s="1857"/>
      <c r="AK229" s="1857"/>
      <c r="AL229" s="1859"/>
    </row>
    <row r="230" spans="1:38" ht="15" customHeight="1" x14ac:dyDescent="0.35">
      <c r="A230" s="1513"/>
      <c r="B230" s="1866" t="s">
        <v>845</v>
      </c>
      <c r="C230" s="1849"/>
      <c r="D230" s="1867">
        <f>IF(AND(ISNUMBER(D193),ISNUMBER(D197),ISNUMBER(D201),ISNUMBER(D205),ISNUMBER(D226)),SUM(D193,D197,D201,D205,D226),"")</f>
        <v>27553251.359999999</v>
      </c>
      <c r="E230" s="1867">
        <f t="shared" ref="E230:F230" si="243">IF(AND(ISNUMBER(E193),ISNUMBER(E197),ISNUMBER(E201),ISNUMBER(E205),ISNUMBER(E226)),SUM(E193,E197,E201,E205,E226),"")</f>
        <v>143105.50985</v>
      </c>
      <c r="F230" s="1867">
        <f t="shared" si="243"/>
        <v>22811</v>
      </c>
      <c r="H230" s="1867">
        <f t="shared" ref="H230:P230" si="244">IF(AND(ISNUMBER(H193),ISNUMBER(H197),ISNUMBER(H201),ISNUMBER(H205),ISNUMBER(H226)),SUM(H193,H197,H201,H205,H226),"")</f>
        <v>27719167.869849999</v>
      </c>
      <c r="I230" s="1867">
        <f t="shared" si="244"/>
        <v>5721204</v>
      </c>
      <c r="J230" s="1867">
        <f t="shared" si="244"/>
        <v>23075.68362</v>
      </c>
      <c r="K230" s="1867">
        <f t="shared" si="244"/>
        <v>19109</v>
      </c>
      <c r="L230" s="1867">
        <f t="shared" si="244"/>
        <v>5763388.6836200003</v>
      </c>
      <c r="M230" s="1867">
        <f t="shared" si="244"/>
        <v>27553251.359999999</v>
      </c>
      <c r="N230" s="1867">
        <f t="shared" si="244"/>
        <v>143105.50985</v>
      </c>
      <c r="O230" s="1867">
        <f t="shared" si="244"/>
        <v>138979</v>
      </c>
      <c r="P230" s="1867">
        <f t="shared" si="244"/>
        <v>27835335.869849999</v>
      </c>
      <c r="R230" s="1867">
        <f t="shared" ref="R230:T230" si="245">IF(AND(ISNUMBER(R193),ISNUMBER(R197),ISNUMBER(R201),ISNUMBER(R205),ISNUMBER(R226)),SUM(R193,R197,R201,R205,R226),"")</f>
        <v>6022805.6337199993</v>
      </c>
      <c r="S230" s="1867">
        <f t="shared" si="245"/>
        <v>49975.706114000001</v>
      </c>
      <c r="T230" s="1868">
        <f t="shared" si="245"/>
        <v>115107.09999999998</v>
      </c>
      <c r="U230" s="1126"/>
      <c r="V230" s="1868">
        <f t="shared" ref="V230:AF230" si="246">IF(AND(ISNUMBER(V193),ISNUMBER(V197),ISNUMBER(V201),ISNUMBER(V205),ISNUMBER(V226)),SUM(V193,V197,V201,V205,V226),"")</f>
        <v>6187888.4398339996</v>
      </c>
      <c r="W230" s="1867" t="str">
        <f t="shared" si="246"/>
        <v/>
      </c>
      <c r="X230" s="1867" t="str">
        <f t="shared" si="246"/>
        <v/>
      </c>
      <c r="Y230" s="1867" t="str">
        <f t="shared" si="246"/>
        <v/>
      </c>
      <c r="Z230" s="1867" t="str">
        <f t="shared" si="246"/>
        <v/>
      </c>
      <c r="AA230" s="1867" t="str">
        <f>IF(AND(ISNUMBER(AA193),ISNUMBER(AA197),ISNUMBER(AA201),ISNUMBER(AA205),ISNUMBER(AA226)),SUM(AA193,AA197,AA201,AA205,AA226),"")</f>
        <v/>
      </c>
      <c r="AB230" s="1867" t="str">
        <f>IF(AND(ISNUMBER(AB193),ISNUMBER(AB197),ISNUMBER(AB201),ISNUMBER(AB205),ISNUMBER(AB226)),SUM(AB193,AB197,AB201,AB205,AB226),"")</f>
        <v/>
      </c>
      <c r="AC230" s="1867" t="str">
        <f t="shared" si="246"/>
        <v/>
      </c>
      <c r="AD230" s="1867" t="str">
        <f t="shared" si="246"/>
        <v/>
      </c>
      <c r="AE230" s="1867" t="str">
        <f t="shared" si="246"/>
        <v/>
      </c>
      <c r="AF230" s="1867" t="str">
        <f t="shared" si="246"/>
        <v/>
      </c>
      <c r="AG230" s="1856" t="str">
        <f>IF(AND(V230&lt;&gt;"",OR(Z230="",Z230=0)),"Missing Input",IF(AND(Z230&gt;0,Z230&lt;&gt;"",V230&gt;0,V230&lt;&gt;"",_xlfn.NUMBERVALUE(Z230)&lt;_xlfn.NUMBERVALUE(V230)),"Ok","Please check"))</f>
        <v>Missing Input</v>
      </c>
      <c r="AH230" s="1857"/>
      <c r="AI230" s="1856"/>
      <c r="AJ230" s="1856" t="str">
        <f>IF(OR('General Info'!C19="Yes",'General Info'!D19="Yes"),IF(AND(AC230&gt;0,AC230&lt;&gt;"",AH143&gt;0,AH143&lt;&gt;"",OR(_xlfn.NUMBERVALUE(AC230)&lt;_xlfn.NUMBERVALUE(AH143),_xlfn.NUMBERVALUE(AC230)=_xlfn.NUMBERVALUE(AH143))),"Ok","Please check"),"NA")</f>
        <v>NA</v>
      </c>
      <c r="AK230" s="1856" t="str">
        <f>IF(OR('General Info'!C19="Yes",'General Info'!D19="Yes"),IFERROR(IF(_xlfn.NUMBERVALUE(AC230)/_xlfn.NUMBERVALUE(AH143)&lt;0.7119,"Please check","Ok"),"Please check"),"NA")</f>
        <v>NA</v>
      </c>
      <c r="AL230" s="1858" t="str">
        <f>IF(OR('General Info'!$C$19="Yes",'General Info'!$D$19="Yes"),IFERROR(IF(AND(_xlfn.NUMBERVALUE(AF230)/_xlfn.NUMBERVALUE(AC230)&gt;0.7143,_xlfn.NUMBERVALUE(AF230)/_xlfn.NUMBERVALUE(AC230)&lt;=1),"Ok", "Please check"),"Please check"),"NA")</f>
        <v>NA</v>
      </c>
    </row>
    <row r="231" spans="1:38" ht="50.1" customHeight="1" x14ac:dyDescent="0.35">
      <c r="A231" s="1848" t="s">
        <v>2335</v>
      </c>
      <c r="B231" s="1513"/>
      <c r="C231" s="1849"/>
      <c r="D231" s="1513"/>
      <c r="E231" s="1513"/>
      <c r="F231" s="1513"/>
      <c r="H231" s="1513"/>
      <c r="I231" s="1513"/>
      <c r="J231" s="1513"/>
      <c r="K231" s="1513"/>
      <c r="L231" s="1513"/>
      <c r="M231" s="1513"/>
      <c r="N231" s="1513"/>
      <c r="O231" s="1513"/>
      <c r="P231" s="1513"/>
      <c r="R231" s="1513"/>
      <c r="S231" s="1513"/>
      <c r="T231" s="1850"/>
      <c r="U231" s="1126"/>
      <c r="V231" s="1850"/>
      <c r="W231" s="1513"/>
      <c r="X231" s="1513"/>
      <c r="Y231" s="1513"/>
      <c r="Z231" s="1513"/>
      <c r="AA231" s="1513"/>
      <c r="AB231" s="1513"/>
      <c r="AC231" s="1513"/>
      <c r="AD231" s="1513"/>
      <c r="AE231" s="1513"/>
      <c r="AF231" s="1513"/>
      <c r="AG231" s="1513"/>
      <c r="AH231" s="1513"/>
      <c r="AI231" s="1513"/>
      <c r="AJ231" s="1513"/>
      <c r="AK231" s="1513"/>
      <c r="AL231" s="1513"/>
    </row>
    <row r="232" spans="1:38" ht="50.1" customHeight="1" x14ac:dyDescent="0.35">
      <c r="A232" s="1513"/>
      <c r="B232" s="2714" t="s">
        <v>2301</v>
      </c>
      <c r="C232" s="1849"/>
      <c r="D232" s="2717" t="s">
        <v>735</v>
      </c>
      <c r="E232" s="2717"/>
      <c r="F232" s="2717"/>
      <c r="G232" s="2717"/>
      <c r="H232" s="2717"/>
      <c r="I232" s="2717"/>
      <c r="J232" s="2717"/>
      <c r="K232" s="2717"/>
      <c r="L232" s="2717"/>
      <c r="M232" s="2718" t="s">
        <v>2336</v>
      </c>
      <c r="N232" s="2718"/>
      <c r="O232" s="2718"/>
      <c r="P232" s="2718"/>
      <c r="Q232" s="2718"/>
      <c r="R232" s="2718"/>
      <c r="S232" s="2718"/>
      <c r="T232" s="2718"/>
      <c r="U232" s="2718"/>
      <c r="V232" s="2718"/>
      <c r="W232" s="2719" t="s">
        <v>2337</v>
      </c>
      <c r="X232" s="2720"/>
      <c r="Y232" s="2720"/>
      <c r="Z232" s="2721"/>
      <c r="AA232" s="2722" t="s">
        <v>2338</v>
      </c>
      <c r="AB232" s="2682"/>
      <c r="AC232" s="2723"/>
      <c r="AD232" s="2670" t="s">
        <v>737</v>
      </c>
      <c r="AE232" s="2671"/>
      <c r="AF232" s="2671"/>
      <c r="AG232" s="1513"/>
      <c r="AH232" s="1513"/>
      <c r="AI232" s="1513"/>
      <c r="AJ232" s="1513"/>
      <c r="AK232" s="1513"/>
      <c r="AL232" s="1513"/>
    </row>
    <row r="233" spans="1:38" ht="50.1" customHeight="1" x14ac:dyDescent="0.35">
      <c r="A233" s="1513"/>
      <c r="B233" s="2715"/>
      <c r="C233" s="1849"/>
      <c r="D233" s="2709" t="s">
        <v>2305</v>
      </c>
      <c r="E233" s="2709"/>
      <c r="F233" s="2709"/>
      <c r="G233" s="2709"/>
      <c r="H233" s="2709"/>
      <c r="I233" s="2709" t="s">
        <v>2306</v>
      </c>
      <c r="J233" s="2709"/>
      <c r="K233" s="2709"/>
      <c r="L233" s="2709"/>
      <c r="M233" s="2709" t="s">
        <v>2305</v>
      </c>
      <c r="N233" s="2709"/>
      <c r="O233" s="2709"/>
      <c r="P233" s="2709"/>
      <c r="Q233" s="2709"/>
      <c r="R233" s="2709" t="s">
        <v>2307</v>
      </c>
      <c r="S233" s="2709"/>
      <c r="T233" s="2709"/>
      <c r="U233" s="2709"/>
      <c r="V233" s="2709"/>
      <c r="W233" s="2710" t="s">
        <v>2339</v>
      </c>
      <c r="X233" s="2566"/>
      <c r="Y233" s="2566"/>
      <c r="Z233" s="2572"/>
      <c r="AA233" s="2711" t="s">
        <v>2340</v>
      </c>
      <c r="AB233" s="2712"/>
      <c r="AC233" s="2713"/>
      <c r="AD233" s="2710" t="s">
        <v>2341</v>
      </c>
      <c r="AE233" s="2566"/>
      <c r="AF233" s="2566"/>
      <c r="AG233" s="1513"/>
      <c r="AH233" s="1513"/>
      <c r="AI233" s="1513"/>
      <c r="AJ233" s="1513"/>
      <c r="AK233" s="1513"/>
      <c r="AL233" s="1513"/>
    </row>
    <row r="234" spans="1:38" ht="50.1" customHeight="1" x14ac:dyDescent="0.35">
      <c r="A234" s="1513"/>
      <c r="B234" s="2715"/>
      <c r="C234" s="1849"/>
      <c r="D234" s="2709" t="s">
        <v>2311</v>
      </c>
      <c r="E234" s="2709" t="s">
        <v>746</v>
      </c>
      <c r="F234" s="2709" t="s">
        <v>2312</v>
      </c>
      <c r="G234" s="1851"/>
      <c r="H234" s="2709" t="s">
        <v>59</v>
      </c>
      <c r="I234" s="2709" t="s">
        <v>2313</v>
      </c>
      <c r="J234" s="2709" t="s">
        <v>746</v>
      </c>
      <c r="K234" s="2709" t="s">
        <v>2314</v>
      </c>
      <c r="L234" s="2709" t="s">
        <v>2342</v>
      </c>
      <c r="M234" s="2709" t="s">
        <v>2311</v>
      </c>
      <c r="N234" s="2709" t="s">
        <v>746</v>
      </c>
      <c r="O234" s="2709" t="s">
        <v>2312</v>
      </c>
      <c r="P234" s="2726" t="s">
        <v>59</v>
      </c>
      <c r="Q234" s="2709"/>
      <c r="R234" s="2709" t="s">
        <v>2311</v>
      </c>
      <c r="S234" s="2709" t="s">
        <v>746</v>
      </c>
      <c r="T234" s="2709" t="s">
        <v>2314</v>
      </c>
      <c r="U234" s="1852"/>
      <c r="V234" s="2709" t="s">
        <v>2316</v>
      </c>
      <c r="W234" s="2724" t="s">
        <v>2311</v>
      </c>
      <c r="X234" s="2724" t="s">
        <v>746</v>
      </c>
      <c r="Y234" s="2724" t="s">
        <v>2314</v>
      </c>
      <c r="Z234" s="2724" t="s">
        <v>177</v>
      </c>
      <c r="AA234" s="2710" t="s">
        <v>752</v>
      </c>
      <c r="AB234" s="2729"/>
      <c r="AC234" s="2724" t="s">
        <v>177</v>
      </c>
      <c r="AD234" s="2710" t="s">
        <v>753</v>
      </c>
      <c r="AE234" s="2729"/>
      <c r="AF234" s="2724" t="s">
        <v>177</v>
      </c>
      <c r="AG234" s="2727" t="s">
        <v>3557</v>
      </c>
      <c r="AH234" s="2727" t="s">
        <v>2317</v>
      </c>
      <c r="AI234" s="2727" t="s">
        <v>2318</v>
      </c>
      <c r="AJ234" s="2727" t="s">
        <v>3558</v>
      </c>
      <c r="AK234" s="2727" t="s">
        <v>2319</v>
      </c>
      <c r="AL234" s="2727" t="s">
        <v>2320</v>
      </c>
    </row>
    <row r="235" spans="1:38" ht="50.1" customHeight="1" x14ac:dyDescent="0.35">
      <c r="A235" s="1513"/>
      <c r="B235" s="2716"/>
      <c r="C235" s="1849"/>
      <c r="D235" s="2709"/>
      <c r="E235" s="2709"/>
      <c r="F235" s="2709"/>
      <c r="G235" s="1851"/>
      <c r="H235" s="2709"/>
      <c r="I235" s="2709"/>
      <c r="J235" s="2709"/>
      <c r="K235" s="2709"/>
      <c r="L235" s="2709"/>
      <c r="M235" s="2709"/>
      <c r="N235" s="2709"/>
      <c r="O235" s="2709"/>
      <c r="P235" s="2726"/>
      <c r="Q235" s="2709"/>
      <c r="R235" s="2709"/>
      <c r="S235" s="2709"/>
      <c r="T235" s="2709"/>
      <c r="U235" s="1852"/>
      <c r="V235" s="2709"/>
      <c r="W235" s="2725"/>
      <c r="X235" s="2725"/>
      <c r="Y235" s="2725"/>
      <c r="Z235" s="2725"/>
      <c r="AA235" s="1853" t="s">
        <v>59</v>
      </c>
      <c r="AB235" s="1853" t="s">
        <v>756</v>
      </c>
      <c r="AC235" s="2725"/>
      <c r="AD235" s="1838" t="s">
        <v>59</v>
      </c>
      <c r="AE235" s="1837" t="s">
        <v>756</v>
      </c>
      <c r="AF235" s="2725"/>
      <c r="AG235" s="2728"/>
      <c r="AH235" s="2728"/>
      <c r="AI235" s="2728"/>
      <c r="AJ235" s="2728"/>
      <c r="AK235" s="2728"/>
      <c r="AL235" s="2728"/>
    </row>
    <row r="236" spans="1:38" ht="15" customHeight="1" x14ac:dyDescent="0.35">
      <c r="A236" s="1513"/>
      <c r="B236" s="1869" t="s">
        <v>2321</v>
      </c>
      <c r="C236" s="1849"/>
      <c r="D236" s="1846">
        <f>IF(ISNUMBER(D66),D66,"")</f>
        <v>2535676.2388299997</v>
      </c>
      <c r="E236" s="1846">
        <f>IF(ISNUMBER(E66),E66,"")</f>
        <v>7892</v>
      </c>
      <c r="F236" s="1846">
        <f>IF(ISNUMBER(H66),H66,"")</f>
        <v>6480</v>
      </c>
      <c r="H236" s="1846">
        <f t="shared" ref="H236:H254" si="247">IF(AND(ISNUMBER(D236),ISNUMBER(E236),ISNUMBER(F236)),SUM(D236:F236),"")</f>
        <v>2550048.2388299997</v>
      </c>
      <c r="I236" s="1846">
        <f>IF(ISNUMBER(J66), J66, "")</f>
        <v>1906390.9682100001</v>
      </c>
      <c r="J236" s="1846">
        <f>IF(ISNUMBER(K66), K66, "")</f>
        <v>4805</v>
      </c>
      <c r="K236" s="1846">
        <f>IF(ISNUMBER(L66), L66, "")</f>
        <v>6463</v>
      </c>
      <c r="L236" s="1846">
        <f t="shared" ref="L236:L254" si="248">IF(AND(ISNUMBER(I236),ISNUMBER(J236),ISNUMBER(K236)),SUM(I236:K236),"")</f>
        <v>1917658.9682100001</v>
      </c>
      <c r="M236" s="1846">
        <f>IF(ISNUMBER(R66), R66, "")</f>
        <v>2535676.2388299997</v>
      </c>
      <c r="N236" s="1846">
        <f>IF(ISNUMBER(S66), S66, "")</f>
        <v>7892</v>
      </c>
      <c r="O236" s="1846">
        <f>IF(ISNUMBER(V66), V66, "")</f>
        <v>35222</v>
      </c>
      <c r="P236" s="1846">
        <f>IF(AND(ISNUMBER(M236),ISNUMBER(N236),ISNUMBER(O236)),SUM(M236:O236),"")</f>
        <v>2578790.2388299997</v>
      </c>
      <c r="R236" s="1846">
        <f>IF(ISNUMBER(X66), X66, "")</f>
        <v>1863859.1143884996</v>
      </c>
      <c r="S236" s="1846">
        <f>IF(ISNUMBER(Y66), Y66, "")</f>
        <v>4805.0348240000003</v>
      </c>
      <c r="T236" s="1855">
        <f>IF(ISNUMBER(Z66), Z66, "")</f>
        <v>35222</v>
      </c>
      <c r="U236" s="1126"/>
      <c r="V236" s="1855">
        <f t="shared" ref="V236:V254" si="249">IF(AND(ISNUMBER(R236),ISNUMBER(S236),ISNUMBER(T236)),SUM(R236:T236),"")</f>
        <v>1903886.1492124996</v>
      </c>
      <c r="W236" s="208"/>
      <c r="X236" s="208"/>
      <c r="Y236" s="208"/>
      <c r="Z236" s="1846" t="str">
        <f>IF(AND(ISNUMBER(W236),ISNUMBER(X236),ISNUMBER(Y236)),SUM(W236:Y236),"")</f>
        <v/>
      </c>
      <c r="AA236" s="208"/>
      <c r="AB236" s="208"/>
      <c r="AC236" s="208"/>
      <c r="AD236" s="1846" t="str">
        <f>IF(AND(ISNUMBER(AA236),ISNUMBER(AB236),ISNUMBER(AE236)),AA236-AB236+AE236,"")</f>
        <v/>
      </c>
      <c r="AE236" s="212"/>
      <c r="AF236" s="212"/>
      <c r="AG236" s="1856" t="str">
        <f>IF(AND(V236&lt;&gt;"",OR(Z236="",Z236=0)),"Missing Input",IF(AND(Z236&gt;0,Z236&lt;&gt;"",V236&gt;0,V236&lt;&gt;"",OR(_xlfn.NUMBERVALUE(V236)&gt;_xlfn.NUMBERVALUE(Z236),_xlfn.NUMBERVALUE(V236)=_xlfn.NUMBERVALUE(Z236))),"Ok","Please check"))</f>
        <v>Missing Input</v>
      </c>
      <c r="AH236" s="1857"/>
      <c r="AI236" s="1856" t="str">
        <f>+IFERROR(IF(AND(ABS(Z236-V236)&gt;ABS(0.95*(Z237-V237)),ABS(Z236-V236)&lt;ABS(1.05*(Z237-V237))),"Ok","Please Check"),"Please Check")</f>
        <v>Please Check</v>
      </c>
      <c r="AJ236" s="1856" t="str">
        <f>IF(OR('General Info'!$C$19="Yes",'General Info'!$D$19="Yes"),IF(AND(AC236&gt;0,AC236&lt;&gt;"",AH66&gt;0,AH66&lt;&gt;"",OR(_xlfn.NUMBERVALUE(AC236)&lt;_xlfn.NUMBERVALUE(AH66),_xlfn.NUMBERVALUE(AC236)=_xlfn.NUMBERVALUE(AH66))),"Ok","Please check"),"NA")</f>
        <v>NA</v>
      </c>
      <c r="AK236" s="1856" t="str">
        <f>IF(OR('General Info'!$C$19="Yes",'General Info'!$D$19="Yes"),IFERROR(IF(_xlfn.NUMBERVALUE(AC236)/_xlfn.NUMBERVALUE(AH66)&lt;0.7,"Please check","Ok"),"Please check"),"NA")</f>
        <v>NA</v>
      </c>
      <c r="AL236" s="1858" t="str">
        <f>IF(OR('General Info'!$C$19="Yes",'General Info'!$D$19="Yes"),IFERROR(IF(AND(_xlfn.NUMBERVALUE(AF236)/_xlfn.NUMBERVALUE(AC236)&gt;0.7143,_xlfn.NUMBERVALUE(AF236)/_xlfn.NUMBERVALUE(AC236)&lt;=1),"Ok", "Please check"),"Please check"),"NA")</f>
        <v>NA</v>
      </c>
    </row>
    <row r="237" spans="1:38" ht="15" customHeight="1" x14ac:dyDescent="0.35">
      <c r="A237" s="1513"/>
      <c r="B237" s="1870" t="s">
        <v>2343</v>
      </c>
      <c r="C237" s="1849"/>
      <c r="D237" s="208">
        <v>0</v>
      </c>
      <c r="E237" s="208">
        <v>0</v>
      </c>
      <c r="F237" s="208">
        <v>0</v>
      </c>
      <c r="H237" s="1846">
        <f t="shared" si="247"/>
        <v>0</v>
      </c>
      <c r="I237" s="2540">
        <v>0</v>
      </c>
      <c r="J237" s="2540">
        <v>0</v>
      </c>
      <c r="K237" s="2540">
        <v>0</v>
      </c>
      <c r="L237" s="1846">
        <f t="shared" si="248"/>
        <v>0</v>
      </c>
      <c r="M237" s="2540">
        <v>0</v>
      </c>
      <c r="N237" s="2540">
        <v>0</v>
      </c>
      <c r="O237" s="2540">
        <v>0</v>
      </c>
      <c r="P237" s="1846">
        <f t="shared" ref="P237:P254" si="250">IF(AND(ISNUMBER(M237),ISNUMBER(N237),ISNUMBER(O237)),SUM(M237:O237),"")</f>
        <v>0</v>
      </c>
      <c r="R237" s="2540">
        <v>0</v>
      </c>
      <c r="S237" s="2540">
        <v>0</v>
      </c>
      <c r="T237" s="2540">
        <v>0</v>
      </c>
      <c r="U237" s="1126"/>
      <c r="V237" s="1855">
        <f>IF(AND(ISNUMBER(R237),ISNUMBER(S237),ISNUMBER(T237)),SUM(R237:T237),"")</f>
        <v>0</v>
      </c>
      <c r="W237" s="208"/>
      <c r="X237" s="208"/>
      <c r="Y237" s="208"/>
      <c r="Z237" s="1846" t="str">
        <f>IF(AND(ISNUMBER(W237),ISNUMBER(X237),ISNUMBER(Y237)),SUM(W237:Y237),"")</f>
        <v/>
      </c>
      <c r="AA237" s="208"/>
      <c r="AB237" s="208"/>
      <c r="AC237" s="208"/>
      <c r="AD237" s="1846" t="str">
        <f>IF(AND(ISNUMBER(AA237),ISNUMBER(AB237),ISNUMBER(AE237)),AA237-AB237+AE237,"")</f>
        <v/>
      </c>
      <c r="AE237" s="208"/>
      <c r="AF237" s="208"/>
      <c r="AG237" s="1856" t="str">
        <f t="shared" ref="AG237" si="251">IF(AND(V237&lt;&gt;"",OR(Z237="",Z237=0)),"Missing Input",IF(AND(Z237&gt;0,Z237&lt;&gt;"",V237&gt;0,V237&lt;&gt;"",_xlfn.NUMBERVALUE(Z237)&lt;_xlfn.NUMBERVALUE(V237)),"Ok","Please check"))</f>
        <v>Missing Input</v>
      </c>
      <c r="AH237" s="1856" t="str">
        <f>IFERROR(IF(OR(V237="",Z237=""),"Missing input",IF(AND(_xlfn.NUMBERVALUE(Z237)/_xlfn.NUMBERVALUE(V237)&gt;0.7,_xlfn.NUMBERVALUE(Z237)/_xlfn.NUMBERVALUE(V237)&lt;0.8),"Ok","Please check")),"Please check")</f>
        <v>Missing input</v>
      </c>
      <c r="AI237" s="1857"/>
      <c r="AJ237" s="1857"/>
      <c r="AK237" s="1857"/>
      <c r="AL237" s="1859"/>
    </row>
    <row r="238" spans="1:38" ht="15" customHeight="1" x14ac:dyDescent="0.35">
      <c r="A238" s="1513"/>
      <c r="B238" s="1869" t="s">
        <v>2325</v>
      </c>
      <c r="C238" s="1849"/>
      <c r="D238" s="1846">
        <f>IF(ISNUMBER(D78), D78,"")</f>
        <v>305587.76117000001</v>
      </c>
      <c r="E238" s="1846">
        <f>IF(ISNUMBER(E78), E78,"")</f>
        <v>0</v>
      </c>
      <c r="F238" s="1846">
        <f>IF(ISNUMBER(H78),H78,"")</f>
        <v>4999</v>
      </c>
      <c r="H238" s="1846">
        <f t="shared" si="247"/>
        <v>310586.76117000001</v>
      </c>
      <c r="I238" s="1846">
        <f>IF(ISNUMBER(J78), J78,"")</f>
        <v>223796.03179000001</v>
      </c>
      <c r="J238" s="1846">
        <f>IF(ISNUMBER(K78),K78,"")</f>
        <v>0</v>
      </c>
      <c r="K238" s="1846">
        <f>IF(ISNUMBER(L78),L78,"")</f>
        <v>3820</v>
      </c>
      <c r="L238" s="1846">
        <f t="shared" si="248"/>
        <v>227616.03179000001</v>
      </c>
      <c r="M238" s="1846">
        <f>IF(ISNUMBER(R78),R78,"")</f>
        <v>305587.76117000001</v>
      </c>
      <c r="N238" s="1846">
        <f>IF(ISNUMBER(S78),S78,"")</f>
        <v>0</v>
      </c>
      <c r="O238" s="1846">
        <f>IF(ISNUMBER(V78),V78,"")</f>
        <v>39463</v>
      </c>
      <c r="P238" s="1846">
        <f t="shared" si="250"/>
        <v>345050.76117000001</v>
      </c>
      <c r="R238" s="1846">
        <f>IF(ISNUMBER(X78), X78, "")</f>
        <v>259749.5969945</v>
      </c>
      <c r="S238" s="1846">
        <f>IF(ISNUMBER(Y78), Y78, "")</f>
        <v>0</v>
      </c>
      <c r="T238" s="1855">
        <f>IF(ISNUMBER(Z78), Z78, "")</f>
        <v>33543.549999999996</v>
      </c>
      <c r="U238" s="1126"/>
      <c r="V238" s="1855">
        <f t="shared" si="249"/>
        <v>293293.14699450001</v>
      </c>
      <c r="W238" s="208"/>
      <c r="X238" s="208"/>
      <c r="Y238" s="208"/>
      <c r="Z238" s="1846" t="str">
        <f>IF(AND(ISNUMBER(W238),ISNUMBER(X238),ISNUMBER(Y238)),SUM(W238:Y238),"")</f>
        <v/>
      </c>
      <c r="AA238" s="208"/>
      <c r="AB238" s="208"/>
      <c r="AC238" s="208"/>
      <c r="AD238" s="1846" t="str">
        <f>IF(AND(ISNUMBER(AA238),ISNUMBER(AB238),ISNUMBER(AE238)),AA238-AB238+AE238,"")</f>
        <v/>
      </c>
      <c r="AE238" s="208"/>
      <c r="AF238" s="208"/>
      <c r="AG238" s="1856" t="str">
        <f>IF(AND(V238&lt;&gt;"",OR(Z238="",Z238=0)),"Missing Input",IF(AND(Z238&gt;0,Z238&lt;&gt;"",V238&gt;0,V238&lt;&gt;"",OR(_xlfn.NUMBERVALUE(V238)&gt;_xlfn.NUMBERVALUE(Z238),_xlfn.NUMBERVALUE(V238)=_xlfn.NUMBERVALUE(Z238))),"Ok","Please check"))</f>
        <v>Missing Input</v>
      </c>
      <c r="AH238" s="1857"/>
      <c r="AI238" s="1856" t="str">
        <f>+IFERROR(IF(AND(ABS(Z238-V238)&gt;ABS(0.95*(Z239-V239)),ABS(Z238-V238)&lt;ABS(1.05*(Z239-V239))),"Ok","Please Check"),"Please Check")</f>
        <v>Please Check</v>
      </c>
      <c r="AJ238" s="1856" t="str">
        <f>IF(OR('General Info'!$C$19="Yes",'General Info'!$D$19="Yes"),IF(AND(AC238&gt;0,AC238&lt;&gt;"",AH78&gt;0,AH78&lt;&gt;"",OR(_xlfn.NUMBERVALUE(AC238)&lt;_xlfn.NUMBERVALUE(AH78),_xlfn.NUMBERVALUE(AC238)=_xlfn.NUMBERVALUE(AH78))),"Ok","Please check"),"NA")</f>
        <v>NA</v>
      </c>
      <c r="AK238" s="1856" t="str">
        <f>IF(OR('General Info'!$C$19="Yes",'General Info'!$D$19="Yes"),IFERROR(IF(_xlfn.NUMBERVALUE(AC238)/_xlfn.NUMBERVALUE(AH68)&lt;0.7,"Please check","Ok"),"Please check"),"NA")</f>
        <v>NA</v>
      </c>
      <c r="AL238" s="1858" t="str">
        <f>IF(OR('General Info'!$C$19="Yes",'General Info'!$D$19="Yes"),IFERROR(IF(AND(_xlfn.NUMBERVALUE(AF238)/_xlfn.NUMBERVALUE(AC238)&gt;0.7143,_xlfn.NUMBERVALUE(AF238)/_xlfn.NUMBERVALUE(AC238)&lt;=1),"Ok", "Please check"),"Please check"),"NA")</f>
        <v>NA</v>
      </c>
    </row>
    <row r="239" spans="1:38" ht="15" customHeight="1" x14ac:dyDescent="0.35">
      <c r="A239" s="1513"/>
      <c r="B239" s="1870" t="s">
        <v>2343</v>
      </c>
      <c r="C239" s="1849"/>
      <c r="D239" s="208">
        <v>0</v>
      </c>
      <c r="E239" s="208">
        <v>0</v>
      </c>
      <c r="F239" s="208">
        <v>0</v>
      </c>
      <c r="H239" s="1846">
        <f t="shared" si="247"/>
        <v>0</v>
      </c>
      <c r="I239" s="2540">
        <v>0</v>
      </c>
      <c r="J239" s="2540">
        <v>0</v>
      </c>
      <c r="K239" s="2540">
        <v>0</v>
      </c>
      <c r="L239" s="1846">
        <f t="shared" si="248"/>
        <v>0</v>
      </c>
      <c r="M239" s="2540">
        <v>0</v>
      </c>
      <c r="N239" s="2540">
        <v>0</v>
      </c>
      <c r="O239" s="2540">
        <v>0</v>
      </c>
      <c r="P239" s="1846">
        <f t="shared" si="250"/>
        <v>0</v>
      </c>
      <c r="R239" s="2540">
        <v>0</v>
      </c>
      <c r="S239" s="2540">
        <v>0</v>
      </c>
      <c r="T239" s="2540">
        <v>0</v>
      </c>
      <c r="U239" s="1126"/>
      <c r="V239" s="1855">
        <f t="shared" si="249"/>
        <v>0</v>
      </c>
      <c r="W239" s="208"/>
      <c r="X239" s="208"/>
      <c r="Y239" s="208"/>
      <c r="Z239" s="1846" t="str">
        <f>IF(AND(ISNUMBER(W239),ISNUMBER(X239),ISNUMBER(Y239)),SUM(W239:Y239),"")</f>
        <v/>
      </c>
      <c r="AA239" s="208"/>
      <c r="AB239" s="208"/>
      <c r="AC239" s="208"/>
      <c r="AD239" s="1846" t="str">
        <f>IF(AND(ISNUMBER(AA239),ISNUMBER(AB239),ISNUMBER(AE239)),AA239-AB239+AE239,"")</f>
        <v/>
      </c>
      <c r="AE239" s="208"/>
      <c r="AF239" s="208"/>
      <c r="AG239" s="1856" t="str">
        <f t="shared" ref="AG239" si="252">IF(AND(V239&lt;&gt;"",OR(Z239="",Z239=0)),"Missing Input",IF(AND(Z239&gt;0,Z239&lt;&gt;"",V239&gt;0,V239&lt;&gt;"",_xlfn.NUMBERVALUE(Z239)&lt;_xlfn.NUMBERVALUE(V239)),"Ok","Please check"))</f>
        <v>Missing Input</v>
      </c>
      <c r="AH239" s="1856" t="str">
        <f>IFERROR(IF(OR(V239="",Z239=""),"Missing input",IF(AND(_xlfn.NUMBERVALUE(Z239)/_xlfn.NUMBERVALUE(V239)&gt;0.7,_xlfn.NUMBERVALUE(Z239)/_xlfn.NUMBERVALUE(V239)&lt;0.8),"Ok","Please check")),"Please check")</f>
        <v>Missing input</v>
      </c>
      <c r="AI239" s="1857"/>
      <c r="AJ239" s="1857"/>
      <c r="AK239" s="1857"/>
      <c r="AL239" s="1859"/>
    </row>
    <row r="240" spans="1:38" ht="15" customHeight="1" x14ac:dyDescent="0.35">
      <c r="A240" s="1513"/>
      <c r="B240" s="1869" t="s">
        <v>2344</v>
      </c>
      <c r="C240" s="1849"/>
      <c r="D240" s="1846">
        <f>IF(ISNUMBER(D79), D79, "")</f>
        <v>0</v>
      </c>
      <c r="E240" s="1846">
        <f>IF(ISNUMBER(E79), E79, "")</f>
        <v>0</v>
      </c>
      <c r="F240" s="1846">
        <f>IF(ISNUMBER(H79), H79, "")</f>
        <v>0</v>
      </c>
      <c r="H240" s="1846">
        <f t="shared" si="247"/>
        <v>0</v>
      </c>
      <c r="I240" s="1846">
        <f>IF(ISNUMBER(J79), J79, "")</f>
        <v>0</v>
      </c>
      <c r="J240" s="1846">
        <f>IF(ISNUMBER(K79), K79, "")</f>
        <v>0</v>
      </c>
      <c r="K240" s="1846">
        <f>IF(ISNUMBER(L79), L79, "")</f>
        <v>0</v>
      </c>
      <c r="L240" s="1846">
        <f t="shared" si="248"/>
        <v>0</v>
      </c>
      <c r="M240" s="1846">
        <f>IF(ISNUMBER(R79), R79, "")</f>
        <v>0</v>
      </c>
      <c r="N240" s="1846">
        <f>IF(ISNUMBER(S79),S79, "")</f>
        <v>0</v>
      </c>
      <c r="O240" s="1846">
        <f>IF(ISNUMBER(V79), V79, "")</f>
        <v>0</v>
      </c>
      <c r="P240" s="1846">
        <f t="shared" si="250"/>
        <v>0</v>
      </c>
      <c r="R240" s="1846">
        <f>IF(ISNUMBER(X79), X79, "")</f>
        <v>0</v>
      </c>
      <c r="S240" s="1846">
        <f>IF(ISNUMBER(Y79), Y79, "")</f>
        <v>0</v>
      </c>
      <c r="T240" s="1855">
        <f>IF(ISNUMBER(Z79), Z79, "")</f>
        <v>0</v>
      </c>
      <c r="U240" s="1126"/>
      <c r="V240" s="1855">
        <f t="shared" si="249"/>
        <v>0</v>
      </c>
      <c r="W240" s="1846" t="str">
        <f>IF(AND(ISNUMBER(W241),ISNUMBER(W248),ISNUMBER(W251)),SUM(W241,W248,W251),"")</f>
        <v/>
      </c>
      <c r="X240" s="1846" t="str">
        <f>IF(AND(ISNUMBER(X241),ISNUMBER(X248),ISNUMBER(X251)),SUM(X241,X248,X251),"")</f>
        <v/>
      </c>
      <c r="Y240" s="1846" t="str">
        <f>IF(AND(ISNUMBER(Y241),ISNUMBER(Y248),ISNUMBER(Y250)),SUM(Y241,Y248,Y250),"")</f>
        <v/>
      </c>
      <c r="Z240" s="1846" t="str">
        <f t="shared" ref="Z240:Z253" si="253">IF(AND(ISNUMBER(W240),ISNUMBER(X240),ISNUMBER(Y240)),SUM(W240:Y240),"")</f>
        <v/>
      </c>
      <c r="AA240" s="1846" t="str">
        <f>IF(AND(ISNUMBER(AA241),ISNUMBER(AA248),ISNUMBER(AA251)),SUM(AA241,AA248,AA251),"")</f>
        <v/>
      </c>
      <c r="AB240" s="1846" t="str">
        <f>IF(AND(ISNUMBER(AB241),ISNUMBER(AB248),ISNUMBER(AB251)),SUM(AB241,AB248,AB251),"")</f>
        <v/>
      </c>
      <c r="AC240" s="1846" t="str">
        <f>IF(AND(ISNUMBER(AC241),ISNUMBER(AC248),ISNUMBER(AC251)),SUM(AC241,AC248,AC251),"")</f>
        <v/>
      </c>
      <c r="AD240" s="1846" t="str">
        <f t="shared" ref="AD240:AD254" si="254">IF(AND(ISNUMBER(AA240),ISNUMBER(AB240),ISNUMBER(AE240)),AA240-AB240+AE240,"")</f>
        <v/>
      </c>
      <c r="AE240" s="1846" t="str">
        <f>IF(AND(ISNUMBER(AE241),ISNUMBER(AE248),ISNUMBER(AE251)),SUM(AE241,AE248,AE251),"")</f>
        <v/>
      </c>
      <c r="AF240" s="1846" t="str">
        <f>IF(AND(ISNUMBER(AF241),ISNUMBER(AF248),ISNUMBER(AF251)),SUM(AF241,AF248,AF251),"")</f>
        <v/>
      </c>
      <c r="AG240" s="1856" t="str">
        <f>IF(AND(V240&lt;&gt;"",OR(Z240="",Z240=0)),"Missing Input",IF(AND(Z240&gt;0,Z240&lt;&gt;"",V240&gt;0,V240&lt;&gt;"",OR(_xlfn.NUMBERVALUE(V240)&gt;_xlfn.NUMBERVALUE(Z240),_xlfn.NUMBERVALUE(V240)=_xlfn.NUMBERVALUE(Z240))),"Ok","Please check"))</f>
        <v>Missing Input</v>
      </c>
      <c r="AH240" s="1857"/>
      <c r="AI240" s="1856" t="str">
        <f>+IFERROR(IF(AND(ABS(Z240-V240)&gt;ABS(0.95*(Z241-V241)),ABS(Z240-V240)&lt;ABS(1.05*(Z241-V241))),"Ok","Please Check"),"Please Check")</f>
        <v>Please Check</v>
      </c>
      <c r="AJ240" s="1857"/>
      <c r="AK240" s="1857"/>
      <c r="AL240" s="1859"/>
    </row>
    <row r="241" spans="1:38" ht="15" customHeight="1" x14ac:dyDescent="0.35">
      <c r="A241" s="1513"/>
      <c r="B241" s="1870" t="s">
        <v>802</v>
      </c>
      <c r="C241" s="1849"/>
      <c r="D241" s="1846">
        <f>IF(ISNUMBER(D81), D81, "")</f>
        <v>0</v>
      </c>
      <c r="E241" s="1846">
        <f>IF(ISNUMBER(E81), E81, "")</f>
        <v>0</v>
      </c>
      <c r="F241" s="1846">
        <f>IF(ISNUMBER(H81), H81, "")</f>
        <v>0</v>
      </c>
      <c r="H241" s="1846">
        <f t="shared" si="247"/>
        <v>0</v>
      </c>
      <c r="I241" s="1846">
        <f t="shared" ref="I241:K242" si="255">IF(ISNUMBER(J81), J81, "")</f>
        <v>0</v>
      </c>
      <c r="J241" s="1846">
        <f t="shared" si="255"/>
        <v>0</v>
      </c>
      <c r="K241" s="1846">
        <f t="shared" si="255"/>
        <v>0</v>
      </c>
      <c r="L241" s="1846">
        <f t="shared" si="248"/>
        <v>0</v>
      </c>
      <c r="M241" s="1846">
        <f>IF(ISNUMBER(R81), R81, "")</f>
        <v>0</v>
      </c>
      <c r="N241" s="1846">
        <f>IF(ISNUMBER(S81), S81, "")</f>
        <v>0</v>
      </c>
      <c r="O241" s="1846">
        <f>IF(ISNUMBER(V81), V81, "")</f>
        <v>0</v>
      </c>
      <c r="P241" s="1846">
        <f t="shared" si="250"/>
        <v>0</v>
      </c>
      <c r="R241" s="1846">
        <f t="shared" ref="R241:T242" si="256">IF(ISNUMBER(X81), X81, "")</f>
        <v>0</v>
      </c>
      <c r="S241" s="1846">
        <f t="shared" si="256"/>
        <v>0</v>
      </c>
      <c r="T241" s="1855">
        <f t="shared" si="256"/>
        <v>0</v>
      </c>
      <c r="U241" s="1126"/>
      <c r="V241" s="1855">
        <f t="shared" si="249"/>
        <v>0</v>
      </c>
      <c r="W241" s="1846" t="str">
        <f>IF(AND(ISNUMBER(W242),ISNUMBER(W244),ISNUMBER(W246)),SUM(W242,W244,W246),"")</f>
        <v/>
      </c>
      <c r="X241" s="1846" t="str">
        <f t="shared" ref="X241:Y241" si="257">IF(AND(ISNUMBER(X242),ISNUMBER(X244),ISNUMBER(X246)),SUM(X242,X244,X246),"")</f>
        <v/>
      </c>
      <c r="Y241" s="1846" t="str">
        <f t="shared" si="257"/>
        <v/>
      </c>
      <c r="Z241" s="1846" t="str">
        <f t="shared" si="253"/>
        <v/>
      </c>
      <c r="AA241" s="1846" t="str">
        <f>IF(AND(ISNUMBER(AA242),ISNUMBER(AA244),ISNUMBER(AA246)),SUM(AA242,AA244,AA246),"")</f>
        <v/>
      </c>
      <c r="AB241" s="1846" t="str">
        <f>IF(AND(ISNUMBER(AB242),ISNUMBER(AB244),ISNUMBER(AB246)),SUM(AB242,AB244,AB246),"")</f>
        <v/>
      </c>
      <c r="AC241" s="1846" t="str">
        <f>IF(AND(ISNUMBER(AC242),ISNUMBER(AC244),ISNUMBER(AC246)),SUM(AC242,AC244,AC246),"")</f>
        <v/>
      </c>
      <c r="AD241" s="1846" t="str">
        <f t="shared" si="254"/>
        <v/>
      </c>
      <c r="AE241" s="1846" t="str">
        <f>IF(AND(ISNUMBER(AE242),ISNUMBER(AE244),ISNUMBER(AE246)),SUM(AE242,AE244,AE246),"")</f>
        <v/>
      </c>
      <c r="AF241" s="1846" t="str">
        <f>IF(AND(ISNUMBER(AF242),ISNUMBER(AF244),ISNUMBER(AF246)),SUM(AF242,AF244,AF246),"")</f>
        <v/>
      </c>
      <c r="AG241" s="1856" t="str">
        <f>IF(AND(V241&lt;&gt;"",OR(Z241="",Z241=0)),"Missing Input",IF(AND(Z241&gt;0,Z241&lt;&gt;"",V241&gt;0,V241&lt;&gt;"",OR(_xlfn.NUMBERVALUE(V241)&gt;_xlfn.NUMBERVALUE(Z241),_xlfn.NUMBERVALUE(V241)=_xlfn.NUMBERVALUE(Z241))),"Ok","Please check"))</f>
        <v>Missing Input</v>
      </c>
      <c r="AH241" s="1857"/>
      <c r="AI241" s="1857"/>
      <c r="AJ241" s="1857"/>
      <c r="AK241" s="1857"/>
      <c r="AL241" s="1859"/>
    </row>
    <row r="242" spans="1:38" ht="15" customHeight="1" x14ac:dyDescent="0.35">
      <c r="A242" s="1513"/>
      <c r="B242" s="1871" t="s">
        <v>803</v>
      </c>
      <c r="C242" s="1849"/>
      <c r="D242" s="1846">
        <f>IF(ISNUMBER(D82), D82, "")</f>
        <v>0</v>
      </c>
      <c r="E242" s="1846">
        <f t="shared" ref="E242" si="258">IF(ISNUMBER(E82), E82, "")</f>
        <v>0</v>
      </c>
      <c r="F242" s="1846">
        <f>IF(ISNUMBER(H82), H82, "")</f>
        <v>0</v>
      </c>
      <c r="H242" s="1846">
        <f t="shared" si="247"/>
        <v>0</v>
      </c>
      <c r="I242" s="1846">
        <f t="shared" si="255"/>
        <v>0</v>
      </c>
      <c r="J242" s="1846">
        <f t="shared" si="255"/>
        <v>0</v>
      </c>
      <c r="K242" s="1846">
        <f t="shared" si="255"/>
        <v>0</v>
      </c>
      <c r="L242" s="1846">
        <f t="shared" si="248"/>
        <v>0</v>
      </c>
      <c r="M242" s="1846">
        <f>IF(ISNUMBER(R82), R82, "")</f>
        <v>0</v>
      </c>
      <c r="N242" s="1846">
        <f>IF(ISNUMBER(S82), S82, "")</f>
        <v>0</v>
      </c>
      <c r="O242" s="1846">
        <f>IF(ISNUMBER(V82), V82, "")</f>
        <v>0</v>
      </c>
      <c r="P242" s="1846">
        <f t="shared" si="250"/>
        <v>0</v>
      </c>
      <c r="R242" s="1846">
        <f t="shared" si="256"/>
        <v>0</v>
      </c>
      <c r="S242" s="1846">
        <f t="shared" si="256"/>
        <v>0</v>
      </c>
      <c r="T242" s="1855">
        <f t="shared" si="256"/>
        <v>0</v>
      </c>
      <c r="U242" s="1126"/>
      <c r="V242" s="1855">
        <f t="shared" si="249"/>
        <v>0</v>
      </c>
      <c r="W242" s="208"/>
      <c r="X242" s="208"/>
      <c r="Y242" s="208"/>
      <c r="Z242" s="1846" t="str">
        <f t="shared" si="253"/>
        <v/>
      </c>
      <c r="AA242" s="208"/>
      <c r="AB242" s="208"/>
      <c r="AC242" s="208"/>
      <c r="AD242" s="1846" t="str">
        <f t="shared" si="254"/>
        <v/>
      </c>
      <c r="AE242" s="208"/>
      <c r="AF242" s="208"/>
      <c r="AG242" s="1856" t="str">
        <f>IF(AND(V242&lt;&gt;"",OR(Z242="",Z242=0)),"Missing Input",IF(AND(Z242&gt;0,Z242&lt;&gt;"",V242&gt;0,V242&lt;&gt;"",OR(_xlfn.NUMBERVALUE(V242)&gt;_xlfn.NUMBERVALUE(Z242),_xlfn.NUMBERVALUE(V242)=_xlfn.NUMBERVALUE(Z242))),"Ok","Please check"))</f>
        <v>Missing Input</v>
      </c>
      <c r="AH242" s="1857"/>
      <c r="AI242" s="1857"/>
      <c r="AJ242" s="1856" t="str">
        <f>IF(OR('General Info'!$C$19="Yes",'General Info'!$D$19="Yes"),IF(AND(AC242&gt;0,AC242&lt;&gt;"",AH82&gt;0,AH82&lt;&gt;"",OR(_xlfn.NUMBERVALUE(AC242)&lt;_xlfn.NUMBERVALUE(AH82),_xlfn.NUMBERVALUE(AC242)=_xlfn.NUMBERVALUE(AH82))),"Ok","Please check"),"NA")</f>
        <v>NA</v>
      </c>
      <c r="AK242" s="1856" t="str">
        <f>IF(OR('General Info'!$C$19="Yes",'General Info'!$D$19="Yes"),IFERROR(IF(_xlfn.NUMBERVALUE(AC242)/_xlfn.NUMBERVALUE(AH78)&lt;0.7,"Please check","Ok"),"Please check"),"NA")</f>
        <v>NA</v>
      </c>
      <c r="AL242" s="1858" t="str">
        <f>IF(OR('General Info'!$C$19="Yes",'General Info'!$D$19="Yes"),IFERROR(IF(AND(_xlfn.NUMBERVALUE(AF242)/_xlfn.NUMBERVALUE(AC242)&gt;0.7143,_xlfn.NUMBERVALUE(AF242)/_xlfn.NUMBERVALUE(AC242)&lt;=1),"Ok", "Please check"),"Please check"),"NA")</f>
        <v>NA</v>
      </c>
    </row>
    <row r="243" spans="1:38" ht="15" customHeight="1" x14ac:dyDescent="0.35">
      <c r="A243" s="1513"/>
      <c r="B243" s="1872" t="s">
        <v>2343</v>
      </c>
      <c r="C243" s="1849"/>
      <c r="D243" s="208">
        <v>0</v>
      </c>
      <c r="E243" s="208">
        <v>0</v>
      </c>
      <c r="F243" s="208">
        <v>0</v>
      </c>
      <c r="H243" s="1846">
        <f t="shared" si="247"/>
        <v>0</v>
      </c>
      <c r="I243" s="2540">
        <v>0</v>
      </c>
      <c r="J243" s="2540">
        <v>0</v>
      </c>
      <c r="K243" s="2540">
        <v>0</v>
      </c>
      <c r="L243" s="1846">
        <f t="shared" si="248"/>
        <v>0</v>
      </c>
      <c r="M243" s="2540">
        <v>0</v>
      </c>
      <c r="N243" s="2540">
        <v>0</v>
      </c>
      <c r="O243" s="2540">
        <v>0</v>
      </c>
      <c r="P243" s="1846">
        <f t="shared" si="250"/>
        <v>0</v>
      </c>
      <c r="R243" s="2540">
        <v>0</v>
      </c>
      <c r="S243" s="2540">
        <v>0</v>
      </c>
      <c r="T243" s="2540">
        <v>0</v>
      </c>
      <c r="U243" s="1126"/>
      <c r="V243" s="1855">
        <f t="shared" si="249"/>
        <v>0</v>
      </c>
      <c r="W243" s="208"/>
      <c r="X243" s="208"/>
      <c r="Y243" s="208"/>
      <c r="Z243" s="1846" t="str">
        <f t="shared" si="253"/>
        <v/>
      </c>
      <c r="AA243" s="208"/>
      <c r="AB243" s="208"/>
      <c r="AC243" s="208"/>
      <c r="AD243" s="1846" t="str">
        <f t="shared" si="254"/>
        <v/>
      </c>
      <c r="AE243" s="208"/>
      <c r="AF243" s="208"/>
      <c r="AG243" s="1856" t="str">
        <f t="shared" ref="AG243" si="259">IF(AND(V243&lt;&gt;"",OR(Z243="",Z243=0)),"Missing Input",IF(AND(Z243&gt;0,Z243&lt;&gt;"",V243&gt;0,V243&lt;&gt;"",_xlfn.NUMBERVALUE(Z243)&lt;_xlfn.NUMBERVALUE(V243)),"Ok","Please check"))</f>
        <v>Missing Input</v>
      </c>
      <c r="AH243" s="1856" t="str">
        <f>IFERROR(IF(OR(V243="",Z243=""),"Missing input",IF(AND(_xlfn.NUMBERVALUE(Z243)/_xlfn.NUMBERVALUE(V243)&gt;0.7,_xlfn.NUMBERVALUE(Z243)/_xlfn.NUMBERVALUE(V243)&lt;0.8),"Ok","Please check")),"Please check")</f>
        <v>Missing input</v>
      </c>
      <c r="AI243" s="1857"/>
      <c r="AJ243" s="1857"/>
      <c r="AK243" s="1857"/>
      <c r="AL243" s="1859"/>
    </row>
    <row r="244" spans="1:38" ht="15" customHeight="1" x14ac:dyDescent="0.35">
      <c r="A244" s="1513"/>
      <c r="B244" s="1871" t="s">
        <v>804</v>
      </c>
      <c r="C244" s="1849"/>
      <c r="D244" s="1846">
        <f>IF(ISNUMBER(D83), D83, "")</f>
        <v>0</v>
      </c>
      <c r="E244" s="1846">
        <f t="shared" ref="E244" si="260">IF(ISNUMBER(E83), E83, "")</f>
        <v>0</v>
      </c>
      <c r="F244" s="1846">
        <f>IF(ISNUMBER(H83), H83, "")</f>
        <v>0</v>
      </c>
      <c r="H244" s="1846">
        <f t="shared" si="247"/>
        <v>0</v>
      </c>
      <c r="I244" s="1846">
        <f>IF(ISNUMBER(J83), J83, "")</f>
        <v>0</v>
      </c>
      <c r="J244" s="1846">
        <f>IF(ISNUMBER(K83), K83, "")</f>
        <v>0</v>
      </c>
      <c r="K244" s="1846">
        <f>IF(ISNUMBER(L83), L83, "")</f>
        <v>0</v>
      </c>
      <c r="L244" s="1846">
        <f t="shared" si="248"/>
        <v>0</v>
      </c>
      <c r="M244" s="1846">
        <f>IF(ISNUMBER(R83), R83, "")</f>
        <v>0</v>
      </c>
      <c r="N244" s="1846">
        <f>IF(ISNUMBER(S83), S83, "")</f>
        <v>0</v>
      </c>
      <c r="O244" s="1846">
        <f>IF(ISNUMBER(V83), V83, "")</f>
        <v>0</v>
      </c>
      <c r="P244" s="1846">
        <f t="shared" si="250"/>
        <v>0</v>
      </c>
      <c r="R244" s="1846">
        <f>IF(ISNUMBER(X83), X83, "")</f>
        <v>0</v>
      </c>
      <c r="S244" s="1846">
        <f>IF(ISNUMBER(Y83), Y83, "")</f>
        <v>0</v>
      </c>
      <c r="T244" s="1855">
        <f>IF(ISNUMBER(Z83), Z83, "")</f>
        <v>0</v>
      </c>
      <c r="U244" s="1126"/>
      <c r="V244" s="1855">
        <f t="shared" si="249"/>
        <v>0</v>
      </c>
      <c r="W244" s="208"/>
      <c r="X244" s="208"/>
      <c r="Y244" s="208"/>
      <c r="Z244" s="1846" t="str">
        <f t="shared" si="253"/>
        <v/>
      </c>
      <c r="AA244" s="208"/>
      <c r="AB244" s="208"/>
      <c r="AC244" s="208"/>
      <c r="AD244" s="1846" t="str">
        <f t="shared" si="254"/>
        <v/>
      </c>
      <c r="AE244" s="208"/>
      <c r="AF244" s="208"/>
      <c r="AG244" s="1856" t="str">
        <f>IF(AND(V244&lt;&gt;"",OR(Z244="",Z244=0)),"Missing Input",IF(AND(Z244&gt;0,Z244&lt;&gt;"",V244&gt;0,V244&lt;&gt;"",OR(_xlfn.NUMBERVALUE(V244)&gt;_xlfn.NUMBERVALUE(Z244),_xlfn.NUMBERVALUE(V244)=_xlfn.NUMBERVALUE(Z244))),"Ok","Please check"))</f>
        <v>Missing Input</v>
      </c>
      <c r="AH244" s="1857"/>
      <c r="AI244" s="1857"/>
      <c r="AJ244" s="1856" t="str">
        <f>IF(OR('General Info'!$C$19="Yes",'General Info'!$D$19="Yes"),IF(AND(AC244&gt;0,AC244&lt;&gt;"",AH83&gt;0,AH83&lt;&gt;"",OR(_xlfn.NUMBERVALUE(AC244)&lt;_xlfn.NUMBERVALUE(AH83),_xlfn.NUMBERVALUE(AC244)=_xlfn.NUMBERVALUE(AH83))),"Ok","Please check"),"NA")</f>
        <v>NA</v>
      </c>
      <c r="AK244" s="1856" t="str">
        <f>IF(OR('General Info'!$C$19="Yes",'General Info'!$D$19="Yes"),IFERROR(IF(_xlfn.NUMBERVALUE(AC244)/_xlfn.NUMBERVALUE(AH82)&lt;0.7,"Please check","Ok"),"Please check"),"NA")</f>
        <v>NA</v>
      </c>
      <c r="AL244" s="1858" t="str">
        <f>IF(OR('General Info'!$C$19="Yes",'General Info'!$D$19="Yes"),IFERROR(IF(AND(_xlfn.NUMBERVALUE(AF244)/_xlfn.NUMBERVALUE(AC244)&gt;0.7143,_xlfn.NUMBERVALUE(AF244)/_xlfn.NUMBERVALUE(AC244)&lt;=1),"Ok", "Please check"),"Please check"),"NA")</f>
        <v>NA</v>
      </c>
    </row>
    <row r="245" spans="1:38" ht="15" customHeight="1" x14ac:dyDescent="0.35">
      <c r="A245" s="1513"/>
      <c r="B245" s="1872" t="s">
        <v>2343</v>
      </c>
      <c r="C245" s="1849"/>
      <c r="D245" s="208">
        <v>0</v>
      </c>
      <c r="E245" s="208">
        <v>0</v>
      </c>
      <c r="F245" s="208">
        <v>0</v>
      </c>
      <c r="H245" s="1846">
        <f t="shared" si="247"/>
        <v>0</v>
      </c>
      <c r="I245" s="2540">
        <v>0</v>
      </c>
      <c r="J245" s="2540">
        <v>0</v>
      </c>
      <c r="K245" s="2540">
        <v>0</v>
      </c>
      <c r="L245" s="1846">
        <f t="shared" si="248"/>
        <v>0</v>
      </c>
      <c r="M245" s="2540">
        <v>0</v>
      </c>
      <c r="N245" s="2540">
        <v>0</v>
      </c>
      <c r="O245" s="2540">
        <v>0</v>
      </c>
      <c r="P245" s="1846">
        <f t="shared" si="250"/>
        <v>0</v>
      </c>
      <c r="R245" s="2540">
        <v>0</v>
      </c>
      <c r="S245" s="2540">
        <v>0</v>
      </c>
      <c r="T245" s="2540">
        <v>0</v>
      </c>
      <c r="U245" s="1126"/>
      <c r="V245" s="1855">
        <f t="shared" si="249"/>
        <v>0</v>
      </c>
      <c r="W245" s="208"/>
      <c r="X245" s="208"/>
      <c r="Y245" s="208"/>
      <c r="Z245" s="1846" t="str">
        <f t="shared" si="253"/>
        <v/>
      </c>
      <c r="AA245" s="208"/>
      <c r="AB245" s="208"/>
      <c r="AC245" s="208"/>
      <c r="AD245" s="1846" t="str">
        <f t="shared" si="254"/>
        <v/>
      </c>
      <c r="AE245" s="208"/>
      <c r="AF245" s="208"/>
      <c r="AG245" s="1856" t="str">
        <f t="shared" ref="AG245" si="261">IF(AND(V245&lt;&gt;"",OR(Z245="",Z245=0)),"Missing Input",IF(AND(Z245&gt;0,Z245&lt;&gt;"",V245&gt;0,V245&lt;&gt;"",_xlfn.NUMBERVALUE(Z245)&lt;_xlfn.NUMBERVALUE(V245)),"Ok","Please check"))</f>
        <v>Missing Input</v>
      </c>
      <c r="AH245" s="1856" t="str">
        <f>IFERROR(IF(OR(V245="",Z245=""),"Missing input",IF(AND(_xlfn.NUMBERVALUE(Z245)/_xlfn.NUMBERVALUE(V245)&gt;0.7,_xlfn.NUMBERVALUE(Z245)/_xlfn.NUMBERVALUE(V245)&lt;0.8),"Ok","Please check")),"Please check")</f>
        <v>Missing input</v>
      </c>
      <c r="AI245" s="1857"/>
      <c r="AJ245" s="1857"/>
      <c r="AK245" s="1857"/>
      <c r="AL245" s="1859"/>
    </row>
    <row r="246" spans="1:38" ht="15" customHeight="1" x14ac:dyDescent="0.35">
      <c r="A246" s="1513"/>
      <c r="B246" s="407" t="s">
        <v>805</v>
      </c>
      <c r="C246" s="1849"/>
      <c r="D246" s="1846">
        <f>IF(ISNUMBER(D84), D84, "")</f>
        <v>0</v>
      </c>
      <c r="E246" s="1846">
        <f t="shared" ref="E246" si="262">IF(ISNUMBER(E84), E84, "")</f>
        <v>0</v>
      </c>
      <c r="F246" s="1846">
        <f>IF(ISNUMBER(H84), H84, "")</f>
        <v>0</v>
      </c>
      <c r="H246" s="1846">
        <f t="shared" si="247"/>
        <v>0</v>
      </c>
      <c r="I246" s="1846">
        <f>IF(ISNUMBER(J84), J84, "")</f>
        <v>0</v>
      </c>
      <c r="J246" s="1846">
        <f>IF(ISNUMBER(K84), K84, "")</f>
        <v>0</v>
      </c>
      <c r="K246" s="1846">
        <f>IF(ISNUMBER(L84), L84, "")</f>
        <v>0</v>
      </c>
      <c r="L246" s="1846">
        <f t="shared" si="248"/>
        <v>0</v>
      </c>
      <c r="M246" s="1846">
        <f>IF(ISNUMBER(R84), R84, "")</f>
        <v>0</v>
      </c>
      <c r="N246" s="1846">
        <f>IF(ISNUMBER(S84), S84, "")</f>
        <v>0</v>
      </c>
      <c r="O246" s="1846">
        <f>IF(ISNUMBER(V84), V84, "")</f>
        <v>0</v>
      </c>
      <c r="P246" s="1846">
        <f t="shared" si="250"/>
        <v>0</v>
      </c>
      <c r="R246" s="1846">
        <f>IF(ISNUMBER(X84), X84, "")</f>
        <v>0</v>
      </c>
      <c r="S246" s="1846">
        <f>IF(ISNUMBER(Y84), Y84, "")</f>
        <v>0</v>
      </c>
      <c r="T246" s="1855">
        <f>IF(ISNUMBER(Z84), Z84, "")</f>
        <v>0</v>
      </c>
      <c r="U246" s="1126"/>
      <c r="V246" s="1855">
        <f t="shared" si="249"/>
        <v>0</v>
      </c>
      <c r="W246" s="208"/>
      <c r="X246" s="208"/>
      <c r="Y246" s="208"/>
      <c r="Z246" s="1846" t="str">
        <f t="shared" si="253"/>
        <v/>
      </c>
      <c r="AA246" s="208"/>
      <c r="AB246" s="208"/>
      <c r="AC246" s="208"/>
      <c r="AD246" s="1846" t="str">
        <f t="shared" si="254"/>
        <v/>
      </c>
      <c r="AE246" s="208"/>
      <c r="AF246" s="208"/>
      <c r="AG246" s="1856" t="str">
        <f>IF(AND(V246&lt;&gt;"",OR(Z246="",Z246=0)),"Missing Input",IF(AND(Z246&gt;0,Z246&lt;&gt;"",V246&gt;0,V246&lt;&gt;"",OR(_xlfn.NUMBERVALUE(V246)&gt;_xlfn.NUMBERVALUE(Z246),_xlfn.NUMBERVALUE(V246)=_xlfn.NUMBERVALUE(Z246))),"Ok","Please check"))</f>
        <v>Missing Input</v>
      </c>
      <c r="AH246" s="1857"/>
      <c r="AI246" s="1857"/>
      <c r="AJ246" s="1856" t="str">
        <f>IF(OR('General Info'!$C$19="Yes",'General Info'!$D$19="Yes"),IF(AND(AC246&gt;0,AC246&lt;&gt;"",AH84&gt;0,AH84&lt;&gt;"",OR(_xlfn.NUMBERVALUE(AC246)&lt;_xlfn.NUMBERVALUE(AH84),_xlfn.NUMBERVALUE(AC246)=_xlfn.NUMBERVALUE(AH84))),"Ok","Please check"),"NA")</f>
        <v>NA</v>
      </c>
      <c r="AK246" s="1856" t="str">
        <f>IF(OR('General Info'!$C$19="Yes",'General Info'!$D$19="Yes"),IFERROR(IF(_xlfn.NUMBERVALUE(AC246)/_xlfn.NUMBERVALUE(AH83)&lt;0.7,"Please check","Ok"),"Please check"),"NA")</f>
        <v>NA</v>
      </c>
      <c r="AL246" s="1858" t="str">
        <f>IF(OR('General Info'!$C$19="Yes",'General Info'!$D$19="Yes"),IFERROR(IF(AND(_xlfn.NUMBERVALUE(AF246)/_xlfn.NUMBERVALUE(AC246)&gt;0.7143,_xlfn.NUMBERVALUE(AF246)/_xlfn.NUMBERVALUE(AC246)&lt;=1),"Ok", "Please check"),"Please check"),"NA")</f>
        <v>NA</v>
      </c>
    </row>
    <row r="247" spans="1:38" ht="15" customHeight="1" x14ac:dyDescent="0.35">
      <c r="A247" s="1513"/>
      <c r="B247" s="1872" t="s">
        <v>2343</v>
      </c>
      <c r="C247" s="1849"/>
      <c r="D247" s="208">
        <v>0</v>
      </c>
      <c r="E247" s="208">
        <v>0</v>
      </c>
      <c r="F247" s="208">
        <v>0</v>
      </c>
      <c r="H247" s="1846">
        <f t="shared" si="247"/>
        <v>0</v>
      </c>
      <c r="I247" s="2540">
        <v>0</v>
      </c>
      <c r="J247" s="2540">
        <v>0</v>
      </c>
      <c r="K247" s="2540">
        <v>0</v>
      </c>
      <c r="L247" s="1846">
        <f t="shared" si="248"/>
        <v>0</v>
      </c>
      <c r="M247" s="2540">
        <v>0</v>
      </c>
      <c r="N247" s="2540">
        <v>0</v>
      </c>
      <c r="O247" s="2540">
        <v>0</v>
      </c>
      <c r="P247" s="1846">
        <f t="shared" si="250"/>
        <v>0</v>
      </c>
      <c r="R247" s="2540">
        <v>0</v>
      </c>
      <c r="S247" s="2540">
        <v>0</v>
      </c>
      <c r="T247" s="2540">
        <v>0</v>
      </c>
      <c r="U247" s="1126"/>
      <c r="V247" s="1855">
        <f t="shared" si="249"/>
        <v>0</v>
      </c>
      <c r="W247" s="208"/>
      <c r="X247" s="208"/>
      <c r="Y247" s="208"/>
      <c r="Z247" s="1846" t="str">
        <f t="shared" si="253"/>
        <v/>
      </c>
      <c r="AA247" s="208"/>
      <c r="AB247" s="208"/>
      <c r="AC247" s="208"/>
      <c r="AD247" s="1846" t="str">
        <f t="shared" si="254"/>
        <v/>
      </c>
      <c r="AE247" s="208"/>
      <c r="AF247" s="208"/>
      <c r="AG247" s="1856" t="str">
        <f t="shared" ref="AG247" si="263">IF(AND(V247&lt;&gt;"",OR(Z247="",Z247=0)),"Missing Input",IF(AND(Z247&gt;0,Z247&lt;&gt;"",V247&gt;0,V247&lt;&gt;"",_xlfn.NUMBERVALUE(Z247)&lt;_xlfn.NUMBERVALUE(V247)),"Ok","Please check"))</f>
        <v>Missing Input</v>
      </c>
      <c r="AH247" s="1856" t="str">
        <f>IFERROR(IF(OR(V247="",Z247=""),"Missing input",IF(AND(_xlfn.NUMBERVALUE(Z247)/_xlfn.NUMBERVALUE(V247)&gt;0.7,_xlfn.NUMBERVALUE(Z247)/_xlfn.NUMBERVALUE(V247)&lt;0.8),"Ok","Please check")),"Please check")</f>
        <v>Missing input</v>
      </c>
      <c r="AI247" s="1857"/>
      <c r="AJ247" s="1857"/>
      <c r="AK247" s="1857"/>
      <c r="AL247" s="1859"/>
    </row>
    <row r="248" spans="1:38" ht="15" customHeight="1" x14ac:dyDescent="0.35">
      <c r="A248" s="1513"/>
      <c r="B248" s="1870" t="s">
        <v>2345</v>
      </c>
      <c r="C248" s="1849"/>
      <c r="D248" s="1846">
        <f>IF(ISNUMBER(D85), D85, "")</f>
        <v>0</v>
      </c>
      <c r="E248" s="1846">
        <f t="shared" ref="E248" si="264">IF(ISNUMBER(E85), E85, "")</f>
        <v>0</v>
      </c>
      <c r="F248" s="1846">
        <f>IF(ISNUMBER(H85), H85, "")</f>
        <v>0</v>
      </c>
      <c r="H248" s="1846">
        <f t="shared" si="247"/>
        <v>0</v>
      </c>
      <c r="I248" s="1846">
        <f>IF(ISNUMBER(J85), J85, "")</f>
        <v>0</v>
      </c>
      <c r="J248" s="1846">
        <f>IF(ISNUMBER(K85), K85, "")</f>
        <v>0</v>
      </c>
      <c r="K248" s="1846">
        <f>IF(ISNUMBER(L85), L85, "")</f>
        <v>0</v>
      </c>
      <c r="L248" s="1846">
        <f t="shared" si="248"/>
        <v>0</v>
      </c>
      <c r="M248" s="1846">
        <f>IF(ISNUMBER(R85), R85, "")</f>
        <v>0</v>
      </c>
      <c r="N248" s="1846">
        <f>IF(ISNUMBER(S85), S85, "")</f>
        <v>0</v>
      </c>
      <c r="O248" s="1846">
        <f>IF(ISNUMBER(V85), V85, "")</f>
        <v>0</v>
      </c>
      <c r="P248" s="1846">
        <f t="shared" si="250"/>
        <v>0</v>
      </c>
      <c r="R248" s="1846">
        <f>IF(ISNUMBER(X85), X85, "")</f>
        <v>0</v>
      </c>
      <c r="S248" s="1846">
        <f>IF(ISNUMBER(Y85), Y85, "")</f>
        <v>0</v>
      </c>
      <c r="T248" s="1855">
        <f>IF(ISNUMBER(Z85), Z85, "")</f>
        <v>0</v>
      </c>
      <c r="U248" s="1126"/>
      <c r="V248" s="1855">
        <f t="shared" si="249"/>
        <v>0</v>
      </c>
      <c r="W248" s="208"/>
      <c r="X248" s="208"/>
      <c r="Y248" s="208"/>
      <c r="Z248" s="1846" t="str">
        <f t="shared" si="253"/>
        <v/>
      </c>
      <c r="AA248" s="208"/>
      <c r="AB248" s="208"/>
      <c r="AC248" s="208"/>
      <c r="AD248" s="1846" t="str">
        <f t="shared" si="254"/>
        <v/>
      </c>
      <c r="AE248" s="208"/>
      <c r="AF248" s="208"/>
      <c r="AG248" s="1856" t="str">
        <f>IF(AND(V248&lt;&gt;"",OR(Z248="",Z248=0)),"Missing Input",IF(AND(Z248&gt;0,Z248&lt;&gt;"",V248&gt;0,V248&lt;&gt;"",OR(_xlfn.NUMBERVALUE(V248)&gt;_xlfn.NUMBERVALUE(Z248),_xlfn.NUMBERVALUE(V248)=_xlfn.NUMBERVALUE(Z248))),"Ok","Please check"))</f>
        <v>Missing Input</v>
      </c>
      <c r="AH248" s="1857"/>
      <c r="AI248" s="1857"/>
      <c r="AJ248" s="1856" t="str">
        <f>IF(OR('General Info'!$C$19="Yes",'General Info'!$D$19="Yes"),IF(AND(AC248&gt;0,AC248&lt;&gt;"",AH85&gt;0,AH85&lt;&gt;"",OR(_xlfn.NUMBERVALUE(AC248)&lt;_xlfn.NUMBERVALUE(AH85),_xlfn.NUMBERVALUE(AC248)=_xlfn.NUMBERVALUE(AH85))),"Ok","Please check"),"NA")</f>
        <v>NA</v>
      </c>
      <c r="AK248" s="1856" t="str">
        <f>IF(OR('General Info'!$C$19="Yes",'General Info'!$D$19="Yes"),IFERROR(IF(_xlfn.NUMBERVALUE(AC248)/_xlfn.NUMBERVALUE(AH84)&lt;0.7,"Please check","Ok"),"Please check"),"NA")</f>
        <v>NA</v>
      </c>
      <c r="AL248" s="1858" t="str">
        <f>IF(OR('General Info'!$C$19="Yes",'General Info'!$D$19="Yes"),IFERROR(IF(AND(_xlfn.NUMBERVALUE(AF248)/_xlfn.NUMBERVALUE(AC248)&gt;0.7143,_xlfn.NUMBERVALUE(AF248)/_xlfn.NUMBERVALUE(AC248)&lt;=1),"Ok", "Please check"),"Please check"),"NA")</f>
        <v>NA</v>
      </c>
    </row>
    <row r="249" spans="1:38" ht="15" customHeight="1" x14ac:dyDescent="0.35">
      <c r="A249" s="1513"/>
      <c r="B249" s="1872" t="s">
        <v>2343</v>
      </c>
      <c r="C249" s="1849"/>
      <c r="D249" s="299">
        <v>0</v>
      </c>
      <c r="E249" s="299">
        <v>0</v>
      </c>
      <c r="F249" s="299">
        <v>0</v>
      </c>
      <c r="H249" s="1846">
        <f t="shared" si="247"/>
        <v>0</v>
      </c>
      <c r="I249" s="2540">
        <v>0</v>
      </c>
      <c r="J249" s="2540">
        <v>0</v>
      </c>
      <c r="K249" s="2540">
        <v>0</v>
      </c>
      <c r="L249" s="1846">
        <f t="shared" si="248"/>
        <v>0</v>
      </c>
      <c r="M249" s="2540">
        <v>0</v>
      </c>
      <c r="N249" s="2540">
        <v>0</v>
      </c>
      <c r="O249" s="2540">
        <v>0</v>
      </c>
      <c r="P249" s="1846">
        <f t="shared" si="250"/>
        <v>0</v>
      </c>
      <c r="R249" s="2540">
        <v>0</v>
      </c>
      <c r="S249" s="2540">
        <v>0</v>
      </c>
      <c r="T249" s="2540">
        <v>0</v>
      </c>
      <c r="U249" s="1126"/>
      <c r="V249" s="1855">
        <f t="shared" si="249"/>
        <v>0</v>
      </c>
      <c r="W249" s="208"/>
      <c r="X249" s="208"/>
      <c r="Y249" s="208"/>
      <c r="Z249" s="1846" t="str">
        <f t="shared" si="253"/>
        <v/>
      </c>
      <c r="AA249" s="208"/>
      <c r="AB249" s="208"/>
      <c r="AC249" s="208"/>
      <c r="AD249" s="1846" t="str">
        <f t="shared" si="254"/>
        <v/>
      </c>
      <c r="AE249" s="208"/>
      <c r="AF249" s="208"/>
      <c r="AG249" s="1856" t="str">
        <f t="shared" ref="AG249" si="265">IF(AND(V249&lt;&gt;"",OR(Z249="",Z249=0)),"Missing Input",IF(AND(Z249&gt;0,Z249&lt;&gt;"",V249&gt;0,V249&lt;&gt;"",_xlfn.NUMBERVALUE(Z249)&lt;_xlfn.NUMBERVALUE(V249)),"Ok","Please check"))</f>
        <v>Missing Input</v>
      </c>
      <c r="AH249" s="1856" t="str">
        <f>IFERROR(IF(OR(V249="",Z249=""),"Missing input",IF(AND(_xlfn.NUMBERVALUE(Z249)/_xlfn.NUMBERVALUE(V249)&gt;0.7,_xlfn.NUMBERVALUE(Z249)/_xlfn.NUMBERVALUE(V249)&lt;0.8),"Ok","Please check")),"Please check")</f>
        <v>Missing input</v>
      </c>
      <c r="AI249" s="1857"/>
      <c r="AJ249" s="1857"/>
      <c r="AK249" s="1857"/>
      <c r="AL249" s="1859"/>
    </row>
    <row r="250" spans="1:38" ht="15" customHeight="1" x14ac:dyDescent="0.35">
      <c r="A250" s="1513"/>
      <c r="B250" s="1872" t="s">
        <v>2346</v>
      </c>
      <c r="C250" s="1849"/>
      <c r="D250" s="299">
        <v>0</v>
      </c>
      <c r="E250" s="299">
        <v>0</v>
      </c>
      <c r="F250" s="299">
        <v>0</v>
      </c>
      <c r="H250" s="1846">
        <f t="shared" si="247"/>
        <v>0</v>
      </c>
      <c r="I250" s="2540">
        <v>0</v>
      </c>
      <c r="J250" s="2540">
        <v>0</v>
      </c>
      <c r="K250" s="2540">
        <v>0</v>
      </c>
      <c r="L250" s="1846">
        <f t="shared" si="248"/>
        <v>0</v>
      </c>
      <c r="M250" s="2540">
        <v>0</v>
      </c>
      <c r="N250" s="2540">
        <v>0</v>
      </c>
      <c r="O250" s="2540">
        <v>0</v>
      </c>
      <c r="P250" s="1846">
        <f t="shared" si="250"/>
        <v>0</v>
      </c>
      <c r="R250" s="2540">
        <v>0</v>
      </c>
      <c r="S250" s="2540">
        <v>0</v>
      </c>
      <c r="T250" s="2540">
        <v>0</v>
      </c>
      <c r="U250" s="1126"/>
      <c r="V250" s="1855">
        <f t="shared" si="249"/>
        <v>0</v>
      </c>
      <c r="W250" s="208"/>
      <c r="X250" s="208"/>
      <c r="Y250" s="208"/>
      <c r="Z250" s="1846" t="str">
        <f t="shared" si="253"/>
        <v/>
      </c>
      <c r="AA250" s="208"/>
      <c r="AB250" s="208"/>
      <c r="AC250" s="208"/>
      <c r="AD250" s="1846" t="str">
        <f t="shared" si="254"/>
        <v/>
      </c>
      <c r="AE250" s="208"/>
      <c r="AF250" s="208"/>
      <c r="AG250" s="1856" t="str">
        <f>IF(AND(V250&lt;&gt;"",OR(Z250="",Z250=0)),"Missing Input",IF(AND(Z250&gt;0,Z250&lt;&gt;"",V250&gt;0,V250&lt;&gt;"",OR(_xlfn.NUMBERVALUE(V250)&gt;_xlfn.NUMBERVALUE(Z250),_xlfn.NUMBERVALUE(V250)=_xlfn.NUMBERVALUE(Z250))),"Ok","Please check"))</f>
        <v>Missing Input</v>
      </c>
      <c r="AH250" s="1857"/>
      <c r="AI250" s="1857"/>
      <c r="AJ250" s="1857"/>
      <c r="AK250" s="1857"/>
      <c r="AL250" s="1859"/>
    </row>
    <row r="251" spans="1:38" ht="15" customHeight="1" x14ac:dyDescent="0.35">
      <c r="A251" s="1513"/>
      <c r="B251" s="1870" t="s">
        <v>2347</v>
      </c>
      <c r="C251" s="1849"/>
      <c r="D251" s="1846">
        <f>IF(ISNUMBER(D86), D86, "")</f>
        <v>0</v>
      </c>
      <c r="E251" s="1846">
        <f t="shared" ref="E251" si="266">IF(ISNUMBER(E86), E86, "")</f>
        <v>0</v>
      </c>
      <c r="F251" s="1846">
        <f>IF(ISNUMBER(H86), H86, "")</f>
        <v>0</v>
      </c>
      <c r="H251" s="1846">
        <f t="shared" si="247"/>
        <v>0</v>
      </c>
      <c r="I251" s="1846">
        <f>IF(ISNUMBER(J86), J86, "")</f>
        <v>0</v>
      </c>
      <c r="J251" s="1846">
        <f>IF(ISNUMBER(K86), K86, "")</f>
        <v>0</v>
      </c>
      <c r="K251" s="1846">
        <f>IF(ISNUMBER(L86), L86, "")</f>
        <v>0</v>
      </c>
      <c r="L251" s="1846">
        <f t="shared" si="248"/>
        <v>0</v>
      </c>
      <c r="M251" s="1846">
        <f>IF(ISNUMBER(R86), R86, "")</f>
        <v>0</v>
      </c>
      <c r="N251" s="1846">
        <f>IF(ISNUMBER(S86), S86, "")</f>
        <v>0</v>
      </c>
      <c r="O251" s="1846">
        <f>IF(ISNUMBER(V86), V86, "")</f>
        <v>0</v>
      </c>
      <c r="P251" s="1846">
        <f t="shared" si="250"/>
        <v>0</v>
      </c>
      <c r="R251" s="1846">
        <f>IF(ISNUMBER(X86), X86, "")</f>
        <v>0</v>
      </c>
      <c r="S251" s="1846">
        <f>IF(ISNUMBER(Y86), Y86, "")</f>
        <v>0</v>
      </c>
      <c r="T251" s="1855">
        <f>IF(ISNUMBER(Z86), Z86, "")</f>
        <v>0</v>
      </c>
      <c r="U251" s="1126"/>
      <c r="V251" s="1855">
        <f t="shared" si="249"/>
        <v>0</v>
      </c>
      <c r="W251" s="208"/>
      <c r="X251" s="208"/>
      <c r="Y251" s="208"/>
      <c r="Z251" s="1846" t="str">
        <f t="shared" si="253"/>
        <v/>
      </c>
      <c r="AA251" s="208"/>
      <c r="AB251" s="208"/>
      <c r="AC251" s="208"/>
      <c r="AD251" s="1846" t="str">
        <f t="shared" si="254"/>
        <v/>
      </c>
      <c r="AE251" s="208"/>
      <c r="AF251" s="208"/>
      <c r="AG251" s="1856" t="str">
        <f>IF(AND(V251&lt;&gt;"",OR(Z251="",Z251=0)),"Missing Input",IF(AND(Z251&gt;0,Z251&lt;&gt;"",V251&gt;0,V251&lt;&gt;"",OR(_xlfn.NUMBERVALUE(V251)&gt;_xlfn.NUMBERVALUE(Z251),_xlfn.NUMBERVALUE(V251)=_xlfn.NUMBERVALUE(Z251))),"Ok","Please check"))</f>
        <v>Missing Input</v>
      </c>
      <c r="AH251" s="1857"/>
      <c r="AI251" s="1857"/>
      <c r="AJ251" s="1856" t="str">
        <f>IF(OR('General Info'!$C$19="Yes",'General Info'!$D$19="Yes"),IF(AND(AC251&gt;0,AC251&lt;&gt;"",AH86&gt;0,AH86&lt;&gt;"",OR(_xlfn.NUMBERVALUE(AC251)&lt;_xlfn.NUMBERVALUE(AH86),_xlfn.NUMBERVALUE(AC251)=_xlfn.NUMBERVALUE(AH86))),"Ok","Please check"),"NA")</f>
        <v>NA</v>
      </c>
      <c r="AK251" s="1856" t="str">
        <f>IF(OR('General Info'!$C$19="Yes",'General Info'!$D$19="Yes"),IFERROR(IF(_xlfn.NUMBERVALUE(AC251)/_xlfn.NUMBERVALUE(AH85)&lt;0.7,"Please check","Ok"),"Please check"),"NA")</f>
        <v>NA</v>
      </c>
      <c r="AL251" s="1858" t="str">
        <f>IF(OR('General Info'!$C$19="Yes",'General Info'!$D$19="Yes"),IFERROR(IF(AND(_xlfn.NUMBERVALUE(AF251)/_xlfn.NUMBERVALUE(AC251)&gt;0.7143,_xlfn.NUMBERVALUE(AF251)/_xlfn.NUMBERVALUE(AC251)&lt;=1),"Ok", "Please check"),"Please check"),"NA")</f>
        <v>NA</v>
      </c>
    </row>
    <row r="252" spans="1:38" ht="15" customHeight="1" x14ac:dyDescent="0.35">
      <c r="A252" s="1513"/>
      <c r="B252" s="1872" t="s">
        <v>2343</v>
      </c>
      <c r="C252" s="1849"/>
      <c r="D252" s="299">
        <v>0</v>
      </c>
      <c r="E252" s="299">
        <v>0</v>
      </c>
      <c r="F252" s="299">
        <v>0</v>
      </c>
      <c r="H252" s="1846">
        <f t="shared" si="247"/>
        <v>0</v>
      </c>
      <c r="I252" s="2540">
        <v>0</v>
      </c>
      <c r="J252" s="2540">
        <v>0</v>
      </c>
      <c r="K252" s="2540">
        <v>0</v>
      </c>
      <c r="L252" s="1846">
        <f t="shared" si="248"/>
        <v>0</v>
      </c>
      <c r="M252" s="2540">
        <v>0</v>
      </c>
      <c r="N252" s="2540">
        <v>0</v>
      </c>
      <c r="O252" s="2540">
        <v>0</v>
      </c>
      <c r="P252" s="1846">
        <f t="shared" si="250"/>
        <v>0</v>
      </c>
      <c r="R252" s="2540">
        <v>0</v>
      </c>
      <c r="S252" s="2540">
        <v>0</v>
      </c>
      <c r="T252" s="2540">
        <v>0</v>
      </c>
      <c r="U252" s="1126"/>
      <c r="V252" s="1855">
        <f t="shared" si="249"/>
        <v>0</v>
      </c>
      <c r="W252" s="208"/>
      <c r="X252" s="208"/>
      <c r="Y252" s="208"/>
      <c r="Z252" s="1846" t="str">
        <f t="shared" si="253"/>
        <v/>
      </c>
      <c r="AA252" s="208"/>
      <c r="AB252" s="208"/>
      <c r="AC252" s="208"/>
      <c r="AD252" s="1846" t="str">
        <f t="shared" si="254"/>
        <v/>
      </c>
      <c r="AE252" s="208"/>
      <c r="AF252" s="208"/>
      <c r="AG252" s="1856" t="str">
        <f t="shared" ref="AG252" si="267">IF(AND(V252&lt;&gt;"",OR(Z252="",Z252=0)),"Missing Input",IF(AND(Z252&gt;0,Z252&lt;&gt;"",V252&gt;0,V252&lt;&gt;"",_xlfn.NUMBERVALUE(Z252)&lt;_xlfn.NUMBERVALUE(V252)),"Ok","Please check"))</f>
        <v>Missing Input</v>
      </c>
      <c r="AH252" s="1856" t="str">
        <f>IFERROR(IF(OR(V252="",Z252=""),"Missing input",IF(AND(_xlfn.NUMBERVALUE(Z252)/_xlfn.NUMBERVALUE(V252)&gt;0.7,_xlfn.NUMBERVALUE(Z252)/_xlfn.NUMBERVALUE(V252)&lt;0.8),"Ok","Please check")),"Please check")</f>
        <v>Missing input</v>
      </c>
      <c r="AI252" s="1857"/>
      <c r="AJ252" s="1857"/>
      <c r="AK252" s="1857"/>
      <c r="AL252" s="1859"/>
    </row>
    <row r="253" spans="1:38" ht="15" customHeight="1" x14ac:dyDescent="0.35">
      <c r="A253" s="1513"/>
      <c r="B253" s="1869" t="s">
        <v>2334</v>
      </c>
      <c r="C253" s="1849"/>
      <c r="D253" s="1846">
        <f>IF(AND(ISNUMBER(D19), ISNUMBER(D24), ISNUMBER(D95), ISNUMBER(D51), ISNUMBER(D87), ISNUMBER(D91), ISNUMBER(D92), ISNUMBER(D138), ISNUMBER(D141),ISNUMBER(D142),ISNUMBER(D99)), SUM(D19, D24, D95, D51, D87, D91, D92, D138, D141,D142,D99), "")</f>
        <v>24711987.359999999</v>
      </c>
      <c r="E253" s="1846">
        <f>IF(AND(ISNUMBER(E19), ISNUMBER(E24), ISNUMBER(E95), ISNUMBER(E51), ISNUMBER(E87), ISNUMBER(E91), ISNUMBER(E92), ISNUMBER(E138), ISNUMBER(E141),ISNUMBER(E142),ISNUMBER(E99)), SUM(E19, E24, E95, E51, E87, E91, E92, E138, E141,E142,E99), "")</f>
        <v>135213.50985</v>
      </c>
      <c r="F253" s="1846">
        <f>IF(AND(ISNUMBER(H19), ISNUMBER(H24), ISNUMBER(H95), ISNUMBER(H51), ISNUMBER(H87), ISNUMBER(H91), ISNUMBER(H92), ISNUMBER(H138), ISNUMBER(H141),ISNUMBER(H142),ISNUMBER(H99)), SUM(H19, H24, H95, H51, H87, H91, H92, H138, H141,H142,H99), "")</f>
        <v>11332</v>
      </c>
      <c r="H253" s="1846">
        <f t="shared" si="247"/>
        <v>24858532.869849999</v>
      </c>
      <c r="I253" s="1846">
        <f>IF(AND(ISNUMBER(J19), ISNUMBER(J24), ISNUMBER(J95), ISNUMBER(J51), ISNUMBER(J87), ISNUMBER(J91), ISNUMBER(J92), ISNUMBER(J138), ISNUMBER(J141),ISNUMBER(J142),ISNUMBER(J99)), SUM(J19, J24, J95, J51, J87, J91, J92, J138, J141,J142,J99), "")</f>
        <v>3591017</v>
      </c>
      <c r="J253" s="1846">
        <f>IF(AND(ISNUMBER(K19), ISNUMBER(K24), ISNUMBER(K95), ISNUMBER(K51), ISNUMBER(K87), ISNUMBER(K91), ISNUMBER(K92), ISNUMBER(K138), ISNUMBER(K141),ISNUMBER(K142),ISNUMBER(K99)), SUM(K19, K24, K95, K51, K87, K91, K92, K138, K141,K142,K99), "")</f>
        <v>18270.68362</v>
      </c>
      <c r="K253" s="1846">
        <f>IF(AND(ISNUMBER(L19), ISNUMBER(L24), ISNUMBER(L95), ISNUMBER(L51), ISNUMBER(L87), ISNUMBER(L91), ISNUMBER(L92), ISNUMBER(L138), ISNUMBER(L141),ISNUMBER(L142),ISNUMBER(L99)), SUM(L19, L24, L95, L51, L87, L91, L92, L138, L141,L142,L99), "")</f>
        <v>8826</v>
      </c>
      <c r="L253" s="1846">
        <f t="shared" si="248"/>
        <v>3618113.6836199998</v>
      </c>
      <c r="M253" s="1846">
        <f>IF(AND(ISNUMBER(R19), ISNUMBER(R24), ISNUMBER(R95), ISNUMBER(R51), ISNUMBER(R87), ISNUMBER(R91), ISNUMBER(R92), ISNUMBER(R138), ISNUMBER(R141),ISNUMBER(R142),ISNUMBER(R99)), SUM(R19, R24, R95, R51, R87, R91, R92, R138, R141,R142,R99), "")</f>
        <v>24711987.359999999</v>
      </c>
      <c r="N253" s="1846">
        <f>IF(AND(ISNUMBER(S19), ISNUMBER(S24), ISNUMBER(S95), ISNUMBER(S51), ISNUMBER(S87), ISNUMBER(S91), ISNUMBER(S92), ISNUMBER(S138), ISNUMBER(S141),ISNUMBER(S142),ISNUMBER(S99)), SUM(S19, S24, S95, S51, S87, S91, S92, S138, S141,S142,S99), "")</f>
        <v>135213.50985</v>
      </c>
      <c r="O253" s="1846">
        <f>IF(AND(ISNUMBER(V19), ISNUMBER(V24), ISNUMBER(V95), ISNUMBER(V51), ISNUMBER(V87), ISNUMBER(V91), ISNUMBER(V92), ISNUMBER(V138), ISNUMBER(V141),ISNUMBER(V142),ISNUMBER(V99)), SUM(V19, V24, V95, V51, V87, V91, V92, V138, V141,V142,V99), "")</f>
        <v>64294</v>
      </c>
      <c r="P253" s="1846">
        <f t="shared" si="250"/>
        <v>24911494.869849999</v>
      </c>
      <c r="R253" s="1846">
        <f>IF(AND(ISNUMBER(X19), ISNUMBER(X24), ISNUMBER(X95), ISNUMBER(X51), ISNUMBER(X87), ISNUMBER(X91), ISNUMBER(X92), ISNUMBER(X138), ISNUMBER(X141),ISNUMBER(X142),ISNUMBER(X99)), SUM(X19, X24, X95, X51, X87, X91, X92, X138, X141,X142,X99), "")</f>
        <v>3899196.9223370003</v>
      </c>
      <c r="S253" s="1846">
        <f>IF(AND(ISNUMBER(Y19), ISNUMBER(Y24), ISNUMBER(Y95), ISNUMBER(Y51), ISNUMBER(Y87), ISNUMBER(Y91), ISNUMBER(Y92), ISNUMBER(Y138), ISNUMBER(Y141),ISNUMBER(Y142),ISNUMBER(Y99)), SUM(Y19, Y24, Y95, Y51, Y87, Y91, Y92, Y138, Y141,Y142,Y99), "")</f>
        <v>45170.671289999998</v>
      </c>
      <c r="T253" s="1855">
        <f>IF(AND(ISNUMBER(Z19), ISNUMBER(Z24), ISNUMBER(Z95), ISNUMBER(Z51), ISNUMBER(Z87), ISNUMBER(Z91), ISNUMBER(Z92), ISNUMBER(Z138), ISNUMBER(Z141),ISNUMBER(Z142),ISNUMBER(Z99)), SUM(Z19, Z24, Z95, Z51, Z87, Z91, Z92, Z138, Z141,Z142,Z99), "")</f>
        <v>46341.55</v>
      </c>
      <c r="U253" s="1126"/>
      <c r="V253" s="1855">
        <f t="shared" si="249"/>
        <v>3990709.143627</v>
      </c>
      <c r="W253" s="208"/>
      <c r="X253" s="208"/>
      <c r="Y253" s="208"/>
      <c r="Z253" s="1846" t="str">
        <f t="shared" si="253"/>
        <v/>
      </c>
      <c r="AA253" s="208"/>
      <c r="AB253" s="208"/>
      <c r="AC253" s="208"/>
      <c r="AD253" s="1846" t="str">
        <f t="shared" si="254"/>
        <v/>
      </c>
      <c r="AE253" s="208"/>
      <c r="AF253" s="208"/>
      <c r="AG253" s="1857"/>
      <c r="AH253" s="1857"/>
      <c r="AI253" s="1857"/>
      <c r="AJ253" s="1857"/>
      <c r="AK253" s="1857"/>
      <c r="AL253" s="1859"/>
    </row>
    <row r="254" spans="1:38" ht="15" customHeight="1" x14ac:dyDescent="0.35">
      <c r="A254" s="1513"/>
      <c r="B254" s="1870" t="s">
        <v>2343</v>
      </c>
      <c r="C254" s="1849"/>
      <c r="D254" s="208">
        <v>0</v>
      </c>
      <c r="E254" s="208">
        <v>0</v>
      </c>
      <c r="F254" s="208">
        <v>0</v>
      </c>
      <c r="H254" s="1846">
        <f t="shared" si="247"/>
        <v>0</v>
      </c>
      <c r="I254" s="2540">
        <v>0</v>
      </c>
      <c r="J254" s="2540">
        <v>0</v>
      </c>
      <c r="K254" s="2540">
        <v>0</v>
      </c>
      <c r="L254" s="1846">
        <f t="shared" si="248"/>
        <v>0</v>
      </c>
      <c r="M254" s="2540">
        <v>0</v>
      </c>
      <c r="N254" s="2540">
        <v>0</v>
      </c>
      <c r="O254" s="2540">
        <v>0</v>
      </c>
      <c r="P254" s="1846">
        <f t="shared" si="250"/>
        <v>0</v>
      </c>
      <c r="R254" s="2540">
        <v>0</v>
      </c>
      <c r="S254" s="2540">
        <v>0</v>
      </c>
      <c r="T254" s="2540">
        <v>0</v>
      </c>
      <c r="U254" s="1126"/>
      <c r="V254" s="1855">
        <f t="shared" si="249"/>
        <v>0</v>
      </c>
      <c r="W254" s="208"/>
      <c r="X254" s="208"/>
      <c r="Y254" s="208"/>
      <c r="Z254" s="1846" t="str">
        <f>IF(AND(ISNUMBER(W254),ISNUMBER(X254),ISNUMBER(Y254)),SUM(W254:Y254),"")</f>
        <v/>
      </c>
      <c r="AA254" s="208"/>
      <c r="AB254" s="208"/>
      <c r="AC254" s="208"/>
      <c r="AD254" s="1846" t="str">
        <f t="shared" si="254"/>
        <v/>
      </c>
      <c r="AE254" s="208"/>
      <c r="AF254" s="208"/>
      <c r="AG254" s="1856" t="str">
        <f>IF(AND(V254&lt;&gt;"",OR(Z254="",Z254=0)),"Missing Input",IF(AND(Z254&lt;&gt;"",Z254&gt;0, V254&lt;&gt;"",V254&gt;0,_xlfn.NUMBERVALUE(Z254)&lt;_xlfn.NUMBERVALUE(V254)),"Ok","Please check"))</f>
        <v>Missing Input</v>
      </c>
      <c r="AH254" s="1856" t="str">
        <f>IFERROR(IF(OR(V254="",Z254=""),"Missing input",IF(AND(_xlfn.NUMBERVALUE(Z254)/_xlfn.NUMBERVALUE(V254)&gt;0.7,_xlfn.NUMBERVALUE(Z254)/_xlfn.NUMBERVALUE(V254)&lt;0.8),"Ok","Please check")),"Please check")</f>
        <v>Missing input</v>
      </c>
      <c r="AI254" s="1857"/>
      <c r="AJ254" s="1857"/>
      <c r="AK254" s="1857"/>
      <c r="AL254" s="1859"/>
    </row>
    <row r="255" spans="1:38" ht="15" customHeight="1" x14ac:dyDescent="0.35">
      <c r="A255" s="1513"/>
      <c r="B255" s="1873" t="s">
        <v>845</v>
      </c>
      <c r="C255" s="1849"/>
      <c r="D255" s="1867">
        <f>IF(AND(ISNUMBER(D236),ISNUMBER(D238),ISNUMBER(D240),ISNUMBER(D253)),SUM(D236,D238,D240,D253),"")</f>
        <v>27553251.359999999</v>
      </c>
      <c r="E255" s="1867">
        <f>IF(AND(ISNUMBER(E236),ISNUMBER(E238),ISNUMBER(E240),ISNUMBER(E253)),SUM(E236,E238,E240,E253),"")</f>
        <v>143105.50985</v>
      </c>
      <c r="F255" s="1867">
        <f>IF(AND(ISNUMBER(F236),ISNUMBER(F238),ISNUMBER(F240),ISNUMBER(F253)),SUM(F236,F238,F240,F253),"")</f>
        <v>22811</v>
      </c>
      <c r="H255" s="1867">
        <f>IF(AND(ISNUMBER(H236),ISNUMBER(H238),ISNUMBER(H240),ISNUMBER(H253)),SUM(H236,H238,H240,H253),"")</f>
        <v>27719167.869849999</v>
      </c>
      <c r="I255" s="1867">
        <f t="shared" ref="I255:L255" si="268">IF(AND(ISNUMBER(I236),ISNUMBER(I238),ISNUMBER(I240),ISNUMBER(I253)),SUM(I236,I238,I240,I253),"")</f>
        <v>5721204</v>
      </c>
      <c r="J255" s="1867">
        <f t="shared" si="268"/>
        <v>23075.68362</v>
      </c>
      <c r="K255" s="1867">
        <f t="shared" si="268"/>
        <v>19109</v>
      </c>
      <c r="L255" s="1867">
        <f t="shared" si="268"/>
        <v>5763388.6836200003</v>
      </c>
      <c r="M255" s="1867">
        <f>IF(AND(ISNUMBER(M236),ISNUMBER(M238),ISNUMBER(M240),ISNUMBER(M253)),SUM(M236,M238,M240,M253),"")</f>
        <v>27553251.359999999</v>
      </c>
      <c r="N255" s="1867">
        <f>IF(AND(ISNUMBER(N236),ISNUMBER(N238),ISNUMBER(N240),ISNUMBER(N253)),SUM(N236,N238,N240,N253),"")</f>
        <v>143105.50985</v>
      </c>
      <c r="O255" s="1867">
        <f>IF(AND(ISNUMBER(O236),ISNUMBER(O238),ISNUMBER(O240),ISNUMBER(O253)),SUM(O236,O238,O240,O253),"")</f>
        <v>138979</v>
      </c>
      <c r="P255" s="1867">
        <f>IF(AND(ISNUMBER(P236),ISNUMBER(P238),ISNUMBER(P240),ISNUMBER(P253)),SUM(P236,P238,P240,P253),"")</f>
        <v>27835335.869849999</v>
      </c>
      <c r="R255" s="1867">
        <f t="shared" ref="R255:T255" si="269">IF(AND(ISNUMBER(R236),ISNUMBER(R238),ISNUMBER(R240),ISNUMBER(R253)),SUM(R236,R238,R240,R253),"")</f>
        <v>6022805.6337199993</v>
      </c>
      <c r="S255" s="1867">
        <f t="shared" si="269"/>
        <v>49975.706114000001</v>
      </c>
      <c r="T255" s="1868">
        <f t="shared" si="269"/>
        <v>115107.09999999999</v>
      </c>
      <c r="U255" s="1126"/>
      <c r="V255" s="1868">
        <f t="shared" ref="V255:AF255" si="270">IF(AND(ISNUMBER(V236),ISNUMBER(V238),ISNUMBER(V240),ISNUMBER(V253)),SUM(V236,V238,V240,V253),"")</f>
        <v>6187888.4398339996</v>
      </c>
      <c r="W255" s="1867" t="str">
        <f t="shared" si="270"/>
        <v/>
      </c>
      <c r="X255" s="1867" t="str">
        <f t="shared" si="270"/>
        <v/>
      </c>
      <c r="Y255" s="1867" t="str">
        <f t="shared" si="270"/>
        <v/>
      </c>
      <c r="Z255" s="1867" t="str">
        <f t="shared" si="270"/>
        <v/>
      </c>
      <c r="AA255" s="1867" t="str">
        <f t="shared" si="270"/>
        <v/>
      </c>
      <c r="AB255" s="1867" t="str">
        <f t="shared" si="270"/>
        <v/>
      </c>
      <c r="AC255" s="1867" t="str">
        <f t="shared" si="270"/>
        <v/>
      </c>
      <c r="AD255" s="1867" t="str">
        <f t="shared" si="270"/>
        <v/>
      </c>
      <c r="AE255" s="1867" t="str">
        <f t="shared" si="270"/>
        <v/>
      </c>
      <c r="AF255" s="1867" t="str">
        <f t="shared" si="270"/>
        <v/>
      </c>
      <c r="AG255" s="1856" t="str">
        <f>IF(AND(V255&lt;&gt;"",OR(Z255="",Z255=0)),"Missing Input",IF(AND(Z255&gt;0,Z255&lt;&gt;"",V255&gt;0,V255&lt;&gt;"",OR(_xlfn.NUMBERVALUE(V255)&gt;_xlfn.NUMBERVALUE(Z255),_xlfn.NUMBERVALUE(V255)=_xlfn.NUMBERVALUE(Z255))),"Ok","Please check"))</f>
        <v>Missing Input</v>
      </c>
      <c r="AH255" s="1857"/>
      <c r="AI255" s="1857"/>
      <c r="AJ255" s="1856" t="str">
        <f>IF(OR('General Info'!$C$19="Yes",'General Info'!$D$19="Yes"),IF(AND(AC255&gt;0,AC255&lt;&gt;"",AH143&gt;0,AH143&lt;&gt;"",OR(_xlfn.NUMBERVALUE(AC255)&lt;_xlfn.NUMBERVALUE(AH143),_xlfn.NUMBERVALUE(AC255)=_xlfn.NUMBERVALUE(AH143))),"Ok","Please check"),"NA")</f>
        <v>NA</v>
      </c>
      <c r="AK255" s="1856" t="str">
        <f>IF(OR('General Info'!$C$19="Yes",'General Info'!$D$19="Yes"),IFERROR(IF(_xlfn.NUMBERVALUE(AC255)/_xlfn.NUMBERVALUE(AH143)&lt;0.7,"Please check","Ok"),"Please check"),"NA")</f>
        <v>NA</v>
      </c>
      <c r="AL255" s="1858" t="str">
        <f>IF(OR('General Info'!$C$19="Yes",'General Info'!$D$19="Yes"),IFERROR(IF(AND(_xlfn.NUMBERVALUE(AF255)/_xlfn.NUMBERVALUE(AC255)&gt;0.7143,_xlfn.NUMBERVALUE(AF255)/_xlfn.NUMBERVALUE(AC255)&lt;=1),"Ok", "Please check"),"Please check"),"NA")</f>
        <v>NA</v>
      </c>
    </row>
    <row r="256" spans="1:38" ht="50.1" customHeight="1" x14ac:dyDescent="0.35">
      <c r="A256" s="1848" t="s">
        <v>2348</v>
      </c>
      <c r="B256" s="1513"/>
      <c r="C256" s="598"/>
      <c r="D256" s="1513"/>
      <c r="E256" s="1513"/>
      <c r="F256" s="1513"/>
      <c r="H256" s="1513"/>
      <c r="I256" s="1513"/>
      <c r="J256" s="1513"/>
      <c r="K256" s="1513"/>
      <c r="L256" s="1513"/>
      <c r="M256" s="1513"/>
      <c r="N256" s="1513"/>
      <c r="O256" s="1513"/>
      <c r="P256" s="1513"/>
      <c r="R256" s="1513"/>
      <c r="S256" s="1513"/>
      <c r="T256" s="1850"/>
      <c r="U256" s="1126"/>
      <c r="V256" s="1850"/>
      <c r="W256" s="1513"/>
      <c r="X256" s="1513"/>
      <c r="Y256" s="1513"/>
      <c r="Z256" s="1513"/>
      <c r="AA256" s="1513"/>
      <c r="AB256" s="1513"/>
      <c r="AC256" s="1513"/>
      <c r="AD256" s="1513"/>
      <c r="AE256" s="1513"/>
      <c r="AF256" s="1513"/>
      <c r="AG256" s="1513"/>
      <c r="AH256" s="1513"/>
      <c r="AI256" s="1513"/>
      <c r="AJ256" s="1513"/>
      <c r="AK256" s="1513"/>
      <c r="AL256" s="1513"/>
    </row>
    <row r="257" spans="1:38" ht="64.5" customHeight="1" x14ac:dyDescent="0.35">
      <c r="A257" s="1513"/>
      <c r="B257" s="2709" t="s">
        <v>2301</v>
      </c>
      <c r="C257" s="1874"/>
      <c r="D257" s="2730" t="s">
        <v>735</v>
      </c>
      <c r="E257" s="2730"/>
      <c r="F257" s="2731" t="s">
        <v>2349</v>
      </c>
      <c r="G257" s="2731"/>
      <c r="H257" s="2731"/>
      <c r="I257" s="2732" t="s">
        <v>2350</v>
      </c>
      <c r="J257" s="2732"/>
      <c r="K257" s="2732"/>
      <c r="L257" s="2733" t="s">
        <v>737</v>
      </c>
      <c r="M257" s="2733"/>
      <c r="N257" s="2733"/>
      <c r="O257" s="1513"/>
      <c r="P257" s="1513"/>
      <c r="R257" s="1513"/>
      <c r="S257" s="1513"/>
      <c r="T257" s="1850"/>
      <c r="U257" s="1126"/>
      <c r="V257" s="1850"/>
      <c r="W257" s="1513"/>
      <c r="X257" s="1513"/>
      <c r="Y257" s="1513"/>
      <c r="Z257" s="1513"/>
      <c r="AA257" s="1513"/>
      <c r="AB257" s="1513"/>
      <c r="AC257" s="1513"/>
      <c r="AD257" s="1513"/>
      <c r="AE257" s="1513"/>
      <c r="AF257" s="1513"/>
      <c r="AG257" s="1513"/>
      <c r="AH257" s="1513"/>
      <c r="AI257" s="1513"/>
      <c r="AJ257" s="1513"/>
      <c r="AK257" s="1513"/>
      <c r="AL257" s="1513"/>
    </row>
    <row r="258" spans="1:38" ht="63" customHeight="1" x14ac:dyDescent="0.35">
      <c r="A258" s="1513"/>
      <c r="B258" s="2726"/>
      <c r="C258" s="1874"/>
      <c r="D258" s="2709" t="s">
        <v>1012</v>
      </c>
      <c r="E258" s="2709" t="s">
        <v>2315</v>
      </c>
      <c r="F258" s="2709" t="s">
        <v>1012</v>
      </c>
      <c r="G258" s="1851"/>
      <c r="H258" s="2709" t="s">
        <v>2351</v>
      </c>
      <c r="I258" s="2709" t="s">
        <v>2352</v>
      </c>
      <c r="J258" s="2709"/>
      <c r="K258" s="2709"/>
      <c r="L258" s="2709" t="s">
        <v>2353</v>
      </c>
      <c r="M258" s="2709"/>
      <c r="N258" s="2709"/>
      <c r="O258" s="1513"/>
      <c r="P258" s="1513"/>
      <c r="R258" s="1513"/>
      <c r="S258" s="1513"/>
      <c r="T258" s="1850"/>
      <c r="U258" s="1126"/>
      <c r="V258" s="1850"/>
      <c r="W258" s="1513"/>
      <c r="X258" s="1513"/>
      <c r="Y258" s="1513"/>
      <c r="Z258" s="1513"/>
      <c r="AA258" s="1513"/>
      <c r="AB258" s="1513"/>
      <c r="AC258" s="1513"/>
      <c r="AD258" s="1513"/>
      <c r="AE258" s="1513"/>
      <c r="AF258" s="1513"/>
      <c r="AG258" s="1513"/>
      <c r="AH258" s="1513"/>
      <c r="AI258" s="1513"/>
      <c r="AJ258" s="1513"/>
      <c r="AK258" s="1513"/>
      <c r="AL258" s="1513"/>
    </row>
    <row r="259" spans="1:38" ht="50.1" customHeight="1" x14ac:dyDescent="0.35">
      <c r="A259" s="1513"/>
      <c r="B259" s="2726"/>
      <c r="C259" s="1874"/>
      <c r="D259" s="2709"/>
      <c r="E259" s="2709"/>
      <c r="F259" s="2709"/>
      <c r="G259" s="1851"/>
      <c r="H259" s="2709"/>
      <c r="I259" s="2709" t="s">
        <v>752</v>
      </c>
      <c r="J259" s="2709"/>
      <c r="K259" s="2709" t="s">
        <v>177</v>
      </c>
      <c r="L259" s="2709" t="s">
        <v>753</v>
      </c>
      <c r="M259" s="2709"/>
      <c r="N259" s="2709" t="s">
        <v>177</v>
      </c>
      <c r="O259" s="2735" t="s">
        <v>2354</v>
      </c>
      <c r="P259" s="2727" t="s">
        <v>2355</v>
      </c>
      <c r="R259" s="2727" t="s">
        <v>2356</v>
      </c>
      <c r="S259" s="2727" t="s">
        <v>2357</v>
      </c>
      <c r="T259" s="2727" t="s">
        <v>2358</v>
      </c>
      <c r="U259" s="1126"/>
      <c r="V259" s="1850"/>
      <c r="W259" s="1513"/>
      <c r="X259" s="1513"/>
      <c r="Y259" s="1513"/>
      <c r="Z259" s="1513"/>
      <c r="AA259" s="1513"/>
      <c r="AB259" s="1513"/>
      <c r="AC259" s="1513"/>
      <c r="AD259" s="1513"/>
      <c r="AE259" s="1513"/>
      <c r="AF259" s="1513"/>
      <c r="AG259" s="1513"/>
      <c r="AH259" s="1513"/>
      <c r="AI259" s="1513"/>
      <c r="AJ259" s="1513"/>
      <c r="AK259" s="1513"/>
      <c r="AL259" s="1513"/>
    </row>
    <row r="260" spans="1:38" ht="50.1" customHeight="1" x14ac:dyDescent="0.35">
      <c r="A260" s="1513"/>
      <c r="B260" s="2726"/>
      <c r="C260" s="1874"/>
      <c r="D260" s="2709"/>
      <c r="E260" s="2709"/>
      <c r="F260" s="2709"/>
      <c r="G260" s="1851"/>
      <c r="H260" s="2709"/>
      <c r="I260" s="1853" t="s">
        <v>59</v>
      </c>
      <c r="J260" s="1875" t="s">
        <v>756</v>
      </c>
      <c r="K260" s="2709"/>
      <c r="L260" s="1853" t="s">
        <v>59</v>
      </c>
      <c r="M260" s="1875" t="s">
        <v>756</v>
      </c>
      <c r="N260" s="2709"/>
      <c r="O260" s="2708"/>
      <c r="P260" s="2728"/>
      <c r="R260" s="2728"/>
      <c r="S260" s="2728"/>
      <c r="T260" s="2728"/>
      <c r="U260" s="1126"/>
      <c r="V260" s="1850"/>
      <c r="W260" s="1513"/>
      <c r="X260" s="1513"/>
      <c r="Y260" s="1513"/>
      <c r="Z260" s="1513"/>
      <c r="AA260" s="1513"/>
      <c r="AB260" s="1513"/>
      <c r="AC260" s="1513"/>
      <c r="AD260" s="1513"/>
      <c r="AE260" s="1513"/>
      <c r="AF260" s="1513"/>
      <c r="AG260" s="1513"/>
      <c r="AH260" s="1513"/>
      <c r="AI260" s="1513"/>
      <c r="AJ260" s="1513"/>
      <c r="AK260" s="1513"/>
      <c r="AL260" s="1513"/>
    </row>
    <row r="261" spans="1:38" ht="15" customHeight="1" x14ac:dyDescent="0.35">
      <c r="A261" s="1513"/>
      <c r="B261" s="1876" t="s">
        <v>808</v>
      </c>
      <c r="C261" s="1849"/>
      <c r="D261" s="1843">
        <f>IF(AND(ISNUMBER(D262),ISNUMBER(D263), ISNUMBER(D264)), D262+D263+D264, "")</f>
        <v>26374</v>
      </c>
      <c r="E261" s="1843">
        <f t="shared" ref="E261:F261" si="271">IF(AND(ISNUMBER(E262),ISNUMBER(E263), ISNUMBER(E264)), E262+E263+E264, "")</f>
        <v>26374</v>
      </c>
      <c r="F261" s="1843">
        <f t="shared" si="271"/>
        <v>26374</v>
      </c>
      <c r="H261" s="1843">
        <f t="shared" ref="H261:N261" si="272">IF(AND(ISNUMBER(H262),ISNUMBER(H263), ISNUMBER(H264)), H262+H263+H264, "")</f>
        <v>32185</v>
      </c>
      <c r="I261" s="1843" t="str">
        <f t="shared" si="272"/>
        <v/>
      </c>
      <c r="J261" s="1843" t="str">
        <f t="shared" si="272"/>
        <v/>
      </c>
      <c r="K261" s="1843" t="str">
        <f t="shared" si="272"/>
        <v/>
      </c>
      <c r="L261" s="1843" t="str">
        <f t="shared" si="272"/>
        <v/>
      </c>
      <c r="M261" s="1843" t="str">
        <f>IF(AND(ISNUMBER(M262),ISNUMBER(M263), ISNUMBER(M264)), M262+M263+M264, "")</f>
        <v/>
      </c>
      <c r="N261" s="1843" t="str">
        <f t="shared" si="272"/>
        <v/>
      </c>
      <c r="O261" s="1857"/>
      <c r="P261" s="1857"/>
      <c r="R261" s="1857"/>
      <c r="S261" s="1857"/>
      <c r="T261" s="1857"/>
      <c r="U261" s="1126"/>
      <c r="V261" s="1850"/>
      <c r="W261" s="1513"/>
      <c r="X261" s="1513"/>
      <c r="Y261" s="1513"/>
      <c r="Z261" s="1513"/>
      <c r="AA261" s="1513"/>
      <c r="AB261" s="1513"/>
      <c r="AC261" s="1513"/>
      <c r="AD261" s="1513"/>
      <c r="AE261" s="1513"/>
      <c r="AF261" s="1513"/>
      <c r="AG261" s="1513"/>
      <c r="AH261" s="1513"/>
      <c r="AI261" s="1513"/>
      <c r="AJ261" s="1513"/>
      <c r="AK261" s="1513"/>
      <c r="AL261" s="1513"/>
    </row>
    <row r="262" spans="1:38" ht="15" customHeight="1" x14ac:dyDescent="0.35">
      <c r="A262" s="1513"/>
      <c r="B262" s="1877" t="s">
        <v>2359</v>
      </c>
      <c r="C262" s="1849"/>
      <c r="D262" s="1846">
        <f>IF(ISNUMBER(I88), I88, "")</f>
        <v>0</v>
      </c>
      <c r="E262" s="1846">
        <f>IF(ISNUMBER(M88), M88, "")</f>
        <v>0</v>
      </c>
      <c r="F262" s="1846">
        <f>IF(ISNUMBER(W88), W88, "")</f>
        <v>0</v>
      </c>
      <c r="H262" s="1846">
        <f>IF(ISNUMBER(AA88), AA88, "")</f>
        <v>0</v>
      </c>
      <c r="I262" s="1846" t="str">
        <f>IF(ISNUMBER(AF88), AF88, "")</f>
        <v/>
      </c>
      <c r="J262" s="1846" t="str">
        <f>IF(ISNUMBER(AG88), AG88, "")</f>
        <v/>
      </c>
      <c r="K262" s="1846" t="str">
        <f t="shared" ref="K262:L263" si="273">IF(ISNUMBER(AH88), AH88, "")</f>
        <v/>
      </c>
      <c r="L262" s="1846" t="str">
        <f t="shared" si="273"/>
        <v/>
      </c>
      <c r="M262" s="1846" t="str">
        <f>IF(ISNUMBER(AJ88), AJ88, "")</f>
        <v/>
      </c>
      <c r="N262" s="1846" t="str">
        <f>IF(ISNUMBER(AK88), AK88, "")</f>
        <v/>
      </c>
      <c r="O262" s="1857"/>
      <c r="P262" s="1857"/>
      <c r="R262" s="1857"/>
      <c r="S262" s="1857"/>
      <c r="T262" s="1857"/>
      <c r="U262" s="1126"/>
      <c r="V262" s="1850"/>
      <c r="W262" s="1513"/>
      <c r="X262" s="1513"/>
      <c r="Y262" s="1513"/>
      <c r="Z262" s="1513"/>
      <c r="AA262" s="1513"/>
      <c r="AB262" s="1513"/>
      <c r="AC262" s="1513"/>
      <c r="AD262" s="1513"/>
      <c r="AE262" s="1513"/>
      <c r="AF262" s="1513"/>
      <c r="AG262" s="1513"/>
      <c r="AH262" s="1513"/>
      <c r="AI262" s="1513"/>
      <c r="AJ262" s="1513"/>
      <c r="AK262" s="1513"/>
      <c r="AL262" s="1513"/>
    </row>
    <row r="263" spans="1:38" ht="15" customHeight="1" x14ac:dyDescent="0.35">
      <c r="A263" s="1513"/>
      <c r="B263" s="1878" t="s">
        <v>2360</v>
      </c>
      <c r="C263" s="1849"/>
      <c r="D263" s="1846">
        <f>IF(ISNUMBER(I89), I89, "")</f>
        <v>0</v>
      </c>
      <c r="E263" s="1846">
        <f>IF(ISNUMBER(M89), M89, "")</f>
        <v>0</v>
      </c>
      <c r="F263" s="1846">
        <f>IF(ISNUMBER(W89), W89, "")</f>
        <v>0</v>
      </c>
      <c r="H263" s="1846">
        <f>IF(ISNUMBER(AA89), AA89, "")</f>
        <v>0</v>
      </c>
      <c r="I263" s="1846" t="str">
        <f>IF(ISNUMBER(AF89), AF89, "")</f>
        <v/>
      </c>
      <c r="J263" s="1846" t="str">
        <f>IF(ISNUMBER(AG89), AG89, "")</f>
        <v/>
      </c>
      <c r="K263" s="1846" t="str">
        <f t="shared" si="273"/>
        <v/>
      </c>
      <c r="L263" s="1846" t="str">
        <f t="shared" si="273"/>
        <v/>
      </c>
      <c r="M263" s="1846" t="str">
        <f>IF(ISNUMBER(AJ89), AJ89, "")</f>
        <v/>
      </c>
      <c r="N263" s="1846" t="str">
        <f>IF(ISNUMBER(AK89), AK89, "")</f>
        <v/>
      </c>
      <c r="O263" s="1857"/>
      <c r="P263" s="1857"/>
      <c r="R263" s="1857"/>
      <c r="S263" s="1857"/>
      <c r="T263" s="1857"/>
      <c r="U263" s="1126"/>
      <c r="V263" s="1850"/>
      <c r="W263" s="1513"/>
      <c r="X263" s="1513"/>
      <c r="Y263" s="1513"/>
      <c r="Z263" s="1513"/>
      <c r="AA263" s="1513"/>
      <c r="AB263" s="1513"/>
      <c r="AC263" s="1513"/>
      <c r="AD263" s="1513"/>
      <c r="AE263" s="1513"/>
      <c r="AF263" s="1513"/>
      <c r="AG263" s="1513"/>
      <c r="AH263" s="1513"/>
      <c r="AI263" s="1513"/>
      <c r="AJ263" s="1513"/>
      <c r="AK263" s="1513"/>
      <c r="AL263" s="1513"/>
    </row>
    <row r="264" spans="1:38" ht="15" customHeight="1" x14ac:dyDescent="0.35">
      <c r="A264" s="1513"/>
      <c r="B264" s="1879" t="s">
        <v>2361</v>
      </c>
      <c r="C264" s="1849"/>
      <c r="D264" s="1846">
        <f>IF(AND(ISNUMBER(D265),ISNUMBER(D266), ISNUMBER(D267), ISNUMBER(D269)), D265+D266+D267+D269, "")</f>
        <v>26374</v>
      </c>
      <c r="E264" s="1846">
        <f t="shared" ref="E264:F264" si="274">IF(AND(ISNUMBER(E265),ISNUMBER(E266), ISNUMBER(E267), ISNUMBER(E269)), E265+E266+E267+E269, "")</f>
        <v>26374</v>
      </c>
      <c r="F264" s="1846">
        <f t="shared" si="274"/>
        <v>26374</v>
      </c>
      <c r="H264" s="1846">
        <f t="shared" ref="H264:M264" si="275">IF(AND(ISNUMBER(H265),ISNUMBER(H266), ISNUMBER(H267), ISNUMBER(H269)), H265+H266+H267+H269, "")</f>
        <v>32185</v>
      </c>
      <c r="I264" s="1846" t="str">
        <f t="shared" si="275"/>
        <v/>
      </c>
      <c r="J264" s="1846" t="str">
        <f t="shared" si="275"/>
        <v/>
      </c>
      <c r="K264" s="1846" t="str">
        <f t="shared" si="275"/>
        <v/>
      </c>
      <c r="L264" s="1846" t="str">
        <f t="shared" si="275"/>
        <v/>
      </c>
      <c r="M264" s="1846" t="str">
        <f t="shared" si="275"/>
        <v/>
      </c>
      <c r="N264" s="1846" t="str">
        <f>IF(AND(ISNUMBER(N265),ISNUMBER(N266), ISNUMBER(N267), ISNUMBER(N269)), N265+N266+N267+N269, "")</f>
        <v/>
      </c>
      <c r="O264" s="1856" t="str">
        <f>IF(OR(F264="",H264=""),"Missing input",IF(AND(F264=0,H264=0,AA90=0),"NA",IF(AND(F264&lt;&gt;"",W90&lt;&gt;"", W90&gt;0, F264&gt;0,_xlfn.NUMBERVALUE(F264)/_xlfn.NUMBERVALUE(W90)&gt;0.95,_xlfn.NUMBERVALUE(F264)/_xlfn.NUMBERVALUE(W90)&lt;1.05),"Ok","Please Check")))</f>
        <v>Ok</v>
      </c>
      <c r="P264" s="1856" t="str">
        <f>IF(OR(F264="",H264=""),"Missing input",IF(AND(F264=0,H264=0,AA90=0),"NA",IFERROR(IF(AND(H264&lt;&gt;"",AA90&lt;&gt;"",AA90&gt;0,H264&gt;0,_xlfn.NUMBERVALUE(H264)/_xlfn.NUMBERVALUE(F264)&lt;2.55,_xlfn.NUMBERVALUE(H264)/_xlfn.NUMBERVALUE(F264)&gt;0.95),"Ok","Please check"),"Please check")))</f>
        <v>Ok</v>
      </c>
      <c r="R264" s="1856" t="str">
        <f>IF(OR('General Info'!$C$19="Yes",'General Info'!$D$19="Yes"),IF(OR(I264="",K264=""),"Missing input",IF(AND(I264=0,K264=0,AH90=0),"NA",IF(AND(I264&lt;&gt;"",AF90&lt;&gt;"", AF90&gt;0, I264&gt;0,_xlfn.NUMBERVALUE(I264)/_xlfn.NUMBERVALUE(AF90)&gt;0.95,_xlfn.NUMBERVALUE(I264)/_xlfn.NUMBERVALUE(AF90)&lt;1.05),"Ok","Please Check"))),"NA")</f>
        <v>NA</v>
      </c>
      <c r="S264" s="1856" t="str">
        <f>IF(OR('General Info'!$C$19="Yes",'General Info'!$D$19="Yes"),IF(OR(I264="",K264=""),"Missing input",IF(AND(I264=0,K264=0,AA90=0),"NA",IFERROR(IF(AND(K264&lt;&gt;"",AA90&lt;&gt;"",AA90&gt;0,K264&gt;0,_xlfn.NUMBERVALUE(K264)/_xlfn.NUMBERVALUE(I264)&lt;2.55,_xlfn.NUMBERVALUE(K264)/_xlfn.NUMBERVALUE(I264)&gt;0.95),"Ok","Please check"),"Please check"))),"NA")</f>
        <v>NA</v>
      </c>
      <c r="T264" s="1856" t="str">
        <f>IF(OR('General Info'!$C$19="Yes",'General Info'!$D$19="Yes"),IFERROR(IF(AND(_xlfn.NUMBERVALUE(N264)/_xlfn.NUMBERVALUE(K264)&gt;0.7143,_xlfn.NUMBERVALUE(N264)/_xlfn.NUMBERVALUE(K264)&lt;=1),"Ok", "Please check"),"Please check"),"NA")</f>
        <v>NA</v>
      </c>
      <c r="U264" s="1126"/>
      <c r="V264" s="1850"/>
      <c r="W264" s="1513"/>
      <c r="X264" s="1513"/>
      <c r="Y264" s="1513"/>
      <c r="Z264" s="1513"/>
      <c r="AA264" s="1513"/>
      <c r="AB264" s="1513"/>
      <c r="AC264" s="1513"/>
      <c r="AD264" s="1513"/>
      <c r="AE264" s="1513"/>
      <c r="AF264" s="1513"/>
      <c r="AG264" s="1513"/>
      <c r="AH264" s="1513"/>
      <c r="AI264" s="1513"/>
      <c r="AJ264" s="1513"/>
      <c r="AK264" s="1513"/>
      <c r="AL264" s="1513"/>
    </row>
    <row r="265" spans="1:38" ht="15" customHeight="1" x14ac:dyDescent="0.35">
      <c r="A265" s="1513"/>
      <c r="B265" s="1880" t="s">
        <v>2362</v>
      </c>
      <c r="C265" s="1849"/>
      <c r="D265" s="2540">
        <v>22500</v>
      </c>
      <c r="E265" s="2540">
        <v>22500</v>
      </c>
      <c r="F265" s="2540">
        <v>22500</v>
      </c>
      <c r="H265" s="2540">
        <f>+F265</f>
        <v>22500</v>
      </c>
      <c r="I265" s="208"/>
      <c r="J265" s="208"/>
      <c r="K265" s="138"/>
      <c r="L265" s="1846" t="str">
        <f>IF(AND(ISNUMBER(I265),ISNUMBER(J265),ISNUMBER(M265)),I265-J265+M265,"")</f>
        <v/>
      </c>
      <c r="M265" s="138"/>
      <c r="N265" s="138"/>
      <c r="O265" s="1857"/>
      <c r="P265" s="1856" t="str">
        <f>IF(OR(F265="",H265=""),"Missing input",IF(AND(F265=0,H265=0), "NA",IFERROR(IF(AND(_xlfn.NUMBERVALUE(H265)/_xlfn.NUMBERVALUE(F265)&lt;1.05,_xlfn.NUMBERVALUE(H265)/_xlfn.NUMBERVALUE(F265)&gt;0.95),"Ok","Please check"),"Please check")))</f>
        <v>Ok</v>
      </c>
      <c r="R265" s="1857"/>
      <c r="S265" s="1856" t="str">
        <f>IF(OR('General Info'!$C$19="Yes",'General Info'!$D$19="Yes"),IF(OR(I265="",K265=""),"Missing input",IF(AND(OR('General Info'!$C$19="Yes",'General Info'!$D$19="Yes"),I265=0,K265=0), "NA",IFERROR(IF(AND(_xlfn.NUMBERVALUE(K265)/_xlfn.NUMBERVALUE(I265)&lt;1.05,_xlfn.NUMBERVALUE(K265)/_xlfn.NUMBERVALUE(I265)&gt;0.95),"Ok","Please check"),"Please check"))),"NA")</f>
        <v>NA</v>
      </c>
      <c r="T265" s="1856" t="str">
        <f>IF(OR('General Info'!$C$19="Yes",'General Info'!$D$19="Yes"),IFERROR(IF(AND(_xlfn.NUMBERVALUE(N265)/_xlfn.NUMBERVALUE(K265)&gt;0.7143,_xlfn.NUMBERVALUE(N265)/_xlfn.NUMBERVALUE(K265)&lt;=1),"Ok", "Please check"),"Please check"),"NA")</f>
        <v>NA</v>
      </c>
      <c r="U265" s="1126"/>
      <c r="V265" s="1850"/>
      <c r="W265" s="1513"/>
      <c r="X265" s="1513"/>
      <c r="Y265" s="1513"/>
      <c r="Z265" s="1513"/>
      <c r="AA265" s="1513"/>
      <c r="AB265" s="1513"/>
      <c r="AC265" s="1513"/>
      <c r="AD265" s="1513"/>
      <c r="AE265" s="1513"/>
      <c r="AF265" s="1513"/>
      <c r="AG265" s="1513"/>
      <c r="AH265" s="1513"/>
      <c r="AI265" s="1513"/>
      <c r="AJ265" s="1513"/>
      <c r="AK265" s="1513"/>
      <c r="AL265" s="1513"/>
    </row>
    <row r="266" spans="1:38" ht="15" customHeight="1" x14ac:dyDescent="0.35">
      <c r="A266" s="1513"/>
      <c r="B266" s="1881" t="s">
        <v>2363</v>
      </c>
      <c r="C266" s="1849"/>
      <c r="D266" s="2540">
        <v>0</v>
      </c>
      <c r="E266" s="2540">
        <v>0</v>
      </c>
      <c r="F266" s="2540">
        <v>0</v>
      </c>
      <c r="H266" s="2540">
        <v>0</v>
      </c>
      <c r="I266" s="1861"/>
      <c r="J266" s="208"/>
      <c r="K266" s="138"/>
      <c r="L266" s="1846" t="str">
        <f>IF(AND(ISNUMBER(I266),ISNUMBER(J266),ISNUMBER(M266)),I266-J266+M266,"")</f>
        <v/>
      </c>
      <c r="M266" s="138"/>
      <c r="N266" s="138"/>
      <c r="O266" s="1857"/>
      <c r="P266" s="1856" t="str">
        <f>IF(OR(F266="",H266=""),"Missing input",IF(AND(F266=0,H266=0), "NA",IFERROR(IF(AND(_xlfn.NUMBERVALUE(H266)/_xlfn.NUMBERVALUE(F266)&lt;1.05,_xlfn.NUMBERVALUE(H266)/_xlfn.NUMBERVALUE(F266)&gt;0.95),"Ok","Please check"),"Please check")))</f>
        <v>NA</v>
      </c>
      <c r="R266" s="1857"/>
      <c r="S266" s="1856" t="str">
        <f>IF(OR('General Info'!$C$19="Yes",'General Info'!$D$19="Yes"),IF(OR(I266="",K266=""),"Missing input",IF(AND(OR('General Info'!$C$19="Yes",'General Info'!$D$19="Yes"),I266=0,K266=0), "NA",IFERROR(IF(AND(_xlfn.NUMBERVALUE(K266)/_xlfn.NUMBERVALUE(I266)&lt;1.05,_xlfn.NUMBERVALUE(K266)/_xlfn.NUMBERVALUE(I266)&gt;0.95),"Ok","Please check"),"Please check"))),"NA")</f>
        <v>NA</v>
      </c>
      <c r="T266" s="1856" t="str">
        <f>IF(OR('General Info'!$C$19="Yes",'General Info'!$D$19="Yes"),IFERROR(IF(AND(_xlfn.NUMBERVALUE(N266)/_xlfn.NUMBERVALUE(K266)&gt;0.7143,_xlfn.NUMBERVALUE(N266)/_xlfn.NUMBERVALUE(K266)&lt;=1),"Ok", "Please check"),"Please check"),"NA")</f>
        <v>NA</v>
      </c>
      <c r="U266" s="1126"/>
      <c r="V266" s="1850"/>
      <c r="W266" s="1513"/>
      <c r="X266" s="1513"/>
      <c r="Y266" s="1513"/>
      <c r="Z266" s="1513"/>
      <c r="AA266" s="1513"/>
      <c r="AB266" s="1513"/>
      <c r="AC266" s="1513"/>
      <c r="AD266" s="1513"/>
      <c r="AE266" s="1513"/>
      <c r="AF266" s="1513"/>
      <c r="AG266" s="1513"/>
      <c r="AH266" s="1513"/>
      <c r="AI266" s="1513"/>
      <c r="AJ266" s="1513"/>
      <c r="AK266" s="1513"/>
      <c r="AL266" s="1513"/>
    </row>
    <row r="267" spans="1:38" ht="30" customHeight="1" x14ac:dyDescent="0.35">
      <c r="A267" s="1513"/>
      <c r="B267" s="1883" t="s">
        <v>2364</v>
      </c>
      <c r="C267" s="1849"/>
      <c r="D267" s="2540">
        <v>0</v>
      </c>
      <c r="E267" s="2540">
        <v>0</v>
      </c>
      <c r="F267" s="2540">
        <v>0</v>
      </c>
      <c r="H267" s="2540">
        <v>0</v>
      </c>
      <c r="I267" s="208"/>
      <c r="J267" s="208"/>
      <c r="K267" s="138"/>
      <c r="L267" s="1846" t="str">
        <f>IF(AND(ISNUMBER(I267),ISNUMBER(J267),ISNUMBER(M267)),I267-J267+M267,"")</f>
        <v/>
      </c>
      <c r="M267" s="138"/>
      <c r="N267" s="138"/>
      <c r="O267" s="1857"/>
      <c r="P267" s="1857"/>
      <c r="R267" s="1857"/>
      <c r="S267" s="1857"/>
      <c r="T267" s="1856" t="str">
        <f>IF(OR('General Info'!$C$19="Yes",'General Info'!$D$19="Yes"),IFERROR(IF(AND(_xlfn.NUMBERVALUE(N267)/_xlfn.NUMBERVALUE(K267)&gt;0.7143,_xlfn.NUMBERVALUE(N267)/_xlfn.NUMBERVALUE(K267)&lt;=1),"Ok", "Please check"),"Please check"),"NA")</f>
        <v>NA</v>
      </c>
      <c r="U267" s="1126"/>
      <c r="V267" s="1850"/>
      <c r="W267" s="1513"/>
      <c r="X267" s="1513"/>
      <c r="Y267" s="1513"/>
      <c r="Z267" s="1513"/>
      <c r="AA267" s="1513"/>
      <c r="AB267" s="1513"/>
      <c r="AC267" s="1513"/>
      <c r="AD267" s="1513"/>
      <c r="AE267" s="1513"/>
      <c r="AF267" s="1513"/>
      <c r="AG267" s="1513"/>
      <c r="AH267" s="1513"/>
      <c r="AI267" s="1513"/>
      <c r="AJ267" s="1513"/>
      <c r="AK267" s="1513"/>
      <c r="AL267" s="1513"/>
    </row>
    <row r="268" spans="1:38" ht="15" customHeight="1" x14ac:dyDescent="0.35">
      <c r="A268" s="1513"/>
      <c r="B268" s="1882" t="s">
        <v>2365</v>
      </c>
      <c r="C268" s="1849"/>
      <c r="D268" s="2540">
        <v>0</v>
      </c>
      <c r="E268" s="2540">
        <v>0</v>
      </c>
      <c r="F268" s="2540">
        <v>0</v>
      </c>
      <c r="H268" s="2540">
        <v>0</v>
      </c>
      <c r="I268" s="208"/>
      <c r="J268" s="208"/>
      <c r="K268" s="138"/>
      <c r="L268" s="1846" t="str">
        <f t="shared" ref="L268:L271" si="276">IF(AND(ISNUMBER(I268),ISNUMBER(J268),ISNUMBER(M268)),I268-J268+M268,"")</f>
        <v/>
      </c>
      <c r="M268" s="138"/>
      <c r="N268" s="138"/>
      <c r="O268" s="1857"/>
      <c r="P268" s="1857"/>
      <c r="R268" s="1857"/>
      <c r="S268" s="1857"/>
      <c r="T268" s="1857"/>
      <c r="U268" s="1126"/>
      <c r="V268" s="1850"/>
      <c r="W268" s="1513"/>
      <c r="X268" s="1513"/>
      <c r="Y268" s="1513"/>
      <c r="Z268" s="1513"/>
      <c r="AA268" s="1513"/>
      <c r="AB268" s="1513"/>
      <c r="AC268" s="1513"/>
      <c r="AD268" s="1513"/>
      <c r="AE268" s="1513"/>
      <c r="AF268" s="1513"/>
      <c r="AG268" s="1513"/>
      <c r="AH268" s="1513"/>
      <c r="AI268" s="1513"/>
      <c r="AJ268" s="1513"/>
      <c r="AK268" s="1513"/>
      <c r="AL268" s="1513"/>
    </row>
    <row r="269" spans="1:38" ht="15" customHeight="1" x14ac:dyDescent="0.35">
      <c r="A269" s="1513"/>
      <c r="B269" s="1883" t="s">
        <v>2366</v>
      </c>
      <c r="C269" s="1849"/>
      <c r="D269" s="2540">
        <f>+D270</f>
        <v>3874</v>
      </c>
      <c r="E269" s="2540">
        <f>+D269</f>
        <v>3874</v>
      </c>
      <c r="F269" s="2540">
        <f>+E269</f>
        <v>3874</v>
      </c>
      <c r="H269" s="2540">
        <f>+H270</f>
        <v>9685</v>
      </c>
      <c r="I269" s="1861"/>
      <c r="J269" s="208"/>
      <c r="K269" s="138"/>
      <c r="L269" s="1846" t="str">
        <f t="shared" si="276"/>
        <v/>
      </c>
      <c r="M269" s="138"/>
      <c r="N269" s="138"/>
      <c r="O269" s="1857"/>
      <c r="P269" s="1856" t="str">
        <f>IF(OR(F269="",H269=""),"Missing input",IF(AND(F269=0,H269=0),"NA",IFERROR(IF(AND(_xlfn.NUMBERVALUE(H269)/_xlfn.NUMBERVALUE(F269)&gt;2.45,_xlfn.NUMBERVALUE(H269)/_xlfn.NUMBERVALUE(F269)&lt;2.55),"Ok","Please check"),"Please check")))</f>
        <v>Ok</v>
      </c>
      <c r="R269" s="1857"/>
      <c r="S269" s="1856" t="str">
        <f>IF(OR('General Info'!$C$19="Yes",'General Info'!$D$19="Yes"),IF(OR(I269="",K269=""),"Missing input",IF(AND(OR('General Info'!$C$19="Yes",'General Info'!$D$19="Yes"),I269=0,K269=0), "NA",IFERROR(IF(AND(_xlfn.NUMBERVALUE(K269)/_xlfn.NUMBERVALUE(I269)&lt;2.55,_xlfn.NUMBERVALUE(K269)/_xlfn.NUMBERVALUE(I269)&gt;2.45),"Ok","Please check"),"Please check"))),"NA")</f>
        <v>NA</v>
      </c>
      <c r="T269" s="1856" t="str">
        <f>IF(OR('General Info'!$C$19="Yes",'General Info'!$D$19="Yes"),IFERROR(IF(AND(_xlfn.NUMBERVALUE(N269)/_xlfn.NUMBERVALUE(K269)&gt;0.7143,_xlfn.NUMBERVALUE(N269)/_xlfn.NUMBERVALUE(K269)&lt;=1),"Ok", "Please check"),"Please check"),"NA")</f>
        <v>NA</v>
      </c>
      <c r="U269" s="1126"/>
      <c r="V269" s="1850"/>
      <c r="W269" s="1513"/>
      <c r="X269" s="1513"/>
      <c r="Y269" s="1513"/>
      <c r="Z269" s="1513"/>
      <c r="AA269" s="1513"/>
      <c r="AB269" s="1513"/>
      <c r="AC269" s="1513"/>
      <c r="AD269" s="1513"/>
      <c r="AE269" s="1513"/>
      <c r="AF269" s="1513"/>
      <c r="AG269" s="1513"/>
      <c r="AH269" s="1513"/>
      <c r="AI269" s="1513"/>
      <c r="AJ269" s="1513"/>
      <c r="AK269" s="1513"/>
      <c r="AL269" s="1513"/>
    </row>
    <row r="270" spans="1:38" ht="15" customHeight="1" x14ac:dyDescent="0.35">
      <c r="A270" s="1513"/>
      <c r="B270" s="1884" t="s">
        <v>2367</v>
      </c>
      <c r="C270" s="1849"/>
      <c r="D270" s="2540">
        <f>+D90-D265</f>
        <v>3874</v>
      </c>
      <c r="E270" s="2540">
        <f>+D270</f>
        <v>3874</v>
      </c>
      <c r="F270" s="2540">
        <f>+E270</f>
        <v>3874</v>
      </c>
      <c r="H270" s="2545">
        <f>+F270*2.5</f>
        <v>9685</v>
      </c>
      <c r="I270" s="208"/>
      <c r="J270" s="208"/>
      <c r="K270" s="138"/>
      <c r="L270" s="1846" t="str">
        <f t="shared" si="276"/>
        <v/>
      </c>
      <c r="M270" s="138"/>
      <c r="N270" s="138"/>
      <c r="O270" s="1857"/>
      <c r="P270" s="1857"/>
      <c r="R270" s="1857"/>
      <c r="S270" s="1857"/>
      <c r="T270" s="1857"/>
      <c r="U270" s="1126"/>
      <c r="V270" s="1850"/>
      <c r="W270" s="1513"/>
      <c r="X270" s="1513"/>
      <c r="Y270" s="1513"/>
      <c r="Z270" s="1513"/>
      <c r="AA270" s="1513"/>
      <c r="AB270" s="1513"/>
      <c r="AC270" s="1513"/>
      <c r="AD270" s="1513"/>
      <c r="AE270" s="1513"/>
      <c r="AF270" s="1513"/>
      <c r="AG270" s="1513"/>
      <c r="AH270" s="1513"/>
      <c r="AI270" s="1513"/>
      <c r="AJ270" s="1513"/>
      <c r="AK270" s="1513"/>
      <c r="AL270" s="1513"/>
    </row>
    <row r="271" spans="1:38" ht="15" customHeight="1" x14ac:dyDescent="0.35">
      <c r="A271" s="1513"/>
      <c r="B271" s="1884" t="s">
        <v>2365</v>
      </c>
      <c r="C271" s="1849"/>
      <c r="D271" s="2540">
        <v>0</v>
      </c>
      <c r="E271" s="2540">
        <v>0</v>
      </c>
      <c r="F271" s="2540">
        <v>0</v>
      </c>
      <c r="H271" s="2540">
        <v>0</v>
      </c>
      <c r="I271" s="208"/>
      <c r="J271" s="208"/>
      <c r="K271" s="138"/>
      <c r="L271" s="1846" t="str">
        <f t="shared" si="276"/>
        <v/>
      </c>
      <c r="M271" s="138"/>
      <c r="N271" s="138"/>
      <c r="O271" s="1857"/>
      <c r="P271" s="1857"/>
      <c r="R271" s="1857"/>
      <c r="S271" s="1857"/>
      <c r="T271" s="1857"/>
      <c r="U271" s="1126"/>
      <c r="V271" s="1850"/>
      <c r="W271" s="1513"/>
      <c r="X271" s="1513"/>
      <c r="Y271" s="1513"/>
      <c r="Z271" s="1513"/>
      <c r="AA271" s="1513"/>
      <c r="AB271" s="1513"/>
      <c r="AC271" s="1513"/>
      <c r="AD271" s="1513"/>
      <c r="AE271" s="1513"/>
      <c r="AF271" s="1513"/>
      <c r="AG271" s="1513"/>
      <c r="AH271" s="1513"/>
      <c r="AI271" s="1513"/>
      <c r="AJ271" s="1513"/>
      <c r="AK271" s="1513"/>
      <c r="AL271" s="1513"/>
    </row>
    <row r="272" spans="1:38" ht="15" customHeight="1" x14ac:dyDescent="0.35">
      <c r="A272" s="1513"/>
      <c r="B272" s="1513"/>
      <c r="C272" s="1849"/>
      <c r="D272" s="1513"/>
      <c r="E272" s="1513"/>
      <c r="F272" s="1513"/>
      <c r="H272" s="1513"/>
      <c r="I272" s="1513"/>
      <c r="J272" s="1513"/>
      <c r="K272" s="1513"/>
      <c r="L272" s="1513"/>
      <c r="M272" s="1513"/>
      <c r="N272" s="1513"/>
      <c r="O272" s="1513"/>
      <c r="P272" s="1513"/>
      <c r="R272" s="1513"/>
      <c r="S272" s="1513"/>
      <c r="T272" s="1850"/>
      <c r="U272" s="1126"/>
      <c r="V272" s="1850"/>
      <c r="W272" s="1513"/>
      <c r="X272" s="1513"/>
      <c r="Y272" s="1513"/>
      <c r="Z272" s="1513"/>
      <c r="AA272" s="1513"/>
      <c r="AB272" s="1513"/>
      <c r="AC272" s="1513"/>
      <c r="AD272" s="1513"/>
      <c r="AE272" s="1513"/>
      <c r="AF272" s="1513"/>
      <c r="AG272" s="1513"/>
      <c r="AH272" s="1513"/>
      <c r="AI272" s="1513"/>
      <c r="AJ272" s="1513"/>
      <c r="AK272" s="1513"/>
      <c r="AL272" s="1513"/>
    </row>
    <row r="273" spans="1:38" ht="50.1" customHeight="1" x14ac:dyDescent="0.35">
      <c r="A273" s="1885" t="s">
        <v>2368</v>
      </c>
      <c r="B273" s="1886"/>
      <c r="C273" s="1849"/>
      <c r="D273" s="1886"/>
      <c r="E273" s="1886"/>
      <c r="F273" s="1886"/>
      <c r="H273" s="1886"/>
      <c r="I273" s="1886"/>
      <c r="J273" s="1886"/>
      <c r="K273" s="1886"/>
      <c r="L273" s="1886"/>
      <c r="M273" s="1886"/>
      <c r="N273" s="1886"/>
      <c r="O273" s="1886"/>
      <c r="P273" s="1886"/>
      <c r="R273" s="1886"/>
      <c r="S273" s="1886"/>
      <c r="T273" s="1850"/>
      <c r="U273" s="1126"/>
      <c r="V273" s="1850"/>
      <c r="W273" s="1886"/>
      <c r="X273" s="1886"/>
      <c r="Y273" s="1886"/>
      <c r="Z273" s="1886"/>
      <c r="AA273" s="1886"/>
      <c r="AB273" s="1886"/>
      <c r="AC273" s="1886"/>
      <c r="AD273" s="1886"/>
      <c r="AE273" s="1886"/>
      <c r="AF273" s="1886"/>
      <c r="AG273" s="1886"/>
      <c r="AH273" s="1886"/>
      <c r="AI273" s="1886"/>
      <c r="AJ273" s="1886"/>
      <c r="AK273" s="1886"/>
      <c r="AL273" s="1886"/>
    </row>
    <row r="274" spans="1:38" ht="78.900000000000006" customHeight="1" x14ac:dyDescent="0.35">
      <c r="A274" s="1513"/>
      <c r="B274" s="2714" t="s">
        <v>2369</v>
      </c>
      <c r="C274" s="1849"/>
      <c r="D274" s="2730" t="s">
        <v>735</v>
      </c>
      <c r="E274" s="2730"/>
      <c r="F274" s="2718" t="s">
        <v>2302</v>
      </c>
      <c r="G274" s="2718"/>
      <c r="H274" s="2718"/>
      <c r="I274" s="2734" t="s">
        <v>2370</v>
      </c>
      <c r="J274" s="2734"/>
      <c r="K274" s="2732" t="s">
        <v>221</v>
      </c>
      <c r="L274" s="2732"/>
      <c r="M274" s="2732"/>
      <c r="N274" s="2736" t="s">
        <v>2371</v>
      </c>
      <c r="O274" s="2736"/>
      <c r="P274" s="2736"/>
      <c r="R274" s="1513"/>
      <c r="S274" s="1513"/>
      <c r="T274" s="1850"/>
      <c r="U274" s="1126"/>
      <c r="V274" s="1850"/>
      <c r="W274" s="1886"/>
      <c r="X274" s="1886"/>
      <c r="Y274" s="1886"/>
      <c r="Z274" s="1886"/>
      <c r="AA274" s="1886"/>
      <c r="AB274" s="1886"/>
      <c r="AC274" s="1886"/>
      <c r="AD274" s="1886"/>
      <c r="AE274" s="1886"/>
      <c r="AF274" s="1886"/>
      <c r="AG274" s="1886"/>
      <c r="AH274" s="1886"/>
      <c r="AI274" s="1886"/>
      <c r="AJ274" s="1886"/>
      <c r="AK274" s="1886"/>
      <c r="AL274" s="1886"/>
    </row>
    <row r="275" spans="1:38" ht="50.1" customHeight="1" x14ac:dyDescent="0.35">
      <c r="A275" s="1513"/>
      <c r="B275" s="2715"/>
      <c r="C275" s="1849"/>
      <c r="D275" s="2709" t="s">
        <v>749</v>
      </c>
      <c r="E275" s="2709"/>
      <c r="F275" s="2709" t="s">
        <v>2312</v>
      </c>
      <c r="G275" s="2709"/>
      <c r="H275" s="2709"/>
      <c r="I275" s="2709" t="s">
        <v>2312</v>
      </c>
      <c r="J275" s="2709"/>
      <c r="K275" s="2709" t="s">
        <v>743</v>
      </c>
      <c r="L275" s="2709"/>
      <c r="M275" s="2709"/>
      <c r="N275" s="2709" t="s">
        <v>743</v>
      </c>
      <c r="O275" s="2709"/>
      <c r="P275" s="2709"/>
      <c r="R275" s="1513"/>
      <c r="S275" s="1513"/>
      <c r="T275" s="1850"/>
      <c r="U275" s="1126"/>
      <c r="V275" s="1850"/>
      <c r="W275" s="1886"/>
      <c r="X275" s="1886"/>
      <c r="Y275" s="1886"/>
      <c r="Z275" s="1886"/>
      <c r="AA275" s="1886"/>
      <c r="AB275" s="1886"/>
      <c r="AC275" s="1886"/>
      <c r="AD275" s="1886"/>
      <c r="AE275" s="1886"/>
      <c r="AF275" s="1886"/>
      <c r="AG275" s="1886"/>
      <c r="AH275" s="1886"/>
      <c r="AI275" s="1886"/>
      <c r="AJ275" s="1886"/>
      <c r="AK275" s="1886"/>
      <c r="AL275" s="1886"/>
    </row>
    <row r="276" spans="1:38" ht="50.1" customHeight="1" x14ac:dyDescent="0.35">
      <c r="A276" s="1513"/>
      <c r="B276" s="2715"/>
      <c r="C276" s="1849"/>
      <c r="D276" s="2709"/>
      <c r="E276" s="2709"/>
      <c r="F276" s="2709"/>
      <c r="G276" s="2709"/>
      <c r="H276" s="2709"/>
      <c r="I276" s="2709"/>
      <c r="J276" s="2709"/>
      <c r="K276" s="2709" t="s">
        <v>2372</v>
      </c>
      <c r="L276" s="2709"/>
      <c r="M276" s="2709" t="s">
        <v>177</v>
      </c>
      <c r="N276" s="2709" t="s">
        <v>2372</v>
      </c>
      <c r="O276" s="2709"/>
      <c r="P276" s="2709" t="s">
        <v>177</v>
      </c>
      <c r="R276" s="1513"/>
      <c r="S276" s="1513"/>
      <c r="T276" s="1850"/>
      <c r="U276" s="1126"/>
      <c r="V276" s="1850"/>
      <c r="W276" s="1886"/>
      <c r="X276" s="1886"/>
      <c r="Y276" s="1886"/>
      <c r="Z276" s="1886"/>
      <c r="AA276" s="1886"/>
      <c r="AB276" s="1886"/>
      <c r="AC276" s="1886"/>
      <c r="AD276" s="1886"/>
      <c r="AE276" s="1886"/>
      <c r="AF276" s="1886"/>
      <c r="AG276" s="1886"/>
      <c r="AH276" s="1886"/>
      <c r="AI276" s="1886"/>
      <c r="AJ276" s="1886"/>
      <c r="AK276" s="1886"/>
      <c r="AL276" s="1886"/>
    </row>
    <row r="277" spans="1:38" ht="80.099999999999994" customHeight="1" x14ac:dyDescent="0.35">
      <c r="A277" s="1513"/>
      <c r="B277" s="2716"/>
      <c r="C277" s="1849"/>
      <c r="D277" s="1853" t="s">
        <v>2305</v>
      </c>
      <c r="E277" s="1853" t="s">
        <v>2315</v>
      </c>
      <c r="F277" s="1853" t="s">
        <v>2305</v>
      </c>
      <c r="G277" s="1852"/>
      <c r="H277" s="1853" t="s">
        <v>2315</v>
      </c>
      <c r="I277" s="1853" t="s">
        <v>2305</v>
      </c>
      <c r="J277" s="1853" t="s">
        <v>2315</v>
      </c>
      <c r="K277" s="1853" t="s">
        <v>59</v>
      </c>
      <c r="L277" s="1853" t="s">
        <v>756</v>
      </c>
      <c r="M277" s="2709"/>
      <c r="N277" s="1853" t="s">
        <v>59</v>
      </c>
      <c r="O277" s="1853" t="s">
        <v>756</v>
      </c>
      <c r="P277" s="2709"/>
      <c r="R277" s="1513"/>
      <c r="S277" s="1513"/>
      <c r="T277" s="1850"/>
      <c r="U277" s="1126"/>
      <c r="V277" s="1850"/>
      <c r="W277" s="1886"/>
      <c r="X277" s="1886"/>
      <c r="Y277" s="1886"/>
      <c r="Z277" s="1886"/>
      <c r="AA277" s="1886"/>
      <c r="AB277" s="1886"/>
      <c r="AC277" s="1886"/>
      <c r="AD277" s="1886"/>
      <c r="AE277" s="1886"/>
      <c r="AF277" s="1886"/>
      <c r="AG277" s="1886"/>
      <c r="AH277" s="1886"/>
      <c r="AI277" s="1886"/>
      <c r="AJ277" s="1886"/>
      <c r="AK277" s="1886"/>
      <c r="AL277" s="1886"/>
    </row>
    <row r="278" spans="1:38" s="1891" customFormat="1" ht="50.1" customHeight="1" x14ac:dyDescent="0.35">
      <c r="A278" s="1886"/>
      <c r="B278" s="1888" t="s">
        <v>2373</v>
      </c>
      <c r="C278" s="1889"/>
      <c r="D278" s="2546">
        <v>0</v>
      </c>
      <c r="E278" s="2546">
        <v>0</v>
      </c>
      <c r="F278" s="2546">
        <v>0</v>
      </c>
      <c r="G278" s="258"/>
      <c r="H278" s="2546">
        <v>0</v>
      </c>
      <c r="I278" s="2546">
        <v>0</v>
      </c>
      <c r="J278" s="2546">
        <v>0</v>
      </c>
      <c r="K278" s="1890"/>
      <c r="L278" s="1890"/>
      <c r="M278" s="1890"/>
      <c r="N278" s="1890"/>
      <c r="O278" s="1890"/>
      <c r="P278" s="1890"/>
      <c r="Q278" s="258"/>
      <c r="R278" s="1886"/>
      <c r="S278" s="1886"/>
      <c r="T278" s="1886"/>
      <c r="U278" s="258"/>
      <c r="V278" s="1886"/>
      <c r="W278" s="1886"/>
      <c r="X278" s="1886"/>
      <c r="Y278" s="1886"/>
      <c r="Z278" s="1886"/>
      <c r="AA278" s="1886"/>
      <c r="AB278" s="1886"/>
      <c r="AC278" s="1886"/>
      <c r="AD278" s="1886"/>
      <c r="AE278" s="1886"/>
      <c r="AF278" s="1886"/>
      <c r="AG278" s="1886"/>
      <c r="AH278" s="1886"/>
      <c r="AI278" s="1886"/>
      <c r="AJ278" s="1886"/>
      <c r="AK278" s="1886"/>
      <c r="AL278" s="1886"/>
    </row>
    <row r="279" spans="1:38" ht="15" customHeight="1" x14ac:dyDescent="0.35">
      <c r="A279" s="1513"/>
      <c r="B279" s="1887"/>
      <c r="C279" s="1887">
        <f t="shared" ref="C279" si="277">+H143</f>
        <v>22811</v>
      </c>
      <c r="D279" s="1887"/>
      <c r="E279" s="1513"/>
      <c r="F279" s="1513"/>
      <c r="H279" s="1513"/>
      <c r="I279" s="1513"/>
      <c r="J279" s="1513"/>
      <c r="K279" s="1513"/>
      <c r="L279" s="1513"/>
      <c r="M279" s="1513"/>
      <c r="N279" s="1513"/>
      <c r="O279" s="1513"/>
      <c r="P279" s="1513"/>
      <c r="R279" s="1513"/>
      <c r="S279" s="1513"/>
      <c r="T279" s="1850"/>
      <c r="U279" s="1126"/>
      <c r="V279" s="1850"/>
      <c r="W279" s="1886"/>
      <c r="X279" s="1886"/>
      <c r="Y279" s="1886"/>
      <c r="Z279" s="1886"/>
      <c r="AA279" s="1886"/>
      <c r="AB279" s="1886"/>
      <c r="AC279" s="1886"/>
      <c r="AD279" s="1886"/>
      <c r="AE279" s="1886"/>
      <c r="AF279" s="1886"/>
      <c r="AG279" s="1886"/>
      <c r="AH279" s="1886"/>
      <c r="AI279" s="1886"/>
      <c r="AJ279" s="1886"/>
      <c r="AK279" s="1886"/>
      <c r="AL279" s="1886"/>
    </row>
    <row r="280" spans="1:38" ht="50.1" customHeight="1" x14ac:dyDescent="0.35">
      <c r="A280" s="1885" t="s">
        <v>2374</v>
      </c>
      <c r="B280" s="1886"/>
      <c r="C280" s="1886"/>
      <c r="D280" s="1886"/>
      <c r="E280" s="1886"/>
      <c r="F280" s="1886"/>
      <c r="G280" s="1886"/>
      <c r="H280" s="1886"/>
      <c r="I280" s="1886"/>
      <c r="J280" s="1886"/>
      <c r="K280" s="1886"/>
      <c r="L280" s="1886"/>
      <c r="M280" s="1886"/>
      <c r="N280" s="1886"/>
      <c r="O280" s="1886"/>
      <c r="P280" s="1886"/>
      <c r="Q280" s="1886"/>
      <c r="R280" s="1886"/>
      <c r="S280" s="1886"/>
      <c r="T280" s="1850"/>
      <c r="U280" s="1850"/>
      <c r="V280" s="1850"/>
      <c r="W280" s="1886"/>
      <c r="X280" s="1886"/>
      <c r="Y280" s="1886"/>
      <c r="Z280" s="1886"/>
      <c r="AA280" s="1886"/>
      <c r="AB280" s="1886"/>
      <c r="AC280" s="1886"/>
      <c r="AD280" s="1886"/>
      <c r="AE280" s="1886"/>
      <c r="AF280" s="1886"/>
      <c r="AG280" s="1886"/>
      <c r="AH280" s="1886"/>
      <c r="AI280" s="1886"/>
      <c r="AJ280" s="1886"/>
      <c r="AK280" s="1886"/>
      <c r="AL280" s="1886"/>
    </row>
    <row r="281" spans="1:38" ht="50.1" customHeight="1" x14ac:dyDescent="0.35">
      <c r="A281" s="1885"/>
      <c r="B281" s="1886"/>
      <c r="C281" s="1886"/>
      <c r="D281" s="2719" t="s">
        <v>2375</v>
      </c>
      <c r="E281" s="2720"/>
      <c r="F281" s="2720"/>
      <c r="G281" s="2720"/>
      <c r="H281" s="2720"/>
      <c r="I281" s="2720"/>
      <c r="J281" s="2720"/>
      <c r="K281" s="2720"/>
      <c r="L281" s="2721"/>
      <c r="M281" s="2732" t="s">
        <v>2376</v>
      </c>
      <c r="N281" s="2732"/>
      <c r="O281" s="2732"/>
      <c r="P281" s="2733" t="s">
        <v>737</v>
      </c>
      <c r="Q281" s="2733"/>
      <c r="R281" s="2733"/>
      <c r="S281" s="2733"/>
      <c r="T281" s="1850"/>
      <c r="U281" s="1850"/>
      <c r="V281" s="1850"/>
      <c r="W281" s="1886"/>
      <c r="X281" s="1886"/>
      <c r="Y281" s="1886"/>
      <c r="Z281" s="1886"/>
      <c r="AA281" s="1886"/>
      <c r="AB281" s="1886"/>
      <c r="AC281" s="1886"/>
      <c r="AD281" s="1886"/>
      <c r="AE281" s="1886"/>
      <c r="AF281" s="1886"/>
      <c r="AG281" s="1886"/>
      <c r="AH281" s="1886"/>
      <c r="AI281" s="1886"/>
      <c r="AJ281" s="1886"/>
      <c r="AK281" s="1886"/>
      <c r="AL281" s="1886"/>
    </row>
    <row r="282" spans="1:38" ht="107.1" customHeight="1" x14ac:dyDescent="0.35">
      <c r="A282" s="1885"/>
      <c r="B282" s="1886"/>
      <c r="C282" s="1886"/>
      <c r="D282" s="2710" t="s">
        <v>2305</v>
      </c>
      <c r="E282" s="2566"/>
      <c r="F282" s="2566"/>
      <c r="G282" s="2566"/>
      <c r="H282" s="2729"/>
      <c r="I282" s="2710" t="s">
        <v>877</v>
      </c>
      <c r="J282" s="2566"/>
      <c r="K282" s="2566"/>
      <c r="L282" s="2729"/>
      <c r="M282" s="2709" t="s">
        <v>2377</v>
      </c>
      <c r="N282" s="2709"/>
      <c r="O282" s="2709"/>
      <c r="P282" s="2709" t="s">
        <v>2378</v>
      </c>
      <c r="Q282" s="2709"/>
      <c r="R282" s="2709"/>
      <c r="S282" s="2709"/>
      <c r="T282" s="1850"/>
      <c r="U282" s="1850"/>
      <c r="V282" s="1850"/>
      <c r="W282" s="1886"/>
      <c r="X282" s="1886"/>
      <c r="Y282" s="1886"/>
      <c r="Z282" s="1886"/>
      <c r="AA282" s="1886"/>
      <c r="AB282" s="1886"/>
      <c r="AC282" s="1886"/>
      <c r="AD282" s="1886"/>
      <c r="AE282" s="1886"/>
      <c r="AF282" s="1886"/>
      <c r="AG282" s="1886"/>
      <c r="AH282" s="1886"/>
      <c r="AI282" s="1886"/>
      <c r="AJ282" s="1886"/>
      <c r="AK282" s="1886"/>
      <c r="AL282" s="1886"/>
    </row>
    <row r="283" spans="1:38" ht="50.1" customHeight="1" x14ac:dyDescent="0.35">
      <c r="A283" s="1885"/>
      <c r="B283" s="1886"/>
      <c r="C283" s="1886"/>
      <c r="D283" s="2709" t="s">
        <v>2311</v>
      </c>
      <c r="E283" s="2709" t="s">
        <v>746</v>
      </c>
      <c r="F283" s="2709" t="s">
        <v>2312</v>
      </c>
      <c r="G283" s="2726" t="s">
        <v>59</v>
      </c>
      <c r="H283" s="2709" t="s">
        <v>59</v>
      </c>
      <c r="I283" s="2709" t="s">
        <v>2311</v>
      </c>
      <c r="J283" s="2709" t="s">
        <v>746</v>
      </c>
      <c r="K283" s="2709" t="s">
        <v>2314</v>
      </c>
      <c r="L283" s="2724" t="s">
        <v>2316</v>
      </c>
      <c r="M283" s="2709" t="s">
        <v>752</v>
      </c>
      <c r="N283" s="2709"/>
      <c r="O283" s="2709" t="s">
        <v>177</v>
      </c>
      <c r="P283" s="2709" t="s">
        <v>752</v>
      </c>
      <c r="Q283" s="2709"/>
      <c r="R283" s="2709"/>
      <c r="S283" s="2709" t="s">
        <v>177</v>
      </c>
      <c r="T283" s="2735" t="s">
        <v>2379</v>
      </c>
      <c r="U283" s="1850"/>
      <c r="V283" s="2735" t="s">
        <v>2380</v>
      </c>
      <c r="W283" s="2727" t="s">
        <v>2358</v>
      </c>
      <c r="X283" s="1886"/>
      <c r="Y283" s="1886"/>
      <c r="Z283" s="1886"/>
      <c r="AA283" s="1886"/>
      <c r="AB283" s="1886"/>
      <c r="AC283" s="1886"/>
      <c r="AD283" s="1886"/>
      <c r="AE283" s="1886"/>
      <c r="AF283" s="1886"/>
      <c r="AG283" s="1886"/>
      <c r="AH283" s="1886"/>
      <c r="AI283" s="1886"/>
      <c r="AJ283" s="1886"/>
      <c r="AK283" s="1886"/>
      <c r="AL283" s="1886"/>
    </row>
    <row r="284" spans="1:38" ht="50.1" customHeight="1" x14ac:dyDescent="0.35">
      <c r="A284" s="1885"/>
      <c r="B284" s="1886"/>
      <c r="C284" s="1886"/>
      <c r="D284" s="2709"/>
      <c r="E284" s="2709"/>
      <c r="F284" s="2709"/>
      <c r="G284" s="2726"/>
      <c r="H284" s="2709"/>
      <c r="I284" s="2709"/>
      <c r="J284" s="2709"/>
      <c r="K284" s="2709"/>
      <c r="L284" s="2725"/>
      <c r="M284" s="1853" t="s">
        <v>59</v>
      </c>
      <c r="N284" s="1875" t="s">
        <v>756</v>
      </c>
      <c r="O284" s="2709"/>
      <c r="P284" s="1853" t="s">
        <v>59</v>
      </c>
      <c r="Q284" s="1875"/>
      <c r="R284" s="1875" t="s">
        <v>756</v>
      </c>
      <c r="S284" s="2709"/>
      <c r="T284" s="2708"/>
      <c r="U284" s="1850"/>
      <c r="V284" s="2708"/>
      <c r="W284" s="2728"/>
      <c r="X284" s="1886"/>
      <c r="Y284" s="1886"/>
      <c r="Z284" s="1886"/>
      <c r="AA284" s="1886"/>
      <c r="AB284" s="1886"/>
      <c r="AC284" s="1886"/>
      <c r="AD284" s="1886"/>
      <c r="AE284" s="1886"/>
      <c r="AF284" s="1886"/>
      <c r="AG284" s="1886"/>
      <c r="AH284" s="1886"/>
      <c r="AI284" s="1886"/>
      <c r="AJ284" s="1886"/>
      <c r="AK284" s="1886"/>
      <c r="AL284" s="1886"/>
    </row>
    <row r="285" spans="1:38" ht="15" customHeight="1" x14ac:dyDescent="0.35">
      <c r="A285" s="1885"/>
      <c r="B285" s="300" t="s">
        <v>819</v>
      </c>
      <c r="C285" s="1886"/>
      <c r="D285" s="1846">
        <f>IF(AND(ISNUMBER(D286),ISNUMBER(D291), ISNUMBER(D296), ISNUMBER(D304), ISNUMBER(D309)), D286+D291+D296+D304+D309, "")</f>
        <v>312518</v>
      </c>
      <c r="E285" s="1846">
        <f t="shared" ref="E285:F285" si="278">IF(AND(ISNUMBER(E286),ISNUMBER(E291), ISNUMBER(E296), ISNUMBER(E304), ISNUMBER(E309)), E286+E291+E296+E304+E309, "")</f>
        <v>0</v>
      </c>
      <c r="F285" s="1846">
        <f t="shared" si="278"/>
        <v>161.99999999999997</v>
      </c>
      <c r="G285" s="1846"/>
      <c r="H285" s="1846">
        <f>IF(AND(ISNUMBER(D285),ISNUMBER(E285),ISNUMBER(F285)),SUM(D285:F285),"")</f>
        <v>312680</v>
      </c>
      <c r="I285" s="1846">
        <f t="shared" ref="I285:K285" si="279">IF(AND(ISNUMBER(I286),ISNUMBER(I291), ISNUMBER(I296), ISNUMBER(I304), ISNUMBER(I309)), I286+I291+I296+I304+I309, "")</f>
        <v>61476.150880000008</v>
      </c>
      <c r="J285" s="1846">
        <f t="shared" si="279"/>
        <v>0</v>
      </c>
      <c r="K285" s="1846">
        <f t="shared" si="279"/>
        <v>32.4</v>
      </c>
      <c r="L285" s="1846">
        <f>IF(AND(ISNUMBER(I285),ISNUMBER(J285),ISNUMBER(K285)),SUM(I285:K285),"")</f>
        <v>61508.55088000001</v>
      </c>
      <c r="M285" s="1846" t="str">
        <f>IF(AND(ISNUMBER(M286),ISNUMBER(M291), ISNUMBER(M296), ISNUMBER(M304), ISNUMBER(M309)), M286+M291+M296+M304+M309, "")</f>
        <v/>
      </c>
      <c r="N285" s="1846" t="str">
        <f>IF(AND(ISNUMBER(N286),ISNUMBER(N291), ISNUMBER(N296), ISNUMBER(N304), ISNUMBER(N309)), N286+N291+N296+N304+N309, "")</f>
        <v/>
      </c>
      <c r="O285" s="1846" t="str">
        <f>IF(AND(ISNUMBER(O286),ISNUMBER(O291), ISNUMBER(O296), ISNUMBER(O304), ISNUMBER(O309)), O286+O291+O296+O304+O309, "")</f>
        <v/>
      </c>
      <c r="P285" s="1846" t="str">
        <f t="shared" ref="P285:P308" si="280">IF(AND(ISNUMBER(M285),ISNUMBER(N285),ISNUMBER(R285)),M285-N285+R285,"")</f>
        <v/>
      </c>
      <c r="Q285" s="1886"/>
      <c r="R285" s="1846" t="str">
        <f>IF(AND(ISNUMBER(R286),ISNUMBER(R291), ISNUMBER(R296), ISNUMBER(R304), ISNUMBER(R309)), R286+R291+R296+R304+R309, "")</f>
        <v/>
      </c>
      <c r="S285" s="1846" t="str">
        <f>IF(AND(ISNUMBER(S286),ISNUMBER(S291), ISNUMBER(S296), ISNUMBER(S304), ISNUMBER(S309)), S286+S291+S296+S304+S309, "")</f>
        <v/>
      </c>
      <c r="T285" s="2500" t="str">
        <f>IF(OR(H285="",L285=""),"Missing input",IF(AND(W99=0,AA99=0),"NA",IF(AND(H285&lt;&gt;"",W99&lt;&gt;"", W99&gt;0, H285&gt;0,_xlfn.NUMBERVALUE(H285)/_xlfn.NUMBERVALUE(W99)&gt;0.95,_xlfn.NUMBERVALUE(H285)/_xlfn.NUMBERVALUE(W99)&lt;1.05),"Ok","Please Check")))</f>
        <v>Ok</v>
      </c>
      <c r="U285" s="1850"/>
      <c r="V285" s="2500" t="str">
        <f>IF(OR('General Info'!$C$19="Yes",'General Info'!$D$19="Yes"),IF(OR(M285="",O285=""),"Missing input",IF(AND(M285=0,285=0,AF99=0),"NA",IF(AND(M285&lt;&gt;"",AF99&lt;&gt;"", AF99&gt;0, M285&gt;0,_xlfn.NUMBERVALUE(M285)/_xlfn.NUMBERVALUE(AF99)&gt;0.95,_xlfn.NUMBERVALUE(M285)/_xlfn.NUMBERVALUE(AF99)&lt;1.05),"Ok","Please Check"))),"NA")</f>
        <v>NA</v>
      </c>
      <c r="W285" s="1856" t="str">
        <f>IF(OR('General Info'!$C$19="Yes",'General Info'!$D$19="Yes"),IFERROR(IF(AND(_xlfn.NUMBERVALUE(O285)/_xlfn.NUMBERVALUE(S285)&gt;0.7143,_xlfn.NUMBERVALUE(O285)/_xlfn.NUMBERVALUE(S285)&lt;=1),"Ok", "Please check"),"Please check"),"NA")</f>
        <v>NA</v>
      </c>
      <c r="X285" s="1886"/>
      <c r="Y285" s="1886"/>
      <c r="Z285" s="1886"/>
      <c r="AA285" s="1886"/>
      <c r="AB285" s="1886"/>
      <c r="AC285" s="1886"/>
      <c r="AD285" s="1886"/>
      <c r="AE285" s="1886"/>
      <c r="AF285" s="1886"/>
      <c r="AG285" s="1886"/>
      <c r="AH285" s="1886"/>
      <c r="AI285" s="1886"/>
      <c r="AJ285" s="1886"/>
      <c r="AK285" s="1886"/>
      <c r="AL285" s="1886"/>
    </row>
    <row r="286" spans="1:38" ht="15" customHeight="1" x14ac:dyDescent="0.35">
      <c r="A286" s="1885"/>
      <c r="B286" s="305" t="s">
        <v>820</v>
      </c>
      <c r="C286" s="1886"/>
      <c r="D286" s="1846">
        <f>+D287</f>
        <v>312518</v>
      </c>
      <c r="E286" s="1846">
        <f t="shared" ref="E286:K286" si="281">+E287</f>
        <v>0</v>
      </c>
      <c r="F286" s="1846">
        <f t="shared" si="281"/>
        <v>161.99999999999997</v>
      </c>
      <c r="G286" s="1846" t="str">
        <f t="shared" si="281"/>
        <v/>
      </c>
      <c r="H286" s="1846">
        <f t="shared" ref="H286:H307" si="282">IF(AND(ISNUMBER(D286),ISNUMBER(E286),ISNUMBER(F286)),SUM(D286:F286),"")</f>
        <v>312680</v>
      </c>
      <c r="I286" s="1846">
        <f t="shared" si="281"/>
        <v>61476.150880000008</v>
      </c>
      <c r="J286" s="1846">
        <f t="shared" si="281"/>
        <v>0</v>
      </c>
      <c r="K286" s="1846">
        <f t="shared" si="281"/>
        <v>32.4</v>
      </c>
      <c r="L286" s="1846">
        <f t="shared" ref="L286:L309" si="283">IF(AND(ISNUMBER(I286),ISNUMBER(J286),ISNUMBER(K286)),SUM(I286:K286),"")</f>
        <v>61508.55088000001</v>
      </c>
      <c r="M286" s="1846" t="str">
        <f>+M287</f>
        <v/>
      </c>
      <c r="N286" s="1846" t="str">
        <f>+N287</f>
        <v/>
      </c>
      <c r="O286" s="1846" t="str">
        <f>+O287</f>
        <v/>
      </c>
      <c r="P286" s="1846" t="str">
        <f t="shared" si="280"/>
        <v/>
      </c>
      <c r="Q286" s="1886"/>
      <c r="R286" s="1846" t="str">
        <f>+R287</f>
        <v/>
      </c>
      <c r="S286" s="1846" t="str">
        <f>+S287</f>
        <v/>
      </c>
      <c r="T286" s="2500" t="str">
        <f>IF(OR(H286="",L286=""),"Missing input",IF(AND(W100=0,AA100=0),"NA",IF(AND(H286&lt;&gt;"",W100&lt;&gt;"", W100&gt;0, H286&gt;0,_xlfn.NUMBERVALUE(H286)/_xlfn.NUMBERVALUE(W100)&gt;0.95,_xlfn.NUMBERVALUE(H286)/_xlfn.NUMBERVALUE(W100)&lt;1.05),"Ok","Please Check")))</f>
        <v>Ok</v>
      </c>
      <c r="U286" s="1850"/>
      <c r="V286" s="2500" t="str">
        <f>IF(OR('General Info'!$C$19="Yes",'General Info'!$D$19="Yes"),IF(OR(M286="",O286=""),"Missing input",IF(AND(M286=0,285=0,AF100=0),"NA",IF(AND(M286&lt;&gt;"",AF100&lt;&gt;"", AF100&gt;0, M286&gt;0,_xlfn.NUMBERVALUE(M286)/_xlfn.NUMBERVALUE(AF100)&gt;0.95,_xlfn.NUMBERVALUE(M286)/_xlfn.NUMBERVALUE(AF100)&lt;1.05),"Ok","Please Check"))),"NA")</f>
        <v>NA</v>
      </c>
      <c r="W286" s="1856" t="str">
        <f>IF(OR('General Info'!$C$19="Yes",'General Info'!$D$19="Yes"),IFERROR(IF(AND(_xlfn.NUMBERVALUE(O286)/_xlfn.NUMBERVALUE(S286)&gt;0.7143,_xlfn.NUMBERVALUE(O286)/_xlfn.NUMBERVALUE(S286)&lt;=1),"Ok", "Please check"),"Please check"),"NA")</f>
        <v>NA</v>
      </c>
      <c r="X286" s="1886"/>
      <c r="Y286" s="1886"/>
      <c r="Z286" s="1886"/>
      <c r="AA286" s="1886"/>
      <c r="AB286" s="1886"/>
      <c r="AC286" s="1886"/>
      <c r="AD286" s="1886"/>
      <c r="AE286" s="1886"/>
      <c r="AF286" s="1886"/>
      <c r="AG286" s="1886"/>
      <c r="AH286" s="1886"/>
      <c r="AI286" s="1886"/>
      <c r="AJ286" s="1886"/>
      <c r="AK286" s="1886"/>
      <c r="AL286" s="1886"/>
    </row>
    <row r="287" spans="1:38" ht="15" customHeight="1" x14ac:dyDescent="0.35">
      <c r="A287" s="1885"/>
      <c r="B287" s="405" t="s">
        <v>829</v>
      </c>
      <c r="C287" s="1886"/>
      <c r="D287" s="1846">
        <f>IF(AND(ISNUMBER(D288),ISNUMBER(D289), ISNUMBER(D290)), D288+D289+D290, "")</f>
        <v>312518</v>
      </c>
      <c r="E287" s="1846">
        <f t="shared" ref="E287:K287" si="284">IF(AND(ISNUMBER(E288),ISNUMBER(E289), ISNUMBER(E290)), E288+E289+E290, "")</f>
        <v>0</v>
      </c>
      <c r="F287" s="1846">
        <f t="shared" si="284"/>
        <v>161.99999999999997</v>
      </c>
      <c r="G287" s="1846" t="str">
        <f t="shared" si="284"/>
        <v/>
      </c>
      <c r="H287" s="1846">
        <f t="shared" si="282"/>
        <v>312680</v>
      </c>
      <c r="I287" s="1846">
        <f t="shared" si="284"/>
        <v>61476.150880000008</v>
      </c>
      <c r="J287" s="1846">
        <f t="shared" si="284"/>
        <v>0</v>
      </c>
      <c r="K287" s="1846">
        <f t="shared" si="284"/>
        <v>32.4</v>
      </c>
      <c r="L287" s="1846">
        <f t="shared" si="283"/>
        <v>61508.55088000001</v>
      </c>
      <c r="M287" s="1846" t="str">
        <f>IF(AND(ISNUMBER(M288),ISNUMBER(M289), ISNUMBER(M290)), M288+M289+M290, "")</f>
        <v/>
      </c>
      <c r="N287" s="1846" t="str">
        <f>IF(AND(ISNUMBER(N288),ISNUMBER(N289), ISNUMBER(N290)), N288+N289+N290, "")</f>
        <v/>
      </c>
      <c r="O287" s="1846" t="str">
        <f>IF(AND(ISNUMBER(O288),ISNUMBER(O289), ISNUMBER(O290)), O288+O289+O290, "")</f>
        <v/>
      </c>
      <c r="P287" s="1846" t="str">
        <f t="shared" si="280"/>
        <v/>
      </c>
      <c r="Q287" s="1886"/>
      <c r="R287" s="1846" t="str">
        <f>IF(AND(ISNUMBER(R288),ISNUMBER(R289), ISNUMBER(R290)), R288+R289+R290, "")</f>
        <v/>
      </c>
      <c r="S287" s="1846" t="str">
        <f>IF(AND(ISNUMBER(S288),ISNUMBER(S289), ISNUMBER(S290)), S288+S289+S290, "")</f>
        <v/>
      </c>
      <c r="T287" s="1857"/>
      <c r="U287" s="1850"/>
      <c r="V287" s="1857"/>
      <c r="W287" s="1856" t="str">
        <f>IF(OR('General Info'!$C$19="Yes",'General Info'!$D$19="Yes"),IFERROR(IF(AND(_xlfn.NUMBERVALUE(O287)/_xlfn.NUMBERVALUE(S287)&gt;0.7143,_xlfn.NUMBERVALUE(O287)/_xlfn.NUMBERVALUE(S287)&lt;=1),"Ok", "Please check"),"Please check"),"NA")</f>
        <v>NA</v>
      </c>
      <c r="X287" s="1886"/>
      <c r="Y287" s="1886"/>
      <c r="Z287" s="1886"/>
      <c r="AA287" s="1886"/>
      <c r="AB287" s="1886"/>
      <c r="AC287" s="1886"/>
      <c r="AD287" s="1886"/>
      <c r="AE287" s="1886"/>
      <c r="AF287" s="1886"/>
      <c r="AG287" s="1886"/>
      <c r="AH287" s="1886"/>
      <c r="AI287" s="1886"/>
      <c r="AJ287" s="1886"/>
      <c r="AK287" s="1886"/>
      <c r="AL287" s="1886"/>
    </row>
    <row r="288" spans="1:38" ht="15" customHeight="1" x14ac:dyDescent="0.35">
      <c r="A288" s="1885"/>
      <c r="B288" s="406" t="s">
        <v>830</v>
      </c>
      <c r="C288" s="1886"/>
      <c r="D288" s="2527">
        <f>+D110</f>
        <v>312518</v>
      </c>
      <c r="E288" s="2527">
        <f t="shared" ref="E288" si="285">+E110</f>
        <v>0</v>
      </c>
      <c r="F288" s="2527">
        <f>+H110</f>
        <v>161.99999999999997</v>
      </c>
      <c r="G288" s="212"/>
      <c r="H288" s="1846">
        <f t="shared" si="282"/>
        <v>312680</v>
      </c>
      <c r="I288" s="2527">
        <f>+R205-R208+(R208*0.7619)</f>
        <v>61476.150880000008</v>
      </c>
      <c r="J288" s="2527">
        <v>0</v>
      </c>
      <c r="K288" s="2527">
        <f>+T205</f>
        <v>32.4</v>
      </c>
      <c r="L288" s="1846">
        <f t="shared" si="283"/>
        <v>61508.55088000001</v>
      </c>
      <c r="M288" s="212"/>
      <c r="N288" s="212"/>
      <c r="O288" s="212"/>
      <c r="P288" s="1846" t="str">
        <f t="shared" si="280"/>
        <v/>
      </c>
      <c r="Q288" s="1886"/>
      <c r="R288" s="212"/>
      <c r="S288" s="212"/>
      <c r="T288" s="1857"/>
      <c r="U288" s="1850"/>
      <c r="V288" s="1857"/>
      <c r="W288" s="1856" t="str">
        <f>IF(OR('General Info'!$C$19="Yes",'General Info'!$D$19="Yes"),IFERROR(IF(AND(_xlfn.NUMBERVALUE(O288)/_xlfn.NUMBERVALUE(S288)&gt;0.7143,_xlfn.NUMBERVALUE(O288)/_xlfn.NUMBERVALUE(S288)&lt;=1),"Ok", "Please check"),"Please check"),"NA")</f>
        <v>NA</v>
      </c>
      <c r="X288" s="1886"/>
      <c r="Y288" s="1886"/>
      <c r="Z288" s="1886"/>
      <c r="AA288" s="1886"/>
      <c r="AB288" s="1886"/>
      <c r="AC288" s="1886"/>
      <c r="AD288" s="1886"/>
      <c r="AE288" s="1886"/>
      <c r="AF288" s="1886"/>
      <c r="AG288" s="1886"/>
      <c r="AH288" s="1886"/>
      <c r="AI288" s="1886"/>
      <c r="AJ288" s="1886"/>
      <c r="AK288" s="1886"/>
      <c r="AL288" s="1886"/>
    </row>
    <row r="289" spans="1:38" ht="15" customHeight="1" x14ac:dyDescent="0.35">
      <c r="A289" s="1885"/>
      <c r="B289" s="406" t="s">
        <v>831</v>
      </c>
      <c r="C289" s="1886"/>
      <c r="D289" s="2527">
        <v>0</v>
      </c>
      <c r="E289" s="2527">
        <v>0</v>
      </c>
      <c r="F289" s="2527">
        <v>0</v>
      </c>
      <c r="G289" s="212"/>
      <c r="H289" s="1846">
        <f t="shared" si="282"/>
        <v>0</v>
      </c>
      <c r="I289" s="2527">
        <v>0</v>
      </c>
      <c r="J289" s="2527">
        <v>0</v>
      </c>
      <c r="K289" s="2527">
        <v>0</v>
      </c>
      <c r="L289" s="1846">
        <f t="shared" si="283"/>
        <v>0</v>
      </c>
      <c r="M289" s="212"/>
      <c r="N289" s="212"/>
      <c r="O289" s="212"/>
      <c r="P289" s="1846" t="str">
        <f t="shared" si="280"/>
        <v/>
      </c>
      <c r="Q289" s="1886"/>
      <c r="R289" s="212"/>
      <c r="S289" s="212"/>
      <c r="T289" s="1857"/>
      <c r="U289" s="1850"/>
      <c r="V289" s="1857"/>
      <c r="W289" s="1856" t="str">
        <f>IF(OR('General Info'!$C$19="Yes",'General Info'!$D$19="Yes"),IFERROR(IF(AND(_xlfn.NUMBERVALUE(O289)/_xlfn.NUMBERVALUE(S289)&gt;0.7143,_xlfn.NUMBERVALUE(O289)/_xlfn.NUMBERVALUE(S289)&lt;=1),"Ok", "Please check"),"Please check"),"NA")</f>
        <v>NA</v>
      </c>
      <c r="X289" s="1886"/>
      <c r="Y289" s="1886"/>
      <c r="Z289" s="1886"/>
      <c r="AA289" s="1886"/>
      <c r="AB289" s="1886"/>
      <c r="AC289" s="1886"/>
      <c r="AD289" s="1886"/>
      <c r="AE289" s="1886"/>
      <c r="AF289" s="1886"/>
      <c r="AG289" s="1886"/>
      <c r="AH289" s="1886"/>
      <c r="AI289" s="1886"/>
      <c r="AJ289" s="1886"/>
      <c r="AK289" s="1886"/>
      <c r="AL289" s="1886"/>
    </row>
    <row r="290" spans="1:38" ht="15" customHeight="1" x14ac:dyDescent="0.35">
      <c r="A290" s="1885"/>
      <c r="B290" s="406" t="s">
        <v>828</v>
      </c>
      <c r="C290" s="1886"/>
      <c r="D290" s="2527">
        <v>0</v>
      </c>
      <c r="E290" s="2527">
        <v>0</v>
      </c>
      <c r="F290" s="2527">
        <v>0</v>
      </c>
      <c r="G290" s="212"/>
      <c r="H290" s="1846">
        <f t="shared" si="282"/>
        <v>0</v>
      </c>
      <c r="I290" s="2527">
        <v>0</v>
      </c>
      <c r="J290" s="2527">
        <v>0</v>
      </c>
      <c r="K290" s="2527">
        <v>0</v>
      </c>
      <c r="L290" s="1846">
        <f t="shared" si="283"/>
        <v>0</v>
      </c>
      <c r="M290" s="212"/>
      <c r="N290" s="212"/>
      <c r="O290" s="212"/>
      <c r="P290" s="1846" t="str">
        <f t="shared" si="280"/>
        <v/>
      </c>
      <c r="Q290" s="1886"/>
      <c r="R290" s="212"/>
      <c r="S290" s="212"/>
      <c r="T290" s="1857"/>
      <c r="U290" s="1850"/>
      <c r="V290" s="1857"/>
      <c r="W290" s="1856" t="str">
        <f>IF(OR('General Info'!$C$19="Yes",'General Info'!$D$19="Yes"),IFERROR(IF(AND(_xlfn.NUMBERVALUE(O290)/_xlfn.NUMBERVALUE(S290)&gt;0.7143,_xlfn.NUMBERVALUE(O290)/_xlfn.NUMBERVALUE(S290)&lt;=1),"Ok", "Please check"),"Please check"),"NA")</f>
        <v>NA</v>
      </c>
      <c r="X290" s="1886"/>
      <c r="Y290" s="1886"/>
      <c r="Z290" s="1886"/>
      <c r="AA290" s="1886"/>
      <c r="AB290" s="1886"/>
      <c r="AC290" s="1886"/>
      <c r="AD290" s="1886"/>
      <c r="AE290" s="1886"/>
      <c r="AF290" s="1886"/>
      <c r="AG290" s="1886"/>
      <c r="AH290" s="1886"/>
      <c r="AI290" s="1886"/>
      <c r="AJ290" s="1886"/>
      <c r="AK290" s="1886"/>
      <c r="AL290" s="1886"/>
    </row>
    <row r="291" spans="1:38" ht="15" customHeight="1" x14ac:dyDescent="0.35">
      <c r="A291" s="1885"/>
      <c r="B291" s="305" t="s">
        <v>832</v>
      </c>
      <c r="C291" s="1886"/>
      <c r="D291" s="1846">
        <f>+D292</f>
        <v>0</v>
      </c>
      <c r="E291" s="1846">
        <f t="shared" ref="E291:K291" si="286">+E292</f>
        <v>0</v>
      </c>
      <c r="F291" s="1846">
        <f t="shared" si="286"/>
        <v>0</v>
      </c>
      <c r="G291" s="1846" t="str">
        <f t="shared" si="286"/>
        <v/>
      </c>
      <c r="H291" s="1846">
        <f t="shared" si="282"/>
        <v>0</v>
      </c>
      <c r="I291" s="1846">
        <f t="shared" si="286"/>
        <v>0</v>
      </c>
      <c r="J291" s="1846">
        <f t="shared" si="286"/>
        <v>0</v>
      </c>
      <c r="K291" s="1846">
        <f t="shared" si="286"/>
        <v>0</v>
      </c>
      <c r="L291" s="1846">
        <f t="shared" si="283"/>
        <v>0</v>
      </c>
      <c r="M291" s="1846" t="str">
        <f>+M292</f>
        <v/>
      </c>
      <c r="N291" s="1846" t="str">
        <f>+N292</f>
        <v/>
      </c>
      <c r="O291" s="1846" t="str">
        <f>+O292</f>
        <v/>
      </c>
      <c r="P291" s="1846" t="str">
        <f t="shared" si="280"/>
        <v/>
      </c>
      <c r="Q291" s="1886"/>
      <c r="R291" s="1846" t="str">
        <f>+R292</f>
        <v/>
      </c>
      <c r="S291" s="1846" t="str">
        <f>+S292</f>
        <v/>
      </c>
      <c r="T291" s="2500" t="str">
        <f>IF(OR(H291="",L291=""),"Missing input",IF(AND(W113=0,AA113=0),"NA",IF(AND(H291&lt;&gt;"",W113&lt;&gt;"", W113&gt;0, H291&gt;0,_xlfn.NUMBERVALUE(H291)/_xlfn.NUMBERVALUE(W113)&gt;0.95,_xlfn.NUMBERVALUE(H291)/_xlfn.NUMBERVALUE(W113)&lt;1.05),"Ok","Please Check")))</f>
        <v>NA</v>
      </c>
      <c r="U291" s="1850"/>
      <c r="V291" s="2500" t="str">
        <f>IF(OR('General Info'!$C$19="Yes",'General Info'!$D$19="Yes"),IF(OR(M291="",O291=""),"Missing input",IF(AND(M291=0,285=0,AF113=0),"NA",IF(AND(M291&lt;&gt;"",AF113&lt;&gt;"", AF113&gt;0, M291&gt;0,_xlfn.NUMBERVALUE(M291)/_xlfn.NUMBERVALUE(AF113)&gt;0.95,_xlfn.NUMBERVALUE(M291)/_xlfn.NUMBERVALUE(AF113)&lt;1.05),"Ok","Please Check"))),"NA")</f>
        <v>NA</v>
      </c>
      <c r="W291" s="1856" t="str">
        <f>IF(OR('General Info'!$C$19="Yes",'General Info'!$D$19="Yes"),IFERROR(IF(AND(_xlfn.NUMBERVALUE(O291)/_xlfn.NUMBERVALUE(S291)&gt;0.7143,_xlfn.NUMBERVALUE(O291)/_xlfn.NUMBERVALUE(S291)&lt;=1),"Ok", "Please check"),"Please check"),"NA")</f>
        <v>NA</v>
      </c>
      <c r="X291" s="1886"/>
      <c r="Y291" s="1886"/>
      <c r="Z291" s="1886"/>
      <c r="AA291" s="1886"/>
      <c r="AB291" s="1886"/>
      <c r="AC291" s="1886"/>
      <c r="AD291" s="1886"/>
      <c r="AE291" s="1886"/>
      <c r="AF291" s="1886"/>
      <c r="AG291" s="1886"/>
      <c r="AH291" s="1886"/>
      <c r="AI291" s="1886"/>
      <c r="AJ291" s="1886"/>
      <c r="AK291" s="1886"/>
      <c r="AL291" s="1886"/>
    </row>
    <row r="292" spans="1:38" ht="15" customHeight="1" x14ac:dyDescent="0.35">
      <c r="A292" s="1885"/>
      <c r="B292" s="405" t="s">
        <v>829</v>
      </c>
      <c r="C292" s="1886"/>
      <c r="D292" s="1846">
        <f>IF(AND(ISNUMBER(D293),ISNUMBER(D294), ISNUMBER(D295)), D293+D294+D295, "")</f>
        <v>0</v>
      </c>
      <c r="E292" s="1846">
        <f t="shared" ref="E292:K292" si="287">IF(AND(ISNUMBER(E293),ISNUMBER(E294), ISNUMBER(E295)), E293+E294+E295, "")</f>
        <v>0</v>
      </c>
      <c r="F292" s="1846">
        <f t="shared" si="287"/>
        <v>0</v>
      </c>
      <c r="G292" s="1846" t="str">
        <f t="shared" si="287"/>
        <v/>
      </c>
      <c r="H292" s="1846">
        <f t="shared" si="282"/>
        <v>0</v>
      </c>
      <c r="I292" s="1846">
        <f t="shared" si="287"/>
        <v>0</v>
      </c>
      <c r="J292" s="1846">
        <f t="shared" si="287"/>
        <v>0</v>
      </c>
      <c r="K292" s="1846">
        <f t="shared" si="287"/>
        <v>0</v>
      </c>
      <c r="L292" s="1846">
        <f t="shared" si="283"/>
        <v>0</v>
      </c>
      <c r="M292" s="1846" t="str">
        <f>IF(AND(ISNUMBER(M293),ISNUMBER(M294), ISNUMBER(M295)), M293+M294+M295, "")</f>
        <v/>
      </c>
      <c r="N292" s="1846" t="str">
        <f>IF(AND(ISNUMBER(N293),ISNUMBER(N294), ISNUMBER(N295)), N293+N294+N295, "")</f>
        <v/>
      </c>
      <c r="O292" s="1846" t="str">
        <f>IF(AND(ISNUMBER(O293),ISNUMBER(O294), ISNUMBER(O295)), O293+O294+O295, "")</f>
        <v/>
      </c>
      <c r="P292" s="1846" t="str">
        <f t="shared" si="280"/>
        <v/>
      </c>
      <c r="Q292" s="1886"/>
      <c r="R292" s="1846" t="str">
        <f>IF(AND(ISNUMBER(R293),ISNUMBER(R294), ISNUMBER(R295)), R293+R294+R295, "")</f>
        <v/>
      </c>
      <c r="S292" s="1846" t="str">
        <f>IF(AND(ISNUMBER(S293),ISNUMBER(S294), ISNUMBER(S295)), S293+S294+S295, "")</f>
        <v/>
      </c>
      <c r="T292" s="1857"/>
      <c r="U292" s="1850"/>
      <c r="V292" s="1857"/>
      <c r="W292" s="1856" t="str">
        <f>IF(OR('General Info'!$C$19="Yes",'General Info'!$D$19="Yes"),IFERROR(IF(AND(_xlfn.NUMBERVALUE(O292)/_xlfn.NUMBERVALUE(S292)&gt;0.7143,_xlfn.NUMBERVALUE(O292)/_xlfn.NUMBERVALUE(S292)&lt;=1),"Ok", "Please check"),"Please check"),"NA")</f>
        <v>NA</v>
      </c>
      <c r="X292" s="1886"/>
      <c r="Y292" s="1886"/>
      <c r="Z292" s="1886"/>
      <c r="AA292" s="1886"/>
      <c r="AB292" s="1886"/>
      <c r="AC292" s="1886"/>
      <c r="AD292" s="1886"/>
      <c r="AE292" s="1886"/>
      <c r="AF292" s="1886"/>
      <c r="AG292" s="1886"/>
      <c r="AH292" s="1886"/>
      <c r="AI292" s="1886"/>
      <c r="AJ292" s="1886"/>
      <c r="AK292" s="1886"/>
      <c r="AL292" s="1886"/>
    </row>
    <row r="293" spans="1:38" ht="15" customHeight="1" x14ac:dyDescent="0.35">
      <c r="A293" s="1885"/>
      <c r="B293" s="406" t="s">
        <v>830</v>
      </c>
      <c r="C293" s="1886"/>
      <c r="D293" s="2527">
        <v>0</v>
      </c>
      <c r="E293" s="2527">
        <v>0</v>
      </c>
      <c r="F293" s="2527">
        <v>0</v>
      </c>
      <c r="G293" s="212"/>
      <c r="H293" s="1846">
        <f t="shared" si="282"/>
        <v>0</v>
      </c>
      <c r="I293" s="2527">
        <v>0</v>
      </c>
      <c r="J293" s="2527">
        <v>0</v>
      </c>
      <c r="K293" s="2527">
        <v>0</v>
      </c>
      <c r="L293" s="1846">
        <f t="shared" si="283"/>
        <v>0</v>
      </c>
      <c r="M293" s="212"/>
      <c r="N293" s="212"/>
      <c r="O293" s="212"/>
      <c r="P293" s="1846" t="str">
        <f t="shared" si="280"/>
        <v/>
      </c>
      <c r="Q293" s="1886"/>
      <c r="R293" s="212"/>
      <c r="S293" s="212"/>
      <c r="T293" s="1857"/>
      <c r="U293" s="1850"/>
      <c r="V293" s="1857"/>
      <c r="W293" s="1856" t="str">
        <f>IF(OR('General Info'!$C$19="Yes",'General Info'!$D$19="Yes"),IFERROR(IF(AND(_xlfn.NUMBERVALUE(O293)/_xlfn.NUMBERVALUE(S293)&gt;0.7143,_xlfn.NUMBERVALUE(O293)/_xlfn.NUMBERVALUE(S293)&lt;=1),"Ok", "Please check"),"Please check"),"NA")</f>
        <v>NA</v>
      </c>
      <c r="X293" s="1886"/>
      <c r="Y293" s="1886"/>
      <c r="Z293" s="1886"/>
      <c r="AA293" s="1886"/>
      <c r="AB293" s="1886"/>
      <c r="AC293" s="1886"/>
      <c r="AD293" s="1886"/>
      <c r="AE293" s="1886"/>
      <c r="AF293" s="1886"/>
      <c r="AG293" s="1886"/>
      <c r="AH293" s="1886"/>
      <c r="AI293" s="1886"/>
      <c r="AJ293" s="1886"/>
      <c r="AK293" s="1886"/>
      <c r="AL293" s="1886"/>
    </row>
    <row r="294" spans="1:38" ht="15" customHeight="1" x14ac:dyDescent="0.35">
      <c r="A294" s="1885"/>
      <c r="B294" s="406" t="s">
        <v>831</v>
      </c>
      <c r="C294" s="1886"/>
      <c r="D294" s="2527">
        <v>0</v>
      </c>
      <c r="E294" s="2527">
        <v>0</v>
      </c>
      <c r="F294" s="2527">
        <v>0</v>
      </c>
      <c r="G294" s="212"/>
      <c r="H294" s="1846">
        <f t="shared" si="282"/>
        <v>0</v>
      </c>
      <c r="I294" s="2527">
        <v>0</v>
      </c>
      <c r="J294" s="2527">
        <v>0</v>
      </c>
      <c r="K294" s="2527">
        <v>0</v>
      </c>
      <c r="L294" s="1846">
        <f t="shared" si="283"/>
        <v>0</v>
      </c>
      <c r="M294" s="212"/>
      <c r="N294" s="212"/>
      <c r="O294" s="212"/>
      <c r="P294" s="1846" t="str">
        <f t="shared" si="280"/>
        <v/>
      </c>
      <c r="Q294" s="1886"/>
      <c r="R294" s="212"/>
      <c r="S294" s="212"/>
      <c r="T294" s="1857"/>
      <c r="U294" s="1850"/>
      <c r="V294" s="1857"/>
      <c r="W294" s="1856" t="str">
        <f>IF(OR('General Info'!$C$19="Yes",'General Info'!$D$19="Yes"),IFERROR(IF(AND(_xlfn.NUMBERVALUE(O294)/_xlfn.NUMBERVALUE(S294)&gt;0.7143,_xlfn.NUMBERVALUE(O294)/_xlfn.NUMBERVALUE(S294)&lt;=1),"Ok", "Please check"),"Please check"),"NA")</f>
        <v>NA</v>
      </c>
      <c r="X294" s="1886"/>
      <c r="Y294" s="1886"/>
      <c r="Z294" s="1886"/>
      <c r="AA294" s="1886"/>
      <c r="AB294" s="1886"/>
      <c r="AC294" s="1886"/>
      <c r="AD294" s="1886"/>
      <c r="AE294" s="1886"/>
      <c r="AF294" s="1886"/>
      <c r="AG294" s="1886"/>
      <c r="AH294" s="1886"/>
      <c r="AI294" s="1886"/>
      <c r="AJ294" s="1886"/>
      <c r="AK294" s="1886"/>
      <c r="AL294" s="1886"/>
    </row>
    <row r="295" spans="1:38" ht="15" customHeight="1" x14ac:dyDescent="0.35">
      <c r="A295" s="1885"/>
      <c r="B295" s="406" t="s">
        <v>828</v>
      </c>
      <c r="C295" s="1886"/>
      <c r="D295" s="2527">
        <v>0</v>
      </c>
      <c r="E295" s="2527">
        <v>0</v>
      </c>
      <c r="F295" s="2527">
        <v>0</v>
      </c>
      <c r="G295" s="212"/>
      <c r="H295" s="1846">
        <f t="shared" si="282"/>
        <v>0</v>
      </c>
      <c r="I295" s="2527">
        <v>0</v>
      </c>
      <c r="J295" s="2527">
        <v>0</v>
      </c>
      <c r="K295" s="2527">
        <v>0</v>
      </c>
      <c r="L295" s="1846">
        <f t="shared" si="283"/>
        <v>0</v>
      </c>
      <c r="M295" s="212"/>
      <c r="N295" s="212"/>
      <c r="O295" s="212"/>
      <c r="P295" s="1846" t="str">
        <f t="shared" si="280"/>
        <v/>
      </c>
      <c r="Q295" s="1886"/>
      <c r="R295" s="212"/>
      <c r="S295" s="212"/>
      <c r="T295" s="1857"/>
      <c r="U295" s="1850"/>
      <c r="V295" s="1857"/>
      <c r="W295" s="1856" t="str">
        <f>IF(OR('General Info'!$C$19="Yes",'General Info'!$D$19="Yes"),IFERROR(IF(AND(_xlfn.NUMBERVALUE(O295)/_xlfn.NUMBERVALUE(S295)&gt;0.7143,_xlfn.NUMBERVALUE(O295)/_xlfn.NUMBERVALUE(S295)&lt;=1),"Ok", "Please check"),"Please check"),"NA")</f>
        <v>NA</v>
      </c>
      <c r="X295" s="1886"/>
      <c r="Y295" s="1886"/>
      <c r="Z295" s="1886"/>
      <c r="AA295" s="1886"/>
      <c r="AB295" s="1886"/>
      <c r="AC295" s="1886"/>
      <c r="AD295" s="1886"/>
      <c r="AE295" s="1886"/>
      <c r="AF295" s="1886"/>
      <c r="AG295" s="1886"/>
      <c r="AH295" s="1886"/>
      <c r="AI295" s="1886"/>
      <c r="AJ295" s="1886"/>
      <c r="AK295" s="1886"/>
      <c r="AL295" s="1886"/>
    </row>
    <row r="296" spans="1:38" ht="15" customHeight="1" x14ac:dyDescent="0.35">
      <c r="A296" s="1885"/>
      <c r="B296" s="305" t="s">
        <v>835</v>
      </c>
      <c r="C296" s="1886"/>
      <c r="D296" s="1846">
        <f>IF(AND(ISNUMBER(D297),ISNUMBER(D298), ISNUMBER(D299),ISNUMBER(300),ISNUMBER(301),ISNUMBER(302),ISNUMBER(303)), D297+D298+D299+D300+D301+D302+D303, "")</f>
        <v>0</v>
      </c>
      <c r="E296" s="1846">
        <f t="shared" ref="E296:K296" si="288">IF(AND(ISNUMBER(E297),ISNUMBER(E298), ISNUMBER(E299),ISNUMBER(300),ISNUMBER(301),ISNUMBER(302),ISNUMBER(303)), E297+E298+E299+E300+E301+E302+E303, "")</f>
        <v>0</v>
      </c>
      <c r="F296" s="1846">
        <f t="shared" si="288"/>
        <v>0</v>
      </c>
      <c r="G296" s="1846" t="str">
        <f t="shared" si="288"/>
        <v/>
      </c>
      <c r="H296" s="1846">
        <f t="shared" si="282"/>
        <v>0</v>
      </c>
      <c r="I296" s="1846">
        <f t="shared" si="288"/>
        <v>0</v>
      </c>
      <c r="J296" s="1846">
        <f t="shared" si="288"/>
        <v>0</v>
      </c>
      <c r="K296" s="1846">
        <f t="shared" si="288"/>
        <v>0</v>
      </c>
      <c r="L296" s="1846">
        <f t="shared" si="283"/>
        <v>0</v>
      </c>
      <c r="M296" s="1846" t="str">
        <f>IF(AND(ISNUMBER(M297),ISNUMBER(M298), ISNUMBER(M299),ISNUMBER(300),ISNUMBER(301),ISNUMBER(302),ISNUMBER(303)), M297+M298+M299+M300+M301+M302+M303, "")</f>
        <v/>
      </c>
      <c r="N296" s="1846" t="str">
        <f>IF(AND(ISNUMBER(N297),ISNUMBER(N298), ISNUMBER(N299),ISNUMBER(300),ISNUMBER(301),ISNUMBER(302),ISNUMBER(303)), N297+N298+N299+N300+N301+N302+N303, "")</f>
        <v/>
      </c>
      <c r="O296" s="1846" t="str">
        <f>IF(AND(ISNUMBER(O297),ISNUMBER(O298), ISNUMBER(O299),ISNUMBER(300),ISNUMBER(301),ISNUMBER(302),ISNUMBER(303)), O297+O298+O299+O300+O301+O302+O303, "")</f>
        <v/>
      </c>
      <c r="P296" s="1846" t="str">
        <f t="shared" si="280"/>
        <v/>
      </c>
      <c r="Q296" s="1886"/>
      <c r="R296" s="1846" t="str">
        <f>IF(AND(ISNUMBER(R297),ISNUMBER(R298), ISNUMBER(R299),ISNUMBER(300),ISNUMBER(301),ISNUMBER(302),ISNUMBER(303)), R297+R298+R299+R300+R301+R302+R303, "")</f>
        <v/>
      </c>
      <c r="S296" s="1846" t="str">
        <f>IF(AND(ISNUMBER(S297),ISNUMBER(S298), ISNUMBER(S299),ISNUMBER(300),ISNUMBER(301),ISNUMBER(302),ISNUMBER(303)), S297+S298+S299+S300+S301+S302+S303, "")</f>
        <v/>
      </c>
      <c r="T296" s="2500" t="str">
        <f>IF(OR(H296="",L296=""),"Missing input",IF(AND(W122=0,AA122=0),"NA",IF(AND(H296&lt;&gt;"",W122&lt;&gt;"", W122&gt;0, H296&gt;0,_xlfn.NUMBERVALUE(H296)/_xlfn.NUMBERVALUE(W122)&gt;0.95,_xlfn.NUMBERVALUE(H296)/_xlfn.NUMBERVALUE(W122)&lt;1.05),"Ok","Please Check")))</f>
        <v>NA</v>
      </c>
      <c r="U296" s="1850"/>
      <c r="V296" s="2500" t="str">
        <f>IF(OR('General Info'!$C$19="Yes",'General Info'!$D$19="Yes"),IF(OR(M296="",O296=""),"Missing input",IF(AND(M296=0,285=0,AF122=0),"NA",IF(AND(M296&lt;&gt;"",AF122&lt;&gt;"", AF122&gt;0, M296&gt;0,_xlfn.NUMBERVALUE(M296)/_xlfn.NUMBERVALUE(AF122)&gt;0.95,_xlfn.NUMBERVALUE(M296)/_xlfn.NUMBERVALUE(AF122)&lt;1.05),"Ok","Please Check"))),"NA")</f>
        <v>NA</v>
      </c>
      <c r="W296" s="1856" t="str">
        <f>IF(OR('General Info'!$C$19="Yes",'General Info'!$D$19="Yes"),IFERROR(IF(AND(_xlfn.NUMBERVALUE(O296)/_xlfn.NUMBERVALUE(S296)&gt;0.7143,_xlfn.NUMBERVALUE(O296)/_xlfn.NUMBERVALUE(S296)&lt;=1),"Ok", "Please check"),"Please check"),"NA")</f>
        <v>NA</v>
      </c>
      <c r="X296" s="1886"/>
      <c r="Y296" s="1886"/>
      <c r="Z296" s="1886"/>
      <c r="AA296" s="1886"/>
      <c r="AB296" s="1886"/>
      <c r="AC296" s="1886"/>
      <c r="AD296" s="1886"/>
      <c r="AE296" s="1886"/>
      <c r="AF296" s="1886"/>
      <c r="AG296" s="1886"/>
      <c r="AH296" s="1886"/>
      <c r="AI296" s="1886"/>
      <c r="AJ296" s="1886"/>
      <c r="AK296" s="1886"/>
      <c r="AL296" s="1886"/>
    </row>
    <row r="297" spans="1:38" ht="15" customHeight="1" x14ac:dyDescent="0.35">
      <c r="A297" s="1885"/>
      <c r="B297" s="406" t="s">
        <v>822</v>
      </c>
      <c r="C297" s="1886"/>
      <c r="D297" s="2527">
        <v>0</v>
      </c>
      <c r="E297" s="2527">
        <v>0</v>
      </c>
      <c r="F297" s="2527">
        <v>0</v>
      </c>
      <c r="G297" s="212"/>
      <c r="H297" s="1846">
        <f t="shared" si="282"/>
        <v>0</v>
      </c>
      <c r="I297" s="2527">
        <v>0</v>
      </c>
      <c r="J297" s="2527">
        <v>0</v>
      </c>
      <c r="K297" s="2527">
        <v>0</v>
      </c>
      <c r="L297" s="1846">
        <f t="shared" si="283"/>
        <v>0</v>
      </c>
      <c r="M297" s="212"/>
      <c r="N297" s="212"/>
      <c r="O297" s="212"/>
      <c r="P297" s="1846" t="str">
        <f t="shared" si="280"/>
        <v/>
      </c>
      <c r="Q297" s="1886"/>
      <c r="R297" s="212"/>
      <c r="S297" s="212"/>
      <c r="T297" s="1857"/>
      <c r="U297" s="1850"/>
      <c r="V297" s="1857"/>
      <c r="W297" s="1856" t="str">
        <f>IF(OR('General Info'!$C$19="Yes",'General Info'!$D$19="Yes"),IFERROR(IF(AND(_xlfn.NUMBERVALUE(O297)/_xlfn.NUMBERVALUE(S297)&gt;0.7143,_xlfn.NUMBERVALUE(O297)/_xlfn.NUMBERVALUE(S297)&lt;=1),"Ok", "Please check"),"Please check"),"NA")</f>
        <v>NA</v>
      </c>
      <c r="X297" s="1886"/>
      <c r="Y297" s="1886"/>
      <c r="Z297" s="1886"/>
      <c r="AA297" s="1886"/>
      <c r="AB297" s="1886"/>
      <c r="AC297" s="1886"/>
      <c r="AD297" s="1886"/>
      <c r="AE297" s="1886"/>
      <c r="AF297" s="1886"/>
      <c r="AG297" s="1886"/>
      <c r="AH297" s="1886"/>
      <c r="AI297" s="1886"/>
      <c r="AJ297" s="1886"/>
      <c r="AK297" s="1886"/>
      <c r="AL297" s="1886"/>
    </row>
    <row r="298" spans="1:38" ht="15" customHeight="1" x14ac:dyDescent="0.35">
      <c r="A298" s="1885"/>
      <c r="B298" s="406" t="s">
        <v>823</v>
      </c>
      <c r="C298" s="1886"/>
      <c r="D298" s="2527">
        <v>0</v>
      </c>
      <c r="E298" s="2527">
        <v>0</v>
      </c>
      <c r="F298" s="2527">
        <v>0</v>
      </c>
      <c r="G298" s="212"/>
      <c r="H298" s="1846">
        <f t="shared" si="282"/>
        <v>0</v>
      </c>
      <c r="I298" s="2527">
        <v>0</v>
      </c>
      <c r="J298" s="2527">
        <v>0</v>
      </c>
      <c r="K298" s="2527">
        <v>0</v>
      </c>
      <c r="L298" s="1846">
        <f t="shared" si="283"/>
        <v>0</v>
      </c>
      <c r="M298" s="212"/>
      <c r="N298" s="212"/>
      <c r="O298" s="212"/>
      <c r="P298" s="1846" t="str">
        <f t="shared" si="280"/>
        <v/>
      </c>
      <c r="Q298" s="1886"/>
      <c r="R298" s="212"/>
      <c r="S298" s="212"/>
      <c r="T298" s="1857"/>
      <c r="U298" s="1850"/>
      <c r="V298" s="1857"/>
      <c r="W298" s="1856" t="str">
        <f>IF(OR('General Info'!$C$19="Yes",'General Info'!$D$19="Yes"),IFERROR(IF(AND(_xlfn.NUMBERVALUE(O298)/_xlfn.NUMBERVALUE(S298)&gt;0.7143,_xlfn.NUMBERVALUE(O298)/_xlfn.NUMBERVALUE(S298)&lt;=1),"Ok", "Please check"),"Please check"),"NA")</f>
        <v>NA</v>
      </c>
      <c r="X298" s="1886"/>
      <c r="Y298" s="1886"/>
      <c r="Z298" s="1886"/>
      <c r="AA298" s="1886"/>
      <c r="AB298" s="1886"/>
      <c r="AC298" s="1886"/>
      <c r="AD298" s="1886"/>
      <c r="AE298" s="1886"/>
      <c r="AF298" s="1886"/>
      <c r="AG298" s="1886"/>
      <c r="AH298" s="1886"/>
      <c r="AI298" s="1886"/>
      <c r="AJ298" s="1886"/>
      <c r="AK298" s="1886"/>
      <c r="AL298" s="1886"/>
    </row>
    <row r="299" spans="1:38" ht="15" customHeight="1" x14ac:dyDescent="0.35">
      <c r="A299" s="1885"/>
      <c r="B299" s="406" t="s">
        <v>824</v>
      </c>
      <c r="C299" s="1886"/>
      <c r="D299" s="2527">
        <v>0</v>
      </c>
      <c r="E299" s="2527">
        <v>0</v>
      </c>
      <c r="F299" s="2527">
        <v>0</v>
      </c>
      <c r="G299" s="212"/>
      <c r="H299" s="1846">
        <f t="shared" si="282"/>
        <v>0</v>
      </c>
      <c r="I299" s="2527">
        <v>0</v>
      </c>
      <c r="J299" s="2527">
        <v>0</v>
      </c>
      <c r="K299" s="2527">
        <v>0</v>
      </c>
      <c r="L299" s="1846">
        <f t="shared" si="283"/>
        <v>0</v>
      </c>
      <c r="M299" s="212"/>
      <c r="N299" s="212"/>
      <c r="O299" s="212"/>
      <c r="P299" s="1846" t="str">
        <f t="shared" si="280"/>
        <v/>
      </c>
      <c r="Q299" s="1886"/>
      <c r="R299" s="212"/>
      <c r="S299" s="212"/>
      <c r="T299" s="1857"/>
      <c r="U299" s="1850"/>
      <c r="V299" s="1857"/>
      <c r="W299" s="1856" t="str">
        <f>IF(OR('General Info'!$C$19="Yes",'General Info'!$D$19="Yes"),IFERROR(IF(AND(_xlfn.NUMBERVALUE(O299)/_xlfn.NUMBERVALUE(S299)&gt;0.7143,_xlfn.NUMBERVALUE(O299)/_xlfn.NUMBERVALUE(S299)&lt;=1),"Ok", "Please check"),"Please check"),"NA")</f>
        <v>NA</v>
      </c>
      <c r="X299" s="1886"/>
      <c r="Y299" s="1886"/>
      <c r="Z299" s="1886"/>
      <c r="AA299" s="1886"/>
      <c r="AB299" s="1886"/>
      <c r="AC299" s="1886"/>
      <c r="AD299" s="1886"/>
      <c r="AE299" s="1886"/>
      <c r="AF299" s="1886"/>
      <c r="AG299" s="1886"/>
      <c r="AH299" s="1886"/>
      <c r="AI299" s="1886"/>
      <c r="AJ299" s="1886"/>
      <c r="AK299" s="1886"/>
      <c r="AL299" s="1886"/>
    </row>
    <row r="300" spans="1:38" ht="15" customHeight="1" x14ac:dyDescent="0.35">
      <c r="A300" s="1885"/>
      <c r="B300" s="406" t="s">
        <v>825</v>
      </c>
      <c r="C300" s="1886"/>
      <c r="D300" s="2527">
        <v>0</v>
      </c>
      <c r="E300" s="2527">
        <v>0</v>
      </c>
      <c r="F300" s="2527">
        <v>0</v>
      </c>
      <c r="G300" s="212"/>
      <c r="H300" s="1846">
        <f t="shared" si="282"/>
        <v>0</v>
      </c>
      <c r="I300" s="2527">
        <v>0</v>
      </c>
      <c r="J300" s="2527">
        <v>0</v>
      </c>
      <c r="K300" s="2527">
        <v>0</v>
      </c>
      <c r="L300" s="1846">
        <f t="shared" si="283"/>
        <v>0</v>
      </c>
      <c r="M300" s="212"/>
      <c r="N300" s="212"/>
      <c r="O300" s="212"/>
      <c r="P300" s="1846" t="str">
        <f t="shared" si="280"/>
        <v/>
      </c>
      <c r="Q300" s="1886"/>
      <c r="R300" s="212"/>
      <c r="S300" s="212"/>
      <c r="T300" s="1857"/>
      <c r="U300" s="1850"/>
      <c r="V300" s="1857"/>
      <c r="W300" s="1856" t="str">
        <f>IF(OR('General Info'!$C$19="Yes",'General Info'!$D$19="Yes"),IFERROR(IF(AND(_xlfn.NUMBERVALUE(O300)/_xlfn.NUMBERVALUE(S300)&gt;0.7143,_xlfn.NUMBERVALUE(O300)/_xlfn.NUMBERVALUE(S300)&lt;=1),"Ok", "Please check"),"Please check"),"NA")</f>
        <v>NA</v>
      </c>
      <c r="X300" s="1886"/>
      <c r="Y300" s="1886"/>
      <c r="Z300" s="1886"/>
      <c r="AA300" s="1886"/>
      <c r="AB300" s="1886"/>
      <c r="AC300" s="1886"/>
      <c r="AD300" s="1886"/>
      <c r="AE300" s="1886"/>
      <c r="AF300" s="1886"/>
      <c r="AG300" s="1886"/>
      <c r="AH300" s="1886"/>
      <c r="AI300" s="1886"/>
      <c r="AJ300" s="1886"/>
      <c r="AK300" s="1886"/>
      <c r="AL300" s="1886"/>
    </row>
    <row r="301" spans="1:38" ht="15" customHeight="1" x14ac:dyDescent="0.35">
      <c r="A301" s="1885"/>
      <c r="B301" s="406" t="s">
        <v>826</v>
      </c>
      <c r="C301" s="1886"/>
      <c r="D301" s="2527">
        <v>0</v>
      </c>
      <c r="E301" s="2527">
        <v>0</v>
      </c>
      <c r="F301" s="2527">
        <v>0</v>
      </c>
      <c r="G301" s="212"/>
      <c r="H301" s="1846">
        <f t="shared" si="282"/>
        <v>0</v>
      </c>
      <c r="I301" s="2527">
        <v>0</v>
      </c>
      <c r="J301" s="2527">
        <v>0</v>
      </c>
      <c r="K301" s="2527">
        <v>0</v>
      </c>
      <c r="L301" s="1846">
        <f t="shared" si="283"/>
        <v>0</v>
      </c>
      <c r="M301" s="212"/>
      <c r="N301" s="212"/>
      <c r="O301" s="212"/>
      <c r="P301" s="1846" t="str">
        <f t="shared" si="280"/>
        <v/>
      </c>
      <c r="Q301" s="1886"/>
      <c r="R301" s="212"/>
      <c r="S301" s="212"/>
      <c r="T301" s="1857"/>
      <c r="U301" s="1850"/>
      <c r="V301" s="1857"/>
      <c r="W301" s="1856" t="str">
        <f>IF(OR('General Info'!$C$19="Yes",'General Info'!$D$19="Yes"),IFERROR(IF(AND(_xlfn.NUMBERVALUE(O301)/_xlfn.NUMBERVALUE(S301)&gt;0.7143,_xlfn.NUMBERVALUE(O301)/_xlfn.NUMBERVALUE(S301)&lt;=1),"Ok", "Please check"),"Please check"),"NA")</f>
        <v>NA</v>
      </c>
      <c r="X301" s="1886"/>
      <c r="Y301" s="1886"/>
      <c r="Z301" s="1886"/>
      <c r="AA301" s="1886"/>
      <c r="AB301" s="1886"/>
      <c r="AC301" s="1886"/>
      <c r="AD301" s="1886"/>
      <c r="AE301" s="1886"/>
      <c r="AF301" s="1886"/>
      <c r="AG301" s="1886"/>
      <c r="AH301" s="1886"/>
      <c r="AI301" s="1886"/>
      <c r="AJ301" s="1886"/>
      <c r="AK301" s="1886"/>
      <c r="AL301" s="1886"/>
    </row>
    <row r="302" spans="1:38" ht="15" customHeight="1" x14ac:dyDescent="0.35">
      <c r="A302" s="1885"/>
      <c r="B302" s="406" t="s">
        <v>827</v>
      </c>
      <c r="C302" s="1886"/>
      <c r="D302" s="2527">
        <v>0</v>
      </c>
      <c r="E302" s="2527">
        <v>0</v>
      </c>
      <c r="F302" s="2527">
        <v>0</v>
      </c>
      <c r="G302" s="212"/>
      <c r="H302" s="1846">
        <f t="shared" si="282"/>
        <v>0</v>
      </c>
      <c r="I302" s="2527">
        <v>0</v>
      </c>
      <c r="J302" s="2527">
        <v>0</v>
      </c>
      <c r="K302" s="2527">
        <v>0</v>
      </c>
      <c r="L302" s="1846">
        <f t="shared" si="283"/>
        <v>0</v>
      </c>
      <c r="M302" s="212"/>
      <c r="N302" s="212"/>
      <c r="O302" s="212"/>
      <c r="P302" s="1846" t="str">
        <f t="shared" si="280"/>
        <v/>
      </c>
      <c r="Q302" s="1886"/>
      <c r="R302" s="212"/>
      <c r="S302" s="212"/>
      <c r="T302" s="1857"/>
      <c r="U302" s="1850"/>
      <c r="V302" s="1857"/>
      <c r="W302" s="1856" t="str">
        <f>IF(OR('General Info'!$C$19="Yes",'General Info'!$D$19="Yes"),IFERROR(IF(AND(_xlfn.NUMBERVALUE(O302)/_xlfn.NUMBERVALUE(S302)&gt;0.7143,_xlfn.NUMBERVALUE(O302)/_xlfn.NUMBERVALUE(S302)&lt;=1),"Ok", "Please check"),"Please check"),"NA")</f>
        <v>NA</v>
      </c>
      <c r="X302" s="1886"/>
      <c r="Y302" s="1886"/>
      <c r="Z302" s="1886"/>
      <c r="AA302" s="1886"/>
      <c r="AB302" s="1886"/>
      <c r="AC302" s="1886"/>
      <c r="AD302" s="1886"/>
      <c r="AE302" s="1886"/>
      <c r="AF302" s="1886"/>
      <c r="AG302" s="1886"/>
      <c r="AH302" s="1886"/>
      <c r="AI302" s="1886"/>
      <c r="AJ302" s="1886"/>
      <c r="AK302" s="1886"/>
      <c r="AL302" s="1886"/>
    </row>
    <row r="303" spans="1:38" ht="15" customHeight="1" x14ac:dyDescent="0.35">
      <c r="A303" s="1885"/>
      <c r="B303" s="406" t="s">
        <v>828</v>
      </c>
      <c r="C303" s="1886"/>
      <c r="D303" s="2527">
        <v>0</v>
      </c>
      <c r="E303" s="2527">
        <v>0</v>
      </c>
      <c r="F303" s="2527">
        <v>0</v>
      </c>
      <c r="G303" s="212"/>
      <c r="H303" s="1846">
        <f t="shared" si="282"/>
        <v>0</v>
      </c>
      <c r="I303" s="2527">
        <v>0</v>
      </c>
      <c r="J303" s="2527">
        <v>0</v>
      </c>
      <c r="K303" s="2527">
        <v>0</v>
      </c>
      <c r="L303" s="1846">
        <f t="shared" si="283"/>
        <v>0</v>
      </c>
      <c r="M303" s="212"/>
      <c r="N303" s="212"/>
      <c r="O303" s="212"/>
      <c r="P303" s="1846" t="str">
        <f t="shared" si="280"/>
        <v/>
      </c>
      <c r="Q303" s="1886"/>
      <c r="R303" s="212"/>
      <c r="S303" s="212"/>
      <c r="T303" s="1857"/>
      <c r="U303" s="1850"/>
      <c r="V303" s="1857"/>
      <c r="W303" s="1856" t="str">
        <f>IF(OR('General Info'!$C$19="Yes",'General Info'!$D$19="Yes"),IFERROR(IF(AND(_xlfn.NUMBERVALUE(O303)/_xlfn.NUMBERVALUE(S303)&gt;0.7143,_xlfn.NUMBERVALUE(O303)/_xlfn.NUMBERVALUE(S303)&lt;=1),"Ok", "Please check"),"Please check"),"NA")</f>
        <v>NA</v>
      </c>
      <c r="X303" s="1886"/>
      <c r="Y303" s="1886"/>
      <c r="Z303" s="1886"/>
      <c r="AA303" s="1886"/>
      <c r="AB303" s="1886"/>
      <c r="AC303" s="1886"/>
      <c r="AD303" s="1886"/>
      <c r="AE303" s="1886"/>
      <c r="AF303" s="1886"/>
      <c r="AG303" s="1886"/>
      <c r="AH303" s="1886"/>
      <c r="AI303" s="1886"/>
      <c r="AJ303" s="1886"/>
      <c r="AK303" s="1886"/>
      <c r="AL303" s="1886"/>
    </row>
    <row r="304" spans="1:38" ht="15" customHeight="1" x14ac:dyDescent="0.35">
      <c r="A304" s="1885"/>
      <c r="B304" s="305" t="s">
        <v>836</v>
      </c>
      <c r="C304" s="1886"/>
      <c r="D304" s="1846">
        <f>IF(AND(ISNUMBER(D305),ISNUMBER(D306), ISNUMBER(D307),ISNUMBER(308)), D305+D306+D307+D308, "")</f>
        <v>0</v>
      </c>
      <c r="E304" s="1846">
        <f t="shared" ref="E304:K304" si="289">IF(AND(ISNUMBER(E305),ISNUMBER(E306), ISNUMBER(E307),ISNUMBER(308)), E305+E306+E307+E308, "")</f>
        <v>0</v>
      </c>
      <c r="F304" s="1846">
        <f t="shared" si="289"/>
        <v>0</v>
      </c>
      <c r="G304" s="1846" t="str">
        <f t="shared" si="289"/>
        <v/>
      </c>
      <c r="H304" s="1846">
        <f t="shared" si="282"/>
        <v>0</v>
      </c>
      <c r="I304" s="1846">
        <f t="shared" si="289"/>
        <v>0</v>
      </c>
      <c r="J304" s="1846">
        <f t="shared" si="289"/>
        <v>0</v>
      </c>
      <c r="K304" s="1846">
        <f t="shared" si="289"/>
        <v>0</v>
      </c>
      <c r="L304" s="1846">
        <f t="shared" si="283"/>
        <v>0</v>
      </c>
      <c r="M304" s="1846" t="str">
        <f>IF(AND(ISNUMBER(M305),ISNUMBER(M306), ISNUMBER(M307),ISNUMBER(308)), M305+M306+M307+M308, "")</f>
        <v/>
      </c>
      <c r="N304" s="1846" t="str">
        <f>IF(AND(ISNUMBER(N305),ISNUMBER(N306), ISNUMBER(N307),ISNUMBER(308)), N305+N306+N307+N308, "")</f>
        <v/>
      </c>
      <c r="O304" s="1846" t="str">
        <f>IF(AND(ISNUMBER(O305),ISNUMBER(O306), ISNUMBER(O307),ISNUMBER(308)), O305+O306+O307+O308, "")</f>
        <v/>
      </c>
      <c r="P304" s="1846" t="str">
        <f t="shared" si="280"/>
        <v/>
      </c>
      <c r="Q304" s="1886"/>
      <c r="R304" s="1846" t="str">
        <f>IF(AND(ISNUMBER(R305),ISNUMBER(R306), ISNUMBER(R307),ISNUMBER(308)), R305+R306+R307+R308, "")</f>
        <v/>
      </c>
      <c r="S304" s="1846" t="str">
        <f>IF(AND(ISNUMBER(S305),ISNUMBER(S306), ISNUMBER(S307),ISNUMBER(308)), S305+S306+S307+S308, "")</f>
        <v/>
      </c>
      <c r="T304" s="2500" t="str">
        <f>IF(OR(H304="",L304=""),"Missing input",IF(AND(W130=0,AA130=0),"NA",IF(AND(H304&lt;&gt;"",W130&lt;&gt;"", W130&gt;0, H304&gt;0,_xlfn.NUMBERVALUE(H304)/_xlfn.NUMBERVALUE(W130)&gt;0.95,_xlfn.NUMBERVALUE(H304)/_xlfn.NUMBERVALUE(W130)&lt;1.05),"Ok","Please Check")))</f>
        <v>NA</v>
      </c>
      <c r="U304" s="1850"/>
      <c r="V304" s="2500" t="str">
        <f>IF(OR('General Info'!$C$19="Yes",'General Info'!$D$19="Yes"),IF(OR(M304="",O304=""),"Missing input",IF(AND(M304=0,285=0,AF130=0),"NA",IF(AND(M304&lt;&gt;"",AF130&lt;&gt;"", AF130&gt;0, M304&gt;0,_xlfn.NUMBERVALUE(M304)/_xlfn.NUMBERVALUE(AF130)&gt;0.95,_xlfn.NUMBERVALUE(M304)/_xlfn.NUMBERVALUE(AF130)&lt;1.05),"Ok","Please Check"))),"NA")</f>
        <v>NA</v>
      </c>
      <c r="W304" s="1856" t="str">
        <f>IF(OR('General Info'!$C$19="Yes",'General Info'!$D$19="Yes"),IFERROR(IF(AND(_xlfn.NUMBERVALUE(O304)/_xlfn.NUMBERVALUE(S304)&gt;0.7143,_xlfn.NUMBERVALUE(O304)/_xlfn.NUMBERVALUE(S304)&lt;=1),"Ok", "Please check"),"Please check"),"NA")</f>
        <v>NA</v>
      </c>
      <c r="X304" s="1886"/>
      <c r="Y304" s="1886"/>
      <c r="Z304" s="1886"/>
      <c r="AA304" s="1886"/>
      <c r="AB304" s="1886"/>
      <c r="AC304" s="1886"/>
      <c r="AD304" s="1886"/>
      <c r="AE304" s="1886"/>
      <c r="AF304" s="1886"/>
      <c r="AG304" s="1886"/>
      <c r="AH304" s="1886"/>
      <c r="AI304" s="1886"/>
      <c r="AJ304" s="1886"/>
      <c r="AK304" s="1886"/>
      <c r="AL304" s="1886"/>
    </row>
    <row r="305" spans="1:38" ht="15" customHeight="1" x14ac:dyDescent="0.35">
      <c r="A305" s="1885"/>
      <c r="B305" s="406" t="s">
        <v>837</v>
      </c>
      <c r="C305" s="1886"/>
      <c r="D305" s="2527">
        <v>0</v>
      </c>
      <c r="E305" s="2527">
        <v>0</v>
      </c>
      <c r="F305" s="2527">
        <v>0</v>
      </c>
      <c r="G305" s="212"/>
      <c r="H305" s="1846">
        <f t="shared" si="282"/>
        <v>0</v>
      </c>
      <c r="I305" s="2527">
        <v>0</v>
      </c>
      <c r="J305" s="2527">
        <v>0</v>
      </c>
      <c r="K305" s="2527">
        <v>0</v>
      </c>
      <c r="L305" s="1846">
        <f t="shared" si="283"/>
        <v>0</v>
      </c>
      <c r="M305" s="212"/>
      <c r="N305" s="212"/>
      <c r="O305" s="212"/>
      <c r="P305" s="1846" t="str">
        <f t="shared" si="280"/>
        <v/>
      </c>
      <c r="Q305" s="1886"/>
      <c r="R305" s="212"/>
      <c r="S305" s="212"/>
      <c r="T305" s="1857"/>
      <c r="U305" s="1850"/>
      <c r="V305" s="1857"/>
      <c r="W305" s="1856" t="str">
        <f>IF(OR('General Info'!$C$19="Yes",'General Info'!$D$19="Yes"),IFERROR(IF(AND(_xlfn.NUMBERVALUE(O305)/_xlfn.NUMBERVALUE(S305)&gt;0.7143,_xlfn.NUMBERVALUE(O305)/_xlfn.NUMBERVALUE(S305)&lt;=1),"Ok", "Please check"),"Please check"),"NA")</f>
        <v>NA</v>
      </c>
      <c r="X305" s="1886"/>
      <c r="Y305" s="1886"/>
      <c r="Z305" s="1886"/>
      <c r="AA305" s="1886"/>
      <c r="AB305" s="1886"/>
      <c r="AC305" s="1886"/>
      <c r="AD305" s="1886"/>
      <c r="AE305" s="1886"/>
      <c r="AF305" s="1886"/>
      <c r="AG305" s="1886"/>
      <c r="AH305" s="1886"/>
      <c r="AI305" s="1886"/>
      <c r="AJ305" s="1886"/>
      <c r="AK305" s="1886"/>
      <c r="AL305" s="1886"/>
    </row>
    <row r="306" spans="1:38" ht="15" customHeight="1" x14ac:dyDescent="0.35">
      <c r="A306" s="1885"/>
      <c r="B306" s="406" t="s">
        <v>838</v>
      </c>
      <c r="C306" s="1886"/>
      <c r="D306" s="2527">
        <v>0</v>
      </c>
      <c r="E306" s="2527">
        <v>0</v>
      </c>
      <c r="F306" s="2527">
        <v>0</v>
      </c>
      <c r="G306" s="212"/>
      <c r="H306" s="1846">
        <f t="shared" si="282"/>
        <v>0</v>
      </c>
      <c r="I306" s="2527">
        <v>0</v>
      </c>
      <c r="J306" s="2527">
        <v>0</v>
      </c>
      <c r="K306" s="2527">
        <v>0</v>
      </c>
      <c r="L306" s="1846">
        <f t="shared" si="283"/>
        <v>0</v>
      </c>
      <c r="M306" s="212"/>
      <c r="N306" s="212"/>
      <c r="O306" s="212"/>
      <c r="P306" s="1846" t="str">
        <f t="shared" si="280"/>
        <v/>
      </c>
      <c r="Q306" s="1886"/>
      <c r="R306" s="212"/>
      <c r="S306" s="212"/>
      <c r="T306" s="1857"/>
      <c r="U306" s="1850"/>
      <c r="V306" s="1857"/>
      <c r="W306" s="1856" t="str">
        <f>IF(OR('General Info'!$C$19="Yes",'General Info'!$D$19="Yes"),IFERROR(IF(AND(_xlfn.NUMBERVALUE(O306)/_xlfn.NUMBERVALUE(S306)&gt;0.7143,_xlfn.NUMBERVALUE(O306)/_xlfn.NUMBERVALUE(S306)&lt;=1),"Ok", "Please check"),"Please check"),"NA")</f>
        <v>NA</v>
      </c>
      <c r="X306" s="1886"/>
      <c r="Y306" s="1886"/>
      <c r="Z306" s="1886"/>
      <c r="AA306" s="1886"/>
      <c r="AB306" s="1886"/>
      <c r="AC306" s="1886"/>
      <c r="AD306" s="1886"/>
      <c r="AE306" s="1886"/>
      <c r="AF306" s="1886"/>
      <c r="AG306" s="1886"/>
      <c r="AH306" s="1886"/>
      <c r="AI306" s="1886"/>
      <c r="AJ306" s="1886"/>
      <c r="AK306" s="1886"/>
      <c r="AL306" s="1886"/>
    </row>
    <row r="307" spans="1:38" ht="15" customHeight="1" x14ac:dyDescent="0.35">
      <c r="A307" s="1885"/>
      <c r="B307" s="406" t="s">
        <v>839</v>
      </c>
      <c r="C307" s="1886"/>
      <c r="D307" s="2527">
        <v>0</v>
      </c>
      <c r="E307" s="2527">
        <v>0</v>
      </c>
      <c r="F307" s="2527">
        <v>0</v>
      </c>
      <c r="G307" s="212"/>
      <c r="H307" s="1846">
        <f t="shared" si="282"/>
        <v>0</v>
      </c>
      <c r="I307" s="2527">
        <v>0</v>
      </c>
      <c r="J307" s="2527">
        <v>0</v>
      </c>
      <c r="K307" s="2527">
        <v>0</v>
      </c>
      <c r="L307" s="1846">
        <f t="shared" si="283"/>
        <v>0</v>
      </c>
      <c r="M307" s="212"/>
      <c r="N307" s="212"/>
      <c r="O307" s="212"/>
      <c r="P307" s="1846" t="str">
        <f t="shared" si="280"/>
        <v/>
      </c>
      <c r="Q307" s="1886"/>
      <c r="R307" s="212"/>
      <c r="S307" s="212"/>
      <c r="T307" s="1857"/>
      <c r="U307" s="1850"/>
      <c r="V307" s="1857"/>
      <c r="W307" s="1856" t="str">
        <f>IF(OR('General Info'!$C$19="Yes",'General Info'!$D$19="Yes"),IFERROR(IF(AND(_xlfn.NUMBERVALUE(O307)/_xlfn.NUMBERVALUE(S307)&gt;0.7143,_xlfn.NUMBERVALUE(O307)/_xlfn.NUMBERVALUE(S307)&lt;=1),"Ok", "Please check"),"Please check"),"NA")</f>
        <v>NA</v>
      </c>
      <c r="X307" s="1886"/>
      <c r="Y307" s="1886"/>
      <c r="Z307" s="1886"/>
      <c r="AA307" s="1886"/>
      <c r="AB307" s="1886"/>
      <c r="AC307" s="1886"/>
      <c r="AD307" s="1886"/>
      <c r="AE307" s="1886"/>
      <c r="AF307" s="1886"/>
      <c r="AG307" s="1886"/>
      <c r="AH307" s="1886"/>
      <c r="AI307" s="1886"/>
      <c r="AJ307" s="1886"/>
      <c r="AK307" s="1886"/>
      <c r="AL307" s="1886"/>
    </row>
    <row r="308" spans="1:38" ht="15" customHeight="1" x14ac:dyDescent="0.35">
      <c r="A308" s="1885"/>
      <c r="B308" s="406" t="s">
        <v>828</v>
      </c>
      <c r="C308" s="1886"/>
      <c r="D308" s="2527">
        <v>0</v>
      </c>
      <c r="E308" s="2527">
        <v>0</v>
      </c>
      <c r="F308" s="2527">
        <v>0</v>
      </c>
      <c r="G308" s="212"/>
      <c r="H308" s="1846">
        <f>IF(AND(ISNUMBER(D308),ISNUMBER(E308),ISNUMBER(F308)),SUM(D308:F308),"")</f>
        <v>0</v>
      </c>
      <c r="I308" s="2527">
        <v>0</v>
      </c>
      <c r="J308" s="2527">
        <v>0</v>
      </c>
      <c r="K308" s="2527">
        <v>0</v>
      </c>
      <c r="L308" s="1846">
        <f t="shared" si="283"/>
        <v>0</v>
      </c>
      <c r="M308" s="212"/>
      <c r="N308" s="212"/>
      <c r="O308" s="212"/>
      <c r="P308" s="1846" t="str">
        <f t="shared" si="280"/>
        <v/>
      </c>
      <c r="Q308" s="1886"/>
      <c r="R308" s="212"/>
      <c r="S308" s="212"/>
      <c r="T308" s="1857"/>
      <c r="U308" s="1850"/>
      <c r="V308" s="1857"/>
      <c r="W308" s="1856" t="str">
        <f>IF(OR('General Info'!$C$19="Yes",'General Info'!$D$19="Yes"),IFERROR(IF(AND(_xlfn.NUMBERVALUE(O308)/_xlfn.NUMBERVALUE(S308)&gt;0.7143,_xlfn.NUMBERVALUE(O308)/_xlfn.NUMBERVALUE(S308)&lt;=1),"Ok", "Please check"),"Please check"),"NA")</f>
        <v>NA</v>
      </c>
      <c r="X308" s="1886"/>
      <c r="Y308" s="1886"/>
      <c r="Z308" s="1886"/>
      <c r="AA308" s="1886"/>
      <c r="AB308" s="1886"/>
      <c r="AC308" s="1886"/>
      <c r="AD308" s="1886"/>
      <c r="AE308" s="1886"/>
      <c r="AF308" s="1886"/>
      <c r="AG308" s="1886"/>
      <c r="AH308" s="1886"/>
      <c r="AI308" s="1886"/>
      <c r="AJ308" s="1886"/>
      <c r="AK308" s="1886"/>
      <c r="AL308" s="1886"/>
    </row>
    <row r="309" spans="1:38" ht="15" customHeight="1" x14ac:dyDescent="0.35">
      <c r="A309" s="1885"/>
      <c r="B309" s="305" t="s">
        <v>840</v>
      </c>
      <c r="C309" s="1886"/>
      <c r="D309" s="1846">
        <f>IF(ISNUMBER(R135),R135,"")</f>
        <v>0</v>
      </c>
      <c r="E309" s="1846">
        <f>IF(ISNUMBER(S135),S135,"")</f>
        <v>0</v>
      </c>
      <c r="F309" s="1846">
        <f>IF(ISNUMBER(V135),V135,"")</f>
        <v>0</v>
      </c>
      <c r="G309" s="1846" t="str">
        <f>+IF(AND(ISNUMBER(#REF!),ISNUMBER(#REF!)),#REF!+#REF!,"")</f>
        <v/>
      </c>
      <c r="H309" s="1846">
        <f>IF(AND(ISNUMBER(D309),ISNUMBER(E309),ISNUMBER(F309)),SUM(D309:F309),"")</f>
        <v>0</v>
      </c>
      <c r="I309" s="1846">
        <f>IF(ISNUMBER(X135),X135,"")</f>
        <v>0</v>
      </c>
      <c r="J309" s="1846">
        <f>IF(ISNUMBER(Y135),Y135,"")</f>
        <v>0</v>
      </c>
      <c r="K309" s="1846">
        <f>IF(ISNUMBER(Z135),Z135,"")</f>
        <v>0</v>
      </c>
      <c r="L309" s="1846">
        <f t="shared" si="283"/>
        <v>0</v>
      </c>
      <c r="M309" s="1846" t="str">
        <f>IF(ISNUMBER(AF135),AF135,"")</f>
        <v/>
      </c>
      <c r="N309" s="1846" t="str">
        <f>IF(ISNUMBER(AG135),AG135,"")</f>
        <v/>
      </c>
      <c r="O309" s="1846" t="str">
        <f>IF(ISNUMBER(AH135),AH135,"")</f>
        <v/>
      </c>
      <c r="P309" s="1846" t="str">
        <f>IF(AND(ISNUMBER(M309),ISNUMBER(N309),ISNUMBER(R309)),M309-N309+R309,"")</f>
        <v/>
      </c>
      <c r="Q309" s="1846" t="str">
        <f>IF(ISNUMBER(AE222),Z135,"")</f>
        <v/>
      </c>
      <c r="R309" s="1846" t="str">
        <f>IF(ISNUMBER(AJ135),AJ135,"")</f>
        <v/>
      </c>
      <c r="S309" s="1846" t="str">
        <f>IF(ISNUMBER(AK135),AK135,"")</f>
        <v/>
      </c>
      <c r="T309" s="1857"/>
      <c r="U309" s="1850"/>
      <c r="V309" s="1857"/>
      <c r="W309" s="1856" t="str">
        <f>IF(OR('General Info'!$C$19="Yes",'General Info'!$D$19="Yes"),IFERROR(IF(AND(_xlfn.NUMBERVALUE(O309)/_xlfn.NUMBERVALUE(S309)&gt;0.7143,_xlfn.NUMBERVALUE(O309)/_xlfn.NUMBERVALUE(S309)&lt;=1),"Ok", "Please check"),"Please check"),"NA")</f>
        <v>NA</v>
      </c>
      <c r="X309" s="1886"/>
      <c r="Y309" s="1886"/>
      <c r="Z309" s="1886"/>
      <c r="AA309" s="1886"/>
      <c r="AB309" s="1886"/>
      <c r="AC309" s="1886"/>
      <c r="AD309" s="1886"/>
      <c r="AE309" s="1886"/>
      <c r="AF309" s="1886"/>
      <c r="AG309" s="1886"/>
      <c r="AH309" s="1886"/>
      <c r="AI309" s="1886"/>
      <c r="AJ309" s="1886"/>
      <c r="AK309" s="1886"/>
      <c r="AL309" s="1886"/>
    </row>
    <row r="310" spans="1:38" ht="15" customHeight="1" x14ac:dyDescent="0.35">
      <c r="A310" s="1886"/>
      <c r="B310" s="1886"/>
      <c r="C310" s="1886"/>
      <c r="D310" s="1886"/>
      <c r="E310" s="1886"/>
      <c r="F310" s="1886"/>
      <c r="G310" s="1886"/>
      <c r="H310" s="1886"/>
      <c r="I310" s="1886"/>
      <c r="J310" s="1886"/>
      <c r="K310" s="1886"/>
      <c r="L310" s="1886"/>
      <c r="M310" s="1886"/>
      <c r="N310" s="1886"/>
      <c r="O310" s="1886"/>
      <c r="P310" s="1886"/>
      <c r="Q310" s="1886"/>
      <c r="R310" s="1886"/>
      <c r="S310" s="1886"/>
      <c r="T310" s="1850"/>
      <c r="U310" s="1850"/>
      <c r="V310" s="1850"/>
      <c r="W310" s="1886"/>
      <c r="X310" s="1886"/>
      <c r="Y310" s="1886"/>
      <c r="Z310" s="1886"/>
      <c r="AA310" s="1886"/>
      <c r="AB310" s="1886"/>
      <c r="AC310" s="1886"/>
      <c r="AD310" s="1886"/>
      <c r="AE310" s="1886"/>
      <c r="AF310" s="1886"/>
      <c r="AG310" s="1886"/>
      <c r="AH310" s="1886"/>
      <c r="AI310" s="1886"/>
      <c r="AJ310" s="1886"/>
      <c r="AK310" s="1886"/>
      <c r="AL310" s="1886"/>
    </row>
    <row r="311" spans="1:38" ht="15" customHeight="1" x14ac:dyDescent="0.35">
      <c r="A311" s="1886"/>
      <c r="B311" s="1886"/>
      <c r="C311" s="1886"/>
      <c r="D311" s="1886"/>
      <c r="E311" s="1886"/>
      <c r="F311" s="1886"/>
      <c r="G311" s="1886"/>
      <c r="H311" s="1886"/>
      <c r="I311" s="1886"/>
      <c r="J311" s="1886"/>
      <c r="K311" s="1886"/>
      <c r="L311" s="1886"/>
      <c r="M311" s="1886"/>
      <c r="N311" s="1886"/>
      <c r="O311" s="1886"/>
      <c r="P311" s="1886"/>
      <c r="Q311" s="1886"/>
      <c r="R311" s="1886"/>
      <c r="S311" s="1886"/>
      <c r="T311" s="1850"/>
      <c r="U311" s="1850"/>
      <c r="V311" s="1850"/>
      <c r="W311" s="1886"/>
      <c r="X311" s="1886"/>
      <c r="Y311" s="1886"/>
      <c r="Z311" s="1886"/>
      <c r="AA311" s="1886"/>
      <c r="AB311" s="1886"/>
      <c r="AC311" s="1886"/>
      <c r="AD311" s="1886"/>
      <c r="AE311" s="1886"/>
      <c r="AF311" s="1886"/>
      <c r="AG311" s="1886"/>
      <c r="AH311" s="1886"/>
      <c r="AI311" s="1886"/>
      <c r="AJ311" s="1886"/>
      <c r="AK311" s="1886"/>
      <c r="AL311" s="1886"/>
    </row>
    <row r="312" spans="1:38" ht="15" customHeight="1" x14ac:dyDescent="0.35">
      <c r="A312" s="1886"/>
      <c r="B312" s="1886"/>
      <c r="C312" s="1886"/>
      <c r="D312" s="1886"/>
      <c r="E312" s="1886"/>
      <c r="F312" s="1886"/>
      <c r="G312" s="1886"/>
      <c r="H312" s="1886"/>
      <c r="I312" s="1886"/>
      <c r="J312" s="1886"/>
      <c r="K312" s="1886"/>
      <c r="L312" s="1886"/>
      <c r="M312" s="1886"/>
      <c r="N312" s="1886"/>
      <c r="O312" s="1886"/>
      <c r="P312" s="1886"/>
      <c r="Q312" s="1886"/>
      <c r="R312" s="1886"/>
      <c r="S312" s="1886"/>
      <c r="T312" s="1850"/>
      <c r="U312" s="1850"/>
      <c r="V312" s="1850"/>
      <c r="W312" s="1886"/>
      <c r="X312" s="1886"/>
      <c r="Y312" s="1886"/>
      <c r="Z312" s="1886"/>
      <c r="AA312" s="1886"/>
      <c r="AB312" s="1886"/>
      <c r="AC312" s="1886"/>
      <c r="AD312" s="1886"/>
      <c r="AE312" s="1886"/>
      <c r="AF312" s="1886"/>
      <c r="AG312" s="1886"/>
      <c r="AH312" s="1886"/>
      <c r="AI312" s="1886"/>
      <c r="AJ312" s="1886"/>
      <c r="AK312" s="1886"/>
      <c r="AL312" s="1886"/>
    </row>
    <row r="313" spans="1:38" ht="15" customHeight="1" x14ac:dyDescent="0.35">
      <c r="A313" s="1886"/>
      <c r="B313" s="1886"/>
      <c r="C313" s="1886"/>
      <c r="D313" s="1886"/>
      <c r="E313" s="1886"/>
      <c r="F313" s="1886"/>
      <c r="G313" s="1886"/>
      <c r="H313" s="1886"/>
      <c r="I313" s="1886"/>
      <c r="J313" s="1886"/>
      <c r="K313" s="1886"/>
      <c r="L313" s="1886"/>
      <c r="M313" s="1886"/>
      <c r="N313" s="1886"/>
      <c r="O313" s="1886"/>
      <c r="P313" s="1886"/>
      <c r="Q313" s="1886"/>
      <c r="R313" s="1886"/>
      <c r="S313" s="1886"/>
      <c r="T313" s="1850"/>
      <c r="U313" s="1850"/>
      <c r="V313" s="1850"/>
      <c r="W313" s="1886"/>
      <c r="X313" s="1886"/>
      <c r="Y313" s="1886"/>
      <c r="Z313" s="1886"/>
      <c r="AA313" s="1886"/>
      <c r="AB313" s="1886"/>
      <c r="AC313" s="1886"/>
      <c r="AD313" s="1886"/>
      <c r="AE313" s="1886"/>
      <c r="AF313" s="1886"/>
      <c r="AG313" s="1886"/>
      <c r="AH313" s="1886"/>
      <c r="AI313" s="1886"/>
      <c r="AJ313" s="1886"/>
      <c r="AK313" s="1886"/>
      <c r="AL313" s="1886"/>
    </row>
    <row r="314" spans="1:38" ht="15" customHeight="1" x14ac:dyDescent="0.35">
      <c r="A314" s="1886"/>
      <c r="B314" s="1886"/>
      <c r="C314" s="1886"/>
      <c r="D314" s="1886"/>
      <c r="E314" s="1886"/>
      <c r="F314" s="1886"/>
      <c r="G314" s="1886"/>
      <c r="H314" s="1886"/>
      <c r="I314" s="1886"/>
      <c r="J314" s="1886"/>
      <c r="K314" s="1886"/>
      <c r="L314" s="1886"/>
      <c r="M314" s="1886"/>
      <c r="N314" s="1886"/>
      <c r="O314" s="1886"/>
      <c r="P314" s="1886"/>
      <c r="Q314" s="1886"/>
      <c r="R314" s="1886"/>
      <c r="S314" s="1886"/>
      <c r="T314" s="1850"/>
      <c r="U314" s="1850"/>
      <c r="V314" s="1850"/>
      <c r="W314" s="1886"/>
      <c r="X314" s="1886"/>
      <c r="Y314" s="1886"/>
      <c r="Z314" s="1886"/>
      <c r="AA314" s="1886"/>
      <c r="AB314" s="1886"/>
      <c r="AC314" s="1886"/>
      <c r="AD314" s="1886"/>
      <c r="AE314" s="1886"/>
      <c r="AF314" s="1886"/>
      <c r="AG314" s="1886"/>
      <c r="AH314" s="1886"/>
      <c r="AI314" s="1886"/>
      <c r="AJ314" s="1886"/>
      <c r="AK314" s="1886"/>
      <c r="AL314" s="1886"/>
    </row>
    <row r="315" spans="1:38" ht="15" customHeight="1" x14ac:dyDescent="0.35">
      <c r="A315" s="1886"/>
      <c r="B315" s="1886"/>
      <c r="C315" s="1886"/>
      <c r="D315" s="1886"/>
      <c r="E315" s="1886"/>
      <c r="F315" s="1886"/>
      <c r="G315" s="1886"/>
      <c r="H315" s="1886"/>
      <c r="I315" s="1886"/>
      <c r="J315" s="1886"/>
      <c r="K315" s="1886"/>
      <c r="L315" s="1886"/>
      <c r="M315" s="1886"/>
      <c r="N315" s="1886"/>
      <c r="O315" s="1886"/>
      <c r="P315" s="1886"/>
      <c r="Q315" s="1886"/>
      <c r="R315" s="1886"/>
      <c r="S315" s="1886"/>
      <c r="T315" s="1850"/>
      <c r="U315" s="1850"/>
      <c r="V315" s="1850"/>
      <c r="W315" s="1886"/>
      <c r="X315" s="1886"/>
      <c r="Y315" s="1886"/>
      <c r="Z315" s="1886"/>
      <c r="AA315" s="1886"/>
      <c r="AB315" s="1886"/>
      <c r="AC315" s="1886"/>
      <c r="AD315" s="1886"/>
      <c r="AE315" s="1886"/>
      <c r="AF315" s="1886"/>
      <c r="AG315" s="1886"/>
      <c r="AH315" s="1886"/>
      <c r="AI315" s="1886"/>
      <c r="AJ315" s="1886"/>
      <c r="AK315" s="1886"/>
      <c r="AL315" s="1886"/>
    </row>
  </sheetData>
  <sheetProtection algorithmName="SHA-512" hashValue="dFvth32kh4QDcZYEoiR/BSgmV/F5tHqA0hKA1tr/GOjILpE0WtQXFI7ee4uBGMpAhBmGUAsDQZy2mFH8sSAtiQ==" saltValue="ksmMtTW8GuFAs1jDH48cAA==" spinCount="100000" sheet="1" objects="1" scenarios="1"/>
  <mergeCells count="192">
    <mergeCell ref="W283:W284"/>
    <mergeCell ref="O283:O284"/>
    <mergeCell ref="P283:R283"/>
    <mergeCell ref="S283:S284"/>
    <mergeCell ref="T283:T284"/>
    <mergeCell ref="V283:V284"/>
    <mergeCell ref="I283:I284"/>
    <mergeCell ref="J283:J284"/>
    <mergeCell ref="K283:K284"/>
    <mergeCell ref="L283:L284"/>
    <mergeCell ref="M283:N283"/>
    <mergeCell ref="D283:D284"/>
    <mergeCell ref="E283:E284"/>
    <mergeCell ref="F283:F284"/>
    <mergeCell ref="G283:G284"/>
    <mergeCell ref="H283:H284"/>
    <mergeCell ref="D281:L281"/>
    <mergeCell ref="M281:O281"/>
    <mergeCell ref="P281:S281"/>
    <mergeCell ref="D282:H282"/>
    <mergeCell ref="I282:L282"/>
    <mergeCell ref="M282:O282"/>
    <mergeCell ref="P282:S282"/>
    <mergeCell ref="B274:B277"/>
    <mergeCell ref="D274:E274"/>
    <mergeCell ref="F274:H274"/>
    <mergeCell ref="I274:J274"/>
    <mergeCell ref="K274:M274"/>
    <mergeCell ref="O259:O260"/>
    <mergeCell ref="P259:P260"/>
    <mergeCell ref="R259:R260"/>
    <mergeCell ref="S259:S260"/>
    <mergeCell ref="N274:P274"/>
    <mergeCell ref="D275:E276"/>
    <mergeCell ref="F275:H276"/>
    <mergeCell ref="I275:J276"/>
    <mergeCell ref="K275:M275"/>
    <mergeCell ref="N275:P275"/>
    <mergeCell ref="K276:L276"/>
    <mergeCell ref="M276:M277"/>
    <mergeCell ref="N276:O276"/>
    <mergeCell ref="P276:P277"/>
    <mergeCell ref="T259:T260"/>
    <mergeCell ref="B257:B260"/>
    <mergeCell ref="D257:E257"/>
    <mergeCell ref="F257:H257"/>
    <mergeCell ref="I257:K257"/>
    <mergeCell ref="L257:N257"/>
    <mergeCell ref="D258:D260"/>
    <mergeCell ref="E258:E260"/>
    <mergeCell ref="F258:F260"/>
    <mergeCell ref="H258:H260"/>
    <mergeCell ref="I258:K258"/>
    <mergeCell ref="L258:N258"/>
    <mergeCell ref="I259:J259"/>
    <mergeCell ref="K259:K260"/>
    <mergeCell ref="L259:M259"/>
    <mergeCell ref="N259:N260"/>
    <mergeCell ref="AH234:AH235"/>
    <mergeCell ref="AI234:AI235"/>
    <mergeCell ref="AJ234:AJ235"/>
    <mergeCell ref="AK234:AK235"/>
    <mergeCell ref="AL234:AL235"/>
    <mergeCell ref="AA234:AB234"/>
    <mergeCell ref="AC234:AC235"/>
    <mergeCell ref="AD234:AE234"/>
    <mergeCell ref="AF234:AF235"/>
    <mergeCell ref="AG234:AG235"/>
    <mergeCell ref="V234:V235"/>
    <mergeCell ref="W234:W235"/>
    <mergeCell ref="X234:X235"/>
    <mergeCell ref="Y234:Y235"/>
    <mergeCell ref="Z234:Z235"/>
    <mergeCell ref="P234:P235"/>
    <mergeCell ref="Q234:Q235"/>
    <mergeCell ref="R234:R235"/>
    <mergeCell ref="S234:S235"/>
    <mergeCell ref="T234:T235"/>
    <mergeCell ref="AD232:AF232"/>
    <mergeCell ref="D233:H233"/>
    <mergeCell ref="I233:L233"/>
    <mergeCell ref="M233:Q233"/>
    <mergeCell ref="R233:V233"/>
    <mergeCell ref="W233:Z233"/>
    <mergeCell ref="AA233:AC233"/>
    <mergeCell ref="AD233:AF233"/>
    <mergeCell ref="B232:B235"/>
    <mergeCell ref="D232:L232"/>
    <mergeCell ref="M232:V232"/>
    <mergeCell ref="W232:Z232"/>
    <mergeCell ref="AA232:AC232"/>
    <mergeCell ref="D234:D235"/>
    <mergeCell ref="E234:E235"/>
    <mergeCell ref="F234:F235"/>
    <mergeCell ref="H234:H235"/>
    <mergeCell ref="I234:I235"/>
    <mergeCell ref="J234:J235"/>
    <mergeCell ref="K234:K235"/>
    <mergeCell ref="L234:L235"/>
    <mergeCell ref="M234:M235"/>
    <mergeCell ref="N234:N235"/>
    <mergeCell ref="O234:O235"/>
    <mergeCell ref="AH191:AH192"/>
    <mergeCell ref="AI191:AI192"/>
    <mergeCell ref="AJ191:AJ192"/>
    <mergeCell ref="AK191:AK192"/>
    <mergeCell ref="AL191:AL192"/>
    <mergeCell ref="AA191:AB191"/>
    <mergeCell ref="AC191:AC192"/>
    <mergeCell ref="AD191:AE191"/>
    <mergeCell ref="AF191:AF192"/>
    <mergeCell ref="AG191:AG192"/>
    <mergeCell ref="V191:V192"/>
    <mergeCell ref="W191:W192"/>
    <mergeCell ref="X191:X192"/>
    <mergeCell ref="Y191:Y192"/>
    <mergeCell ref="Z191:Z192"/>
    <mergeCell ref="P191:P192"/>
    <mergeCell ref="Q191:Q192"/>
    <mergeCell ref="R191:R192"/>
    <mergeCell ref="S191:S192"/>
    <mergeCell ref="T191:T192"/>
    <mergeCell ref="AD189:AF189"/>
    <mergeCell ref="D190:H190"/>
    <mergeCell ref="I190:L190"/>
    <mergeCell ref="M190:Q190"/>
    <mergeCell ref="R190:V190"/>
    <mergeCell ref="W190:Z190"/>
    <mergeCell ref="AA190:AC190"/>
    <mergeCell ref="AD190:AF190"/>
    <mergeCell ref="B189:B192"/>
    <mergeCell ref="D189:L189"/>
    <mergeCell ref="M189:V189"/>
    <mergeCell ref="W189:Z189"/>
    <mergeCell ref="AA189:AC189"/>
    <mergeCell ref="D191:D192"/>
    <mergeCell ref="E191:E192"/>
    <mergeCell ref="F191:F192"/>
    <mergeCell ref="H191:H192"/>
    <mergeCell ref="I191:I192"/>
    <mergeCell ref="J191:J192"/>
    <mergeCell ref="K191:K192"/>
    <mergeCell ref="L191:L192"/>
    <mergeCell ref="M191:M192"/>
    <mergeCell ref="N191:N192"/>
    <mergeCell ref="O191:O192"/>
    <mergeCell ref="D149:D151"/>
    <mergeCell ref="E149:E151"/>
    <mergeCell ref="F149:F151"/>
    <mergeCell ref="H149:H151"/>
    <mergeCell ref="C148:J148"/>
    <mergeCell ref="J149:J151"/>
    <mergeCell ref="I149:I151"/>
    <mergeCell ref="B15:B18"/>
    <mergeCell ref="C16:H16"/>
    <mergeCell ref="I16:I18"/>
    <mergeCell ref="E17:F17"/>
    <mergeCell ref="C15:P15"/>
    <mergeCell ref="J17:J18"/>
    <mergeCell ref="N16:N18"/>
    <mergeCell ref="O16:P16"/>
    <mergeCell ref="P17:P18"/>
    <mergeCell ref="O17:O18"/>
    <mergeCell ref="M17:M18"/>
    <mergeCell ref="L17:L18"/>
    <mergeCell ref="K17:K18"/>
    <mergeCell ref="J16:M16"/>
    <mergeCell ref="D17:D18"/>
    <mergeCell ref="H17:H18"/>
    <mergeCell ref="Q15:AC15"/>
    <mergeCell ref="X17:X18"/>
    <mergeCell ref="Y17:Y18"/>
    <mergeCell ref="Z17:Z18"/>
    <mergeCell ref="AA17:AA18"/>
    <mergeCell ref="Q16:V16"/>
    <mergeCell ref="S17:T17"/>
    <mergeCell ref="W16:W18"/>
    <mergeCell ref="AC16:AC18"/>
    <mergeCell ref="AB16:AB18"/>
    <mergeCell ref="X16:AA16"/>
    <mergeCell ref="R17:R18"/>
    <mergeCell ref="V17:V18"/>
    <mergeCell ref="AI15:AK15"/>
    <mergeCell ref="AI16:AK16"/>
    <mergeCell ref="AI17:AJ17"/>
    <mergeCell ref="AK17:AK18"/>
    <mergeCell ref="AD16:AE17"/>
    <mergeCell ref="AD15:AE15"/>
    <mergeCell ref="AF16:AH16"/>
    <mergeCell ref="AH17:AH18"/>
    <mergeCell ref="AF17:AG17"/>
    <mergeCell ref="AF15:AH15"/>
  </mergeCells>
  <conditionalFormatting sqref="H152:J154 C152:F154 AF19:AH143 C145:AH146 C19:AD143">
    <cfRule type="cellIs" dxfId="8609" priority="4806" stopIfTrue="1" operator="lessThan">
      <formula>0</formula>
    </cfRule>
  </conditionalFormatting>
  <conditionalFormatting sqref="A1:AL12 A147:AL186 A316:AL1048576 A13:AH146">
    <cfRule type="cellIs" dxfId="8608" priority="2250" stopIfTrue="1" operator="equal">
      <formula>"Pass"</formula>
    </cfRule>
    <cfRule type="cellIs" dxfId="8607" priority="4785" stopIfTrue="1" operator="equal">
      <formula>"please check"</formula>
    </cfRule>
  </conditionalFormatting>
  <conditionalFormatting sqref="AI145:AK146 AI19:AK143">
    <cfRule type="cellIs" dxfId="8606" priority="2205" stopIfTrue="1" operator="lessThan">
      <formula>0</formula>
    </cfRule>
  </conditionalFormatting>
  <conditionalFormatting sqref="AI13:AL146">
    <cfRule type="cellIs" dxfId="8605" priority="2202" stopIfTrue="1" operator="equal">
      <formula>"Pass"</formula>
    </cfRule>
    <cfRule type="cellIs" dxfId="8604" priority="2203" stopIfTrue="1" operator="equal">
      <formula>"please check"</formula>
    </cfRule>
  </conditionalFormatting>
  <conditionalFormatting sqref="AL19:AL98">
    <cfRule type="cellIs" dxfId="8603" priority="2201" stopIfTrue="1" operator="lessThan">
      <formula>0</formula>
    </cfRule>
  </conditionalFormatting>
  <conditionalFormatting sqref="AL138:AL146">
    <cfRule type="cellIs" dxfId="8602" priority="2200" stopIfTrue="1" operator="lessThan">
      <formula>0</formula>
    </cfRule>
  </conditionalFormatting>
  <conditionalFormatting sqref="Q309 D285:G287 I285:K287 M285:O309 R285:S309 D291:G292 G288:G290 D296:G296 G293:G295 D304:G304 D309:G309 G297:G303 G305:G308 I291:K292 I296:K296 I304:K304 I309:K309">
    <cfRule type="cellIs" dxfId="8601" priority="2199" stopIfTrue="1" operator="lessThan">
      <formula>0</formula>
    </cfRule>
  </conditionalFormatting>
  <conditionalFormatting sqref="C187:C278 G191:G231 Q193:Q231 AK187:AL188 U191:U231 Q236:Q279 G234:G256 U234:U279 G258:G273 G277:G279 B285:B309 C282:C308 P280 A310:A315 V273:AL280 T281:AL282 Q285:Q309 C310:AL315 S285:S292 S296 S304:S309 X283:AL309 R288:R290 R293:S295 D285:G287 I285:K287 M285:O309 R297:S303 R305:R308 U283:U309 D291:G292 G288:G290 D296:G296 G293:G295 D304:G304 D309:G309 G297:G303 G305:G308 I291:K292 I296:K296 I304:K304 I309:K309">
    <cfRule type="cellIs" dxfId="8600" priority="2196" stopIfTrue="1" operator="equal">
      <formula>"Pass"</formula>
    </cfRule>
    <cfRule type="cellIs" dxfId="8599" priority="2197" stopIfTrue="1" operator="equal">
      <formula>"please check"</formula>
    </cfRule>
  </conditionalFormatting>
  <conditionalFormatting sqref="A257:A271 A278:A279">
    <cfRule type="cellIs" dxfId="8598" priority="2193" stopIfTrue="1" operator="equal">
      <formula>"Pass"</formula>
    </cfRule>
    <cfRule type="cellIs" dxfId="8597" priority="2194" stopIfTrue="1" operator="equal">
      <formula>"please check"</formula>
    </cfRule>
  </conditionalFormatting>
  <conditionalFormatting sqref="B257">
    <cfRule type="cellIs" dxfId="8596" priority="2187" stopIfTrue="1" operator="equal">
      <formula>"Pass"</formula>
    </cfRule>
    <cfRule type="cellIs" dxfId="8595" priority="2188" stopIfTrue="1" operator="equal">
      <formula>"please check"</formula>
    </cfRule>
  </conditionalFormatting>
  <conditionalFormatting sqref="B188">
    <cfRule type="cellIs" dxfId="8594" priority="2184" stopIfTrue="1" operator="equal">
      <formula>"Pass"</formula>
    </cfRule>
    <cfRule type="cellIs" dxfId="8593" priority="2185" stopIfTrue="1" operator="equal">
      <formula>"please check"</formula>
    </cfRule>
  </conditionalFormatting>
  <conditionalFormatting sqref="B187">
    <cfRule type="cellIs" dxfId="8592" priority="2181" stopIfTrue="1" operator="equal">
      <formula>"Pass"</formula>
    </cfRule>
    <cfRule type="cellIs" dxfId="8591" priority="2182" stopIfTrue="1" operator="equal">
      <formula>"please check"</formula>
    </cfRule>
  </conditionalFormatting>
  <conditionalFormatting sqref="A231">
    <cfRule type="cellIs" dxfId="8590" priority="2178" stopIfTrue="1" operator="equal">
      <formula>"Pass"</formula>
    </cfRule>
    <cfRule type="cellIs" dxfId="8589" priority="2179" stopIfTrue="1" operator="equal">
      <formula>"please check"</formula>
    </cfRule>
  </conditionalFormatting>
  <conditionalFormatting sqref="A188">
    <cfRule type="cellIs" dxfId="8588" priority="2175" stopIfTrue="1" operator="equal">
      <formula>"Pass"</formula>
    </cfRule>
    <cfRule type="cellIs" dxfId="8587" priority="2176" stopIfTrue="1" operator="equal">
      <formula>"please check"</formula>
    </cfRule>
  </conditionalFormatting>
  <conditionalFormatting sqref="B246">
    <cfRule type="cellIs" dxfId="8586" priority="2154" stopIfTrue="1" operator="equal">
      <formula>"Pass"</formula>
    </cfRule>
    <cfRule type="cellIs" dxfId="8585" priority="2155" stopIfTrue="1" operator="equal">
      <formula>"please check"</formula>
    </cfRule>
  </conditionalFormatting>
  <conditionalFormatting sqref="A272:B272 B231">
    <cfRule type="cellIs" dxfId="8584" priority="2190" stopIfTrue="1" operator="equal">
      <formula>"Pass"</formula>
    </cfRule>
    <cfRule type="cellIs" dxfId="8583" priority="2191" stopIfTrue="1" operator="equal">
      <formula>"please check"</formula>
    </cfRule>
  </conditionalFormatting>
  <conditionalFormatting sqref="A187">
    <cfRule type="cellIs" dxfId="8582" priority="2172" stopIfTrue="1" operator="equal">
      <formula>"Pass"</formula>
    </cfRule>
    <cfRule type="cellIs" dxfId="8581" priority="2173" stopIfTrue="1" operator="equal">
      <formula>"please check"</formula>
    </cfRule>
  </conditionalFormatting>
  <conditionalFormatting sqref="A189:A230">
    <cfRule type="cellIs" dxfId="8580" priority="2169" stopIfTrue="1" operator="equal">
      <formula>"Pass"</formula>
    </cfRule>
    <cfRule type="cellIs" dxfId="8579" priority="2170" stopIfTrue="1" operator="equal">
      <formula>"please check"</formula>
    </cfRule>
  </conditionalFormatting>
  <conditionalFormatting sqref="A232:A255">
    <cfRule type="cellIs" dxfId="8578" priority="2166" stopIfTrue="1" operator="equal">
      <formula>"Pass"</formula>
    </cfRule>
    <cfRule type="cellIs" dxfId="8577" priority="2167" stopIfTrue="1" operator="equal">
      <formula>"please check"</formula>
    </cfRule>
  </conditionalFormatting>
  <conditionalFormatting sqref="B261:B262">
    <cfRule type="cellIs" dxfId="8576" priority="2162" stopIfTrue="1" operator="equal">
      <formula>"Pass"</formula>
    </cfRule>
    <cfRule type="cellIs" dxfId="8575" priority="2163" stopIfTrue="1" operator="equal">
      <formula>"please check"</formula>
    </cfRule>
  </conditionalFormatting>
  <conditionalFormatting sqref="B264">
    <cfRule type="cellIs" dxfId="8574" priority="2160" stopIfTrue="1" operator="equal">
      <formula>"please check"</formula>
    </cfRule>
    <cfRule type="cellIs" dxfId="8573" priority="2161" stopIfTrue="1" operator="equal">
      <formula>"Fail"</formula>
    </cfRule>
    <cfRule type="cellIs" dxfId="8572" priority="2165" stopIfTrue="1" operator="equal">
      <formula>"Pass"</formula>
    </cfRule>
  </conditionalFormatting>
  <conditionalFormatting sqref="B265">
    <cfRule type="cellIs" dxfId="8571" priority="2157" stopIfTrue="1" operator="equal">
      <formula>"Pass"</formula>
    </cfRule>
    <cfRule type="cellIs" dxfId="8570" priority="2158" stopIfTrue="1" operator="equal">
      <formula>"please check"</formula>
    </cfRule>
    <cfRule type="cellIs" dxfId="8569" priority="2159" stopIfTrue="1" operator="equal">
      <formula>"Fail"</formula>
    </cfRule>
  </conditionalFormatting>
  <conditionalFormatting sqref="A256:B256">
    <cfRule type="cellIs" dxfId="8568" priority="2151" stopIfTrue="1" operator="equal">
      <formula>"Pass"</formula>
    </cfRule>
    <cfRule type="cellIs" dxfId="8567" priority="2152" stopIfTrue="1" operator="equal">
      <formula>"please check"</formula>
    </cfRule>
  </conditionalFormatting>
  <conditionalFormatting sqref="B273 A274:A277">
    <cfRule type="cellIs" dxfId="8566" priority="2148" stopIfTrue="1" operator="equal">
      <formula>"Pass"</formula>
    </cfRule>
    <cfRule type="cellIs" dxfId="8565" priority="2149" stopIfTrue="1" operator="equal">
      <formula>"please check"</formula>
    </cfRule>
  </conditionalFormatting>
  <conditionalFormatting sqref="A273">
    <cfRule type="cellIs" dxfId="8564" priority="2145" stopIfTrue="1" operator="equal">
      <formula>"Pass"</formula>
    </cfRule>
    <cfRule type="cellIs" dxfId="8563" priority="2146" stopIfTrue="1" operator="equal">
      <formula>"please check"</formula>
    </cfRule>
  </conditionalFormatting>
  <conditionalFormatting sqref="B278">
    <cfRule type="cellIs" dxfId="8562" priority="2142" stopIfTrue="1" operator="equal">
      <formula>"Pass"</formula>
    </cfRule>
    <cfRule type="cellIs" dxfId="8561" priority="2143" stopIfTrue="1" operator="equal">
      <formula>"please check"</formula>
    </cfRule>
  </conditionalFormatting>
  <conditionalFormatting sqref="D275 B279:F279">
    <cfRule type="cellIs" dxfId="8560" priority="2139" stopIfTrue="1" operator="equal">
      <formula>"Pass"</formula>
    </cfRule>
    <cfRule type="cellIs" dxfId="8559" priority="2140" stopIfTrue="1" operator="equal">
      <formula>"please check"</formula>
    </cfRule>
  </conditionalFormatting>
  <conditionalFormatting sqref="D272:F272 D231:F231 D258:F258">
    <cfRule type="cellIs" dxfId="8558" priority="2136" stopIfTrue="1" operator="equal">
      <formula>"Pass"</formula>
    </cfRule>
    <cfRule type="cellIs" dxfId="8557" priority="2137" stopIfTrue="1" operator="equal">
      <formula>"please check"</formula>
    </cfRule>
  </conditionalFormatting>
  <conditionalFormatting sqref="D257">
    <cfRule type="cellIs" dxfId="8556" priority="2133" stopIfTrue="1" operator="equal">
      <formula>"Pass"</formula>
    </cfRule>
    <cfRule type="cellIs" dxfId="8555" priority="2134" stopIfTrue="1" operator="equal">
      <formula>"please check"</formula>
    </cfRule>
  </conditionalFormatting>
  <conditionalFormatting sqref="F257">
    <cfRule type="cellIs" dxfId="8554" priority="2130" stopIfTrue="1" operator="equal">
      <formula>"Pass"</formula>
    </cfRule>
    <cfRule type="cellIs" dxfId="8553" priority="2131" stopIfTrue="1" operator="equal">
      <formula>"please check"</formula>
    </cfRule>
  </conditionalFormatting>
  <conditionalFormatting sqref="D256:F256">
    <cfRule type="cellIs" dxfId="8552" priority="2127" stopIfTrue="1" operator="equal">
      <formula>"Pass"</formula>
    </cfRule>
    <cfRule type="cellIs" dxfId="8551" priority="2128" stopIfTrue="1" operator="equal">
      <formula>"please check"</formula>
    </cfRule>
  </conditionalFormatting>
  <conditionalFormatting sqref="D193:F194">
    <cfRule type="cellIs" dxfId="8550" priority="2082" stopIfTrue="1" operator="lessThan">
      <formula>0</formula>
    </cfRule>
  </conditionalFormatting>
  <conditionalFormatting sqref="D193:F194">
    <cfRule type="cellIs" dxfId="8549" priority="2079" stopIfTrue="1" operator="equal">
      <formula>"Pass"</formula>
    </cfRule>
    <cfRule type="cellIs" dxfId="8548" priority="2080" stopIfTrue="1" operator="equal">
      <formula>"please check"</formula>
    </cfRule>
  </conditionalFormatting>
  <conditionalFormatting sqref="D197:F198">
    <cfRule type="cellIs" dxfId="8547" priority="2078" stopIfTrue="1" operator="lessThan">
      <formula>0</formula>
    </cfRule>
  </conditionalFormatting>
  <conditionalFormatting sqref="D197:F198">
    <cfRule type="cellIs" dxfId="8546" priority="2075" stopIfTrue="1" operator="equal">
      <formula>"Pass"</formula>
    </cfRule>
    <cfRule type="cellIs" dxfId="8545" priority="2076" stopIfTrue="1" operator="equal">
      <formula>"please check"</formula>
    </cfRule>
  </conditionalFormatting>
  <conditionalFormatting sqref="D201:F202">
    <cfRule type="cellIs" dxfId="8544" priority="2074" stopIfTrue="1" operator="lessThan">
      <formula>0</formula>
    </cfRule>
  </conditionalFormatting>
  <conditionalFormatting sqref="D201:F202">
    <cfRule type="cellIs" dxfId="8543" priority="2071" stopIfTrue="1" operator="equal">
      <formula>"Pass"</formula>
    </cfRule>
    <cfRule type="cellIs" dxfId="8542" priority="2072" stopIfTrue="1" operator="equal">
      <formula>"please check"</formula>
    </cfRule>
  </conditionalFormatting>
  <conditionalFormatting sqref="D205:F207">
    <cfRule type="cellIs" dxfId="8541" priority="2070" stopIfTrue="1" operator="lessThan">
      <formula>0</formula>
    </cfRule>
  </conditionalFormatting>
  <conditionalFormatting sqref="D205:F207">
    <cfRule type="cellIs" dxfId="8540" priority="2067" stopIfTrue="1" operator="equal">
      <formula>"Pass"</formula>
    </cfRule>
    <cfRule type="cellIs" dxfId="8539" priority="2068" stopIfTrue="1" operator="equal">
      <formula>"please check"</formula>
    </cfRule>
  </conditionalFormatting>
  <conditionalFormatting sqref="D210:F211">
    <cfRule type="cellIs" dxfId="8538" priority="2066" stopIfTrue="1" operator="lessThan">
      <formula>0</formula>
    </cfRule>
  </conditionalFormatting>
  <conditionalFormatting sqref="D210:F211">
    <cfRule type="cellIs" dxfId="8537" priority="2063" stopIfTrue="1" operator="equal">
      <formula>"Pass"</formula>
    </cfRule>
    <cfRule type="cellIs" dxfId="8536" priority="2064" stopIfTrue="1" operator="equal">
      <formula>"please check"</formula>
    </cfRule>
  </conditionalFormatting>
  <conditionalFormatting sqref="D214:F215">
    <cfRule type="cellIs" dxfId="8535" priority="2062" stopIfTrue="1" operator="lessThan">
      <formula>0</formula>
    </cfRule>
  </conditionalFormatting>
  <conditionalFormatting sqref="D214:F215">
    <cfRule type="cellIs" dxfId="8534" priority="2059" stopIfTrue="1" operator="equal">
      <formula>"Pass"</formula>
    </cfRule>
    <cfRule type="cellIs" dxfId="8533" priority="2060" stopIfTrue="1" operator="equal">
      <formula>"please check"</formula>
    </cfRule>
  </conditionalFormatting>
  <conditionalFormatting sqref="D218:F219">
    <cfRule type="cellIs" dxfId="8532" priority="2058" stopIfTrue="1" operator="lessThan">
      <formula>0</formula>
    </cfRule>
  </conditionalFormatting>
  <conditionalFormatting sqref="D218:F219">
    <cfRule type="cellIs" dxfId="8531" priority="2055" stopIfTrue="1" operator="equal">
      <formula>"Pass"</formula>
    </cfRule>
    <cfRule type="cellIs" dxfId="8530" priority="2056" stopIfTrue="1" operator="equal">
      <formula>"please check"</formula>
    </cfRule>
  </conditionalFormatting>
  <conditionalFormatting sqref="D222:F223">
    <cfRule type="cellIs" dxfId="8529" priority="2054" stopIfTrue="1" operator="lessThan">
      <formula>0</formula>
    </cfRule>
  </conditionalFormatting>
  <conditionalFormatting sqref="D222:F223">
    <cfRule type="cellIs" dxfId="8528" priority="2051" stopIfTrue="1" operator="equal">
      <formula>"Pass"</formula>
    </cfRule>
    <cfRule type="cellIs" dxfId="8527" priority="2052" stopIfTrue="1" operator="equal">
      <formula>"please check"</formula>
    </cfRule>
  </conditionalFormatting>
  <conditionalFormatting sqref="D226:F227">
    <cfRule type="cellIs" dxfId="8526" priority="2050" stopIfTrue="1" operator="lessThan">
      <formula>0</formula>
    </cfRule>
  </conditionalFormatting>
  <conditionalFormatting sqref="D226:F227">
    <cfRule type="cellIs" dxfId="8525" priority="2047" stopIfTrue="1" operator="equal">
      <formula>"Pass"</formula>
    </cfRule>
    <cfRule type="cellIs" dxfId="8524" priority="2048" stopIfTrue="1" operator="equal">
      <formula>"please check"</formula>
    </cfRule>
  </conditionalFormatting>
  <conditionalFormatting sqref="D236:F236">
    <cfRule type="cellIs" dxfId="8523" priority="2046" stopIfTrue="1" operator="lessThan">
      <formula>0</formula>
    </cfRule>
  </conditionalFormatting>
  <conditionalFormatting sqref="D236:F236">
    <cfRule type="cellIs" dxfId="8522" priority="2043" stopIfTrue="1" operator="equal">
      <formula>"Pass"</formula>
    </cfRule>
    <cfRule type="cellIs" dxfId="8521" priority="2044" stopIfTrue="1" operator="equal">
      <formula>"please check"</formula>
    </cfRule>
  </conditionalFormatting>
  <conditionalFormatting sqref="D238:F238">
    <cfRule type="cellIs" dxfId="8520" priority="2042" stopIfTrue="1" operator="lessThan">
      <formula>0</formula>
    </cfRule>
  </conditionalFormatting>
  <conditionalFormatting sqref="D238:F238">
    <cfRule type="cellIs" dxfId="8519" priority="2039" stopIfTrue="1" operator="equal">
      <formula>"Pass"</formula>
    </cfRule>
    <cfRule type="cellIs" dxfId="8518" priority="2040" stopIfTrue="1" operator="equal">
      <formula>"please check"</formula>
    </cfRule>
  </conditionalFormatting>
  <conditionalFormatting sqref="D240:F242">
    <cfRule type="cellIs" dxfId="8517" priority="2038" stopIfTrue="1" operator="lessThan">
      <formula>0</formula>
    </cfRule>
  </conditionalFormatting>
  <conditionalFormatting sqref="D240:F242">
    <cfRule type="cellIs" dxfId="8516" priority="2035" stopIfTrue="1" operator="equal">
      <formula>"Pass"</formula>
    </cfRule>
    <cfRule type="cellIs" dxfId="8515" priority="2036" stopIfTrue="1" operator="equal">
      <formula>"please check"</formula>
    </cfRule>
  </conditionalFormatting>
  <conditionalFormatting sqref="D244:F244">
    <cfRule type="cellIs" dxfId="8514" priority="2034" stopIfTrue="1" operator="lessThan">
      <formula>0</formula>
    </cfRule>
  </conditionalFormatting>
  <conditionalFormatting sqref="D244:F244">
    <cfRule type="cellIs" dxfId="8513" priority="2031" stopIfTrue="1" operator="equal">
      <formula>"Pass"</formula>
    </cfRule>
    <cfRule type="cellIs" dxfId="8512" priority="2032" stopIfTrue="1" operator="equal">
      <formula>"please check"</formula>
    </cfRule>
  </conditionalFormatting>
  <conditionalFormatting sqref="D246:F246">
    <cfRule type="cellIs" dxfId="8511" priority="2030" stopIfTrue="1" operator="lessThan">
      <formula>0</formula>
    </cfRule>
  </conditionalFormatting>
  <conditionalFormatting sqref="D246:F246">
    <cfRule type="cellIs" dxfId="8510" priority="2027" stopIfTrue="1" operator="equal">
      <formula>"Pass"</formula>
    </cfRule>
    <cfRule type="cellIs" dxfId="8509" priority="2028" stopIfTrue="1" operator="equal">
      <formula>"please check"</formula>
    </cfRule>
  </conditionalFormatting>
  <conditionalFormatting sqref="D248:F248">
    <cfRule type="cellIs" dxfId="8508" priority="2026" stopIfTrue="1" operator="lessThan">
      <formula>0</formula>
    </cfRule>
  </conditionalFormatting>
  <conditionalFormatting sqref="D248:F248">
    <cfRule type="cellIs" dxfId="8507" priority="2023" stopIfTrue="1" operator="equal">
      <formula>"Pass"</formula>
    </cfRule>
    <cfRule type="cellIs" dxfId="8506" priority="2024" stopIfTrue="1" operator="equal">
      <formula>"please check"</formula>
    </cfRule>
  </conditionalFormatting>
  <conditionalFormatting sqref="D251:F251">
    <cfRule type="cellIs" dxfId="8505" priority="2022" stopIfTrue="1" operator="lessThan">
      <formula>0</formula>
    </cfRule>
  </conditionalFormatting>
  <conditionalFormatting sqref="D251:F251">
    <cfRule type="cellIs" dxfId="8504" priority="2019" stopIfTrue="1" operator="equal">
      <formula>"Pass"</formula>
    </cfRule>
    <cfRule type="cellIs" dxfId="8503" priority="2020" stopIfTrue="1" operator="equal">
      <formula>"please check"</formula>
    </cfRule>
  </conditionalFormatting>
  <conditionalFormatting sqref="D253:F253">
    <cfRule type="cellIs" dxfId="8502" priority="2018" stopIfTrue="1" operator="lessThan">
      <formula>0</formula>
    </cfRule>
  </conditionalFormatting>
  <conditionalFormatting sqref="D253:F253">
    <cfRule type="cellIs" dxfId="8501" priority="2015" stopIfTrue="1" operator="equal">
      <formula>"Pass"</formula>
    </cfRule>
    <cfRule type="cellIs" dxfId="8500" priority="2016" stopIfTrue="1" operator="equal">
      <formula>"please check"</formula>
    </cfRule>
  </conditionalFormatting>
  <conditionalFormatting sqref="D261:F264">
    <cfRule type="cellIs" dxfId="8499" priority="2014" stopIfTrue="1" operator="lessThan">
      <formula>0</formula>
    </cfRule>
  </conditionalFormatting>
  <conditionalFormatting sqref="D261:F264">
    <cfRule type="cellIs" dxfId="8498" priority="2011" stopIfTrue="1" operator="equal">
      <formula>"Pass"</formula>
    </cfRule>
    <cfRule type="cellIs" dxfId="8497" priority="2012" stopIfTrue="1" operator="equal">
      <formula>"please check"</formula>
    </cfRule>
  </conditionalFormatting>
  <conditionalFormatting sqref="D273:F273">
    <cfRule type="cellIs" dxfId="8496" priority="1996" stopIfTrue="1" operator="equal">
      <formula>"Pass"</formula>
    </cfRule>
    <cfRule type="cellIs" dxfId="8495" priority="1997" stopIfTrue="1" operator="equal">
      <formula>"please check"</formula>
    </cfRule>
  </conditionalFormatting>
  <conditionalFormatting sqref="O257:P258">
    <cfRule type="cellIs" dxfId="8494" priority="1989" stopIfTrue="1" operator="equal">
      <formula>"Pass"</formula>
    </cfRule>
    <cfRule type="cellIs" dxfId="8493" priority="1990" stopIfTrue="1" operator="equal">
      <formula>"please check"</formula>
    </cfRule>
  </conditionalFormatting>
  <conditionalFormatting sqref="M266:N266">
    <cfRule type="cellIs" dxfId="8492" priority="1933" stopIfTrue="1" operator="equal">
      <formula>"Pass"</formula>
    </cfRule>
    <cfRule type="cellIs" dxfId="8491" priority="1934" stopIfTrue="1" operator="equal">
      <formula>"please check"</formula>
    </cfRule>
  </conditionalFormatting>
  <conditionalFormatting sqref="H272:P272 H231:P231">
    <cfRule type="cellIs" dxfId="8490" priority="1986" stopIfTrue="1" operator="equal">
      <formula>"Pass"</formula>
    </cfRule>
    <cfRule type="cellIs" dxfId="8489" priority="1987" stopIfTrue="1" operator="equal">
      <formula>"please check"</formula>
    </cfRule>
  </conditionalFormatting>
  <conditionalFormatting sqref="I258:I259 K259 L258:L259 N259">
    <cfRule type="cellIs" dxfId="8488" priority="1983" stopIfTrue="1" operator="equal">
      <formula>"Pass"</formula>
    </cfRule>
    <cfRule type="cellIs" dxfId="8487" priority="1984" stopIfTrue="1" operator="equal">
      <formula>"please check"</formula>
    </cfRule>
  </conditionalFormatting>
  <conditionalFormatting sqref="I260:J260 L260:M260">
    <cfRule type="cellIs" dxfId="8486" priority="1980" stopIfTrue="1" operator="equal">
      <formula>"Pass"</formula>
    </cfRule>
    <cfRule type="cellIs" dxfId="8485" priority="1981" stopIfTrue="1" operator="equal">
      <formula>"please check"</formula>
    </cfRule>
  </conditionalFormatting>
  <conditionalFormatting sqref="I257">
    <cfRule type="cellIs" dxfId="8484" priority="1977" stopIfTrue="1" operator="equal">
      <formula>"Pass"</formula>
    </cfRule>
    <cfRule type="cellIs" dxfId="8483" priority="1978" stopIfTrue="1" operator="equal">
      <formula>"please check"</formula>
    </cfRule>
  </conditionalFormatting>
  <conditionalFormatting sqref="K269">
    <cfRule type="cellIs" dxfId="8482" priority="1881" stopIfTrue="1" operator="lessThan">
      <formula>0</formula>
    </cfRule>
  </conditionalFormatting>
  <conditionalFormatting sqref="K269">
    <cfRule type="cellIs" dxfId="8481" priority="1878" stopIfTrue="1" operator="equal">
      <formula>"Pass"</formula>
    </cfRule>
    <cfRule type="cellIs" dxfId="8480" priority="1879" stopIfTrue="1" operator="equal">
      <formula>"please check"</formula>
    </cfRule>
  </conditionalFormatting>
  <conditionalFormatting sqref="K269">
    <cfRule type="cellIs" dxfId="8479" priority="1875" stopIfTrue="1" operator="equal">
      <formula>"Pass"</formula>
    </cfRule>
    <cfRule type="cellIs" dxfId="8478" priority="1876" stopIfTrue="1" operator="equal">
      <formula>"please check"</formula>
    </cfRule>
    <cfRule type="cellIs" dxfId="8477" priority="1877" stopIfTrue="1" operator="equal">
      <formula>"Fail"</formula>
    </cfRule>
  </conditionalFormatting>
  <conditionalFormatting sqref="J266">
    <cfRule type="cellIs" dxfId="8476" priority="1940" stopIfTrue="1" operator="lessThan">
      <formula>0</formula>
    </cfRule>
  </conditionalFormatting>
  <conditionalFormatting sqref="J266">
    <cfRule type="cellIs" dxfId="8475" priority="1937" stopIfTrue="1" operator="equal">
      <formula>"Pass"</formula>
    </cfRule>
    <cfRule type="cellIs" dxfId="8474" priority="1938" stopIfTrue="1" operator="equal">
      <formula>"please check"</formula>
    </cfRule>
  </conditionalFormatting>
  <conditionalFormatting sqref="M266:N266">
    <cfRule type="cellIs" dxfId="8473" priority="1936" stopIfTrue="1" operator="lessThan">
      <formula>0</formula>
    </cfRule>
  </conditionalFormatting>
  <conditionalFormatting sqref="H256:P256">
    <cfRule type="cellIs" dxfId="8472" priority="1974" stopIfTrue="1" operator="equal">
      <formula>"Pass"</formula>
    </cfRule>
    <cfRule type="cellIs" dxfId="8471" priority="1975" stopIfTrue="1" operator="equal">
      <formula>"please check"</formula>
    </cfRule>
  </conditionalFormatting>
  <conditionalFormatting sqref="I265">
    <cfRule type="cellIs" dxfId="8470" priority="1973" stopIfTrue="1" operator="lessThan">
      <formula>0</formula>
    </cfRule>
  </conditionalFormatting>
  <conditionalFormatting sqref="I265">
    <cfRule type="cellIs" dxfId="8469" priority="1970" stopIfTrue="1" operator="equal">
      <formula>"Pass"</formula>
    </cfRule>
    <cfRule type="cellIs" dxfId="8468" priority="1971" stopIfTrue="1" operator="equal">
      <formula>"please check"</formula>
    </cfRule>
  </conditionalFormatting>
  <conditionalFormatting sqref="J265">
    <cfRule type="cellIs" dxfId="8467" priority="1959" stopIfTrue="1" operator="equal">
      <formula>"Pass"</formula>
    </cfRule>
    <cfRule type="cellIs" dxfId="8466" priority="1960" stopIfTrue="1" operator="equal">
      <formula>"please check"</formula>
    </cfRule>
  </conditionalFormatting>
  <conditionalFormatting sqref="K265">
    <cfRule type="cellIs" dxfId="8465" priority="1969" stopIfTrue="1" operator="lessThan">
      <formula>0</formula>
    </cfRule>
  </conditionalFormatting>
  <conditionalFormatting sqref="K265">
    <cfRule type="cellIs" dxfId="8464" priority="1966" stopIfTrue="1" operator="equal">
      <formula>"Pass"</formula>
    </cfRule>
    <cfRule type="cellIs" dxfId="8463" priority="1967" stopIfTrue="1" operator="equal">
      <formula>"please check"</formula>
    </cfRule>
  </conditionalFormatting>
  <conditionalFormatting sqref="K265">
    <cfRule type="cellIs" dxfId="8462" priority="1963" stopIfTrue="1" operator="equal">
      <formula>"Pass"</formula>
    </cfRule>
    <cfRule type="cellIs" dxfId="8461" priority="1964" stopIfTrue="1" operator="equal">
      <formula>"please check"</formula>
    </cfRule>
    <cfRule type="cellIs" dxfId="8460" priority="1965" stopIfTrue="1" operator="equal">
      <formula>"Fail"</formula>
    </cfRule>
  </conditionalFormatting>
  <conditionalFormatting sqref="J265">
    <cfRule type="cellIs" dxfId="8459" priority="1962" stopIfTrue="1" operator="lessThan">
      <formula>0</formula>
    </cfRule>
  </conditionalFormatting>
  <conditionalFormatting sqref="M265:N265">
    <cfRule type="cellIs" dxfId="8458" priority="1958" stopIfTrue="1" operator="lessThan">
      <formula>0</formula>
    </cfRule>
  </conditionalFormatting>
  <conditionalFormatting sqref="M265:N265">
    <cfRule type="cellIs" dxfId="8457" priority="1955" stopIfTrue="1" operator="equal">
      <formula>"Pass"</formula>
    </cfRule>
    <cfRule type="cellIs" dxfId="8456" priority="1956" stopIfTrue="1" operator="equal">
      <formula>"please check"</formula>
    </cfRule>
  </conditionalFormatting>
  <conditionalFormatting sqref="M265:N265">
    <cfRule type="cellIs" dxfId="8455" priority="1952" stopIfTrue="1" operator="equal">
      <formula>"Pass"</formula>
    </cfRule>
    <cfRule type="cellIs" dxfId="8454" priority="1953" stopIfTrue="1" operator="equal">
      <formula>"please check"</formula>
    </cfRule>
    <cfRule type="cellIs" dxfId="8453" priority="1954" stopIfTrue="1" operator="equal">
      <formula>"Fail"</formula>
    </cfRule>
  </conditionalFormatting>
  <conditionalFormatting sqref="I266">
    <cfRule type="cellIs" dxfId="8452" priority="1951" stopIfTrue="1" operator="lessThan">
      <formula>0</formula>
    </cfRule>
  </conditionalFormatting>
  <conditionalFormatting sqref="I266">
    <cfRule type="cellIs" dxfId="8451" priority="1948" stopIfTrue="1" operator="equal">
      <formula>"Pass"</formula>
    </cfRule>
    <cfRule type="cellIs" dxfId="8450" priority="1949" stopIfTrue="1" operator="equal">
      <formula>"please check"</formula>
    </cfRule>
  </conditionalFormatting>
  <conditionalFormatting sqref="K266">
    <cfRule type="cellIs" dxfId="8449" priority="1947" stopIfTrue="1" operator="lessThan">
      <formula>0</formula>
    </cfRule>
  </conditionalFormatting>
  <conditionalFormatting sqref="K266">
    <cfRule type="cellIs" dxfId="8448" priority="1944" stopIfTrue="1" operator="equal">
      <formula>"Pass"</formula>
    </cfRule>
    <cfRule type="cellIs" dxfId="8447" priority="1945" stopIfTrue="1" operator="equal">
      <formula>"please check"</formula>
    </cfRule>
  </conditionalFormatting>
  <conditionalFormatting sqref="K266">
    <cfRule type="cellIs" dxfId="8446" priority="1941" stopIfTrue="1" operator="equal">
      <formula>"Pass"</formula>
    </cfRule>
    <cfRule type="cellIs" dxfId="8445" priority="1942" stopIfTrue="1" operator="equal">
      <formula>"please check"</formula>
    </cfRule>
    <cfRule type="cellIs" dxfId="8444" priority="1943" stopIfTrue="1" operator="equal">
      <formula>"Fail"</formula>
    </cfRule>
  </conditionalFormatting>
  <conditionalFormatting sqref="M266:N266">
    <cfRule type="cellIs" dxfId="8443" priority="1930" stopIfTrue="1" operator="equal">
      <formula>"Pass"</formula>
    </cfRule>
    <cfRule type="cellIs" dxfId="8442" priority="1931" stopIfTrue="1" operator="equal">
      <formula>"please check"</formula>
    </cfRule>
    <cfRule type="cellIs" dxfId="8441" priority="1932" stopIfTrue="1" operator="equal">
      <formula>"Fail"</formula>
    </cfRule>
  </conditionalFormatting>
  <conditionalFormatting sqref="I267">
    <cfRule type="cellIs" dxfId="8440" priority="1929" stopIfTrue="1" operator="lessThan">
      <formula>0</formula>
    </cfRule>
  </conditionalFormatting>
  <conditionalFormatting sqref="I267">
    <cfRule type="cellIs" dxfId="8439" priority="1926" stopIfTrue="1" operator="equal">
      <formula>"Pass"</formula>
    </cfRule>
    <cfRule type="cellIs" dxfId="8438" priority="1927" stopIfTrue="1" operator="equal">
      <formula>"please check"</formula>
    </cfRule>
  </conditionalFormatting>
  <conditionalFormatting sqref="J267">
    <cfRule type="cellIs" dxfId="8437" priority="1915" stopIfTrue="1" operator="equal">
      <formula>"Pass"</formula>
    </cfRule>
    <cfRule type="cellIs" dxfId="8436" priority="1916" stopIfTrue="1" operator="equal">
      <formula>"please check"</formula>
    </cfRule>
  </conditionalFormatting>
  <conditionalFormatting sqref="K267">
    <cfRule type="cellIs" dxfId="8435" priority="1925" stopIfTrue="1" operator="lessThan">
      <formula>0</formula>
    </cfRule>
  </conditionalFormatting>
  <conditionalFormatting sqref="K267">
    <cfRule type="cellIs" dxfId="8434" priority="1922" stopIfTrue="1" operator="equal">
      <formula>"Pass"</formula>
    </cfRule>
    <cfRule type="cellIs" dxfId="8433" priority="1923" stopIfTrue="1" operator="equal">
      <formula>"please check"</formula>
    </cfRule>
  </conditionalFormatting>
  <conditionalFormatting sqref="K267">
    <cfRule type="cellIs" dxfId="8432" priority="1919" stopIfTrue="1" operator="equal">
      <formula>"Pass"</formula>
    </cfRule>
    <cfRule type="cellIs" dxfId="8431" priority="1920" stopIfTrue="1" operator="equal">
      <formula>"please check"</formula>
    </cfRule>
    <cfRule type="cellIs" dxfId="8430" priority="1921" stopIfTrue="1" operator="equal">
      <formula>"Fail"</formula>
    </cfRule>
  </conditionalFormatting>
  <conditionalFormatting sqref="J267">
    <cfRule type="cellIs" dxfId="8429" priority="1918" stopIfTrue="1" operator="lessThan">
      <formula>0</formula>
    </cfRule>
  </conditionalFormatting>
  <conditionalFormatting sqref="M267:N267">
    <cfRule type="cellIs" dxfId="8428" priority="1914" stopIfTrue="1" operator="lessThan">
      <formula>0</formula>
    </cfRule>
  </conditionalFormatting>
  <conditionalFormatting sqref="M267:N267">
    <cfRule type="cellIs" dxfId="8427" priority="1911" stopIfTrue="1" operator="equal">
      <formula>"Pass"</formula>
    </cfRule>
    <cfRule type="cellIs" dxfId="8426" priority="1912" stopIfTrue="1" operator="equal">
      <formula>"please check"</formula>
    </cfRule>
  </conditionalFormatting>
  <conditionalFormatting sqref="M267:N267">
    <cfRule type="cellIs" dxfId="8425" priority="1908" stopIfTrue="1" operator="equal">
      <formula>"Pass"</formula>
    </cfRule>
    <cfRule type="cellIs" dxfId="8424" priority="1909" stopIfTrue="1" operator="equal">
      <formula>"please check"</formula>
    </cfRule>
    <cfRule type="cellIs" dxfId="8423" priority="1910" stopIfTrue="1" operator="equal">
      <formula>"Fail"</formula>
    </cfRule>
  </conditionalFormatting>
  <conditionalFormatting sqref="I268">
    <cfRule type="cellIs" dxfId="8422" priority="1907" stopIfTrue="1" operator="lessThan">
      <formula>0</formula>
    </cfRule>
  </conditionalFormatting>
  <conditionalFormatting sqref="I268">
    <cfRule type="cellIs" dxfId="8421" priority="1904" stopIfTrue="1" operator="equal">
      <formula>"Pass"</formula>
    </cfRule>
    <cfRule type="cellIs" dxfId="8420" priority="1905" stopIfTrue="1" operator="equal">
      <formula>"please check"</formula>
    </cfRule>
  </conditionalFormatting>
  <conditionalFormatting sqref="J268">
    <cfRule type="cellIs" dxfId="8419" priority="1893" stopIfTrue="1" operator="equal">
      <formula>"Pass"</formula>
    </cfRule>
    <cfRule type="cellIs" dxfId="8418" priority="1894" stopIfTrue="1" operator="equal">
      <formula>"please check"</formula>
    </cfRule>
  </conditionalFormatting>
  <conditionalFormatting sqref="K268">
    <cfRule type="cellIs" dxfId="8417" priority="1903" stopIfTrue="1" operator="lessThan">
      <formula>0</formula>
    </cfRule>
  </conditionalFormatting>
  <conditionalFormatting sqref="K268">
    <cfRule type="cellIs" dxfId="8416" priority="1900" stopIfTrue="1" operator="equal">
      <formula>"Pass"</formula>
    </cfRule>
    <cfRule type="cellIs" dxfId="8415" priority="1901" stopIfTrue="1" operator="equal">
      <formula>"please check"</formula>
    </cfRule>
  </conditionalFormatting>
  <conditionalFormatting sqref="K268">
    <cfRule type="cellIs" dxfId="8414" priority="1897" stopIfTrue="1" operator="equal">
      <formula>"Pass"</formula>
    </cfRule>
    <cfRule type="cellIs" dxfId="8413" priority="1898" stopIfTrue="1" operator="equal">
      <formula>"please check"</formula>
    </cfRule>
    <cfRule type="cellIs" dxfId="8412" priority="1899" stopIfTrue="1" operator="equal">
      <formula>"Fail"</formula>
    </cfRule>
  </conditionalFormatting>
  <conditionalFormatting sqref="J268">
    <cfRule type="cellIs" dxfId="8411" priority="1896" stopIfTrue="1" operator="lessThan">
      <formula>0</formula>
    </cfRule>
  </conditionalFormatting>
  <conditionalFormatting sqref="M268:N268">
    <cfRule type="cellIs" dxfId="8410" priority="1892" stopIfTrue="1" operator="lessThan">
      <formula>0</formula>
    </cfRule>
  </conditionalFormatting>
  <conditionalFormatting sqref="M268:N268">
    <cfRule type="cellIs" dxfId="8409" priority="1889" stopIfTrue="1" operator="equal">
      <formula>"Pass"</formula>
    </cfRule>
    <cfRule type="cellIs" dxfId="8408" priority="1890" stopIfTrue="1" operator="equal">
      <formula>"please check"</formula>
    </cfRule>
  </conditionalFormatting>
  <conditionalFormatting sqref="M268:N268">
    <cfRule type="cellIs" dxfId="8407" priority="1886" stopIfTrue="1" operator="equal">
      <formula>"Pass"</formula>
    </cfRule>
    <cfRule type="cellIs" dxfId="8406" priority="1887" stopIfTrue="1" operator="equal">
      <formula>"please check"</formula>
    </cfRule>
    <cfRule type="cellIs" dxfId="8405" priority="1888" stopIfTrue="1" operator="equal">
      <formula>"Fail"</formula>
    </cfRule>
  </conditionalFormatting>
  <conditionalFormatting sqref="I269">
    <cfRule type="cellIs" dxfId="8404" priority="1885" stopIfTrue="1" operator="lessThan">
      <formula>0</formula>
    </cfRule>
  </conditionalFormatting>
  <conditionalFormatting sqref="I269">
    <cfRule type="cellIs" dxfId="8403" priority="1882" stopIfTrue="1" operator="equal">
      <formula>"Pass"</formula>
    </cfRule>
    <cfRule type="cellIs" dxfId="8402" priority="1883" stopIfTrue="1" operator="equal">
      <formula>"please check"</formula>
    </cfRule>
  </conditionalFormatting>
  <conditionalFormatting sqref="J269">
    <cfRule type="cellIs" dxfId="8401" priority="1871" stopIfTrue="1" operator="equal">
      <formula>"Pass"</formula>
    </cfRule>
    <cfRule type="cellIs" dxfId="8400" priority="1872" stopIfTrue="1" operator="equal">
      <formula>"please check"</formula>
    </cfRule>
  </conditionalFormatting>
  <conditionalFormatting sqref="J269">
    <cfRule type="cellIs" dxfId="8399" priority="1874" stopIfTrue="1" operator="lessThan">
      <formula>0</formula>
    </cfRule>
  </conditionalFormatting>
  <conditionalFormatting sqref="M269:N269">
    <cfRule type="cellIs" dxfId="8398" priority="1870" stopIfTrue="1" operator="lessThan">
      <formula>0</formula>
    </cfRule>
  </conditionalFormatting>
  <conditionalFormatting sqref="M269:N269">
    <cfRule type="cellIs" dxfId="8397" priority="1867" stopIfTrue="1" operator="equal">
      <formula>"Pass"</formula>
    </cfRule>
    <cfRule type="cellIs" dxfId="8396" priority="1868" stopIfTrue="1" operator="equal">
      <formula>"please check"</formula>
    </cfRule>
  </conditionalFormatting>
  <conditionalFormatting sqref="M269:N269">
    <cfRule type="cellIs" dxfId="8395" priority="1864" stopIfTrue="1" operator="equal">
      <formula>"Pass"</formula>
    </cfRule>
    <cfRule type="cellIs" dxfId="8394" priority="1865" stopIfTrue="1" operator="equal">
      <formula>"please check"</formula>
    </cfRule>
    <cfRule type="cellIs" dxfId="8393" priority="1866" stopIfTrue="1" operator="equal">
      <formula>"Fail"</formula>
    </cfRule>
  </conditionalFormatting>
  <conditionalFormatting sqref="I270">
    <cfRule type="cellIs" dxfId="8392" priority="1863" stopIfTrue="1" operator="lessThan">
      <formula>0</formula>
    </cfRule>
  </conditionalFormatting>
  <conditionalFormatting sqref="I270">
    <cfRule type="cellIs" dxfId="8391" priority="1860" stopIfTrue="1" operator="equal">
      <formula>"Pass"</formula>
    </cfRule>
    <cfRule type="cellIs" dxfId="8390" priority="1861" stopIfTrue="1" operator="equal">
      <formula>"please check"</formula>
    </cfRule>
  </conditionalFormatting>
  <conditionalFormatting sqref="J270">
    <cfRule type="cellIs" dxfId="8389" priority="1849" stopIfTrue="1" operator="equal">
      <formula>"Pass"</formula>
    </cfRule>
    <cfRule type="cellIs" dxfId="8388" priority="1850" stopIfTrue="1" operator="equal">
      <formula>"please check"</formula>
    </cfRule>
  </conditionalFormatting>
  <conditionalFormatting sqref="K270">
    <cfRule type="cellIs" dxfId="8387" priority="1859" stopIfTrue="1" operator="lessThan">
      <formula>0</formula>
    </cfRule>
  </conditionalFormatting>
  <conditionalFormatting sqref="K270">
    <cfRule type="cellIs" dxfId="8386" priority="1856" stopIfTrue="1" operator="equal">
      <formula>"Pass"</formula>
    </cfRule>
    <cfRule type="cellIs" dxfId="8385" priority="1857" stopIfTrue="1" operator="equal">
      <formula>"please check"</formula>
    </cfRule>
  </conditionalFormatting>
  <conditionalFormatting sqref="K270">
    <cfRule type="cellIs" dxfId="8384" priority="1853" stopIfTrue="1" operator="equal">
      <formula>"Pass"</formula>
    </cfRule>
    <cfRule type="cellIs" dxfId="8383" priority="1854" stopIfTrue="1" operator="equal">
      <formula>"please check"</formula>
    </cfRule>
    <cfRule type="cellIs" dxfId="8382" priority="1855" stopIfTrue="1" operator="equal">
      <formula>"Fail"</formula>
    </cfRule>
  </conditionalFormatting>
  <conditionalFormatting sqref="J270">
    <cfRule type="cellIs" dxfId="8381" priority="1852" stopIfTrue="1" operator="lessThan">
      <formula>0</formula>
    </cfRule>
  </conditionalFormatting>
  <conditionalFormatting sqref="M270:N270">
    <cfRule type="cellIs" dxfId="8380" priority="1848" stopIfTrue="1" operator="lessThan">
      <formula>0</formula>
    </cfRule>
  </conditionalFormatting>
  <conditionalFormatting sqref="M270:N270">
    <cfRule type="cellIs" dxfId="8379" priority="1845" stopIfTrue="1" operator="equal">
      <formula>"Pass"</formula>
    </cfRule>
    <cfRule type="cellIs" dxfId="8378" priority="1846" stopIfTrue="1" operator="equal">
      <formula>"please check"</formula>
    </cfRule>
  </conditionalFormatting>
  <conditionalFormatting sqref="M270:N270">
    <cfRule type="cellIs" dxfId="8377" priority="1842" stopIfTrue="1" operator="equal">
      <formula>"Pass"</formula>
    </cfRule>
    <cfRule type="cellIs" dxfId="8376" priority="1843" stopIfTrue="1" operator="equal">
      <formula>"please check"</formula>
    </cfRule>
    <cfRule type="cellIs" dxfId="8375" priority="1844" stopIfTrue="1" operator="equal">
      <formula>"Fail"</formula>
    </cfRule>
  </conditionalFormatting>
  <conditionalFormatting sqref="I271">
    <cfRule type="cellIs" dxfId="8374" priority="1841" stopIfTrue="1" operator="lessThan">
      <formula>0</formula>
    </cfRule>
  </conditionalFormatting>
  <conditionalFormatting sqref="I271">
    <cfRule type="cellIs" dxfId="8373" priority="1838" stopIfTrue="1" operator="equal">
      <formula>"Pass"</formula>
    </cfRule>
    <cfRule type="cellIs" dxfId="8372" priority="1839" stopIfTrue="1" operator="equal">
      <formula>"please check"</formula>
    </cfRule>
  </conditionalFormatting>
  <conditionalFormatting sqref="J271">
    <cfRule type="cellIs" dxfId="8371" priority="1827" stopIfTrue="1" operator="equal">
      <formula>"Pass"</formula>
    </cfRule>
    <cfRule type="cellIs" dxfId="8370" priority="1828" stopIfTrue="1" operator="equal">
      <formula>"please check"</formula>
    </cfRule>
  </conditionalFormatting>
  <conditionalFormatting sqref="K271">
    <cfRule type="cellIs" dxfId="8369" priority="1837" stopIfTrue="1" operator="lessThan">
      <formula>0</formula>
    </cfRule>
  </conditionalFormatting>
  <conditionalFormatting sqref="K271">
    <cfRule type="cellIs" dxfId="8368" priority="1834" stopIfTrue="1" operator="equal">
      <formula>"Pass"</formula>
    </cfRule>
    <cfRule type="cellIs" dxfId="8367" priority="1835" stopIfTrue="1" operator="equal">
      <formula>"please check"</formula>
    </cfRule>
  </conditionalFormatting>
  <conditionalFormatting sqref="K271">
    <cfRule type="cellIs" dxfId="8366" priority="1831" stopIfTrue="1" operator="equal">
      <formula>"Pass"</formula>
    </cfRule>
    <cfRule type="cellIs" dxfId="8365" priority="1832" stopIfTrue="1" operator="equal">
      <formula>"please check"</formula>
    </cfRule>
    <cfRule type="cellIs" dxfId="8364" priority="1833" stopIfTrue="1" operator="equal">
      <formula>"Fail"</formula>
    </cfRule>
  </conditionalFormatting>
  <conditionalFormatting sqref="J271">
    <cfRule type="cellIs" dxfId="8363" priority="1830" stopIfTrue="1" operator="lessThan">
      <formula>0</formula>
    </cfRule>
  </conditionalFormatting>
  <conditionalFormatting sqref="M271:N271">
    <cfRule type="cellIs" dxfId="8362" priority="1826" stopIfTrue="1" operator="lessThan">
      <formula>0</formula>
    </cfRule>
  </conditionalFormatting>
  <conditionalFormatting sqref="M271:N271">
    <cfRule type="cellIs" dxfId="8361" priority="1823" stopIfTrue="1" operator="equal">
      <formula>"Pass"</formula>
    </cfRule>
    <cfRule type="cellIs" dxfId="8360" priority="1824" stopIfTrue="1" operator="equal">
      <formula>"please check"</formula>
    </cfRule>
  </conditionalFormatting>
  <conditionalFormatting sqref="M271:N271">
    <cfRule type="cellIs" dxfId="8359" priority="1820" stopIfTrue="1" operator="equal">
      <formula>"Pass"</formula>
    </cfRule>
    <cfRule type="cellIs" dxfId="8358" priority="1821" stopIfTrue="1" operator="equal">
      <formula>"please check"</formula>
    </cfRule>
    <cfRule type="cellIs" dxfId="8357" priority="1822" stopIfTrue="1" operator="equal">
      <formula>"Fail"</formula>
    </cfRule>
  </conditionalFormatting>
  <conditionalFormatting sqref="L257">
    <cfRule type="cellIs" dxfId="8356" priority="1817" stopIfTrue="1" operator="equal">
      <formula>"Pass"</formula>
    </cfRule>
    <cfRule type="cellIs" dxfId="8355" priority="1818" stopIfTrue="1" operator="equal">
      <formula>"please check"</formula>
    </cfRule>
  </conditionalFormatting>
  <conditionalFormatting sqref="H193:H229">
    <cfRule type="cellIs" dxfId="8354" priority="1816" stopIfTrue="1" operator="lessThan">
      <formula>0</formula>
    </cfRule>
  </conditionalFormatting>
  <conditionalFormatting sqref="H193:H229">
    <cfRule type="cellIs" dxfId="8353" priority="1813" stopIfTrue="1" operator="equal">
      <formula>"Pass"</formula>
    </cfRule>
    <cfRule type="cellIs" dxfId="8352" priority="1814" stopIfTrue="1" operator="equal">
      <formula>"please check"</formula>
    </cfRule>
  </conditionalFormatting>
  <conditionalFormatting sqref="I193:K194 M193:O194">
    <cfRule type="cellIs" dxfId="8351" priority="1812" stopIfTrue="1" operator="lessThan">
      <formula>0</formula>
    </cfRule>
  </conditionalFormatting>
  <conditionalFormatting sqref="I193:K194 M193:O194">
    <cfRule type="cellIs" dxfId="8350" priority="1809" stopIfTrue="1" operator="equal">
      <formula>"Pass"</formula>
    </cfRule>
    <cfRule type="cellIs" dxfId="8349" priority="1810" stopIfTrue="1" operator="equal">
      <formula>"please check"</formula>
    </cfRule>
  </conditionalFormatting>
  <conditionalFormatting sqref="I197:K198 M197:O198">
    <cfRule type="cellIs" dxfId="8348" priority="1808" stopIfTrue="1" operator="lessThan">
      <formula>0</formula>
    </cfRule>
  </conditionalFormatting>
  <conditionalFormatting sqref="I197:K198 M197:O198">
    <cfRule type="cellIs" dxfId="8347" priority="1805" stopIfTrue="1" operator="equal">
      <formula>"Pass"</formula>
    </cfRule>
    <cfRule type="cellIs" dxfId="8346" priority="1806" stopIfTrue="1" operator="equal">
      <formula>"please check"</formula>
    </cfRule>
  </conditionalFormatting>
  <conditionalFormatting sqref="I201:K202 M201:O202">
    <cfRule type="cellIs" dxfId="8345" priority="1804" stopIfTrue="1" operator="lessThan">
      <formula>0</formula>
    </cfRule>
  </conditionalFormatting>
  <conditionalFormatting sqref="I201:K202 M201:O202">
    <cfRule type="cellIs" dxfId="8344" priority="1801" stopIfTrue="1" operator="equal">
      <formula>"Pass"</formula>
    </cfRule>
    <cfRule type="cellIs" dxfId="8343" priority="1802" stopIfTrue="1" operator="equal">
      <formula>"please check"</formula>
    </cfRule>
  </conditionalFormatting>
  <conditionalFormatting sqref="I205:K207 M205:O207">
    <cfRule type="cellIs" dxfId="8342" priority="1800" stopIfTrue="1" operator="lessThan">
      <formula>0</formula>
    </cfRule>
  </conditionalFormatting>
  <conditionalFormatting sqref="I205:K207 M205:O207">
    <cfRule type="cellIs" dxfId="8341" priority="1797" stopIfTrue="1" operator="equal">
      <formula>"Pass"</formula>
    </cfRule>
    <cfRule type="cellIs" dxfId="8340" priority="1798" stopIfTrue="1" operator="equal">
      <formula>"please check"</formula>
    </cfRule>
  </conditionalFormatting>
  <conditionalFormatting sqref="I210:K211 M210:O211">
    <cfRule type="cellIs" dxfId="8339" priority="1796" stopIfTrue="1" operator="lessThan">
      <formula>0</formula>
    </cfRule>
  </conditionalFormatting>
  <conditionalFormatting sqref="I210:K211 M210:O211">
    <cfRule type="cellIs" dxfId="8338" priority="1793" stopIfTrue="1" operator="equal">
      <formula>"Pass"</formula>
    </cfRule>
    <cfRule type="cellIs" dxfId="8337" priority="1794" stopIfTrue="1" operator="equal">
      <formula>"please check"</formula>
    </cfRule>
  </conditionalFormatting>
  <conditionalFormatting sqref="I214:K215 M214:O215">
    <cfRule type="cellIs" dxfId="8336" priority="1792" stopIfTrue="1" operator="lessThan">
      <formula>0</formula>
    </cfRule>
  </conditionalFormatting>
  <conditionalFormatting sqref="I214:K215 M214:O215">
    <cfRule type="cellIs" dxfId="8335" priority="1789" stopIfTrue="1" operator="equal">
      <formula>"Pass"</formula>
    </cfRule>
    <cfRule type="cellIs" dxfId="8334" priority="1790" stopIfTrue="1" operator="equal">
      <formula>"please check"</formula>
    </cfRule>
  </conditionalFormatting>
  <conditionalFormatting sqref="I218:K219 M218:O219">
    <cfRule type="cellIs" dxfId="8333" priority="1788" stopIfTrue="1" operator="lessThan">
      <formula>0</formula>
    </cfRule>
  </conditionalFormatting>
  <conditionalFormatting sqref="I218:K219 M218:O219">
    <cfRule type="cellIs" dxfId="8332" priority="1785" stopIfTrue="1" operator="equal">
      <formula>"Pass"</formula>
    </cfRule>
    <cfRule type="cellIs" dxfId="8331" priority="1786" stopIfTrue="1" operator="equal">
      <formula>"please check"</formula>
    </cfRule>
  </conditionalFormatting>
  <conditionalFormatting sqref="I222:K223 M222:O223">
    <cfRule type="cellIs" dxfId="8330" priority="1784" stopIfTrue="1" operator="lessThan">
      <formula>0</formula>
    </cfRule>
  </conditionalFormatting>
  <conditionalFormatting sqref="I222:K223 M222:O223">
    <cfRule type="cellIs" dxfId="8329" priority="1781" stopIfTrue="1" operator="equal">
      <formula>"Pass"</formula>
    </cfRule>
    <cfRule type="cellIs" dxfId="8328" priority="1782" stopIfTrue="1" operator="equal">
      <formula>"please check"</formula>
    </cfRule>
  </conditionalFormatting>
  <conditionalFormatting sqref="I226:K227 M226:O227">
    <cfRule type="cellIs" dxfId="8327" priority="1780" stopIfTrue="1" operator="lessThan">
      <formula>0</formula>
    </cfRule>
  </conditionalFormatting>
  <conditionalFormatting sqref="I226:K227 M226:O227">
    <cfRule type="cellIs" dxfId="8326" priority="1777" stopIfTrue="1" operator="equal">
      <formula>"Pass"</formula>
    </cfRule>
    <cfRule type="cellIs" dxfId="8325" priority="1778" stopIfTrue="1" operator="equal">
      <formula>"please check"</formula>
    </cfRule>
  </conditionalFormatting>
  <conditionalFormatting sqref="L193:L229">
    <cfRule type="cellIs" dxfId="8324" priority="1776" stopIfTrue="1" operator="lessThan">
      <formula>0</formula>
    </cfRule>
  </conditionalFormatting>
  <conditionalFormatting sqref="L193:L229">
    <cfRule type="cellIs" dxfId="8323" priority="1773" stopIfTrue="1" operator="equal">
      <formula>"Pass"</formula>
    </cfRule>
    <cfRule type="cellIs" dxfId="8322" priority="1774" stopIfTrue="1" operator="equal">
      <formula>"please check"</formula>
    </cfRule>
  </conditionalFormatting>
  <conditionalFormatting sqref="P193:P229">
    <cfRule type="cellIs" dxfId="8321" priority="1772" stopIfTrue="1" operator="lessThan">
      <formula>0</formula>
    </cfRule>
  </conditionalFormatting>
  <conditionalFormatting sqref="P193:P229">
    <cfRule type="cellIs" dxfId="8320" priority="1769" stopIfTrue="1" operator="equal">
      <formula>"Pass"</formula>
    </cfRule>
    <cfRule type="cellIs" dxfId="8319" priority="1770" stopIfTrue="1" operator="equal">
      <formula>"please check"</formula>
    </cfRule>
  </conditionalFormatting>
  <conditionalFormatting sqref="I236:K236 M236:O236">
    <cfRule type="cellIs" dxfId="8318" priority="1768" stopIfTrue="1" operator="lessThan">
      <formula>0</formula>
    </cfRule>
  </conditionalFormatting>
  <conditionalFormatting sqref="I236:K236 M236:O236">
    <cfRule type="cellIs" dxfId="8317" priority="1765" stopIfTrue="1" operator="equal">
      <formula>"Pass"</formula>
    </cfRule>
    <cfRule type="cellIs" dxfId="8316" priority="1766" stopIfTrue="1" operator="equal">
      <formula>"please check"</formula>
    </cfRule>
  </conditionalFormatting>
  <conditionalFormatting sqref="I238:K238 M238:O238">
    <cfRule type="cellIs" dxfId="8315" priority="1764" stopIfTrue="1" operator="lessThan">
      <formula>0</formula>
    </cfRule>
  </conditionalFormatting>
  <conditionalFormatting sqref="I238:K238 M238:O238">
    <cfRule type="cellIs" dxfId="8314" priority="1761" stopIfTrue="1" operator="equal">
      <formula>"Pass"</formula>
    </cfRule>
    <cfRule type="cellIs" dxfId="8313" priority="1762" stopIfTrue="1" operator="equal">
      <formula>"please check"</formula>
    </cfRule>
  </conditionalFormatting>
  <conditionalFormatting sqref="I240:K242 M240:O242">
    <cfRule type="cellIs" dxfId="8312" priority="1760" stopIfTrue="1" operator="lessThan">
      <formula>0</formula>
    </cfRule>
  </conditionalFormatting>
  <conditionalFormatting sqref="I240:K242 M240:O242">
    <cfRule type="cellIs" dxfId="8311" priority="1757" stopIfTrue="1" operator="equal">
      <formula>"Pass"</formula>
    </cfRule>
    <cfRule type="cellIs" dxfId="8310" priority="1758" stopIfTrue="1" operator="equal">
      <formula>"please check"</formula>
    </cfRule>
  </conditionalFormatting>
  <conditionalFormatting sqref="I244:K244 M244:O244">
    <cfRule type="cellIs" dxfId="8309" priority="1756" stopIfTrue="1" operator="lessThan">
      <formula>0</formula>
    </cfRule>
  </conditionalFormatting>
  <conditionalFormatting sqref="I244:K244 M244:O244">
    <cfRule type="cellIs" dxfId="8308" priority="1753" stopIfTrue="1" operator="equal">
      <formula>"Pass"</formula>
    </cfRule>
    <cfRule type="cellIs" dxfId="8307" priority="1754" stopIfTrue="1" operator="equal">
      <formula>"please check"</formula>
    </cfRule>
  </conditionalFormatting>
  <conditionalFormatting sqref="I246:K246 M246:O246">
    <cfRule type="cellIs" dxfId="8306" priority="1752" stopIfTrue="1" operator="lessThan">
      <formula>0</formula>
    </cfRule>
  </conditionalFormatting>
  <conditionalFormatting sqref="I246:K246 M246:O246">
    <cfRule type="cellIs" dxfId="8305" priority="1749" stopIfTrue="1" operator="equal">
      <formula>"Pass"</formula>
    </cfRule>
    <cfRule type="cellIs" dxfId="8304" priority="1750" stopIfTrue="1" operator="equal">
      <formula>"please check"</formula>
    </cfRule>
  </conditionalFormatting>
  <conditionalFormatting sqref="I248:K248 M248:O248">
    <cfRule type="cellIs" dxfId="8303" priority="1748" stopIfTrue="1" operator="lessThan">
      <formula>0</formula>
    </cfRule>
  </conditionalFormatting>
  <conditionalFormatting sqref="I248:K248 M248:O248">
    <cfRule type="cellIs" dxfId="8302" priority="1745" stopIfTrue="1" operator="equal">
      <formula>"Pass"</formula>
    </cfRule>
    <cfRule type="cellIs" dxfId="8301" priority="1746" stopIfTrue="1" operator="equal">
      <formula>"please check"</formula>
    </cfRule>
  </conditionalFormatting>
  <conditionalFormatting sqref="I251:K251 M251:O251">
    <cfRule type="cellIs" dxfId="8300" priority="1744" stopIfTrue="1" operator="lessThan">
      <formula>0</formula>
    </cfRule>
  </conditionalFormatting>
  <conditionalFormatting sqref="I251:K251 M251:O251">
    <cfRule type="cellIs" dxfId="8299" priority="1741" stopIfTrue="1" operator="equal">
      <formula>"Pass"</formula>
    </cfRule>
    <cfRule type="cellIs" dxfId="8298" priority="1742" stopIfTrue="1" operator="equal">
      <formula>"please check"</formula>
    </cfRule>
  </conditionalFormatting>
  <conditionalFormatting sqref="I253:K253 M253:O253">
    <cfRule type="cellIs" dxfId="8297" priority="1740" stopIfTrue="1" operator="lessThan">
      <formula>0</formula>
    </cfRule>
  </conditionalFormatting>
  <conditionalFormatting sqref="I253:K253 M253:O253">
    <cfRule type="cellIs" dxfId="8296" priority="1737" stopIfTrue="1" operator="equal">
      <formula>"Pass"</formula>
    </cfRule>
    <cfRule type="cellIs" dxfId="8295" priority="1738" stopIfTrue="1" operator="equal">
      <formula>"please check"</formula>
    </cfRule>
  </conditionalFormatting>
  <conditionalFormatting sqref="H236:H254">
    <cfRule type="cellIs" dxfId="8294" priority="1736" stopIfTrue="1" operator="lessThan">
      <formula>0</formula>
    </cfRule>
  </conditionalFormatting>
  <conditionalFormatting sqref="H236:H254">
    <cfRule type="cellIs" dxfId="8293" priority="1733" stopIfTrue="1" operator="equal">
      <formula>"Pass"</formula>
    </cfRule>
    <cfRule type="cellIs" dxfId="8292" priority="1734" stopIfTrue="1" operator="equal">
      <formula>"please check"</formula>
    </cfRule>
  </conditionalFormatting>
  <conditionalFormatting sqref="L236:L254">
    <cfRule type="cellIs" dxfId="8291" priority="1732" stopIfTrue="1" operator="lessThan">
      <formula>0</formula>
    </cfRule>
  </conditionalFormatting>
  <conditionalFormatting sqref="L236:L254">
    <cfRule type="cellIs" dxfId="8290" priority="1729" stopIfTrue="1" operator="equal">
      <formula>"Pass"</formula>
    </cfRule>
    <cfRule type="cellIs" dxfId="8289" priority="1730" stopIfTrue="1" operator="equal">
      <formula>"please check"</formula>
    </cfRule>
  </conditionalFormatting>
  <conditionalFormatting sqref="P236:P254">
    <cfRule type="cellIs" dxfId="8288" priority="1728" stopIfTrue="1" operator="lessThan">
      <formula>0</formula>
    </cfRule>
  </conditionalFormatting>
  <conditionalFormatting sqref="P236:P254">
    <cfRule type="cellIs" dxfId="8287" priority="1725" stopIfTrue="1" operator="equal">
      <formula>"Pass"</formula>
    </cfRule>
    <cfRule type="cellIs" dxfId="8286" priority="1726" stopIfTrue="1" operator="equal">
      <formula>"please check"</formula>
    </cfRule>
  </conditionalFormatting>
  <conditionalFormatting sqref="H261:K264 M261:N264">
    <cfRule type="cellIs" dxfId="8285" priority="1724" stopIfTrue="1" operator="lessThan">
      <formula>0</formula>
    </cfRule>
  </conditionalFormatting>
  <conditionalFormatting sqref="H261:K264 M261:N264">
    <cfRule type="cellIs" dxfId="8284" priority="1721" stopIfTrue="1" operator="equal">
      <formula>"Pass"</formula>
    </cfRule>
    <cfRule type="cellIs" dxfId="8283" priority="1722" stopIfTrue="1" operator="equal">
      <formula>"please check"</formula>
    </cfRule>
  </conditionalFormatting>
  <conditionalFormatting sqref="L261:L271">
    <cfRule type="cellIs" dxfId="8282" priority="1720" stopIfTrue="1" operator="lessThan">
      <formula>0</formula>
    </cfRule>
  </conditionalFormatting>
  <conditionalFormatting sqref="L261:L271">
    <cfRule type="cellIs" dxfId="8281" priority="1717" stopIfTrue="1" operator="equal">
      <formula>"Pass"</formula>
    </cfRule>
    <cfRule type="cellIs" dxfId="8280" priority="1718" stopIfTrue="1" operator="equal">
      <formula>"please check"</formula>
    </cfRule>
  </conditionalFormatting>
  <conditionalFormatting sqref="P262">
    <cfRule type="cellIs" dxfId="8279" priority="1685" stopIfTrue="1" operator="equal">
      <formula>"No"</formula>
    </cfRule>
    <cfRule type="cellIs" dxfId="8278" priority="1686" stopIfTrue="1" operator="equal">
      <formula>"Fail"</formula>
    </cfRule>
    <cfRule type="cellIs" dxfId="8277" priority="1687" stopIfTrue="1" operator="equal">
      <formula>"please check"</formula>
    </cfRule>
  </conditionalFormatting>
  <conditionalFormatting sqref="P262">
    <cfRule type="cellIs" dxfId="8276" priority="1684" stopIfTrue="1" operator="equal">
      <formula>"Pass"</formula>
    </cfRule>
  </conditionalFormatting>
  <conditionalFormatting sqref="P261">
    <cfRule type="cellIs" dxfId="8275" priority="1714" stopIfTrue="1" operator="equal">
      <formula>"No"</formula>
    </cfRule>
    <cfRule type="cellIs" dxfId="8274" priority="1715" stopIfTrue="1" operator="equal">
      <formula>"Fail"</formula>
    </cfRule>
    <cfRule type="cellIs" dxfId="8273" priority="1716" stopIfTrue="1" operator="equal">
      <formula>"please check"</formula>
    </cfRule>
  </conditionalFormatting>
  <conditionalFormatting sqref="P261">
    <cfRule type="cellIs" dxfId="8272" priority="1713" stopIfTrue="1" operator="equal">
      <formula>"Pass"</formula>
    </cfRule>
  </conditionalFormatting>
  <conditionalFormatting sqref="P263">
    <cfRule type="cellIs" dxfId="8271" priority="1710" stopIfTrue="1" operator="equal">
      <formula>"No"</formula>
    </cfRule>
    <cfRule type="cellIs" dxfId="8270" priority="1711" stopIfTrue="1" operator="equal">
      <formula>"Fail"</formula>
    </cfRule>
    <cfRule type="cellIs" dxfId="8269" priority="1712" stopIfTrue="1" operator="equal">
      <formula>"please check"</formula>
    </cfRule>
  </conditionalFormatting>
  <conditionalFormatting sqref="P263">
    <cfRule type="cellIs" dxfId="8268" priority="1709" stopIfTrue="1" operator="equal">
      <formula>"Pass"</formula>
    </cfRule>
  </conditionalFormatting>
  <conditionalFormatting sqref="P265">
    <cfRule type="cellIs" dxfId="8267" priority="1706" stopIfTrue="1" operator="equal">
      <formula>"No"</formula>
    </cfRule>
    <cfRule type="cellIs" dxfId="8266" priority="1707" stopIfTrue="1" operator="equal">
      <formula>"Fail"</formula>
    </cfRule>
    <cfRule type="cellIs" dxfId="8265" priority="1708" stopIfTrue="1" operator="equal">
      <formula>"please check"</formula>
    </cfRule>
  </conditionalFormatting>
  <conditionalFormatting sqref="P265">
    <cfRule type="cellIs" dxfId="8264" priority="1705" stopIfTrue="1" operator="equal">
      <formula>"Pass"</formula>
    </cfRule>
  </conditionalFormatting>
  <conditionalFormatting sqref="P265">
    <cfRule type="containsText" dxfId="8263" priority="1702" operator="containsText" text="Please check">
      <formula>NOT(ISERROR(SEARCH("Please check",P265)))</formula>
    </cfRule>
    <cfRule type="containsText" dxfId="8262" priority="1703" operator="containsText" text="Missing inputs">
      <formula>NOT(ISERROR(SEARCH("Missing inputs",P265)))</formula>
    </cfRule>
    <cfRule type="containsText" dxfId="8261" priority="1704" operator="containsText" text="OK">
      <formula>NOT(ISERROR(SEARCH("OK",P265)))</formula>
    </cfRule>
  </conditionalFormatting>
  <conditionalFormatting sqref="P269">
    <cfRule type="cellIs" dxfId="8260" priority="1699" stopIfTrue="1" operator="equal">
      <formula>"No"</formula>
    </cfRule>
    <cfRule type="cellIs" dxfId="8259" priority="1700" stopIfTrue="1" operator="equal">
      <formula>"Fail"</formula>
    </cfRule>
    <cfRule type="cellIs" dxfId="8258" priority="1701" stopIfTrue="1" operator="equal">
      <formula>"please check"</formula>
    </cfRule>
  </conditionalFormatting>
  <conditionalFormatting sqref="P269">
    <cfRule type="cellIs" dxfId="8257" priority="1698" stopIfTrue="1" operator="equal">
      <formula>"Pass"</formula>
    </cfRule>
  </conditionalFormatting>
  <conditionalFormatting sqref="P269">
    <cfRule type="containsText" dxfId="8256" priority="1695" operator="containsText" text="Please check">
      <formula>NOT(ISERROR(SEARCH("Please check",P269)))</formula>
    </cfRule>
    <cfRule type="containsText" dxfId="8255" priority="1696" operator="containsText" text="Missing inputs">
      <formula>NOT(ISERROR(SEARCH("Missing inputs",P269)))</formula>
    </cfRule>
    <cfRule type="containsText" dxfId="8254" priority="1697" operator="containsText" text="OK">
      <formula>NOT(ISERROR(SEARCH("OK",P269)))</formula>
    </cfRule>
  </conditionalFormatting>
  <conditionalFormatting sqref="P264">
    <cfRule type="cellIs" dxfId="8253" priority="1692" stopIfTrue="1" operator="equal">
      <formula>"No"</formula>
    </cfRule>
    <cfRule type="cellIs" dxfId="8252" priority="1693" stopIfTrue="1" operator="equal">
      <formula>"Fail"</formula>
    </cfRule>
    <cfRule type="cellIs" dxfId="8251" priority="1694" stopIfTrue="1" operator="equal">
      <formula>"please check"</formula>
    </cfRule>
  </conditionalFormatting>
  <conditionalFormatting sqref="P264">
    <cfRule type="cellIs" dxfId="8250" priority="1691" stopIfTrue="1" operator="equal">
      <formula>"Pass"</formula>
    </cfRule>
  </conditionalFormatting>
  <conditionalFormatting sqref="P264">
    <cfRule type="containsText" dxfId="8249" priority="1688" operator="containsText" text="Please check">
      <formula>NOT(ISERROR(SEARCH("Please check",P264)))</formula>
    </cfRule>
    <cfRule type="containsText" dxfId="8248" priority="1689" operator="containsText" text="Missing inputs">
      <formula>NOT(ISERROR(SEARCH("Missing inputs",P264)))</formula>
    </cfRule>
    <cfRule type="containsText" dxfId="8247" priority="1690" operator="containsText" text="OK">
      <formula>NOT(ISERROR(SEARCH("OK",P264)))</formula>
    </cfRule>
  </conditionalFormatting>
  <conditionalFormatting sqref="P267:P268">
    <cfRule type="cellIs" dxfId="8246" priority="1681" stopIfTrue="1" operator="equal">
      <formula>"No"</formula>
    </cfRule>
    <cfRule type="cellIs" dxfId="8245" priority="1682" stopIfTrue="1" operator="equal">
      <formula>"Fail"</formula>
    </cfRule>
    <cfRule type="cellIs" dxfId="8244" priority="1683" stopIfTrue="1" operator="equal">
      <formula>"please check"</formula>
    </cfRule>
  </conditionalFormatting>
  <conditionalFormatting sqref="P267:P268">
    <cfRule type="cellIs" dxfId="8243" priority="1680" stopIfTrue="1" operator="equal">
      <formula>"Pass"</formula>
    </cfRule>
  </conditionalFormatting>
  <conditionalFormatting sqref="P270:P271">
    <cfRule type="cellIs" dxfId="8242" priority="1677" stopIfTrue="1" operator="equal">
      <formula>"No"</formula>
    </cfRule>
    <cfRule type="cellIs" dxfId="8241" priority="1678" stopIfTrue="1" operator="equal">
      <formula>"Fail"</formula>
    </cfRule>
    <cfRule type="cellIs" dxfId="8240" priority="1679" stopIfTrue="1" operator="equal">
      <formula>"please check"</formula>
    </cfRule>
  </conditionalFormatting>
  <conditionalFormatting sqref="P270:P271">
    <cfRule type="cellIs" dxfId="8239" priority="1676" stopIfTrue="1" operator="equal">
      <formula>"Pass"</formula>
    </cfRule>
  </conditionalFormatting>
  <conditionalFormatting sqref="O259:P259">
    <cfRule type="cellIs" dxfId="8238" priority="1670" stopIfTrue="1" operator="equal">
      <formula>"Pass"</formula>
    </cfRule>
    <cfRule type="cellIs" dxfId="8237" priority="1671" stopIfTrue="1" operator="equal">
      <formula>"please check"</formula>
    </cfRule>
  </conditionalFormatting>
  <conditionalFormatting sqref="O259:P259">
    <cfRule type="cellIs" dxfId="8236" priority="1673" stopIfTrue="1" operator="equal">
      <formula>"Pass"</formula>
    </cfRule>
    <cfRule type="cellIs" dxfId="8235" priority="1674" stopIfTrue="1" operator="equal">
      <formula>"please check"</formula>
    </cfRule>
  </conditionalFormatting>
  <conditionalFormatting sqref="O264">
    <cfRule type="cellIs" dxfId="8234" priority="1655" stopIfTrue="1" operator="equal">
      <formula>"No"</formula>
    </cfRule>
    <cfRule type="cellIs" dxfId="8233" priority="1656" stopIfTrue="1" operator="equal">
      <formula>"Fail"</formula>
    </cfRule>
    <cfRule type="cellIs" dxfId="8232" priority="1657" stopIfTrue="1" operator="equal">
      <formula>"please check"</formula>
    </cfRule>
  </conditionalFormatting>
  <conditionalFormatting sqref="O264">
    <cfRule type="cellIs" dxfId="8231" priority="1654" stopIfTrue="1" operator="equal">
      <formula>"Pass"</formula>
    </cfRule>
  </conditionalFormatting>
  <conditionalFormatting sqref="O264">
    <cfRule type="containsText" dxfId="8230" priority="1651" operator="containsText" text="Please check">
      <formula>NOT(ISERROR(SEARCH("Please check",O264)))</formula>
    </cfRule>
    <cfRule type="containsText" dxfId="8229" priority="1652" operator="containsText" text="Missing inputs">
      <formula>NOT(ISERROR(SEARCH("Missing inputs",O264)))</formula>
    </cfRule>
    <cfRule type="containsText" dxfId="8228" priority="1653" operator="containsText" text="OK">
      <formula>NOT(ISERROR(SEARCH("OK",O264)))</formula>
    </cfRule>
  </conditionalFormatting>
  <conditionalFormatting sqref="O262">
    <cfRule type="cellIs" dxfId="8227" priority="1640" stopIfTrue="1" operator="equal">
      <formula>"No"</formula>
    </cfRule>
    <cfRule type="cellIs" dxfId="8226" priority="1641" stopIfTrue="1" operator="equal">
      <formula>"Fail"</formula>
    </cfRule>
    <cfRule type="cellIs" dxfId="8225" priority="1642" stopIfTrue="1" operator="equal">
      <formula>"please check"</formula>
    </cfRule>
  </conditionalFormatting>
  <conditionalFormatting sqref="O262">
    <cfRule type="cellIs" dxfId="8224" priority="1639" stopIfTrue="1" operator="equal">
      <formula>"Pass"</formula>
    </cfRule>
  </conditionalFormatting>
  <conditionalFormatting sqref="O261">
    <cfRule type="cellIs" dxfId="8223" priority="1648" stopIfTrue="1" operator="equal">
      <formula>"No"</formula>
    </cfRule>
    <cfRule type="cellIs" dxfId="8222" priority="1649" stopIfTrue="1" operator="equal">
      <formula>"Fail"</formula>
    </cfRule>
    <cfRule type="cellIs" dxfId="8221" priority="1650" stopIfTrue="1" operator="equal">
      <formula>"please check"</formula>
    </cfRule>
  </conditionalFormatting>
  <conditionalFormatting sqref="O261">
    <cfRule type="cellIs" dxfId="8220" priority="1647" stopIfTrue="1" operator="equal">
      <formula>"Pass"</formula>
    </cfRule>
  </conditionalFormatting>
  <conditionalFormatting sqref="O263">
    <cfRule type="cellIs" dxfId="8219" priority="1644" stopIfTrue="1" operator="equal">
      <formula>"No"</formula>
    </cfRule>
    <cfRule type="cellIs" dxfId="8218" priority="1645" stopIfTrue="1" operator="equal">
      <formula>"Fail"</formula>
    </cfRule>
    <cfRule type="cellIs" dxfId="8217" priority="1646" stopIfTrue="1" operator="equal">
      <formula>"please check"</formula>
    </cfRule>
  </conditionalFormatting>
  <conditionalFormatting sqref="O263">
    <cfRule type="cellIs" dxfId="8216" priority="1643" stopIfTrue="1" operator="equal">
      <formula>"Pass"</formula>
    </cfRule>
  </conditionalFormatting>
  <conditionalFormatting sqref="O265">
    <cfRule type="cellIs" dxfId="8215" priority="1636" stopIfTrue="1" operator="equal">
      <formula>"No"</formula>
    </cfRule>
    <cfRule type="cellIs" dxfId="8214" priority="1637" stopIfTrue="1" operator="equal">
      <formula>"Fail"</formula>
    </cfRule>
    <cfRule type="cellIs" dxfId="8213" priority="1638" stopIfTrue="1" operator="equal">
      <formula>"please check"</formula>
    </cfRule>
  </conditionalFormatting>
  <conditionalFormatting sqref="O265">
    <cfRule type="cellIs" dxfId="8212" priority="1635" stopIfTrue="1" operator="equal">
      <formula>"Pass"</formula>
    </cfRule>
  </conditionalFormatting>
  <conditionalFormatting sqref="O266:O267">
    <cfRule type="cellIs" dxfId="8211" priority="1632" stopIfTrue="1" operator="equal">
      <formula>"No"</formula>
    </cfRule>
    <cfRule type="cellIs" dxfId="8210" priority="1633" stopIfTrue="1" operator="equal">
      <formula>"Fail"</formula>
    </cfRule>
    <cfRule type="cellIs" dxfId="8209" priority="1634" stopIfTrue="1" operator="equal">
      <formula>"please check"</formula>
    </cfRule>
  </conditionalFormatting>
  <conditionalFormatting sqref="O266:O267">
    <cfRule type="cellIs" dxfId="8208" priority="1631" stopIfTrue="1" operator="equal">
      <formula>"Pass"</formula>
    </cfRule>
  </conditionalFormatting>
  <conditionalFormatting sqref="O268:O271">
    <cfRule type="cellIs" dxfId="8207" priority="1628" stopIfTrue="1" operator="equal">
      <formula>"No"</formula>
    </cfRule>
    <cfRule type="cellIs" dxfId="8206" priority="1629" stopIfTrue="1" operator="equal">
      <formula>"Fail"</formula>
    </cfRule>
    <cfRule type="cellIs" dxfId="8205" priority="1630" stopIfTrue="1" operator="equal">
      <formula>"please check"</formula>
    </cfRule>
  </conditionalFormatting>
  <conditionalFormatting sqref="O268:O271">
    <cfRule type="cellIs" dxfId="8204" priority="1627" stopIfTrue="1" operator="equal">
      <formula>"Pass"</formula>
    </cfRule>
  </conditionalFormatting>
  <conditionalFormatting sqref="P266">
    <cfRule type="cellIs" dxfId="8203" priority="1624" stopIfTrue="1" operator="equal">
      <formula>"No"</formula>
    </cfRule>
    <cfRule type="cellIs" dxfId="8202" priority="1625" stopIfTrue="1" operator="equal">
      <formula>"Fail"</formula>
    </cfRule>
    <cfRule type="cellIs" dxfId="8201" priority="1626" stopIfTrue="1" operator="equal">
      <formula>"please check"</formula>
    </cfRule>
  </conditionalFormatting>
  <conditionalFormatting sqref="P266">
    <cfRule type="cellIs" dxfId="8200" priority="1623" stopIfTrue="1" operator="equal">
      <formula>"Pass"</formula>
    </cfRule>
  </conditionalFormatting>
  <conditionalFormatting sqref="P266">
    <cfRule type="containsText" dxfId="8199" priority="1620" operator="containsText" text="Please check">
      <formula>NOT(ISERROR(SEARCH("Please check",P266)))</formula>
    </cfRule>
    <cfRule type="containsText" dxfId="8198" priority="1621" operator="containsText" text="Missing inputs">
      <formula>NOT(ISERROR(SEARCH("Missing inputs",P266)))</formula>
    </cfRule>
    <cfRule type="containsText" dxfId="8197" priority="1622" operator="containsText" text="OK">
      <formula>NOT(ISERROR(SEARCH("OK",P266)))</formula>
    </cfRule>
  </conditionalFormatting>
  <conditionalFormatting sqref="H273:P273 H279:P279">
    <cfRule type="cellIs" dxfId="8196" priority="1617" stopIfTrue="1" operator="equal">
      <formula>"Pass"</formula>
    </cfRule>
    <cfRule type="cellIs" dxfId="8195" priority="1618" stopIfTrue="1" operator="equal">
      <formula>"please check"</formula>
    </cfRule>
  </conditionalFormatting>
  <conditionalFormatting sqref="I275">
    <cfRule type="cellIs" dxfId="8194" priority="1614" stopIfTrue="1" operator="equal">
      <formula>"Pass"</formula>
    </cfRule>
    <cfRule type="cellIs" dxfId="8193" priority="1615" stopIfTrue="1" operator="equal">
      <formula>"please check"</formula>
    </cfRule>
  </conditionalFormatting>
  <conditionalFormatting sqref="K275:K276 M276">
    <cfRule type="cellIs" dxfId="8192" priority="1611" stopIfTrue="1" operator="equal">
      <formula>"Pass"</formula>
    </cfRule>
    <cfRule type="cellIs" dxfId="8191" priority="1612" stopIfTrue="1" operator="equal">
      <formula>"please check"</formula>
    </cfRule>
  </conditionalFormatting>
  <conditionalFormatting sqref="K277:L277">
    <cfRule type="cellIs" dxfId="8190" priority="1608" stopIfTrue="1" operator="equal">
      <formula>"Pass"</formula>
    </cfRule>
    <cfRule type="cellIs" dxfId="8189" priority="1609" stopIfTrue="1" operator="equal">
      <formula>"please check"</formula>
    </cfRule>
  </conditionalFormatting>
  <conditionalFormatting sqref="K274">
    <cfRule type="cellIs" dxfId="8188" priority="1605" stopIfTrue="1" operator="equal">
      <formula>"Pass"</formula>
    </cfRule>
    <cfRule type="cellIs" dxfId="8187" priority="1606" stopIfTrue="1" operator="equal">
      <formula>"please check"</formula>
    </cfRule>
  </conditionalFormatting>
  <conditionalFormatting sqref="K278:P278">
    <cfRule type="cellIs" dxfId="8186" priority="1604" stopIfTrue="1" operator="lessThan">
      <formula>0</formula>
    </cfRule>
  </conditionalFormatting>
  <conditionalFormatting sqref="K278:P278">
    <cfRule type="cellIs" dxfId="8185" priority="1601" stopIfTrue="1" operator="equal">
      <formula>"Pass"</formula>
    </cfRule>
    <cfRule type="cellIs" dxfId="8184" priority="1602" stopIfTrue="1" operator="equal">
      <formula>"please check"</formula>
    </cfRule>
  </conditionalFormatting>
  <conditionalFormatting sqref="N275:N276 P276">
    <cfRule type="cellIs" dxfId="8183" priority="1598" stopIfTrue="1" operator="equal">
      <formula>"Pass"</formula>
    </cfRule>
    <cfRule type="cellIs" dxfId="8182" priority="1599" stopIfTrue="1" operator="equal">
      <formula>"please check"</formula>
    </cfRule>
  </conditionalFormatting>
  <conditionalFormatting sqref="N277:O277">
    <cfRule type="cellIs" dxfId="8181" priority="1595" stopIfTrue="1" operator="equal">
      <formula>"Pass"</formula>
    </cfRule>
    <cfRule type="cellIs" dxfId="8180" priority="1596" stopIfTrue="1" operator="equal">
      <formula>"please check"</formula>
    </cfRule>
  </conditionalFormatting>
  <conditionalFormatting sqref="N274">
    <cfRule type="cellIs" dxfId="8179" priority="1592" stopIfTrue="1" operator="equal">
      <formula>"Pass"</formula>
    </cfRule>
    <cfRule type="cellIs" dxfId="8178" priority="1593" stopIfTrue="1" operator="equal">
      <formula>"please check"</formula>
    </cfRule>
  </conditionalFormatting>
  <conditionalFormatting sqref="R257:T258 T268 T270:T271 T261:T263 R274:T277">
    <cfRule type="cellIs" dxfId="8177" priority="1589" stopIfTrue="1" operator="equal">
      <formula>"Pass"</formula>
    </cfRule>
    <cfRule type="cellIs" dxfId="8176" priority="1590" stopIfTrue="1" operator="equal">
      <formula>"please check"</formula>
    </cfRule>
  </conditionalFormatting>
  <conditionalFormatting sqref="R272:T272 R231:T231 R256:T256">
    <cfRule type="cellIs" dxfId="8175" priority="1586" stopIfTrue="1" operator="equal">
      <formula>"Pass"</formula>
    </cfRule>
    <cfRule type="cellIs" dxfId="8174" priority="1587" stopIfTrue="1" operator="equal">
      <formula>"please check"</formula>
    </cfRule>
  </conditionalFormatting>
  <conditionalFormatting sqref="R193:T194">
    <cfRule type="cellIs" dxfId="8173" priority="1585" stopIfTrue="1" operator="lessThan">
      <formula>0</formula>
    </cfRule>
  </conditionalFormatting>
  <conditionalFormatting sqref="R193:T194">
    <cfRule type="cellIs" dxfId="8172" priority="1582" stopIfTrue="1" operator="equal">
      <formula>"Pass"</formula>
    </cfRule>
    <cfRule type="cellIs" dxfId="8171" priority="1583" stopIfTrue="1" operator="equal">
      <formula>"please check"</formula>
    </cfRule>
  </conditionalFormatting>
  <conditionalFormatting sqref="R197:T198">
    <cfRule type="cellIs" dxfId="8170" priority="1581" stopIfTrue="1" operator="lessThan">
      <formula>0</formula>
    </cfRule>
  </conditionalFormatting>
  <conditionalFormatting sqref="R197:T198">
    <cfRule type="cellIs" dxfId="8169" priority="1578" stopIfTrue="1" operator="equal">
      <formula>"Pass"</formula>
    </cfRule>
    <cfRule type="cellIs" dxfId="8168" priority="1579" stopIfTrue="1" operator="equal">
      <formula>"please check"</formula>
    </cfRule>
  </conditionalFormatting>
  <conditionalFormatting sqref="R201:T202">
    <cfRule type="cellIs" dxfId="8167" priority="1577" stopIfTrue="1" operator="lessThan">
      <formula>0</formula>
    </cfRule>
  </conditionalFormatting>
  <conditionalFormatting sqref="R201:T202">
    <cfRule type="cellIs" dxfId="8166" priority="1574" stopIfTrue="1" operator="equal">
      <formula>"Pass"</formula>
    </cfRule>
    <cfRule type="cellIs" dxfId="8165" priority="1575" stopIfTrue="1" operator="equal">
      <formula>"please check"</formula>
    </cfRule>
  </conditionalFormatting>
  <conditionalFormatting sqref="R205:T207">
    <cfRule type="cellIs" dxfId="8164" priority="1573" stopIfTrue="1" operator="lessThan">
      <formula>0</formula>
    </cfRule>
  </conditionalFormatting>
  <conditionalFormatting sqref="R205:T207">
    <cfRule type="cellIs" dxfId="8163" priority="1570" stopIfTrue="1" operator="equal">
      <formula>"Pass"</formula>
    </cfRule>
    <cfRule type="cellIs" dxfId="8162" priority="1571" stopIfTrue="1" operator="equal">
      <formula>"please check"</formula>
    </cfRule>
  </conditionalFormatting>
  <conditionalFormatting sqref="R210:T211">
    <cfRule type="cellIs" dxfId="8161" priority="1569" stopIfTrue="1" operator="lessThan">
      <formula>0</formula>
    </cfRule>
  </conditionalFormatting>
  <conditionalFormatting sqref="R210:T211">
    <cfRule type="cellIs" dxfId="8160" priority="1566" stopIfTrue="1" operator="equal">
      <formula>"Pass"</formula>
    </cfRule>
    <cfRule type="cellIs" dxfId="8159" priority="1567" stopIfTrue="1" operator="equal">
      <formula>"please check"</formula>
    </cfRule>
  </conditionalFormatting>
  <conditionalFormatting sqref="R214:T215">
    <cfRule type="cellIs" dxfId="8158" priority="1565" stopIfTrue="1" operator="lessThan">
      <formula>0</formula>
    </cfRule>
  </conditionalFormatting>
  <conditionalFormatting sqref="R214:T215">
    <cfRule type="cellIs" dxfId="8157" priority="1562" stopIfTrue="1" operator="equal">
      <formula>"Pass"</formula>
    </cfRule>
    <cfRule type="cellIs" dxfId="8156" priority="1563" stopIfTrue="1" operator="equal">
      <formula>"please check"</formula>
    </cfRule>
  </conditionalFormatting>
  <conditionalFormatting sqref="R218:T219">
    <cfRule type="cellIs" dxfId="8155" priority="1561" stopIfTrue="1" operator="lessThan">
      <formula>0</formula>
    </cfRule>
  </conditionalFormatting>
  <conditionalFormatting sqref="R218:T219">
    <cfRule type="cellIs" dxfId="8154" priority="1558" stopIfTrue="1" operator="equal">
      <formula>"Pass"</formula>
    </cfRule>
    <cfRule type="cellIs" dxfId="8153" priority="1559" stopIfTrue="1" operator="equal">
      <formula>"please check"</formula>
    </cfRule>
  </conditionalFormatting>
  <conditionalFormatting sqref="R222:T223">
    <cfRule type="cellIs" dxfId="8152" priority="1557" stopIfTrue="1" operator="lessThan">
      <formula>0</formula>
    </cfRule>
  </conditionalFormatting>
  <conditionalFormatting sqref="R222:T223">
    <cfRule type="cellIs" dxfId="8151" priority="1554" stopIfTrue="1" operator="equal">
      <formula>"Pass"</formula>
    </cfRule>
    <cfRule type="cellIs" dxfId="8150" priority="1555" stopIfTrue="1" operator="equal">
      <formula>"please check"</formula>
    </cfRule>
  </conditionalFormatting>
  <conditionalFormatting sqref="R226:T227">
    <cfRule type="cellIs" dxfId="8149" priority="1553" stopIfTrue="1" operator="lessThan">
      <formula>0</formula>
    </cfRule>
  </conditionalFormatting>
  <conditionalFormatting sqref="R226:T227">
    <cfRule type="cellIs" dxfId="8148" priority="1550" stopIfTrue="1" operator="equal">
      <formula>"Pass"</formula>
    </cfRule>
    <cfRule type="cellIs" dxfId="8147" priority="1551" stopIfTrue="1" operator="equal">
      <formula>"please check"</formula>
    </cfRule>
  </conditionalFormatting>
  <conditionalFormatting sqref="R236:T236">
    <cfRule type="cellIs" dxfId="8146" priority="1549" stopIfTrue="1" operator="lessThan">
      <formula>0</formula>
    </cfRule>
  </conditionalFormatting>
  <conditionalFormatting sqref="R236:T236">
    <cfRule type="cellIs" dxfId="8145" priority="1546" stopIfTrue="1" operator="equal">
      <formula>"Pass"</formula>
    </cfRule>
    <cfRule type="cellIs" dxfId="8144" priority="1547" stopIfTrue="1" operator="equal">
      <formula>"please check"</formula>
    </cfRule>
  </conditionalFormatting>
  <conditionalFormatting sqref="R240:T242">
    <cfRule type="cellIs" dxfId="8143" priority="1545" stopIfTrue="1" operator="lessThan">
      <formula>0</formula>
    </cfRule>
  </conditionalFormatting>
  <conditionalFormatting sqref="R240:T242">
    <cfRule type="cellIs" dxfId="8142" priority="1542" stopIfTrue="1" operator="equal">
      <formula>"Pass"</formula>
    </cfRule>
    <cfRule type="cellIs" dxfId="8141" priority="1543" stopIfTrue="1" operator="equal">
      <formula>"please check"</formula>
    </cfRule>
  </conditionalFormatting>
  <conditionalFormatting sqref="R244:T244">
    <cfRule type="cellIs" dxfId="8140" priority="1541" stopIfTrue="1" operator="lessThan">
      <formula>0</formula>
    </cfRule>
  </conditionalFormatting>
  <conditionalFormatting sqref="R244:T244">
    <cfRule type="cellIs" dxfId="8139" priority="1538" stopIfTrue="1" operator="equal">
      <formula>"Pass"</formula>
    </cfRule>
    <cfRule type="cellIs" dxfId="8138" priority="1539" stopIfTrue="1" operator="equal">
      <formula>"please check"</formula>
    </cfRule>
  </conditionalFormatting>
  <conditionalFormatting sqref="R246:T246">
    <cfRule type="cellIs" dxfId="8137" priority="1537" stopIfTrue="1" operator="lessThan">
      <formula>0</formula>
    </cfRule>
  </conditionalFormatting>
  <conditionalFormatting sqref="R246:T246">
    <cfRule type="cellIs" dxfId="8136" priority="1534" stopIfTrue="1" operator="equal">
      <formula>"Pass"</formula>
    </cfRule>
    <cfRule type="cellIs" dxfId="8135" priority="1535" stopIfTrue="1" operator="equal">
      <formula>"please check"</formula>
    </cfRule>
  </conditionalFormatting>
  <conditionalFormatting sqref="R248:T248">
    <cfRule type="cellIs" dxfId="8134" priority="1533" stopIfTrue="1" operator="lessThan">
      <formula>0</formula>
    </cfRule>
  </conditionalFormatting>
  <conditionalFormatting sqref="R248:T248">
    <cfRule type="cellIs" dxfId="8133" priority="1530" stopIfTrue="1" operator="equal">
      <formula>"Pass"</formula>
    </cfRule>
    <cfRule type="cellIs" dxfId="8132" priority="1531" stopIfTrue="1" operator="equal">
      <formula>"please check"</formula>
    </cfRule>
  </conditionalFormatting>
  <conditionalFormatting sqref="R251:T251">
    <cfRule type="cellIs" dxfId="8131" priority="1529" stopIfTrue="1" operator="lessThan">
      <formula>0</formula>
    </cfRule>
  </conditionalFormatting>
  <conditionalFormatting sqref="R251:T251">
    <cfRule type="cellIs" dxfId="8130" priority="1526" stopIfTrue="1" operator="equal">
      <formula>"Pass"</formula>
    </cfRule>
    <cfRule type="cellIs" dxfId="8129" priority="1527" stopIfTrue="1" operator="equal">
      <formula>"please check"</formula>
    </cfRule>
  </conditionalFormatting>
  <conditionalFormatting sqref="R253:T253">
    <cfRule type="cellIs" dxfId="8128" priority="1525" stopIfTrue="1" operator="lessThan">
      <formula>0</formula>
    </cfRule>
  </conditionalFormatting>
  <conditionalFormatting sqref="R253:T253">
    <cfRule type="cellIs" dxfId="8127" priority="1522" stopIfTrue="1" operator="equal">
      <formula>"Pass"</formula>
    </cfRule>
    <cfRule type="cellIs" dxfId="8126" priority="1523" stopIfTrue="1" operator="equal">
      <formula>"please check"</formula>
    </cfRule>
  </conditionalFormatting>
  <conditionalFormatting sqref="T262">
    <cfRule type="cellIs" dxfId="8125" priority="1484" stopIfTrue="1" operator="equal">
      <formula>"No"</formula>
    </cfRule>
    <cfRule type="cellIs" dxfId="8124" priority="1485" stopIfTrue="1" operator="equal">
      <formula>"Fail"</formula>
    </cfRule>
    <cfRule type="cellIs" dxfId="8123" priority="1486" stopIfTrue="1" operator="equal">
      <formula>"please check"</formula>
    </cfRule>
  </conditionalFormatting>
  <conditionalFormatting sqref="T262">
    <cfRule type="cellIs" dxfId="8122" priority="1483" stopIfTrue="1" operator="equal">
      <formula>"Pass"</formula>
    </cfRule>
  </conditionalFormatting>
  <conditionalFormatting sqref="S261">
    <cfRule type="cellIs" dxfId="8121" priority="1519" stopIfTrue="1" operator="equal">
      <formula>"No"</formula>
    </cfRule>
    <cfRule type="cellIs" dxfId="8120" priority="1520" stopIfTrue="1" operator="equal">
      <formula>"Fail"</formula>
    </cfRule>
    <cfRule type="cellIs" dxfId="8119" priority="1521" stopIfTrue="1" operator="equal">
      <formula>"please check"</formula>
    </cfRule>
  </conditionalFormatting>
  <conditionalFormatting sqref="S261">
    <cfRule type="cellIs" dxfId="8118" priority="1518" stopIfTrue="1" operator="equal">
      <formula>"Pass"</formula>
    </cfRule>
  </conditionalFormatting>
  <conditionalFormatting sqref="S263">
    <cfRule type="cellIs" dxfId="8117" priority="1515" stopIfTrue="1" operator="equal">
      <formula>"No"</formula>
    </cfRule>
    <cfRule type="cellIs" dxfId="8116" priority="1516" stopIfTrue="1" operator="equal">
      <formula>"Fail"</formula>
    </cfRule>
    <cfRule type="cellIs" dxfId="8115" priority="1517" stopIfTrue="1" operator="equal">
      <formula>"please check"</formula>
    </cfRule>
  </conditionalFormatting>
  <conditionalFormatting sqref="S263">
    <cfRule type="cellIs" dxfId="8114" priority="1514" stopIfTrue="1" operator="equal">
      <formula>"Pass"</formula>
    </cfRule>
  </conditionalFormatting>
  <conditionalFormatting sqref="S264">
    <cfRule type="cellIs" dxfId="8113" priority="1511" stopIfTrue="1" operator="equal">
      <formula>"No"</formula>
    </cfRule>
    <cfRule type="cellIs" dxfId="8112" priority="1512" stopIfTrue="1" operator="equal">
      <formula>"Fail"</formula>
    </cfRule>
    <cfRule type="cellIs" dxfId="8111" priority="1513" stopIfTrue="1" operator="equal">
      <formula>"please check"</formula>
    </cfRule>
  </conditionalFormatting>
  <conditionalFormatting sqref="S264">
    <cfRule type="cellIs" dxfId="8110" priority="1510" stopIfTrue="1" operator="equal">
      <formula>"Pass"</formula>
    </cfRule>
  </conditionalFormatting>
  <conditionalFormatting sqref="S264">
    <cfRule type="containsText" dxfId="8109" priority="1507" operator="containsText" text="Please check">
      <formula>NOT(ISERROR(SEARCH("Please check",S264)))</formula>
    </cfRule>
    <cfRule type="containsText" dxfId="8108" priority="1508" operator="containsText" text="Missing inputs">
      <formula>NOT(ISERROR(SEARCH("Missing inputs",S264)))</formula>
    </cfRule>
    <cfRule type="containsText" dxfId="8107" priority="1509" operator="containsText" text="OK">
      <formula>NOT(ISERROR(SEARCH("OK",S264)))</formula>
    </cfRule>
  </conditionalFormatting>
  <conditionalFormatting sqref="S262">
    <cfRule type="cellIs" dxfId="8106" priority="1504" stopIfTrue="1" operator="equal">
      <formula>"No"</formula>
    </cfRule>
    <cfRule type="cellIs" dxfId="8105" priority="1505" stopIfTrue="1" operator="equal">
      <formula>"Fail"</formula>
    </cfRule>
    <cfRule type="cellIs" dxfId="8104" priority="1506" stopIfTrue="1" operator="equal">
      <formula>"please check"</formula>
    </cfRule>
  </conditionalFormatting>
  <conditionalFormatting sqref="S262">
    <cfRule type="cellIs" dxfId="8103" priority="1503" stopIfTrue="1" operator="equal">
      <formula>"Pass"</formula>
    </cfRule>
  </conditionalFormatting>
  <conditionalFormatting sqref="S267:S268">
    <cfRule type="cellIs" dxfId="8102" priority="1500" stopIfTrue="1" operator="equal">
      <formula>"No"</formula>
    </cfRule>
    <cfRule type="cellIs" dxfId="8101" priority="1501" stopIfTrue="1" operator="equal">
      <formula>"Fail"</formula>
    </cfRule>
    <cfRule type="cellIs" dxfId="8100" priority="1502" stopIfTrue="1" operator="equal">
      <formula>"please check"</formula>
    </cfRule>
  </conditionalFormatting>
  <conditionalFormatting sqref="S267:S268">
    <cfRule type="cellIs" dxfId="8099" priority="1499" stopIfTrue="1" operator="equal">
      <formula>"Pass"</formula>
    </cfRule>
  </conditionalFormatting>
  <conditionalFormatting sqref="S270:S271">
    <cfRule type="cellIs" dxfId="8098" priority="1496" stopIfTrue="1" operator="equal">
      <formula>"No"</formula>
    </cfRule>
    <cfRule type="cellIs" dxfId="8097" priority="1497" stopIfTrue="1" operator="equal">
      <formula>"Fail"</formula>
    </cfRule>
    <cfRule type="cellIs" dxfId="8096" priority="1498" stopIfTrue="1" operator="equal">
      <formula>"please check"</formula>
    </cfRule>
  </conditionalFormatting>
  <conditionalFormatting sqref="S270:S271">
    <cfRule type="cellIs" dxfId="8095" priority="1495" stopIfTrue="1" operator="equal">
      <formula>"Pass"</formula>
    </cfRule>
  </conditionalFormatting>
  <conditionalFormatting sqref="T261">
    <cfRule type="cellIs" dxfId="8094" priority="1492" stopIfTrue="1" operator="equal">
      <formula>"No"</formula>
    </cfRule>
    <cfRule type="cellIs" dxfId="8093" priority="1493" stopIfTrue="1" operator="equal">
      <formula>"Fail"</formula>
    </cfRule>
    <cfRule type="cellIs" dxfId="8092" priority="1494" stopIfTrue="1" operator="equal">
      <formula>"please check"</formula>
    </cfRule>
  </conditionalFormatting>
  <conditionalFormatting sqref="T261">
    <cfRule type="cellIs" dxfId="8091" priority="1491" stopIfTrue="1" operator="equal">
      <formula>"Pass"</formula>
    </cfRule>
  </conditionalFormatting>
  <conditionalFormatting sqref="T263">
    <cfRule type="cellIs" dxfId="8090" priority="1488" stopIfTrue="1" operator="equal">
      <formula>"No"</formula>
    </cfRule>
    <cfRule type="cellIs" dxfId="8089" priority="1489" stopIfTrue="1" operator="equal">
      <formula>"Fail"</formula>
    </cfRule>
    <cfRule type="cellIs" dxfId="8088" priority="1490" stopIfTrue="1" operator="equal">
      <formula>"please check"</formula>
    </cfRule>
  </conditionalFormatting>
  <conditionalFormatting sqref="T263">
    <cfRule type="cellIs" dxfId="8087" priority="1487" stopIfTrue="1" operator="equal">
      <formula>"Pass"</formula>
    </cfRule>
  </conditionalFormatting>
  <conditionalFormatting sqref="T268">
    <cfRule type="cellIs" dxfId="8086" priority="1480" stopIfTrue="1" operator="equal">
      <formula>"No"</formula>
    </cfRule>
    <cfRule type="cellIs" dxfId="8085" priority="1481" stopIfTrue="1" operator="equal">
      <formula>"Fail"</formula>
    </cfRule>
    <cfRule type="cellIs" dxfId="8084" priority="1482" stopIfTrue="1" operator="equal">
      <formula>"please check"</formula>
    </cfRule>
  </conditionalFormatting>
  <conditionalFormatting sqref="T268">
    <cfRule type="cellIs" dxfId="8083" priority="1479" stopIfTrue="1" operator="equal">
      <formula>"Pass"</formula>
    </cfRule>
  </conditionalFormatting>
  <conditionalFormatting sqref="T270:T271">
    <cfRule type="cellIs" dxfId="8082" priority="1476" stopIfTrue="1" operator="equal">
      <formula>"No"</formula>
    </cfRule>
    <cfRule type="cellIs" dxfId="8081" priority="1477" stopIfTrue="1" operator="equal">
      <formula>"Fail"</formula>
    </cfRule>
    <cfRule type="cellIs" dxfId="8080" priority="1478" stopIfTrue="1" operator="equal">
      <formula>"please check"</formula>
    </cfRule>
  </conditionalFormatting>
  <conditionalFormatting sqref="T270:T271">
    <cfRule type="cellIs" dxfId="8079" priority="1475" stopIfTrue="1" operator="equal">
      <formula>"Pass"</formula>
    </cfRule>
  </conditionalFormatting>
  <conditionalFormatting sqref="S265">
    <cfRule type="cellIs" dxfId="8078" priority="1472" stopIfTrue="1" operator="equal">
      <formula>"No"</formula>
    </cfRule>
    <cfRule type="cellIs" dxfId="8077" priority="1473" stopIfTrue="1" operator="equal">
      <formula>"Fail"</formula>
    </cfRule>
    <cfRule type="cellIs" dxfId="8076" priority="1474" stopIfTrue="1" operator="equal">
      <formula>"please check"</formula>
    </cfRule>
  </conditionalFormatting>
  <conditionalFormatting sqref="S265">
    <cfRule type="cellIs" dxfId="8075" priority="1471" stopIfTrue="1" operator="equal">
      <formula>"Pass"</formula>
    </cfRule>
  </conditionalFormatting>
  <conditionalFormatting sqref="S265">
    <cfRule type="containsText" dxfId="8074" priority="1468" operator="containsText" text="Please check">
      <formula>NOT(ISERROR(SEARCH("Please check",S265)))</formula>
    </cfRule>
    <cfRule type="containsText" dxfId="8073" priority="1469" operator="containsText" text="Missing inputs">
      <formula>NOT(ISERROR(SEARCH("Missing inputs",S265)))</formula>
    </cfRule>
    <cfRule type="containsText" dxfId="8072" priority="1470" operator="containsText" text="OK">
      <formula>NOT(ISERROR(SEARCH("OK",S265)))</formula>
    </cfRule>
  </conditionalFormatting>
  <conditionalFormatting sqref="T264">
    <cfRule type="cellIs" dxfId="8071" priority="1467" stopIfTrue="1" operator="equal">
      <formula>"Pass"</formula>
    </cfRule>
  </conditionalFormatting>
  <conditionalFormatting sqref="T264">
    <cfRule type="cellIs" dxfId="8070" priority="1464" stopIfTrue="1" operator="equal">
      <formula>"No"</formula>
    </cfRule>
    <cfRule type="cellIs" dxfId="8069" priority="1465" stopIfTrue="1" operator="equal">
      <formula>"Fail"</formula>
    </cfRule>
    <cfRule type="cellIs" dxfId="8068" priority="1466" stopIfTrue="1" operator="equal">
      <formula>"please check"</formula>
    </cfRule>
  </conditionalFormatting>
  <conditionalFormatting sqref="T264">
    <cfRule type="containsText" dxfId="8067" priority="1461" operator="containsText" text="Please check">
      <formula>NOT(ISERROR(SEARCH("Please check",T264)))</formula>
    </cfRule>
    <cfRule type="containsText" dxfId="8066" priority="1462" operator="containsText" text="Missing inputs">
      <formula>NOT(ISERROR(SEARCH("Missing inputs",T264)))</formula>
    </cfRule>
    <cfRule type="containsText" dxfId="8065" priority="1463" operator="containsText" text="OK">
      <formula>NOT(ISERROR(SEARCH("OK",T264)))</formula>
    </cfRule>
  </conditionalFormatting>
  <conditionalFormatting sqref="S269">
    <cfRule type="cellIs" dxfId="8064" priority="1458" stopIfTrue="1" operator="equal">
      <formula>"No"</formula>
    </cfRule>
    <cfRule type="cellIs" dxfId="8063" priority="1459" stopIfTrue="1" operator="equal">
      <formula>"Fail"</formula>
    </cfRule>
    <cfRule type="cellIs" dxfId="8062" priority="1460" stopIfTrue="1" operator="equal">
      <formula>"please check"</formula>
    </cfRule>
  </conditionalFormatting>
  <conditionalFormatting sqref="S269">
    <cfRule type="cellIs" dxfId="8061" priority="1457" stopIfTrue="1" operator="equal">
      <formula>"Pass"</formula>
    </cfRule>
  </conditionalFormatting>
  <conditionalFormatting sqref="S269">
    <cfRule type="containsText" dxfId="8060" priority="1454" operator="containsText" text="Please check">
      <formula>NOT(ISERROR(SEARCH("Please check",S269)))</formula>
    </cfRule>
    <cfRule type="containsText" dxfId="8059" priority="1455" operator="containsText" text="Missing inputs">
      <formula>NOT(ISERROR(SEARCH("Missing inputs",S269)))</formula>
    </cfRule>
    <cfRule type="containsText" dxfId="8058" priority="1456" operator="containsText" text="OK">
      <formula>NOT(ISERROR(SEARCH("OK",S269)))</formula>
    </cfRule>
  </conditionalFormatting>
  <conditionalFormatting sqref="R264">
    <cfRule type="cellIs" dxfId="8057" priority="1451" stopIfTrue="1" operator="equal">
      <formula>"No"</formula>
    </cfRule>
    <cfRule type="cellIs" dxfId="8056" priority="1452" stopIfTrue="1" operator="equal">
      <formula>"Fail"</formula>
    </cfRule>
    <cfRule type="cellIs" dxfId="8055" priority="1453" stopIfTrue="1" operator="equal">
      <formula>"please check"</formula>
    </cfRule>
  </conditionalFormatting>
  <conditionalFormatting sqref="R264">
    <cfRule type="cellIs" dxfId="8054" priority="1450" stopIfTrue="1" operator="equal">
      <formula>"Pass"</formula>
    </cfRule>
  </conditionalFormatting>
  <conditionalFormatting sqref="R264">
    <cfRule type="containsText" dxfId="8053" priority="1447" operator="containsText" text="Please check">
      <formula>NOT(ISERROR(SEARCH("Please check",R264)))</formula>
    </cfRule>
    <cfRule type="containsText" dxfId="8052" priority="1448" operator="containsText" text="Missing inputs">
      <formula>NOT(ISERROR(SEARCH("Missing inputs",R264)))</formula>
    </cfRule>
    <cfRule type="containsText" dxfId="8051" priority="1449" operator="containsText" text="OK">
      <formula>NOT(ISERROR(SEARCH("OK",R264)))</formula>
    </cfRule>
  </conditionalFormatting>
  <conditionalFormatting sqref="R262">
    <cfRule type="cellIs" dxfId="8050" priority="1436" stopIfTrue="1" operator="equal">
      <formula>"No"</formula>
    </cfRule>
    <cfRule type="cellIs" dxfId="8049" priority="1437" stopIfTrue="1" operator="equal">
      <formula>"Fail"</formula>
    </cfRule>
    <cfRule type="cellIs" dxfId="8048" priority="1438" stopIfTrue="1" operator="equal">
      <formula>"please check"</formula>
    </cfRule>
  </conditionalFormatting>
  <conditionalFormatting sqref="R262">
    <cfRule type="cellIs" dxfId="8047" priority="1435" stopIfTrue="1" operator="equal">
      <formula>"Pass"</formula>
    </cfRule>
  </conditionalFormatting>
  <conditionalFormatting sqref="R261">
    <cfRule type="cellIs" dxfId="8046" priority="1444" stopIfTrue="1" operator="equal">
      <formula>"No"</formula>
    </cfRule>
    <cfRule type="cellIs" dxfId="8045" priority="1445" stopIfTrue="1" operator="equal">
      <formula>"Fail"</formula>
    </cfRule>
    <cfRule type="cellIs" dxfId="8044" priority="1446" stopIfTrue="1" operator="equal">
      <formula>"please check"</formula>
    </cfRule>
  </conditionalFormatting>
  <conditionalFormatting sqref="R261">
    <cfRule type="cellIs" dxfId="8043" priority="1443" stopIfTrue="1" operator="equal">
      <formula>"Pass"</formula>
    </cfRule>
  </conditionalFormatting>
  <conditionalFormatting sqref="R263">
    <cfRule type="cellIs" dxfId="8042" priority="1440" stopIfTrue="1" operator="equal">
      <formula>"No"</formula>
    </cfRule>
    <cfRule type="cellIs" dxfId="8041" priority="1441" stopIfTrue="1" operator="equal">
      <formula>"Fail"</formula>
    </cfRule>
    <cfRule type="cellIs" dxfId="8040" priority="1442" stopIfTrue="1" operator="equal">
      <formula>"please check"</formula>
    </cfRule>
  </conditionalFormatting>
  <conditionalFormatting sqref="R263">
    <cfRule type="cellIs" dxfId="8039" priority="1439" stopIfTrue="1" operator="equal">
      <formula>"Pass"</formula>
    </cfRule>
  </conditionalFormatting>
  <conditionalFormatting sqref="R265">
    <cfRule type="cellIs" dxfId="8038" priority="1432" stopIfTrue="1" operator="equal">
      <formula>"No"</formula>
    </cfRule>
    <cfRule type="cellIs" dxfId="8037" priority="1433" stopIfTrue="1" operator="equal">
      <formula>"Fail"</formula>
    </cfRule>
    <cfRule type="cellIs" dxfId="8036" priority="1434" stopIfTrue="1" operator="equal">
      <formula>"please check"</formula>
    </cfRule>
  </conditionalFormatting>
  <conditionalFormatting sqref="R265">
    <cfRule type="cellIs" dxfId="8035" priority="1431" stopIfTrue="1" operator="equal">
      <formula>"Pass"</formula>
    </cfRule>
  </conditionalFormatting>
  <conditionalFormatting sqref="R266:R267">
    <cfRule type="cellIs" dxfId="8034" priority="1428" stopIfTrue="1" operator="equal">
      <formula>"No"</formula>
    </cfRule>
    <cfRule type="cellIs" dxfId="8033" priority="1429" stopIfTrue="1" operator="equal">
      <formula>"Fail"</formula>
    </cfRule>
    <cfRule type="cellIs" dxfId="8032" priority="1430" stopIfTrue="1" operator="equal">
      <formula>"please check"</formula>
    </cfRule>
  </conditionalFormatting>
  <conditionalFormatting sqref="R266:R267">
    <cfRule type="cellIs" dxfId="8031" priority="1427" stopIfTrue="1" operator="equal">
      <formula>"Pass"</formula>
    </cfRule>
  </conditionalFormatting>
  <conditionalFormatting sqref="R268:R271">
    <cfRule type="cellIs" dxfId="8030" priority="1424" stopIfTrue="1" operator="equal">
      <formula>"No"</formula>
    </cfRule>
    <cfRule type="cellIs" dxfId="8029" priority="1425" stopIfTrue="1" operator="equal">
      <formula>"Fail"</formula>
    </cfRule>
    <cfRule type="cellIs" dxfId="8028" priority="1426" stopIfTrue="1" operator="equal">
      <formula>"please check"</formula>
    </cfRule>
  </conditionalFormatting>
  <conditionalFormatting sqref="R268:R271">
    <cfRule type="cellIs" dxfId="8027" priority="1423" stopIfTrue="1" operator="equal">
      <formula>"Pass"</formula>
    </cfRule>
  </conditionalFormatting>
  <conditionalFormatting sqref="S266">
    <cfRule type="cellIs" dxfId="8026" priority="1420" stopIfTrue="1" operator="equal">
      <formula>"No"</formula>
    </cfRule>
    <cfRule type="cellIs" dxfId="8025" priority="1421" stopIfTrue="1" operator="equal">
      <formula>"Fail"</formula>
    </cfRule>
    <cfRule type="cellIs" dxfId="8024" priority="1422" stopIfTrue="1" operator="equal">
      <formula>"please check"</formula>
    </cfRule>
  </conditionalFormatting>
  <conditionalFormatting sqref="S266">
    <cfRule type="cellIs" dxfId="8023" priority="1419" stopIfTrue="1" operator="equal">
      <formula>"Pass"</formula>
    </cfRule>
  </conditionalFormatting>
  <conditionalFormatting sqref="S266">
    <cfRule type="containsText" dxfId="8022" priority="1416" operator="containsText" text="Please check">
      <formula>NOT(ISERROR(SEARCH("Please check",S266)))</formula>
    </cfRule>
    <cfRule type="containsText" dxfId="8021" priority="1417" operator="containsText" text="Missing inputs">
      <formula>NOT(ISERROR(SEARCH("Missing inputs",S266)))</formula>
    </cfRule>
    <cfRule type="containsText" dxfId="8020" priority="1418" operator="containsText" text="OK">
      <formula>NOT(ISERROR(SEARCH("OK",S266)))</formula>
    </cfRule>
  </conditionalFormatting>
  <conditionalFormatting sqref="T265">
    <cfRule type="cellIs" dxfId="8019" priority="1415" stopIfTrue="1" operator="equal">
      <formula>"Pass"</formula>
    </cfRule>
  </conditionalFormatting>
  <conditionalFormatting sqref="T265">
    <cfRule type="cellIs" dxfId="8018" priority="1412" stopIfTrue="1" operator="equal">
      <formula>"No"</formula>
    </cfRule>
    <cfRule type="cellIs" dxfId="8017" priority="1413" stopIfTrue="1" operator="equal">
      <formula>"Fail"</formula>
    </cfRule>
    <cfRule type="cellIs" dxfId="8016" priority="1414" stopIfTrue="1" operator="equal">
      <formula>"please check"</formula>
    </cfRule>
  </conditionalFormatting>
  <conditionalFormatting sqref="T265">
    <cfRule type="containsText" dxfId="8015" priority="1409" operator="containsText" text="Please check">
      <formula>NOT(ISERROR(SEARCH("Please check",T265)))</formula>
    </cfRule>
    <cfRule type="containsText" dxfId="8014" priority="1410" operator="containsText" text="Missing inputs">
      <formula>NOT(ISERROR(SEARCH("Missing inputs",T265)))</formula>
    </cfRule>
    <cfRule type="containsText" dxfId="8013" priority="1411" operator="containsText" text="OK">
      <formula>NOT(ISERROR(SEARCH("OK",T265)))</formula>
    </cfRule>
  </conditionalFormatting>
  <conditionalFormatting sqref="T266">
    <cfRule type="cellIs" dxfId="8012" priority="1408" stopIfTrue="1" operator="equal">
      <formula>"Pass"</formula>
    </cfRule>
  </conditionalFormatting>
  <conditionalFormatting sqref="T266">
    <cfRule type="cellIs" dxfId="8011" priority="1405" stopIfTrue="1" operator="equal">
      <formula>"No"</formula>
    </cfRule>
    <cfRule type="cellIs" dxfId="8010" priority="1406" stopIfTrue="1" operator="equal">
      <formula>"Fail"</formula>
    </cfRule>
    <cfRule type="cellIs" dxfId="8009" priority="1407" stopIfTrue="1" operator="equal">
      <formula>"please check"</formula>
    </cfRule>
  </conditionalFormatting>
  <conditionalFormatting sqref="T266">
    <cfRule type="containsText" dxfId="8008" priority="1402" operator="containsText" text="Please check">
      <formula>NOT(ISERROR(SEARCH("Please check",T266)))</formula>
    </cfRule>
    <cfRule type="containsText" dxfId="8007" priority="1403" operator="containsText" text="Missing inputs">
      <formula>NOT(ISERROR(SEARCH("Missing inputs",T266)))</formula>
    </cfRule>
    <cfRule type="containsText" dxfId="8006" priority="1404" operator="containsText" text="OK">
      <formula>NOT(ISERROR(SEARCH("OK",T266)))</formula>
    </cfRule>
  </conditionalFormatting>
  <conditionalFormatting sqref="T267">
    <cfRule type="cellIs" dxfId="8005" priority="1401" stopIfTrue="1" operator="equal">
      <formula>"Pass"</formula>
    </cfRule>
  </conditionalFormatting>
  <conditionalFormatting sqref="T267">
    <cfRule type="cellIs" dxfId="8004" priority="1398" stopIfTrue="1" operator="equal">
      <formula>"No"</formula>
    </cfRule>
    <cfRule type="cellIs" dxfId="8003" priority="1399" stopIfTrue="1" operator="equal">
      <formula>"Fail"</formula>
    </cfRule>
    <cfRule type="cellIs" dxfId="8002" priority="1400" stopIfTrue="1" operator="equal">
      <formula>"please check"</formula>
    </cfRule>
  </conditionalFormatting>
  <conditionalFormatting sqref="T267">
    <cfRule type="containsText" dxfId="8001" priority="1395" operator="containsText" text="Please check">
      <formula>NOT(ISERROR(SEARCH("Please check",T267)))</formula>
    </cfRule>
    <cfRule type="containsText" dxfId="8000" priority="1396" operator="containsText" text="Missing inputs">
      <formula>NOT(ISERROR(SEARCH("Missing inputs",T267)))</formula>
    </cfRule>
    <cfRule type="containsText" dxfId="7999" priority="1397" operator="containsText" text="OK">
      <formula>NOT(ISERROR(SEARCH("OK",T267)))</formula>
    </cfRule>
  </conditionalFormatting>
  <conditionalFormatting sqref="T269">
    <cfRule type="cellIs" dxfId="7998" priority="1394" stopIfTrue="1" operator="equal">
      <formula>"Pass"</formula>
    </cfRule>
  </conditionalFormatting>
  <conditionalFormatting sqref="T269">
    <cfRule type="cellIs" dxfId="7997" priority="1391" stopIfTrue="1" operator="equal">
      <formula>"No"</formula>
    </cfRule>
    <cfRule type="cellIs" dxfId="7996" priority="1392" stopIfTrue="1" operator="equal">
      <formula>"Fail"</formula>
    </cfRule>
    <cfRule type="cellIs" dxfId="7995" priority="1393" stopIfTrue="1" operator="equal">
      <formula>"please check"</formula>
    </cfRule>
  </conditionalFormatting>
  <conditionalFormatting sqref="T269">
    <cfRule type="containsText" dxfId="7994" priority="1388" operator="containsText" text="Please check">
      <formula>NOT(ISERROR(SEARCH("Please check",T269)))</formula>
    </cfRule>
    <cfRule type="containsText" dxfId="7993" priority="1389" operator="containsText" text="Missing inputs">
      <formula>NOT(ISERROR(SEARCH("Missing inputs",T269)))</formula>
    </cfRule>
    <cfRule type="containsText" dxfId="7992" priority="1390" operator="containsText" text="OK">
      <formula>NOT(ISERROR(SEARCH("OK",T269)))</formula>
    </cfRule>
  </conditionalFormatting>
  <conditionalFormatting sqref="R273:T273 R278:T279">
    <cfRule type="cellIs" dxfId="7991" priority="1385" stopIfTrue="1" operator="equal">
      <formula>"Pass"</formula>
    </cfRule>
    <cfRule type="cellIs" dxfId="7990" priority="1386" stopIfTrue="1" operator="equal">
      <formula>"please check"</formula>
    </cfRule>
  </conditionalFormatting>
  <conditionalFormatting sqref="V257:AL258 X259:AL271 V270:W271 V266:W268 V259:W263">
    <cfRule type="cellIs" dxfId="7989" priority="1382" stopIfTrue="1" operator="equal">
      <formula>"Pass"</formula>
    </cfRule>
    <cfRule type="cellIs" dxfId="7988" priority="1383" stopIfTrue="1" operator="equal">
      <formula>"please check"</formula>
    </cfRule>
  </conditionalFormatting>
  <conditionalFormatting sqref="AG189:AL190 AF193 AF195:AF197 AF199:AF201 AF203:AF204 AF206 AF208:AF210 AF212:AF214 AF216:AF218 AF220:AF222 AF224:AF226 AF231:AL231 AF228:AF230 AG232:AL233">
    <cfRule type="cellIs" dxfId="7987" priority="1373" stopIfTrue="1" operator="equal">
      <formula>"Pass"</formula>
    </cfRule>
    <cfRule type="cellIs" dxfId="7986" priority="1374" stopIfTrue="1" operator="equal">
      <formula>"please check"</formula>
    </cfRule>
  </conditionalFormatting>
  <conditionalFormatting sqref="V272:AL272 V231:AE231 V256:AL256">
    <cfRule type="cellIs" dxfId="7985" priority="1379" stopIfTrue="1" operator="equal">
      <formula>"Pass"</formula>
    </cfRule>
    <cfRule type="cellIs" dxfId="7984" priority="1380" stopIfTrue="1" operator="equal">
      <formula>"please check"</formula>
    </cfRule>
  </conditionalFormatting>
  <conditionalFormatting sqref="AD189 AA191 AD192:AE192 AA192:AB192 AD191 AD232 AA234 AD235:AE235 AA235:AB235 AD234">
    <cfRule type="cellIs" dxfId="7983" priority="1376" stopIfTrue="1" operator="equal">
      <formula>"Pass"</formula>
    </cfRule>
    <cfRule type="cellIs" dxfId="7982" priority="1377" stopIfTrue="1" operator="equal">
      <formula>"please check"</formula>
    </cfRule>
  </conditionalFormatting>
  <conditionalFormatting sqref="AD190">
    <cfRule type="cellIs" dxfId="7981" priority="1370" stopIfTrue="1" operator="equal">
      <formula>"Pass"</formula>
    </cfRule>
    <cfRule type="cellIs" dxfId="7980" priority="1371" stopIfTrue="1" operator="equal">
      <formula>"please check"</formula>
    </cfRule>
  </conditionalFormatting>
  <conditionalFormatting sqref="V193:V229">
    <cfRule type="cellIs" dxfId="7979" priority="1369" stopIfTrue="1" operator="lessThan">
      <formula>0</formula>
    </cfRule>
  </conditionalFormatting>
  <conditionalFormatting sqref="V193:V229">
    <cfRule type="cellIs" dxfId="7978" priority="1366" stopIfTrue="1" operator="equal">
      <formula>"Pass"</formula>
    </cfRule>
    <cfRule type="cellIs" dxfId="7977" priority="1367" stopIfTrue="1" operator="equal">
      <formula>"please check"</formula>
    </cfRule>
  </conditionalFormatting>
  <conditionalFormatting sqref="W194:Y194 AA194:AC194 AE194:AF194">
    <cfRule type="cellIs" dxfId="7976" priority="1365" stopIfTrue="1" operator="lessThan">
      <formula>0</formula>
    </cfRule>
  </conditionalFormatting>
  <conditionalFormatting sqref="W194:Y194 AA194:AC194 AE194:AF194">
    <cfRule type="cellIs" dxfId="7975" priority="1362" stopIfTrue="1" operator="equal">
      <formula>"Pass"</formula>
    </cfRule>
    <cfRule type="cellIs" dxfId="7974" priority="1363" stopIfTrue="1" operator="equal">
      <formula>"please check"</formula>
    </cfRule>
  </conditionalFormatting>
  <conditionalFormatting sqref="W198:Y198 AE198:AF198 AA198:AC198">
    <cfRule type="cellIs" dxfId="7973" priority="1361" stopIfTrue="1" operator="lessThan">
      <formula>0</formula>
    </cfRule>
  </conditionalFormatting>
  <conditionalFormatting sqref="W198:Y198 AE198:AF198 AA198:AC198">
    <cfRule type="cellIs" dxfId="7972" priority="1358" stopIfTrue="1" operator="equal">
      <formula>"Pass"</formula>
    </cfRule>
    <cfRule type="cellIs" dxfId="7971" priority="1359" stopIfTrue="1" operator="equal">
      <formula>"please check"</formula>
    </cfRule>
  </conditionalFormatting>
  <conditionalFormatting sqref="W202:Y202 AA202:AC202 AE202:AF202">
    <cfRule type="cellIs" dxfId="7970" priority="1357" stopIfTrue="1" operator="lessThan">
      <formula>0</formula>
    </cfRule>
  </conditionalFormatting>
  <conditionalFormatting sqref="W202:Y202 AA202:AC202 AE202:AF202">
    <cfRule type="cellIs" dxfId="7969" priority="1354" stopIfTrue="1" operator="equal">
      <formula>"Pass"</formula>
    </cfRule>
    <cfRule type="cellIs" dxfId="7968" priority="1355" stopIfTrue="1" operator="equal">
      <formula>"please check"</formula>
    </cfRule>
  </conditionalFormatting>
  <conditionalFormatting sqref="W205:Y205 AA205:AC205 AE205:AF205">
    <cfRule type="cellIs" dxfId="7967" priority="1353" stopIfTrue="1" operator="lessThan">
      <formula>0</formula>
    </cfRule>
  </conditionalFormatting>
  <conditionalFormatting sqref="W205:Y205 AA205:AC205 AE205:AF205">
    <cfRule type="cellIs" dxfId="7966" priority="1350" stopIfTrue="1" operator="equal">
      <formula>"Pass"</formula>
    </cfRule>
    <cfRule type="cellIs" dxfId="7965" priority="1351" stopIfTrue="1" operator="equal">
      <formula>"please check"</formula>
    </cfRule>
  </conditionalFormatting>
  <conditionalFormatting sqref="W207:Y207 AA207:AC207 AE207:AF207">
    <cfRule type="cellIs" dxfId="7964" priority="1349" stopIfTrue="1" operator="lessThan">
      <formula>0</formula>
    </cfRule>
  </conditionalFormatting>
  <conditionalFormatting sqref="W207:Y207 AA207:AC207 AE207:AF207">
    <cfRule type="cellIs" dxfId="7963" priority="1346" stopIfTrue="1" operator="equal">
      <formula>"Pass"</formula>
    </cfRule>
    <cfRule type="cellIs" dxfId="7962" priority="1347" stopIfTrue="1" operator="equal">
      <formula>"please check"</formula>
    </cfRule>
  </conditionalFormatting>
  <conditionalFormatting sqref="W211:Y211 AA211:AC211 AE211:AF211">
    <cfRule type="cellIs" dxfId="7961" priority="1345" stopIfTrue="1" operator="lessThan">
      <formula>0</formula>
    </cfRule>
  </conditionalFormatting>
  <conditionalFormatting sqref="W211:Y211 AA211:AC211 AE211:AF211">
    <cfRule type="cellIs" dxfId="7960" priority="1342" stopIfTrue="1" operator="equal">
      <formula>"Pass"</formula>
    </cfRule>
    <cfRule type="cellIs" dxfId="7959" priority="1343" stopIfTrue="1" operator="equal">
      <formula>"please check"</formula>
    </cfRule>
  </conditionalFormatting>
  <conditionalFormatting sqref="W215:Y215 AA215:AC215 AE215:AF215">
    <cfRule type="cellIs" dxfId="7958" priority="1341" stopIfTrue="1" operator="lessThan">
      <formula>0</formula>
    </cfRule>
  </conditionalFormatting>
  <conditionalFormatting sqref="W215:Y215 AA215:AC215 AE215:AF215">
    <cfRule type="cellIs" dxfId="7957" priority="1338" stopIfTrue="1" operator="equal">
      <formula>"Pass"</formula>
    </cfRule>
    <cfRule type="cellIs" dxfId="7956" priority="1339" stopIfTrue="1" operator="equal">
      <formula>"please check"</formula>
    </cfRule>
  </conditionalFormatting>
  <conditionalFormatting sqref="W219:Y219 AA219:AC219 AE219:AF219">
    <cfRule type="cellIs" dxfId="7955" priority="1337" stopIfTrue="1" operator="lessThan">
      <formula>0</formula>
    </cfRule>
  </conditionalFormatting>
  <conditionalFormatting sqref="W219:Y219 AA219:AC219 AE219:AF219">
    <cfRule type="cellIs" dxfId="7954" priority="1334" stopIfTrue="1" operator="equal">
      <formula>"Pass"</formula>
    </cfRule>
    <cfRule type="cellIs" dxfId="7953" priority="1335" stopIfTrue="1" operator="equal">
      <formula>"please check"</formula>
    </cfRule>
  </conditionalFormatting>
  <conditionalFormatting sqref="W223:Y223 AA223:AC223 AE223:AF223">
    <cfRule type="cellIs" dxfId="7952" priority="1333" stopIfTrue="1" operator="lessThan">
      <formula>0</formula>
    </cfRule>
  </conditionalFormatting>
  <conditionalFormatting sqref="W223:Y223 AA223:AC223 AE223:AF223">
    <cfRule type="cellIs" dxfId="7951" priority="1330" stopIfTrue="1" operator="equal">
      <formula>"Pass"</formula>
    </cfRule>
    <cfRule type="cellIs" dxfId="7950" priority="1331" stopIfTrue="1" operator="equal">
      <formula>"please check"</formula>
    </cfRule>
  </conditionalFormatting>
  <conditionalFormatting sqref="W227:Y227 AA227:AC227 AE227:AF227">
    <cfRule type="cellIs" dxfId="7949" priority="1329" stopIfTrue="1" operator="lessThan">
      <formula>0</formula>
    </cfRule>
  </conditionalFormatting>
  <conditionalFormatting sqref="W227:Y227 AA227:AC227 AE227:AF227">
    <cfRule type="cellIs" dxfId="7948" priority="1326" stopIfTrue="1" operator="equal">
      <formula>"Pass"</formula>
    </cfRule>
    <cfRule type="cellIs" dxfId="7947" priority="1327" stopIfTrue="1" operator="equal">
      <formula>"please check"</formula>
    </cfRule>
  </conditionalFormatting>
  <conditionalFormatting sqref="Z193:Z229">
    <cfRule type="cellIs" dxfId="7946" priority="1325" stopIfTrue="1" operator="lessThan">
      <formula>0</formula>
    </cfRule>
  </conditionalFormatting>
  <conditionalFormatting sqref="Z193:Z229">
    <cfRule type="cellIs" dxfId="7945" priority="1322" stopIfTrue="1" operator="equal">
      <formula>"Pass"</formula>
    </cfRule>
    <cfRule type="cellIs" dxfId="7944" priority="1323" stopIfTrue="1" operator="equal">
      <formula>"please check"</formula>
    </cfRule>
  </conditionalFormatting>
  <conditionalFormatting sqref="AD193:AD229">
    <cfRule type="cellIs" dxfId="7943" priority="1321" stopIfTrue="1" operator="lessThan">
      <formula>0</formula>
    </cfRule>
  </conditionalFormatting>
  <conditionalFormatting sqref="AD193:AD229">
    <cfRule type="cellIs" dxfId="7942" priority="1318" stopIfTrue="1" operator="equal">
      <formula>"Pass"</formula>
    </cfRule>
    <cfRule type="cellIs" dxfId="7941" priority="1319" stopIfTrue="1" operator="equal">
      <formula>"please check"</formula>
    </cfRule>
  </conditionalFormatting>
  <conditionalFormatting sqref="V236:V254">
    <cfRule type="cellIs" dxfId="7940" priority="1317" stopIfTrue="1" operator="lessThan">
      <formula>0</formula>
    </cfRule>
  </conditionalFormatting>
  <conditionalFormatting sqref="V236:V254">
    <cfRule type="cellIs" dxfId="7939" priority="1314" stopIfTrue="1" operator="equal">
      <formula>"Pass"</formula>
    </cfRule>
    <cfRule type="cellIs" dxfId="7938" priority="1315" stopIfTrue="1" operator="equal">
      <formula>"please check"</formula>
    </cfRule>
  </conditionalFormatting>
  <conditionalFormatting sqref="W240:Y241">
    <cfRule type="cellIs" dxfId="7937" priority="1313" stopIfTrue="1" operator="lessThan">
      <formula>0</formula>
    </cfRule>
  </conditionalFormatting>
  <conditionalFormatting sqref="W240:Y241">
    <cfRule type="cellIs" dxfId="7936" priority="1310" stopIfTrue="1" operator="equal">
      <formula>"Pass"</formula>
    </cfRule>
    <cfRule type="cellIs" dxfId="7935" priority="1311" stopIfTrue="1" operator="equal">
      <formula>"please check"</formula>
    </cfRule>
  </conditionalFormatting>
  <conditionalFormatting sqref="Z236:Z254">
    <cfRule type="cellIs" dxfId="7934" priority="1309" stopIfTrue="1" operator="lessThan">
      <formula>0</formula>
    </cfRule>
  </conditionalFormatting>
  <conditionalFormatting sqref="Z236:Z254">
    <cfRule type="cellIs" dxfId="7933" priority="1306" stopIfTrue="1" operator="equal">
      <formula>"Pass"</formula>
    </cfRule>
    <cfRule type="cellIs" dxfId="7932" priority="1307" stopIfTrue="1" operator="equal">
      <formula>"please check"</formula>
    </cfRule>
  </conditionalFormatting>
  <conditionalFormatting sqref="AD236:AD239 AD242:AD254">
    <cfRule type="cellIs" dxfId="7931" priority="1305" stopIfTrue="1" operator="lessThan">
      <formula>0</formula>
    </cfRule>
  </conditionalFormatting>
  <conditionalFormatting sqref="AD236:AD239 AD242:AD254">
    <cfRule type="cellIs" dxfId="7930" priority="1302" stopIfTrue="1" operator="equal">
      <formula>"Pass"</formula>
    </cfRule>
    <cfRule type="cellIs" dxfId="7929" priority="1303" stopIfTrue="1" operator="equal">
      <formula>"please check"</formula>
    </cfRule>
  </conditionalFormatting>
  <conditionalFormatting sqref="AA240:AF241">
    <cfRule type="cellIs" dxfId="7928" priority="1301" stopIfTrue="1" operator="lessThan">
      <formula>0</formula>
    </cfRule>
  </conditionalFormatting>
  <conditionalFormatting sqref="AA240:AF241">
    <cfRule type="cellIs" dxfId="7927" priority="1298" stopIfTrue="1" operator="equal">
      <formula>"Pass"</formula>
    </cfRule>
    <cfRule type="cellIs" dxfId="7926" priority="1299" stopIfTrue="1" operator="equal">
      <formula>"please check"</formula>
    </cfRule>
  </conditionalFormatting>
  <conditionalFormatting sqref="AG191:AL191">
    <cfRule type="cellIs" dxfId="7925" priority="1292" stopIfTrue="1" operator="equal">
      <formula>"Pass"</formula>
    </cfRule>
    <cfRule type="cellIs" dxfId="7924" priority="1293" stopIfTrue="1" operator="equal">
      <formula>"please check"</formula>
    </cfRule>
  </conditionalFormatting>
  <conditionalFormatting sqref="AG191:AL191">
    <cfRule type="cellIs" dxfId="7923" priority="1295" stopIfTrue="1" operator="equal">
      <formula>"Pass"</formula>
    </cfRule>
    <cfRule type="cellIs" dxfId="7922" priority="1296" stopIfTrue="1" operator="equal">
      <formula>"please check"</formula>
    </cfRule>
  </conditionalFormatting>
  <conditionalFormatting sqref="AG227:AG230 AG193:AG225">
    <cfRule type="cellIs" dxfId="7921" priority="978" operator="equal">
      <formula>"""Missing Input"""</formula>
    </cfRule>
    <cfRule type="cellIs" dxfId="7920" priority="1289" stopIfTrue="1" operator="equal">
      <formula>"No"</formula>
    </cfRule>
    <cfRule type="cellIs" dxfId="7919" priority="1290" stopIfTrue="1" operator="equal">
      <formula>"Fail"</formula>
    </cfRule>
    <cfRule type="cellIs" dxfId="7918" priority="1291" stopIfTrue="1" operator="equal">
      <formula>"please check"</formula>
    </cfRule>
  </conditionalFormatting>
  <conditionalFormatting sqref="AL193:AL209 AL211:AL213 AL215:AL217 AL219:AL221 AI193:AJ225 AL223:AL229 AI227:AJ230 AG227:AG230 AG193:AG225">
    <cfRule type="cellIs" dxfId="7917" priority="1288" stopIfTrue="1" operator="equal">
      <formula>"Pass"</formula>
    </cfRule>
  </conditionalFormatting>
  <conditionalFormatting sqref="AG227:AG230 AG193:AG225">
    <cfRule type="containsText" dxfId="7916" priority="1285" operator="containsText" text="Please check">
      <formula>NOT(ISERROR(SEARCH("Please check",AG193)))</formula>
    </cfRule>
    <cfRule type="containsText" dxfId="7915" priority="1286" operator="containsText" text="Missing inputs">
      <formula>NOT(ISERROR(SEARCH("Missing inputs",AG193)))</formula>
    </cfRule>
    <cfRule type="containsText" dxfId="7914" priority="1287" operator="containsText" text="OK">
      <formula>NOT(ISERROR(SEARCH("OK",AG193)))</formula>
    </cfRule>
  </conditionalFormatting>
  <conditionalFormatting sqref="AH195:AH196 AH199:AH200 AL193:AL209 AL211:AL213 AL215:AL217 AL219:AL221 AH203:AH204 AH208:AH209 AH212:AH213 AH216:AH217 AH220:AH221 AH224:AH225 AH228:AH229 AI193:AJ225 AL223:AL229 AI227:AJ230">
    <cfRule type="cellIs" dxfId="7913" priority="1282" stopIfTrue="1" operator="equal">
      <formula>"No"</formula>
    </cfRule>
    <cfRule type="cellIs" dxfId="7912" priority="1283" stopIfTrue="1" operator="equal">
      <formula>"Fail"</formula>
    </cfRule>
    <cfRule type="cellIs" dxfId="7911" priority="1284" stopIfTrue="1" operator="equal">
      <formula>"please check"</formula>
    </cfRule>
  </conditionalFormatting>
  <conditionalFormatting sqref="AH195:AH196 AH199:AH200 AH203:AH204 AH208:AH209 AH212:AH213 AH216:AH217 AH220:AH221 AH224:AH225 AH228:AH229">
    <cfRule type="cellIs" dxfId="7910" priority="1281" stopIfTrue="1" operator="equal">
      <formula>"Pass"</formula>
    </cfRule>
  </conditionalFormatting>
  <conditionalFormatting sqref="AH195:AH196 AH199:AH200 AL193 AL197 AL201 AL206 AI193:AJ193 AI230:AJ230 AH203:AH204 AH208:AH209 AH212:AH213 AH216:AH217 AH220:AH221 AH224:AH225 AH228:AH229 AI197:AJ197 AI201:AJ201 AI206:AJ206 AI210:AJ210 AI214:AJ214 AI218:AJ218 AI222:AJ222">
    <cfRule type="containsText" dxfId="7909" priority="1278" operator="containsText" text="Please check">
      <formula>NOT(ISERROR(SEARCH("Please check",AH193)))</formula>
    </cfRule>
    <cfRule type="containsText" dxfId="7908" priority="1279" operator="containsText" text="Missing inputs">
      <formula>NOT(ISERROR(SEARCH("Missing inputs",AH193)))</formula>
    </cfRule>
    <cfRule type="containsText" dxfId="7907" priority="1280" operator="containsText" text="OK">
      <formula>NOT(ISERROR(SEARCH("OK",AH193)))</formula>
    </cfRule>
  </conditionalFormatting>
  <conditionalFormatting sqref="AH193:AH194">
    <cfRule type="cellIs" dxfId="7906" priority="1275" stopIfTrue="1" operator="equal">
      <formula>"No"</formula>
    </cfRule>
    <cfRule type="cellIs" dxfId="7905" priority="1276" stopIfTrue="1" operator="equal">
      <formula>"Fail"</formula>
    </cfRule>
    <cfRule type="cellIs" dxfId="7904" priority="1277" stopIfTrue="1" operator="equal">
      <formula>"please check"</formula>
    </cfRule>
  </conditionalFormatting>
  <conditionalFormatting sqref="AH193:AH194">
    <cfRule type="cellIs" dxfId="7903" priority="1274" stopIfTrue="1" operator="equal">
      <formula>"Pass"</formula>
    </cfRule>
  </conditionalFormatting>
  <conditionalFormatting sqref="AH197:AH198">
    <cfRule type="cellIs" dxfId="7902" priority="1271" stopIfTrue="1" operator="equal">
      <formula>"No"</formula>
    </cfRule>
    <cfRule type="cellIs" dxfId="7901" priority="1272" stopIfTrue="1" operator="equal">
      <formula>"Fail"</formula>
    </cfRule>
    <cfRule type="cellIs" dxfId="7900" priority="1273" stopIfTrue="1" operator="equal">
      <formula>"please check"</formula>
    </cfRule>
  </conditionalFormatting>
  <conditionalFormatting sqref="AH197:AH198">
    <cfRule type="cellIs" dxfId="7899" priority="1270" stopIfTrue="1" operator="equal">
      <formula>"Pass"</formula>
    </cfRule>
  </conditionalFormatting>
  <conditionalFormatting sqref="AH201:AH202">
    <cfRule type="cellIs" dxfId="7898" priority="1267" stopIfTrue="1" operator="equal">
      <formula>"No"</formula>
    </cfRule>
    <cfRule type="cellIs" dxfId="7897" priority="1268" stopIfTrue="1" operator="equal">
      <formula>"Fail"</formula>
    </cfRule>
    <cfRule type="cellIs" dxfId="7896" priority="1269" stopIfTrue="1" operator="equal">
      <formula>"please check"</formula>
    </cfRule>
  </conditionalFormatting>
  <conditionalFormatting sqref="AH201:AH202">
    <cfRule type="cellIs" dxfId="7895" priority="1266" stopIfTrue="1" operator="equal">
      <formula>"Pass"</formula>
    </cfRule>
  </conditionalFormatting>
  <conditionalFormatting sqref="AH205:AH207">
    <cfRule type="cellIs" dxfId="7894" priority="1263" stopIfTrue="1" operator="equal">
      <formula>"No"</formula>
    </cfRule>
    <cfRule type="cellIs" dxfId="7893" priority="1264" stopIfTrue="1" operator="equal">
      <formula>"Fail"</formula>
    </cfRule>
    <cfRule type="cellIs" dxfId="7892" priority="1265" stopIfTrue="1" operator="equal">
      <formula>"please check"</formula>
    </cfRule>
  </conditionalFormatting>
  <conditionalFormatting sqref="AH205:AH207">
    <cfRule type="cellIs" dxfId="7891" priority="1262" stopIfTrue="1" operator="equal">
      <formula>"Pass"</formula>
    </cfRule>
  </conditionalFormatting>
  <conditionalFormatting sqref="AH210:AH211">
    <cfRule type="cellIs" dxfId="7890" priority="1259" stopIfTrue="1" operator="equal">
      <formula>"No"</formula>
    </cfRule>
    <cfRule type="cellIs" dxfId="7889" priority="1260" stopIfTrue="1" operator="equal">
      <formula>"Fail"</formula>
    </cfRule>
    <cfRule type="cellIs" dxfId="7888" priority="1261" stopIfTrue="1" operator="equal">
      <formula>"please check"</formula>
    </cfRule>
  </conditionalFormatting>
  <conditionalFormatting sqref="AH210:AH211">
    <cfRule type="cellIs" dxfId="7887" priority="1258" stopIfTrue="1" operator="equal">
      <formula>"Pass"</formula>
    </cfRule>
  </conditionalFormatting>
  <conditionalFormatting sqref="AH214:AH215">
    <cfRule type="cellIs" dxfId="7886" priority="1255" stopIfTrue="1" operator="equal">
      <formula>"No"</formula>
    </cfRule>
    <cfRule type="cellIs" dxfId="7885" priority="1256" stopIfTrue="1" operator="equal">
      <formula>"Fail"</formula>
    </cfRule>
    <cfRule type="cellIs" dxfId="7884" priority="1257" stopIfTrue="1" operator="equal">
      <formula>"please check"</formula>
    </cfRule>
  </conditionalFormatting>
  <conditionalFormatting sqref="AH214:AH215">
    <cfRule type="cellIs" dxfId="7883" priority="1254" stopIfTrue="1" operator="equal">
      <formula>"Pass"</formula>
    </cfRule>
  </conditionalFormatting>
  <conditionalFormatting sqref="AH218:AH219">
    <cfRule type="cellIs" dxfId="7882" priority="1251" stopIfTrue="1" operator="equal">
      <formula>"No"</formula>
    </cfRule>
    <cfRule type="cellIs" dxfId="7881" priority="1252" stopIfTrue="1" operator="equal">
      <formula>"Fail"</formula>
    </cfRule>
    <cfRule type="cellIs" dxfId="7880" priority="1253" stopIfTrue="1" operator="equal">
      <formula>"please check"</formula>
    </cfRule>
  </conditionalFormatting>
  <conditionalFormatting sqref="AH218:AH219">
    <cfRule type="cellIs" dxfId="7879" priority="1250" stopIfTrue="1" operator="equal">
      <formula>"Pass"</formula>
    </cfRule>
  </conditionalFormatting>
  <conditionalFormatting sqref="AH222:AH223">
    <cfRule type="cellIs" dxfId="7878" priority="1247" stopIfTrue="1" operator="equal">
      <formula>"No"</formula>
    </cfRule>
    <cfRule type="cellIs" dxfId="7877" priority="1248" stopIfTrue="1" operator="equal">
      <formula>"Fail"</formula>
    </cfRule>
    <cfRule type="cellIs" dxfId="7876" priority="1249" stopIfTrue="1" operator="equal">
      <formula>"please check"</formula>
    </cfRule>
  </conditionalFormatting>
  <conditionalFormatting sqref="AH222:AH223">
    <cfRule type="cellIs" dxfId="7875" priority="1246" stopIfTrue="1" operator="equal">
      <formula>"Pass"</formula>
    </cfRule>
  </conditionalFormatting>
  <conditionalFormatting sqref="AH227">
    <cfRule type="cellIs" dxfId="7874" priority="1243" stopIfTrue="1" operator="equal">
      <formula>"No"</formula>
    </cfRule>
    <cfRule type="cellIs" dxfId="7873" priority="1244" stopIfTrue="1" operator="equal">
      <formula>"Fail"</formula>
    </cfRule>
    <cfRule type="cellIs" dxfId="7872" priority="1245" stopIfTrue="1" operator="equal">
      <formula>"please check"</formula>
    </cfRule>
  </conditionalFormatting>
  <conditionalFormatting sqref="AH227">
    <cfRule type="cellIs" dxfId="7871" priority="1242" stopIfTrue="1" operator="equal">
      <formula>"Pass"</formula>
    </cfRule>
  </conditionalFormatting>
  <conditionalFormatting sqref="AH230">
    <cfRule type="cellIs" dxfId="7870" priority="1239" stopIfTrue="1" operator="equal">
      <formula>"No"</formula>
    </cfRule>
    <cfRule type="cellIs" dxfId="7869" priority="1240" stopIfTrue="1" operator="equal">
      <formula>"Fail"</formula>
    </cfRule>
    <cfRule type="cellIs" dxfId="7868" priority="1241" stopIfTrue="1" operator="equal">
      <formula>"please check"</formula>
    </cfRule>
  </conditionalFormatting>
  <conditionalFormatting sqref="AH230">
    <cfRule type="cellIs" dxfId="7867" priority="1238" stopIfTrue="1" operator="equal">
      <formula>"Pass"</formula>
    </cfRule>
  </conditionalFormatting>
  <conditionalFormatting sqref="AJ193 AJ197 AJ201 AJ206">
    <cfRule type="cellIs" dxfId="7866" priority="1235" stopIfTrue="1" operator="equal">
      <formula>"No"</formula>
    </cfRule>
    <cfRule type="cellIs" dxfId="7865" priority="1236" stopIfTrue="1" operator="equal">
      <formula>"Fail"</formula>
    </cfRule>
    <cfRule type="cellIs" dxfId="7864" priority="1237" stopIfTrue="1" operator="equal">
      <formula>"please check"</formula>
    </cfRule>
  </conditionalFormatting>
  <conditionalFormatting sqref="AJ193 AJ197 AJ201 AJ206">
    <cfRule type="cellIs" dxfId="7863" priority="1234" stopIfTrue="1" operator="equal">
      <formula>"Pass"</formula>
    </cfRule>
  </conditionalFormatting>
  <conditionalFormatting sqref="AJ193 AJ197 AJ201 AJ206">
    <cfRule type="containsText" dxfId="7862" priority="1231" operator="containsText" text="Please check">
      <formula>NOT(ISERROR(SEARCH("Please check",AJ193)))</formula>
    </cfRule>
    <cfRule type="containsText" dxfId="7861" priority="1232" operator="containsText" text="Missing inputs">
      <formula>NOT(ISERROR(SEARCH("Missing inputs",AJ193)))</formula>
    </cfRule>
    <cfRule type="containsText" dxfId="7860" priority="1233" operator="containsText" text="OK">
      <formula>NOT(ISERROR(SEARCH("OK",AJ193)))</formula>
    </cfRule>
  </conditionalFormatting>
  <conditionalFormatting sqref="AJ194:AJ196">
    <cfRule type="cellIs" dxfId="7859" priority="1228" stopIfTrue="1" operator="equal">
      <formula>"No"</formula>
    </cfRule>
    <cfRule type="cellIs" dxfId="7858" priority="1229" stopIfTrue="1" operator="equal">
      <formula>"Fail"</formula>
    </cfRule>
    <cfRule type="cellIs" dxfId="7857" priority="1230" stopIfTrue="1" operator="equal">
      <formula>"please check"</formula>
    </cfRule>
  </conditionalFormatting>
  <conditionalFormatting sqref="AJ194:AJ196">
    <cfRule type="cellIs" dxfId="7856" priority="1227" stopIfTrue="1" operator="equal">
      <formula>"Pass"</formula>
    </cfRule>
  </conditionalFormatting>
  <conditionalFormatting sqref="AJ198:AJ200">
    <cfRule type="cellIs" dxfId="7855" priority="1224" stopIfTrue="1" operator="equal">
      <formula>"No"</formula>
    </cfRule>
    <cfRule type="cellIs" dxfId="7854" priority="1225" stopIfTrue="1" operator="equal">
      <formula>"Fail"</formula>
    </cfRule>
    <cfRule type="cellIs" dxfId="7853" priority="1226" stopIfTrue="1" operator="equal">
      <formula>"please check"</formula>
    </cfRule>
  </conditionalFormatting>
  <conditionalFormatting sqref="AJ198:AJ200">
    <cfRule type="cellIs" dxfId="7852" priority="1223" stopIfTrue="1" operator="equal">
      <formula>"Pass"</formula>
    </cfRule>
  </conditionalFormatting>
  <conditionalFormatting sqref="AJ202:AJ204">
    <cfRule type="cellIs" dxfId="7851" priority="1220" stopIfTrue="1" operator="equal">
      <formula>"No"</formula>
    </cfRule>
    <cfRule type="cellIs" dxfId="7850" priority="1221" stopIfTrue="1" operator="equal">
      <formula>"Fail"</formula>
    </cfRule>
    <cfRule type="cellIs" dxfId="7849" priority="1222" stopIfTrue="1" operator="equal">
      <formula>"please check"</formula>
    </cfRule>
  </conditionalFormatting>
  <conditionalFormatting sqref="AJ202:AJ204">
    <cfRule type="cellIs" dxfId="7848" priority="1219" stopIfTrue="1" operator="equal">
      <formula>"Pass"</formula>
    </cfRule>
  </conditionalFormatting>
  <conditionalFormatting sqref="AJ205">
    <cfRule type="cellIs" dxfId="7847" priority="1216" stopIfTrue="1" operator="equal">
      <formula>"No"</formula>
    </cfRule>
    <cfRule type="cellIs" dxfId="7846" priority="1217" stopIfTrue="1" operator="equal">
      <formula>"Fail"</formula>
    </cfRule>
    <cfRule type="cellIs" dxfId="7845" priority="1218" stopIfTrue="1" operator="equal">
      <formula>"please check"</formula>
    </cfRule>
  </conditionalFormatting>
  <conditionalFormatting sqref="AJ205">
    <cfRule type="cellIs" dxfId="7844" priority="1215" stopIfTrue="1" operator="equal">
      <formula>"Pass"</formula>
    </cfRule>
  </conditionalFormatting>
  <conditionalFormatting sqref="AJ207:AJ209">
    <cfRule type="cellIs" dxfId="7843" priority="1212" stopIfTrue="1" operator="equal">
      <formula>"No"</formula>
    </cfRule>
    <cfRule type="cellIs" dxfId="7842" priority="1213" stopIfTrue="1" operator="equal">
      <formula>"Fail"</formula>
    </cfRule>
    <cfRule type="cellIs" dxfId="7841" priority="1214" stopIfTrue="1" operator="equal">
      <formula>"please check"</formula>
    </cfRule>
  </conditionalFormatting>
  <conditionalFormatting sqref="AJ207:AJ209">
    <cfRule type="cellIs" dxfId="7840" priority="1211" stopIfTrue="1" operator="equal">
      <formula>"Pass"</formula>
    </cfRule>
  </conditionalFormatting>
  <conditionalFormatting sqref="AJ210">
    <cfRule type="cellIs" dxfId="7839" priority="1208" stopIfTrue="1" operator="equal">
      <formula>"No"</formula>
    </cfRule>
    <cfRule type="cellIs" dxfId="7838" priority="1209" stopIfTrue="1" operator="equal">
      <formula>"Fail"</formula>
    </cfRule>
    <cfRule type="cellIs" dxfId="7837" priority="1210" stopIfTrue="1" operator="equal">
      <formula>"please check"</formula>
    </cfRule>
  </conditionalFormatting>
  <conditionalFormatting sqref="AJ210">
    <cfRule type="cellIs" dxfId="7836" priority="1207" stopIfTrue="1" operator="equal">
      <formula>"Pass"</formula>
    </cfRule>
  </conditionalFormatting>
  <conditionalFormatting sqref="AJ210">
    <cfRule type="containsText" dxfId="7835" priority="1204" operator="containsText" text="Please check">
      <formula>NOT(ISERROR(SEARCH("Please check",AJ210)))</formula>
    </cfRule>
    <cfRule type="containsText" dxfId="7834" priority="1205" operator="containsText" text="Missing inputs">
      <formula>NOT(ISERROR(SEARCH("Missing inputs",AJ210)))</formula>
    </cfRule>
    <cfRule type="containsText" dxfId="7833" priority="1206" operator="containsText" text="OK">
      <formula>NOT(ISERROR(SEARCH("OK",AJ210)))</formula>
    </cfRule>
  </conditionalFormatting>
  <conditionalFormatting sqref="AJ211:AJ213">
    <cfRule type="cellIs" dxfId="7832" priority="1201" stopIfTrue="1" operator="equal">
      <formula>"No"</formula>
    </cfRule>
    <cfRule type="cellIs" dxfId="7831" priority="1202" stopIfTrue="1" operator="equal">
      <formula>"Fail"</formula>
    </cfRule>
    <cfRule type="cellIs" dxfId="7830" priority="1203" stopIfTrue="1" operator="equal">
      <formula>"please check"</formula>
    </cfRule>
  </conditionalFormatting>
  <conditionalFormatting sqref="AJ211:AJ213">
    <cfRule type="cellIs" dxfId="7829" priority="1200" stopIfTrue="1" operator="equal">
      <formula>"Pass"</formula>
    </cfRule>
  </conditionalFormatting>
  <conditionalFormatting sqref="AJ214">
    <cfRule type="cellIs" dxfId="7828" priority="1197" stopIfTrue="1" operator="equal">
      <formula>"No"</formula>
    </cfRule>
    <cfRule type="cellIs" dxfId="7827" priority="1198" stopIfTrue="1" operator="equal">
      <formula>"Fail"</formula>
    </cfRule>
    <cfRule type="cellIs" dxfId="7826" priority="1199" stopIfTrue="1" operator="equal">
      <formula>"please check"</formula>
    </cfRule>
  </conditionalFormatting>
  <conditionalFormatting sqref="AJ214">
    <cfRule type="cellIs" dxfId="7825" priority="1196" stopIfTrue="1" operator="equal">
      <formula>"Pass"</formula>
    </cfRule>
  </conditionalFormatting>
  <conditionalFormatting sqref="AJ214">
    <cfRule type="containsText" dxfId="7824" priority="1193" operator="containsText" text="Please check">
      <formula>NOT(ISERROR(SEARCH("Please check",AJ214)))</formula>
    </cfRule>
    <cfRule type="containsText" dxfId="7823" priority="1194" operator="containsText" text="Missing inputs">
      <formula>NOT(ISERROR(SEARCH("Missing inputs",AJ214)))</formula>
    </cfRule>
    <cfRule type="containsText" dxfId="7822" priority="1195" operator="containsText" text="OK">
      <formula>NOT(ISERROR(SEARCH("OK",AJ214)))</formula>
    </cfRule>
  </conditionalFormatting>
  <conditionalFormatting sqref="AJ215:AJ217">
    <cfRule type="cellIs" dxfId="7821" priority="1190" stopIfTrue="1" operator="equal">
      <formula>"No"</formula>
    </cfRule>
    <cfRule type="cellIs" dxfId="7820" priority="1191" stopIfTrue="1" operator="equal">
      <formula>"Fail"</formula>
    </cfRule>
    <cfRule type="cellIs" dxfId="7819" priority="1192" stopIfTrue="1" operator="equal">
      <formula>"please check"</formula>
    </cfRule>
  </conditionalFormatting>
  <conditionalFormatting sqref="AJ215:AJ217">
    <cfRule type="cellIs" dxfId="7818" priority="1189" stopIfTrue="1" operator="equal">
      <formula>"Pass"</formula>
    </cfRule>
  </conditionalFormatting>
  <conditionalFormatting sqref="AJ218">
    <cfRule type="cellIs" dxfId="7817" priority="1186" stopIfTrue="1" operator="equal">
      <formula>"No"</formula>
    </cfRule>
    <cfRule type="cellIs" dxfId="7816" priority="1187" stopIfTrue="1" operator="equal">
      <formula>"Fail"</formula>
    </cfRule>
    <cfRule type="cellIs" dxfId="7815" priority="1188" stopIfTrue="1" operator="equal">
      <formula>"please check"</formula>
    </cfRule>
  </conditionalFormatting>
  <conditionalFormatting sqref="AJ218">
    <cfRule type="cellIs" dxfId="7814" priority="1185" stopIfTrue="1" operator="equal">
      <formula>"Pass"</formula>
    </cfRule>
  </conditionalFormatting>
  <conditionalFormatting sqref="AJ218">
    <cfRule type="containsText" dxfId="7813" priority="1182" operator="containsText" text="Please check">
      <formula>NOT(ISERROR(SEARCH("Please check",AJ218)))</formula>
    </cfRule>
    <cfRule type="containsText" dxfId="7812" priority="1183" operator="containsText" text="Missing inputs">
      <formula>NOT(ISERROR(SEARCH("Missing inputs",AJ218)))</formula>
    </cfRule>
    <cfRule type="containsText" dxfId="7811" priority="1184" operator="containsText" text="OK">
      <formula>NOT(ISERROR(SEARCH("OK",AJ218)))</formula>
    </cfRule>
  </conditionalFormatting>
  <conditionalFormatting sqref="AJ219:AJ221">
    <cfRule type="cellIs" dxfId="7810" priority="1179" stopIfTrue="1" operator="equal">
      <formula>"No"</formula>
    </cfRule>
    <cfRule type="cellIs" dxfId="7809" priority="1180" stopIfTrue="1" operator="equal">
      <formula>"Fail"</formula>
    </cfRule>
    <cfRule type="cellIs" dxfId="7808" priority="1181" stopIfTrue="1" operator="equal">
      <formula>"please check"</formula>
    </cfRule>
  </conditionalFormatting>
  <conditionalFormatting sqref="AJ219:AJ221">
    <cfRule type="cellIs" dxfId="7807" priority="1178" stopIfTrue="1" operator="equal">
      <formula>"Pass"</formula>
    </cfRule>
  </conditionalFormatting>
  <conditionalFormatting sqref="AJ222">
    <cfRule type="cellIs" dxfId="7806" priority="1175" stopIfTrue="1" operator="equal">
      <formula>"No"</formula>
    </cfRule>
    <cfRule type="cellIs" dxfId="7805" priority="1176" stopIfTrue="1" operator="equal">
      <formula>"Fail"</formula>
    </cfRule>
    <cfRule type="cellIs" dxfId="7804" priority="1177" stopIfTrue="1" operator="equal">
      <formula>"please check"</formula>
    </cfRule>
  </conditionalFormatting>
  <conditionalFormatting sqref="AJ222">
    <cfRule type="cellIs" dxfId="7803" priority="1174" stopIfTrue="1" operator="equal">
      <formula>"Pass"</formula>
    </cfRule>
  </conditionalFormatting>
  <conditionalFormatting sqref="AJ222">
    <cfRule type="containsText" dxfId="7802" priority="1171" operator="containsText" text="Please check">
      <formula>NOT(ISERROR(SEARCH("Please check",AJ222)))</formula>
    </cfRule>
    <cfRule type="containsText" dxfId="7801" priority="1172" operator="containsText" text="Missing inputs">
      <formula>NOT(ISERROR(SEARCH("Missing inputs",AJ222)))</formula>
    </cfRule>
    <cfRule type="containsText" dxfId="7800" priority="1173" operator="containsText" text="OK">
      <formula>NOT(ISERROR(SEARCH("OK",AJ222)))</formula>
    </cfRule>
  </conditionalFormatting>
  <conditionalFormatting sqref="AJ223:AJ225">
    <cfRule type="cellIs" dxfId="7799" priority="1168" stopIfTrue="1" operator="equal">
      <formula>"No"</formula>
    </cfRule>
    <cfRule type="cellIs" dxfId="7798" priority="1169" stopIfTrue="1" operator="equal">
      <formula>"Fail"</formula>
    </cfRule>
    <cfRule type="cellIs" dxfId="7797" priority="1170" stopIfTrue="1" operator="equal">
      <formula>"please check"</formula>
    </cfRule>
  </conditionalFormatting>
  <conditionalFormatting sqref="AJ223:AJ225">
    <cfRule type="cellIs" dxfId="7796" priority="1167" stopIfTrue="1" operator="equal">
      <formula>"Pass"</formula>
    </cfRule>
  </conditionalFormatting>
  <conditionalFormatting sqref="AJ227:AJ229">
    <cfRule type="cellIs" dxfId="7795" priority="1164" stopIfTrue="1" operator="equal">
      <formula>"No"</formula>
    </cfRule>
    <cfRule type="cellIs" dxfId="7794" priority="1165" stopIfTrue="1" operator="equal">
      <formula>"Fail"</formula>
    </cfRule>
    <cfRule type="cellIs" dxfId="7793" priority="1166" stopIfTrue="1" operator="equal">
      <formula>"please check"</formula>
    </cfRule>
  </conditionalFormatting>
  <conditionalFormatting sqref="AJ227:AJ229">
    <cfRule type="cellIs" dxfId="7792" priority="1163" stopIfTrue="1" operator="equal">
      <formula>"Pass"</formula>
    </cfRule>
  </conditionalFormatting>
  <conditionalFormatting sqref="AJ230">
    <cfRule type="cellIs" dxfId="7791" priority="1160" stopIfTrue="1" operator="equal">
      <formula>"No"</formula>
    </cfRule>
    <cfRule type="cellIs" dxfId="7790" priority="1161" stopIfTrue="1" operator="equal">
      <formula>"Fail"</formula>
    </cfRule>
    <cfRule type="cellIs" dxfId="7789" priority="1162" stopIfTrue="1" operator="equal">
      <formula>"please check"</formula>
    </cfRule>
  </conditionalFormatting>
  <conditionalFormatting sqref="AJ230">
    <cfRule type="cellIs" dxfId="7788" priority="1159" stopIfTrue="1" operator="equal">
      <formula>"Pass"</formula>
    </cfRule>
  </conditionalFormatting>
  <conditionalFormatting sqref="AJ230">
    <cfRule type="containsText" dxfId="7787" priority="1156" operator="containsText" text="Please check">
      <formula>NOT(ISERROR(SEARCH("Please check",AJ230)))</formula>
    </cfRule>
    <cfRule type="containsText" dxfId="7786" priority="1157" operator="containsText" text="Missing inputs">
      <formula>NOT(ISERROR(SEARCH("Missing inputs",AJ230)))</formula>
    </cfRule>
    <cfRule type="containsText" dxfId="7785" priority="1158" operator="containsText" text="OK">
      <formula>NOT(ISERROR(SEARCH("OK",AJ230)))</formula>
    </cfRule>
  </conditionalFormatting>
  <conditionalFormatting sqref="AK193 AK197 AK201 AK206">
    <cfRule type="cellIs" dxfId="7784" priority="1153" stopIfTrue="1" operator="equal">
      <formula>"No"</formula>
    </cfRule>
    <cfRule type="cellIs" dxfId="7783" priority="1154" stopIfTrue="1" operator="equal">
      <formula>"Fail"</formula>
    </cfRule>
    <cfRule type="cellIs" dxfId="7782" priority="1155" stopIfTrue="1" operator="equal">
      <formula>"please check"</formula>
    </cfRule>
  </conditionalFormatting>
  <conditionalFormatting sqref="AK193 AK197 AK201 AK206">
    <cfRule type="cellIs" dxfId="7781" priority="1152" stopIfTrue="1" operator="equal">
      <formula>"Pass"</formula>
    </cfRule>
  </conditionalFormatting>
  <conditionalFormatting sqref="AK193 AK197 AK201 AK206">
    <cfRule type="containsText" dxfId="7780" priority="1149" operator="containsText" text="Please check">
      <formula>NOT(ISERROR(SEARCH("Please check",AK193)))</formula>
    </cfRule>
    <cfRule type="containsText" dxfId="7779" priority="1150" operator="containsText" text="Missing inputs">
      <formula>NOT(ISERROR(SEARCH("Missing inputs",AK193)))</formula>
    </cfRule>
    <cfRule type="containsText" dxfId="7778" priority="1151" operator="containsText" text="OK">
      <formula>NOT(ISERROR(SEARCH("OK",AK193)))</formula>
    </cfRule>
  </conditionalFormatting>
  <conditionalFormatting sqref="AK194:AK196">
    <cfRule type="cellIs" dxfId="7777" priority="1146" stopIfTrue="1" operator="equal">
      <formula>"No"</formula>
    </cfRule>
    <cfRule type="cellIs" dxfId="7776" priority="1147" stopIfTrue="1" operator="equal">
      <formula>"Fail"</formula>
    </cfRule>
    <cfRule type="cellIs" dxfId="7775" priority="1148" stopIfTrue="1" operator="equal">
      <formula>"please check"</formula>
    </cfRule>
  </conditionalFormatting>
  <conditionalFormatting sqref="AK194:AK196">
    <cfRule type="cellIs" dxfId="7774" priority="1145" stopIfTrue="1" operator="equal">
      <formula>"Pass"</formula>
    </cfRule>
  </conditionalFormatting>
  <conditionalFormatting sqref="AK198:AK200">
    <cfRule type="cellIs" dxfId="7773" priority="1142" stopIfTrue="1" operator="equal">
      <formula>"No"</formula>
    </cfRule>
    <cfRule type="cellIs" dxfId="7772" priority="1143" stopIfTrue="1" operator="equal">
      <formula>"Fail"</formula>
    </cfRule>
    <cfRule type="cellIs" dxfId="7771" priority="1144" stopIfTrue="1" operator="equal">
      <formula>"please check"</formula>
    </cfRule>
  </conditionalFormatting>
  <conditionalFormatting sqref="AK198:AK200">
    <cfRule type="cellIs" dxfId="7770" priority="1141" stopIfTrue="1" operator="equal">
      <formula>"Pass"</formula>
    </cfRule>
  </conditionalFormatting>
  <conditionalFormatting sqref="AK202:AK204">
    <cfRule type="cellIs" dxfId="7769" priority="1138" stopIfTrue="1" operator="equal">
      <formula>"No"</formula>
    </cfRule>
    <cfRule type="cellIs" dxfId="7768" priority="1139" stopIfTrue="1" operator="equal">
      <formula>"Fail"</formula>
    </cfRule>
    <cfRule type="cellIs" dxfId="7767" priority="1140" stopIfTrue="1" operator="equal">
      <formula>"please check"</formula>
    </cfRule>
  </conditionalFormatting>
  <conditionalFormatting sqref="AK202:AK204">
    <cfRule type="cellIs" dxfId="7766" priority="1137" stopIfTrue="1" operator="equal">
      <formula>"Pass"</formula>
    </cfRule>
  </conditionalFormatting>
  <conditionalFormatting sqref="AK205">
    <cfRule type="cellIs" dxfId="7765" priority="1134" stopIfTrue="1" operator="equal">
      <formula>"No"</formula>
    </cfRule>
    <cfRule type="cellIs" dxfId="7764" priority="1135" stopIfTrue="1" operator="equal">
      <formula>"Fail"</formula>
    </cfRule>
    <cfRule type="cellIs" dxfId="7763" priority="1136" stopIfTrue="1" operator="equal">
      <formula>"please check"</formula>
    </cfRule>
  </conditionalFormatting>
  <conditionalFormatting sqref="AK205">
    <cfRule type="cellIs" dxfId="7762" priority="1133" stopIfTrue="1" operator="equal">
      <formula>"Pass"</formula>
    </cfRule>
  </conditionalFormatting>
  <conditionalFormatting sqref="AK207:AK209">
    <cfRule type="cellIs" dxfId="7761" priority="1130" stopIfTrue="1" operator="equal">
      <formula>"No"</formula>
    </cfRule>
    <cfRule type="cellIs" dxfId="7760" priority="1131" stopIfTrue="1" operator="equal">
      <formula>"Fail"</formula>
    </cfRule>
    <cfRule type="cellIs" dxfId="7759" priority="1132" stopIfTrue="1" operator="equal">
      <formula>"please check"</formula>
    </cfRule>
  </conditionalFormatting>
  <conditionalFormatting sqref="AK207:AK209">
    <cfRule type="cellIs" dxfId="7758" priority="1129" stopIfTrue="1" operator="equal">
      <formula>"Pass"</formula>
    </cfRule>
  </conditionalFormatting>
  <conditionalFormatting sqref="AK211:AK213">
    <cfRule type="cellIs" dxfId="7757" priority="1126" stopIfTrue="1" operator="equal">
      <formula>"No"</formula>
    </cfRule>
    <cfRule type="cellIs" dxfId="7756" priority="1127" stopIfTrue="1" operator="equal">
      <formula>"Fail"</formula>
    </cfRule>
    <cfRule type="cellIs" dxfId="7755" priority="1128" stopIfTrue="1" operator="equal">
      <formula>"please check"</formula>
    </cfRule>
  </conditionalFormatting>
  <conditionalFormatting sqref="AK211:AK213">
    <cfRule type="cellIs" dxfId="7754" priority="1125" stopIfTrue="1" operator="equal">
      <formula>"Pass"</formula>
    </cfRule>
  </conditionalFormatting>
  <conditionalFormatting sqref="AK215:AK217">
    <cfRule type="cellIs" dxfId="7753" priority="1122" stopIfTrue="1" operator="equal">
      <formula>"No"</formula>
    </cfRule>
    <cfRule type="cellIs" dxfId="7752" priority="1123" stopIfTrue="1" operator="equal">
      <formula>"Fail"</formula>
    </cfRule>
    <cfRule type="cellIs" dxfId="7751" priority="1124" stopIfTrue="1" operator="equal">
      <formula>"please check"</formula>
    </cfRule>
  </conditionalFormatting>
  <conditionalFormatting sqref="AK215:AK217">
    <cfRule type="cellIs" dxfId="7750" priority="1121" stopIfTrue="1" operator="equal">
      <formula>"Pass"</formula>
    </cfRule>
  </conditionalFormatting>
  <conditionalFormatting sqref="AK219:AK221">
    <cfRule type="cellIs" dxfId="7749" priority="1118" stopIfTrue="1" operator="equal">
      <formula>"No"</formula>
    </cfRule>
    <cfRule type="cellIs" dxfId="7748" priority="1119" stopIfTrue="1" operator="equal">
      <formula>"Fail"</formula>
    </cfRule>
    <cfRule type="cellIs" dxfId="7747" priority="1120" stopIfTrue="1" operator="equal">
      <formula>"please check"</formula>
    </cfRule>
  </conditionalFormatting>
  <conditionalFormatting sqref="AK219:AK221">
    <cfRule type="cellIs" dxfId="7746" priority="1117" stopIfTrue="1" operator="equal">
      <formula>"Pass"</formula>
    </cfRule>
  </conditionalFormatting>
  <conditionalFormatting sqref="AK227:AK229">
    <cfRule type="cellIs" dxfId="7745" priority="1110" stopIfTrue="1" operator="equal">
      <formula>"No"</formula>
    </cfRule>
    <cfRule type="cellIs" dxfId="7744" priority="1111" stopIfTrue="1" operator="equal">
      <formula>"Fail"</formula>
    </cfRule>
    <cfRule type="cellIs" dxfId="7743" priority="1112" stopIfTrue="1" operator="equal">
      <formula>"please check"</formula>
    </cfRule>
  </conditionalFormatting>
  <conditionalFormatting sqref="AK227:AK229">
    <cfRule type="cellIs" dxfId="7742" priority="1109" stopIfTrue="1" operator="equal">
      <formula>"Pass"</formula>
    </cfRule>
  </conditionalFormatting>
  <conditionalFormatting sqref="AK223:AK225">
    <cfRule type="cellIs" dxfId="7741" priority="1114" stopIfTrue="1" operator="equal">
      <formula>"No"</formula>
    </cfRule>
    <cfRule type="cellIs" dxfId="7740" priority="1115" stopIfTrue="1" operator="equal">
      <formula>"Fail"</formula>
    </cfRule>
    <cfRule type="cellIs" dxfId="7739" priority="1116" stopIfTrue="1" operator="equal">
      <formula>"please check"</formula>
    </cfRule>
  </conditionalFormatting>
  <conditionalFormatting sqref="AK223:AK225">
    <cfRule type="cellIs" dxfId="7738" priority="1113" stopIfTrue="1" operator="equal">
      <formula>"Pass"</formula>
    </cfRule>
  </conditionalFormatting>
  <conditionalFormatting sqref="AH236">
    <cfRule type="cellIs" dxfId="7737" priority="1106" stopIfTrue="1" operator="equal">
      <formula>"No"</formula>
    </cfRule>
    <cfRule type="cellIs" dxfId="7736" priority="1107" stopIfTrue="1" operator="equal">
      <formula>"Fail"</formula>
    </cfRule>
    <cfRule type="cellIs" dxfId="7735" priority="1108" stopIfTrue="1" operator="equal">
      <formula>"please check"</formula>
    </cfRule>
  </conditionalFormatting>
  <conditionalFormatting sqref="AH236">
    <cfRule type="cellIs" dxfId="7734" priority="1105" stopIfTrue="1" operator="equal">
      <formula>"Pass"</formula>
    </cfRule>
  </conditionalFormatting>
  <conditionalFormatting sqref="AH240:AH241">
    <cfRule type="cellIs" dxfId="7733" priority="1102" stopIfTrue="1" operator="equal">
      <formula>"No"</formula>
    </cfRule>
    <cfRule type="cellIs" dxfId="7732" priority="1103" stopIfTrue="1" operator="equal">
      <formula>"Fail"</formula>
    </cfRule>
    <cfRule type="cellIs" dxfId="7731" priority="1104" stopIfTrue="1" operator="equal">
      <formula>"please check"</formula>
    </cfRule>
  </conditionalFormatting>
  <conditionalFormatting sqref="AH240:AH241">
    <cfRule type="cellIs" dxfId="7730" priority="1101" stopIfTrue="1" operator="equal">
      <formula>"Pass"</formula>
    </cfRule>
  </conditionalFormatting>
  <conditionalFormatting sqref="AH244">
    <cfRule type="cellIs" dxfId="7729" priority="1098" stopIfTrue="1" operator="equal">
      <formula>"No"</formula>
    </cfRule>
    <cfRule type="cellIs" dxfId="7728" priority="1099" stopIfTrue="1" operator="equal">
      <formula>"Fail"</formula>
    </cfRule>
    <cfRule type="cellIs" dxfId="7727" priority="1100" stopIfTrue="1" operator="equal">
      <formula>"please check"</formula>
    </cfRule>
  </conditionalFormatting>
  <conditionalFormatting sqref="AH244">
    <cfRule type="cellIs" dxfId="7726" priority="1097" stopIfTrue="1" operator="equal">
      <formula>"Pass"</formula>
    </cfRule>
  </conditionalFormatting>
  <conditionalFormatting sqref="AH248">
    <cfRule type="cellIs" dxfId="7725" priority="1094" stopIfTrue="1" operator="equal">
      <formula>"No"</formula>
    </cfRule>
    <cfRule type="cellIs" dxfId="7724" priority="1095" stopIfTrue="1" operator="equal">
      <formula>"Fail"</formula>
    </cfRule>
    <cfRule type="cellIs" dxfId="7723" priority="1096" stopIfTrue="1" operator="equal">
      <formula>"please check"</formula>
    </cfRule>
  </conditionalFormatting>
  <conditionalFormatting sqref="AH248">
    <cfRule type="cellIs" dxfId="7722" priority="1093" stopIfTrue="1" operator="equal">
      <formula>"Pass"</formula>
    </cfRule>
  </conditionalFormatting>
  <conditionalFormatting sqref="AJ237 AJ239">
    <cfRule type="cellIs" dxfId="7721" priority="1090" stopIfTrue="1" operator="equal">
      <formula>"No"</formula>
    </cfRule>
    <cfRule type="cellIs" dxfId="7720" priority="1091" stopIfTrue="1" operator="equal">
      <formula>"Fail"</formula>
    </cfRule>
    <cfRule type="cellIs" dxfId="7719" priority="1092" stopIfTrue="1" operator="equal">
      <formula>"please check"</formula>
    </cfRule>
  </conditionalFormatting>
  <conditionalFormatting sqref="AJ237 AJ239">
    <cfRule type="cellIs" dxfId="7718" priority="1089" stopIfTrue="1" operator="equal">
      <formula>"Pass"</formula>
    </cfRule>
  </conditionalFormatting>
  <conditionalFormatting sqref="AJ241 AJ243">
    <cfRule type="cellIs" dxfId="7717" priority="1086" stopIfTrue="1" operator="equal">
      <formula>"No"</formula>
    </cfRule>
    <cfRule type="cellIs" dxfId="7716" priority="1087" stopIfTrue="1" operator="equal">
      <formula>"Fail"</formula>
    </cfRule>
    <cfRule type="cellIs" dxfId="7715" priority="1088" stopIfTrue="1" operator="equal">
      <formula>"please check"</formula>
    </cfRule>
  </conditionalFormatting>
  <conditionalFormatting sqref="AJ241 AJ243">
    <cfRule type="cellIs" dxfId="7714" priority="1085" stopIfTrue="1" operator="equal">
      <formula>"Pass"</formula>
    </cfRule>
  </conditionalFormatting>
  <conditionalFormatting sqref="AJ245 AJ247">
    <cfRule type="cellIs" dxfId="7713" priority="1082" stopIfTrue="1" operator="equal">
      <formula>"No"</formula>
    </cfRule>
    <cfRule type="cellIs" dxfId="7712" priority="1083" stopIfTrue="1" operator="equal">
      <formula>"Fail"</formula>
    </cfRule>
    <cfRule type="cellIs" dxfId="7711" priority="1084" stopIfTrue="1" operator="equal">
      <formula>"please check"</formula>
    </cfRule>
  </conditionalFormatting>
  <conditionalFormatting sqref="AJ245 AJ247">
    <cfRule type="cellIs" dxfId="7710" priority="1081" stopIfTrue="1" operator="equal">
      <formula>"Pass"</formula>
    </cfRule>
  </conditionalFormatting>
  <conditionalFormatting sqref="AK237 AK239">
    <cfRule type="cellIs" dxfId="7709" priority="1078" stopIfTrue="1" operator="equal">
      <formula>"No"</formula>
    </cfRule>
    <cfRule type="cellIs" dxfId="7708" priority="1079" stopIfTrue="1" operator="equal">
      <formula>"Fail"</formula>
    </cfRule>
    <cfRule type="cellIs" dxfId="7707" priority="1080" stopIfTrue="1" operator="equal">
      <formula>"please check"</formula>
    </cfRule>
  </conditionalFormatting>
  <conditionalFormatting sqref="AK237 AK239">
    <cfRule type="cellIs" dxfId="7706" priority="1077" stopIfTrue="1" operator="equal">
      <formula>"Pass"</formula>
    </cfRule>
  </conditionalFormatting>
  <conditionalFormatting sqref="AK241 AK243">
    <cfRule type="cellIs" dxfId="7705" priority="1074" stopIfTrue="1" operator="equal">
      <formula>"No"</formula>
    </cfRule>
    <cfRule type="cellIs" dxfId="7704" priority="1075" stopIfTrue="1" operator="equal">
      <formula>"Fail"</formula>
    </cfRule>
    <cfRule type="cellIs" dxfId="7703" priority="1076" stopIfTrue="1" operator="equal">
      <formula>"please check"</formula>
    </cfRule>
  </conditionalFormatting>
  <conditionalFormatting sqref="AK241 AK243">
    <cfRule type="cellIs" dxfId="7702" priority="1073" stopIfTrue="1" operator="equal">
      <formula>"Pass"</formula>
    </cfRule>
  </conditionalFormatting>
  <conditionalFormatting sqref="AK245 AK247">
    <cfRule type="cellIs" dxfId="7701" priority="1070" stopIfTrue="1" operator="equal">
      <formula>"No"</formula>
    </cfRule>
    <cfRule type="cellIs" dxfId="7700" priority="1071" stopIfTrue="1" operator="equal">
      <formula>"Fail"</formula>
    </cfRule>
    <cfRule type="cellIs" dxfId="7699" priority="1072" stopIfTrue="1" operator="equal">
      <formula>"please check"</formula>
    </cfRule>
  </conditionalFormatting>
  <conditionalFormatting sqref="AK245 AK247">
    <cfRule type="cellIs" dxfId="7698" priority="1069" stopIfTrue="1" operator="equal">
      <formula>"Pass"</formula>
    </cfRule>
  </conditionalFormatting>
  <conditionalFormatting sqref="AH237">
    <cfRule type="cellIs" dxfId="7697" priority="1066" stopIfTrue="1" operator="equal">
      <formula>"No"</formula>
    </cfRule>
    <cfRule type="cellIs" dxfId="7696" priority="1067" stopIfTrue="1" operator="equal">
      <formula>"Fail"</formula>
    </cfRule>
    <cfRule type="cellIs" dxfId="7695" priority="1068" stopIfTrue="1" operator="equal">
      <formula>"please check"</formula>
    </cfRule>
  </conditionalFormatting>
  <conditionalFormatting sqref="AH237">
    <cfRule type="cellIs" dxfId="7694" priority="1065" stopIfTrue="1" operator="equal">
      <formula>"Pass"</formula>
    </cfRule>
  </conditionalFormatting>
  <conditionalFormatting sqref="AH237">
    <cfRule type="containsText" dxfId="7693" priority="1062" operator="containsText" text="Please check">
      <formula>NOT(ISERROR(SEARCH("Please check",AH237)))</formula>
    </cfRule>
    <cfRule type="containsText" dxfId="7692" priority="1063" operator="containsText" text="Missing inputs">
      <formula>NOT(ISERROR(SEARCH("Missing inputs",AH237)))</formula>
    </cfRule>
    <cfRule type="containsText" dxfId="7691" priority="1064" operator="containsText" text="OK">
      <formula>NOT(ISERROR(SEARCH("OK",AH237)))</formula>
    </cfRule>
  </conditionalFormatting>
  <conditionalFormatting sqref="AH238">
    <cfRule type="cellIs" dxfId="7690" priority="1059" stopIfTrue="1" operator="equal">
      <formula>"No"</formula>
    </cfRule>
    <cfRule type="cellIs" dxfId="7689" priority="1060" stopIfTrue="1" operator="equal">
      <formula>"Fail"</formula>
    </cfRule>
    <cfRule type="cellIs" dxfId="7688" priority="1061" stopIfTrue="1" operator="equal">
      <formula>"please check"</formula>
    </cfRule>
  </conditionalFormatting>
  <conditionalFormatting sqref="AH238">
    <cfRule type="cellIs" dxfId="7687" priority="1058" stopIfTrue="1" operator="equal">
      <formula>"Pass"</formula>
    </cfRule>
  </conditionalFormatting>
  <conditionalFormatting sqref="AH242">
    <cfRule type="cellIs" dxfId="7686" priority="1055" stopIfTrue="1" operator="equal">
      <formula>"No"</formula>
    </cfRule>
    <cfRule type="cellIs" dxfId="7685" priority="1056" stopIfTrue="1" operator="equal">
      <formula>"Fail"</formula>
    </cfRule>
    <cfRule type="cellIs" dxfId="7684" priority="1057" stopIfTrue="1" operator="equal">
      <formula>"please check"</formula>
    </cfRule>
  </conditionalFormatting>
  <conditionalFormatting sqref="AH242">
    <cfRule type="cellIs" dxfId="7683" priority="1054" stopIfTrue="1" operator="equal">
      <formula>"Pass"</formula>
    </cfRule>
  </conditionalFormatting>
  <conditionalFormatting sqref="AH246">
    <cfRule type="cellIs" dxfId="7682" priority="1051" stopIfTrue="1" operator="equal">
      <formula>"No"</formula>
    </cfRule>
    <cfRule type="cellIs" dxfId="7681" priority="1052" stopIfTrue="1" operator="equal">
      <formula>"Fail"</formula>
    </cfRule>
    <cfRule type="cellIs" dxfId="7680" priority="1053" stopIfTrue="1" operator="equal">
      <formula>"please check"</formula>
    </cfRule>
  </conditionalFormatting>
  <conditionalFormatting sqref="AH246">
    <cfRule type="cellIs" dxfId="7679" priority="1050" stopIfTrue="1" operator="equal">
      <formula>"Pass"</formula>
    </cfRule>
  </conditionalFormatting>
  <conditionalFormatting sqref="AH251">
    <cfRule type="cellIs" dxfId="7678" priority="1047" stopIfTrue="1" operator="equal">
      <formula>"No"</formula>
    </cfRule>
    <cfRule type="cellIs" dxfId="7677" priority="1048" stopIfTrue="1" operator="equal">
      <formula>"Fail"</formula>
    </cfRule>
    <cfRule type="cellIs" dxfId="7676" priority="1049" stopIfTrue="1" operator="equal">
      <formula>"please check"</formula>
    </cfRule>
  </conditionalFormatting>
  <conditionalFormatting sqref="AH251">
    <cfRule type="cellIs" dxfId="7675" priority="1046" stopIfTrue="1" operator="equal">
      <formula>"Pass"</formula>
    </cfRule>
  </conditionalFormatting>
  <conditionalFormatting sqref="AJ240">
    <cfRule type="cellIs" dxfId="7674" priority="1043" stopIfTrue="1" operator="equal">
      <formula>"No"</formula>
    </cfRule>
    <cfRule type="cellIs" dxfId="7673" priority="1044" stopIfTrue="1" operator="equal">
      <formula>"Fail"</formula>
    </cfRule>
    <cfRule type="cellIs" dxfId="7672" priority="1045" stopIfTrue="1" operator="equal">
      <formula>"please check"</formula>
    </cfRule>
  </conditionalFormatting>
  <conditionalFormatting sqref="AJ240">
    <cfRule type="cellIs" dxfId="7671" priority="1042" stopIfTrue="1" operator="equal">
      <formula>"Pass"</formula>
    </cfRule>
  </conditionalFormatting>
  <conditionalFormatting sqref="AJ249:AJ250">
    <cfRule type="cellIs" dxfId="7670" priority="1039" stopIfTrue="1" operator="equal">
      <formula>"No"</formula>
    </cfRule>
    <cfRule type="cellIs" dxfId="7669" priority="1040" stopIfTrue="1" operator="equal">
      <formula>"Fail"</formula>
    </cfRule>
    <cfRule type="cellIs" dxfId="7668" priority="1041" stopIfTrue="1" operator="equal">
      <formula>"please check"</formula>
    </cfRule>
  </conditionalFormatting>
  <conditionalFormatting sqref="AJ249:AJ250">
    <cfRule type="cellIs" dxfId="7667" priority="1038" stopIfTrue="1" operator="equal">
      <formula>"Pass"</formula>
    </cfRule>
  </conditionalFormatting>
  <conditionalFormatting sqref="AJ252">
    <cfRule type="cellIs" dxfId="7666" priority="1035" stopIfTrue="1" operator="equal">
      <formula>"No"</formula>
    </cfRule>
    <cfRule type="cellIs" dxfId="7665" priority="1036" stopIfTrue="1" operator="equal">
      <formula>"Fail"</formula>
    </cfRule>
    <cfRule type="cellIs" dxfId="7664" priority="1037" stopIfTrue="1" operator="equal">
      <formula>"please check"</formula>
    </cfRule>
  </conditionalFormatting>
  <conditionalFormatting sqref="AJ252">
    <cfRule type="cellIs" dxfId="7663" priority="1034" stopIfTrue="1" operator="equal">
      <formula>"Pass"</formula>
    </cfRule>
  </conditionalFormatting>
  <conditionalFormatting sqref="AJ254">
    <cfRule type="cellIs" dxfId="7662" priority="1031" stopIfTrue="1" operator="equal">
      <formula>"No"</formula>
    </cfRule>
    <cfRule type="cellIs" dxfId="7661" priority="1032" stopIfTrue="1" operator="equal">
      <formula>"Fail"</formula>
    </cfRule>
    <cfRule type="cellIs" dxfId="7660" priority="1033" stopIfTrue="1" operator="equal">
      <formula>"please check"</formula>
    </cfRule>
  </conditionalFormatting>
  <conditionalFormatting sqref="AJ254">
    <cfRule type="cellIs" dxfId="7659" priority="1030" stopIfTrue="1" operator="equal">
      <formula>"Pass"</formula>
    </cfRule>
  </conditionalFormatting>
  <conditionalFormatting sqref="AK240">
    <cfRule type="cellIs" dxfId="7658" priority="1027" stopIfTrue="1" operator="equal">
      <formula>"No"</formula>
    </cfRule>
    <cfRule type="cellIs" dxfId="7657" priority="1028" stopIfTrue="1" operator="equal">
      <formula>"Fail"</formula>
    </cfRule>
    <cfRule type="cellIs" dxfId="7656" priority="1029" stopIfTrue="1" operator="equal">
      <formula>"please check"</formula>
    </cfRule>
  </conditionalFormatting>
  <conditionalFormatting sqref="AK240">
    <cfRule type="cellIs" dxfId="7655" priority="1026" stopIfTrue="1" operator="equal">
      <formula>"Pass"</formula>
    </cfRule>
  </conditionalFormatting>
  <conditionalFormatting sqref="AK249">
    <cfRule type="cellIs" dxfId="7654" priority="1023" stopIfTrue="1" operator="equal">
      <formula>"No"</formula>
    </cfRule>
    <cfRule type="cellIs" dxfId="7653" priority="1024" stopIfTrue="1" operator="equal">
      <formula>"Fail"</formula>
    </cfRule>
    <cfRule type="cellIs" dxfId="7652" priority="1025" stopIfTrue="1" operator="equal">
      <formula>"please check"</formula>
    </cfRule>
  </conditionalFormatting>
  <conditionalFormatting sqref="AK249">
    <cfRule type="cellIs" dxfId="7651" priority="1022" stopIfTrue="1" operator="equal">
      <formula>"Pass"</formula>
    </cfRule>
  </conditionalFormatting>
  <conditionalFormatting sqref="AK250">
    <cfRule type="cellIs" dxfId="7650" priority="1019" stopIfTrue="1" operator="equal">
      <formula>"No"</formula>
    </cfRule>
    <cfRule type="cellIs" dxfId="7649" priority="1020" stopIfTrue="1" operator="equal">
      <formula>"Fail"</formula>
    </cfRule>
    <cfRule type="cellIs" dxfId="7648" priority="1021" stopIfTrue="1" operator="equal">
      <formula>"please check"</formula>
    </cfRule>
  </conditionalFormatting>
  <conditionalFormatting sqref="AK250">
    <cfRule type="cellIs" dxfId="7647" priority="1018" stopIfTrue="1" operator="equal">
      <formula>"Pass"</formula>
    </cfRule>
  </conditionalFormatting>
  <conditionalFormatting sqref="AK252">
    <cfRule type="cellIs" dxfId="7646" priority="1015" stopIfTrue="1" operator="equal">
      <formula>"No"</formula>
    </cfRule>
    <cfRule type="cellIs" dxfId="7645" priority="1016" stopIfTrue="1" operator="equal">
      <formula>"Fail"</formula>
    </cfRule>
    <cfRule type="cellIs" dxfId="7644" priority="1017" stopIfTrue="1" operator="equal">
      <formula>"please check"</formula>
    </cfRule>
  </conditionalFormatting>
  <conditionalFormatting sqref="AK252">
    <cfRule type="cellIs" dxfId="7643" priority="1014" stopIfTrue="1" operator="equal">
      <formula>"Pass"</formula>
    </cfRule>
  </conditionalFormatting>
  <conditionalFormatting sqref="AK254">
    <cfRule type="cellIs" dxfId="7642" priority="1011" stopIfTrue="1" operator="equal">
      <formula>"No"</formula>
    </cfRule>
    <cfRule type="cellIs" dxfId="7641" priority="1012" stopIfTrue="1" operator="equal">
      <formula>"Fail"</formula>
    </cfRule>
    <cfRule type="cellIs" dxfId="7640" priority="1013" stopIfTrue="1" operator="equal">
      <formula>"please check"</formula>
    </cfRule>
  </conditionalFormatting>
  <conditionalFormatting sqref="AK254">
    <cfRule type="cellIs" dxfId="7639" priority="1010" stopIfTrue="1" operator="equal">
      <formula>"Pass"</formula>
    </cfRule>
  </conditionalFormatting>
  <conditionalFormatting sqref="AL237 AL239">
    <cfRule type="cellIs" dxfId="7638" priority="1007" stopIfTrue="1" operator="equal">
      <formula>"No"</formula>
    </cfRule>
    <cfRule type="cellIs" dxfId="7637" priority="1008" stopIfTrue="1" operator="equal">
      <formula>"Fail"</formula>
    </cfRule>
    <cfRule type="cellIs" dxfId="7636" priority="1009" stopIfTrue="1" operator="equal">
      <formula>"please check"</formula>
    </cfRule>
  </conditionalFormatting>
  <conditionalFormatting sqref="AL237 AL239">
    <cfRule type="cellIs" dxfId="7635" priority="1006" stopIfTrue="1" operator="equal">
      <formula>"Pass"</formula>
    </cfRule>
  </conditionalFormatting>
  <conditionalFormatting sqref="AL241 AL243">
    <cfRule type="cellIs" dxfId="7634" priority="1003" stopIfTrue="1" operator="equal">
      <formula>"No"</formula>
    </cfRule>
    <cfRule type="cellIs" dxfId="7633" priority="1004" stopIfTrue="1" operator="equal">
      <formula>"Fail"</formula>
    </cfRule>
    <cfRule type="cellIs" dxfId="7632" priority="1005" stopIfTrue="1" operator="equal">
      <formula>"please check"</formula>
    </cfRule>
  </conditionalFormatting>
  <conditionalFormatting sqref="AL241 AL243">
    <cfRule type="cellIs" dxfId="7631" priority="1002" stopIfTrue="1" operator="equal">
      <formula>"Pass"</formula>
    </cfRule>
  </conditionalFormatting>
  <conditionalFormatting sqref="AL245 AL247">
    <cfRule type="cellIs" dxfId="7630" priority="999" stopIfTrue="1" operator="equal">
      <formula>"No"</formula>
    </cfRule>
    <cfRule type="cellIs" dxfId="7629" priority="1000" stopIfTrue="1" operator="equal">
      <formula>"Fail"</formula>
    </cfRule>
    <cfRule type="cellIs" dxfId="7628" priority="1001" stopIfTrue="1" operator="equal">
      <formula>"please check"</formula>
    </cfRule>
  </conditionalFormatting>
  <conditionalFormatting sqref="AL245 AL247">
    <cfRule type="cellIs" dxfId="7627" priority="998" stopIfTrue="1" operator="equal">
      <formula>"Pass"</formula>
    </cfRule>
  </conditionalFormatting>
  <conditionalFormatting sqref="AL240">
    <cfRule type="cellIs" dxfId="7626" priority="995" stopIfTrue="1" operator="equal">
      <formula>"No"</formula>
    </cfRule>
    <cfRule type="cellIs" dxfId="7625" priority="996" stopIfTrue="1" operator="equal">
      <formula>"Fail"</formula>
    </cfRule>
    <cfRule type="cellIs" dxfId="7624" priority="997" stopIfTrue="1" operator="equal">
      <formula>"please check"</formula>
    </cfRule>
  </conditionalFormatting>
  <conditionalFormatting sqref="AL240">
    <cfRule type="cellIs" dxfId="7623" priority="994" stopIfTrue="1" operator="equal">
      <formula>"Pass"</formula>
    </cfRule>
  </conditionalFormatting>
  <conditionalFormatting sqref="AL249:AL250">
    <cfRule type="cellIs" dxfId="7622" priority="991" stopIfTrue="1" operator="equal">
      <formula>"No"</formula>
    </cfRule>
    <cfRule type="cellIs" dxfId="7621" priority="992" stopIfTrue="1" operator="equal">
      <formula>"Fail"</formula>
    </cfRule>
    <cfRule type="cellIs" dxfId="7620" priority="993" stopIfTrue="1" operator="equal">
      <formula>"please check"</formula>
    </cfRule>
  </conditionalFormatting>
  <conditionalFormatting sqref="AL249:AL250">
    <cfRule type="cellIs" dxfId="7619" priority="990" stopIfTrue="1" operator="equal">
      <formula>"Pass"</formula>
    </cfRule>
  </conditionalFormatting>
  <conditionalFormatting sqref="AL252">
    <cfRule type="cellIs" dxfId="7618" priority="987" stopIfTrue="1" operator="equal">
      <formula>"No"</formula>
    </cfRule>
    <cfRule type="cellIs" dxfId="7617" priority="988" stopIfTrue="1" operator="equal">
      <formula>"Fail"</formula>
    </cfRule>
    <cfRule type="cellIs" dxfId="7616" priority="989" stopIfTrue="1" operator="equal">
      <formula>"please check"</formula>
    </cfRule>
  </conditionalFormatting>
  <conditionalFormatting sqref="AL252">
    <cfRule type="cellIs" dxfId="7615" priority="986" stopIfTrue="1" operator="equal">
      <formula>"Pass"</formula>
    </cfRule>
  </conditionalFormatting>
  <conditionalFormatting sqref="AL254">
    <cfRule type="cellIs" dxfId="7614" priority="983" stopIfTrue="1" operator="equal">
      <formula>"No"</formula>
    </cfRule>
    <cfRule type="cellIs" dxfId="7613" priority="984" stopIfTrue="1" operator="equal">
      <formula>"Fail"</formula>
    </cfRule>
    <cfRule type="cellIs" dxfId="7612" priority="985" stopIfTrue="1" operator="equal">
      <formula>"please check"</formula>
    </cfRule>
  </conditionalFormatting>
  <conditionalFormatting sqref="AL254">
    <cfRule type="cellIs" dxfId="7611" priority="982" stopIfTrue="1" operator="equal">
      <formula>"Pass"</formula>
    </cfRule>
  </conditionalFormatting>
  <conditionalFormatting sqref="V264:W265 V269:W269">
    <cfRule type="cellIs" dxfId="7610" priority="979" stopIfTrue="1" operator="equal">
      <formula>"Pass"</formula>
    </cfRule>
    <cfRule type="cellIs" dxfId="7609" priority="980" stopIfTrue="1" operator="equal">
      <formula>"please check"</formula>
    </cfRule>
  </conditionalFormatting>
  <conditionalFormatting sqref="AG254">
    <cfRule type="cellIs" dxfId="7608" priority="975" stopIfTrue="1" operator="equal">
      <formula>"No"</formula>
    </cfRule>
    <cfRule type="cellIs" dxfId="7607" priority="976" stopIfTrue="1" operator="equal">
      <formula>"Fail"</formula>
    </cfRule>
    <cfRule type="cellIs" dxfId="7606" priority="977" stopIfTrue="1" operator="equal">
      <formula>"please check"</formula>
    </cfRule>
  </conditionalFormatting>
  <conditionalFormatting sqref="AG254">
    <cfRule type="cellIs" dxfId="7605" priority="974" stopIfTrue="1" operator="equal">
      <formula>"Pass"</formula>
    </cfRule>
  </conditionalFormatting>
  <conditionalFormatting sqref="AG254">
    <cfRule type="containsText" dxfId="7604" priority="971" operator="containsText" text="Please check">
      <formula>NOT(ISERROR(SEARCH("Please check",AG254)))</formula>
    </cfRule>
    <cfRule type="containsText" dxfId="7603" priority="972" operator="containsText" text="Missing inputs">
      <formula>NOT(ISERROR(SEARCH("Missing inputs",AG254)))</formula>
    </cfRule>
    <cfRule type="containsText" dxfId="7602" priority="973" operator="containsText" text="OK">
      <formula>NOT(ISERROR(SEARCH("OK",AG254)))</formula>
    </cfRule>
  </conditionalFormatting>
  <conditionalFormatting sqref="AK210">
    <cfRule type="cellIs" dxfId="7601" priority="968" stopIfTrue="1" operator="equal">
      <formula>"No"</formula>
    </cfRule>
    <cfRule type="cellIs" dxfId="7600" priority="969" stopIfTrue="1" operator="equal">
      <formula>"Fail"</formula>
    </cfRule>
    <cfRule type="cellIs" dxfId="7599" priority="970" stopIfTrue="1" operator="equal">
      <formula>"please check"</formula>
    </cfRule>
  </conditionalFormatting>
  <conditionalFormatting sqref="AK210">
    <cfRule type="cellIs" dxfId="7598" priority="967" stopIfTrue="1" operator="equal">
      <formula>"Pass"</formula>
    </cfRule>
  </conditionalFormatting>
  <conditionalFormatting sqref="AK210">
    <cfRule type="containsText" dxfId="7597" priority="964" operator="containsText" text="Please check">
      <formula>NOT(ISERROR(SEARCH("Please check",AK210)))</formula>
    </cfRule>
    <cfRule type="containsText" dxfId="7596" priority="965" operator="containsText" text="Missing inputs">
      <formula>NOT(ISERROR(SEARCH("Missing inputs",AK210)))</formula>
    </cfRule>
    <cfRule type="containsText" dxfId="7595" priority="966" operator="containsText" text="OK">
      <formula>NOT(ISERROR(SEARCH("OK",AK210)))</formula>
    </cfRule>
  </conditionalFormatting>
  <conditionalFormatting sqref="AK214">
    <cfRule type="cellIs" dxfId="7594" priority="961" stopIfTrue="1" operator="equal">
      <formula>"No"</formula>
    </cfRule>
    <cfRule type="cellIs" dxfId="7593" priority="962" stopIfTrue="1" operator="equal">
      <formula>"Fail"</formula>
    </cfRule>
    <cfRule type="cellIs" dxfId="7592" priority="963" stopIfTrue="1" operator="equal">
      <formula>"please check"</formula>
    </cfRule>
  </conditionalFormatting>
  <conditionalFormatting sqref="AK214">
    <cfRule type="cellIs" dxfId="7591" priority="960" stopIfTrue="1" operator="equal">
      <formula>"Pass"</formula>
    </cfRule>
  </conditionalFormatting>
  <conditionalFormatting sqref="AK214">
    <cfRule type="containsText" dxfId="7590" priority="957" operator="containsText" text="Please check">
      <formula>NOT(ISERROR(SEARCH("Please check",AK214)))</formula>
    </cfRule>
    <cfRule type="containsText" dxfId="7589" priority="958" operator="containsText" text="Missing inputs">
      <formula>NOT(ISERROR(SEARCH("Missing inputs",AK214)))</formula>
    </cfRule>
    <cfRule type="containsText" dxfId="7588" priority="959" operator="containsText" text="OK">
      <formula>NOT(ISERROR(SEARCH("OK",AK214)))</formula>
    </cfRule>
  </conditionalFormatting>
  <conditionalFormatting sqref="AK218">
    <cfRule type="cellIs" dxfId="7587" priority="954" stopIfTrue="1" operator="equal">
      <formula>"No"</formula>
    </cfRule>
    <cfRule type="cellIs" dxfId="7586" priority="955" stopIfTrue="1" operator="equal">
      <formula>"Fail"</formula>
    </cfRule>
    <cfRule type="cellIs" dxfId="7585" priority="956" stopIfTrue="1" operator="equal">
      <formula>"please check"</formula>
    </cfRule>
  </conditionalFormatting>
  <conditionalFormatting sqref="AK218">
    <cfRule type="cellIs" dxfId="7584" priority="953" stopIfTrue="1" operator="equal">
      <formula>"Pass"</formula>
    </cfRule>
  </conditionalFormatting>
  <conditionalFormatting sqref="AK218">
    <cfRule type="containsText" dxfId="7583" priority="950" operator="containsText" text="Please check">
      <formula>NOT(ISERROR(SEARCH("Please check",AK218)))</formula>
    </cfRule>
    <cfRule type="containsText" dxfId="7582" priority="951" operator="containsText" text="Missing inputs">
      <formula>NOT(ISERROR(SEARCH("Missing inputs",AK218)))</formula>
    </cfRule>
    <cfRule type="containsText" dxfId="7581" priority="952" operator="containsText" text="OK">
      <formula>NOT(ISERROR(SEARCH("OK",AK218)))</formula>
    </cfRule>
  </conditionalFormatting>
  <conditionalFormatting sqref="AK222">
    <cfRule type="cellIs" dxfId="7580" priority="947" stopIfTrue="1" operator="equal">
      <formula>"No"</formula>
    </cfRule>
    <cfRule type="cellIs" dxfId="7579" priority="948" stopIfTrue="1" operator="equal">
      <formula>"Fail"</formula>
    </cfRule>
    <cfRule type="cellIs" dxfId="7578" priority="949" stopIfTrue="1" operator="equal">
      <formula>"please check"</formula>
    </cfRule>
  </conditionalFormatting>
  <conditionalFormatting sqref="AK222">
    <cfRule type="cellIs" dxfId="7577" priority="946" stopIfTrue="1" operator="equal">
      <formula>"Pass"</formula>
    </cfRule>
  </conditionalFormatting>
  <conditionalFormatting sqref="AK222">
    <cfRule type="containsText" dxfId="7576" priority="943" operator="containsText" text="Please check">
      <formula>NOT(ISERROR(SEARCH("Please check",AK222)))</formula>
    </cfRule>
    <cfRule type="containsText" dxfId="7575" priority="944" operator="containsText" text="Missing inputs">
      <formula>NOT(ISERROR(SEARCH("Missing inputs",AK222)))</formula>
    </cfRule>
    <cfRule type="containsText" dxfId="7574" priority="945" operator="containsText" text="OK">
      <formula>NOT(ISERROR(SEARCH("OK",AK222)))</formula>
    </cfRule>
  </conditionalFormatting>
  <conditionalFormatting sqref="AK230">
    <cfRule type="cellIs" dxfId="7573" priority="940" stopIfTrue="1" operator="equal">
      <formula>"No"</formula>
    </cfRule>
    <cfRule type="cellIs" dxfId="7572" priority="941" stopIfTrue="1" operator="equal">
      <formula>"Fail"</formula>
    </cfRule>
    <cfRule type="cellIs" dxfId="7571" priority="942" stopIfTrue="1" operator="equal">
      <formula>"please check"</formula>
    </cfRule>
  </conditionalFormatting>
  <conditionalFormatting sqref="AK230">
    <cfRule type="cellIs" dxfId="7570" priority="939" stopIfTrue="1" operator="equal">
      <formula>"Pass"</formula>
    </cfRule>
  </conditionalFormatting>
  <conditionalFormatting sqref="AK230">
    <cfRule type="containsText" dxfId="7569" priority="936" operator="containsText" text="Please check">
      <formula>NOT(ISERROR(SEARCH("Please check",AK230)))</formula>
    </cfRule>
    <cfRule type="containsText" dxfId="7568" priority="937" operator="containsText" text="Missing inputs">
      <formula>NOT(ISERROR(SEARCH("Missing inputs",AK230)))</formula>
    </cfRule>
    <cfRule type="containsText" dxfId="7567" priority="938" operator="containsText" text="OK">
      <formula>NOT(ISERROR(SEARCH("OK",AK230)))</formula>
    </cfRule>
  </conditionalFormatting>
  <conditionalFormatting sqref="AL210">
    <cfRule type="cellIs" dxfId="7566" priority="933" stopIfTrue="1" operator="equal">
      <formula>"No"</formula>
    </cfRule>
    <cfRule type="cellIs" dxfId="7565" priority="934" stopIfTrue="1" operator="equal">
      <formula>"Fail"</formula>
    </cfRule>
    <cfRule type="cellIs" dxfId="7564" priority="935" stopIfTrue="1" operator="equal">
      <formula>"please check"</formula>
    </cfRule>
  </conditionalFormatting>
  <conditionalFormatting sqref="AL210">
    <cfRule type="cellIs" dxfId="7563" priority="932" stopIfTrue="1" operator="equal">
      <formula>"Pass"</formula>
    </cfRule>
  </conditionalFormatting>
  <conditionalFormatting sqref="AL210">
    <cfRule type="containsText" dxfId="7562" priority="929" operator="containsText" text="Please check">
      <formula>NOT(ISERROR(SEARCH("Please check",AL210)))</formula>
    </cfRule>
    <cfRule type="containsText" dxfId="7561" priority="930" operator="containsText" text="Missing inputs">
      <formula>NOT(ISERROR(SEARCH("Missing inputs",AL210)))</formula>
    </cfRule>
    <cfRule type="containsText" dxfId="7560" priority="931" operator="containsText" text="OK">
      <formula>NOT(ISERROR(SEARCH("OK",AL210)))</formula>
    </cfRule>
  </conditionalFormatting>
  <conditionalFormatting sqref="AL214">
    <cfRule type="cellIs" dxfId="7559" priority="926" stopIfTrue="1" operator="equal">
      <formula>"No"</formula>
    </cfRule>
    <cfRule type="cellIs" dxfId="7558" priority="927" stopIfTrue="1" operator="equal">
      <formula>"Fail"</formula>
    </cfRule>
    <cfRule type="cellIs" dxfId="7557" priority="928" stopIfTrue="1" operator="equal">
      <formula>"please check"</formula>
    </cfRule>
  </conditionalFormatting>
  <conditionalFormatting sqref="AL214">
    <cfRule type="cellIs" dxfId="7556" priority="925" stopIfTrue="1" operator="equal">
      <formula>"Pass"</formula>
    </cfRule>
  </conditionalFormatting>
  <conditionalFormatting sqref="AL214">
    <cfRule type="containsText" dxfId="7555" priority="922" operator="containsText" text="Please check">
      <formula>NOT(ISERROR(SEARCH("Please check",AL214)))</formula>
    </cfRule>
    <cfRule type="containsText" dxfId="7554" priority="923" operator="containsText" text="Missing inputs">
      <formula>NOT(ISERROR(SEARCH("Missing inputs",AL214)))</formula>
    </cfRule>
    <cfRule type="containsText" dxfId="7553" priority="924" operator="containsText" text="OK">
      <formula>NOT(ISERROR(SEARCH("OK",AL214)))</formula>
    </cfRule>
  </conditionalFormatting>
  <conditionalFormatting sqref="AL218">
    <cfRule type="cellIs" dxfId="7552" priority="919" stopIfTrue="1" operator="equal">
      <formula>"No"</formula>
    </cfRule>
    <cfRule type="cellIs" dxfId="7551" priority="920" stopIfTrue="1" operator="equal">
      <formula>"Fail"</formula>
    </cfRule>
    <cfRule type="cellIs" dxfId="7550" priority="921" stopIfTrue="1" operator="equal">
      <formula>"please check"</formula>
    </cfRule>
  </conditionalFormatting>
  <conditionalFormatting sqref="AL218">
    <cfRule type="cellIs" dxfId="7549" priority="918" stopIfTrue="1" operator="equal">
      <formula>"Pass"</formula>
    </cfRule>
  </conditionalFormatting>
  <conditionalFormatting sqref="AL218">
    <cfRule type="containsText" dxfId="7548" priority="915" operator="containsText" text="Please check">
      <formula>NOT(ISERROR(SEARCH("Please check",AL218)))</formula>
    </cfRule>
    <cfRule type="containsText" dxfId="7547" priority="916" operator="containsText" text="Missing inputs">
      <formula>NOT(ISERROR(SEARCH("Missing inputs",AL218)))</formula>
    </cfRule>
    <cfRule type="containsText" dxfId="7546" priority="917" operator="containsText" text="OK">
      <formula>NOT(ISERROR(SEARCH("OK",AL218)))</formula>
    </cfRule>
  </conditionalFormatting>
  <conditionalFormatting sqref="AL222">
    <cfRule type="cellIs" dxfId="7545" priority="912" stopIfTrue="1" operator="equal">
      <formula>"No"</formula>
    </cfRule>
    <cfRule type="cellIs" dxfId="7544" priority="913" stopIfTrue="1" operator="equal">
      <formula>"Fail"</formula>
    </cfRule>
    <cfRule type="cellIs" dxfId="7543" priority="914" stopIfTrue="1" operator="equal">
      <formula>"please check"</formula>
    </cfRule>
  </conditionalFormatting>
  <conditionalFormatting sqref="AL222">
    <cfRule type="cellIs" dxfId="7542" priority="911" stopIfTrue="1" operator="equal">
      <formula>"Pass"</formula>
    </cfRule>
  </conditionalFormatting>
  <conditionalFormatting sqref="AL222">
    <cfRule type="containsText" dxfId="7541" priority="908" operator="containsText" text="Please check">
      <formula>NOT(ISERROR(SEARCH("Please check",AL222)))</formula>
    </cfRule>
    <cfRule type="containsText" dxfId="7540" priority="909" operator="containsText" text="Missing inputs">
      <formula>NOT(ISERROR(SEARCH("Missing inputs",AL222)))</formula>
    </cfRule>
    <cfRule type="containsText" dxfId="7539" priority="910" operator="containsText" text="OK">
      <formula>NOT(ISERROR(SEARCH("OK",AL222)))</formula>
    </cfRule>
  </conditionalFormatting>
  <conditionalFormatting sqref="AL230">
    <cfRule type="cellIs" dxfId="7538" priority="905" stopIfTrue="1" operator="equal">
      <formula>"No"</formula>
    </cfRule>
    <cfRule type="cellIs" dxfId="7537" priority="906" stopIfTrue="1" operator="equal">
      <formula>"Fail"</formula>
    </cfRule>
    <cfRule type="cellIs" dxfId="7536" priority="907" stopIfTrue="1" operator="equal">
      <formula>"please check"</formula>
    </cfRule>
  </conditionalFormatting>
  <conditionalFormatting sqref="AL230">
    <cfRule type="cellIs" dxfId="7535" priority="904" stopIfTrue="1" operator="equal">
      <formula>"Pass"</formula>
    </cfRule>
  </conditionalFormatting>
  <conditionalFormatting sqref="AL230">
    <cfRule type="containsText" dxfId="7534" priority="901" operator="containsText" text="Please check">
      <formula>NOT(ISERROR(SEARCH("Please check",AL230)))</formula>
    </cfRule>
    <cfRule type="containsText" dxfId="7533" priority="902" operator="containsText" text="Missing inputs">
      <formula>NOT(ISERROR(SEARCH("Missing inputs",AL230)))</formula>
    </cfRule>
    <cfRule type="containsText" dxfId="7532" priority="903" operator="containsText" text="OK">
      <formula>NOT(ISERROR(SEARCH("OK",AL230)))</formula>
    </cfRule>
  </conditionalFormatting>
  <conditionalFormatting sqref="AG236">
    <cfRule type="cellIs" dxfId="7531" priority="893" operator="equal">
      <formula>"""Missing Input"""</formula>
    </cfRule>
    <cfRule type="cellIs" dxfId="7530" priority="898" stopIfTrue="1" operator="equal">
      <formula>"No"</formula>
    </cfRule>
    <cfRule type="cellIs" dxfId="7529" priority="899" stopIfTrue="1" operator="equal">
      <formula>"Fail"</formula>
    </cfRule>
    <cfRule type="cellIs" dxfId="7528" priority="900" stopIfTrue="1" operator="equal">
      <formula>"please check"</formula>
    </cfRule>
  </conditionalFormatting>
  <conditionalFormatting sqref="AG236">
    <cfRule type="cellIs" dxfId="7527" priority="897" stopIfTrue="1" operator="equal">
      <formula>"Pass"</formula>
    </cfRule>
  </conditionalFormatting>
  <conditionalFormatting sqref="AG236">
    <cfRule type="containsText" dxfId="7526" priority="894" operator="containsText" text="Please check">
      <formula>NOT(ISERROR(SEARCH("Please check",AG236)))</formula>
    </cfRule>
    <cfRule type="containsText" dxfId="7525" priority="895" operator="containsText" text="Missing inputs">
      <formula>NOT(ISERROR(SEARCH("Missing inputs",AG236)))</formula>
    </cfRule>
    <cfRule type="containsText" dxfId="7524" priority="896" operator="containsText" text="OK">
      <formula>NOT(ISERROR(SEARCH("OK",AG236)))</formula>
    </cfRule>
  </conditionalFormatting>
  <conditionalFormatting sqref="AG238">
    <cfRule type="cellIs" dxfId="7523" priority="885" operator="equal">
      <formula>"""Missing Input"""</formula>
    </cfRule>
    <cfRule type="cellIs" dxfId="7522" priority="890" stopIfTrue="1" operator="equal">
      <formula>"No"</formula>
    </cfRule>
    <cfRule type="cellIs" dxfId="7521" priority="891" stopIfTrue="1" operator="equal">
      <formula>"Fail"</formula>
    </cfRule>
    <cfRule type="cellIs" dxfId="7520" priority="892" stopIfTrue="1" operator="equal">
      <formula>"please check"</formula>
    </cfRule>
  </conditionalFormatting>
  <conditionalFormatting sqref="AG238">
    <cfRule type="cellIs" dxfId="7519" priority="889" stopIfTrue="1" operator="equal">
      <formula>"Pass"</formula>
    </cfRule>
  </conditionalFormatting>
  <conditionalFormatting sqref="AG238">
    <cfRule type="containsText" dxfId="7518" priority="886" operator="containsText" text="Please check">
      <formula>NOT(ISERROR(SEARCH("Please check",AG238)))</formula>
    </cfRule>
    <cfRule type="containsText" dxfId="7517" priority="887" operator="containsText" text="Missing inputs">
      <formula>NOT(ISERROR(SEARCH("Missing inputs",AG238)))</formula>
    </cfRule>
    <cfRule type="containsText" dxfId="7516" priority="888" operator="containsText" text="OK">
      <formula>NOT(ISERROR(SEARCH("OK",AG238)))</formula>
    </cfRule>
  </conditionalFormatting>
  <conditionalFormatting sqref="AG240">
    <cfRule type="cellIs" dxfId="7515" priority="877" operator="equal">
      <formula>"""Missing Input"""</formula>
    </cfRule>
    <cfRule type="cellIs" dxfId="7514" priority="882" stopIfTrue="1" operator="equal">
      <formula>"No"</formula>
    </cfRule>
    <cfRule type="cellIs" dxfId="7513" priority="883" stopIfTrue="1" operator="equal">
      <formula>"Fail"</formula>
    </cfRule>
    <cfRule type="cellIs" dxfId="7512" priority="884" stopIfTrue="1" operator="equal">
      <formula>"please check"</formula>
    </cfRule>
  </conditionalFormatting>
  <conditionalFormatting sqref="AG240">
    <cfRule type="cellIs" dxfId="7511" priority="881" stopIfTrue="1" operator="equal">
      <formula>"Pass"</formula>
    </cfRule>
  </conditionalFormatting>
  <conditionalFormatting sqref="AG240">
    <cfRule type="containsText" dxfId="7510" priority="878" operator="containsText" text="Please check">
      <formula>NOT(ISERROR(SEARCH("Please check",AG240)))</formula>
    </cfRule>
    <cfRule type="containsText" dxfId="7509" priority="879" operator="containsText" text="Missing inputs">
      <formula>NOT(ISERROR(SEARCH("Missing inputs",AG240)))</formula>
    </cfRule>
    <cfRule type="containsText" dxfId="7508" priority="880" operator="containsText" text="OK">
      <formula>NOT(ISERROR(SEARCH("OK",AG240)))</formula>
    </cfRule>
  </conditionalFormatting>
  <conditionalFormatting sqref="AG241">
    <cfRule type="cellIs" dxfId="7507" priority="869" operator="equal">
      <formula>"""Missing Input"""</formula>
    </cfRule>
    <cfRule type="cellIs" dxfId="7506" priority="874" stopIfTrue="1" operator="equal">
      <formula>"No"</formula>
    </cfRule>
    <cfRule type="cellIs" dxfId="7505" priority="875" stopIfTrue="1" operator="equal">
      <formula>"Fail"</formula>
    </cfRule>
    <cfRule type="cellIs" dxfId="7504" priority="876" stopIfTrue="1" operator="equal">
      <formula>"please check"</formula>
    </cfRule>
  </conditionalFormatting>
  <conditionalFormatting sqref="AG241">
    <cfRule type="cellIs" dxfId="7503" priority="873" stopIfTrue="1" operator="equal">
      <formula>"Pass"</formula>
    </cfRule>
  </conditionalFormatting>
  <conditionalFormatting sqref="AG241">
    <cfRule type="containsText" dxfId="7502" priority="870" operator="containsText" text="Please check">
      <formula>NOT(ISERROR(SEARCH("Please check",AG241)))</formula>
    </cfRule>
    <cfRule type="containsText" dxfId="7501" priority="871" operator="containsText" text="Missing inputs">
      <formula>NOT(ISERROR(SEARCH("Missing inputs",AG241)))</formula>
    </cfRule>
    <cfRule type="containsText" dxfId="7500" priority="872" operator="containsText" text="OK">
      <formula>NOT(ISERROR(SEARCH("OK",AG241)))</formula>
    </cfRule>
  </conditionalFormatting>
  <conditionalFormatting sqref="AG242">
    <cfRule type="cellIs" dxfId="7499" priority="861" operator="equal">
      <formula>"""Missing Input"""</formula>
    </cfRule>
    <cfRule type="cellIs" dxfId="7498" priority="866" stopIfTrue="1" operator="equal">
      <formula>"No"</formula>
    </cfRule>
    <cfRule type="cellIs" dxfId="7497" priority="867" stopIfTrue="1" operator="equal">
      <formula>"Fail"</formula>
    </cfRule>
    <cfRule type="cellIs" dxfId="7496" priority="868" stopIfTrue="1" operator="equal">
      <formula>"please check"</formula>
    </cfRule>
  </conditionalFormatting>
  <conditionalFormatting sqref="AG242">
    <cfRule type="cellIs" dxfId="7495" priority="865" stopIfTrue="1" operator="equal">
      <formula>"Pass"</formula>
    </cfRule>
  </conditionalFormatting>
  <conditionalFormatting sqref="AG242">
    <cfRule type="containsText" dxfId="7494" priority="862" operator="containsText" text="Please check">
      <formula>NOT(ISERROR(SEARCH("Please check",AG242)))</formula>
    </cfRule>
    <cfRule type="containsText" dxfId="7493" priority="863" operator="containsText" text="Missing inputs">
      <formula>NOT(ISERROR(SEARCH("Missing inputs",AG242)))</formula>
    </cfRule>
    <cfRule type="containsText" dxfId="7492" priority="864" operator="containsText" text="OK">
      <formula>NOT(ISERROR(SEARCH("OK",AG242)))</formula>
    </cfRule>
  </conditionalFormatting>
  <conditionalFormatting sqref="AG244">
    <cfRule type="cellIs" dxfId="7491" priority="853" operator="equal">
      <formula>"""Missing Input"""</formula>
    </cfRule>
    <cfRule type="cellIs" dxfId="7490" priority="858" stopIfTrue="1" operator="equal">
      <formula>"No"</formula>
    </cfRule>
    <cfRule type="cellIs" dxfId="7489" priority="859" stopIfTrue="1" operator="equal">
      <formula>"Fail"</formula>
    </cfRule>
    <cfRule type="cellIs" dxfId="7488" priority="860" stopIfTrue="1" operator="equal">
      <formula>"please check"</formula>
    </cfRule>
  </conditionalFormatting>
  <conditionalFormatting sqref="AG244">
    <cfRule type="cellIs" dxfId="7487" priority="857" stopIfTrue="1" operator="equal">
      <formula>"Pass"</formula>
    </cfRule>
  </conditionalFormatting>
  <conditionalFormatting sqref="AG244">
    <cfRule type="containsText" dxfId="7486" priority="854" operator="containsText" text="Please check">
      <formula>NOT(ISERROR(SEARCH("Please check",AG244)))</formula>
    </cfRule>
    <cfRule type="containsText" dxfId="7485" priority="855" operator="containsText" text="Missing inputs">
      <formula>NOT(ISERROR(SEARCH("Missing inputs",AG244)))</formula>
    </cfRule>
    <cfRule type="containsText" dxfId="7484" priority="856" operator="containsText" text="OK">
      <formula>NOT(ISERROR(SEARCH("OK",AG244)))</formula>
    </cfRule>
  </conditionalFormatting>
  <conditionalFormatting sqref="AG246">
    <cfRule type="cellIs" dxfId="7483" priority="845" operator="equal">
      <formula>"""Missing Input"""</formula>
    </cfRule>
    <cfRule type="cellIs" dxfId="7482" priority="850" stopIfTrue="1" operator="equal">
      <formula>"No"</formula>
    </cfRule>
    <cfRule type="cellIs" dxfId="7481" priority="851" stopIfTrue="1" operator="equal">
      <formula>"Fail"</formula>
    </cfRule>
    <cfRule type="cellIs" dxfId="7480" priority="852" stopIfTrue="1" operator="equal">
      <formula>"please check"</formula>
    </cfRule>
  </conditionalFormatting>
  <conditionalFormatting sqref="AG246">
    <cfRule type="cellIs" dxfId="7479" priority="849" stopIfTrue="1" operator="equal">
      <formula>"Pass"</formula>
    </cfRule>
  </conditionalFormatting>
  <conditionalFormatting sqref="AG246">
    <cfRule type="containsText" dxfId="7478" priority="846" operator="containsText" text="Please check">
      <formula>NOT(ISERROR(SEARCH("Please check",AG246)))</formula>
    </cfRule>
    <cfRule type="containsText" dxfId="7477" priority="847" operator="containsText" text="Missing inputs">
      <formula>NOT(ISERROR(SEARCH("Missing inputs",AG246)))</formula>
    </cfRule>
    <cfRule type="containsText" dxfId="7476" priority="848" operator="containsText" text="OK">
      <formula>NOT(ISERROR(SEARCH("OK",AG246)))</formula>
    </cfRule>
  </conditionalFormatting>
  <conditionalFormatting sqref="AG248">
    <cfRule type="cellIs" dxfId="7475" priority="837" operator="equal">
      <formula>"""Missing Input"""</formula>
    </cfRule>
    <cfRule type="cellIs" dxfId="7474" priority="842" stopIfTrue="1" operator="equal">
      <formula>"No"</formula>
    </cfRule>
    <cfRule type="cellIs" dxfId="7473" priority="843" stopIfTrue="1" operator="equal">
      <formula>"Fail"</formula>
    </cfRule>
    <cfRule type="cellIs" dxfId="7472" priority="844" stopIfTrue="1" operator="equal">
      <formula>"please check"</formula>
    </cfRule>
  </conditionalFormatting>
  <conditionalFormatting sqref="AG248">
    <cfRule type="cellIs" dxfId="7471" priority="841" stopIfTrue="1" operator="equal">
      <formula>"Pass"</formula>
    </cfRule>
  </conditionalFormatting>
  <conditionalFormatting sqref="AG248">
    <cfRule type="containsText" dxfId="7470" priority="838" operator="containsText" text="Please check">
      <formula>NOT(ISERROR(SEARCH("Please check",AG248)))</formula>
    </cfRule>
    <cfRule type="containsText" dxfId="7469" priority="839" operator="containsText" text="Missing inputs">
      <formula>NOT(ISERROR(SEARCH("Missing inputs",AG248)))</formula>
    </cfRule>
    <cfRule type="containsText" dxfId="7468" priority="840" operator="containsText" text="OK">
      <formula>NOT(ISERROR(SEARCH("OK",AG248)))</formula>
    </cfRule>
  </conditionalFormatting>
  <conditionalFormatting sqref="AG251">
    <cfRule type="cellIs" dxfId="7467" priority="829" operator="equal">
      <formula>"""Missing Input"""</formula>
    </cfRule>
    <cfRule type="cellIs" dxfId="7466" priority="834" stopIfTrue="1" operator="equal">
      <formula>"No"</formula>
    </cfRule>
    <cfRule type="cellIs" dxfId="7465" priority="835" stopIfTrue="1" operator="equal">
      <formula>"Fail"</formula>
    </cfRule>
    <cfRule type="cellIs" dxfId="7464" priority="836" stopIfTrue="1" operator="equal">
      <formula>"please check"</formula>
    </cfRule>
  </conditionalFormatting>
  <conditionalFormatting sqref="AG251">
    <cfRule type="cellIs" dxfId="7463" priority="833" stopIfTrue="1" operator="equal">
      <formula>"Pass"</formula>
    </cfRule>
  </conditionalFormatting>
  <conditionalFormatting sqref="AG251">
    <cfRule type="containsText" dxfId="7462" priority="830" operator="containsText" text="Please check">
      <formula>NOT(ISERROR(SEARCH("Please check",AG251)))</formula>
    </cfRule>
    <cfRule type="containsText" dxfId="7461" priority="831" operator="containsText" text="Missing inputs">
      <formula>NOT(ISERROR(SEARCH("Missing inputs",AG251)))</formula>
    </cfRule>
    <cfRule type="containsText" dxfId="7460" priority="832" operator="containsText" text="OK">
      <formula>NOT(ISERROR(SEARCH("OK",AG251)))</formula>
    </cfRule>
  </conditionalFormatting>
  <conditionalFormatting sqref="AG255">
    <cfRule type="cellIs" dxfId="7459" priority="821" operator="equal">
      <formula>"""Missing Input"""</formula>
    </cfRule>
    <cfRule type="cellIs" dxfId="7458" priority="826" stopIfTrue="1" operator="equal">
      <formula>"No"</formula>
    </cfRule>
    <cfRule type="cellIs" dxfId="7457" priority="827" stopIfTrue="1" operator="equal">
      <formula>"Fail"</formula>
    </cfRule>
    <cfRule type="cellIs" dxfId="7456" priority="828" stopIfTrue="1" operator="equal">
      <formula>"please check"</formula>
    </cfRule>
  </conditionalFormatting>
  <conditionalFormatting sqref="AG255">
    <cfRule type="cellIs" dxfId="7455" priority="825" stopIfTrue="1" operator="equal">
      <formula>"Pass"</formula>
    </cfRule>
  </conditionalFormatting>
  <conditionalFormatting sqref="AG255">
    <cfRule type="containsText" dxfId="7454" priority="822" operator="containsText" text="Please check">
      <formula>NOT(ISERROR(SEARCH("Please check",AG255)))</formula>
    </cfRule>
    <cfRule type="containsText" dxfId="7453" priority="823" operator="containsText" text="Missing inputs">
      <formula>NOT(ISERROR(SEARCH("Missing inputs",AG255)))</formula>
    </cfRule>
    <cfRule type="containsText" dxfId="7452" priority="824" operator="containsText" text="OK">
      <formula>NOT(ISERROR(SEARCH("OK",AG255)))</formula>
    </cfRule>
  </conditionalFormatting>
  <conditionalFormatting sqref="AG237">
    <cfRule type="cellIs" dxfId="7451" priority="813" operator="equal">
      <formula>"""Missing Input"""</formula>
    </cfRule>
    <cfRule type="cellIs" dxfId="7450" priority="818" stopIfTrue="1" operator="equal">
      <formula>"No"</formula>
    </cfRule>
    <cfRule type="cellIs" dxfId="7449" priority="819" stopIfTrue="1" operator="equal">
      <formula>"Fail"</formula>
    </cfRule>
    <cfRule type="cellIs" dxfId="7448" priority="820" stopIfTrue="1" operator="equal">
      <formula>"please check"</formula>
    </cfRule>
  </conditionalFormatting>
  <conditionalFormatting sqref="AG237">
    <cfRule type="cellIs" dxfId="7447" priority="817" stopIfTrue="1" operator="equal">
      <formula>"Pass"</formula>
    </cfRule>
  </conditionalFormatting>
  <conditionalFormatting sqref="AG237">
    <cfRule type="containsText" dxfId="7446" priority="814" operator="containsText" text="Please check">
      <formula>NOT(ISERROR(SEARCH("Please check",AG237)))</formula>
    </cfRule>
    <cfRule type="containsText" dxfId="7445" priority="815" operator="containsText" text="Missing inputs">
      <formula>NOT(ISERROR(SEARCH("Missing inputs",AG237)))</formula>
    </cfRule>
    <cfRule type="containsText" dxfId="7444" priority="816" operator="containsText" text="OK">
      <formula>NOT(ISERROR(SEARCH("OK",AG237)))</formula>
    </cfRule>
  </conditionalFormatting>
  <conditionalFormatting sqref="AG239">
    <cfRule type="cellIs" dxfId="7443" priority="805" operator="equal">
      <formula>"""Missing Input"""</formula>
    </cfRule>
    <cfRule type="cellIs" dxfId="7442" priority="810" stopIfTrue="1" operator="equal">
      <formula>"No"</formula>
    </cfRule>
    <cfRule type="cellIs" dxfId="7441" priority="811" stopIfTrue="1" operator="equal">
      <formula>"Fail"</formula>
    </cfRule>
    <cfRule type="cellIs" dxfId="7440" priority="812" stopIfTrue="1" operator="equal">
      <formula>"please check"</formula>
    </cfRule>
  </conditionalFormatting>
  <conditionalFormatting sqref="AG239">
    <cfRule type="cellIs" dxfId="7439" priority="809" stopIfTrue="1" operator="equal">
      <formula>"Pass"</formula>
    </cfRule>
  </conditionalFormatting>
  <conditionalFormatting sqref="AG239">
    <cfRule type="containsText" dxfId="7438" priority="806" operator="containsText" text="Please check">
      <formula>NOT(ISERROR(SEARCH("Please check",AG239)))</formula>
    </cfRule>
    <cfRule type="containsText" dxfId="7437" priority="807" operator="containsText" text="Missing inputs">
      <formula>NOT(ISERROR(SEARCH("Missing inputs",AG239)))</formula>
    </cfRule>
    <cfRule type="containsText" dxfId="7436" priority="808" operator="containsText" text="OK">
      <formula>NOT(ISERROR(SEARCH("OK",AG239)))</formula>
    </cfRule>
  </conditionalFormatting>
  <conditionalFormatting sqref="AG243">
    <cfRule type="cellIs" dxfId="7435" priority="797" operator="equal">
      <formula>"""Missing Input"""</formula>
    </cfRule>
    <cfRule type="cellIs" dxfId="7434" priority="802" stopIfTrue="1" operator="equal">
      <formula>"No"</formula>
    </cfRule>
    <cfRule type="cellIs" dxfId="7433" priority="803" stopIfTrue="1" operator="equal">
      <formula>"Fail"</formula>
    </cfRule>
    <cfRule type="cellIs" dxfId="7432" priority="804" stopIfTrue="1" operator="equal">
      <formula>"please check"</formula>
    </cfRule>
  </conditionalFormatting>
  <conditionalFormatting sqref="AG243">
    <cfRule type="cellIs" dxfId="7431" priority="801" stopIfTrue="1" operator="equal">
      <formula>"Pass"</formula>
    </cfRule>
  </conditionalFormatting>
  <conditionalFormatting sqref="AG243">
    <cfRule type="containsText" dxfId="7430" priority="798" operator="containsText" text="Please check">
      <formula>NOT(ISERROR(SEARCH("Please check",AG243)))</formula>
    </cfRule>
    <cfRule type="containsText" dxfId="7429" priority="799" operator="containsText" text="Missing inputs">
      <formula>NOT(ISERROR(SEARCH("Missing inputs",AG243)))</formula>
    </cfRule>
    <cfRule type="containsText" dxfId="7428" priority="800" operator="containsText" text="OK">
      <formula>NOT(ISERROR(SEARCH("OK",AG243)))</formula>
    </cfRule>
  </conditionalFormatting>
  <conditionalFormatting sqref="AG245">
    <cfRule type="cellIs" dxfId="7427" priority="789" operator="equal">
      <formula>"""Missing Input"""</formula>
    </cfRule>
    <cfRule type="cellIs" dxfId="7426" priority="794" stopIfTrue="1" operator="equal">
      <formula>"No"</formula>
    </cfRule>
    <cfRule type="cellIs" dxfId="7425" priority="795" stopIfTrue="1" operator="equal">
      <formula>"Fail"</formula>
    </cfRule>
    <cfRule type="cellIs" dxfId="7424" priority="796" stopIfTrue="1" operator="equal">
      <formula>"please check"</formula>
    </cfRule>
  </conditionalFormatting>
  <conditionalFormatting sqref="AG245">
    <cfRule type="cellIs" dxfId="7423" priority="793" stopIfTrue="1" operator="equal">
      <formula>"Pass"</formula>
    </cfRule>
  </conditionalFormatting>
  <conditionalFormatting sqref="AG245">
    <cfRule type="containsText" dxfId="7422" priority="790" operator="containsText" text="Please check">
      <formula>NOT(ISERROR(SEARCH("Please check",AG245)))</formula>
    </cfRule>
    <cfRule type="containsText" dxfId="7421" priority="791" operator="containsText" text="Missing inputs">
      <formula>NOT(ISERROR(SEARCH("Missing inputs",AG245)))</formula>
    </cfRule>
    <cfRule type="containsText" dxfId="7420" priority="792" operator="containsText" text="OK">
      <formula>NOT(ISERROR(SEARCH("OK",AG245)))</formula>
    </cfRule>
  </conditionalFormatting>
  <conditionalFormatting sqref="AG247">
    <cfRule type="cellIs" dxfId="7419" priority="781" operator="equal">
      <formula>"""Missing Input"""</formula>
    </cfRule>
    <cfRule type="cellIs" dxfId="7418" priority="786" stopIfTrue="1" operator="equal">
      <formula>"No"</formula>
    </cfRule>
    <cfRule type="cellIs" dxfId="7417" priority="787" stopIfTrue="1" operator="equal">
      <formula>"Fail"</formula>
    </cfRule>
    <cfRule type="cellIs" dxfId="7416" priority="788" stopIfTrue="1" operator="equal">
      <formula>"please check"</formula>
    </cfRule>
  </conditionalFormatting>
  <conditionalFormatting sqref="AG247">
    <cfRule type="cellIs" dxfId="7415" priority="785" stopIfTrue="1" operator="equal">
      <formula>"Pass"</formula>
    </cfRule>
  </conditionalFormatting>
  <conditionalFormatting sqref="AG247">
    <cfRule type="containsText" dxfId="7414" priority="782" operator="containsText" text="Please check">
      <formula>NOT(ISERROR(SEARCH("Please check",AG247)))</formula>
    </cfRule>
    <cfRule type="containsText" dxfId="7413" priority="783" operator="containsText" text="Missing inputs">
      <formula>NOT(ISERROR(SEARCH("Missing inputs",AG247)))</formula>
    </cfRule>
    <cfRule type="containsText" dxfId="7412" priority="784" operator="containsText" text="OK">
      <formula>NOT(ISERROR(SEARCH("OK",AG247)))</formula>
    </cfRule>
  </conditionalFormatting>
  <conditionalFormatting sqref="AG249">
    <cfRule type="cellIs" dxfId="7411" priority="773" operator="equal">
      <formula>"""Missing Input"""</formula>
    </cfRule>
    <cfRule type="cellIs" dxfId="7410" priority="778" stopIfTrue="1" operator="equal">
      <formula>"No"</formula>
    </cfRule>
    <cfRule type="cellIs" dxfId="7409" priority="779" stopIfTrue="1" operator="equal">
      <formula>"Fail"</formula>
    </cfRule>
    <cfRule type="cellIs" dxfId="7408" priority="780" stopIfTrue="1" operator="equal">
      <formula>"please check"</formula>
    </cfRule>
  </conditionalFormatting>
  <conditionalFormatting sqref="AG249">
    <cfRule type="cellIs" dxfId="7407" priority="777" stopIfTrue="1" operator="equal">
      <formula>"Pass"</formula>
    </cfRule>
  </conditionalFormatting>
  <conditionalFormatting sqref="AG249">
    <cfRule type="containsText" dxfId="7406" priority="774" operator="containsText" text="Please check">
      <formula>NOT(ISERROR(SEARCH("Please check",AG249)))</formula>
    </cfRule>
    <cfRule type="containsText" dxfId="7405" priority="775" operator="containsText" text="Missing inputs">
      <formula>NOT(ISERROR(SEARCH("Missing inputs",AG249)))</formula>
    </cfRule>
    <cfRule type="containsText" dxfId="7404" priority="776" operator="containsText" text="OK">
      <formula>NOT(ISERROR(SEARCH("OK",AG249)))</formula>
    </cfRule>
  </conditionalFormatting>
  <conditionalFormatting sqref="AG252">
    <cfRule type="cellIs" dxfId="7403" priority="765" operator="equal">
      <formula>"""Missing Input"""</formula>
    </cfRule>
    <cfRule type="cellIs" dxfId="7402" priority="770" stopIfTrue="1" operator="equal">
      <formula>"No"</formula>
    </cfRule>
    <cfRule type="cellIs" dxfId="7401" priority="771" stopIfTrue="1" operator="equal">
      <formula>"Fail"</formula>
    </cfRule>
    <cfRule type="cellIs" dxfId="7400" priority="772" stopIfTrue="1" operator="equal">
      <formula>"please check"</formula>
    </cfRule>
  </conditionalFormatting>
  <conditionalFormatting sqref="AG252">
    <cfRule type="cellIs" dxfId="7399" priority="769" stopIfTrue="1" operator="equal">
      <formula>"Pass"</formula>
    </cfRule>
  </conditionalFormatting>
  <conditionalFormatting sqref="AG252">
    <cfRule type="containsText" dxfId="7398" priority="766" operator="containsText" text="Please check">
      <formula>NOT(ISERROR(SEARCH("Please check",AG252)))</formula>
    </cfRule>
    <cfRule type="containsText" dxfId="7397" priority="767" operator="containsText" text="Missing inputs">
      <formula>NOT(ISERROR(SEARCH("Missing inputs",AG252)))</formula>
    </cfRule>
    <cfRule type="containsText" dxfId="7396" priority="768" operator="containsText" text="OK">
      <formula>NOT(ISERROR(SEARCH("OK",AG252)))</formula>
    </cfRule>
  </conditionalFormatting>
  <conditionalFormatting sqref="AG250">
    <cfRule type="cellIs" dxfId="7395" priority="757" operator="equal">
      <formula>"""Missing Input"""</formula>
    </cfRule>
    <cfRule type="cellIs" dxfId="7394" priority="762" stopIfTrue="1" operator="equal">
      <formula>"No"</formula>
    </cfRule>
    <cfRule type="cellIs" dxfId="7393" priority="763" stopIfTrue="1" operator="equal">
      <formula>"Fail"</formula>
    </cfRule>
    <cfRule type="cellIs" dxfId="7392" priority="764" stopIfTrue="1" operator="equal">
      <formula>"please check"</formula>
    </cfRule>
  </conditionalFormatting>
  <conditionalFormatting sqref="AG250">
    <cfRule type="cellIs" dxfId="7391" priority="761" stopIfTrue="1" operator="equal">
      <formula>"Pass"</formula>
    </cfRule>
  </conditionalFormatting>
  <conditionalFormatting sqref="AG250">
    <cfRule type="containsText" dxfId="7390" priority="758" operator="containsText" text="Please check">
      <formula>NOT(ISERROR(SEARCH("Please check",AG250)))</formula>
    </cfRule>
    <cfRule type="containsText" dxfId="7389" priority="759" operator="containsText" text="Missing inputs">
      <formula>NOT(ISERROR(SEARCH("Missing inputs",AG250)))</formula>
    </cfRule>
    <cfRule type="containsText" dxfId="7388" priority="760" operator="containsText" text="OK">
      <formula>NOT(ISERROR(SEARCH("OK",AG250)))</formula>
    </cfRule>
  </conditionalFormatting>
  <conditionalFormatting sqref="AH239">
    <cfRule type="cellIs" dxfId="7387" priority="754" stopIfTrue="1" operator="equal">
      <formula>"No"</formula>
    </cfRule>
    <cfRule type="cellIs" dxfId="7386" priority="755" stopIfTrue="1" operator="equal">
      <formula>"Fail"</formula>
    </cfRule>
    <cfRule type="cellIs" dxfId="7385" priority="756" stopIfTrue="1" operator="equal">
      <formula>"please check"</formula>
    </cfRule>
  </conditionalFormatting>
  <conditionalFormatting sqref="AH239">
    <cfRule type="cellIs" dxfId="7384" priority="753" stopIfTrue="1" operator="equal">
      <formula>"Pass"</formula>
    </cfRule>
  </conditionalFormatting>
  <conditionalFormatting sqref="AH239">
    <cfRule type="containsText" dxfId="7383" priority="750" operator="containsText" text="Please check">
      <formula>NOT(ISERROR(SEARCH("Please check",AH239)))</formula>
    </cfRule>
    <cfRule type="containsText" dxfId="7382" priority="751" operator="containsText" text="Missing inputs">
      <formula>NOT(ISERROR(SEARCH("Missing inputs",AH239)))</formula>
    </cfRule>
    <cfRule type="containsText" dxfId="7381" priority="752" operator="containsText" text="OK">
      <formula>NOT(ISERROR(SEARCH("OK",AH239)))</formula>
    </cfRule>
  </conditionalFormatting>
  <conditionalFormatting sqref="AH243">
    <cfRule type="cellIs" dxfId="7380" priority="747" stopIfTrue="1" operator="equal">
      <formula>"No"</formula>
    </cfRule>
    <cfRule type="cellIs" dxfId="7379" priority="748" stopIfTrue="1" operator="equal">
      <formula>"Fail"</formula>
    </cfRule>
    <cfRule type="cellIs" dxfId="7378" priority="749" stopIfTrue="1" operator="equal">
      <formula>"please check"</formula>
    </cfRule>
  </conditionalFormatting>
  <conditionalFormatting sqref="AH243">
    <cfRule type="cellIs" dxfId="7377" priority="746" stopIfTrue="1" operator="equal">
      <formula>"Pass"</formula>
    </cfRule>
  </conditionalFormatting>
  <conditionalFormatting sqref="AH243">
    <cfRule type="containsText" dxfId="7376" priority="743" operator="containsText" text="Please check">
      <formula>NOT(ISERROR(SEARCH("Please check",AH243)))</formula>
    </cfRule>
    <cfRule type="containsText" dxfId="7375" priority="744" operator="containsText" text="Missing inputs">
      <formula>NOT(ISERROR(SEARCH("Missing inputs",AH243)))</formula>
    </cfRule>
    <cfRule type="containsText" dxfId="7374" priority="745" operator="containsText" text="OK">
      <formula>NOT(ISERROR(SEARCH("OK",AH243)))</formula>
    </cfRule>
  </conditionalFormatting>
  <conditionalFormatting sqref="AH245">
    <cfRule type="cellIs" dxfId="7373" priority="740" stopIfTrue="1" operator="equal">
      <formula>"No"</formula>
    </cfRule>
    <cfRule type="cellIs" dxfId="7372" priority="741" stopIfTrue="1" operator="equal">
      <formula>"Fail"</formula>
    </cfRule>
    <cfRule type="cellIs" dxfId="7371" priority="742" stopIfTrue="1" operator="equal">
      <formula>"please check"</formula>
    </cfRule>
  </conditionalFormatting>
  <conditionalFormatting sqref="AH245">
    <cfRule type="cellIs" dxfId="7370" priority="739" stopIfTrue="1" operator="equal">
      <formula>"Pass"</formula>
    </cfRule>
  </conditionalFormatting>
  <conditionalFormatting sqref="AH245">
    <cfRule type="containsText" dxfId="7369" priority="736" operator="containsText" text="Please check">
      <formula>NOT(ISERROR(SEARCH("Please check",AH245)))</formula>
    </cfRule>
    <cfRule type="containsText" dxfId="7368" priority="737" operator="containsText" text="Missing inputs">
      <formula>NOT(ISERROR(SEARCH("Missing inputs",AH245)))</formula>
    </cfRule>
    <cfRule type="containsText" dxfId="7367" priority="738" operator="containsText" text="OK">
      <formula>NOT(ISERROR(SEARCH("OK",AH245)))</formula>
    </cfRule>
  </conditionalFormatting>
  <conditionalFormatting sqref="AH247">
    <cfRule type="cellIs" dxfId="7366" priority="733" stopIfTrue="1" operator="equal">
      <formula>"No"</formula>
    </cfRule>
    <cfRule type="cellIs" dxfId="7365" priority="734" stopIfTrue="1" operator="equal">
      <formula>"Fail"</formula>
    </cfRule>
    <cfRule type="cellIs" dxfId="7364" priority="735" stopIfTrue="1" operator="equal">
      <formula>"please check"</formula>
    </cfRule>
  </conditionalFormatting>
  <conditionalFormatting sqref="AH247">
    <cfRule type="cellIs" dxfId="7363" priority="732" stopIfTrue="1" operator="equal">
      <formula>"Pass"</formula>
    </cfRule>
  </conditionalFormatting>
  <conditionalFormatting sqref="AH247">
    <cfRule type="containsText" dxfId="7362" priority="729" operator="containsText" text="Please check">
      <formula>NOT(ISERROR(SEARCH("Please check",AH247)))</formula>
    </cfRule>
    <cfRule type="containsText" dxfId="7361" priority="730" operator="containsText" text="Missing inputs">
      <formula>NOT(ISERROR(SEARCH("Missing inputs",AH247)))</formula>
    </cfRule>
    <cfRule type="containsText" dxfId="7360" priority="731" operator="containsText" text="OK">
      <formula>NOT(ISERROR(SEARCH("OK",AH247)))</formula>
    </cfRule>
  </conditionalFormatting>
  <conditionalFormatting sqref="AH249">
    <cfRule type="cellIs" dxfId="7359" priority="726" stopIfTrue="1" operator="equal">
      <formula>"No"</formula>
    </cfRule>
    <cfRule type="cellIs" dxfId="7358" priority="727" stopIfTrue="1" operator="equal">
      <formula>"Fail"</formula>
    </cfRule>
    <cfRule type="cellIs" dxfId="7357" priority="728" stopIfTrue="1" operator="equal">
      <formula>"please check"</formula>
    </cfRule>
  </conditionalFormatting>
  <conditionalFormatting sqref="AH249">
    <cfRule type="cellIs" dxfId="7356" priority="725" stopIfTrue="1" operator="equal">
      <formula>"Pass"</formula>
    </cfRule>
  </conditionalFormatting>
  <conditionalFormatting sqref="AH249">
    <cfRule type="containsText" dxfId="7355" priority="722" operator="containsText" text="Please check">
      <formula>NOT(ISERROR(SEARCH("Please check",AH249)))</formula>
    </cfRule>
    <cfRule type="containsText" dxfId="7354" priority="723" operator="containsText" text="Missing inputs">
      <formula>NOT(ISERROR(SEARCH("Missing inputs",AH249)))</formula>
    </cfRule>
    <cfRule type="containsText" dxfId="7353" priority="724" operator="containsText" text="OK">
      <formula>NOT(ISERROR(SEARCH("OK",AH249)))</formula>
    </cfRule>
  </conditionalFormatting>
  <conditionalFormatting sqref="AH252">
    <cfRule type="cellIs" dxfId="7352" priority="719" stopIfTrue="1" operator="equal">
      <formula>"No"</formula>
    </cfRule>
    <cfRule type="cellIs" dxfId="7351" priority="720" stopIfTrue="1" operator="equal">
      <formula>"Fail"</formula>
    </cfRule>
    <cfRule type="cellIs" dxfId="7350" priority="721" stopIfTrue="1" operator="equal">
      <formula>"please check"</formula>
    </cfRule>
  </conditionalFormatting>
  <conditionalFormatting sqref="AH252">
    <cfRule type="cellIs" dxfId="7349" priority="718" stopIfTrue="1" operator="equal">
      <formula>"Pass"</formula>
    </cfRule>
  </conditionalFormatting>
  <conditionalFormatting sqref="AH252">
    <cfRule type="containsText" dxfId="7348" priority="715" operator="containsText" text="Please check">
      <formula>NOT(ISERROR(SEARCH("Please check",AH252)))</formula>
    </cfRule>
    <cfRule type="containsText" dxfId="7347" priority="716" operator="containsText" text="Missing inputs">
      <formula>NOT(ISERROR(SEARCH("Missing inputs",AH252)))</formula>
    </cfRule>
    <cfRule type="containsText" dxfId="7346" priority="717" operator="containsText" text="OK">
      <formula>NOT(ISERROR(SEARCH("OK",AH252)))</formula>
    </cfRule>
  </conditionalFormatting>
  <conditionalFormatting sqref="AH254">
    <cfRule type="cellIs" dxfId="7345" priority="712" stopIfTrue="1" operator="equal">
      <formula>"No"</formula>
    </cfRule>
    <cfRule type="cellIs" dxfId="7344" priority="713" stopIfTrue="1" operator="equal">
      <formula>"Fail"</formula>
    </cfRule>
    <cfRule type="cellIs" dxfId="7343" priority="714" stopIfTrue="1" operator="equal">
      <formula>"please check"</formula>
    </cfRule>
  </conditionalFormatting>
  <conditionalFormatting sqref="AH254">
    <cfRule type="cellIs" dxfId="7342" priority="711" stopIfTrue="1" operator="equal">
      <formula>"Pass"</formula>
    </cfRule>
  </conditionalFormatting>
  <conditionalFormatting sqref="AH254">
    <cfRule type="containsText" dxfId="7341" priority="708" operator="containsText" text="Please check">
      <formula>NOT(ISERROR(SEARCH("Please check",AH254)))</formula>
    </cfRule>
    <cfRule type="containsText" dxfId="7340" priority="709" operator="containsText" text="Missing inputs">
      <formula>NOT(ISERROR(SEARCH("Missing inputs",AH254)))</formula>
    </cfRule>
    <cfRule type="containsText" dxfId="7339" priority="710" operator="containsText" text="OK">
      <formula>NOT(ISERROR(SEARCH("OK",AH254)))</formula>
    </cfRule>
  </conditionalFormatting>
  <conditionalFormatting sqref="AH250">
    <cfRule type="cellIs" dxfId="7338" priority="705" stopIfTrue="1" operator="equal">
      <formula>"No"</formula>
    </cfRule>
    <cfRule type="cellIs" dxfId="7337" priority="706" stopIfTrue="1" operator="equal">
      <formula>"Fail"</formula>
    </cfRule>
    <cfRule type="cellIs" dxfId="7336" priority="707" stopIfTrue="1" operator="equal">
      <formula>"please check"</formula>
    </cfRule>
  </conditionalFormatting>
  <conditionalFormatting sqref="AH250">
    <cfRule type="cellIs" dxfId="7335" priority="704" stopIfTrue="1" operator="equal">
      <formula>"Pass"</formula>
    </cfRule>
  </conditionalFormatting>
  <conditionalFormatting sqref="AH255">
    <cfRule type="cellIs" dxfId="7334" priority="701" stopIfTrue="1" operator="equal">
      <formula>"No"</formula>
    </cfRule>
    <cfRule type="cellIs" dxfId="7333" priority="702" stopIfTrue="1" operator="equal">
      <formula>"Fail"</formula>
    </cfRule>
    <cfRule type="cellIs" dxfId="7332" priority="703" stopIfTrue="1" operator="equal">
      <formula>"please check"</formula>
    </cfRule>
  </conditionalFormatting>
  <conditionalFormatting sqref="AH255">
    <cfRule type="cellIs" dxfId="7331" priority="700" stopIfTrue="1" operator="equal">
      <formula>"Pass"</formula>
    </cfRule>
  </conditionalFormatting>
  <conditionalFormatting sqref="AI236">
    <cfRule type="cellIs" dxfId="7330" priority="699" stopIfTrue="1" operator="equal">
      <formula>"Pass"</formula>
    </cfRule>
  </conditionalFormatting>
  <conditionalFormatting sqref="AI236">
    <cfRule type="cellIs" dxfId="7329" priority="696" stopIfTrue="1" operator="equal">
      <formula>"No"</formula>
    </cfRule>
    <cfRule type="cellIs" dxfId="7328" priority="697" stopIfTrue="1" operator="equal">
      <formula>"Fail"</formula>
    </cfRule>
    <cfRule type="cellIs" dxfId="7327" priority="698" stopIfTrue="1" operator="equal">
      <formula>"please check"</formula>
    </cfRule>
  </conditionalFormatting>
  <conditionalFormatting sqref="AI236">
    <cfRule type="containsText" dxfId="7326" priority="693" operator="containsText" text="Please check">
      <formula>NOT(ISERROR(SEARCH("Please check",AI236)))</formula>
    </cfRule>
    <cfRule type="containsText" dxfId="7325" priority="694" operator="containsText" text="Missing inputs">
      <formula>NOT(ISERROR(SEARCH("Missing inputs",AI236)))</formula>
    </cfRule>
    <cfRule type="containsText" dxfId="7324" priority="695" operator="containsText" text="OK">
      <formula>NOT(ISERROR(SEARCH("OK",AI236)))</formula>
    </cfRule>
  </conditionalFormatting>
  <conditionalFormatting sqref="AI237">
    <cfRule type="cellIs" dxfId="7323" priority="690" stopIfTrue="1" operator="equal">
      <formula>"No"</formula>
    </cfRule>
    <cfRule type="cellIs" dxfId="7322" priority="691" stopIfTrue="1" operator="equal">
      <formula>"Fail"</formula>
    </cfRule>
    <cfRule type="cellIs" dxfId="7321" priority="692" stopIfTrue="1" operator="equal">
      <formula>"please check"</formula>
    </cfRule>
  </conditionalFormatting>
  <conditionalFormatting sqref="AI237">
    <cfRule type="cellIs" dxfId="7320" priority="689" stopIfTrue="1" operator="equal">
      <formula>"Pass"</formula>
    </cfRule>
  </conditionalFormatting>
  <conditionalFormatting sqref="AI239">
    <cfRule type="cellIs" dxfId="7319" priority="686" stopIfTrue="1" operator="equal">
      <formula>"No"</formula>
    </cfRule>
    <cfRule type="cellIs" dxfId="7318" priority="687" stopIfTrue="1" operator="equal">
      <formula>"Fail"</formula>
    </cfRule>
    <cfRule type="cellIs" dxfId="7317" priority="688" stopIfTrue="1" operator="equal">
      <formula>"please check"</formula>
    </cfRule>
  </conditionalFormatting>
  <conditionalFormatting sqref="AI239">
    <cfRule type="cellIs" dxfId="7316" priority="685" stopIfTrue="1" operator="equal">
      <formula>"Pass"</formula>
    </cfRule>
  </conditionalFormatting>
  <conditionalFormatting sqref="AI241:AI252">
    <cfRule type="cellIs" dxfId="7315" priority="682" stopIfTrue="1" operator="equal">
      <formula>"No"</formula>
    </cfRule>
    <cfRule type="cellIs" dxfId="7314" priority="683" stopIfTrue="1" operator="equal">
      <formula>"Fail"</formula>
    </cfRule>
    <cfRule type="cellIs" dxfId="7313" priority="684" stopIfTrue="1" operator="equal">
      <formula>"please check"</formula>
    </cfRule>
  </conditionalFormatting>
  <conditionalFormatting sqref="AI241:AI252">
    <cfRule type="cellIs" dxfId="7312" priority="681" stopIfTrue="1" operator="equal">
      <formula>"Pass"</formula>
    </cfRule>
  </conditionalFormatting>
  <conditionalFormatting sqref="AI254:AI255">
    <cfRule type="cellIs" dxfId="7311" priority="678" stopIfTrue="1" operator="equal">
      <formula>"No"</formula>
    </cfRule>
    <cfRule type="cellIs" dxfId="7310" priority="679" stopIfTrue="1" operator="equal">
      <formula>"Fail"</formula>
    </cfRule>
    <cfRule type="cellIs" dxfId="7309" priority="680" stopIfTrue="1" operator="equal">
      <formula>"please check"</formula>
    </cfRule>
  </conditionalFormatting>
  <conditionalFormatting sqref="AI254:AI255">
    <cfRule type="cellIs" dxfId="7308" priority="677" stopIfTrue="1" operator="equal">
      <formula>"Pass"</formula>
    </cfRule>
  </conditionalFormatting>
  <conditionalFormatting sqref="AJ236">
    <cfRule type="cellIs" dxfId="7307" priority="676" stopIfTrue="1" operator="equal">
      <formula>"Pass"</formula>
    </cfRule>
  </conditionalFormatting>
  <conditionalFormatting sqref="AJ236">
    <cfRule type="cellIs" dxfId="7306" priority="673" stopIfTrue="1" operator="equal">
      <formula>"No"</formula>
    </cfRule>
    <cfRule type="cellIs" dxfId="7305" priority="674" stopIfTrue="1" operator="equal">
      <formula>"Fail"</formula>
    </cfRule>
    <cfRule type="cellIs" dxfId="7304" priority="675" stopIfTrue="1" operator="equal">
      <formula>"please check"</formula>
    </cfRule>
  </conditionalFormatting>
  <conditionalFormatting sqref="AJ236">
    <cfRule type="containsText" dxfId="7303" priority="670" operator="containsText" text="Please check">
      <formula>NOT(ISERROR(SEARCH("Please check",AJ236)))</formula>
    </cfRule>
    <cfRule type="containsText" dxfId="7302" priority="671" operator="containsText" text="Missing inputs">
      <formula>NOT(ISERROR(SEARCH("Missing inputs",AJ236)))</formula>
    </cfRule>
    <cfRule type="containsText" dxfId="7301" priority="672" operator="containsText" text="OK">
      <formula>NOT(ISERROR(SEARCH("OK",AJ236)))</formula>
    </cfRule>
  </conditionalFormatting>
  <conditionalFormatting sqref="AJ236">
    <cfRule type="cellIs" dxfId="7300" priority="667" stopIfTrue="1" operator="equal">
      <formula>"No"</formula>
    </cfRule>
    <cfRule type="cellIs" dxfId="7299" priority="668" stopIfTrue="1" operator="equal">
      <formula>"Fail"</formula>
    </cfRule>
    <cfRule type="cellIs" dxfId="7298" priority="669" stopIfTrue="1" operator="equal">
      <formula>"please check"</formula>
    </cfRule>
  </conditionalFormatting>
  <conditionalFormatting sqref="AJ236">
    <cfRule type="cellIs" dxfId="7297" priority="666" stopIfTrue="1" operator="equal">
      <formula>"Pass"</formula>
    </cfRule>
  </conditionalFormatting>
  <conditionalFormatting sqref="AJ236">
    <cfRule type="containsText" dxfId="7296" priority="663" operator="containsText" text="Please check">
      <formula>NOT(ISERROR(SEARCH("Please check",AJ236)))</formula>
    </cfRule>
    <cfRule type="containsText" dxfId="7295" priority="664" operator="containsText" text="Missing inputs">
      <formula>NOT(ISERROR(SEARCH("Missing inputs",AJ236)))</formula>
    </cfRule>
    <cfRule type="containsText" dxfId="7294" priority="665" operator="containsText" text="OK">
      <formula>NOT(ISERROR(SEARCH("OK",AJ236)))</formula>
    </cfRule>
  </conditionalFormatting>
  <conditionalFormatting sqref="AJ238">
    <cfRule type="cellIs" dxfId="7293" priority="662" stopIfTrue="1" operator="equal">
      <formula>"Pass"</formula>
    </cfRule>
  </conditionalFormatting>
  <conditionalFormatting sqref="AJ238">
    <cfRule type="cellIs" dxfId="7292" priority="659" stopIfTrue="1" operator="equal">
      <formula>"No"</formula>
    </cfRule>
    <cfRule type="cellIs" dxfId="7291" priority="660" stopIfTrue="1" operator="equal">
      <formula>"Fail"</formula>
    </cfRule>
    <cfRule type="cellIs" dxfId="7290" priority="661" stopIfTrue="1" operator="equal">
      <formula>"please check"</formula>
    </cfRule>
  </conditionalFormatting>
  <conditionalFormatting sqref="AJ238">
    <cfRule type="containsText" dxfId="7289" priority="656" operator="containsText" text="Please check">
      <formula>NOT(ISERROR(SEARCH("Please check",AJ238)))</formula>
    </cfRule>
    <cfRule type="containsText" dxfId="7288" priority="657" operator="containsText" text="Missing inputs">
      <formula>NOT(ISERROR(SEARCH("Missing inputs",AJ238)))</formula>
    </cfRule>
    <cfRule type="containsText" dxfId="7287" priority="658" operator="containsText" text="OK">
      <formula>NOT(ISERROR(SEARCH("OK",AJ238)))</formula>
    </cfRule>
  </conditionalFormatting>
  <conditionalFormatting sqref="AJ238">
    <cfRule type="cellIs" dxfId="7286" priority="653" stopIfTrue="1" operator="equal">
      <formula>"No"</formula>
    </cfRule>
    <cfRule type="cellIs" dxfId="7285" priority="654" stopIfTrue="1" operator="equal">
      <formula>"Fail"</formula>
    </cfRule>
    <cfRule type="cellIs" dxfId="7284" priority="655" stopIfTrue="1" operator="equal">
      <formula>"please check"</formula>
    </cfRule>
  </conditionalFormatting>
  <conditionalFormatting sqref="AJ238">
    <cfRule type="cellIs" dxfId="7283" priority="652" stopIfTrue="1" operator="equal">
      <formula>"Pass"</formula>
    </cfRule>
  </conditionalFormatting>
  <conditionalFormatting sqref="AJ238">
    <cfRule type="containsText" dxfId="7282" priority="649" operator="containsText" text="Please check">
      <formula>NOT(ISERROR(SEARCH("Please check",AJ238)))</formula>
    </cfRule>
    <cfRule type="containsText" dxfId="7281" priority="650" operator="containsText" text="Missing inputs">
      <formula>NOT(ISERROR(SEARCH("Missing inputs",AJ238)))</formula>
    </cfRule>
    <cfRule type="containsText" dxfId="7280" priority="651" operator="containsText" text="OK">
      <formula>NOT(ISERROR(SEARCH("OK",AJ238)))</formula>
    </cfRule>
  </conditionalFormatting>
  <conditionalFormatting sqref="AJ242">
    <cfRule type="cellIs" dxfId="7279" priority="648" stopIfTrue="1" operator="equal">
      <formula>"Pass"</formula>
    </cfRule>
  </conditionalFormatting>
  <conditionalFormatting sqref="AJ242">
    <cfRule type="cellIs" dxfId="7278" priority="645" stopIfTrue="1" operator="equal">
      <formula>"No"</formula>
    </cfRule>
    <cfRule type="cellIs" dxfId="7277" priority="646" stopIfTrue="1" operator="equal">
      <formula>"Fail"</formula>
    </cfRule>
    <cfRule type="cellIs" dxfId="7276" priority="647" stopIfTrue="1" operator="equal">
      <formula>"please check"</formula>
    </cfRule>
  </conditionalFormatting>
  <conditionalFormatting sqref="AJ242">
    <cfRule type="containsText" dxfId="7275" priority="642" operator="containsText" text="Please check">
      <formula>NOT(ISERROR(SEARCH("Please check",AJ242)))</formula>
    </cfRule>
    <cfRule type="containsText" dxfId="7274" priority="643" operator="containsText" text="Missing inputs">
      <formula>NOT(ISERROR(SEARCH("Missing inputs",AJ242)))</formula>
    </cfRule>
    <cfRule type="containsText" dxfId="7273" priority="644" operator="containsText" text="OK">
      <formula>NOT(ISERROR(SEARCH("OK",AJ242)))</formula>
    </cfRule>
  </conditionalFormatting>
  <conditionalFormatting sqref="AJ242">
    <cfRule type="cellIs" dxfId="7272" priority="639" stopIfTrue="1" operator="equal">
      <formula>"No"</formula>
    </cfRule>
    <cfRule type="cellIs" dxfId="7271" priority="640" stopIfTrue="1" operator="equal">
      <formula>"Fail"</formula>
    </cfRule>
    <cfRule type="cellIs" dxfId="7270" priority="641" stopIfTrue="1" operator="equal">
      <formula>"please check"</formula>
    </cfRule>
  </conditionalFormatting>
  <conditionalFormatting sqref="AJ242">
    <cfRule type="cellIs" dxfId="7269" priority="638" stopIfTrue="1" operator="equal">
      <formula>"Pass"</formula>
    </cfRule>
  </conditionalFormatting>
  <conditionalFormatting sqref="AJ242">
    <cfRule type="containsText" dxfId="7268" priority="635" operator="containsText" text="Please check">
      <formula>NOT(ISERROR(SEARCH("Please check",AJ242)))</formula>
    </cfRule>
    <cfRule type="containsText" dxfId="7267" priority="636" operator="containsText" text="Missing inputs">
      <formula>NOT(ISERROR(SEARCH("Missing inputs",AJ242)))</formula>
    </cfRule>
    <cfRule type="containsText" dxfId="7266" priority="637" operator="containsText" text="OK">
      <formula>NOT(ISERROR(SEARCH("OK",AJ242)))</formula>
    </cfRule>
  </conditionalFormatting>
  <conditionalFormatting sqref="AJ244">
    <cfRule type="cellIs" dxfId="7265" priority="634" stopIfTrue="1" operator="equal">
      <formula>"Pass"</formula>
    </cfRule>
  </conditionalFormatting>
  <conditionalFormatting sqref="AJ244">
    <cfRule type="cellIs" dxfId="7264" priority="631" stopIfTrue="1" operator="equal">
      <formula>"No"</formula>
    </cfRule>
    <cfRule type="cellIs" dxfId="7263" priority="632" stopIfTrue="1" operator="equal">
      <formula>"Fail"</formula>
    </cfRule>
    <cfRule type="cellIs" dxfId="7262" priority="633" stopIfTrue="1" operator="equal">
      <formula>"please check"</formula>
    </cfRule>
  </conditionalFormatting>
  <conditionalFormatting sqref="AJ244">
    <cfRule type="containsText" dxfId="7261" priority="628" operator="containsText" text="Please check">
      <formula>NOT(ISERROR(SEARCH("Please check",AJ244)))</formula>
    </cfRule>
    <cfRule type="containsText" dxfId="7260" priority="629" operator="containsText" text="Missing inputs">
      <formula>NOT(ISERROR(SEARCH("Missing inputs",AJ244)))</formula>
    </cfRule>
    <cfRule type="containsText" dxfId="7259" priority="630" operator="containsText" text="OK">
      <formula>NOT(ISERROR(SEARCH("OK",AJ244)))</formula>
    </cfRule>
  </conditionalFormatting>
  <conditionalFormatting sqref="AJ244">
    <cfRule type="cellIs" dxfId="7258" priority="625" stopIfTrue="1" operator="equal">
      <formula>"No"</formula>
    </cfRule>
    <cfRule type="cellIs" dxfId="7257" priority="626" stopIfTrue="1" operator="equal">
      <formula>"Fail"</formula>
    </cfRule>
    <cfRule type="cellIs" dxfId="7256" priority="627" stopIfTrue="1" operator="equal">
      <formula>"please check"</formula>
    </cfRule>
  </conditionalFormatting>
  <conditionalFormatting sqref="AJ244">
    <cfRule type="cellIs" dxfId="7255" priority="624" stopIfTrue="1" operator="equal">
      <formula>"Pass"</formula>
    </cfRule>
  </conditionalFormatting>
  <conditionalFormatting sqref="AJ244">
    <cfRule type="containsText" dxfId="7254" priority="621" operator="containsText" text="Please check">
      <formula>NOT(ISERROR(SEARCH("Please check",AJ244)))</formula>
    </cfRule>
    <cfRule type="containsText" dxfId="7253" priority="622" operator="containsText" text="Missing inputs">
      <formula>NOT(ISERROR(SEARCH("Missing inputs",AJ244)))</formula>
    </cfRule>
    <cfRule type="containsText" dxfId="7252" priority="623" operator="containsText" text="OK">
      <formula>NOT(ISERROR(SEARCH("OK",AJ244)))</formula>
    </cfRule>
  </conditionalFormatting>
  <conditionalFormatting sqref="AJ246">
    <cfRule type="cellIs" dxfId="7251" priority="620" stopIfTrue="1" operator="equal">
      <formula>"Pass"</formula>
    </cfRule>
  </conditionalFormatting>
  <conditionalFormatting sqref="AJ246">
    <cfRule type="cellIs" dxfId="7250" priority="617" stopIfTrue="1" operator="equal">
      <formula>"No"</formula>
    </cfRule>
    <cfRule type="cellIs" dxfId="7249" priority="618" stopIfTrue="1" operator="equal">
      <formula>"Fail"</formula>
    </cfRule>
    <cfRule type="cellIs" dxfId="7248" priority="619" stopIfTrue="1" operator="equal">
      <formula>"please check"</formula>
    </cfRule>
  </conditionalFormatting>
  <conditionalFormatting sqref="AJ246">
    <cfRule type="containsText" dxfId="7247" priority="614" operator="containsText" text="Please check">
      <formula>NOT(ISERROR(SEARCH("Please check",AJ246)))</formula>
    </cfRule>
    <cfRule type="containsText" dxfId="7246" priority="615" operator="containsText" text="Missing inputs">
      <formula>NOT(ISERROR(SEARCH("Missing inputs",AJ246)))</formula>
    </cfRule>
    <cfRule type="containsText" dxfId="7245" priority="616" operator="containsText" text="OK">
      <formula>NOT(ISERROR(SEARCH("OK",AJ246)))</formula>
    </cfRule>
  </conditionalFormatting>
  <conditionalFormatting sqref="AJ246">
    <cfRule type="cellIs" dxfId="7244" priority="611" stopIfTrue="1" operator="equal">
      <formula>"No"</formula>
    </cfRule>
    <cfRule type="cellIs" dxfId="7243" priority="612" stopIfTrue="1" operator="equal">
      <formula>"Fail"</formula>
    </cfRule>
    <cfRule type="cellIs" dxfId="7242" priority="613" stopIfTrue="1" operator="equal">
      <formula>"please check"</formula>
    </cfRule>
  </conditionalFormatting>
  <conditionalFormatting sqref="AJ246">
    <cfRule type="cellIs" dxfId="7241" priority="610" stopIfTrue="1" operator="equal">
      <formula>"Pass"</formula>
    </cfRule>
  </conditionalFormatting>
  <conditionalFormatting sqref="AJ246">
    <cfRule type="containsText" dxfId="7240" priority="607" operator="containsText" text="Please check">
      <formula>NOT(ISERROR(SEARCH("Please check",AJ246)))</formula>
    </cfRule>
    <cfRule type="containsText" dxfId="7239" priority="608" operator="containsText" text="Missing inputs">
      <formula>NOT(ISERROR(SEARCH("Missing inputs",AJ246)))</formula>
    </cfRule>
    <cfRule type="containsText" dxfId="7238" priority="609" operator="containsText" text="OK">
      <formula>NOT(ISERROR(SEARCH("OK",AJ246)))</formula>
    </cfRule>
  </conditionalFormatting>
  <conditionalFormatting sqref="AJ248">
    <cfRule type="cellIs" dxfId="7237" priority="606" stopIfTrue="1" operator="equal">
      <formula>"Pass"</formula>
    </cfRule>
  </conditionalFormatting>
  <conditionalFormatting sqref="AJ248">
    <cfRule type="cellIs" dxfId="7236" priority="603" stopIfTrue="1" operator="equal">
      <formula>"No"</formula>
    </cfRule>
    <cfRule type="cellIs" dxfId="7235" priority="604" stopIfTrue="1" operator="equal">
      <formula>"Fail"</formula>
    </cfRule>
    <cfRule type="cellIs" dxfId="7234" priority="605" stopIfTrue="1" operator="equal">
      <formula>"please check"</formula>
    </cfRule>
  </conditionalFormatting>
  <conditionalFormatting sqref="AJ248">
    <cfRule type="containsText" dxfId="7233" priority="600" operator="containsText" text="Please check">
      <formula>NOT(ISERROR(SEARCH("Please check",AJ248)))</formula>
    </cfRule>
    <cfRule type="containsText" dxfId="7232" priority="601" operator="containsText" text="Missing inputs">
      <formula>NOT(ISERROR(SEARCH("Missing inputs",AJ248)))</formula>
    </cfRule>
    <cfRule type="containsText" dxfId="7231" priority="602" operator="containsText" text="OK">
      <formula>NOT(ISERROR(SEARCH("OK",AJ248)))</formula>
    </cfRule>
  </conditionalFormatting>
  <conditionalFormatting sqref="AJ248">
    <cfRule type="cellIs" dxfId="7230" priority="597" stopIfTrue="1" operator="equal">
      <formula>"No"</formula>
    </cfRule>
    <cfRule type="cellIs" dxfId="7229" priority="598" stopIfTrue="1" operator="equal">
      <formula>"Fail"</formula>
    </cfRule>
    <cfRule type="cellIs" dxfId="7228" priority="599" stopIfTrue="1" operator="equal">
      <formula>"please check"</formula>
    </cfRule>
  </conditionalFormatting>
  <conditionalFormatting sqref="AJ248">
    <cfRule type="cellIs" dxfId="7227" priority="596" stopIfTrue="1" operator="equal">
      <formula>"Pass"</formula>
    </cfRule>
  </conditionalFormatting>
  <conditionalFormatting sqref="AJ248">
    <cfRule type="containsText" dxfId="7226" priority="593" operator="containsText" text="Please check">
      <formula>NOT(ISERROR(SEARCH("Please check",AJ248)))</formula>
    </cfRule>
    <cfRule type="containsText" dxfId="7225" priority="594" operator="containsText" text="Missing inputs">
      <formula>NOT(ISERROR(SEARCH("Missing inputs",AJ248)))</formula>
    </cfRule>
    <cfRule type="containsText" dxfId="7224" priority="595" operator="containsText" text="OK">
      <formula>NOT(ISERROR(SEARCH("OK",AJ248)))</formula>
    </cfRule>
  </conditionalFormatting>
  <conditionalFormatting sqref="AJ251">
    <cfRule type="cellIs" dxfId="7223" priority="592" stopIfTrue="1" operator="equal">
      <formula>"Pass"</formula>
    </cfRule>
  </conditionalFormatting>
  <conditionalFormatting sqref="AJ251">
    <cfRule type="cellIs" dxfId="7222" priority="589" stopIfTrue="1" operator="equal">
      <formula>"No"</formula>
    </cfRule>
    <cfRule type="cellIs" dxfId="7221" priority="590" stopIfTrue="1" operator="equal">
      <formula>"Fail"</formula>
    </cfRule>
    <cfRule type="cellIs" dxfId="7220" priority="591" stopIfTrue="1" operator="equal">
      <formula>"please check"</formula>
    </cfRule>
  </conditionalFormatting>
  <conditionalFormatting sqref="AJ251">
    <cfRule type="containsText" dxfId="7219" priority="586" operator="containsText" text="Please check">
      <formula>NOT(ISERROR(SEARCH("Please check",AJ251)))</formula>
    </cfRule>
    <cfRule type="containsText" dxfId="7218" priority="587" operator="containsText" text="Missing inputs">
      <formula>NOT(ISERROR(SEARCH("Missing inputs",AJ251)))</formula>
    </cfRule>
    <cfRule type="containsText" dxfId="7217" priority="588" operator="containsText" text="OK">
      <formula>NOT(ISERROR(SEARCH("OK",AJ251)))</formula>
    </cfRule>
  </conditionalFormatting>
  <conditionalFormatting sqref="AJ251">
    <cfRule type="cellIs" dxfId="7216" priority="583" stopIfTrue="1" operator="equal">
      <formula>"No"</formula>
    </cfRule>
    <cfRule type="cellIs" dxfId="7215" priority="584" stopIfTrue="1" operator="equal">
      <formula>"Fail"</formula>
    </cfRule>
    <cfRule type="cellIs" dxfId="7214" priority="585" stopIfTrue="1" operator="equal">
      <formula>"please check"</formula>
    </cfRule>
  </conditionalFormatting>
  <conditionalFormatting sqref="AJ251">
    <cfRule type="cellIs" dxfId="7213" priority="582" stopIfTrue="1" operator="equal">
      <formula>"Pass"</formula>
    </cfRule>
  </conditionalFormatting>
  <conditionalFormatting sqref="AJ251">
    <cfRule type="containsText" dxfId="7212" priority="579" operator="containsText" text="Please check">
      <formula>NOT(ISERROR(SEARCH("Please check",AJ251)))</formula>
    </cfRule>
    <cfRule type="containsText" dxfId="7211" priority="580" operator="containsText" text="Missing inputs">
      <formula>NOT(ISERROR(SEARCH("Missing inputs",AJ251)))</formula>
    </cfRule>
    <cfRule type="containsText" dxfId="7210" priority="581" operator="containsText" text="OK">
      <formula>NOT(ISERROR(SEARCH("OK",AJ251)))</formula>
    </cfRule>
  </conditionalFormatting>
  <conditionalFormatting sqref="AJ255">
    <cfRule type="cellIs" dxfId="7209" priority="578" stopIfTrue="1" operator="equal">
      <formula>"Pass"</formula>
    </cfRule>
  </conditionalFormatting>
  <conditionalFormatting sqref="AJ255">
    <cfRule type="cellIs" dxfId="7208" priority="575" stopIfTrue="1" operator="equal">
      <formula>"No"</formula>
    </cfRule>
    <cfRule type="cellIs" dxfId="7207" priority="576" stopIfTrue="1" operator="equal">
      <formula>"Fail"</formula>
    </cfRule>
    <cfRule type="cellIs" dxfId="7206" priority="577" stopIfTrue="1" operator="equal">
      <formula>"please check"</formula>
    </cfRule>
  </conditionalFormatting>
  <conditionalFormatting sqref="AJ255">
    <cfRule type="containsText" dxfId="7205" priority="572" operator="containsText" text="Please check">
      <formula>NOT(ISERROR(SEARCH("Please check",AJ255)))</formula>
    </cfRule>
    <cfRule type="containsText" dxfId="7204" priority="573" operator="containsText" text="Missing inputs">
      <formula>NOT(ISERROR(SEARCH("Missing inputs",AJ255)))</formula>
    </cfRule>
    <cfRule type="containsText" dxfId="7203" priority="574" operator="containsText" text="OK">
      <formula>NOT(ISERROR(SEARCH("OK",AJ255)))</formula>
    </cfRule>
  </conditionalFormatting>
  <conditionalFormatting sqref="AJ255">
    <cfRule type="cellIs" dxfId="7202" priority="569" stopIfTrue="1" operator="equal">
      <formula>"No"</formula>
    </cfRule>
    <cfRule type="cellIs" dxfId="7201" priority="570" stopIfTrue="1" operator="equal">
      <formula>"Fail"</formula>
    </cfRule>
    <cfRule type="cellIs" dxfId="7200" priority="571" stopIfTrue="1" operator="equal">
      <formula>"please check"</formula>
    </cfRule>
  </conditionalFormatting>
  <conditionalFormatting sqref="AJ255">
    <cfRule type="cellIs" dxfId="7199" priority="568" stopIfTrue="1" operator="equal">
      <formula>"Pass"</formula>
    </cfRule>
  </conditionalFormatting>
  <conditionalFormatting sqref="AJ255">
    <cfRule type="containsText" dxfId="7198" priority="565" operator="containsText" text="Please check">
      <formula>NOT(ISERROR(SEARCH("Please check",AJ255)))</formula>
    </cfRule>
    <cfRule type="containsText" dxfId="7197" priority="566" operator="containsText" text="Missing inputs">
      <formula>NOT(ISERROR(SEARCH("Missing inputs",AJ255)))</formula>
    </cfRule>
    <cfRule type="containsText" dxfId="7196" priority="567" operator="containsText" text="OK">
      <formula>NOT(ISERROR(SEARCH("OK",AJ255)))</formula>
    </cfRule>
  </conditionalFormatting>
  <conditionalFormatting sqref="AK236">
    <cfRule type="cellIs" dxfId="7195" priority="562" stopIfTrue="1" operator="equal">
      <formula>"No"</formula>
    </cfRule>
    <cfRule type="cellIs" dxfId="7194" priority="563" stopIfTrue="1" operator="equal">
      <formula>"Fail"</formula>
    </cfRule>
    <cfRule type="cellIs" dxfId="7193" priority="564" stopIfTrue="1" operator="equal">
      <formula>"please check"</formula>
    </cfRule>
  </conditionalFormatting>
  <conditionalFormatting sqref="AK236">
    <cfRule type="cellIs" dxfId="7192" priority="561" stopIfTrue="1" operator="equal">
      <formula>"Pass"</formula>
    </cfRule>
  </conditionalFormatting>
  <conditionalFormatting sqref="AK236">
    <cfRule type="containsText" dxfId="7191" priority="558" operator="containsText" text="Please check">
      <formula>NOT(ISERROR(SEARCH("Please check",AK236)))</formula>
    </cfRule>
    <cfRule type="containsText" dxfId="7190" priority="559" operator="containsText" text="Missing inputs">
      <formula>NOT(ISERROR(SEARCH("Missing inputs",AK236)))</formula>
    </cfRule>
    <cfRule type="containsText" dxfId="7189" priority="560" operator="containsText" text="OK">
      <formula>NOT(ISERROR(SEARCH("OK",AK236)))</formula>
    </cfRule>
  </conditionalFormatting>
  <conditionalFormatting sqref="AK238">
    <cfRule type="cellIs" dxfId="7188" priority="555" stopIfTrue="1" operator="equal">
      <formula>"No"</formula>
    </cfRule>
    <cfRule type="cellIs" dxfId="7187" priority="556" stopIfTrue="1" operator="equal">
      <formula>"Fail"</formula>
    </cfRule>
    <cfRule type="cellIs" dxfId="7186" priority="557" stopIfTrue="1" operator="equal">
      <formula>"please check"</formula>
    </cfRule>
  </conditionalFormatting>
  <conditionalFormatting sqref="AK238">
    <cfRule type="cellIs" dxfId="7185" priority="554" stopIfTrue="1" operator="equal">
      <formula>"Pass"</formula>
    </cfRule>
  </conditionalFormatting>
  <conditionalFormatting sqref="AK238">
    <cfRule type="containsText" dxfId="7184" priority="551" operator="containsText" text="Please check">
      <formula>NOT(ISERROR(SEARCH("Please check",AK238)))</formula>
    </cfRule>
    <cfRule type="containsText" dxfId="7183" priority="552" operator="containsText" text="Missing inputs">
      <formula>NOT(ISERROR(SEARCH("Missing inputs",AK238)))</formula>
    </cfRule>
    <cfRule type="containsText" dxfId="7182" priority="553" operator="containsText" text="OK">
      <formula>NOT(ISERROR(SEARCH("OK",AK238)))</formula>
    </cfRule>
  </conditionalFormatting>
  <conditionalFormatting sqref="AK242">
    <cfRule type="cellIs" dxfId="7181" priority="548" stopIfTrue="1" operator="equal">
      <formula>"No"</formula>
    </cfRule>
    <cfRule type="cellIs" dxfId="7180" priority="549" stopIfTrue="1" operator="equal">
      <formula>"Fail"</formula>
    </cfRule>
    <cfRule type="cellIs" dxfId="7179" priority="550" stopIfTrue="1" operator="equal">
      <formula>"please check"</formula>
    </cfRule>
  </conditionalFormatting>
  <conditionalFormatting sqref="AK242">
    <cfRule type="cellIs" dxfId="7178" priority="547" stopIfTrue="1" operator="equal">
      <formula>"Pass"</formula>
    </cfRule>
  </conditionalFormatting>
  <conditionalFormatting sqref="AK242">
    <cfRule type="containsText" dxfId="7177" priority="544" operator="containsText" text="Please check">
      <formula>NOT(ISERROR(SEARCH("Please check",AK242)))</formula>
    </cfRule>
    <cfRule type="containsText" dxfId="7176" priority="545" operator="containsText" text="Missing inputs">
      <formula>NOT(ISERROR(SEARCH("Missing inputs",AK242)))</formula>
    </cfRule>
    <cfRule type="containsText" dxfId="7175" priority="546" operator="containsText" text="OK">
      <formula>NOT(ISERROR(SEARCH("OK",AK242)))</formula>
    </cfRule>
  </conditionalFormatting>
  <conditionalFormatting sqref="AK244">
    <cfRule type="cellIs" dxfId="7174" priority="541" stopIfTrue="1" operator="equal">
      <formula>"No"</formula>
    </cfRule>
    <cfRule type="cellIs" dxfId="7173" priority="542" stopIfTrue="1" operator="equal">
      <formula>"Fail"</formula>
    </cfRule>
    <cfRule type="cellIs" dxfId="7172" priority="543" stopIfTrue="1" operator="equal">
      <formula>"please check"</formula>
    </cfRule>
  </conditionalFormatting>
  <conditionalFormatting sqref="AK244">
    <cfRule type="cellIs" dxfId="7171" priority="540" stopIfTrue="1" operator="equal">
      <formula>"Pass"</formula>
    </cfRule>
  </conditionalFormatting>
  <conditionalFormatting sqref="AK244">
    <cfRule type="containsText" dxfId="7170" priority="537" operator="containsText" text="Please check">
      <formula>NOT(ISERROR(SEARCH("Please check",AK244)))</formula>
    </cfRule>
    <cfRule type="containsText" dxfId="7169" priority="538" operator="containsText" text="Missing inputs">
      <formula>NOT(ISERROR(SEARCH("Missing inputs",AK244)))</formula>
    </cfRule>
    <cfRule type="containsText" dxfId="7168" priority="539" operator="containsText" text="OK">
      <formula>NOT(ISERROR(SEARCH("OK",AK244)))</formula>
    </cfRule>
  </conditionalFormatting>
  <conditionalFormatting sqref="AK246">
    <cfRule type="cellIs" dxfId="7167" priority="534" stopIfTrue="1" operator="equal">
      <formula>"No"</formula>
    </cfRule>
    <cfRule type="cellIs" dxfId="7166" priority="535" stopIfTrue="1" operator="equal">
      <formula>"Fail"</formula>
    </cfRule>
    <cfRule type="cellIs" dxfId="7165" priority="536" stopIfTrue="1" operator="equal">
      <formula>"please check"</formula>
    </cfRule>
  </conditionalFormatting>
  <conditionalFormatting sqref="AK246">
    <cfRule type="cellIs" dxfId="7164" priority="533" stopIfTrue="1" operator="equal">
      <formula>"Pass"</formula>
    </cfRule>
  </conditionalFormatting>
  <conditionalFormatting sqref="AK246">
    <cfRule type="containsText" dxfId="7163" priority="530" operator="containsText" text="Please check">
      <formula>NOT(ISERROR(SEARCH("Please check",AK246)))</formula>
    </cfRule>
    <cfRule type="containsText" dxfId="7162" priority="531" operator="containsText" text="Missing inputs">
      <formula>NOT(ISERROR(SEARCH("Missing inputs",AK246)))</formula>
    </cfRule>
    <cfRule type="containsText" dxfId="7161" priority="532" operator="containsText" text="OK">
      <formula>NOT(ISERROR(SEARCH("OK",AK246)))</formula>
    </cfRule>
  </conditionalFormatting>
  <conditionalFormatting sqref="AK248">
    <cfRule type="cellIs" dxfId="7160" priority="527" stopIfTrue="1" operator="equal">
      <formula>"No"</formula>
    </cfRule>
    <cfRule type="cellIs" dxfId="7159" priority="528" stopIfTrue="1" operator="equal">
      <formula>"Fail"</formula>
    </cfRule>
    <cfRule type="cellIs" dxfId="7158" priority="529" stopIfTrue="1" operator="equal">
      <formula>"please check"</formula>
    </cfRule>
  </conditionalFormatting>
  <conditionalFormatting sqref="AK248">
    <cfRule type="cellIs" dxfId="7157" priority="526" stopIfTrue="1" operator="equal">
      <formula>"Pass"</formula>
    </cfRule>
  </conditionalFormatting>
  <conditionalFormatting sqref="AK248">
    <cfRule type="containsText" dxfId="7156" priority="523" operator="containsText" text="Please check">
      <formula>NOT(ISERROR(SEARCH("Please check",AK248)))</formula>
    </cfRule>
    <cfRule type="containsText" dxfId="7155" priority="524" operator="containsText" text="Missing inputs">
      <formula>NOT(ISERROR(SEARCH("Missing inputs",AK248)))</formula>
    </cfRule>
    <cfRule type="containsText" dxfId="7154" priority="525" operator="containsText" text="OK">
      <formula>NOT(ISERROR(SEARCH("OK",AK248)))</formula>
    </cfRule>
  </conditionalFormatting>
  <conditionalFormatting sqref="AK251">
    <cfRule type="cellIs" dxfId="7153" priority="520" stopIfTrue="1" operator="equal">
      <formula>"No"</formula>
    </cfRule>
    <cfRule type="cellIs" dxfId="7152" priority="521" stopIfTrue="1" operator="equal">
      <formula>"Fail"</formula>
    </cfRule>
    <cfRule type="cellIs" dxfId="7151" priority="522" stopIfTrue="1" operator="equal">
      <formula>"please check"</formula>
    </cfRule>
  </conditionalFormatting>
  <conditionalFormatting sqref="AK251">
    <cfRule type="cellIs" dxfId="7150" priority="519" stopIfTrue="1" operator="equal">
      <formula>"Pass"</formula>
    </cfRule>
  </conditionalFormatting>
  <conditionalFormatting sqref="AK251">
    <cfRule type="containsText" dxfId="7149" priority="516" operator="containsText" text="Please check">
      <formula>NOT(ISERROR(SEARCH("Please check",AK251)))</formula>
    </cfRule>
    <cfRule type="containsText" dxfId="7148" priority="517" operator="containsText" text="Missing inputs">
      <formula>NOT(ISERROR(SEARCH("Missing inputs",AK251)))</formula>
    </cfRule>
    <cfRule type="containsText" dxfId="7147" priority="518" operator="containsText" text="OK">
      <formula>NOT(ISERROR(SEARCH("OK",AK251)))</formula>
    </cfRule>
  </conditionalFormatting>
  <conditionalFormatting sqref="AK255">
    <cfRule type="cellIs" dxfId="7146" priority="513" stopIfTrue="1" operator="equal">
      <formula>"No"</formula>
    </cfRule>
    <cfRule type="cellIs" dxfId="7145" priority="514" stopIfTrue="1" operator="equal">
      <formula>"Fail"</formula>
    </cfRule>
    <cfRule type="cellIs" dxfId="7144" priority="515" stopIfTrue="1" operator="equal">
      <formula>"please check"</formula>
    </cfRule>
  </conditionalFormatting>
  <conditionalFormatting sqref="AK255">
    <cfRule type="cellIs" dxfId="7143" priority="512" stopIfTrue="1" operator="equal">
      <formula>"Pass"</formula>
    </cfRule>
  </conditionalFormatting>
  <conditionalFormatting sqref="AK255">
    <cfRule type="containsText" dxfId="7142" priority="509" operator="containsText" text="Please check">
      <formula>NOT(ISERROR(SEARCH("Please check",AK255)))</formula>
    </cfRule>
    <cfRule type="containsText" dxfId="7141" priority="510" operator="containsText" text="Missing inputs">
      <formula>NOT(ISERROR(SEARCH("Missing inputs",AK255)))</formula>
    </cfRule>
    <cfRule type="containsText" dxfId="7140" priority="511" operator="containsText" text="OK">
      <formula>NOT(ISERROR(SEARCH("OK",AK255)))</formula>
    </cfRule>
  </conditionalFormatting>
  <conditionalFormatting sqref="AL236">
    <cfRule type="cellIs" dxfId="7139" priority="508" stopIfTrue="1" operator="equal">
      <formula>"Pass"</formula>
    </cfRule>
  </conditionalFormatting>
  <conditionalFormatting sqref="AL236">
    <cfRule type="cellIs" dxfId="7138" priority="505" stopIfTrue="1" operator="equal">
      <formula>"No"</formula>
    </cfRule>
    <cfRule type="cellIs" dxfId="7137" priority="506" stopIfTrue="1" operator="equal">
      <formula>"Fail"</formula>
    </cfRule>
    <cfRule type="cellIs" dxfId="7136" priority="507" stopIfTrue="1" operator="equal">
      <formula>"please check"</formula>
    </cfRule>
  </conditionalFormatting>
  <conditionalFormatting sqref="AL236">
    <cfRule type="containsText" dxfId="7135" priority="502" operator="containsText" text="Please check">
      <formula>NOT(ISERROR(SEARCH("Please check",AL236)))</formula>
    </cfRule>
    <cfRule type="containsText" dxfId="7134" priority="503" operator="containsText" text="Missing inputs">
      <formula>NOT(ISERROR(SEARCH("Missing inputs",AL236)))</formula>
    </cfRule>
    <cfRule type="containsText" dxfId="7133" priority="504" operator="containsText" text="OK">
      <formula>NOT(ISERROR(SEARCH("OK",AL236)))</formula>
    </cfRule>
  </conditionalFormatting>
  <conditionalFormatting sqref="AL238">
    <cfRule type="cellIs" dxfId="7132" priority="501" stopIfTrue="1" operator="equal">
      <formula>"Pass"</formula>
    </cfRule>
  </conditionalFormatting>
  <conditionalFormatting sqref="AL238">
    <cfRule type="cellIs" dxfId="7131" priority="498" stopIfTrue="1" operator="equal">
      <formula>"No"</formula>
    </cfRule>
    <cfRule type="cellIs" dxfId="7130" priority="499" stopIfTrue="1" operator="equal">
      <formula>"Fail"</formula>
    </cfRule>
    <cfRule type="cellIs" dxfId="7129" priority="500" stopIfTrue="1" operator="equal">
      <formula>"please check"</formula>
    </cfRule>
  </conditionalFormatting>
  <conditionalFormatting sqref="AL238">
    <cfRule type="containsText" dxfId="7128" priority="495" operator="containsText" text="Please check">
      <formula>NOT(ISERROR(SEARCH("Please check",AL238)))</formula>
    </cfRule>
    <cfRule type="containsText" dxfId="7127" priority="496" operator="containsText" text="Missing inputs">
      <formula>NOT(ISERROR(SEARCH("Missing inputs",AL238)))</formula>
    </cfRule>
    <cfRule type="containsText" dxfId="7126" priority="497" operator="containsText" text="OK">
      <formula>NOT(ISERROR(SEARCH("OK",AL238)))</formula>
    </cfRule>
  </conditionalFormatting>
  <conditionalFormatting sqref="AL242">
    <cfRule type="cellIs" dxfId="7125" priority="494" stopIfTrue="1" operator="equal">
      <formula>"Pass"</formula>
    </cfRule>
  </conditionalFormatting>
  <conditionalFormatting sqref="AL242">
    <cfRule type="cellIs" dxfId="7124" priority="491" stopIfTrue="1" operator="equal">
      <formula>"No"</formula>
    </cfRule>
    <cfRule type="cellIs" dxfId="7123" priority="492" stopIfTrue="1" operator="equal">
      <formula>"Fail"</formula>
    </cfRule>
    <cfRule type="cellIs" dxfId="7122" priority="493" stopIfTrue="1" operator="equal">
      <formula>"please check"</formula>
    </cfRule>
  </conditionalFormatting>
  <conditionalFormatting sqref="AL242">
    <cfRule type="containsText" dxfId="7121" priority="488" operator="containsText" text="Please check">
      <formula>NOT(ISERROR(SEARCH("Please check",AL242)))</formula>
    </cfRule>
    <cfRule type="containsText" dxfId="7120" priority="489" operator="containsText" text="Missing inputs">
      <formula>NOT(ISERROR(SEARCH("Missing inputs",AL242)))</formula>
    </cfRule>
    <cfRule type="containsText" dxfId="7119" priority="490" operator="containsText" text="OK">
      <formula>NOT(ISERROR(SEARCH("OK",AL242)))</formula>
    </cfRule>
  </conditionalFormatting>
  <conditionalFormatting sqref="AL244">
    <cfRule type="cellIs" dxfId="7118" priority="487" stopIfTrue="1" operator="equal">
      <formula>"Pass"</formula>
    </cfRule>
  </conditionalFormatting>
  <conditionalFormatting sqref="AL244">
    <cfRule type="cellIs" dxfId="7117" priority="484" stopIfTrue="1" operator="equal">
      <formula>"No"</formula>
    </cfRule>
    <cfRule type="cellIs" dxfId="7116" priority="485" stopIfTrue="1" operator="equal">
      <formula>"Fail"</formula>
    </cfRule>
    <cfRule type="cellIs" dxfId="7115" priority="486" stopIfTrue="1" operator="equal">
      <formula>"please check"</formula>
    </cfRule>
  </conditionalFormatting>
  <conditionalFormatting sqref="AL244">
    <cfRule type="containsText" dxfId="7114" priority="481" operator="containsText" text="Please check">
      <formula>NOT(ISERROR(SEARCH("Please check",AL244)))</formula>
    </cfRule>
    <cfRule type="containsText" dxfId="7113" priority="482" operator="containsText" text="Missing inputs">
      <formula>NOT(ISERROR(SEARCH("Missing inputs",AL244)))</formula>
    </cfRule>
    <cfRule type="containsText" dxfId="7112" priority="483" operator="containsText" text="OK">
      <formula>NOT(ISERROR(SEARCH("OK",AL244)))</formula>
    </cfRule>
  </conditionalFormatting>
  <conditionalFormatting sqref="AL246">
    <cfRule type="cellIs" dxfId="7111" priority="480" stopIfTrue="1" operator="equal">
      <formula>"Pass"</formula>
    </cfRule>
  </conditionalFormatting>
  <conditionalFormatting sqref="AL246">
    <cfRule type="cellIs" dxfId="7110" priority="477" stopIfTrue="1" operator="equal">
      <formula>"No"</formula>
    </cfRule>
    <cfRule type="cellIs" dxfId="7109" priority="478" stopIfTrue="1" operator="equal">
      <formula>"Fail"</formula>
    </cfRule>
    <cfRule type="cellIs" dxfId="7108" priority="479" stopIfTrue="1" operator="equal">
      <formula>"please check"</formula>
    </cfRule>
  </conditionalFormatting>
  <conditionalFormatting sqref="AL246">
    <cfRule type="containsText" dxfId="7107" priority="474" operator="containsText" text="Please check">
      <formula>NOT(ISERROR(SEARCH("Please check",AL246)))</formula>
    </cfRule>
    <cfRule type="containsText" dxfId="7106" priority="475" operator="containsText" text="Missing inputs">
      <formula>NOT(ISERROR(SEARCH("Missing inputs",AL246)))</formula>
    </cfRule>
    <cfRule type="containsText" dxfId="7105" priority="476" operator="containsText" text="OK">
      <formula>NOT(ISERROR(SEARCH("OK",AL246)))</formula>
    </cfRule>
  </conditionalFormatting>
  <conditionalFormatting sqref="AL248">
    <cfRule type="cellIs" dxfId="7104" priority="473" stopIfTrue="1" operator="equal">
      <formula>"Pass"</formula>
    </cfRule>
  </conditionalFormatting>
  <conditionalFormatting sqref="AL248">
    <cfRule type="cellIs" dxfId="7103" priority="470" stopIfTrue="1" operator="equal">
      <formula>"No"</formula>
    </cfRule>
    <cfRule type="cellIs" dxfId="7102" priority="471" stopIfTrue="1" operator="equal">
      <formula>"Fail"</formula>
    </cfRule>
    <cfRule type="cellIs" dxfId="7101" priority="472" stopIfTrue="1" operator="equal">
      <formula>"please check"</formula>
    </cfRule>
  </conditionalFormatting>
  <conditionalFormatting sqref="AL248">
    <cfRule type="containsText" dxfId="7100" priority="467" operator="containsText" text="Please check">
      <formula>NOT(ISERROR(SEARCH("Please check",AL248)))</formula>
    </cfRule>
    <cfRule type="containsText" dxfId="7099" priority="468" operator="containsText" text="Missing inputs">
      <formula>NOT(ISERROR(SEARCH("Missing inputs",AL248)))</formula>
    </cfRule>
    <cfRule type="containsText" dxfId="7098" priority="469" operator="containsText" text="OK">
      <formula>NOT(ISERROR(SEARCH("OK",AL248)))</formula>
    </cfRule>
  </conditionalFormatting>
  <conditionalFormatting sqref="AL251">
    <cfRule type="cellIs" dxfId="7097" priority="466" stopIfTrue="1" operator="equal">
      <formula>"Pass"</formula>
    </cfRule>
  </conditionalFormatting>
  <conditionalFormatting sqref="AL251">
    <cfRule type="cellIs" dxfId="7096" priority="463" stopIfTrue="1" operator="equal">
      <formula>"No"</formula>
    </cfRule>
    <cfRule type="cellIs" dxfId="7095" priority="464" stopIfTrue="1" operator="equal">
      <formula>"Fail"</formula>
    </cfRule>
    <cfRule type="cellIs" dxfId="7094" priority="465" stopIfTrue="1" operator="equal">
      <formula>"please check"</formula>
    </cfRule>
  </conditionalFormatting>
  <conditionalFormatting sqref="AL251">
    <cfRule type="containsText" dxfId="7093" priority="460" operator="containsText" text="Please check">
      <formula>NOT(ISERROR(SEARCH("Please check",AL251)))</formula>
    </cfRule>
    <cfRule type="containsText" dxfId="7092" priority="461" operator="containsText" text="Missing inputs">
      <formula>NOT(ISERROR(SEARCH("Missing inputs",AL251)))</formula>
    </cfRule>
    <cfRule type="containsText" dxfId="7091" priority="462" operator="containsText" text="OK">
      <formula>NOT(ISERROR(SEARCH("OK",AL251)))</formula>
    </cfRule>
  </conditionalFormatting>
  <conditionalFormatting sqref="AL255">
    <cfRule type="cellIs" dxfId="7090" priority="459" stopIfTrue="1" operator="equal">
      <formula>"Pass"</formula>
    </cfRule>
  </conditionalFormatting>
  <conditionalFormatting sqref="AL255">
    <cfRule type="cellIs" dxfId="7089" priority="456" stopIfTrue="1" operator="equal">
      <formula>"No"</formula>
    </cfRule>
    <cfRule type="cellIs" dxfId="7088" priority="457" stopIfTrue="1" operator="equal">
      <formula>"Fail"</formula>
    </cfRule>
    <cfRule type="cellIs" dxfId="7087" priority="458" stopIfTrue="1" operator="equal">
      <formula>"please check"</formula>
    </cfRule>
  </conditionalFormatting>
  <conditionalFormatting sqref="AL255">
    <cfRule type="containsText" dxfId="7086" priority="453" operator="containsText" text="Please check">
      <formula>NOT(ISERROR(SEARCH("Please check",AL255)))</formula>
    </cfRule>
    <cfRule type="containsText" dxfId="7085" priority="454" operator="containsText" text="Missing inputs">
      <formula>NOT(ISERROR(SEARCH("Missing inputs",AL255)))</formula>
    </cfRule>
    <cfRule type="containsText" dxfId="7084" priority="455" operator="containsText" text="OK">
      <formula>NOT(ISERROR(SEARCH("OK",AL255)))</formula>
    </cfRule>
  </conditionalFormatting>
  <conditionalFormatting sqref="AI238">
    <cfRule type="cellIs" dxfId="7083" priority="452" stopIfTrue="1" operator="equal">
      <formula>"Pass"</formula>
    </cfRule>
  </conditionalFormatting>
  <conditionalFormatting sqref="AI238">
    <cfRule type="cellIs" dxfId="7082" priority="449" stopIfTrue="1" operator="equal">
      <formula>"No"</formula>
    </cfRule>
    <cfRule type="cellIs" dxfId="7081" priority="450" stopIfTrue="1" operator="equal">
      <formula>"Fail"</formula>
    </cfRule>
    <cfRule type="cellIs" dxfId="7080" priority="451" stopIfTrue="1" operator="equal">
      <formula>"please check"</formula>
    </cfRule>
  </conditionalFormatting>
  <conditionalFormatting sqref="AI238">
    <cfRule type="containsText" dxfId="7079" priority="446" operator="containsText" text="Please check">
      <formula>NOT(ISERROR(SEARCH("Please check",AI238)))</formula>
    </cfRule>
    <cfRule type="containsText" dxfId="7078" priority="447" operator="containsText" text="Missing inputs">
      <formula>NOT(ISERROR(SEARCH("Missing inputs",AI238)))</formula>
    </cfRule>
    <cfRule type="containsText" dxfId="7077" priority="448" operator="containsText" text="OK">
      <formula>NOT(ISERROR(SEARCH("OK",AI238)))</formula>
    </cfRule>
  </conditionalFormatting>
  <conditionalFormatting sqref="AI240">
    <cfRule type="cellIs" dxfId="7076" priority="445" stopIfTrue="1" operator="equal">
      <formula>"Pass"</formula>
    </cfRule>
  </conditionalFormatting>
  <conditionalFormatting sqref="AI240">
    <cfRule type="cellIs" dxfId="7075" priority="442" stopIfTrue="1" operator="equal">
      <formula>"No"</formula>
    </cfRule>
    <cfRule type="cellIs" dxfId="7074" priority="443" stopIfTrue="1" operator="equal">
      <formula>"Fail"</formula>
    </cfRule>
    <cfRule type="cellIs" dxfId="7073" priority="444" stopIfTrue="1" operator="equal">
      <formula>"please check"</formula>
    </cfRule>
  </conditionalFormatting>
  <conditionalFormatting sqref="AI240">
    <cfRule type="containsText" dxfId="7072" priority="439" operator="containsText" text="Please check">
      <formula>NOT(ISERROR(SEARCH("Please check",AI240)))</formula>
    </cfRule>
    <cfRule type="containsText" dxfId="7071" priority="440" operator="containsText" text="Missing inputs">
      <formula>NOT(ISERROR(SEARCH("Missing inputs",AI240)))</formula>
    </cfRule>
    <cfRule type="containsText" dxfId="7070" priority="441" operator="containsText" text="OK">
      <formula>NOT(ISERROR(SEARCH("OK",AI240)))</formula>
    </cfRule>
  </conditionalFormatting>
  <conditionalFormatting sqref="AG226:AK226">
    <cfRule type="cellIs" dxfId="7069" priority="438" stopIfTrue="1" operator="equal">
      <formula>"Pass"</formula>
    </cfRule>
  </conditionalFormatting>
  <conditionalFormatting sqref="AG226:AK226">
    <cfRule type="cellIs" dxfId="7068" priority="435" stopIfTrue="1" operator="equal">
      <formula>"No"</formula>
    </cfRule>
    <cfRule type="cellIs" dxfId="7067" priority="436" stopIfTrue="1" operator="equal">
      <formula>"Fail"</formula>
    </cfRule>
    <cfRule type="cellIs" dxfId="7066" priority="437" stopIfTrue="1" operator="equal">
      <formula>"please check"</formula>
    </cfRule>
  </conditionalFormatting>
  <conditionalFormatting sqref="AG253:AL253">
    <cfRule type="cellIs" dxfId="7065" priority="434" stopIfTrue="1" operator="equal">
      <formula>"Pass"</formula>
    </cfRule>
  </conditionalFormatting>
  <conditionalFormatting sqref="AG253:AL253">
    <cfRule type="cellIs" dxfId="7064" priority="431" stopIfTrue="1" operator="equal">
      <formula>"No"</formula>
    </cfRule>
    <cfRule type="cellIs" dxfId="7063" priority="432" stopIfTrue="1" operator="equal">
      <formula>"Fail"</formula>
    </cfRule>
    <cfRule type="cellIs" dxfId="7062" priority="433" stopIfTrue="1" operator="equal">
      <formula>"please check"</formula>
    </cfRule>
  </conditionalFormatting>
  <conditionalFormatting sqref="D187:AJ188">
    <cfRule type="cellIs" dxfId="7061" priority="428" stopIfTrue="1" operator="equal">
      <formula>"Pass"</formula>
    </cfRule>
    <cfRule type="cellIs" dxfId="7060" priority="429" stopIfTrue="1" operator="equal">
      <formula>"please check"</formula>
    </cfRule>
  </conditionalFormatting>
  <conditionalFormatting sqref="B309:C309 B280:O280 B310:B315 B281:C281 B282:B284 Q280:U280">
    <cfRule type="cellIs" dxfId="7059" priority="425" stopIfTrue="1" operator="equal">
      <formula>"Pass"</formula>
    </cfRule>
    <cfRule type="cellIs" dxfId="7058" priority="426" stopIfTrue="1" operator="equal">
      <formula>"please check"</formula>
    </cfRule>
  </conditionalFormatting>
  <conditionalFormatting sqref="P191">
    <cfRule type="cellIs" dxfId="7057" priority="422" stopIfTrue="1" operator="equal">
      <formula>"Pass"</formula>
    </cfRule>
    <cfRule type="cellIs" dxfId="7056" priority="423" stopIfTrue="1" operator="equal">
      <formula>"please check"</formula>
    </cfRule>
  </conditionalFormatting>
  <conditionalFormatting sqref="AD233">
    <cfRule type="cellIs" dxfId="7055" priority="419" stopIfTrue="1" operator="equal">
      <formula>"Pass"</formula>
    </cfRule>
    <cfRule type="cellIs" dxfId="7054" priority="420" stopIfTrue="1" operator="equal">
      <formula>"please check"</formula>
    </cfRule>
  </conditionalFormatting>
  <conditionalFormatting sqref="AH234:AI234 AK234:AL234">
    <cfRule type="cellIs" dxfId="7053" priority="413" stopIfTrue="1" operator="equal">
      <formula>"Pass"</formula>
    </cfRule>
    <cfRule type="cellIs" dxfId="7052" priority="414" stopIfTrue="1" operator="equal">
      <formula>"please check"</formula>
    </cfRule>
  </conditionalFormatting>
  <conditionalFormatting sqref="AH234:AI234 AK234:AL234">
    <cfRule type="cellIs" dxfId="7051" priority="416" stopIfTrue="1" operator="equal">
      <formula>"Pass"</formula>
    </cfRule>
    <cfRule type="cellIs" dxfId="7050" priority="417" stopIfTrue="1" operator="equal">
      <formula>"please check"</formula>
    </cfRule>
  </conditionalFormatting>
  <conditionalFormatting sqref="P234">
    <cfRule type="cellIs" dxfId="7049" priority="410" stopIfTrue="1" operator="equal">
      <formula>"Pass"</formula>
    </cfRule>
    <cfRule type="cellIs" dxfId="7048" priority="411" stopIfTrue="1" operator="equal">
      <formula>"please check"</formula>
    </cfRule>
  </conditionalFormatting>
  <conditionalFormatting sqref="H258">
    <cfRule type="cellIs" dxfId="7047" priority="407" stopIfTrue="1" operator="equal">
      <formula>"Pass"</formula>
    </cfRule>
    <cfRule type="cellIs" dxfId="7046" priority="408" stopIfTrue="1" operator="equal">
      <formula>"please check"</formula>
    </cfRule>
  </conditionalFormatting>
  <conditionalFormatting sqref="R259">
    <cfRule type="cellIs" dxfId="7045" priority="401" stopIfTrue="1" operator="equal">
      <formula>"Pass"</formula>
    </cfRule>
    <cfRule type="cellIs" dxfId="7044" priority="402" stopIfTrue="1" operator="equal">
      <formula>"please check"</formula>
    </cfRule>
  </conditionalFormatting>
  <conditionalFormatting sqref="R259">
    <cfRule type="cellIs" dxfId="7043" priority="404" stopIfTrue="1" operator="equal">
      <formula>"Pass"</formula>
    </cfRule>
    <cfRule type="cellIs" dxfId="7042" priority="405" stopIfTrue="1" operator="equal">
      <formula>"please check"</formula>
    </cfRule>
  </conditionalFormatting>
  <conditionalFormatting sqref="S259">
    <cfRule type="cellIs" dxfId="7041" priority="395" stopIfTrue="1" operator="equal">
      <formula>"Pass"</formula>
    </cfRule>
    <cfRule type="cellIs" dxfId="7040" priority="396" stopIfTrue="1" operator="equal">
      <formula>"please check"</formula>
    </cfRule>
  </conditionalFormatting>
  <conditionalFormatting sqref="S259">
    <cfRule type="cellIs" dxfId="7039" priority="398" stopIfTrue="1" operator="equal">
      <formula>"Pass"</formula>
    </cfRule>
    <cfRule type="cellIs" dxfId="7038" priority="399" stopIfTrue="1" operator="equal">
      <formula>"please check"</formula>
    </cfRule>
  </conditionalFormatting>
  <conditionalFormatting sqref="T259">
    <cfRule type="cellIs" dxfId="7037" priority="389" stopIfTrue="1" operator="equal">
      <formula>"Pass"</formula>
    </cfRule>
    <cfRule type="cellIs" dxfId="7036" priority="390" stopIfTrue="1" operator="equal">
      <formula>"please check"</formula>
    </cfRule>
  </conditionalFormatting>
  <conditionalFormatting sqref="T259">
    <cfRule type="cellIs" dxfId="7035" priority="392" stopIfTrue="1" operator="equal">
      <formula>"Pass"</formula>
    </cfRule>
    <cfRule type="cellIs" dxfId="7034" priority="393" stopIfTrue="1" operator="equal">
      <formula>"please check"</formula>
    </cfRule>
  </conditionalFormatting>
  <conditionalFormatting sqref="D274">
    <cfRule type="cellIs" dxfId="7033" priority="386" stopIfTrue="1" operator="equal">
      <formula>"Pass"</formula>
    </cfRule>
    <cfRule type="cellIs" dxfId="7032" priority="387" stopIfTrue="1" operator="equal">
      <formula>"please check"</formula>
    </cfRule>
  </conditionalFormatting>
  <conditionalFormatting sqref="F275">
    <cfRule type="cellIs" dxfId="7031" priority="383" stopIfTrue="1" operator="equal">
      <formula>"Pass"</formula>
    </cfRule>
    <cfRule type="cellIs" dxfId="7030" priority="384" stopIfTrue="1" operator="equal">
      <formula>"please check"</formula>
    </cfRule>
  </conditionalFormatting>
  <conditionalFormatting sqref="A280:A309">
    <cfRule type="cellIs" dxfId="7029" priority="380" stopIfTrue="1" operator="equal">
      <formula>"Pass"</formula>
    </cfRule>
    <cfRule type="cellIs" dxfId="7028" priority="381" stopIfTrue="1" operator="equal">
      <formula>"please check"</formula>
    </cfRule>
  </conditionalFormatting>
  <conditionalFormatting sqref="G283">
    <cfRule type="cellIs" dxfId="7027" priority="377" stopIfTrue="1" operator="equal">
      <formula>"Pass"</formula>
    </cfRule>
    <cfRule type="cellIs" dxfId="7026" priority="378" stopIfTrue="1" operator="equal">
      <formula>"please check"</formula>
    </cfRule>
  </conditionalFormatting>
  <conditionalFormatting sqref="H285:H309">
    <cfRule type="cellIs" dxfId="7025" priority="376" stopIfTrue="1" operator="lessThan">
      <formula>0</formula>
    </cfRule>
  </conditionalFormatting>
  <conditionalFormatting sqref="H285:H309">
    <cfRule type="cellIs" dxfId="7024" priority="373" stopIfTrue="1" operator="equal">
      <formula>"Pass"</formula>
    </cfRule>
    <cfRule type="cellIs" dxfId="7023" priority="374" stopIfTrue="1" operator="equal">
      <formula>"please check"</formula>
    </cfRule>
  </conditionalFormatting>
  <conditionalFormatting sqref="L285:L309">
    <cfRule type="cellIs" dxfId="7022" priority="372" stopIfTrue="1" operator="lessThan">
      <formula>0</formula>
    </cfRule>
  </conditionalFormatting>
  <conditionalFormatting sqref="L285:L309">
    <cfRule type="cellIs" dxfId="7021" priority="369" stopIfTrue="1" operator="equal">
      <formula>"Pass"</formula>
    </cfRule>
    <cfRule type="cellIs" dxfId="7020" priority="370" stopIfTrue="1" operator="equal">
      <formula>"please check"</formula>
    </cfRule>
  </conditionalFormatting>
  <conditionalFormatting sqref="P281">
    <cfRule type="cellIs" dxfId="7019" priority="366" stopIfTrue="1" operator="equal">
      <formula>"Pass"</formula>
    </cfRule>
    <cfRule type="cellIs" dxfId="7018" priority="367" stopIfTrue="1" operator="equal">
      <formula>"please check"</formula>
    </cfRule>
  </conditionalFormatting>
  <conditionalFormatting sqref="P282">
    <cfRule type="cellIs" dxfId="7017" priority="363" stopIfTrue="1" operator="equal">
      <formula>"Pass"</formula>
    </cfRule>
    <cfRule type="cellIs" dxfId="7016" priority="364" stopIfTrue="1" operator="equal">
      <formula>"please check"</formula>
    </cfRule>
  </conditionalFormatting>
  <conditionalFormatting sqref="M283 O283">
    <cfRule type="cellIs" dxfId="7015" priority="360" stopIfTrue="1" operator="equal">
      <formula>"Pass"</formula>
    </cfRule>
    <cfRule type="cellIs" dxfId="7014" priority="361" stopIfTrue="1" operator="equal">
      <formula>"please check"</formula>
    </cfRule>
  </conditionalFormatting>
  <conditionalFormatting sqref="M284:N284">
    <cfRule type="cellIs" dxfId="7013" priority="357" stopIfTrue="1" operator="equal">
      <formula>"Pass"</formula>
    </cfRule>
    <cfRule type="cellIs" dxfId="7012" priority="358" stopIfTrue="1" operator="equal">
      <formula>"please check"</formula>
    </cfRule>
  </conditionalFormatting>
  <conditionalFormatting sqref="P283">
    <cfRule type="cellIs" dxfId="7011" priority="354" stopIfTrue="1" operator="equal">
      <formula>"Pass"</formula>
    </cfRule>
    <cfRule type="cellIs" dxfId="7010" priority="355" stopIfTrue="1" operator="equal">
      <formula>"please check"</formula>
    </cfRule>
  </conditionalFormatting>
  <conditionalFormatting sqref="P284">
    <cfRule type="cellIs" dxfId="7009" priority="351" stopIfTrue="1" operator="equal">
      <formula>"Pass"</formula>
    </cfRule>
    <cfRule type="cellIs" dxfId="7008" priority="352" stopIfTrue="1" operator="equal">
      <formula>"please check"</formula>
    </cfRule>
  </conditionalFormatting>
  <conditionalFormatting sqref="S283">
    <cfRule type="cellIs" dxfId="7007" priority="348" stopIfTrue="1" operator="equal">
      <formula>"Pass"</formula>
    </cfRule>
    <cfRule type="cellIs" dxfId="7006" priority="349" stopIfTrue="1" operator="equal">
      <formula>"please check"</formula>
    </cfRule>
  </conditionalFormatting>
  <conditionalFormatting sqref="R284">
    <cfRule type="cellIs" dxfId="7005" priority="345" stopIfTrue="1" operator="equal">
      <formula>"Pass"</formula>
    </cfRule>
    <cfRule type="cellIs" dxfId="7004" priority="346" stopIfTrue="1" operator="equal">
      <formula>"please check"</formula>
    </cfRule>
  </conditionalFormatting>
  <conditionalFormatting sqref="P285:P309">
    <cfRule type="cellIs" dxfId="7003" priority="344" stopIfTrue="1" operator="lessThan">
      <formula>0</formula>
    </cfRule>
  </conditionalFormatting>
  <conditionalFormatting sqref="P285:P309">
    <cfRule type="cellIs" dxfId="7002" priority="341" stopIfTrue="1" operator="equal">
      <formula>"Pass"</formula>
    </cfRule>
    <cfRule type="cellIs" dxfId="7001" priority="342" stopIfTrue="1" operator="equal">
      <formula>"please check"</formula>
    </cfRule>
  </conditionalFormatting>
  <conditionalFormatting sqref="R285:R292 R296:R309">
    <cfRule type="cellIs" dxfId="7000" priority="338" stopIfTrue="1" operator="equal">
      <formula>"Pass"</formula>
    </cfRule>
    <cfRule type="cellIs" dxfId="6999" priority="339" stopIfTrue="1" operator="equal">
      <formula>"please check"</formula>
    </cfRule>
  </conditionalFormatting>
  <conditionalFormatting sqref="T283">
    <cfRule type="cellIs" dxfId="6998" priority="332" stopIfTrue="1" operator="equal">
      <formula>"Pass"</formula>
    </cfRule>
    <cfRule type="cellIs" dxfId="6997" priority="333" stopIfTrue="1" operator="equal">
      <formula>"please check"</formula>
    </cfRule>
  </conditionalFormatting>
  <conditionalFormatting sqref="T283">
    <cfRule type="cellIs" dxfId="6996" priority="335" stopIfTrue="1" operator="equal">
      <formula>"Pass"</formula>
    </cfRule>
    <cfRule type="cellIs" dxfId="6995" priority="336" stopIfTrue="1" operator="equal">
      <formula>"please check"</formula>
    </cfRule>
  </conditionalFormatting>
  <conditionalFormatting sqref="T287:T290">
    <cfRule type="cellIs" dxfId="6994" priority="329" stopIfTrue="1" operator="equal">
      <formula>"Pass"</formula>
    </cfRule>
    <cfRule type="cellIs" dxfId="6993" priority="330" stopIfTrue="1" operator="equal">
      <formula>"please check"</formula>
    </cfRule>
  </conditionalFormatting>
  <conditionalFormatting sqref="T287:T290">
    <cfRule type="cellIs" dxfId="6992" priority="326" stopIfTrue="1" operator="equal">
      <formula>"No"</formula>
    </cfRule>
    <cfRule type="cellIs" dxfId="6991" priority="327" stopIfTrue="1" operator="equal">
      <formula>"Fail"</formula>
    </cfRule>
    <cfRule type="cellIs" dxfId="6990" priority="328" stopIfTrue="1" operator="equal">
      <formula>"please check"</formula>
    </cfRule>
  </conditionalFormatting>
  <conditionalFormatting sqref="T287:T290">
    <cfRule type="cellIs" dxfId="6989" priority="325" stopIfTrue="1" operator="equal">
      <formula>"Pass"</formula>
    </cfRule>
  </conditionalFormatting>
  <conditionalFormatting sqref="V283">
    <cfRule type="cellIs" dxfId="6988" priority="318" stopIfTrue="1" operator="equal">
      <formula>"Pass"</formula>
    </cfRule>
    <cfRule type="cellIs" dxfId="6987" priority="319" stopIfTrue="1" operator="equal">
      <formula>"please check"</formula>
    </cfRule>
  </conditionalFormatting>
  <conditionalFormatting sqref="V283">
    <cfRule type="cellIs" dxfId="6986" priority="321" stopIfTrue="1" operator="equal">
      <formula>"Pass"</formula>
    </cfRule>
    <cfRule type="cellIs" dxfId="6985" priority="322" stopIfTrue="1" operator="equal">
      <formula>"please check"</formula>
    </cfRule>
  </conditionalFormatting>
  <conditionalFormatting sqref="T292">
    <cfRule type="cellIs" dxfId="6984" priority="313" stopIfTrue="1" operator="equal">
      <formula>"Pass"</formula>
    </cfRule>
    <cfRule type="cellIs" dxfId="6983" priority="314" stopIfTrue="1" operator="equal">
      <formula>"please check"</formula>
    </cfRule>
  </conditionalFormatting>
  <conditionalFormatting sqref="T292">
    <cfRule type="cellIs" dxfId="6982" priority="310" stopIfTrue="1" operator="equal">
      <formula>"No"</formula>
    </cfRule>
    <cfRule type="cellIs" dxfId="6981" priority="311" stopIfTrue="1" operator="equal">
      <formula>"Fail"</formula>
    </cfRule>
    <cfRule type="cellIs" dxfId="6980" priority="312" stopIfTrue="1" operator="equal">
      <formula>"please check"</formula>
    </cfRule>
  </conditionalFormatting>
  <conditionalFormatting sqref="T292">
    <cfRule type="cellIs" dxfId="6979" priority="309" stopIfTrue="1" operator="equal">
      <formula>"Pass"</formula>
    </cfRule>
  </conditionalFormatting>
  <conditionalFormatting sqref="T297:T303">
    <cfRule type="cellIs" dxfId="6978" priority="306" stopIfTrue="1" operator="equal">
      <formula>"Pass"</formula>
    </cfRule>
    <cfRule type="cellIs" dxfId="6977" priority="307" stopIfTrue="1" operator="equal">
      <formula>"please check"</formula>
    </cfRule>
  </conditionalFormatting>
  <conditionalFormatting sqref="T297:T303">
    <cfRule type="cellIs" dxfId="6976" priority="303" stopIfTrue="1" operator="equal">
      <formula>"No"</formula>
    </cfRule>
    <cfRule type="cellIs" dxfId="6975" priority="304" stopIfTrue="1" operator="equal">
      <formula>"Fail"</formula>
    </cfRule>
    <cfRule type="cellIs" dxfId="6974" priority="305" stopIfTrue="1" operator="equal">
      <formula>"please check"</formula>
    </cfRule>
  </conditionalFormatting>
  <conditionalFormatting sqref="T297:T303">
    <cfRule type="cellIs" dxfId="6973" priority="302" stopIfTrue="1" operator="equal">
      <formula>"Pass"</formula>
    </cfRule>
  </conditionalFormatting>
  <conditionalFormatting sqref="T305:T309">
    <cfRule type="cellIs" dxfId="6972" priority="299" stopIfTrue="1" operator="equal">
      <formula>"Pass"</formula>
    </cfRule>
    <cfRule type="cellIs" dxfId="6971" priority="300" stopIfTrue="1" operator="equal">
      <formula>"please check"</formula>
    </cfRule>
  </conditionalFormatting>
  <conditionalFormatting sqref="T305:T309">
    <cfRule type="cellIs" dxfId="6970" priority="296" stopIfTrue="1" operator="equal">
      <formula>"No"</formula>
    </cfRule>
    <cfRule type="cellIs" dxfId="6969" priority="297" stopIfTrue="1" operator="equal">
      <formula>"Fail"</formula>
    </cfRule>
    <cfRule type="cellIs" dxfId="6968" priority="298" stopIfTrue="1" operator="equal">
      <formula>"please check"</formula>
    </cfRule>
  </conditionalFormatting>
  <conditionalFormatting sqref="T305:T309">
    <cfRule type="cellIs" dxfId="6967" priority="295" stopIfTrue="1" operator="equal">
      <formula>"Pass"</formula>
    </cfRule>
  </conditionalFormatting>
  <conditionalFormatting sqref="V287:V290">
    <cfRule type="cellIs" dxfId="6966" priority="292" stopIfTrue="1" operator="equal">
      <formula>"Pass"</formula>
    </cfRule>
    <cfRule type="cellIs" dxfId="6965" priority="293" stopIfTrue="1" operator="equal">
      <formula>"please check"</formula>
    </cfRule>
  </conditionalFormatting>
  <conditionalFormatting sqref="V287:V290">
    <cfRule type="cellIs" dxfId="6964" priority="289" stopIfTrue="1" operator="equal">
      <formula>"No"</formula>
    </cfRule>
    <cfRule type="cellIs" dxfId="6963" priority="290" stopIfTrue="1" operator="equal">
      <formula>"Fail"</formula>
    </cfRule>
    <cfRule type="cellIs" dxfId="6962" priority="291" stopIfTrue="1" operator="equal">
      <formula>"please check"</formula>
    </cfRule>
  </conditionalFormatting>
  <conditionalFormatting sqref="V287:V290">
    <cfRule type="cellIs" dxfId="6961" priority="288" stopIfTrue="1" operator="equal">
      <formula>"Pass"</formula>
    </cfRule>
  </conditionalFormatting>
  <conditionalFormatting sqref="V292:V295">
    <cfRule type="cellIs" dxfId="6960" priority="285" stopIfTrue="1" operator="equal">
      <formula>"Pass"</formula>
    </cfRule>
    <cfRule type="cellIs" dxfId="6959" priority="286" stopIfTrue="1" operator="equal">
      <formula>"please check"</formula>
    </cfRule>
  </conditionalFormatting>
  <conditionalFormatting sqref="V292:V295">
    <cfRule type="cellIs" dxfId="6958" priority="282" stopIfTrue="1" operator="equal">
      <formula>"No"</formula>
    </cfRule>
    <cfRule type="cellIs" dxfId="6957" priority="283" stopIfTrue="1" operator="equal">
      <formula>"Fail"</formula>
    </cfRule>
    <cfRule type="cellIs" dxfId="6956" priority="284" stopIfTrue="1" operator="equal">
      <formula>"please check"</formula>
    </cfRule>
  </conditionalFormatting>
  <conditionalFormatting sqref="V292:V295">
    <cfRule type="cellIs" dxfId="6955" priority="281" stopIfTrue="1" operator="equal">
      <formula>"Pass"</formula>
    </cfRule>
  </conditionalFormatting>
  <conditionalFormatting sqref="V297:V303">
    <cfRule type="cellIs" dxfId="6954" priority="278" stopIfTrue="1" operator="equal">
      <formula>"Pass"</formula>
    </cfRule>
    <cfRule type="cellIs" dxfId="6953" priority="279" stopIfTrue="1" operator="equal">
      <formula>"please check"</formula>
    </cfRule>
  </conditionalFormatting>
  <conditionalFormatting sqref="V297:V303">
    <cfRule type="cellIs" dxfId="6952" priority="275" stopIfTrue="1" operator="equal">
      <formula>"No"</formula>
    </cfRule>
    <cfRule type="cellIs" dxfId="6951" priority="276" stopIfTrue="1" operator="equal">
      <formula>"Fail"</formula>
    </cfRule>
    <cfRule type="cellIs" dxfId="6950" priority="277" stopIfTrue="1" operator="equal">
      <formula>"please check"</formula>
    </cfRule>
  </conditionalFormatting>
  <conditionalFormatting sqref="V297:V303">
    <cfRule type="cellIs" dxfId="6949" priority="274" stopIfTrue="1" operator="equal">
      <formula>"Pass"</formula>
    </cfRule>
  </conditionalFormatting>
  <conditionalFormatting sqref="V305:V309">
    <cfRule type="cellIs" dxfId="6948" priority="271" stopIfTrue="1" operator="equal">
      <formula>"Pass"</formula>
    </cfRule>
    <cfRule type="cellIs" dxfId="6947" priority="272" stopIfTrue="1" operator="equal">
      <formula>"please check"</formula>
    </cfRule>
  </conditionalFormatting>
  <conditionalFormatting sqref="V305:V309">
    <cfRule type="cellIs" dxfId="6946" priority="268" stopIfTrue="1" operator="equal">
      <formula>"No"</formula>
    </cfRule>
    <cfRule type="cellIs" dxfId="6945" priority="269" stopIfTrue="1" operator="equal">
      <formula>"Fail"</formula>
    </cfRule>
    <cfRule type="cellIs" dxfId="6944" priority="270" stopIfTrue="1" operator="equal">
      <formula>"please check"</formula>
    </cfRule>
  </conditionalFormatting>
  <conditionalFormatting sqref="V305:V309">
    <cfRule type="cellIs" dxfId="6943" priority="267" stopIfTrue="1" operator="equal">
      <formula>"Pass"</formula>
    </cfRule>
  </conditionalFormatting>
  <conditionalFormatting sqref="W283">
    <cfRule type="cellIs" dxfId="6942" priority="249" stopIfTrue="1" operator="equal">
      <formula>"Pass"</formula>
    </cfRule>
    <cfRule type="cellIs" dxfId="6941" priority="250" stopIfTrue="1" operator="equal">
      <formula>"please check"</formula>
    </cfRule>
  </conditionalFormatting>
  <conditionalFormatting sqref="W283">
    <cfRule type="cellIs" dxfId="6940" priority="252" stopIfTrue="1" operator="equal">
      <formula>"Pass"</formula>
    </cfRule>
    <cfRule type="cellIs" dxfId="6939" priority="253" stopIfTrue="1" operator="equal">
      <formula>"please check"</formula>
    </cfRule>
  </conditionalFormatting>
  <conditionalFormatting sqref="W285:W309">
    <cfRule type="cellIs" dxfId="6938" priority="248" stopIfTrue="1" operator="equal">
      <formula>"Pass"</formula>
    </cfRule>
  </conditionalFormatting>
  <conditionalFormatting sqref="W285:W309">
    <cfRule type="cellIs" dxfId="6937" priority="245" stopIfTrue="1" operator="equal">
      <formula>"No"</formula>
    </cfRule>
    <cfRule type="cellIs" dxfId="6936" priority="246" stopIfTrue="1" operator="equal">
      <formula>"Fail"</formula>
    </cfRule>
    <cfRule type="cellIs" dxfId="6935" priority="247" stopIfTrue="1" operator="equal">
      <formula>"please check"</formula>
    </cfRule>
  </conditionalFormatting>
  <conditionalFormatting sqref="W285:W309">
    <cfRule type="containsText" dxfId="6934" priority="242" operator="containsText" text="Please check">
      <formula>NOT(ISERROR(SEARCH("Please check",W285)))</formula>
    </cfRule>
    <cfRule type="containsText" dxfId="6933" priority="243" operator="containsText" text="Missing inputs">
      <formula>NOT(ISERROR(SEARCH("Missing inputs",W285)))</formula>
    </cfRule>
    <cfRule type="containsText" dxfId="6932" priority="244" operator="containsText" text="OK">
      <formula>NOT(ISERROR(SEARCH("OK",W285)))</formula>
    </cfRule>
  </conditionalFormatting>
  <conditionalFormatting sqref="T293:T295">
    <cfRule type="cellIs" dxfId="6931" priority="239" stopIfTrue="1" operator="equal">
      <formula>"Pass"</formula>
    </cfRule>
    <cfRule type="cellIs" dxfId="6930" priority="240" stopIfTrue="1" operator="equal">
      <formula>"please check"</formula>
    </cfRule>
  </conditionalFormatting>
  <conditionalFormatting sqref="T293:T295">
    <cfRule type="cellIs" dxfId="6929" priority="236" stopIfTrue="1" operator="equal">
      <formula>"No"</formula>
    </cfRule>
    <cfRule type="cellIs" dxfId="6928" priority="237" stopIfTrue="1" operator="equal">
      <formula>"Fail"</formula>
    </cfRule>
    <cfRule type="cellIs" dxfId="6927" priority="238" stopIfTrue="1" operator="equal">
      <formula>"please check"</formula>
    </cfRule>
  </conditionalFormatting>
  <conditionalFormatting sqref="T293:T295">
    <cfRule type="cellIs" dxfId="6926" priority="235" stopIfTrue="1" operator="equal">
      <formula>"Pass"</formula>
    </cfRule>
  </conditionalFormatting>
  <conditionalFormatting sqref="R238:T238">
    <cfRule type="cellIs" dxfId="6925" priority="234" stopIfTrue="1" operator="lessThan">
      <formula>0</formula>
    </cfRule>
  </conditionalFormatting>
  <conditionalFormatting sqref="R238:T238">
    <cfRule type="cellIs" dxfId="6924" priority="231" stopIfTrue="1" operator="equal">
      <formula>"Pass"</formula>
    </cfRule>
    <cfRule type="cellIs" dxfId="6923" priority="232" stopIfTrue="1" operator="equal">
      <formula>"please check"</formula>
    </cfRule>
  </conditionalFormatting>
  <conditionalFormatting sqref="T285:T286">
    <cfRule type="cellIs" dxfId="6922" priority="223" stopIfTrue="1" operator="equal">
      <formula>"Pass"</formula>
    </cfRule>
  </conditionalFormatting>
  <conditionalFormatting sqref="T285:T286">
    <cfRule type="cellIs" dxfId="6921" priority="220" stopIfTrue="1" operator="equal">
      <formula>"No"</formula>
    </cfRule>
    <cfRule type="cellIs" dxfId="6920" priority="221" stopIfTrue="1" operator="equal">
      <formula>"Fail"</formula>
    </cfRule>
    <cfRule type="cellIs" dxfId="6919" priority="222" stopIfTrue="1" operator="equal">
      <formula>"please check"</formula>
    </cfRule>
  </conditionalFormatting>
  <conditionalFormatting sqref="T285:T286">
    <cfRule type="containsText" dxfId="6918" priority="217" operator="containsText" text="Please check">
      <formula>NOT(ISERROR(SEARCH("Please check",T285)))</formula>
    </cfRule>
    <cfRule type="containsText" dxfId="6917" priority="218" operator="containsText" text="Missing inputs">
      <formula>NOT(ISERROR(SEARCH("Missing inputs",T285)))</formula>
    </cfRule>
    <cfRule type="containsText" dxfId="6916" priority="219" operator="containsText" text="OK">
      <formula>NOT(ISERROR(SEARCH("OK",T285)))</formula>
    </cfRule>
  </conditionalFormatting>
  <conditionalFormatting sqref="V285:V286">
    <cfRule type="cellIs" dxfId="6915" priority="216" stopIfTrue="1" operator="equal">
      <formula>"Pass"</formula>
    </cfRule>
  </conditionalFormatting>
  <conditionalFormatting sqref="V285:V286">
    <cfRule type="cellIs" dxfId="6914" priority="213" stopIfTrue="1" operator="equal">
      <formula>"No"</formula>
    </cfRule>
    <cfRule type="cellIs" dxfId="6913" priority="214" stopIfTrue="1" operator="equal">
      <formula>"Fail"</formula>
    </cfRule>
    <cfRule type="cellIs" dxfId="6912" priority="215" stopIfTrue="1" operator="equal">
      <formula>"please check"</formula>
    </cfRule>
  </conditionalFormatting>
  <conditionalFormatting sqref="V285:V286">
    <cfRule type="containsText" dxfId="6911" priority="210" operator="containsText" text="Please check">
      <formula>NOT(ISERROR(SEARCH("Please check",V285)))</formula>
    </cfRule>
    <cfRule type="containsText" dxfId="6910" priority="211" operator="containsText" text="Missing inputs">
      <formula>NOT(ISERROR(SEARCH("Missing inputs",V285)))</formula>
    </cfRule>
    <cfRule type="containsText" dxfId="6909" priority="212" operator="containsText" text="OK">
      <formula>NOT(ISERROR(SEARCH("OK",V285)))</formula>
    </cfRule>
  </conditionalFormatting>
  <conditionalFormatting sqref="T291">
    <cfRule type="cellIs" dxfId="6908" priority="202" stopIfTrue="1" operator="equal">
      <formula>"Pass"</formula>
    </cfRule>
  </conditionalFormatting>
  <conditionalFormatting sqref="T291">
    <cfRule type="cellIs" dxfId="6907" priority="199" stopIfTrue="1" operator="equal">
      <formula>"No"</formula>
    </cfRule>
    <cfRule type="cellIs" dxfId="6906" priority="200" stopIfTrue="1" operator="equal">
      <formula>"Fail"</formula>
    </cfRule>
    <cfRule type="cellIs" dxfId="6905" priority="201" stopIfTrue="1" operator="equal">
      <formula>"please check"</formula>
    </cfRule>
  </conditionalFormatting>
  <conditionalFormatting sqref="T291">
    <cfRule type="containsText" dxfId="6904" priority="196" operator="containsText" text="Please check">
      <formula>NOT(ISERROR(SEARCH("Please check",T291)))</formula>
    </cfRule>
    <cfRule type="containsText" dxfId="6903" priority="197" operator="containsText" text="Missing inputs">
      <formula>NOT(ISERROR(SEARCH("Missing inputs",T291)))</formula>
    </cfRule>
    <cfRule type="containsText" dxfId="6902" priority="198" operator="containsText" text="OK">
      <formula>NOT(ISERROR(SEARCH("OK",T291)))</formula>
    </cfRule>
  </conditionalFormatting>
  <conditionalFormatting sqref="T296">
    <cfRule type="cellIs" dxfId="6901" priority="195" stopIfTrue="1" operator="equal">
      <formula>"Pass"</formula>
    </cfRule>
  </conditionalFormatting>
  <conditionalFormatting sqref="T296">
    <cfRule type="cellIs" dxfId="6900" priority="192" stopIfTrue="1" operator="equal">
      <formula>"No"</formula>
    </cfRule>
    <cfRule type="cellIs" dxfId="6899" priority="193" stopIfTrue="1" operator="equal">
      <formula>"Fail"</formula>
    </cfRule>
    <cfRule type="cellIs" dxfId="6898" priority="194" stopIfTrue="1" operator="equal">
      <formula>"please check"</formula>
    </cfRule>
  </conditionalFormatting>
  <conditionalFormatting sqref="T296">
    <cfRule type="containsText" dxfId="6897" priority="189" operator="containsText" text="Please check">
      <formula>NOT(ISERROR(SEARCH("Please check",T296)))</formula>
    </cfRule>
    <cfRule type="containsText" dxfId="6896" priority="190" operator="containsText" text="Missing inputs">
      <formula>NOT(ISERROR(SEARCH("Missing inputs",T296)))</formula>
    </cfRule>
    <cfRule type="containsText" dxfId="6895" priority="191" operator="containsText" text="OK">
      <formula>NOT(ISERROR(SEARCH("OK",T296)))</formula>
    </cfRule>
  </conditionalFormatting>
  <conditionalFormatting sqref="T304">
    <cfRule type="cellIs" dxfId="6894" priority="188" stopIfTrue="1" operator="equal">
      <formula>"Pass"</formula>
    </cfRule>
  </conditionalFormatting>
  <conditionalFormatting sqref="T304">
    <cfRule type="cellIs" dxfId="6893" priority="185" stopIfTrue="1" operator="equal">
      <formula>"No"</formula>
    </cfRule>
    <cfRule type="cellIs" dxfId="6892" priority="186" stopIfTrue="1" operator="equal">
      <formula>"Fail"</formula>
    </cfRule>
    <cfRule type="cellIs" dxfId="6891" priority="187" stopIfTrue="1" operator="equal">
      <formula>"please check"</formula>
    </cfRule>
  </conditionalFormatting>
  <conditionalFormatting sqref="T304">
    <cfRule type="containsText" dxfId="6890" priority="182" operator="containsText" text="Please check">
      <formula>NOT(ISERROR(SEARCH("Please check",T304)))</formula>
    </cfRule>
    <cfRule type="containsText" dxfId="6889" priority="183" operator="containsText" text="Missing inputs">
      <formula>NOT(ISERROR(SEARCH("Missing inputs",T304)))</formula>
    </cfRule>
    <cfRule type="containsText" dxfId="6888" priority="184" operator="containsText" text="OK">
      <formula>NOT(ISERROR(SEARCH("OK",T304)))</formula>
    </cfRule>
  </conditionalFormatting>
  <conditionalFormatting sqref="V291">
    <cfRule type="cellIs" dxfId="6887" priority="181" stopIfTrue="1" operator="equal">
      <formula>"Pass"</formula>
    </cfRule>
  </conditionalFormatting>
  <conditionalFormatting sqref="V291">
    <cfRule type="cellIs" dxfId="6886" priority="178" stopIfTrue="1" operator="equal">
      <formula>"No"</formula>
    </cfRule>
    <cfRule type="cellIs" dxfId="6885" priority="179" stopIfTrue="1" operator="equal">
      <formula>"Fail"</formula>
    </cfRule>
    <cfRule type="cellIs" dxfId="6884" priority="180" stopIfTrue="1" operator="equal">
      <formula>"please check"</formula>
    </cfRule>
  </conditionalFormatting>
  <conditionalFormatting sqref="V291">
    <cfRule type="containsText" dxfId="6883" priority="175" operator="containsText" text="Please check">
      <formula>NOT(ISERROR(SEARCH("Please check",V291)))</formula>
    </cfRule>
    <cfRule type="containsText" dxfId="6882" priority="176" operator="containsText" text="Missing inputs">
      <formula>NOT(ISERROR(SEARCH("Missing inputs",V291)))</formula>
    </cfRule>
    <cfRule type="containsText" dxfId="6881" priority="177" operator="containsText" text="OK">
      <formula>NOT(ISERROR(SEARCH("OK",V291)))</formula>
    </cfRule>
  </conditionalFormatting>
  <conditionalFormatting sqref="V296">
    <cfRule type="cellIs" dxfId="6880" priority="174" stopIfTrue="1" operator="equal">
      <formula>"Pass"</formula>
    </cfRule>
  </conditionalFormatting>
  <conditionalFormatting sqref="V296">
    <cfRule type="cellIs" dxfId="6879" priority="171" stopIfTrue="1" operator="equal">
      <formula>"No"</formula>
    </cfRule>
    <cfRule type="cellIs" dxfId="6878" priority="172" stopIfTrue="1" operator="equal">
      <formula>"Fail"</formula>
    </cfRule>
    <cfRule type="cellIs" dxfId="6877" priority="173" stopIfTrue="1" operator="equal">
      <formula>"please check"</formula>
    </cfRule>
  </conditionalFormatting>
  <conditionalFormatting sqref="V296">
    <cfRule type="containsText" dxfId="6876" priority="168" operator="containsText" text="Please check">
      <formula>NOT(ISERROR(SEARCH("Please check",V296)))</formula>
    </cfRule>
    <cfRule type="containsText" dxfId="6875" priority="169" operator="containsText" text="Missing inputs">
      <formula>NOT(ISERROR(SEARCH("Missing inputs",V296)))</formula>
    </cfRule>
    <cfRule type="containsText" dxfId="6874" priority="170" operator="containsText" text="OK">
      <formula>NOT(ISERROR(SEARCH("OK",V296)))</formula>
    </cfRule>
  </conditionalFormatting>
  <conditionalFormatting sqref="V304">
    <cfRule type="cellIs" dxfId="6873" priority="167" stopIfTrue="1" operator="equal">
      <formula>"Pass"</formula>
    </cfRule>
  </conditionalFormatting>
  <conditionalFormatting sqref="V304">
    <cfRule type="cellIs" dxfId="6872" priority="164" stopIfTrue="1" operator="equal">
      <formula>"No"</formula>
    </cfRule>
    <cfRule type="cellIs" dxfId="6871" priority="165" stopIfTrue="1" operator="equal">
      <formula>"Fail"</formula>
    </cfRule>
    <cfRule type="cellIs" dxfId="6870" priority="166" stopIfTrue="1" operator="equal">
      <formula>"please check"</formula>
    </cfRule>
  </conditionalFormatting>
  <conditionalFormatting sqref="V304">
    <cfRule type="containsText" dxfId="6869" priority="161" operator="containsText" text="Please check">
      <formula>NOT(ISERROR(SEARCH("Please check",V304)))</formula>
    </cfRule>
    <cfRule type="containsText" dxfId="6868" priority="162" operator="containsText" text="Missing inputs">
      <formula>NOT(ISERROR(SEARCH("Missing inputs",V304)))</formula>
    </cfRule>
    <cfRule type="containsText" dxfId="6867" priority="163" operator="containsText" text="OK">
      <formula>NOT(ISERROR(SEARCH("OK",V304)))</formula>
    </cfRule>
  </conditionalFormatting>
  <conditionalFormatting sqref="AG234">
    <cfRule type="cellIs" dxfId="6866" priority="155" stopIfTrue="1" operator="equal">
      <formula>"Pass"</formula>
    </cfRule>
    <cfRule type="cellIs" dxfId="6865" priority="156" stopIfTrue="1" operator="equal">
      <formula>"please check"</formula>
    </cfRule>
  </conditionalFormatting>
  <conditionalFormatting sqref="AG234">
    <cfRule type="cellIs" dxfId="6864" priority="158" stopIfTrue="1" operator="equal">
      <formula>"Pass"</formula>
    </cfRule>
    <cfRule type="cellIs" dxfId="6863" priority="159" stopIfTrue="1" operator="equal">
      <formula>"please check"</formula>
    </cfRule>
  </conditionalFormatting>
  <conditionalFormatting sqref="AJ234">
    <cfRule type="cellIs" dxfId="6862" priority="149" stopIfTrue="1" operator="equal">
      <formula>"Pass"</formula>
    </cfRule>
    <cfRule type="cellIs" dxfId="6861" priority="150" stopIfTrue="1" operator="equal">
      <formula>"please check"</formula>
    </cfRule>
  </conditionalFormatting>
  <conditionalFormatting sqref="AJ234">
    <cfRule type="cellIs" dxfId="6860" priority="152" stopIfTrue="1" operator="equal">
      <formula>"Pass"</formula>
    </cfRule>
    <cfRule type="cellIs" dxfId="6859" priority="153" stopIfTrue="1" operator="equal">
      <formula>"please check"</formula>
    </cfRule>
  </conditionalFormatting>
  <conditionalFormatting sqref="D265:E265">
    <cfRule type="cellIs" dxfId="6858" priority="148" stopIfTrue="1" operator="lessThan">
      <formula>0</formula>
    </cfRule>
  </conditionalFormatting>
  <conditionalFormatting sqref="D265:E265">
    <cfRule type="cellIs" dxfId="6857" priority="145" stopIfTrue="1" operator="equal">
      <formula>"Pass"</formula>
    </cfRule>
    <cfRule type="cellIs" dxfId="6856" priority="146" stopIfTrue="1" operator="equal">
      <formula>"please check"</formula>
    </cfRule>
  </conditionalFormatting>
  <conditionalFormatting sqref="F265">
    <cfRule type="cellIs" dxfId="6855" priority="144" stopIfTrue="1" operator="lessThan">
      <formula>0</formula>
    </cfRule>
  </conditionalFormatting>
  <conditionalFormatting sqref="F265">
    <cfRule type="cellIs" dxfId="6854" priority="141" stopIfTrue="1" operator="equal">
      <formula>"Pass"</formula>
    </cfRule>
    <cfRule type="cellIs" dxfId="6853" priority="142" stopIfTrue="1" operator="equal">
      <formula>"please check"</formula>
    </cfRule>
  </conditionalFormatting>
  <conditionalFormatting sqref="D266:E266">
    <cfRule type="cellIs" dxfId="6852" priority="140" stopIfTrue="1" operator="lessThan">
      <formula>0</formula>
    </cfRule>
  </conditionalFormatting>
  <conditionalFormatting sqref="D266:E266">
    <cfRule type="cellIs" dxfId="6851" priority="137" stopIfTrue="1" operator="equal">
      <formula>"Pass"</formula>
    </cfRule>
    <cfRule type="cellIs" dxfId="6850" priority="138" stopIfTrue="1" operator="equal">
      <formula>"please check"</formula>
    </cfRule>
  </conditionalFormatting>
  <conditionalFormatting sqref="D267:E267">
    <cfRule type="cellIs" dxfId="6849" priority="136" stopIfTrue="1" operator="lessThan">
      <formula>0</formula>
    </cfRule>
  </conditionalFormatting>
  <conditionalFormatting sqref="D267:E267">
    <cfRule type="cellIs" dxfId="6848" priority="133" stopIfTrue="1" operator="equal">
      <formula>"Pass"</formula>
    </cfRule>
    <cfRule type="cellIs" dxfId="6847" priority="134" stopIfTrue="1" operator="equal">
      <formula>"please check"</formula>
    </cfRule>
  </conditionalFormatting>
  <conditionalFormatting sqref="D268:E268">
    <cfRule type="cellIs" dxfId="6846" priority="132" stopIfTrue="1" operator="lessThan">
      <formula>0</formula>
    </cfRule>
  </conditionalFormatting>
  <conditionalFormatting sqref="D268:E268">
    <cfRule type="cellIs" dxfId="6845" priority="129" stopIfTrue="1" operator="equal">
      <formula>"Pass"</formula>
    </cfRule>
    <cfRule type="cellIs" dxfId="6844" priority="130" stopIfTrue="1" operator="equal">
      <formula>"please check"</formula>
    </cfRule>
  </conditionalFormatting>
  <conditionalFormatting sqref="F268">
    <cfRule type="cellIs" dxfId="6843" priority="128" stopIfTrue="1" operator="lessThan">
      <formula>0</formula>
    </cfRule>
  </conditionalFormatting>
  <conditionalFormatting sqref="F268">
    <cfRule type="cellIs" dxfId="6842" priority="125" stopIfTrue="1" operator="equal">
      <formula>"Pass"</formula>
    </cfRule>
    <cfRule type="cellIs" dxfId="6841" priority="126" stopIfTrue="1" operator="equal">
      <formula>"please check"</formula>
    </cfRule>
  </conditionalFormatting>
  <conditionalFormatting sqref="D269:E269">
    <cfRule type="cellIs" dxfId="6840" priority="124" stopIfTrue="1" operator="lessThan">
      <formula>0</formula>
    </cfRule>
  </conditionalFormatting>
  <conditionalFormatting sqref="D269:E269">
    <cfRule type="cellIs" dxfId="6839" priority="121" stopIfTrue="1" operator="equal">
      <formula>"Pass"</formula>
    </cfRule>
    <cfRule type="cellIs" dxfId="6838" priority="122" stopIfTrue="1" operator="equal">
      <formula>"please check"</formula>
    </cfRule>
  </conditionalFormatting>
  <conditionalFormatting sqref="D270:E270">
    <cfRule type="cellIs" dxfId="6837" priority="120" stopIfTrue="1" operator="lessThan">
      <formula>0</formula>
    </cfRule>
  </conditionalFormatting>
  <conditionalFormatting sqref="D270:E270">
    <cfRule type="cellIs" dxfId="6836" priority="117" stopIfTrue="1" operator="equal">
      <formula>"Pass"</formula>
    </cfRule>
    <cfRule type="cellIs" dxfId="6835" priority="118" stopIfTrue="1" operator="equal">
      <formula>"please check"</formula>
    </cfRule>
  </conditionalFormatting>
  <conditionalFormatting sqref="F270">
    <cfRule type="cellIs" dxfId="6834" priority="116" stopIfTrue="1" operator="lessThan">
      <formula>0</formula>
    </cfRule>
  </conditionalFormatting>
  <conditionalFormatting sqref="F270">
    <cfRule type="cellIs" dxfId="6833" priority="113" stopIfTrue="1" operator="equal">
      <formula>"Pass"</formula>
    </cfRule>
    <cfRule type="cellIs" dxfId="6832" priority="114" stopIfTrue="1" operator="equal">
      <formula>"please check"</formula>
    </cfRule>
  </conditionalFormatting>
  <conditionalFormatting sqref="D271:E271">
    <cfRule type="cellIs" dxfId="6831" priority="112" stopIfTrue="1" operator="lessThan">
      <formula>0</formula>
    </cfRule>
  </conditionalFormatting>
  <conditionalFormatting sqref="D271:E271">
    <cfRule type="cellIs" dxfId="6830" priority="109" stopIfTrue="1" operator="equal">
      <formula>"Pass"</formula>
    </cfRule>
    <cfRule type="cellIs" dxfId="6829" priority="110" stopIfTrue="1" operator="equal">
      <formula>"please check"</formula>
    </cfRule>
  </conditionalFormatting>
  <conditionalFormatting sqref="F271">
    <cfRule type="cellIs" dxfId="6828" priority="108" stopIfTrue="1" operator="lessThan">
      <formula>0</formula>
    </cfRule>
  </conditionalFormatting>
  <conditionalFormatting sqref="F271">
    <cfRule type="cellIs" dxfId="6827" priority="105" stopIfTrue="1" operator="equal">
      <formula>"Pass"</formula>
    </cfRule>
    <cfRule type="cellIs" dxfId="6826" priority="106" stopIfTrue="1" operator="equal">
      <formula>"please check"</formula>
    </cfRule>
  </conditionalFormatting>
  <conditionalFormatting sqref="F266">
    <cfRule type="cellIs" dxfId="6825" priority="104" stopIfTrue="1" operator="lessThan">
      <formula>0</formula>
    </cfRule>
  </conditionalFormatting>
  <conditionalFormatting sqref="F266">
    <cfRule type="cellIs" dxfId="6824" priority="101" stopIfTrue="1" operator="equal">
      <formula>"Pass"</formula>
    </cfRule>
    <cfRule type="cellIs" dxfId="6823" priority="102" stopIfTrue="1" operator="equal">
      <formula>"please check"</formula>
    </cfRule>
  </conditionalFormatting>
  <conditionalFormatting sqref="F267">
    <cfRule type="cellIs" dxfId="6822" priority="100" stopIfTrue="1" operator="lessThan">
      <formula>0</formula>
    </cfRule>
  </conditionalFormatting>
  <conditionalFormatting sqref="F267">
    <cfRule type="cellIs" dxfId="6821" priority="97" stopIfTrue="1" operator="equal">
      <formula>"Pass"</formula>
    </cfRule>
    <cfRule type="cellIs" dxfId="6820" priority="98" stopIfTrue="1" operator="equal">
      <formula>"please check"</formula>
    </cfRule>
  </conditionalFormatting>
  <conditionalFormatting sqref="F269">
    <cfRule type="cellIs" dxfId="6819" priority="96" stopIfTrue="1" operator="lessThan">
      <formula>0</formula>
    </cfRule>
  </conditionalFormatting>
  <conditionalFormatting sqref="F269">
    <cfRule type="cellIs" dxfId="6818" priority="93" stopIfTrue="1" operator="equal">
      <formula>"Pass"</formula>
    </cfRule>
    <cfRule type="cellIs" dxfId="6817" priority="94" stopIfTrue="1" operator="equal">
      <formula>"please check"</formula>
    </cfRule>
  </conditionalFormatting>
  <conditionalFormatting sqref="H265">
    <cfRule type="cellIs" dxfId="6816" priority="92" stopIfTrue="1" operator="lessThan">
      <formula>0</formula>
    </cfRule>
  </conditionalFormatting>
  <conditionalFormatting sqref="H265">
    <cfRule type="cellIs" dxfId="6815" priority="89" stopIfTrue="1" operator="equal">
      <formula>"Pass"</formula>
    </cfRule>
    <cfRule type="cellIs" dxfId="6814" priority="90" stopIfTrue="1" operator="equal">
      <formula>"please check"</formula>
    </cfRule>
  </conditionalFormatting>
  <conditionalFormatting sqref="H268">
    <cfRule type="cellIs" dxfId="6813" priority="88" stopIfTrue="1" operator="lessThan">
      <formula>0</formula>
    </cfRule>
  </conditionalFormatting>
  <conditionalFormatting sqref="H268">
    <cfRule type="cellIs" dxfId="6812" priority="85" stopIfTrue="1" operator="equal">
      <formula>"Pass"</formula>
    </cfRule>
    <cfRule type="cellIs" dxfId="6811" priority="86" stopIfTrue="1" operator="equal">
      <formula>"please check"</formula>
    </cfRule>
  </conditionalFormatting>
  <conditionalFormatting sqref="H270">
    <cfRule type="cellIs" dxfId="6810" priority="84" stopIfTrue="1" operator="lessThan">
      <formula>0</formula>
    </cfRule>
  </conditionalFormatting>
  <conditionalFormatting sqref="H270">
    <cfRule type="cellIs" dxfId="6809" priority="81" stopIfTrue="1" operator="equal">
      <formula>"Pass"</formula>
    </cfRule>
    <cfRule type="cellIs" dxfId="6808" priority="82" stopIfTrue="1" operator="equal">
      <formula>"please check"</formula>
    </cfRule>
  </conditionalFormatting>
  <conditionalFormatting sqref="H271">
    <cfRule type="cellIs" dxfId="6807" priority="80" stopIfTrue="1" operator="lessThan">
      <formula>0</formula>
    </cfRule>
  </conditionalFormatting>
  <conditionalFormatting sqref="H271">
    <cfRule type="cellIs" dxfId="6806" priority="77" stopIfTrue="1" operator="equal">
      <formula>"Pass"</formula>
    </cfRule>
    <cfRule type="cellIs" dxfId="6805" priority="78" stopIfTrue="1" operator="equal">
      <formula>"please check"</formula>
    </cfRule>
  </conditionalFormatting>
  <conditionalFormatting sqref="H266">
    <cfRule type="cellIs" dxfId="6804" priority="76" stopIfTrue="1" operator="lessThan">
      <formula>0</formula>
    </cfRule>
  </conditionalFormatting>
  <conditionalFormatting sqref="H266">
    <cfRule type="cellIs" dxfId="6803" priority="73" stopIfTrue="1" operator="equal">
      <formula>"Pass"</formula>
    </cfRule>
    <cfRule type="cellIs" dxfId="6802" priority="74" stopIfTrue="1" operator="equal">
      <formula>"please check"</formula>
    </cfRule>
  </conditionalFormatting>
  <conditionalFormatting sqref="H267">
    <cfRule type="cellIs" dxfId="6801" priority="72" stopIfTrue="1" operator="lessThan">
      <formula>0</formula>
    </cfRule>
  </conditionalFormatting>
  <conditionalFormatting sqref="H267">
    <cfRule type="cellIs" dxfId="6800" priority="69" stopIfTrue="1" operator="equal">
      <formula>"Pass"</formula>
    </cfRule>
    <cfRule type="cellIs" dxfId="6799" priority="70" stopIfTrue="1" operator="equal">
      <formula>"please check"</formula>
    </cfRule>
  </conditionalFormatting>
  <conditionalFormatting sqref="H269">
    <cfRule type="cellIs" dxfId="6798" priority="68" stopIfTrue="1" operator="lessThan">
      <formula>0</formula>
    </cfRule>
  </conditionalFormatting>
  <conditionalFormatting sqref="H269">
    <cfRule type="cellIs" dxfId="6797" priority="65" stopIfTrue="1" operator="equal">
      <formula>"Pass"</formula>
    </cfRule>
    <cfRule type="cellIs" dxfId="6796" priority="66" stopIfTrue="1" operator="equal">
      <formula>"please check"</formula>
    </cfRule>
  </conditionalFormatting>
  <conditionalFormatting sqref="D278:F278">
    <cfRule type="cellIs" dxfId="6795" priority="64" stopIfTrue="1" operator="lessThan">
      <formula>0</formula>
    </cfRule>
  </conditionalFormatting>
  <conditionalFormatting sqref="D278:F278">
    <cfRule type="cellIs" dxfId="6794" priority="61" stopIfTrue="1" operator="equal">
      <formula>"Pass"</formula>
    </cfRule>
    <cfRule type="cellIs" dxfId="6793" priority="62" stopIfTrue="1" operator="equal">
      <formula>"please check"</formula>
    </cfRule>
  </conditionalFormatting>
  <conditionalFormatting sqref="H278:J278">
    <cfRule type="cellIs" dxfId="6792" priority="60" stopIfTrue="1" operator="lessThan">
      <formula>0</formula>
    </cfRule>
  </conditionalFormatting>
  <conditionalFormatting sqref="H278:J278">
    <cfRule type="cellIs" dxfId="6791" priority="57" stopIfTrue="1" operator="equal">
      <formula>"Pass"</formula>
    </cfRule>
    <cfRule type="cellIs" dxfId="6790" priority="58" stopIfTrue="1" operator="equal">
      <formula>"please check"</formula>
    </cfRule>
  </conditionalFormatting>
  <conditionalFormatting sqref="D288:F290">
    <cfRule type="cellIs" dxfId="6789" priority="56" stopIfTrue="1" operator="lessThan">
      <formula>0</formula>
    </cfRule>
  </conditionalFormatting>
  <conditionalFormatting sqref="D288:F290">
    <cfRule type="cellIs" dxfId="6788" priority="53" stopIfTrue="1" operator="equal">
      <formula>"Pass"</formula>
    </cfRule>
    <cfRule type="cellIs" dxfId="6787" priority="54" stopIfTrue="1" operator="equal">
      <formula>"please check"</formula>
    </cfRule>
  </conditionalFormatting>
  <conditionalFormatting sqref="D293:F295">
    <cfRule type="cellIs" dxfId="6786" priority="52" stopIfTrue="1" operator="lessThan">
      <formula>0</formula>
    </cfRule>
  </conditionalFormatting>
  <conditionalFormatting sqref="D293:F295">
    <cfRule type="cellIs" dxfId="6785" priority="49" stopIfTrue="1" operator="equal">
      <formula>"Pass"</formula>
    </cfRule>
    <cfRule type="cellIs" dxfId="6784" priority="50" stopIfTrue="1" operator="equal">
      <formula>"please check"</formula>
    </cfRule>
  </conditionalFormatting>
  <conditionalFormatting sqref="D297:F299">
    <cfRule type="cellIs" dxfId="6783" priority="48" stopIfTrue="1" operator="lessThan">
      <formula>0</formula>
    </cfRule>
  </conditionalFormatting>
  <conditionalFormatting sqref="D297:F299">
    <cfRule type="cellIs" dxfId="6782" priority="45" stopIfTrue="1" operator="equal">
      <formula>"Pass"</formula>
    </cfRule>
    <cfRule type="cellIs" dxfId="6781" priority="46" stopIfTrue="1" operator="equal">
      <formula>"please check"</formula>
    </cfRule>
  </conditionalFormatting>
  <conditionalFormatting sqref="D300:F302">
    <cfRule type="cellIs" dxfId="6780" priority="44" stopIfTrue="1" operator="lessThan">
      <formula>0</formula>
    </cfRule>
  </conditionalFormatting>
  <conditionalFormatting sqref="D300:F302">
    <cfRule type="cellIs" dxfId="6779" priority="41" stopIfTrue="1" operator="equal">
      <formula>"Pass"</formula>
    </cfRule>
    <cfRule type="cellIs" dxfId="6778" priority="42" stopIfTrue="1" operator="equal">
      <formula>"please check"</formula>
    </cfRule>
  </conditionalFormatting>
  <conditionalFormatting sqref="D305:F307">
    <cfRule type="cellIs" dxfId="6777" priority="40" stopIfTrue="1" operator="lessThan">
      <formula>0</formula>
    </cfRule>
  </conditionalFormatting>
  <conditionalFormatting sqref="D305:F307">
    <cfRule type="cellIs" dxfId="6776" priority="37" stopIfTrue="1" operator="equal">
      <formula>"Pass"</formula>
    </cfRule>
    <cfRule type="cellIs" dxfId="6775" priority="38" stopIfTrue="1" operator="equal">
      <formula>"please check"</formula>
    </cfRule>
  </conditionalFormatting>
  <conditionalFormatting sqref="D303:F303">
    <cfRule type="cellIs" dxfId="6774" priority="36" stopIfTrue="1" operator="lessThan">
      <formula>0</formula>
    </cfRule>
  </conditionalFormatting>
  <conditionalFormatting sqref="D303:F303">
    <cfRule type="cellIs" dxfId="6773" priority="33" stopIfTrue="1" operator="equal">
      <formula>"Pass"</formula>
    </cfRule>
    <cfRule type="cellIs" dxfId="6772" priority="34" stopIfTrue="1" operator="equal">
      <formula>"please check"</formula>
    </cfRule>
  </conditionalFormatting>
  <conditionalFormatting sqref="D308:F308">
    <cfRule type="cellIs" dxfId="6771" priority="32" stopIfTrue="1" operator="lessThan">
      <formula>0</formula>
    </cfRule>
  </conditionalFormatting>
  <conditionalFormatting sqref="D308:F308">
    <cfRule type="cellIs" dxfId="6770" priority="29" stopIfTrue="1" operator="equal">
      <formula>"Pass"</formula>
    </cfRule>
    <cfRule type="cellIs" dxfId="6769" priority="30" stopIfTrue="1" operator="equal">
      <formula>"please check"</formula>
    </cfRule>
  </conditionalFormatting>
  <conditionalFormatting sqref="I288:K290">
    <cfRule type="cellIs" dxfId="6768" priority="28" stopIfTrue="1" operator="lessThan">
      <formula>0</formula>
    </cfRule>
  </conditionalFormatting>
  <conditionalFormatting sqref="I288:K290">
    <cfRule type="cellIs" dxfId="6767" priority="25" stopIfTrue="1" operator="equal">
      <formula>"Pass"</formula>
    </cfRule>
    <cfRule type="cellIs" dxfId="6766" priority="26" stopIfTrue="1" operator="equal">
      <formula>"please check"</formula>
    </cfRule>
  </conditionalFormatting>
  <conditionalFormatting sqref="I293:K295">
    <cfRule type="cellIs" dxfId="6765" priority="24" stopIfTrue="1" operator="lessThan">
      <formula>0</formula>
    </cfRule>
  </conditionalFormatting>
  <conditionalFormatting sqref="I293:K295">
    <cfRule type="cellIs" dxfId="6764" priority="21" stopIfTrue="1" operator="equal">
      <formula>"Pass"</formula>
    </cfRule>
    <cfRule type="cellIs" dxfId="6763" priority="22" stopIfTrue="1" operator="equal">
      <formula>"please check"</formula>
    </cfRule>
  </conditionalFormatting>
  <conditionalFormatting sqref="I297:K299">
    <cfRule type="cellIs" dxfId="6762" priority="20" stopIfTrue="1" operator="lessThan">
      <formula>0</formula>
    </cfRule>
  </conditionalFormatting>
  <conditionalFormatting sqref="I297:K299">
    <cfRule type="cellIs" dxfId="6761" priority="17" stopIfTrue="1" operator="equal">
      <formula>"Pass"</formula>
    </cfRule>
    <cfRule type="cellIs" dxfId="6760" priority="18" stopIfTrue="1" operator="equal">
      <formula>"please check"</formula>
    </cfRule>
  </conditionalFormatting>
  <conditionalFormatting sqref="I300:K302">
    <cfRule type="cellIs" dxfId="6759" priority="16" stopIfTrue="1" operator="lessThan">
      <formula>0</formula>
    </cfRule>
  </conditionalFormatting>
  <conditionalFormatting sqref="I300:K302">
    <cfRule type="cellIs" dxfId="6758" priority="13" stopIfTrue="1" operator="equal">
      <formula>"Pass"</formula>
    </cfRule>
    <cfRule type="cellIs" dxfId="6757" priority="14" stopIfTrue="1" operator="equal">
      <formula>"please check"</formula>
    </cfRule>
  </conditionalFormatting>
  <conditionalFormatting sqref="I305:K307">
    <cfRule type="cellIs" dxfId="6756" priority="12" stopIfTrue="1" operator="lessThan">
      <formula>0</formula>
    </cfRule>
  </conditionalFormatting>
  <conditionalFormatting sqref="I305:K307">
    <cfRule type="cellIs" dxfId="6755" priority="9" stopIfTrue="1" operator="equal">
      <formula>"Pass"</formula>
    </cfRule>
    <cfRule type="cellIs" dxfId="6754" priority="10" stopIfTrue="1" operator="equal">
      <formula>"please check"</formula>
    </cfRule>
  </conditionalFormatting>
  <conditionalFormatting sqref="I303:K303">
    <cfRule type="cellIs" dxfId="6753" priority="8" stopIfTrue="1" operator="lessThan">
      <formula>0</formula>
    </cfRule>
  </conditionalFormatting>
  <conditionalFormatting sqref="I303:K303">
    <cfRule type="cellIs" dxfId="6752" priority="5" stopIfTrue="1" operator="equal">
      <formula>"Pass"</formula>
    </cfRule>
    <cfRule type="cellIs" dxfId="6751" priority="6" stopIfTrue="1" operator="equal">
      <formula>"please check"</formula>
    </cfRule>
  </conditionalFormatting>
  <conditionalFormatting sqref="I308:K308">
    <cfRule type="cellIs" dxfId="6750" priority="4" stopIfTrue="1" operator="lessThan">
      <formula>0</formula>
    </cfRule>
  </conditionalFormatting>
  <conditionalFormatting sqref="I308:K308">
    <cfRule type="cellIs" dxfId="6749" priority="1" stopIfTrue="1" operator="equal">
      <formula>"Pass"</formula>
    </cfRule>
    <cfRule type="cellIs" dxfId="6748" priority="2"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8" max="37" man="1"/>
    <brk id="91" max="37" man="1"/>
    <brk id="144" max="37" man="1"/>
  </rowBreaks>
  <colBreaks count="2" manualBreakCount="2">
    <brk id="16" max="160" man="1"/>
    <brk id="29" max="160" man="1"/>
  </colBreaks>
  <ignoredErrors>
    <ignoredError sqref="I130 I122 I135 I24 I58 I81 I87 I92 I95" formula="1"/>
  </ignoredErrors>
  <extLst>
    <ext xmlns:x14="http://schemas.microsoft.com/office/spreadsheetml/2009/9/main" uri="{78C0D931-6437-407d-A8EE-F0AAD7539E65}">
      <x14:conditionalFormattings>
        <x14:conditionalFormatting xmlns:xm="http://schemas.microsoft.com/office/excel/2006/main">
          <x14:cfRule type="beginsWith" priority="4798" stopIfTrue="1" operator="beginsWith" id="{DB285AEB-E15B-4CED-BAE5-6A0D2F4FF6F1}">
            <xm:f>LEFT(A1,LEN("Fail"))="Fail"</xm:f>
            <xm:f>"Fail"</xm:f>
            <x14:dxf>
              <font>
                <b/>
                <i val="0"/>
                <strike val="0"/>
                <color rgb="FFAA322F"/>
              </font>
              <fill>
                <patternFill patternType="solid">
                  <bgColor theme="0"/>
                </patternFill>
              </fill>
            </x14:dxf>
          </x14:cfRule>
          <xm:sqref>A1:AL12 A147:AL186 A316:AL1048576 A13:AH146</xm:sqref>
        </x14:conditionalFormatting>
        <x14:conditionalFormatting xmlns:xm="http://schemas.microsoft.com/office/excel/2006/main">
          <x14:cfRule type="beginsWith" priority="2204" stopIfTrue="1" operator="beginsWith" id="{1763AD1E-2BFB-47C3-9306-C3E5A324FAE5}">
            <xm:f>LEFT(AI13,LEN("Fail"))="Fail"</xm:f>
            <xm:f>"Fail"</xm:f>
            <x14:dxf>
              <font>
                <b/>
                <i val="0"/>
                <strike val="0"/>
                <color rgb="FFAA322F"/>
              </font>
              <fill>
                <patternFill patternType="solid">
                  <bgColor theme="0"/>
                </patternFill>
              </fill>
            </x14:dxf>
          </x14:cfRule>
          <xm:sqref>AI13:AL146</xm:sqref>
        </x14:conditionalFormatting>
        <x14:conditionalFormatting xmlns:xm="http://schemas.microsoft.com/office/excel/2006/main">
          <x14:cfRule type="beginsWith" priority="2198" stopIfTrue="1" operator="beginsWith" id="{3D960500-FCBC-44E1-A752-8E86D8586308}">
            <xm:f>LEFT(A187,LEN("Fail"))="Fail"</xm:f>
            <xm:f>"Fail"</xm:f>
            <x14:dxf>
              <font>
                <b/>
                <i val="0"/>
                <strike val="0"/>
                <color rgb="FFAA322F"/>
              </font>
              <fill>
                <patternFill patternType="solid">
                  <bgColor theme="0"/>
                </patternFill>
              </fill>
            </x14:dxf>
          </x14:cfRule>
          <xm:sqref>C187:C278 G191:G231 Q193:Q231 AK187:AL188 U191:U231 Q236:Q279 G234:G256 U234:U279 G258:G273 G277:G279 B285:B309 C282:C308 P280 A310:A315 V273:AL280 T281:AL282 Q285:Q309 C310:AL315 S285:S292 S296 S304:S309 X283:AL309 R288:R290 R293:S295 D285:G287 I285:K287 M285:O309 R297:S303 R305:R308 U283:U309 D291:G292 G288:G290 D296:G296 G293:G295 D304:G304 D309:G309 G297:G303 G305:G308 I291:K292 I296:K296 I304:K304 I309:K309</xm:sqref>
        </x14:conditionalFormatting>
        <x14:conditionalFormatting xmlns:xm="http://schemas.microsoft.com/office/excel/2006/main">
          <x14:cfRule type="beginsWith" priority="2195" stopIfTrue="1" operator="beginsWith" id="{9F0A292A-70C1-4455-AC01-2AC005F8B323}">
            <xm:f>LEFT(A257,LEN("Fail"))="Fail"</xm:f>
            <xm:f>"Fail"</xm:f>
            <x14:dxf>
              <font>
                <b/>
                <i val="0"/>
                <strike val="0"/>
                <color rgb="FFAA322F"/>
              </font>
              <fill>
                <patternFill patternType="solid">
                  <bgColor theme="0"/>
                </patternFill>
              </fill>
            </x14:dxf>
          </x14:cfRule>
          <xm:sqref>A257:A271 A278:A279</xm:sqref>
        </x14:conditionalFormatting>
        <x14:conditionalFormatting xmlns:xm="http://schemas.microsoft.com/office/excel/2006/main">
          <x14:cfRule type="beginsWith" priority="2189" stopIfTrue="1" operator="beginsWith" id="{A8EDC523-018D-4C61-9B07-AB071C83D251}">
            <xm:f>LEFT(B257,LEN("Fail"))="Fail"</xm:f>
            <xm:f>"Fail"</xm:f>
            <x14:dxf>
              <font>
                <b/>
                <i val="0"/>
                <strike val="0"/>
                <color rgb="FFAA322F"/>
              </font>
              <fill>
                <patternFill patternType="solid">
                  <bgColor theme="0"/>
                </patternFill>
              </fill>
            </x14:dxf>
          </x14:cfRule>
          <xm:sqref>B257</xm:sqref>
        </x14:conditionalFormatting>
        <x14:conditionalFormatting xmlns:xm="http://schemas.microsoft.com/office/excel/2006/main">
          <x14:cfRule type="beginsWith" priority="2186" stopIfTrue="1" operator="beginsWith" id="{1B13C23B-18A0-4436-ACD7-2FAC6D845CAA}">
            <xm:f>LEFT(B188,LEN("Fail"))="Fail"</xm:f>
            <xm:f>"Fail"</xm:f>
            <x14:dxf>
              <font>
                <b/>
                <i val="0"/>
                <strike val="0"/>
                <color rgb="FFAA322F"/>
              </font>
              <fill>
                <patternFill patternType="solid">
                  <bgColor theme="0"/>
                </patternFill>
              </fill>
            </x14:dxf>
          </x14:cfRule>
          <xm:sqref>B188</xm:sqref>
        </x14:conditionalFormatting>
        <x14:conditionalFormatting xmlns:xm="http://schemas.microsoft.com/office/excel/2006/main">
          <x14:cfRule type="beginsWith" priority="2183" stopIfTrue="1" operator="beginsWith" id="{3F94ED94-7AFA-4845-806C-C15D36017E9F}">
            <xm:f>LEFT(B187,LEN("Fail"))="Fail"</xm:f>
            <xm:f>"Fail"</xm:f>
            <x14:dxf>
              <font>
                <b/>
                <i val="0"/>
                <strike val="0"/>
                <color rgb="FFAA322F"/>
              </font>
              <fill>
                <patternFill patternType="solid">
                  <bgColor theme="0"/>
                </patternFill>
              </fill>
            </x14:dxf>
          </x14:cfRule>
          <xm:sqref>B187</xm:sqref>
        </x14:conditionalFormatting>
        <x14:conditionalFormatting xmlns:xm="http://schemas.microsoft.com/office/excel/2006/main">
          <x14:cfRule type="beginsWith" priority="2180" stopIfTrue="1" operator="beginsWith" id="{950A60C4-F6D6-4471-867B-87664251C85C}">
            <xm:f>LEFT(A231,LEN("Fail"))="Fail"</xm:f>
            <xm:f>"Fail"</xm:f>
            <x14:dxf>
              <font>
                <b/>
                <i val="0"/>
                <strike val="0"/>
                <color rgb="FFAA322F"/>
              </font>
              <fill>
                <patternFill patternType="solid">
                  <bgColor theme="0"/>
                </patternFill>
              </fill>
            </x14:dxf>
          </x14:cfRule>
          <xm:sqref>A231</xm:sqref>
        </x14:conditionalFormatting>
        <x14:conditionalFormatting xmlns:xm="http://schemas.microsoft.com/office/excel/2006/main">
          <x14:cfRule type="beginsWith" priority="2177" stopIfTrue="1" operator="beginsWith" id="{C33ED2BD-29D8-4EF5-A42D-B4AEE9D34629}">
            <xm:f>LEFT(A188,LEN("Fail"))="Fail"</xm:f>
            <xm:f>"Fail"</xm:f>
            <x14:dxf>
              <font>
                <b/>
                <i val="0"/>
                <strike val="0"/>
                <color rgb="FFAA322F"/>
              </font>
              <fill>
                <patternFill patternType="solid">
                  <bgColor theme="0"/>
                </patternFill>
              </fill>
            </x14:dxf>
          </x14:cfRule>
          <xm:sqref>A188</xm:sqref>
        </x14:conditionalFormatting>
        <x14:conditionalFormatting xmlns:xm="http://schemas.microsoft.com/office/excel/2006/main">
          <x14:cfRule type="beginsWith" priority="2156" stopIfTrue="1" operator="beginsWith" id="{C573ACD4-10D8-42B3-83D5-E1C020861916}">
            <xm:f>LEFT(B246,LEN("Fail"))="Fail"</xm:f>
            <xm:f>"Fail"</xm:f>
            <x14:dxf>
              <font>
                <b/>
                <i val="0"/>
                <strike val="0"/>
                <color rgb="FFAA322F"/>
              </font>
              <fill>
                <patternFill patternType="solid">
                  <bgColor theme="0"/>
                </patternFill>
              </fill>
            </x14:dxf>
          </x14:cfRule>
          <xm:sqref>B246</xm:sqref>
        </x14:conditionalFormatting>
        <x14:conditionalFormatting xmlns:xm="http://schemas.microsoft.com/office/excel/2006/main">
          <x14:cfRule type="beginsWith" priority="2192" stopIfTrue="1" operator="beginsWith" id="{CDD803DA-4936-49B1-A04B-FC7E35D49917}">
            <xm:f>LEFT(A231,LEN("Fail"))="Fail"</xm:f>
            <xm:f>"Fail"</xm:f>
            <x14:dxf>
              <font>
                <b/>
                <i val="0"/>
                <strike val="0"/>
                <color rgb="FFAA322F"/>
              </font>
              <fill>
                <patternFill patternType="solid">
                  <bgColor theme="0"/>
                </patternFill>
              </fill>
            </x14:dxf>
          </x14:cfRule>
          <xm:sqref>A272:B272 B231</xm:sqref>
        </x14:conditionalFormatting>
        <x14:conditionalFormatting xmlns:xm="http://schemas.microsoft.com/office/excel/2006/main">
          <x14:cfRule type="beginsWith" priority="2174" stopIfTrue="1" operator="beginsWith" id="{071DA325-884F-4E3E-A52C-912AB5DFF66A}">
            <xm:f>LEFT(A187,LEN("Fail"))="Fail"</xm:f>
            <xm:f>"Fail"</xm:f>
            <x14:dxf>
              <font>
                <b/>
                <i val="0"/>
                <strike val="0"/>
                <color rgb="FFAA322F"/>
              </font>
              <fill>
                <patternFill patternType="solid">
                  <bgColor theme="0"/>
                </patternFill>
              </fill>
            </x14:dxf>
          </x14:cfRule>
          <xm:sqref>A187</xm:sqref>
        </x14:conditionalFormatting>
        <x14:conditionalFormatting xmlns:xm="http://schemas.microsoft.com/office/excel/2006/main">
          <x14:cfRule type="beginsWith" priority="2171" stopIfTrue="1" operator="beginsWith" id="{E36FD813-9A60-48D6-B594-4DBF58B584D5}">
            <xm:f>LEFT(A189,LEN("Fail"))="Fail"</xm:f>
            <xm:f>"Fail"</xm:f>
            <x14:dxf>
              <font>
                <b/>
                <i val="0"/>
                <strike val="0"/>
                <color rgb="FFAA322F"/>
              </font>
              <fill>
                <patternFill patternType="solid">
                  <bgColor theme="0"/>
                </patternFill>
              </fill>
            </x14:dxf>
          </x14:cfRule>
          <xm:sqref>A189:A230</xm:sqref>
        </x14:conditionalFormatting>
        <x14:conditionalFormatting xmlns:xm="http://schemas.microsoft.com/office/excel/2006/main">
          <x14:cfRule type="beginsWith" priority="2168" stopIfTrue="1" operator="beginsWith" id="{EB932E2F-2132-4286-8448-FE1ACF2799EE}">
            <xm:f>LEFT(A232,LEN("Fail"))="Fail"</xm:f>
            <xm:f>"Fail"</xm:f>
            <x14:dxf>
              <font>
                <b/>
                <i val="0"/>
                <strike val="0"/>
                <color rgb="FFAA322F"/>
              </font>
              <fill>
                <patternFill patternType="solid">
                  <bgColor theme="0"/>
                </patternFill>
              </fill>
            </x14:dxf>
          </x14:cfRule>
          <xm:sqref>A232:A255</xm:sqref>
        </x14:conditionalFormatting>
        <x14:conditionalFormatting xmlns:xm="http://schemas.microsoft.com/office/excel/2006/main">
          <x14:cfRule type="beginsWith" priority="2164" stopIfTrue="1" operator="beginsWith" id="{062B800C-EF34-4D90-8962-2F6ECEA7EF94}">
            <xm:f>LEFT(B261,LEN("Fail"))="Fail"</xm:f>
            <xm:f>"Fail"</xm:f>
            <x14:dxf>
              <font>
                <b/>
                <i val="0"/>
                <strike val="0"/>
                <color rgb="FFAA322F"/>
              </font>
              <fill>
                <patternFill patternType="solid">
                  <bgColor theme="0"/>
                </patternFill>
              </fill>
            </x14:dxf>
          </x14:cfRule>
          <xm:sqref>B261:B262</xm:sqref>
        </x14:conditionalFormatting>
        <x14:conditionalFormatting xmlns:xm="http://schemas.microsoft.com/office/excel/2006/main">
          <x14:cfRule type="beginsWith" priority="2153" stopIfTrue="1" operator="beginsWith" id="{21B6C64B-0CA3-41E5-A4D6-0E47B4930E16}">
            <xm:f>LEFT(A256,LEN("Fail"))="Fail"</xm:f>
            <xm:f>"Fail"</xm:f>
            <x14:dxf>
              <font>
                <b/>
                <i val="0"/>
                <strike val="0"/>
                <color rgb="FFAA322F"/>
              </font>
              <fill>
                <patternFill patternType="solid">
                  <bgColor theme="0"/>
                </patternFill>
              </fill>
            </x14:dxf>
          </x14:cfRule>
          <xm:sqref>A256:B256</xm:sqref>
        </x14:conditionalFormatting>
        <x14:conditionalFormatting xmlns:xm="http://schemas.microsoft.com/office/excel/2006/main">
          <x14:cfRule type="beginsWith" priority="2150" stopIfTrue="1" operator="beginsWith" id="{C4606544-B525-4F79-B728-3040CFFAD3B7}">
            <xm:f>LEFT(A273,LEN("Fail"))="Fail"</xm:f>
            <xm:f>"Fail"</xm:f>
            <x14:dxf>
              <font>
                <b/>
                <i val="0"/>
                <strike val="0"/>
                <color rgb="FFAA322F"/>
              </font>
              <fill>
                <patternFill patternType="solid">
                  <bgColor theme="0"/>
                </patternFill>
              </fill>
            </x14:dxf>
          </x14:cfRule>
          <xm:sqref>B273 A274:A277</xm:sqref>
        </x14:conditionalFormatting>
        <x14:conditionalFormatting xmlns:xm="http://schemas.microsoft.com/office/excel/2006/main">
          <x14:cfRule type="beginsWith" priority="2147" stopIfTrue="1" operator="beginsWith" id="{F637CD1E-1C85-4D72-8723-0C0E1E74E7F0}">
            <xm:f>LEFT(A273,LEN("Fail"))="Fail"</xm:f>
            <xm:f>"Fail"</xm:f>
            <x14:dxf>
              <font>
                <b/>
                <i val="0"/>
                <strike val="0"/>
                <color rgb="FFAA322F"/>
              </font>
              <fill>
                <patternFill patternType="solid">
                  <bgColor theme="0"/>
                </patternFill>
              </fill>
            </x14:dxf>
          </x14:cfRule>
          <xm:sqref>A273</xm:sqref>
        </x14:conditionalFormatting>
        <x14:conditionalFormatting xmlns:xm="http://schemas.microsoft.com/office/excel/2006/main">
          <x14:cfRule type="beginsWith" priority="2144" stopIfTrue="1" operator="beginsWith" id="{079054EB-C118-42D9-8844-327C65B81A1D}">
            <xm:f>LEFT(B278,LEN("Fail"))="Fail"</xm:f>
            <xm:f>"Fail"</xm:f>
            <x14:dxf>
              <font>
                <b/>
                <i val="0"/>
                <strike val="0"/>
                <color rgb="FFAA322F"/>
              </font>
              <fill>
                <patternFill patternType="solid">
                  <bgColor theme="0"/>
                </patternFill>
              </fill>
            </x14:dxf>
          </x14:cfRule>
          <xm:sqref>B278</xm:sqref>
        </x14:conditionalFormatting>
        <x14:conditionalFormatting xmlns:xm="http://schemas.microsoft.com/office/excel/2006/main">
          <x14:cfRule type="beginsWith" priority="2141" stopIfTrue="1" operator="beginsWith" id="{0DF09DBD-CF3E-41AA-8229-CCFEA697521D}">
            <xm:f>LEFT(B275,LEN("Fail"))="Fail"</xm:f>
            <xm:f>"Fail"</xm:f>
            <x14:dxf>
              <font>
                <b/>
                <i val="0"/>
                <strike val="0"/>
                <color rgb="FFAA322F"/>
              </font>
              <fill>
                <patternFill patternType="solid">
                  <bgColor theme="0"/>
                </patternFill>
              </fill>
            </x14:dxf>
          </x14:cfRule>
          <xm:sqref>D275 B279:F279</xm:sqref>
        </x14:conditionalFormatting>
        <x14:conditionalFormatting xmlns:xm="http://schemas.microsoft.com/office/excel/2006/main">
          <x14:cfRule type="beginsWith" priority="2138" stopIfTrue="1" operator="beginsWith" id="{C1DB9E5A-F565-4A3F-92F8-1D2E9D1664FC}">
            <xm:f>LEFT(D231,LEN("Fail"))="Fail"</xm:f>
            <xm:f>"Fail"</xm:f>
            <x14:dxf>
              <font>
                <b/>
                <i val="0"/>
                <strike val="0"/>
                <color rgb="FFAA322F"/>
              </font>
              <fill>
                <patternFill patternType="solid">
                  <bgColor theme="0"/>
                </patternFill>
              </fill>
            </x14:dxf>
          </x14:cfRule>
          <xm:sqref>D272:F272 D231:F231 D258:F258</xm:sqref>
        </x14:conditionalFormatting>
        <x14:conditionalFormatting xmlns:xm="http://schemas.microsoft.com/office/excel/2006/main">
          <x14:cfRule type="beginsWith" priority="2135" stopIfTrue="1" operator="beginsWith" id="{1EE64957-B3FF-4A38-8CA3-57AA2BACA306}">
            <xm:f>LEFT(D257,LEN("Fail"))="Fail"</xm:f>
            <xm:f>"Fail"</xm:f>
            <x14:dxf>
              <font>
                <b/>
                <i val="0"/>
                <strike val="0"/>
                <color rgb="FFAA322F"/>
              </font>
              <fill>
                <patternFill patternType="solid">
                  <bgColor theme="0"/>
                </patternFill>
              </fill>
            </x14:dxf>
          </x14:cfRule>
          <xm:sqref>D257</xm:sqref>
        </x14:conditionalFormatting>
        <x14:conditionalFormatting xmlns:xm="http://schemas.microsoft.com/office/excel/2006/main">
          <x14:cfRule type="beginsWith" priority="2132" stopIfTrue="1" operator="beginsWith" id="{B135FE35-93D6-473C-9239-AE532E1E7064}">
            <xm:f>LEFT(F257,LEN("Fail"))="Fail"</xm:f>
            <xm:f>"Fail"</xm:f>
            <x14:dxf>
              <font>
                <b/>
                <i val="0"/>
                <strike val="0"/>
                <color rgb="FFAA322F"/>
              </font>
              <fill>
                <patternFill patternType="solid">
                  <bgColor theme="0"/>
                </patternFill>
              </fill>
            </x14:dxf>
          </x14:cfRule>
          <xm:sqref>F257</xm:sqref>
        </x14:conditionalFormatting>
        <x14:conditionalFormatting xmlns:xm="http://schemas.microsoft.com/office/excel/2006/main">
          <x14:cfRule type="beginsWith" priority="2129" stopIfTrue="1" operator="beginsWith" id="{09B03F5C-F0F2-40CC-AD97-BF84C3BCE53B}">
            <xm:f>LEFT(D256,LEN("Fail"))="Fail"</xm:f>
            <xm:f>"Fail"</xm:f>
            <x14:dxf>
              <font>
                <b/>
                <i val="0"/>
                <strike val="0"/>
                <color rgb="FFAA322F"/>
              </font>
              <fill>
                <patternFill patternType="solid">
                  <bgColor theme="0"/>
                </patternFill>
              </fill>
            </x14:dxf>
          </x14:cfRule>
          <xm:sqref>D256:F256</xm:sqref>
        </x14:conditionalFormatting>
        <x14:conditionalFormatting xmlns:xm="http://schemas.microsoft.com/office/excel/2006/main">
          <x14:cfRule type="beginsWith" priority="2081" stopIfTrue="1" operator="beginsWith" id="{958DC675-94F0-4E0F-ADD8-F713932E78AF}">
            <xm:f>LEFT(D193,LEN("Fail"))="Fail"</xm:f>
            <xm:f>"Fail"</xm:f>
            <x14:dxf>
              <font>
                <b/>
                <i val="0"/>
                <strike val="0"/>
                <color rgb="FFAA322F"/>
              </font>
              <fill>
                <patternFill patternType="solid">
                  <bgColor theme="0"/>
                </patternFill>
              </fill>
            </x14:dxf>
          </x14:cfRule>
          <xm:sqref>D193:F194</xm:sqref>
        </x14:conditionalFormatting>
        <x14:conditionalFormatting xmlns:xm="http://schemas.microsoft.com/office/excel/2006/main">
          <x14:cfRule type="beginsWith" priority="2077" stopIfTrue="1" operator="beginsWith" id="{FB552677-A27B-43AA-A11E-AC7ED233D4B8}">
            <xm:f>LEFT(D197,LEN("Fail"))="Fail"</xm:f>
            <xm:f>"Fail"</xm:f>
            <x14:dxf>
              <font>
                <b/>
                <i val="0"/>
                <strike val="0"/>
                <color rgb="FFAA322F"/>
              </font>
              <fill>
                <patternFill patternType="solid">
                  <bgColor theme="0"/>
                </patternFill>
              </fill>
            </x14:dxf>
          </x14:cfRule>
          <xm:sqref>D197:F198</xm:sqref>
        </x14:conditionalFormatting>
        <x14:conditionalFormatting xmlns:xm="http://schemas.microsoft.com/office/excel/2006/main">
          <x14:cfRule type="beginsWith" priority="2073" stopIfTrue="1" operator="beginsWith" id="{D8D5D7AC-26B8-4427-A98F-27347505F69D}">
            <xm:f>LEFT(D201,LEN("Fail"))="Fail"</xm:f>
            <xm:f>"Fail"</xm:f>
            <x14:dxf>
              <font>
                <b/>
                <i val="0"/>
                <strike val="0"/>
                <color rgb="FFAA322F"/>
              </font>
              <fill>
                <patternFill patternType="solid">
                  <bgColor theme="0"/>
                </patternFill>
              </fill>
            </x14:dxf>
          </x14:cfRule>
          <xm:sqref>D201:F202</xm:sqref>
        </x14:conditionalFormatting>
        <x14:conditionalFormatting xmlns:xm="http://schemas.microsoft.com/office/excel/2006/main">
          <x14:cfRule type="beginsWith" priority="2069" stopIfTrue="1" operator="beginsWith" id="{DF8E245E-1BD6-472E-9478-F178694E4584}">
            <xm:f>LEFT(D205,LEN("Fail"))="Fail"</xm:f>
            <xm:f>"Fail"</xm:f>
            <x14:dxf>
              <font>
                <b/>
                <i val="0"/>
                <strike val="0"/>
                <color rgb="FFAA322F"/>
              </font>
              <fill>
                <patternFill patternType="solid">
                  <bgColor theme="0"/>
                </patternFill>
              </fill>
            </x14:dxf>
          </x14:cfRule>
          <xm:sqref>D205:F207</xm:sqref>
        </x14:conditionalFormatting>
        <x14:conditionalFormatting xmlns:xm="http://schemas.microsoft.com/office/excel/2006/main">
          <x14:cfRule type="beginsWith" priority="2065" stopIfTrue="1" operator="beginsWith" id="{C02641D9-5068-4E1C-AEDE-44DC3A38B78D}">
            <xm:f>LEFT(D210,LEN("Fail"))="Fail"</xm:f>
            <xm:f>"Fail"</xm:f>
            <x14:dxf>
              <font>
                <b/>
                <i val="0"/>
                <strike val="0"/>
                <color rgb="FFAA322F"/>
              </font>
              <fill>
                <patternFill patternType="solid">
                  <bgColor theme="0"/>
                </patternFill>
              </fill>
            </x14:dxf>
          </x14:cfRule>
          <xm:sqref>D210:F211</xm:sqref>
        </x14:conditionalFormatting>
        <x14:conditionalFormatting xmlns:xm="http://schemas.microsoft.com/office/excel/2006/main">
          <x14:cfRule type="beginsWith" priority="2061" stopIfTrue="1" operator="beginsWith" id="{BE5D7AFE-8BEA-4E54-8860-E5BD181470C4}">
            <xm:f>LEFT(D214,LEN("Fail"))="Fail"</xm:f>
            <xm:f>"Fail"</xm:f>
            <x14:dxf>
              <font>
                <b/>
                <i val="0"/>
                <strike val="0"/>
                <color rgb="FFAA322F"/>
              </font>
              <fill>
                <patternFill patternType="solid">
                  <bgColor theme="0"/>
                </patternFill>
              </fill>
            </x14:dxf>
          </x14:cfRule>
          <xm:sqref>D214:F215</xm:sqref>
        </x14:conditionalFormatting>
        <x14:conditionalFormatting xmlns:xm="http://schemas.microsoft.com/office/excel/2006/main">
          <x14:cfRule type="beginsWith" priority="2057" stopIfTrue="1" operator="beginsWith" id="{6C737584-7685-4FEB-8736-7748FE11C4CC}">
            <xm:f>LEFT(D218,LEN("Fail"))="Fail"</xm:f>
            <xm:f>"Fail"</xm:f>
            <x14:dxf>
              <font>
                <b/>
                <i val="0"/>
                <strike val="0"/>
                <color rgb="FFAA322F"/>
              </font>
              <fill>
                <patternFill patternType="solid">
                  <bgColor theme="0"/>
                </patternFill>
              </fill>
            </x14:dxf>
          </x14:cfRule>
          <xm:sqref>D218:F219</xm:sqref>
        </x14:conditionalFormatting>
        <x14:conditionalFormatting xmlns:xm="http://schemas.microsoft.com/office/excel/2006/main">
          <x14:cfRule type="beginsWith" priority="2053" stopIfTrue="1" operator="beginsWith" id="{CEC74327-5025-4232-BED5-253BF5A898D3}">
            <xm:f>LEFT(D222,LEN("Fail"))="Fail"</xm:f>
            <xm:f>"Fail"</xm:f>
            <x14:dxf>
              <font>
                <b/>
                <i val="0"/>
                <strike val="0"/>
                <color rgb="FFAA322F"/>
              </font>
              <fill>
                <patternFill patternType="solid">
                  <bgColor theme="0"/>
                </patternFill>
              </fill>
            </x14:dxf>
          </x14:cfRule>
          <xm:sqref>D222:F223</xm:sqref>
        </x14:conditionalFormatting>
        <x14:conditionalFormatting xmlns:xm="http://schemas.microsoft.com/office/excel/2006/main">
          <x14:cfRule type="beginsWith" priority="2049" stopIfTrue="1" operator="beginsWith" id="{92D926F3-2EAD-48EE-AF4D-36DA2846F769}">
            <xm:f>LEFT(D226,LEN("Fail"))="Fail"</xm:f>
            <xm:f>"Fail"</xm:f>
            <x14:dxf>
              <font>
                <b/>
                <i val="0"/>
                <strike val="0"/>
                <color rgb="FFAA322F"/>
              </font>
              <fill>
                <patternFill patternType="solid">
                  <bgColor theme="0"/>
                </patternFill>
              </fill>
            </x14:dxf>
          </x14:cfRule>
          <xm:sqref>D226:F227</xm:sqref>
        </x14:conditionalFormatting>
        <x14:conditionalFormatting xmlns:xm="http://schemas.microsoft.com/office/excel/2006/main">
          <x14:cfRule type="beginsWith" priority="2045" stopIfTrue="1" operator="beginsWith" id="{C3FDC570-5909-4AD3-A710-03CBB947906A}">
            <xm:f>LEFT(D236,LEN("Fail"))="Fail"</xm:f>
            <xm:f>"Fail"</xm:f>
            <x14:dxf>
              <font>
                <b/>
                <i val="0"/>
                <strike val="0"/>
                <color rgb="FFAA322F"/>
              </font>
              <fill>
                <patternFill patternType="solid">
                  <bgColor theme="0"/>
                </patternFill>
              </fill>
            </x14:dxf>
          </x14:cfRule>
          <xm:sqref>D236:F236</xm:sqref>
        </x14:conditionalFormatting>
        <x14:conditionalFormatting xmlns:xm="http://schemas.microsoft.com/office/excel/2006/main">
          <x14:cfRule type="beginsWith" priority="2041" stopIfTrue="1" operator="beginsWith" id="{446E7DC7-E1A3-446B-BE73-02944B7E8F99}">
            <xm:f>LEFT(D238,LEN("Fail"))="Fail"</xm:f>
            <xm:f>"Fail"</xm:f>
            <x14:dxf>
              <font>
                <b/>
                <i val="0"/>
                <strike val="0"/>
                <color rgb="FFAA322F"/>
              </font>
              <fill>
                <patternFill patternType="solid">
                  <bgColor theme="0"/>
                </patternFill>
              </fill>
            </x14:dxf>
          </x14:cfRule>
          <xm:sqref>D238:F238</xm:sqref>
        </x14:conditionalFormatting>
        <x14:conditionalFormatting xmlns:xm="http://schemas.microsoft.com/office/excel/2006/main">
          <x14:cfRule type="beginsWith" priority="2037" stopIfTrue="1" operator="beginsWith" id="{02B2FF99-2E21-450F-AB8F-639D62094C6A}">
            <xm:f>LEFT(D240,LEN("Fail"))="Fail"</xm:f>
            <xm:f>"Fail"</xm:f>
            <x14:dxf>
              <font>
                <b/>
                <i val="0"/>
                <strike val="0"/>
                <color rgb="FFAA322F"/>
              </font>
              <fill>
                <patternFill patternType="solid">
                  <bgColor theme="0"/>
                </patternFill>
              </fill>
            </x14:dxf>
          </x14:cfRule>
          <xm:sqref>D240:F242</xm:sqref>
        </x14:conditionalFormatting>
        <x14:conditionalFormatting xmlns:xm="http://schemas.microsoft.com/office/excel/2006/main">
          <x14:cfRule type="beginsWith" priority="2033" stopIfTrue="1" operator="beginsWith" id="{FC9D8842-BE38-499B-B054-0439B090D0BA}">
            <xm:f>LEFT(D244,LEN("Fail"))="Fail"</xm:f>
            <xm:f>"Fail"</xm:f>
            <x14:dxf>
              <font>
                <b/>
                <i val="0"/>
                <strike val="0"/>
                <color rgb="FFAA322F"/>
              </font>
              <fill>
                <patternFill patternType="solid">
                  <bgColor theme="0"/>
                </patternFill>
              </fill>
            </x14:dxf>
          </x14:cfRule>
          <xm:sqref>D244:F244</xm:sqref>
        </x14:conditionalFormatting>
        <x14:conditionalFormatting xmlns:xm="http://schemas.microsoft.com/office/excel/2006/main">
          <x14:cfRule type="beginsWith" priority="2029" stopIfTrue="1" operator="beginsWith" id="{D3C36735-4F6D-42BD-9A7F-0319A88C60AA}">
            <xm:f>LEFT(D246,LEN("Fail"))="Fail"</xm:f>
            <xm:f>"Fail"</xm:f>
            <x14:dxf>
              <font>
                <b/>
                <i val="0"/>
                <strike val="0"/>
                <color rgb="FFAA322F"/>
              </font>
              <fill>
                <patternFill patternType="solid">
                  <bgColor theme="0"/>
                </patternFill>
              </fill>
            </x14:dxf>
          </x14:cfRule>
          <xm:sqref>D246:F246</xm:sqref>
        </x14:conditionalFormatting>
        <x14:conditionalFormatting xmlns:xm="http://schemas.microsoft.com/office/excel/2006/main">
          <x14:cfRule type="beginsWith" priority="2025" stopIfTrue="1" operator="beginsWith" id="{FEE85060-6A01-4762-B37F-F5FA1BBE7271}">
            <xm:f>LEFT(D248,LEN("Fail"))="Fail"</xm:f>
            <xm:f>"Fail"</xm:f>
            <x14:dxf>
              <font>
                <b/>
                <i val="0"/>
                <strike val="0"/>
                <color rgb="FFAA322F"/>
              </font>
              <fill>
                <patternFill patternType="solid">
                  <bgColor theme="0"/>
                </patternFill>
              </fill>
            </x14:dxf>
          </x14:cfRule>
          <xm:sqref>D248:F248</xm:sqref>
        </x14:conditionalFormatting>
        <x14:conditionalFormatting xmlns:xm="http://schemas.microsoft.com/office/excel/2006/main">
          <x14:cfRule type="beginsWith" priority="2021" stopIfTrue="1" operator="beginsWith" id="{4ED6C280-F0FB-4066-A5CC-36E827C316C1}">
            <xm:f>LEFT(D251,LEN("Fail"))="Fail"</xm:f>
            <xm:f>"Fail"</xm:f>
            <x14:dxf>
              <font>
                <b/>
                <i val="0"/>
                <strike val="0"/>
                <color rgb="FFAA322F"/>
              </font>
              <fill>
                <patternFill patternType="solid">
                  <bgColor theme="0"/>
                </patternFill>
              </fill>
            </x14:dxf>
          </x14:cfRule>
          <xm:sqref>D251:F251</xm:sqref>
        </x14:conditionalFormatting>
        <x14:conditionalFormatting xmlns:xm="http://schemas.microsoft.com/office/excel/2006/main">
          <x14:cfRule type="beginsWith" priority="2017" stopIfTrue="1" operator="beginsWith" id="{5AD918AE-F6D1-41D5-B48F-C2C5CCB107A8}">
            <xm:f>LEFT(D253,LEN("Fail"))="Fail"</xm:f>
            <xm:f>"Fail"</xm:f>
            <x14:dxf>
              <font>
                <b/>
                <i val="0"/>
                <strike val="0"/>
                <color rgb="FFAA322F"/>
              </font>
              <fill>
                <patternFill patternType="solid">
                  <bgColor theme="0"/>
                </patternFill>
              </fill>
            </x14:dxf>
          </x14:cfRule>
          <xm:sqref>D253:F253</xm:sqref>
        </x14:conditionalFormatting>
        <x14:conditionalFormatting xmlns:xm="http://schemas.microsoft.com/office/excel/2006/main">
          <x14:cfRule type="beginsWith" priority="2013" stopIfTrue="1" operator="beginsWith" id="{DF3BE887-1EDD-4352-AF74-09B08CDF3F80}">
            <xm:f>LEFT(D261,LEN("Fail"))="Fail"</xm:f>
            <xm:f>"Fail"</xm:f>
            <x14:dxf>
              <font>
                <b/>
                <i val="0"/>
                <strike val="0"/>
                <color rgb="FFAA322F"/>
              </font>
              <fill>
                <patternFill patternType="solid">
                  <bgColor theme="0"/>
                </patternFill>
              </fill>
            </x14:dxf>
          </x14:cfRule>
          <xm:sqref>D261:F264</xm:sqref>
        </x14:conditionalFormatting>
        <x14:conditionalFormatting xmlns:xm="http://schemas.microsoft.com/office/excel/2006/main">
          <x14:cfRule type="beginsWith" priority="1998" stopIfTrue="1" operator="beginsWith" id="{7F47706F-DBF0-4B55-AD5F-E445B66722DA}">
            <xm:f>LEFT(D273,LEN("Fail"))="Fail"</xm:f>
            <xm:f>"Fail"</xm:f>
            <x14:dxf>
              <font>
                <b/>
                <i val="0"/>
                <strike val="0"/>
                <color rgb="FFAA322F"/>
              </font>
              <fill>
                <patternFill patternType="solid">
                  <bgColor theme="0"/>
                </patternFill>
              </fill>
            </x14:dxf>
          </x14:cfRule>
          <xm:sqref>D273:F273</xm:sqref>
        </x14:conditionalFormatting>
        <x14:conditionalFormatting xmlns:xm="http://schemas.microsoft.com/office/excel/2006/main">
          <x14:cfRule type="beginsWith" priority="1991" stopIfTrue="1" operator="beginsWith" id="{56E7BA86-1306-44E8-94B5-FB2B25F63364}">
            <xm:f>LEFT(O257,LEN("Fail"))="Fail"</xm:f>
            <xm:f>"Fail"</xm:f>
            <x14:dxf>
              <font>
                <b/>
                <i val="0"/>
                <strike val="0"/>
                <color rgb="FFAA322F"/>
              </font>
              <fill>
                <patternFill patternType="solid">
                  <bgColor theme="0"/>
                </patternFill>
              </fill>
            </x14:dxf>
          </x14:cfRule>
          <xm:sqref>O257:P258</xm:sqref>
        </x14:conditionalFormatting>
        <x14:conditionalFormatting xmlns:xm="http://schemas.microsoft.com/office/excel/2006/main">
          <x14:cfRule type="beginsWith" priority="1935" stopIfTrue="1" operator="beginsWith" id="{51456597-CF85-4734-B41A-9D8AFAA94F07}">
            <xm:f>LEFT(M266,LEN("Fail"))="Fail"</xm:f>
            <xm:f>"Fail"</xm:f>
            <x14:dxf>
              <font>
                <b/>
                <i val="0"/>
                <strike val="0"/>
                <color rgb="FFAA322F"/>
              </font>
              <fill>
                <patternFill patternType="solid">
                  <bgColor theme="0"/>
                </patternFill>
              </fill>
            </x14:dxf>
          </x14:cfRule>
          <xm:sqref>M266:N266</xm:sqref>
        </x14:conditionalFormatting>
        <x14:conditionalFormatting xmlns:xm="http://schemas.microsoft.com/office/excel/2006/main">
          <x14:cfRule type="beginsWith" priority="1988" stopIfTrue="1" operator="beginsWith" id="{17FD0D94-D81A-46D7-B9A4-977656AE7926}">
            <xm:f>LEFT(H231,LEN("Fail"))="Fail"</xm:f>
            <xm:f>"Fail"</xm:f>
            <x14:dxf>
              <font>
                <b/>
                <i val="0"/>
                <strike val="0"/>
                <color rgb="FFAA322F"/>
              </font>
              <fill>
                <patternFill patternType="solid">
                  <bgColor theme="0"/>
                </patternFill>
              </fill>
            </x14:dxf>
          </x14:cfRule>
          <xm:sqref>H272:P272 H231:P231</xm:sqref>
        </x14:conditionalFormatting>
        <x14:conditionalFormatting xmlns:xm="http://schemas.microsoft.com/office/excel/2006/main">
          <x14:cfRule type="beginsWith" priority="1985" stopIfTrue="1" operator="beginsWith" id="{2C0999E5-5BF7-4D4D-8EE6-E8E07EA727DA}">
            <xm:f>LEFT(I258,LEN("Fail"))="Fail"</xm:f>
            <xm:f>"Fail"</xm:f>
            <x14:dxf>
              <font>
                <b/>
                <i val="0"/>
                <strike val="0"/>
                <color rgb="FFAA322F"/>
              </font>
              <fill>
                <patternFill patternType="solid">
                  <bgColor theme="0"/>
                </patternFill>
              </fill>
            </x14:dxf>
          </x14:cfRule>
          <xm:sqref>I258:I259 K259 L258:L259 N259</xm:sqref>
        </x14:conditionalFormatting>
        <x14:conditionalFormatting xmlns:xm="http://schemas.microsoft.com/office/excel/2006/main">
          <x14:cfRule type="beginsWith" priority="1982" stopIfTrue="1" operator="beginsWith" id="{2D4B7634-DC5C-4958-BD10-2F9A4F86AB12}">
            <xm:f>LEFT(I260,LEN("Fail"))="Fail"</xm:f>
            <xm:f>"Fail"</xm:f>
            <x14:dxf>
              <font>
                <b/>
                <i val="0"/>
                <strike val="0"/>
                <color rgb="FFAA322F"/>
              </font>
              <fill>
                <patternFill patternType="solid">
                  <bgColor theme="0"/>
                </patternFill>
              </fill>
            </x14:dxf>
          </x14:cfRule>
          <xm:sqref>I260:J260 L260:M260</xm:sqref>
        </x14:conditionalFormatting>
        <x14:conditionalFormatting xmlns:xm="http://schemas.microsoft.com/office/excel/2006/main">
          <x14:cfRule type="beginsWith" priority="1979" stopIfTrue="1" operator="beginsWith" id="{45D5B136-051D-4ABE-BDA7-2F0C8331307D}">
            <xm:f>LEFT(I257,LEN("Fail"))="Fail"</xm:f>
            <xm:f>"Fail"</xm:f>
            <x14:dxf>
              <font>
                <b/>
                <i val="0"/>
                <strike val="0"/>
                <color rgb="FFAA322F"/>
              </font>
              <fill>
                <patternFill patternType="solid">
                  <bgColor theme="0"/>
                </patternFill>
              </fill>
            </x14:dxf>
          </x14:cfRule>
          <xm:sqref>I257</xm:sqref>
        </x14:conditionalFormatting>
        <x14:conditionalFormatting xmlns:xm="http://schemas.microsoft.com/office/excel/2006/main">
          <x14:cfRule type="beginsWith" priority="1880" stopIfTrue="1" operator="beginsWith" id="{58D3D364-07D1-40E2-B613-757770C301DE}">
            <xm:f>LEFT(K269,LEN("Fail"))="Fail"</xm:f>
            <xm:f>"Fail"</xm:f>
            <x14:dxf>
              <font>
                <b/>
                <i val="0"/>
                <strike val="0"/>
                <color rgb="FFAA322F"/>
              </font>
              <fill>
                <patternFill patternType="solid">
                  <bgColor theme="0"/>
                </patternFill>
              </fill>
            </x14:dxf>
          </x14:cfRule>
          <xm:sqref>K269</xm:sqref>
        </x14:conditionalFormatting>
        <x14:conditionalFormatting xmlns:xm="http://schemas.microsoft.com/office/excel/2006/main">
          <x14:cfRule type="beginsWith" priority="1939" stopIfTrue="1" operator="beginsWith" id="{E6E9B2FF-9A19-4541-8B08-36F1D32B6BE0}">
            <xm:f>LEFT(J266,LEN("Fail"))="Fail"</xm:f>
            <xm:f>"Fail"</xm:f>
            <x14:dxf>
              <font>
                <b/>
                <i val="0"/>
                <strike val="0"/>
                <color rgb="FFAA322F"/>
              </font>
              <fill>
                <patternFill patternType="solid">
                  <bgColor theme="0"/>
                </patternFill>
              </fill>
            </x14:dxf>
          </x14:cfRule>
          <xm:sqref>J266</xm:sqref>
        </x14:conditionalFormatting>
        <x14:conditionalFormatting xmlns:xm="http://schemas.microsoft.com/office/excel/2006/main">
          <x14:cfRule type="beginsWith" priority="1976" stopIfTrue="1" operator="beginsWith" id="{4E759B28-0DB2-4C6F-A82F-A6E499D5CCC7}">
            <xm:f>LEFT(H256,LEN("Fail"))="Fail"</xm:f>
            <xm:f>"Fail"</xm:f>
            <x14:dxf>
              <font>
                <b/>
                <i val="0"/>
                <strike val="0"/>
                <color rgb="FFAA322F"/>
              </font>
              <fill>
                <patternFill patternType="solid">
                  <bgColor theme="0"/>
                </patternFill>
              </fill>
            </x14:dxf>
          </x14:cfRule>
          <xm:sqref>H256:P256</xm:sqref>
        </x14:conditionalFormatting>
        <x14:conditionalFormatting xmlns:xm="http://schemas.microsoft.com/office/excel/2006/main">
          <x14:cfRule type="beginsWith" priority="1972" stopIfTrue="1" operator="beginsWith" id="{5DBB8B41-7E1B-43B7-A5A8-C26FAF3F0F30}">
            <xm:f>LEFT(I265,LEN("Fail"))="Fail"</xm:f>
            <xm:f>"Fail"</xm:f>
            <x14:dxf>
              <font>
                <b/>
                <i val="0"/>
                <strike val="0"/>
                <color rgb="FFAA322F"/>
              </font>
              <fill>
                <patternFill patternType="solid">
                  <bgColor theme="0"/>
                </patternFill>
              </fill>
            </x14:dxf>
          </x14:cfRule>
          <xm:sqref>I265</xm:sqref>
        </x14:conditionalFormatting>
        <x14:conditionalFormatting xmlns:xm="http://schemas.microsoft.com/office/excel/2006/main">
          <x14:cfRule type="beginsWith" priority="1961" stopIfTrue="1" operator="beginsWith" id="{E2214E92-54AF-4FCF-A89E-82C6A617B552}">
            <xm:f>LEFT(J265,LEN("Fail"))="Fail"</xm:f>
            <xm:f>"Fail"</xm:f>
            <x14:dxf>
              <font>
                <b/>
                <i val="0"/>
                <strike val="0"/>
                <color rgb="FFAA322F"/>
              </font>
              <fill>
                <patternFill patternType="solid">
                  <bgColor theme="0"/>
                </patternFill>
              </fill>
            </x14:dxf>
          </x14:cfRule>
          <xm:sqref>J265</xm:sqref>
        </x14:conditionalFormatting>
        <x14:conditionalFormatting xmlns:xm="http://schemas.microsoft.com/office/excel/2006/main">
          <x14:cfRule type="beginsWith" priority="1968" stopIfTrue="1" operator="beginsWith" id="{09317A86-38C4-4BE2-ACD9-607E476535E3}">
            <xm:f>LEFT(K265,LEN("Fail"))="Fail"</xm:f>
            <xm:f>"Fail"</xm:f>
            <x14:dxf>
              <font>
                <b/>
                <i val="0"/>
                <strike val="0"/>
                <color rgb="FFAA322F"/>
              </font>
              <fill>
                <patternFill patternType="solid">
                  <bgColor theme="0"/>
                </patternFill>
              </fill>
            </x14:dxf>
          </x14:cfRule>
          <xm:sqref>K265</xm:sqref>
        </x14:conditionalFormatting>
        <x14:conditionalFormatting xmlns:xm="http://schemas.microsoft.com/office/excel/2006/main">
          <x14:cfRule type="beginsWith" priority="1957" stopIfTrue="1" operator="beginsWith" id="{5201C183-4EEF-41E0-BFC6-7D583702E494}">
            <xm:f>LEFT(M265,LEN("Fail"))="Fail"</xm:f>
            <xm:f>"Fail"</xm:f>
            <x14:dxf>
              <font>
                <b/>
                <i val="0"/>
                <strike val="0"/>
                <color rgb="FFAA322F"/>
              </font>
              <fill>
                <patternFill patternType="solid">
                  <bgColor theme="0"/>
                </patternFill>
              </fill>
            </x14:dxf>
          </x14:cfRule>
          <xm:sqref>M265:N265</xm:sqref>
        </x14:conditionalFormatting>
        <x14:conditionalFormatting xmlns:xm="http://schemas.microsoft.com/office/excel/2006/main">
          <x14:cfRule type="beginsWith" priority="1950" stopIfTrue="1" operator="beginsWith" id="{E35074EB-FFFD-4502-BB9B-A4824741264B}">
            <xm:f>LEFT(I266,LEN("Fail"))="Fail"</xm:f>
            <xm:f>"Fail"</xm:f>
            <x14:dxf>
              <font>
                <b/>
                <i val="0"/>
                <strike val="0"/>
                <color rgb="FFAA322F"/>
              </font>
              <fill>
                <patternFill patternType="solid">
                  <bgColor theme="0"/>
                </patternFill>
              </fill>
            </x14:dxf>
          </x14:cfRule>
          <xm:sqref>I266</xm:sqref>
        </x14:conditionalFormatting>
        <x14:conditionalFormatting xmlns:xm="http://schemas.microsoft.com/office/excel/2006/main">
          <x14:cfRule type="beginsWith" priority="1946" stopIfTrue="1" operator="beginsWith" id="{E7DDBA0F-E61F-4EC9-AF2C-98B338E5111C}">
            <xm:f>LEFT(K266,LEN("Fail"))="Fail"</xm:f>
            <xm:f>"Fail"</xm:f>
            <x14:dxf>
              <font>
                <b/>
                <i val="0"/>
                <strike val="0"/>
                <color rgb="FFAA322F"/>
              </font>
              <fill>
                <patternFill patternType="solid">
                  <bgColor theme="0"/>
                </patternFill>
              </fill>
            </x14:dxf>
          </x14:cfRule>
          <xm:sqref>K266</xm:sqref>
        </x14:conditionalFormatting>
        <x14:conditionalFormatting xmlns:xm="http://schemas.microsoft.com/office/excel/2006/main">
          <x14:cfRule type="beginsWith" priority="1928" stopIfTrue="1" operator="beginsWith" id="{317F3053-69CF-496B-A3A0-8290795C473C}">
            <xm:f>LEFT(I267,LEN("Fail"))="Fail"</xm:f>
            <xm:f>"Fail"</xm:f>
            <x14:dxf>
              <font>
                <b/>
                <i val="0"/>
                <strike val="0"/>
                <color rgb="FFAA322F"/>
              </font>
              <fill>
                <patternFill patternType="solid">
                  <bgColor theme="0"/>
                </patternFill>
              </fill>
            </x14:dxf>
          </x14:cfRule>
          <xm:sqref>I267</xm:sqref>
        </x14:conditionalFormatting>
        <x14:conditionalFormatting xmlns:xm="http://schemas.microsoft.com/office/excel/2006/main">
          <x14:cfRule type="beginsWith" priority="1917" stopIfTrue="1" operator="beginsWith" id="{61D3E166-2F62-4237-A500-FFAA25A52943}">
            <xm:f>LEFT(J267,LEN("Fail"))="Fail"</xm:f>
            <xm:f>"Fail"</xm:f>
            <x14:dxf>
              <font>
                <b/>
                <i val="0"/>
                <strike val="0"/>
                <color rgb="FFAA322F"/>
              </font>
              <fill>
                <patternFill patternType="solid">
                  <bgColor theme="0"/>
                </patternFill>
              </fill>
            </x14:dxf>
          </x14:cfRule>
          <xm:sqref>J267</xm:sqref>
        </x14:conditionalFormatting>
        <x14:conditionalFormatting xmlns:xm="http://schemas.microsoft.com/office/excel/2006/main">
          <x14:cfRule type="beginsWith" priority="1924" stopIfTrue="1" operator="beginsWith" id="{19AF5F2B-D58A-4EF6-AD76-4F7067420520}">
            <xm:f>LEFT(K267,LEN("Fail"))="Fail"</xm:f>
            <xm:f>"Fail"</xm:f>
            <x14:dxf>
              <font>
                <b/>
                <i val="0"/>
                <strike val="0"/>
                <color rgb="FFAA322F"/>
              </font>
              <fill>
                <patternFill patternType="solid">
                  <bgColor theme="0"/>
                </patternFill>
              </fill>
            </x14:dxf>
          </x14:cfRule>
          <xm:sqref>K267</xm:sqref>
        </x14:conditionalFormatting>
        <x14:conditionalFormatting xmlns:xm="http://schemas.microsoft.com/office/excel/2006/main">
          <x14:cfRule type="beginsWith" priority="1913" stopIfTrue="1" operator="beginsWith" id="{B330429B-9CA5-47B7-8108-51504C6A7DBB}">
            <xm:f>LEFT(M267,LEN("Fail"))="Fail"</xm:f>
            <xm:f>"Fail"</xm:f>
            <x14:dxf>
              <font>
                <b/>
                <i val="0"/>
                <strike val="0"/>
                <color rgb="FFAA322F"/>
              </font>
              <fill>
                <patternFill patternType="solid">
                  <bgColor theme="0"/>
                </patternFill>
              </fill>
            </x14:dxf>
          </x14:cfRule>
          <xm:sqref>M267:N267</xm:sqref>
        </x14:conditionalFormatting>
        <x14:conditionalFormatting xmlns:xm="http://schemas.microsoft.com/office/excel/2006/main">
          <x14:cfRule type="beginsWith" priority="1906" stopIfTrue="1" operator="beginsWith" id="{2F42077B-782C-45AE-B2DA-89A8E49850ED}">
            <xm:f>LEFT(I268,LEN("Fail"))="Fail"</xm:f>
            <xm:f>"Fail"</xm:f>
            <x14:dxf>
              <font>
                <b/>
                <i val="0"/>
                <strike val="0"/>
                <color rgb="FFAA322F"/>
              </font>
              <fill>
                <patternFill patternType="solid">
                  <bgColor theme="0"/>
                </patternFill>
              </fill>
            </x14:dxf>
          </x14:cfRule>
          <xm:sqref>I268</xm:sqref>
        </x14:conditionalFormatting>
        <x14:conditionalFormatting xmlns:xm="http://schemas.microsoft.com/office/excel/2006/main">
          <x14:cfRule type="beginsWith" priority="1895" stopIfTrue="1" operator="beginsWith" id="{33B0AFB2-724E-4552-9C5C-D431E3F532B5}">
            <xm:f>LEFT(J268,LEN("Fail"))="Fail"</xm:f>
            <xm:f>"Fail"</xm:f>
            <x14:dxf>
              <font>
                <b/>
                <i val="0"/>
                <strike val="0"/>
                <color rgb="FFAA322F"/>
              </font>
              <fill>
                <patternFill patternType="solid">
                  <bgColor theme="0"/>
                </patternFill>
              </fill>
            </x14:dxf>
          </x14:cfRule>
          <xm:sqref>J268</xm:sqref>
        </x14:conditionalFormatting>
        <x14:conditionalFormatting xmlns:xm="http://schemas.microsoft.com/office/excel/2006/main">
          <x14:cfRule type="beginsWith" priority="1902" stopIfTrue="1" operator="beginsWith" id="{6FB27883-69E0-47A7-87D8-00046E28076A}">
            <xm:f>LEFT(K268,LEN("Fail"))="Fail"</xm:f>
            <xm:f>"Fail"</xm:f>
            <x14:dxf>
              <font>
                <b/>
                <i val="0"/>
                <strike val="0"/>
                <color rgb="FFAA322F"/>
              </font>
              <fill>
                <patternFill patternType="solid">
                  <bgColor theme="0"/>
                </patternFill>
              </fill>
            </x14:dxf>
          </x14:cfRule>
          <xm:sqref>K268</xm:sqref>
        </x14:conditionalFormatting>
        <x14:conditionalFormatting xmlns:xm="http://schemas.microsoft.com/office/excel/2006/main">
          <x14:cfRule type="beginsWith" priority="1891" stopIfTrue="1" operator="beginsWith" id="{87EA27CD-7EC8-4007-9867-BB18C82CE96F}">
            <xm:f>LEFT(M268,LEN("Fail"))="Fail"</xm:f>
            <xm:f>"Fail"</xm:f>
            <x14:dxf>
              <font>
                <b/>
                <i val="0"/>
                <strike val="0"/>
                <color rgb="FFAA322F"/>
              </font>
              <fill>
                <patternFill patternType="solid">
                  <bgColor theme="0"/>
                </patternFill>
              </fill>
            </x14:dxf>
          </x14:cfRule>
          <xm:sqref>M268:N268</xm:sqref>
        </x14:conditionalFormatting>
        <x14:conditionalFormatting xmlns:xm="http://schemas.microsoft.com/office/excel/2006/main">
          <x14:cfRule type="beginsWith" priority="1884" stopIfTrue="1" operator="beginsWith" id="{6AB98885-6777-4D70-BA88-6EE5E6345D2C}">
            <xm:f>LEFT(I269,LEN("Fail"))="Fail"</xm:f>
            <xm:f>"Fail"</xm:f>
            <x14:dxf>
              <font>
                <b/>
                <i val="0"/>
                <strike val="0"/>
                <color rgb="FFAA322F"/>
              </font>
              <fill>
                <patternFill patternType="solid">
                  <bgColor theme="0"/>
                </patternFill>
              </fill>
            </x14:dxf>
          </x14:cfRule>
          <xm:sqref>I269</xm:sqref>
        </x14:conditionalFormatting>
        <x14:conditionalFormatting xmlns:xm="http://schemas.microsoft.com/office/excel/2006/main">
          <x14:cfRule type="beginsWith" priority="1873" stopIfTrue="1" operator="beginsWith" id="{760C5699-137B-44C0-8782-744697A619B0}">
            <xm:f>LEFT(J269,LEN("Fail"))="Fail"</xm:f>
            <xm:f>"Fail"</xm:f>
            <x14:dxf>
              <font>
                <b/>
                <i val="0"/>
                <strike val="0"/>
                <color rgb="FFAA322F"/>
              </font>
              <fill>
                <patternFill patternType="solid">
                  <bgColor theme="0"/>
                </patternFill>
              </fill>
            </x14:dxf>
          </x14:cfRule>
          <xm:sqref>J269</xm:sqref>
        </x14:conditionalFormatting>
        <x14:conditionalFormatting xmlns:xm="http://schemas.microsoft.com/office/excel/2006/main">
          <x14:cfRule type="beginsWith" priority="1869" stopIfTrue="1" operator="beginsWith" id="{9623EEF7-0FC3-44BE-9CCF-7071BBD8BF3A}">
            <xm:f>LEFT(M269,LEN("Fail"))="Fail"</xm:f>
            <xm:f>"Fail"</xm:f>
            <x14:dxf>
              <font>
                <b/>
                <i val="0"/>
                <strike val="0"/>
                <color rgb="FFAA322F"/>
              </font>
              <fill>
                <patternFill patternType="solid">
                  <bgColor theme="0"/>
                </patternFill>
              </fill>
            </x14:dxf>
          </x14:cfRule>
          <xm:sqref>M269:N269</xm:sqref>
        </x14:conditionalFormatting>
        <x14:conditionalFormatting xmlns:xm="http://schemas.microsoft.com/office/excel/2006/main">
          <x14:cfRule type="beginsWith" priority="1862" stopIfTrue="1" operator="beginsWith" id="{6CD479BC-A448-404F-9A8B-12893B3AB046}">
            <xm:f>LEFT(I270,LEN("Fail"))="Fail"</xm:f>
            <xm:f>"Fail"</xm:f>
            <x14:dxf>
              <font>
                <b/>
                <i val="0"/>
                <strike val="0"/>
                <color rgb="FFAA322F"/>
              </font>
              <fill>
                <patternFill patternType="solid">
                  <bgColor theme="0"/>
                </patternFill>
              </fill>
            </x14:dxf>
          </x14:cfRule>
          <xm:sqref>I270</xm:sqref>
        </x14:conditionalFormatting>
        <x14:conditionalFormatting xmlns:xm="http://schemas.microsoft.com/office/excel/2006/main">
          <x14:cfRule type="beginsWith" priority="1851" stopIfTrue="1" operator="beginsWith" id="{96B204B3-8669-4B20-967B-B5194D26A4E6}">
            <xm:f>LEFT(J270,LEN("Fail"))="Fail"</xm:f>
            <xm:f>"Fail"</xm:f>
            <x14:dxf>
              <font>
                <b/>
                <i val="0"/>
                <strike val="0"/>
                <color rgb="FFAA322F"/>
              </font>
              <fill>
                <patternFill patternType="solid">
                  <bgColor theme="0"/>
                </patternFill>
              </fill>
            </x14:dxf>
          </x14:cfRule>
          <xm:sqref>J270</xm:sqref>
        </x14:conditionalFormatting>
        <x14:conditionalFormatting xmlns:xm="http://schemas.microsoft.com/office/excel/2006/main">
          <x14:cfRule type="beginsWith" priority="1858" stopIfTrue="1" operator="beginsWith" id="{0B8BD7BA-E9FF-47CE-957C-A283FF432669}">
            <xm:f>LEFT(K270,LEN("Fail"))="Fail"</xm:f>
            <xm:f>"Fail"</xm:f>
            <x14:dxf>
              <font>
                <b/>
                <i val="0"/>
                <strike val="0"/>
                <color rgb="FFAA322F"/>
              </font>
              <fill>
                <patternFill patternType="solid">
                  <bgColor theme="0"/>
                </patternFill>
              </fill>
            </x14:dxf>
          </x14:cfRule>
          <xm:sqref>K270</xm:sqref>
        </x14:conditionalFormatting>
        <x14:conditionalFormatting xmlns:xm="http://schemas.microsoft.com/office/excel/2006/main">
          <x14:cfRule type="beginsWith" priority="1847" stopIfTrue="1" operator="beginsWith" id="{1F7B6B64-AE65-4767-BCAD-E3029629B015}">
            <xm:f>LEFT(M270,LEN("Fail"))="Fail"</xm:f>
            <xm:f>"Fail"</xm:f>
            <x14:dxf>
              <font>
                <b/>
                <i val="0"/>
                <strike val="0"/>
                <color rgb="FFAA322F"/>
              </font>
              <fill>
                <patternFill patternType="solid">
                  <bgColor theme="0"/>
                </patternFill>
              </fill>
            </x14:dxf>
          </x14:cfRule>
          <xm:sqref>M270:N270</xm:sqref>
        </x14:conditionalFormatting>
        <x14:conditionalFormatting xmlns:xm="http://schemas.microsoft.com/office/excel/2006/main">
          <x14:cfRule type="beginsWith" priority="1840" stopIfTrue="1" operator="beginsWith" id="{ADC87C3E-BCD7-4A65-8C2D-E7E6142A0C3D}">
            <xm:f>LEFT(I271,LEN("Fail"))="Fail"</xm:f>
            <xm:f>"Fail"</xm:f>
            <x14:dxf>
              <font>
                <b/>
                <i val="0"/>
                <strike val="0"/>
                <color rgb="FFAA322F"/>
              </font>
              <fill>
                <patternFill patternType="solid">
                  <bgColor theme="0"/>
                </patternFill>
              </fill>
            </x14:dxf>
          </x14:cfRule>
          <xm:sqref>I271</xm:sqref>
        </x14:conditionalFormatting>
        <x14:conditionalFormatting xmlns:xm="http://schemas.microsoft.com/office/excel/2006/main">
          <x14:cfRule type="beginsWith" priority="1829" stopIfTrue="1" operator="beginsWith" id="{FF7203B9-1DD5-4DE1-A758-BF09931E8780}">
            <xm:f>LEFT(J271,LEN("Fail"))="Fail"</xm:f>
            <xm:f>"Fail"</xm:f>
            <x14:dxf>
              <font>
                <b/>
                <i val="0"/>
                <strike val="0"/>
                <color rgb="FFAA322F"/>
              </font>
              <fill>
                <patternFill patternType="solid">
                  <bgColor theme="0"/>
                </patternFill>
              </fill>
            </x14:dxf>
          </x14:cfRule>
          <xm:sqref>J271</xm:sqref>
        </x14:conditionalFormatting>
        <x14:conditionalFormatting xmlns:xm="http://schemas.microsoft.com/office/excel/2006/main">
          <x14:cfRule type="beginsWith" priority="1836" stopIfTrue="1" operator="beginsWith" id="{ED634F5D-E6D7-4E77-B04C-28A6CC2E374D}">
            <xm:f>LEFT(K271,LEN("Fail"))="Fail"</xm:f>
            <xm:f>"Fail"</xm:f>
            <x14:dxf>
              <font>
                <b/>
                <i val="0"/>
                <strike val="0"/>
                <color rgb="FFAA322F"/>
              </font>
              <fill>
                <patternFill patternType="solid">
                  <bgColor theme="0"/>
                </patternFill>
              </fill>
            </x14:dxf>
          </x14:cfRule>
          <xm:sqref>K271</xm:sqref>
        </x14:conditionalFormatting>
        <x14:conditionalFormatting xmlns:xm="http://schemas.microsoft.com/office/excel/2006/main">
          <x14:cfRule type="beginsWith" priority="1825" stopIfTrue="1" operator="beginsWith" id="{22AFBB68-4BE4-4EB8-8A76-61B920AF2271}">
            <xm:f>LEFT(M271,LEN("Fail"))="Fail"</xm:f>
            <xm:f>"Fail"</xm:f>
            <x14:dxf>
              <font>
                <b/>
                <i val="0"/>
                <strike val="0"/>
                <color rgb="FFAA322F"/>
              </font>
              <fill>
                <patternFill patternType="solid">
                  <bgColor theme="0"/>
                </patternFill>
              </fill>
            </x14:dxf>
          </x14:cfRule>
          <xm:sqref>M271:N271</xm:sqref>
        </x14:conditionalFormatting>
        <x14:conditionalFormatting xmlns:xm="http://schemas.microsoft.com/office/excel/2006/main">
          <x14:cfRule type="beginsWith" priority="1819" stopIfTrue="1" operator="beginsWith" id="{E0232EF0-A870-48F8-AE0D-A3707821AD42}">
            <xm:f>LEFT(L257,LEN("Fail"))="Fail"</xm:f>
            <xm:f>"Fail"</xm:f>
            <x14:dxf>
              <font>
                <b/>
                <i val="0"/>
                <strike val="0"/>
                <color rgb="FFAA322F"/>
              </font>
              <fill>
                <patternFill patternType="solid">
                  <bgColor theme="0"/>
                </patternFill>
              </fill>
            </x14:dxf>
          </x14:cfRule>
          <xm:sqref>L257</xm:sqref>
        </x14:conditionalFormatting>
        <x14:conditionalFormatting xmlns:xm="http://schemas.microsoft.com/office/excel/2006/main">
          <x14:cfRule type="beginsWith" priority="1815" stopIfTrue="1" operator="beginsWith" id="{A45D47D1-A7BE-44B1-8CA7-54C0889FD56A}">
            <xm:f>LEFT(H193,LEN("Fail"))="Fail"</xm:f>
            <xm:f>"Fail"</xm:f>
            <x14:dxf>
              <font>
                <b/>
                <i val="0"/>
                <strike val="0"/>
                <color rgb="FFAA322F"/>
              </font>
              <fill>
                <patternFill patternType="solid">
                  <bgColor theme="0"/>
                </patternFill>
              </fill>
            </x14:dxf>
          </x14:cfRule>
          <xm:sqref>H193:H229</xm:sqref>
        </x14:conditionalFormatting>
        <x14:conditionalFormatting xmlns:xm="http://schemas.microsoft.com/office/excel/2006/main">
          <x14:cfRule type="beginsWith" priority="1811" stopIfTrue="1" operator="beginsWith" id="{90085E5C-AEED-4908-9C90-1599DDDD0D32}">
            <xm:f>LEFT(I193,LEN("Fail"))="Fail"</xm:f>
            <xm:f>"Fail"</xm:f>
            <x14:dxf>
              <font>
                <b/>
                <i val="0"/>
                <strike val="0"/>
                <color rgb="FFAA322F"/>
              </font>
              <fill>
                <patternFill patternType="solid">
                  <bgColor theme="0"/>
                </patternFill>
              </fill>
            </x14:dxf>
          </x14:cfRule>
          <xm:sqref>I193:K194 M193:O194</xm:sqref>
        </x14:conditionalFormatting>
        <x14:conditionalFormatting xmlns:xm="http://schemas.microsoft.com/office/excel/2006/main">
          <x14:cfRule type="beginsWith" priority="1807" stopIfTrue="1" operator="beginsWith" id="{22C1DC1A-0992-4D13-8159-E496A750C207}">
            <xm:f>LEFT(I197,LEN("Fail"))="Fail"</xm:f>
            <xm:f>"Fail"</xm:f>
            <x14:dxf>
              <font>
                <b/>
                <i val="0"/>
                <strike val="0"/>
                <color rgb="FFAA322F"/>
              </font>
              <fill>
                <patternFill patternType="solid">
                  <bgColor theme="0"/>
                </patternFill>
              </fill>
            </x14:dxf>
          </x14:cfRule>
          <xm:sqref>I197:K198 M197:O198</xm:sqref>
        </x14:conditionalFormatting>
        <x14:conditionalFormatting xmlns:xm="http://schemas.microsoft.com/office/excel/2006/main">
          <x14:cfRule type="beginsWith" priority="1803" stopIfTrue="1" operator="beginsWith" id="{7E2212EC-EAAE-4A3C-91F8-CCA15DA9F463}">
            <xm:f>LEFT(I201,LEN("Fail"))="Fail"</xm:f>
            <xm:f>"Fail"</xm:f>
            <x14:dxf>
              <font>
                <b/>
                <i val="0"/>
                <strike val="0"/>
                <color rgb="FFAA322F"/>
              </font>
              <fill>
                <patternFill patternType="solid">
                  <bgColor theme="0"/>
                </patternFill>
              </fill>
            </x14:dxf>
          </x14:cfRule>
          <xm:sqref>I201:K202 M201:O202</xm:sqref>
        </x14:conditionalFormatting>
        <x14:conditionalFormatting xmlns:xm="http://schemas.microsoft.com/office/excel/2006/main">
          <x14:cfRule type="beginsWith" priority="1799" stopIfTrue="1" operator="beginsWith" id="{D7137589-7DAB-4E0B-AA14-84746226EBD4}">
            <xm:f>LEFT(I205,LEN("Fail"))="Fail"</xm:f>
            <xm:f>"Fail"</xm:f>
            <x14:dxf>
              <font>
                <b/>
                <i val="0"/>
                <strike val="0"/>
                <color rgb="FFAA322F"/>
              </font>
              <fill>
                <patternFill patternType="solid">
                  <bgColor theme="0"/>
                </patternFill>
              </fill>
            </x14:dxf>
          </x14:cfRule>
          <xm:sqref>I205:K207 M205:O207</xm:sqref>
        </x14:conditionalFormatting>
        <x14:conditionalFormatting xmlns:xm="http://schemas.microsoft.com/office/excel/2006/main">
          <x14:cfRule type="beginsWith" priority="1795" stopIfTrue="1" operator="beginsWith" id="{45E1F30A-5D50-4B71-A1FF-BB09933F0C1E}">
            <xm:f>LEFT(I210,LEN("Fail"))="Fail"</xm:f>
            <xm:f>"Fail"</xm:f>
            <x14:dxf>
              <font>
                <b/>
                <i val="0"/>
                <strike val="0"/>
                <color rgb="FFAA322F"/>
              </font>
              <fill>
                <patternFill patternType="solid">
                  <bgColor theme="0"/>
                </patternFill>
              </fill>
            </x14:dxf>
          </x14:cfRule>
          <xm:sqref>I210:K211 M210:O211</xm:sqref>
        </x14:conditionalFormatting>
        <x14:conditionalFormatting xmlns:xm="http://schemas.microsoft.com/office/excel/2006/main">
          <x14:cfRule type="beginsWith" priority="1791" stopIfTrue="1" operator="beginsWith" id="{5BC2D982-7E16-4F3F-803C-34B4FB0B60C0}">
            <xm:f>LEFT(I214,LEN("Fail"))="Fail"</xm:f>
            <xm:f>"Fail"</xm:f>
            <x14:dxf>
              <font>
                <b/>
                <i val="0"/>
                <strike val="0"/>
                <color rgb="FFAA322F"/>
              </font>
              <fill>
                <patternFill patternType="solid">
                  <bgColor theme="0"/>
                </patternFill>
              </fill>
            </x14:dxf>
          </x14:cfRule>
          <xm:sqref>I214:K215 M214:O215</xm:sqref>
        </x14:conditionalFormatting>
        <x14:conditionalFormatting xmlns:xm="http://schemas.microsoft.com/office/excel/2006/main">
          <x14:cfRule type="beginsWith" priority="1787" stopIfTrue="1" operator="beginsWith" id="{242A75F5-CD55-458A-B28D-15DAB6F91ED2}">
            <xm:f>LEFT(I218,LEN("Fail"))="Fail"</xm:f>
            <xm:f>"Fail"</xm:f>
            <x14:dxf>
              <font>
                <b/>
                <i val="0"/>
                <strike val="0"/>
                <color rgb="FFAA322F"/>
              </font>
              <fill>
                <patternFill patternType="solid">
                  <bgColor theme="0"/>
                </patternFill>
              </fill>
            </x14:dxf>
          </x14:cfRule>
          <xm:sqref>I218:K219 M218:O219</xm:sqref>
        </x14:conditionalFormatting>
        <x14:conditionalFormatting xmlns:xm="http://schemas.microsoft.com/office/excel/2006/main">
          <x14:cfRule type="beginsWith" priority="1783" stopIfTrue="1" operator="beginsWith" id="{15D61BCF-2369-4AF0-8E0C-B044BA43A758}">
            <xm:f>LEFT(I222,LEN("Fail"))="Fail"</xm:f>
            <xm:f>"Fail"</xm:f>
            <x14:dxf>
              <font>
                <b/>
                <i val="0"/>
                <strike val="0"/>
                <color rgb="FFAA322F"/>
              </font>
              <fill>
                <patternFill patternType="solid">
                  <bgColor theme="0"/>
                </patternFill>
              </fill>
            </x14:dxf>
          </x14:cfRule>
          <xm:sqref>I222:K223 M222:O223</xm:sqref>
        </x14:conditionalFormatting>
        <x14:conditionalFormatting xmlns:xm="http://schemas.microsoft.com/office/excel/2006/main">
          <x14:cfRule type="beginsWith" priority="1779" stopIfTrue="1" operator="beginsWith" id="{BD718C17-FA7B-4507-9AF1-E20BC77BF92E}">
            <xm:f>LEFT(I226,LEN("Fail"))="Fail"</xm:f>
            <xm:f>"Fail"</xm:f>
            <x14:dxf>
              <font>
                <b/>
                <i val="0"/>
                <strike val="0"/>
                <color rgb="FFAA322F"/>
              </font>
              <fill>
                <patternFill patternType="solid">
                  <bgColor theme="0"/>
                </patternFill>
              </fill>
            </x14:dxf>
          </x14:cfRule>
          <xm:sqref>I226:K227 M226:O227</xm:sqref>
        </x14:conditionalFormatting>
        <x14:conditionalFormatting xmlns:xm="http://schemas.microsoft.com/office/excel/2006/main">
          <x14:cfRule type="beginsWith" priority="1775" stopIfTrue="1" operator="beginsWith" id="{D7C44DDC-5D83-475E-930E-77AB2D88145F}">
            <xm:f>LEFT(L193,LEN("Fail"))="Fail"</xm:f>
            <xm:f>"Fail"</xm:f>
            <x14:dxf>
              <font>
                <b/>
                <i val="0"/>
                <strike val="0"/>
                <color rgb="FFAA322F"/>
              </font>
              <fill>
                <patternFill patternType="solid">
                  <bgColor theme="0"/>
                </patternFill>
              </fill>
            </x14:dxf>
          </x14:cfRule>
          <xm:sqref>L193:L229</xm:sqref>
        </x14:conditionalFormatting>
        <x14:conditionalFormatting xmlns:xm="http://schemas.microsoft.com/office/excel/2006/main">
          <x14:cfRule type="beginsWith" priority="1771" stopIfTrue="1" operator="beginsWith" id="{4B58CAF5-79F1-42B1-8A65-831134EE4C7D}">
            <xm:f>LEFT(P193,LEN("Fail"))="Fail"</xm:f>
            <xm:f>"Fail"</xm:f>
            <x14:dxf>
              <font>
                <b/>
                <i val="0"/>
                <strike val="0"/>
                <color rgb="FFAA322F"/>
              </font>
              <fill>
                <patternFill patternType="solid">
                  <bgColor theme="0"/>
                </patternFill>
              </fill>
            </x14:dxf>
          </x14:cfRule>
          <xm:sqref>P193:P229</xm:sqref>
        </x14:conditionalFormatting>
        <x14:conditionalFormatting xmlns:xm="http://schemas.microsoft.com/office/excel/2006/main">
          <x14:cfRule type="beginsWith" priority="1767" stopIfTrue="1" operator="beginsWith" id="{8EA22A25-251D-4DCA-93B8-96CCF9268B90}">
            <xm:f>LEFT(I236,LEN("Fail"))="Fail"</xm:f>
            <xm:f>"Fail"</xm:f>
            <x14:dxf>
              <font>
                <b/>
                <i val="0"/>
                <strike val="0"/>
                <color rgb="FFAA322F"/>
              </font>
              <fill>
                <patternFill patternType="solid">
                  <bgColor theme="0"/>
                </patternFill>
              </fill>
            </x14:dxf>
          </x14:cfRule>
          <xm:sqref>I236:K236 M236:O236</xm:sqref>
        </x14:conditionalFormatting>
        <x14:conditionalFormatting xmlns:xm="http://schemas.microsoft.com/office/excel/2006/main">
          <x14:cfRule type="beginsWith" priority="1763" stopIfTrue="1" operator="beginsWith" id="{84906FA3-4611-4E27-885E-EF60F872A8B8}">
            <xm:f>LEFT(I238,LEN("Fail"))="Fail"</xm:f>
            <xm:f>"Fail"</xm:f>
            <x14:dxf>
              <font>
                <b/>
                <i val="0"/>
                <strike val="0"/>
                <color rgb="FFAA322F"/>
              </font>
              <fill>
                <patternFill patternType="solid">
                  <bgColor theme="0"/>
                </patternFill>
              </fill>
            </x14:dxf>
          </x14:cfRule>
          <xm:sqref>I238:K238 M238:O238</xm:sqref>
        </x14:conditionalFormatting>
        <x14:conditionalFormatting xmlns:xm="http://schemas.microsoft.com/office/excel/2006/main">
          <x14:cfRule type="beginsWith" priority="1759" stopIfTrue="1" operator="beginsWith" id="{DD6EADD7-1DC8-4177-9E77-EC70072A749D}">
            <xm:f>LEFT(I240,LEN("Fail"))="Fail"</xm:f>
            <xm:f>"Fail"</xm:f>
            <x14:dxf>
              <font>
                <b/>
                <i val="0"/>
                <strike val="0"/>
                <color rgb="FFAA322F"/>
              </font>
              <fill>
                <patternFill patternType="solid">
                  <bgColor theme="0"/>
                </patternFill>
              </fill>
            </x14:dxf>
          </x14:cfRule>
          <xm:sqref>I240:K242 M240:O242</xm:sqref>
        </x14:conditionalFormatting>
        <x14:conditionalFormatting xmlns:xm="http://schemas.microsoft.com/office/excel/2006/main">
          <x14:cfRule type="beginsWith" priority="1755" stopIfTrue="1" operator="beginsWith" id="{F5114038-7A57-47ED-BCE6-77665F4D7AB6}">
            <xm:f>LEFT(I244,LEN("Fail"))="Fail"</xm:f>
            <xm:f>"Fail"</xm:f>
            <x14:dxf>
              <font>
                <b/>
                <i val="0"/>
                <strike val="0"/>
                <color rgb="FFAA322F"/>
              </font>
              <fill>
                <patternFill patternType="solid">
                  <bgColor theme="0"/>
                </patternFill>
              </fill>
            </x14:dxf>
          </x14:cfRule>
          <xm:sqref>I244:K244 M244:O244</xm:sqref>
        </x14:conditionalFormatting>
        <x14:conditionalFormatting xmlns:xm="http://schemas.microsoft.com/office/excel/2006/main">
          <x14:cfRule type="beginsWith" priority="1751" stopIfTrue="1" operator="beginsWith" id="{086E761D-5CFD-43BD-A134-E0CD4A1BC010}">
            <xm:f>LEFT(I246,LEN("Fail"))="Fail"</xm:f>
            <xm:f>"Fail"</xm:f>
            <x14:dxf>
              <font>
                <b/>
                <i val="0"/>
                <strike val="0"/>
                <color rgb="FFAA322F"/>
              </font>
              <fill>
                <patternFill patternType="solid">
                  <bgColor theme="0"/>
                </patternFill>
              </fill>
            </x14:dxf>
          </x14:cfRule>
          <xm:sqref>I246:K246 M246:O246</xm:sqref>
        </x14:conditionalFormatting>
        <x14:conditionalFormatting xmlns:xm="http://schemas.microsoft.com/office/excel/2006/main">
          <x14:cfRule type="beginsWith" priority="1747" stopIfTrue="1" operator="beginsWith" id="{57297E2D-FAEF-4629-BCE2-692C1D1D4052}">
            <xm:f>LEFT(I248,LEN("Fail"))="Fail"</xm:f>
            <xm:f>"Fail"</xm:f>
            <x14:dxf>
              <font>
                <b/>
                <i val="0"/>
                <strike val="0"/>
                <color rgb="FFAA322F"/>
              </font>
              <fill>
                <patternFill patternType="solid">
                  <bgColor theme="0"/>
                </patternFill>
              </fill>
            </x14:dxf>
          </x14:cfRule>
          <xm:sqref>I248:K248 M248:O248</xm:sqref>
        </x14:conditionalFormatting>
        <x14:conditionalFormatting xmlns:xm="http://schemas.microsoft.com/office/excel/2006/main">
          <x14:cfRule type="beginsWith" priority="1743" stopIfTrue="1" operator="beginsWith" id="{FC4F8E6D-44B5-43C9-87D5-163C8E8BD908}">
            <xm:f>LEFT(I251,LEN("Fail"))="Fail"</xm:f>
            <xm:f>"Fail"</xm:f>
            <x14:dxf>
              <font>
                <b/>
                <i val="0"/>
                <strike val="0"/>
                <color rgb="FFAA322F"/>
              </font>
              <fill>
                <patternFill patternType="solid">
                  <bgColor theme="0"/>
                </patternFill>
              </fill>
            </x14:dxf>
          </x14:cfRule>
          <xm:sqref>I251:K251 M251:O251</xm:sqref>
        </x14:conditionalFormatting>
        <x14:conditionalFormatting xmlns:xm="http://schemas.microsoft.com/office/excel/2006/main">
          <x14:cfRule type="beginsWith" priority="1739" stopIfTrue="1" operator="beginsWith" id="{2D4D89FB-B122-4358-A3A1-0E6EB1B7F496}">
            <xm:f>LEFT(I253,LEN("Fail"))="Fail"</xm:f>
            <xm:f>"Fail"</xm:f>
            <x14:dxf>
              <font>
                <b/>
                <i val="0"/>
                <strike val="0"/>
                <color rgb="FFAA322F"/>
              </font>
              <fill>
                <patternFill patternType="solid">
                  <bgColor theme="0"/>
                </patternFill>
              </fill>
            </x14:dxf>
          </x14:cfRule>
          <xm:sqref>I253:K253 M253:O253</xm:sqref>
        </x14:conditionalFormatting>
        <x14:conditionalFormatting xmlns:xm="http://schemas.microsoft.com/office/excel/2006/main">
          <x14:cfRule type="beginsWith" priority="1735" stopIfTrue="1" operator="beginsWith" id="{2F0556BE-5838-4BC5-BD20-E5FB6975DE85}">
            <xm:f>LEFT(H236,LEN("Fail"))="Fail"</xm:f>
            <xm:f>"Fail"</xm:f>
            <x14:dxf>
              <font>
                <b/>
                <i val="0"/>
                <strike val="0"/>
                <color rgb="FFAA322F"/>
              </font>
              <fill>
                <patternFill patternType="solid">
                  <bgColor theme="0"/>
                </patternFill>
              </fill>
            </x14:dxf>
          </x14:cfRule>
          <xm:sqref>H236:H254</xm:sqref>
        </x14:conditionalFormatting>
        <x14:conditionalFormatting xmlns:xm="http://schemas.microsoft.com/office/excel/2006/main">
          <x14:cfRule type="beginsWith" priority="1731" stopIfTrue="1" operator="beginsWith" id="{EFD8CAF7-8C1A-4FDD-93DC-4B93F8AE8A02}">
            <xm:f>LEFT(L236,LEN("Fail"))="Fail"</xm:f>
            <xm:f>"Fail"</xm:f>
            <x14:dxf>
              <font>
                <b/>
                <i val="0"/>
                <strike val="0"/>
                <color rgb="FFAA322F"/>
              </font>
              <fill>
                <patternFill patternType="solid">
                  <bgColor theme="0"/>
                </patternFill>
              </fill>
            </x14:dxf>
          </x14:cfRule>
          <xm:sqref>L236:L254</xm:sqref>
        </x14:conditionalFormatting>
        <x14:conditionalFormatting xmlns:xm="http://schemas.microsoft.com/office/excel/2006/main">
          <x14:cfRule type="beginsWith" priority="1727" stopIfTrue="1" operator="beginsWith" id="{9B5A6AC0-155F-4550-BE27-79B8C1BD2939}">
            <xm:f>LEFT(P236,LEN("Fail"))="Fail"</xm:f>
            <xm:f>"Fail"</xm:f>
            <x14:dxf>
              <font>
                <b/>
                <i val="0"/>
                <strike val="0"/>
                <color rgb="FFAA322F"/>
              </font>
              <fill>
                <patternFill patternType="solid">
                  <bgColor theme="0"/>
                </patternFill>
              </fill>
            </x14:dxf>
          </x14:cfRule>
          <xm:sqref>P236:P254</xm:sqref>
        </x14:conditionalFormatting>
        <x14:conditionalFormatting xmlns:xm="http://schemas.microsoft.com/office/excel/2006/main">
          <x14:cfRule type="beginsWith" priority="1723" stopIfTrue="1" operator="beginsWith" id="{121FAE40-CA07-4F77-BDE0-B28BBE737FA5}">
            <xm:f>LEFT(H261,LEN("Fail"))="Fail"</xm:f>
            <xm:f>"Fail"</xm:f>
            <x14:dxf>
              <font>
                <b/>
                <i val="0"/>
                <strike val="0"/>
                <color rgb="FFAA322F"/>
              </font>
              <fill>
                <patternFill patternType="solid">
                  <bgColor theme="0"/>
                </patternFill>
              </fill>
            </x14:dxf>
          </x14:cfRule>
          <xm:sqref>H261:K264 M261:N264</xm:sqref>
        </x14:conditionalFormatting>
        <x14:conditionalFormatting xmlns:xm="http://schemas.microsoft.com/office/excel/2006/main">
          <x14:cfRule type="beginsWith" priority="1719" stopIfTrue="1" operator="beginsWith" id="{5BE4602B-0EEC-4510-93AE-F4704126133B}">
            <xm:f>LEFT(L261,LEN("Fail"))="Fail"</xm:f>
            <xm:f>"Fail"</xm:f>
            <x14:dxf>
              <font>
                <b/>
                <i val="0"/>
                <strike val="0"/>
                <color rgb="FFAA322F"/>
              </font>
              <fill>
                <patternFill patternType="solid">
                  <bgColor theme="0"/>
                </patternFill>
              </fill>
            </x14:dxf>
          </x14:cfRule>
          <xm:sqref>L261:L271</xm:sqref>
        </x14:conditionalFormatting>
        <x14:conditionalFormatting xmlns:xm="http://schemas.microsoft.com/office/excel/2006/main">
          <x14:cfRule type="beginsWith" priority="1672" stopIfTrue="1" operator="beginsWith" id="{F67C11CB-78F7-4F13-9A79-28E858BED8EF}">
            <xm:f>LEFT(O259,LEN("Fail"))="Fail"</xm:f>
            <xm:f>"Fail"</xm:f>
            <x14:dxf>
              <font>
                <b/>
                <i val="0"/>
                <strike val="0"/>
                <color rgb="FFAA322F"/>
              </font>
              <fill>
                <patternFill patternType="solid">
                  <bgColor theme="0"/>
                </patternFill>
              </fill>
            </x14:dxf>
          </x14:cfRule>
          <xm:sqref>O259:P259</xm:sqref>
        </x14:conditionalFormatting>
        <x14:conditionalFormatting xmlns:xm="http://schemas.microsoft.com/office/excel/2006/main">
          <x14:cfRule type="beginsWith" priority="1675" stopIfTrue="1" operator="beginsWith" id="{A2D58558-4892-46A2-8283-5698E52A67B4}">
            <xm:f>LEFT(O259,LEN("Fail"))="Fail"</xm:f>
            <xm:f>"Fail"</xm:f>
            <x14:dxf>
              <font>
                <b/>
                <i val="0"/>
                <strike val="0"/>
                <color rgb="FFAA322F"/>
              </font>
              <fill>
                <patternFill patternType="solid">
                  <bgColor theme="0"/>
                </patternFill>
              </fill>
            </x14:dxf>
          </x14:cfRule>
          <xm:sqref>O259:P259</xm:sqref>
        </x14:conditionalFormatting>
        <x14:conditionalFormatting xmlns:xm="http://schemas.microsoft.com/office/excel/2006/main">
          <x14:cfRule type="beginsWith" priority="1619" stopIfTrue="1" operator="beginsWith" id="{2D1371AB-669D-47A6-9B54-AF3521737749}">
            <xm:f>LEFT(H273,LEN("Fail"))="Fail"</xm:f>
            <xm:f>"Fail"</xm:f>
            <x14:dxf>
              <font>
                <b/>
                <i val="0"/>
                <strike val="0"/>
                <color rgb="FFAA322F"/>
              </font>
              <fill>
                <patternFill patternType="solid">
                  <bgColor theme="0"/>
                </patternFill>
              </fill>
            </x14:dxf>
          </x14:cfRule>
          <xm:sqref>H273:P273 H279:P279</xm:sqref>
        </x14:conditionalFormatting>
        <x14:conditionalFormatting xmlns:xm="http://schemas.microsoft.com/office/excel/2006/main">
          <x14:cfRule type="beginsWith" priority="1616" stopIfTrue="1" operator="beginsWith" id="{C65723F3-6193-4713-A26E-1D9CD26861FD}">
            <xm:f>LEFT(I275,LEN("Fail"))="Fail"</xm:f>
            <xm:f>"Fail"</xm:f>
            <x14:dxf>
              <font>
                <b/>
                <i val="0"/>
                <strike val="0"/>
                <color rgb="FFAA322F"/>
              </font>
              <fill>
                <patternFill patternType="solid">
                  <bgColor theme="0"/>
                </patternFill>
              </fill>
            </x14:dxf>
          </x14:cfRule>
          <xm:sqref>I275</xm:sqref>
        </x14:conditionalFormatting>
        <x14:conditionalFormatting xmlns:xm="http://schemas.microsoft.com/office/excel/2006/main">
          <x14:cfRule type="beginsWith" priority="1613" stopIfTrue="1" operator="beginsWith" id="{E69B316A-8E82-454D-A33F-1823A2A54ECC}">
            <xm:f>LEFT(K275,LEN("Fail"))="Fail"</xm:f>
            <xm:f>"Fail"</xm:f>
            <x14:dxf>
              <font>
                <b/>
                <i val="0"/>
                <strike val="0"/>
                <color rgb="FFAA322F"/>
              </font>
              <fill>
                <patternFill patternType="solid">
                  <bgColor theme="0"/>
                </patternFill>
              </fill>
            </x14:dxf>
          </x14:cfRule>
          <xm:sqref>K275:K276 M276</xm:sqref>
        </x14:conditionalFormatting>
        <x14:conditionalFormatting xmlns:xm="http://schemas.microsoft.com/office/excel/2006/main">
          <x14:cfRule type="beginsWith" priority="1610" stopIfTrue="1" operator="beginsWith" id="{64D20889-B82B-4E64-BE3C-47F7B8AF0192}">
            <xm:f>LEFT(K277,LEN("Fail"))="Fail"</xm:f>
            <xm:f>"Fail"</xm:f>
            <x14:dxf>
              <font>
                <b/>
                <i val="0"/>
                <strike val="0"/>
                <color rgb="FFAA322F"/>
              </font>
              <fill>
                <patternFill patternType="solid">
                  <bgColor theme="0"/>
                </patternFill>
              </fill>
            </x14:dxf>
          </x14:cfRule>
          <xm:sqref>K277:L277</xm:sqref>
        </x14:conditionalFormatting>
        <x14:conditionalFormatting xmlns:xm="http://schemas.microsoft.com/office/excel/2006/main">
          <x14:cfRule type="beginsWith" priority="1607" stopIfTrue="1" operator="beginsWith" id="{E84AB530-BA75-4D06-BC82-03B24E6BFE8B}">
            <xm:f>LEFT(K274,LEN("Fail"))="Fail"</xm:f>
            <xm:f>"Fail"</xm:f>
            <x14:dxf>
              <font>
                <b/>
                <i val="0"/>
                <strike val="0"/>
                <color rgb="FFAA322F"/>
              </font>
              <fill>
                <patternFill patternType="solid">
                  <bgColor theme="0"/>
                </patternFill>
              </fill>
            </x14:dxf>
          </x14:cfRule>
          <xm:sqref>K274</xm:sqref>
        </x14:conditionalFormatting>
        <x14:conditionalFormatting xmlns:xm="http://schemas.microsoft.com/office/excel/2006/main">
          <x14:cfRule type="beginsWith" priority="1603" stopIfTrue="1" operator="beginsWith" id="{5E3C76F8-357A-47D5-8676-2DC8F4425E50}">
            <xm:f>LEFT(K278,LEN("Fail"))="Fail"</xm:f>
            <xm:f>"Fail"</xm:f>
            <x14:dxf>
              <font>
                <b/>
                <i val="0"/>
                <strike val="0"/>
                <color rgb="FFAA322F"/>
              </font>
              <fill>
                <patternFill patternType="solid">
                  <bgColor theme="0"/>
                </patternFill>
              </fill>
            </x14:dxf>
          </x14:cfRule>
          <xm:sqref>K278:P278</xm:sqref>
        </x14:conditionalFormatting>
        <x14:conditionalFormatting xmlns:xm="http://schemas.microsoft.com/office/excel/2006/main">
          <x14:cfRule type="beginsWith" priority="1600" stopIfTrue="1" operator="beginsWith" id="{52DBB8DF-20C7-4E57-8760-5741A852737C}">
            <xm:f>LEFT(N275,LEN("Fail"))="Fail"</xm:f>
            <xm:f>"Fail"</xm:f>
            <x14:dxf>
              <font>
                <b/>
                <i val="0"/>
                <strike val="0"/>
                <color rgb="FFAA322F"/>
              </font>
              <fill>
                <patternFill patternType="solid">
                  <bgColor theme="0"/>
                </patternFill>
              </fill>
            </x14:dxf>
          </x14:cfRule>
          <xm:sqref>N275:N276 P276</xm:sqref>
        </x14:conditionalFormatting>
        <x14:conditionalFormatting xmlns:xm="http://schemas.microsoft.com/office/excel/2006/main">
          <x14:cfRule type="beginsWith" priority="1597" stopIfTrue="1" operator="beginsWith" id="{042BF383-5AF3-482A-8204-572B745F7F8E}">
            <xm:f>LEFT(N277,LEN("Fail"))="Fail"</xm:f>
            <xm:f>"Fail"</xm:f>
            <x14:dxf>
              <font>
                <b/>
                <i val="0"/>
                <strike val="0"/>
                <color rgb="FFAA322F"/>
              </font>
              <fill>
                <patternFill patternType="solid">
                  <bgColor theme="0"/>
                </patternFill>
              </fill>
            </x14:dxf>
          </x14:cfRule>
          <xm:sqref>N277:O277</xm:sqref>
        </x14:conditionalFormatting>
        <x14:conditionalFormatting xmlns:xm="http://schemas.microsoft.com/office/excel/2006/main">
          <x14:cfRule type="beginsWith" priority="1594" stopIfTrue="1" operator="beginsWith" id="{46E6A7DE-CC82-446F-8623-C1CAB03EDFD1}">
            <xm:f>LEFT(N274,LEN("Fail"))="Fail"</xm:f>
            <xm:f>"Fail"</xm:f>
            <x14:dxf>
              <font>
                <b/>
                <i val="0"/>
                <strike val="0"/>
                <color rgb="FFAA322F"/>
              </font>
              <fill>
                <patternFill patternType="solid">
                  <bgColor theme="0"/>
                </patternFill>
              </fill>
            </x14:dxf>
          </x14:cfRule>
          <xm:sqref>N274</xm:sqref>
        </x14:conditionalFormatting>
        <x14:conditionalFormatting xmlns:xm="http://schemas.microsoft.com/office/excel/2006/main">
          <x14:cfRule type="beginsWith" priority="1591" stopIfTrue="1" operator="beginsWith" id="{09F92D06-0F81-47AD-9278-B8848E595B88}">
            <xm:f>LEFT(R257,LEN("Fail"))="Fail"</xm:f>
            <xm:f>"Fail"</xm:f>
            <x14:dxf>
              <font>
                <b/>
                <i val="0"/>
                <strike val="0"/>
                <color rgb="FFAA322F"/>
              </font>
              <fill>
                <patternFill patternType="solid">
                  <bgColor theme="0"/>
                </patternFill>
              </fill>
            </x14:dxf>
          </x14:cfRule>
          <xm:sqref>R257:T258 T268 T270:T271 T261:T263 R274:T277</xm:sqref>
        </x14:conditionalFormatting>
        <x14:conditionalFormatting xmlns:xm="http://schemas.microsoft.com/office/excel/2006/main">
          <x14:cfRule type="beginsWith" priority="1588" stopIfTrue="1" operator="beginsWith" id="{8FAE683A-DDE4-4A6F-81FA-9ACF7822B9ED}">
            <xm:f>LEFT(R231,LEN("Fail"))="Fail"</xm:f>
            <xm:f>"Fail"</xm:f>
            <x14:dxf>
              <font>
                <b/>
                <i val="0"/>
                <strike val="0"/>
                <color rgb="FFAA322F"/>
              </font>
              <fill>
                <patternFill patternType="solid">
                  <bgColor theme="0"/>
                </patternFill>
              </fill>
            </x14:dxf>
          </x14:cfRule>
          <xm:sqref>R272:T272 R231:T231 R256:T256</xm:sqref>
        </x14:conditionalFormatting>
        <x14:conditionalFormatting xmlns:xm="http://schemas.microsoft.com/office/excel/2006/main">
          <x14:cfRule type="beginsWith" priority="1584" stopIfTrue="1" operator="beginsWith" id="{9F337DED-5D08-4F56-AFE5-7F9124E4E6D7}">
            <xm:f>LEFT(R193,LEN("Fail"))="Fail"</xm:f>
            <xm:f>"Fail"</xm:f>
            <x14:dxf>
              <font>
                <b/>
                <i val="0"/>
                <strike val="0"/>
                <color rgb="FFAA322F"/>
              </font>
              <fill>
                <patternFill patternType="solid">
                  <bgColor theme="0"/>
                </patternFill>
              </fill>
            </x14:dxf>
          </x14:cfRule>
          <xm:sqref>R193:T194</xm:sqref>
        </x14:conditionalFormatting>
        <x14:conditionalFormatting xmlns:xm="http://schemas.microsoft.com/office/excel/2006/main">
          <x14:cfRule type="beginsWith" priority="1580" stopIfTrue="1" operator="beginsWith" id="{8FC606F6-1786-43A5-8023-A61615CFD2C3}">
            <xm:f>LEFT(R197,LEN("Fail"))="Fail"</xm:f>
            <xm:f>"Fail"</xm:f>
            <x14:dxf>
              <font>
                <b/>
                <i val="0"/>
                <strike val="0"/>
                <color rgb="FFAA322F"/>
              </font>
              <fill>
                <patternFill patternType="solid">
                  <bgColor theme="0"/>
                </patternFill>
              </fill>
            </x14:dxf>
          </x14:cfRule>
          <xm:sqref>R197:T198</xm:sqref>
        </x14:conditionalFormatting>
        <x14:conditionalFormatting xmlns:xm="http://schemas.microsoft.com/office/excel/2006/main">
          <x14:cfRule type="beginsWith" priority="1576" stopIfTrue="1" operator="beginsWith" id="{731F07A1-D705-428C-84FF-59C6786996C1}">
            <xm:f>LEFT(R201,LEN("Fail"))="Fail"</xm:f>
            <xm:f>"Fail"</xm:f>
            <x14:dxf>
              <font>
                <b/>
                <i val="0"/>
                <strike val="0"/>
                <color rgb="FFAA322F"/>
              </font>
              <fill>
                <patternFill patternType="solid">
                  <bgColor theme="0"/>
                </patternFill>
              </fill>
            </x14:dxf>
          </x14:cfRule>
          <xm:sqref>R201:T202</xm:sqref>
        </x14:conditionalFormatting>
        <x14:conditionalFormatting xmlns:xm="http://schemas.microsoft.com/office/excel/2006/main">
          <x14:cfRule type="beginsWith" priority="1572" stopIfTrue="1" operator="beginsWith" id="{3B67525E-26A8-4900-9F21-09C499A244D1}">
            <xm:f>LEFT(R205,LEN("Fail"))="Fail"</xm:f>
            <xm:f>"Fail"</xm:f>
            <x14:dxf>
              <font>
                <b/>
                <i val="0"/>
                <strike val="0"/>
                <color rgb="FFAA322F"/>
              </font>
              <fill>
                <patternFill patternType="solid">
                  <bgColor theme="0"/>
                </patternFill>
              </fill>
            </x14:dxf>
          </x14:cfRule>
          <xm:sqref>R205:T207</xm:sqref>
        </x14:conditionalFormatting>
        <x14:conditionalFormatting xmlns:xm="http://schemas.microsoft.com/office/excel/2006/main">
          <x14:cfRule type="beginsWith" priority="1568" stopIfTrue="1" operator="beginsWith" id="{71E6BA2A-7AA4-46C3-85F5-2C0030E124E3}">
            <xm:f>LEFT(R210,LEN("Fail"))="Fail"</xm:f>
            <xm:f>"Fail"</xm:f>
            <x14:dxf>
              <font>
                <b/>
                <i val="0"/>
                <strike val="0"/>
                <color rgb="FFAA322F"/>
              </font>
              <fill>
                <patternFill patternType="solid">
                  <bgColor theme="0"/>
                </patternFill>
              </fill>
            </x14:dxf>
          </x14:cfRule>
          <xm:sqref>R210:T211</xm:sqref>
        </x14:conditionalFormatting>
        <x14:conditionalFormatting xmlns:xm="http://schemas.microsoft.com/office/excel/2006/main">
          <x14:cfRule type="beginsWith" priority="1564" stopIfTrue="1" operator="beginsWith" id="{F9B02874-9970-448E-9205-62DC2AAB3F0C}">
            <xm:f>LEFT(R214,LEN("Fail"))="Fail"</xm:f>
            <xm:f>"Fail"</xm:f>
            <x14:dxf>
              <font>
                <b/>
                <i val="0"/>
                <strike val="0"/>
                <color rgb="FFAA322F"/>
              </font>
              <fill>
                <patternFill patternType="solid">
                  <bgColor theme="0"/>
                </patternFill>
              </fill>
            </x14:dxf>
          </x14:cfRule>
          <xm:sqref>R214:T215</xm:sqref>
        </x14:conditionalFormatting>
        <x14:conditionalFormatting xmlns:xm="http://schemas.microsoft.com/office/excel/2006/main">
          <x14:cfRule type="beginsWith" priority="1560" stopIfTrue="1" operator="beginsWith" id="{D2BBB5D5-80AF-41F1-A3BA-0802FEB215D4}">
            <xm:f>LEFT(R218,LEN("Fail"))="Fail"</xm:f>
            <xm:f>"Fail"</xm:f>
            <x14:dxf>
              <font>
                <b/>
                <i val="0"/>
                <strike val="0"/>
                <color rgb="FFAA322F"/>
              </font>
              <fill>
                <patternFill patternType="solid">
                  <bgColor theme="0"/>
                </patternFill>
              </fill>
            </x14:dxf>
          </x14:cfRule>
          <xm:sqref>R218:T219</xm:sqref>
        </x14:conditionalFormatting>
        <x14:conditionalFormatting xmlns:xm="http://schemas.microsoft.com/office/excel/2006/main">
          <x14:cfRule type="beginsWith" priority="1556" stopIfTrue="1" operator="beginsWith" id="{1F9D76D8-DEB0-49D3-8FDD-BEF151142291}">
            <xm:f>LEFT(R222,LEN("Fail"))="Fail"</xm:f>
            <xm:f>"Fail"</xm:f>
            <x14:dxf>
              <font>
                <b/>
                <i val="0"/>
                <strike val="0"/>
                <color rgb="FFAA322F"/>
              </font>
              <fill>
                <patternFill patternType="solid">
                  <bgColor theme="0"/>
                </patternFill>
              </fill>
            </x14:dxf>
          </x14:cfRule>
          <xm:sqref>R222:T223</xm:sqref>
        </x14:conditionalFormatting>
        <x14:conditionalFormatting xmlns:xm="http://schemas.microsoft.com/office/excel/2006/main">
          <x14:cfRule type="beginsWith" priority="1552" stopIfTrue="1" operator="beginsWith" id="{F2213134-4700-4BB2-8DC8-9D92656640BA}">
            <xm:f>LEFT(R226,LEN("Fail"))="Fail"</xm:f>
            <xm:f>"Fail"</xm:f>
            <x14:dxf>
              <font>
                <b/>
                <i val="0"/>
                <strike val="0"/>
                <color rgb="FFAA322F"/>
              </font>
              <fill>
                <patternFill patternType="solid">
                  <bgColor theme="0"/>
                </patternFill>
              </fill>
            </x14:dxf>
          </x14:cfRule>
          <xm:sqref>R226:T227</xm:sqref>
        </x14:conditionalFormatting>
        <x14:conditionalFormatting xmlns:xm="http://schemas.microsoft.com/office/excel/2006/main">
          <x14:cfRule type="beginsWith" priority="1548" stopIfTrue="1" operator="beginsWith" id="{0D28E767-674D-48C0-93D4-A5C410F23CF1}">
            <xm:f>LEFT(R236,LEN("Fail"))="Fail"</xm:f>
            <xm:f>"Fail"</xm:f>
            <x14:dxf>
              <font>
                <b/>
                <i val="0"/>
                <strike val="0"/>
                <color rgb="FFAA322F"/>
              </font>
              <fill>
                <patternFill patternType="solid">
                  <bgColor theme="0"/>
                </patternFill>
              </fill>
            </x14:dxf>
          </x14:cfRule>
          <xm:sqref>R236:T236</xm:sqref>
        </x14:conditionalFormatting>
        <x14:conditionalFormatting xmlns:xm="http://schemas.microsoft.com/office/excel/2006/main">
          <x14:cfRule type="beginsWith" priority="1544" stopIfTrue="1" operator="beginsWith" id="{3F944EC0-99AD-467E-9916-2B5C171B8121}">
            <xm:f>LEFT(R240,LEN("Fail"))="Fail"</xm:f>
            <xm:f>"Fail"</xm:f>
            <x14:dxf>
              <font>
                <b/>
                <i val="0"/>
                <strike val="0"/>
                <color rgb="FFAA322F"/>
              </font>
              <fill>
                <patternFill patternType="solid">
                  <bgColor theme="0"/>
                </patternFill>
              </fill>
            </x14:dxf>
          </x14:cfRule>
          <xm:sqref>R240:T242</xm:sqref>
        </x14:conditionalFormatting>
        <x14:conditionalFormatting xmlns:xm="http://schemas.microsoft.com/office/excel/2006/main">
          <x14:cfRule type="beginsWith" priority="1540" stopIfTrue="1" operator="beginsWith" id="{01CBAA3F-E657-489F-AC05-DC1FF40D5A42}">
            <xm:f>LEFT(R244,LEN("Fail"))="Fail"</xm:f>
            <xm:f>"Fail"</xm:f>
            <x14:dxf>
              <font>
                <b/>
                <i val="0"/>
                <strike val="0"/>
                <color rgb="FFAA322F"/>
              </font>
              <fill>
                <patternFill patternType="solid">
                  <bgColor theme="0"/>
                </patternFill>
              </fill>
            </x14:dxf>
          </x14:cfRule>
          <xm:sqref>R244:T244</xm:sqref>
        </x14:conditionalFormatting>
        <x14:conditionalFormatting xmlns:xm="http://schemas.microsoft.com/office/excel/2006/main">
          <x14:cfRule type="beginsWith" priority="1536" stopIfTrue="1" operator="beginsWith" id="{538A6958-D1FE-452A-B788-013EC25FA0BE}">
            <xm:f>LEFT(R246,LEN("Fail"))="Fail"</xm:f>
            <xm:f>"Fail"</xm:f>
            <x14:dxf>
              <font>
                <b/>
                <i val="0"/>
                <strike val="0"/>
                <color rgb="FFAA322F"/>
              </font>
              <fill>
                <patternFill patternType="solid">
                  <bgColor theme="0"/>
                </patternFill>
              </fill>
            </x14:dxf>
          </x14:cfRule>
          <xm:sqref>R246:T246</xm:sqref>
        </x14:conditionalFormatting>
        <x14:conditionalFormatting xmlns:xm="http://schemas.microsoft.com/office/excel/2006/main">
          <x14:cfRule type="beginsWith" priority="1532" stopIfTrue="1" operator="beginsWith" id="{DFFE8FD5-D2E1-462B-8AD0-EACC70BF20D5}">
            <xm:f>LEFT(R248,LEN("Fail"))="Fail"</xm:f>
            <xm:f>"Fail"</xm:f>
            <x14:dxf>
              <font>
                <b/>
                <i val="0"/>
                <strike val="0"/>
                <color rgb="FFAA322F"/>
              </font>
              <fill>
                <patternFill patternType="solid">
                  <bgColor theme="0"/>
                </patternFill>
              </fill>
            </x14:dxf>
          </x14:cfRule>
          <xm:sqref>R248:T248</xm:sqref>
        </x14:conditionalFormatting>
        <x14:conditionalFormatting xmlns:xm="http://schemas.microsoft.com/office/excel/2006/main">
          <x14:cfRule type="beginsWith" priority="1528" stopIfTrue="1" operator="beginsWith" id="{0B36C650-17F8-4F2C-A164-46A90E7A4A32}">
            <xm:f>LEFT(R251,LEN("Fail"))="Fail"</xm:f>
            <xm:f>"Fail"</xm:f>
            <x14:dxf>
              <font>
                <b/>
                <i val="0"/>
                <strike val="0"/>
                <color rgb="FFAA322F"/>
              </font>
              <fill>
                <patternFill patternType="solid">
                  <bgColor theme="0"/>
                </patternFill>
              </fill>
            </x14:dxf>
          </x14:cfRule>
          <xm:sqref>R251:T251</xm:sqref>
        </x14:conditionalFormatting>
        <x14:conditionalFormatting xmlns:xm="http://schemas.microsoft.com/office/excel/2006/main">
          <x14:cfRule type="beginsWith" priority="1524" stopIfTrue="1" operator="beginsWith" id="{707C0023-A049-4C2C-AB0C-4AA4C5B4AFFA}">
            <xm:f>LEFT(R253,LEN("Fail"))="Fail"</xm:f>
            <xm:f>"Fail"</xm:f>
            <x14:dxf>
              <font>
                <b/>
                <i val="0"/>
                <strike val="0"/>
                <color rgb="FFAA322F"/>
              </font>
              <fill>
                <patternFill patternType="solid">
                  <bgColor theme="0"/>
                </patternFill>
              </fill>
            </x14:dxf>
          </x14:cfRule>
          <xm:sqref>R253:T253</xm:sqref>
        </x14:conditionalFormatting>
        <x14:conditionalFormatting xmlns:xm="http://schemas.microsoft.com/office/excel/2006/main">
          <x14:cfRule type="beginsWith" priority="1387" stopIfTrue="1" operator="beginsWith" id="{30E00B3E-CAB7-4AE4-803E-04119EBAB282}">
            <xm:f>LEFT(R273,LEN("Fail"))="Fail"</xm:f>
            <xm:f>"Fail"</xm:f>
            <x14:dxf>
              <font>
                <b/>
                <i val="0"/>
                <strike val="0"/>
                <color rgb="FFAA322F"/>
              </font>
              <fill>
                <patternFill patternType="solid">
                  <bgColor theme="0"/>
                </patternFill>
              </fill>
            </x14:dxf>
          </x14:cfRule>
          <xm:sqref>R273:T273 R278:T279</xm:sqref>
        </x14:conditionalFormatting>
        <x14:conditionalFormatting xmlns:xm="http://schemas.microsoft.com/office/excel/2006/main">
          <x14:cfRule type="beginsWith" priority="1384" stopIfTrue="1" operator="beginsWith" id="{FFE62448-32FD-4628-841F-E3B581527FEE}">
            <xm:f>LEFT(V257,LEN("Fail"))="Fail"</xm:f>
            <xm:f>"Fail"</xm:f>
            <x14:dxf>
              <font>
                <b/>
                <i val="0"/>
                <strike val="0"/>
                <color rgb="FFAA322F"/>
              </font>
              <fill>
                <patternFill patternType="solid">
                  <bgColor theme="0"/>
                </patternFill>
              </fill>
            </x14:dxf>
          </x14:cfRule>
          <xm:sqref>V257:AL258 X259:AL271 V270:W271 V266:W268 V259:W263</xm:sqref>
        </x14:conditionalFormatting>
        <x14:conditionalFormatting xmlns:xm="http://schemas.microsoft.com/office/excel/2006/main">
          <x14:cfRule type="beginsWith" priority="1375" stopIfTrue="1" operator="beginsWith" id="{B899E016-FE84-4B20-823C-400455763FCA}">
            <xm:f>LEFT(AF189,LEN("Fail"))="Fail"</xm:f>
            <xm:f>"Fail"</xm:f>
            <x14:dxf>
              <font>
                <b/>
                <i val="0"/>
                <strike val="0"/>
                <color rgb="FFAA322F"/>
              </font>
              <fill>
                <patternFill patternType="solid">
                  <bgColor theme="0"/>
                </patternFill>
              </fill>
            </x14:dxf>
          </x14:cfRule>
          <xm:sqref>AG189:AL190 AF193 AF195:AF197 AF199:AF201 AF203:AF204 AF206 AF208:AF210 AF212:AF214 AF216:AF218 AF220:AF222 AF224:AF226 AF231:AL231 AF228:AF230 AG232:AL233</xm:sqref>
        </x14:conditionalFormatting>
        <x14:conditionalFormatting xmlns:xm="http://schemas.microsoft.com/office/excel/2006/main">
          <x14:cfRule type="beginsWith" priority="1381" stopIfTrue="1" operator="beginsWith" id="{6759D1E4-9EEA-4ECF-BB0B-6C22559C2DEC}">
            <xm:f>LEFT(V231,LEN("Fail"))="Fail"</xm:f>
            <xm:f>"Fail"</xm:f>
            <x14:dxf>
              <font>
                <b/>
                <i val="0"/>
                <strike val="0"/>
                <color rgb="FFAA322F"/>
              </font>
              <fill>
                <patternFill patternType="solid">
                  <bgColor theme="0"/>
                </patternFill>
              </fill>
            </x14:dxf>
          </x14:cfRule>
          <xm:sqref>V272:AL272 V231:AE231 V256:AL256</xm:sqref>
        </x14:conditionalFormatting>
        <x14:conditionalFormatting xmlns:xm="http://schemas.microsoft.com/office/excel/2006/main">
          <x14:cfRule type="beginsWith" priority="1378" stopIfTrue="1" operator="beginsWith" id="{DB422622-913B-4E05-919E-79EFD9641A62}">
            <xm:f>LEFT(AA189,LEN("Fail"))="Fail"</xm:f>
            <xm:f>"Fail"</xm:f>
            <x14:dxf>
              <font>
                <b/>
                <i val="0"/>
                <strike val="0"/>
                <color rgb="FFAA322F"/>
              </font>
              <fill>
                <patternFill patternType="solid">
                  <bgColor theme="0"/>
                </patternFill>
              </fill>
            </x14:dxf>
          </x14:cfRule>
          <xm:sqref>AD189 AA191 AD192:AE192 AA192:AB192 AD191 AD232 AA234 AD235:AE235 AA235:AB235 AD234</xm:sqref>
        </x14:conditionalFormatting>
        <x14:conditionalFormatting xmlns:xm="http://schemas.microsoft.com/office/excel/2006/main">
          <x14:cfRule type="beginsWith" priority="1372" stopIfTrue="1" operator="beginsWith" id="{B7F1154D-EEA4-4A72-834A-28BCB475C1BB}">
            <xm:f>LEFT(AD190,LEN("Fail"))="Fail"</xm:f>
            <xm:f>"Fail"</xm:f>
            <x14:dxf>
              <font>
                <b/>
                <i val="0"/>
                <strike val="0"/>
                <color rgb="FFAA322F"/>
              </font>
              <fill>
                <patternFill patternType="solid">
                  <bgColor theme="0"/>
                </patternFill>
              </fill>
            </x14:dxf>
          </x14:cfRule>
          <xm:sqref>AD190</xm:sqref>
        </x14:conditionalFormatting>
        <x14:conditionalFormatting xmlns:xm="http://schemas.microsoft.com/office/excel/2006/main">
          <x14:cfRule type="beginsWith" priority="1368" stopIfTrue="1" operator="beginsWith" id="{5159C0B7-12AB-4BD3-8E69-49361F9F5F49}">
            <xm:f>LEFT(V193,LEN("Fail"))="Fail"</xm:f>
            <xm:f>"Fail"</xm:f>
            <x14:dxf>
              <font>
                <b/>
                <i val="0"/>
                <strike val="0"/>
                <color rgb="FFAA322F"/>
              </font>
              <fill>
                <patternFill patternType="solid">
                  <bgColor theme="0"/>
                </patternFill>
              </fill>
            </x14:dxf>
          </x14:cfRule>
          <xm:sqref>V193:V229</xm:sqref>
        </x14:conditionalFormatting>
        <x14:conditionalFormatting xmlns:xm="http://schemas.microsoft.com/office/excel/2006/main">
          <x14:cfRule type="beginsWith" priority="1364" stopIfTrue="1" operator="beginsWith" id="{CB70F804-7A59-404F-9F72-DD931DC01B61}">
            <xm:f>LEFT(W194,LEN("Fail"))="Fail"</xm:f>
            <xm:f>"Fail"</xm:f>
            <x14:dxf>
              <font>
                <b/>
                <i val="0"/>
                <strike val="0"/>
                <color rgb="FFAA322F"/>
              </font>
              <fill>
                <patternFill patternType="solid">
                  <bgColor theme="0"/>
                </patternFill>
              </fill>
            </x14:dxf>
          </x14:cfRule>
          <xm:sqref>W194:Y194 AA194:AC194 AE194:AF194</xm:sqref>
        </x14:conditionalFormatting>
        <x14:conditionalFormatting xmlns:xm="http://schemas.microsoft.com/office/excel/2006/main">
          <x14:cfRule type="beginsWith" priority="1360" stopIfTrue="1" operator="beginsWith" id="{DCDA574C-0D32-45B8-AA65-1E8DD961C45D}">
            <xm:f>LEFT(W198,LEN("Fail"))="Fail"</xm:f>
            <xm:f>"Fail"</xm:f>
            <x14:dxf>
              <font>
                <b/>
                <i val="0"/>
                <strike val="0"/>
                <color rgb="FFAA322F"/>
              </font>
              <fill>
                <patternFill patternType="solid">
                  <bgColor theme="0"/>
                </patternFill>
              </fill>
            </x14:dxf>
          </x14:cfRule>
          <xm:sqref>W198:Y198 AE198:AF198 AA198:AC198</xm:sqref>
        </x14:conditionalFormatting>
        <x14:conditionalFormatting xmlns:xm="http://schemas.microsoft.com/office/excel/2006/main">
          <x14:cfRule type="beginsWith" priority="1356" stopIfTrue="1" operator="beginsWith" id="{AB692222-6272-48F1-8E72-27B56D552F22}">
            <xm:f>LEFT(W202,LEN("Fail"))="Fail"</xm:f>
            <xm:f>"Fail"</xm:f>
            <x14:dxf>
              <font>
                <b/>
                <i val="0"/>
                <strike val="0"/>
                <color rgb="FFAA322F"/>
              </font>
              <fill>
                <patternFill patternType="solid">
                  <bgColor theme="0"/>
                </patternFill>
              </fill>
            </x14:dxf>
          </x14:cfRule>
          <xm:sqref>W202:Y202 AA202:AC202 AE202:AF202</xm:sqref>
        </x14:conditionalFormatting>
        <x14:conditionalFormatting xmlns:xm="http://schemas.microsoft.com/office/excel/2006/main">
          <x14:cfRule type="beginsWith" priority="1352" stopIfTrue="1" operator="beginsWith" id="{A12DF2D3-2782-4FA2-B4B9-B75CA2A3D1CC}">
            <xm:f>LEFT(W205,LEN("Fail"))="Fail"</xm:f>
            <xm:f>"Fail"</xm:f>
            <x14:dxf>
              <font>
                <b/>
                <i val="0"/>
                <strike val="0"/>
                <color rgb="FFAA322F"/>
              </font>
              <fill>
                <patternFill patternType="solid">
                  <bgColor theme="0"/>
                </patternFill>
              </fill>
            </x14:dxf>
          </x14:cfRule>
          <xm:sqref>W205:Y205 AA205:AC205 AE205:AF205</xm:sqref>
        </x14:conditionalFormatting>
        <x14:conditionalFormatting xmlns:xm="http://schemas.microsoft.com/office/excel/2006/main">
          <x14:cfRule type="beginsWith" priority="1348" stopIfTrue="1" operator="beginsWith" id="{D3E439EF-6979-4897-8419-C344F7F49E83}">
            <xm:f>LEFT(W207,LEN("Fail"))="Fail"</xm:f>
            <xm:f>"Fail"</xm:f>
            <x14:dxf>
              <font>
                <b/>
                <i val="0"/>
                <strike val="0"/>
                <color rgb="FFAA322F"/>
              </font>
              <fill>
                <patternFill patternType="solid">
                  <bgColor theme="0"/>
                </patternFill>
              </fill>
            </x14:dxf>
          </x14:cfRule>
          <xm:sqref>W207:Y207 AA207:AC207 AE207:AF207</xm:sqref>
        </x14:conditionalFormatting>
        <x14:conditionalFormatting xmlns:xm="http://schemas.microsoft.com/office/excel/2006/main">
          <x14:cfRule type="beginsWith" priority="1344" stopIfTrue="1" operator="beginsWith" id="{8D7745F2-6784-4F09-8114-D1CCEF78DCAD}">
            <xm:f>LEFT(W211,LEN("Fail"))="Fail"</xm:f>
            <xm:f>"Fail"</xm:f>
            <x14:dxf>
              <font>
                <b/>
                <i val="0"/>
                <strike val="0"/>
                <color rgb="FFAA322F"/>
              </font>
              <fill>
                <patternFill patternType="solid">
                  <bgColor theme="0"/>
                </patternFill>
              </fill>
            </x14:dxf>
          </x14:cfRule>
          <xm:sqref>W211:Y211 AA211:AC211 AE211:AF211</xm:sqref>
        </x14:conditionalFormatting>
        <x14:conditionalFormatting xmlns:xm="http://schemas.microsoft.com/office/excel/2006/main">
          <x14:cfRule type="beginsWith" priority="1340" stopIfTrue="1" operator="beginsWith" id="{123B75F8-ED0C-4F58-A53F-965BA8AF8858}">
            <xm:f>LEFT(W215,LEN("Fail"))="Fail"</xm:f>
            <xm:f>"Fail"</xm:f>
            <x14:dxf>
              <font>
                <b/>
                <i val="0"/>
                <strike val="0"/>
                <color rgb="FFAA322F"/>
              </font>
              <fill>
                <patternFill patternType="solid">
                  <bgColor theme="0"/>
                </patternFill>
              </fill>
            </x14:dxf>
          </x14:cfRule>
          <xm:sqref>W215:Y215 AA215:AC215 AE215:AF215</xm:sqref>
        </x14:conditionalFormatting>
        <x14:conditionalFormatting xmlns:xm="http://schemas.microsoft.com/office/excel/2006/main">
          <x14:cfRule type="beginsWith" priority="1336" stopIfTrue="1" operator="beginsWith" id="{82B301F7-6DE5-4497-BE4F-C1DE04183FB4}">
            <xm:f>LEFT(W219,LEN("Fail"))="Fail"</xm:f>
            <xm:f>"Fail"</xm:f>
            <x14:dxf>
              <font>
                <b/>
                <i val="0"/>
                <strike val="0"/>
                <color rgb="FFAA322F"/>
              </font>
              <fill>
                <patternFill patternType="solid">
                  <bgColor theme="0"/>
                </patternFill>
              </fill>
            </x14:dxf>
          </x14:cfRule>
          <xm:sqref>W219:Y219 AA219:AC219 AE219:AF219</xm:sqref>
        </x14:conditionalFormatting>
        <x14:conditionalFormatting xmlns:xm="http://schemas.microsoft.com/office/excel/2006/main">
          <x14:cfRule type="beginsWith" priority="1332" stopIfTrue="1" operator="beginsWith" id="{496A4937-07B2-4F92-86C6-281D2A4A01EB}">
            <xm:f>LEFT(W223,LEN("Fail"))="Fail"</xm:f>
            <xm:f>"Fail"</xm:f>
            <x14:dxf>
              <font>
                <b/>
                <i val="0"/>
                <strike val="0"/>
                <color rgb="FFAA322F"/>
              </font>
              <fill>
                <patternFill patternType="solid">
                  <bgColor theme="0"/>
                </patternFill>
              </fill>
            </x14:dxf>
          </x14:cfRule>
          <xm:sqref>W223:Y223 AA223:AC223 AE223:AF223</xm:sqref>
        </x14:conditionalFormatting>
        <x14:conditionalFormatting xmlns:xm="http://schemas.microsoft.com/office/excel/2006/main">
          <x14:cfRule type="beginsWith" priority="1328" stopIfTrue="1" operator="beginsWith" id="{9B6B098E-8D43-4766-B69F-93EE01709DB5}">
            <xm:f>LEFT(W227,LEN("Fail"))="Fail"</xm:f>
            <xm:f>"Fail"</xm:f>
            <x14:dxf>
              <font>
                <b/>
                <i val="0"/>
                <strike val="0"/>
                <color rgb="FFAA322F"/>
              </font>
              <fill>
                <patternFill patternType="solid">
                  <bgColor theme="0"/>
                </patternFill>
              </fill>
            </x14:dxf>
          </x14:cfRule>
          <xm:sqref>W227:Y227 AA227:AC227 AE227:AF227</xm:sqref>
        </x14:conditionalFormatting>
        <x14:conditionalFormatting xmlns:xm="http://schemas.microsoft.com/office/excel/2006/main">
          <x14:cfRule type="beginsWith" priority="1324" stopIfTrue="1" operator="beginsWith" id="{9ACA9CCF-5E63-45E8-A207-6971DCBB5D45}">
            <xm:f>LEFT(Z193,LEN("Fail"))="Fail"</xm:f>
            <xm:f>"Fail"</xm:f>
            <x14:dxf>
              <font>
                <b/>
                <i val="0"/>
                <strike val="0"/>
                <color rgb="FFAA322F"/>
              </font>
              <fill>
                <patternFill patternType="solid">
                  <bgColor theme="0"/>
                </patternFill>
              </fill>
            </x14:dxf>
          </x14:cfRule>
          <xm:sqref>Z193:Z229</xm:sqref>
        </x14:conditionalFormatting>
        <x14:conditionalFormatting xmlns:xm="http://schemas.microsoft.com/office/excel/2006/main">
          <x14:cfRule type="beginsWith" priority="1320" stopIfTrue="1" operator="beginsWith" id="{994309A9-4F1C-42B8-8006-54B29DB07744}">
            <xm:f>LEFT(AD193,LEN("Fail"))="Fail"</xm:f>
            <xm:f>"Fail"</xm:f>
            <x14:dxf>
              <font>
                <b/>
                <i val="0"/>
                <strike val="0"/>
                <color rgb="FFAA322F"/>
              </font>
              <fill>
                <patternFill patternType="solid">
                  <bgColor theme="0"/>
                </patternFill>
              </fill>
            </x14:dxf>
          </x14:cfRule>
          <xm:sqref>AD193:AD229</xm:sqref>
        </x14:conditionalFormatting>
        <x14:conditionalFormatting xmlns:xm="http://schemas.microsoft.com/office/excel/2006/main">
          <x14:cfRule type="beginsWith" priority="1316" stopIfTrue="1" operator="beginsWith" id="{E2D7C3B4-914A-489C-A317-A9C6D08DBE68}">
            <xm:f>LEFT(V236,LEN("Fail"))="Fail"</xm:f>
            <xm:f>"Fail"</xm:f>
            <x14:dxf>
              <font>
                <b/>
                <i val="0"/>
                <strike val="0"/>
                <color rgb="FFAA322F"/>
              </font>
              <fill>
                <patternFill patternType="solid">
                  <bgColor theme="0"/>
                </patternFill>
              </fill>
            </x14:dxf>
          </x14:cfRule>
          <xm:sqref>V236:V254</xm:sqref>
        </x14:conditionalFormatting>
        <x14:conditionalFormatting xmlns:xm="http://schemas.microsoft.com/office/excel/2006/main">
          <x14:cfRule type="beginsWith" priority="1312" stopIfTrue="1" operator="beginsWith" id="{DA8F1E36-416C-434F-9F42-523FD21AD398}">
            <xm:f>LEFT(W240,LEN("Fail"))="Fail"</xm:f>
            <xm:f>"Fail"</xm:f>
            <x14:dxf>
              <font>
                <b/>
                <i val="0"/>
                <strike val="0"/>
                <color rgb="FFAA322F"/>
              </font>
              <fill>
                <patternFill patternType="solid">
                  <bgColor theme="0"/>
                </patternFill>
              </fill>
            </x14:dxf>
          </x14:cfRule>
          <xm:sqref>W240:Y241</xm:sqref>
        </x14:conditionalFormatting>
        <x14:conditionalFormatting xmlns:xm="http://schemas.microsoft.com/office/excel/2006/main">
          <x14:cfRule type="beginsWith" priority="1308" stopIfTrue="1" operator="beginsWith" id="{F960DA5C-FC24-4123-9028-9ABA4E544A7A}">
            <xm:f>LEFT(Z236,LEN("Fail"))="Fail"</xm:f>
            <xm:f>"Fail"</xm:f>
            <x14:dxf>
              <font>
                <b/>
                <i val="0"/>
                <strike val="0"/>
                <color rgb="FFAA322F"/>
              </font>
              <fill>
                <patternFill patternType="solid">
                  <bgColor theme="0"/>
                </patternFill>
              </fill>
            </x14:dxf>
          </x14:cfRule>
          <xm:sqref>Z236:Z254</xm:sqref>
        </x14:conditionalFormatting>
        <x14:conditionalFormatting xmlns:xm="http://schemas.microsoft.com/office/excel/2006/main">
          <x14:cfRule type="beginsWith" priority="1304" stopIfTrue="1" operator="beginsWith" id="{9B177ED0-BF48-41C0-84CD-507F465557AE}">
            <xm:f>LEFT(AD236,LEN("Fail"))="Fail"</xm:f>
            <xm:f>"Fail"</xm:f>
            <x14:dxf>
              <font>
                <b/>
                <i val="0"/>
                <strike val="0"/>
                <color rgb="FFAA322F"/>
              </font>
              <fill>
                <patternFill patternType="solid">
                  <bgColor theme="0"/>
                </patternFill>
              </fill>
            </x14:dxf>
          </x14:cfRule>
          <xm:sqref>AD236:AD239 AD242:AD254</xm:sqref>
        </x14:conditionalFormatting>
        <x14:conditionalFormatting xmlns:xm="http://schemas.microsoft.com/office/excel/2006/main">
          <x14:cfRule type="beginsWith" priority="1300" stopIfTrue="1" operator="beginsWith" id="{E9995485-2D20-41D7-8BA5-6C20E6ECA33C}">
            <xm:f>LEFT(AA240,LEN("Fail"))="Fail"</xm:f>
            <xm:f>"Fail"</xm:f>
            <x14:dxf>
              <font>
                <b/>
                <i val="0"/>
                <strike val="0"/>
                <color rgb="FFAA322F"/>
              </font>
              <fill>
                <patternFill patternType="solid">
                  <bgColor theme="0"/>
                </patternFill>
              </fill>
            </x14:dxf>
          </x14:cfRule>
          <xm:sqref>AA240:AF241</xm:sqref>
        </x14:conditionalFormatting>
        <x14:conditionalFormatting xmlns:xm="http://schemas.microsoft.com/office/excel/2006/main">
          <x14:cfRule type="beginsWith" priority="1294" stopIfTrue="1" operator="beginsWith" id="{1D080EA0-4970-4426-BDA7-86E70AA4119C}">
            <xm:f>LEFT(AG191,LEN("Fail"))="Fail"</xm:f>
            <xm:f>"Fail"</xm:f>
            <x14:dxf>
              <font>
                <b/>
                <i val="0"/>
                <strike val="0"/>
                <color rgb="FFAA322F"/>
              </font>
              <fill>
                <patternFill patternType="solid">
                  <bgColor theme="0"/>
                </patternFill>
              </fill>
            </x14:dxf>
          </x14:cfRule>
          <xm:sqref>AG191:AL191</xm:sqref>
        </x14:conditionalFormatting>
        <x14:conditionalFormatting xmlns:xm="http://schemas.microsoft.com/office/excel/2006/main">
          <x14:cfRule type="beginsWith" priority="1297" stopIfTrue="1" operator="beginsWith" id="{D8B5E81D-989C-4384-9935-446412138DD0}">
            <xm:f>LEFT(AG191,LEN("Fail"))="Fail"</xm:f>
            <xm:f>"Fail"</xm:f>
            <x14:dxf>
              <font>
                <b/>
                <i val="0"/>
                <strike val="0"/>
                <color rgb="FFAA322F"/>
              </font>
              <fill>
                <patternFill patternType="solid">
                  <bgColor theme="0"/>
                </patternFill>
              </fill>
            </x14:dxf>
          </x14:cfRule>
          <xm:sqref>AG191:AL191</xm:sqref>
        </x14:conditionalFormatting>
        <x14:conditionalFormatting xmlns:xm="http://schemas.microsoft.com/office/excel/2006/main">
          <x14:cfRule type="beginsWith" priority="981" stopIfTrue="1" operator="beginsWith" id="{9C754DE0-D910-4DE3-BA6C-F79C709E39D3}">
            <xm:f>LEFT(V264,LEN("Fail"))="Fail"</xm:f>
            <xm:f>"Fail"</xm:f>
            <x14:dxf>
              <font>
                <b/>
                <i val="0"/>
                <strike val="0"/>
                <color rgb="FFAA322F"/>
              </font>
              <fill>
                <patternFill patternType="solid">
                  <bgColor theme="0"/>
                </patternFill>
              </fill>
            </x14:dxf>
          </x14:cfRule>
          <xm:sqref>V264:W265 V269:W269</xm:sqref>
        </x14:conditionalFormatting>
        <x14:conditionalFormatting xmlns:xm="http://schemas.microsoft.com/office/excel/2006/main">
          <x14:cfRule type="beginsWith" priority="430" stopIfTrue="1" operator="beginsWith" id="{4A3F4698-49C9-4BE3-B367-0FFC77B4532D}">
            <xm:f>LEFT(D187,LEN("Fail"))="Fail"</xm:f>
            <xm:f>"Fail"</xm:f>
            <x14:dxf>
              <font>
                <b/>
                <i val="0"/>
                <strike val="0"/>
                <color rgb="FFAA322F"/>
              </font>
              <fill>
                <patternFill patternType="solid">
                  <bgColor theme="0"/>
                </patternFill>
              </fill>
            </x14:dxf>
          </x14:cfRule>
          <xm:sqref>D187:AJ188</xm:sqref>
        </x14:conditionalFormatting>
        <x14:conditionalFormatting xmlns:xm="http://schemas.microsoft.com/office/excel/2006/main">
          <x14:cfRule type="beginsWith" priority="427" stopIfTrue="1" operator="beginsWith" id="{10687047-4E73-4D06-9794-BF77862A0CC9}">
            <xm:f>LEFT(B280,LEN("Fail"))="Fail"</xm:f>
            <xm:f>"Fail"</xm:f>
            <x14:dxf>
              <font>
                <b/>
                <i val="0"/>
                <strike val="0"/>
                <color rgb="FFAA322F"/>
              </font>
              <fill>
                <patternFill patternType="solid">
                  <bgColor theme="0"/>
                </patternFill>
              </fill>
            </x14:dxf>
          </x14:cfRule>
          <xm:sqref>B309:C309 B280:O280 B310:B315 B281:C281 B282:B284 Q280:U280</xm:sqref>
        </x14:conditionalFormatting>
        <x14:conditionalFormatting xmlns:xm="http://schemas.microsoft.com/office/excel/2006/main">
          <x14:cfRule type="beginsWith" priority="424" stopIfTrue="1" operator="beginsWith" id="{88C7DF7E-67B1-4725-9C18-9446C2B52AAF}">
            <xm:f>LEFT(P191,LEN("Fail"))="Fail"</xm:f>
            <xm:f>"Fail"</xm:f>
            <x14:dxf>
              <font>
                <b/>
                <i val="0"/>
                <strike val="0"/>
                <color rgb="FFAA322F"/>
              </font>
              <fill>
                <patternFill patternType="solid">
                  <bgColor theme="0"/>
                </patternFill>
              </fill>
            </x14:dxf>
          </x14:cfRule>
          <xm:sqref>P191</xm:sqref>
        </x14:conditionalFormatting>
        <x14:conditionalFormatting xmlns:xm="http://schemas.microsoft.com/office/excel/2006/main">
          <x14:cfRule type="beginsWith" priority="421" stopIfTrue="1" operator="beginsWith" id="{9BB35807-C138-4BE3-8A7E-A82FBFB55918}">
            <xm:f>LEFT(AD233,LEN("Fail"))="Fail"</xm:f>
            <xm:f>"Fail"</xm:f>
            <x14:dxf>
              <font>
                <b/>
                <i val="0"/>
                <strike val="0"/>
                <color rgb="FFAA322F"/>
              </font>
              <fill>
                <patternFill patternType="solid">
                  <bgColor theme="0"/>
                </patternFill>
              </fill>
            </x14:dxf>
          </x14:cfRule>
          <xm:sqref>AD233</xm:sqref>
        </x14:conditionalFormatting>
        <x14:conditionalFormatting xmlns:xm="http://schemas.microsoft.com/office/excel/2006/main">
          <x14:cfRule type="beginsWith" priority="415" stopIfTrue="1" operator="beginsWith" id="{423BEDC1-44D7-4C6B-A310-7721F3031549}">
            <xm:f>LEFT(AH234,LEN("Fail"))="Fail"</xm:f>
            <xm:f>"Fail"</xm:f>
            <x14:dxf>
              <font>
                <b/>
                <i val="0"/>
                <strike val="0"/>
                <color rgb="FFAA322F"/>
              </font>
              <fill>
                <patternFill patternType="solid">
                  <bgColor theme="0"/>
                </patternFill>
              </fill>
            </x14:dxf>
          </x14:cfRule>
          <xm:sqref>AH234:AI234 AK234:AL234</xm:sqref>
        </x14:conditionalFormatting>
        <x14:conditionalFormatting xmlns:xm="http://schemas.microsoft.com/office/excel/2006/main">
          <x14:cfRule type="beginsWith" priority="418" stopIfTrue="1" operator="beginsWith" id="{50F7E15B-F3E0-4A30-B88A-CAA7DE53DA49}">
            <xm:f>LEFT(AH234,LEN("Fail"))="Fail"</xm:f>
            <xm:f>"Fail"</xm:f>
            <x14:dxf>
              <font>
                <b/>
                <i val="0"/>
                <strike val="0"/>
                <color rgb="FFAA322F"/>
              </font>
              <fill>
                <patternFill patternType="solid">
                  <bgColor theme="0"/>
                </patternFill>
              </fill>
            </x14:dxf>
          </x14:cfRule>
          <xm:sqref>AH234:AI234 AK234:AL234</xm:sqref>
        </x14:conditionalFormatting>
        <x14:conditionalFormatting xmlns:xm="http://schemas.microsoft.com/office/excel/2006/main">
          <x14:cfRule type="beginsWith" priority="412" stopIfTrue="1" operator="beginsWith" id="{ECD8A984-22D9-46BB-8940-1C541763EED2}">
            <xm:f>LEFT(P234,LEN("Fail"))="Fail"</xm:f>
            <xm:f>"Fail"</xm:f>
            <x14:dxf>
              <font>
                <b/>
                <i val="0"/>
                <strike val="0"/>
                <color rgb="FFAA322F"/>
              </font>
              <fill>
                <patternFill patternType="solid">
                  <bgColor theme="0"/>
                </patternFill>
              </fill>
            </x14:dxf>
          </x14:cfRule>
          <xm:sqref>P234</xm:sqref>
        </x14:conditionalFormatting>
        <x14:conditionalFormatting xmlns:xm="http://schemas.microsoft.com/office/excel/2006/main">
          <x14:cfRule type="beginsWith" priority="409" stopIfTrue="1" operator="beginsWith" id="{4E185DD5-C6ED-4DE4-9012-30160AAAC9D7}">
            <xm:f>LEFT(H258,LEN("Fail"))="Fail"</xm:f>
            <xm:f>"Fail"</xm:f>
            <x14:dxf>
              <font>
                <b/>
                <i val="0"/>
                <strike val="0"/>
                <color rgb="FFAA322F"/>
              </font>
              <fill>
                <patternFill patternType="solid">
                  <bgColor theme="0"/>
                </patternFill>
              </fill>
            </x14:dxf>
          </x14:cfRule>
          <xm:sqref>H258</xm:sqref>
        </x14:conditionalFormatting>
        <x14:conditionalFormatting xmlns:xm="http://schemas.microsoft.com/office/excel/2006/main">
          <x14:cfRule type="beginsWith" priority="403" stopIfTrue="1" operator="beginsWith" id="{AA672E54-421D-4704-8B4E-6C714ADA3F89}">
            <xm:f>LEFT(R259,LEN("Fail"))="Fail"</xm:f>
            <xm:f>"Fail"</xm:f>
            <x14:dxf>
              <font>
                <b/>
                <i val="0"/>
                <strike val="0"/>
                <color rgb="FFAA322F"/>
              </font>
              <fill>
                <patternFill patternType="solid">
                  <bgColor theme="0"/>
                </patternFill>
              </fill>
            </x14:dxf>
          </x14:cfRule>
          <xm:sqref>R259</xm:sqref>
        </x14:conditionalFormatting>
        <x14:conditionalFormatting xmlns:xm="http://schemas.microsoft.com/office/excel/2006/main">
          <x14:cfRule type="beginsWith" priority="406" stopIfTrue="1" operator="beginsWith" id="{70611080-7348-4B74-8D2B-CA810742C2E3}">
            <xm:f>LEFT(R259,LEN("Fail"))="Fail"</xm:f>
            <xm:f>"Fail"</xm:f>
            <x14:dxf>
              <font>
                <b/>
                <i val="0"/>
                <strike val="0"/>
                <color rgb="FFAA322F"/>
              </font>
              <fill>
                <patternFill patternType="solid">
                  <bgColor theme="0"/>
                </patternFill>
              </fill>
            </x14:dxf>
          </x14:cfRule>
          <xm:sqref>R259</xm:sqref>
        </x14:conditionalFormatting>
        <x14:conditionalFormatting xmlns:xm="http://schemas.microsoft.com/office/excel/2006/main">
          <x14:cfRule type="beginsWith" priority="397" stopIfTrue="1" operator="beginsWith" id="{D2A6BF9E-77D5-4F63-9341-D49F3F93E3B4}">
            <xm:f>LEFT(S259,LEN("Fail"))="Fail"</xm:f>
            <xm:f>"Fail"</xm:f>
            <x14:dxf>
              <font>
                <b/>
                <i val="0"/>
                <strike val="0"/>
                <color rgb="FFAA322F"/>
              </font>
              <fill>
                <patternFill patternType="solid">
                  <bgColor theme="0"/>
                </patternFill>
              </fill>
            </x14:dxf>
          </x14:cfRule>
          <xm:sqref>S259</xm:sqref>
        </x14:conditionalFormatting>
        <x14:conditionalFormatting xmlns:xm="http://schemas.microsoft.com/office/excel/2006/main">
          <x14:cfRule type="beginsWith" priority="400" stopIfTrue="1" operator="beginsWith" id="{B271C4E3-5BEF-40E3-AF8C-51B6872C50C4}">
            <xm:f>LEFT(S259,LEN("Fail"))="Fail"</xm:f>
            <xm:f>"Fail"</xm:f>
            <x14:dxf>
              <font>
                <b/>
                <i val="0"/>
                <strike val="0"/>
                <color rgb="FFAA322F"/>
              </font>
              <fill>
                <patternFill patternType="solid">
                  <bgColor theme="0"/>
                </patternFill>
              </fill>
            </x14:dxf>
          </x14:cfRule>
          <xm:sqref>S259</xm:sqref>
        </x14:conditionalFormatting>
        <x14:conditionalFormatting xmlns:xm="http://schemas.microsoft.com/office/excel/2006/main">
          <x14:cfRule type="beginsWith" priority="391" stopIfTrue="1" operator="beginsWith" id="{CEAF4030-1C9D-448B-89F5-9CD8F0933500}">
            <xm:f>LEFT(T259,LEN("Fail"))="Fail"</xm:f>
            <xm:f>"Fail"</xm:f>
            <x14:dxf>
              <font>
                <b/>
                <i val="0"/>
                <strike val="0"/>
                <color rgb="FFAA322F"/>
              </font>
              <fill>
                <patternFill patternType="solid">
                  <bgColor theme="0"/>
                </patternFill>
              </fill>
            </x14:dxf>
          </x14:cfRule>
          <xm:sqref>T259</xm:sqref>
        </x14:conditionalFormatting>
        <x14:conditionalFormatting xmlns:xm="http://schemas.microsoft.com/office/excel/2006/main">
          <x14:cfRule type="beginsWith" priority="394" stopIfTrue="1" operator="beginsWith" id="{E042BDF1-4C72-4B25-9666-25331E41A852}">
            <xm:f>LEFT(T259,LEN("Fail"))="Fail"</xm:f>
            <xm:f>"Fail"</xm:f>
            <x14:dxf>
              <font>
                <b/>
                <i val="0"/>
                <strike val="0"/>
                <color rgb="FFAA322F"/>
              </font>
              <fill>
                <patternFill patternType="solid">
                  <bgColor theme="0"/>
                </patternFill>
              </fill>
            </x14:dxf>
          </x14:cfRule>
          <xm:sqref>T259</xm:sqref>
        </x14:conditionalFormatting>
        <x14:conditionalFormatting xmlns:xm="http://schemas.microsoft.com/office/excel/2006/main">
          <x14:cfRule type="beginsWith" priority="388" stopIfTrue="1" operator="beginsWith" id="{6E1FB76B-AA8A-4D35-9A22-2D3AA35CB2AE}">
            <xm:f>LEFT(D274,LEN("Fail"))="Fail"</xm:f>
            <xm:f>"Fail"</xm:f>
            <x14:dxf>
              <font>
                <b/>
                <i val="0"/>
                <strike val="0"/>
                <color rgb="FFAA322F"/>
              </font>
              <fill>
                <patternFill patternType="solid">
                  <bgColor theme="0"/>
                </patternFill>
              </fill>
            </x14:dxf>
          </x14:cfRule>
          <xm:sqref>D274</xm:sqref>
        </x14:conditionalFormatting>
        <x14:conditionalFormatting xmlns:xm="http://schemas.microsoft.com/office/excel/2006/main">
          <x14:cfRule type="beginsWith" priority="385" stopIfTrue="1" operator="beginsWith" id="{54551A13-A0B0-40D6-B9FC-D48F04A8547F}">
            <xm:f>LEFT(F275,LEN("Fail"))="Fail"</xm:f>
            <xm:f>"Fail"</xm:f>
            <x14:dxf>
              <font>
                <b/>
                <i val="0"/>
                <strike val="0"/>
                <color rgb="FFAA322F"/>
              </font>
              <fill>
                <patternFill patternType="solid">
                  <bgColor theme="0"/>
                </patternFill>
              </fill>
            </x14:dxf>
          </x14:cfRule>
          <xm:sqref>F275</xm:sqref>
        </x14:conditionalFormatting>
        <x14:conditionalFormatting xmlns:xm="http://schemas.microsoft.com/office/excel/2006/main">
          <x14:cfRule type="beginsWith" priority="382" stopIfTrue="1" operator="beginsWith" id="{368053AF-7A4F-4EF8-B83D-380F97DFCF93}">
            <xm:f>LEFT(A280,LEN("Fail"))="Fail"</xm:f>
            <xm:f>"Fail"</xm:f>
            <x14:dxf>
              <font>
                <b/>
                <i val="0"/>
                <strike val="0"/>
                <color rgb="FFAA322F"/>
              </font>
              <fill>
                <patternFill patternType="solid">
                  <bgColor theme="0"/>
                </patternFill>
              </fill>
            </x14:dxf>
          </x14:cfRule>
          <xm:sqref>A280:A309</xm:sqref>
        </x14:conditionalFormatting>
        <x14:conditionalFormatting xmlns:xm="http://schemas.microsoft.com/office/excel/2006/main">
          <x14:cfRule type="beginsWith" priority="379" stopIfTrue="1" operator="beginsWith" id="{CED371B0-69AF-49FD-8993-4BB571384A4C}">
            <xm:f>LEFT(G283,LEN("Fail"))="Fail"</xm:f>
            <xm:f>"Fail"</xm:f>
            <x14:dxf>
              <font>
                <b/>
                <i val="0"/>
                <strike val="0"/>
                <color rgb="FFAA322F"/>
              </font>
              <fill>
                <patternFill patternType="solid">
                  <bgColor theme="0"/>
                </patternFill>
              </fill>
            </x14:dxf>
          </x14:cfRule>
          <xm:sqref>G283</xm:sqref>
        </x14:conditionalFormatting>
        <x14:conditionalFormatting xmlns:xm="http://schemas.microsoft.com/office/excel/2006/main">
          <x14:cfRule type="beginsWith" priority="375" stopIfTrue="1" operator="beginsWith" id="{8C726879-7384-4915-A6AD-0670B8D58EC6}">
            <xm:f>LEFT(H285,LEN("Fail"))="Fail"</xm:f>
            <xm:f>"Fail"</xm:f>
            <x14:dxf>
              <font>
                <b/>
                <i val="0"/>
                <strike val="0"/>
                <color rgb="FFAA322F"/>
              </font>
              <fill>
                <patternFill patternType="solid">
                  <bgColor theme="0"/>
                </patternFill>
              </fill>
            </x14:dxf>
          </x14:cfRule>
          <xm:sqref>H285:H309</xm:sqref>
        </x14:conditionalFormatting>
        <x14:conditionalFormatting xmlns:xm="http://schemas.microsoft.com/office/excel/2006/main">
          <x14:cfRule type="beginsWith" priority="371" stopIfTrue="1" operator="beginsWith" id="{9FFADE45-5FDD-494B-AFE8-88BA81909B78}">
            <xm:f>LEFT(L285,LEN("Fail"))="Fail"</xm:f>
            <xm:f>"Fail"</xm:f>
            <x14:dxf>
              <font>
                <b/>
                <i val="0"/>
                <strike val="0"/>
                <color rgb="FFAA322F"/>
              </font>
              <fill>
                <patternFill patternType="solid">
                  <bgColor theme="0"/>
                </patternFill>
              </fill>
            </x14:dxf>
          </x14:cfRule>
          <xm:sqref>L285:L309</xm:sqref>
        </x14:conditionalFormatting>
        <x14:conditionalFormatting xmlns:xm="http://schemas.microsoft.com/office/excel/2006/main">
          <x14:cfRule type="beginsWith" priority="368" stopIfTrue="1" operator="beginsWith" id="{86FCF6C0-18B1-421E-BF3E-97E7D172C532}">
            <xm:f>LEFT(P281,LEN("Fail"))="Fail"</xm:f>
            <xm:f>"Fail"</xm:f>
            <x14:dxf>
              <font>
                <b/>
                <i val="0"/>
                <strike val="0"/>
                <color rgb="FFAA322F"/>
              </font>
              <fill>
                <patternFill patternType="solid">
                  <bgColor theme="0"/>
                </patternFill>
              </fill>
            </x14:dxf>
          </x14:cfRule>
          <xm:sqref>P281</xm:sqref>
        </x14:conditionalFormatting>
        <x14:conditionalFormatting xmlns:xm="http://schemas.microsoft.com/office/excel/2006/main">
          <x14:cfRule type="beginsWith" priority="365" stopIfTrue="1" operator="beginsWith" id="{0D2AF127-F248-4B3B-8888-960A54E27247}">
            <xm:f>LEFT(P282,LEN("Fail"))="Fail"</xm:f>
            <xm:f>"Fail"</xm:f>
            <x14:dxf>
              <font>
                <b/>
                <i val="0"/>
                <strike val="0"/>
                <color rgb="FFAA322F"/>
              </font>
              <fill>
                <patternFill patternType="solid">
                  <bgColor theme="0"/>
                </patternFill>
              </fill>
            </x14:dxf>
          </x14:cfRule>
          <xm:sqref>P282</xm:sqref>
        </x14:conditionalFormatting>
        <x14:conditionalFormatting xmlns:xm="http://schemas.microsoft.com/office/excel/2006/main">
          <x14:cfRule type="beginsWith" priority="362" stopIfTrue="1" operator="beginsWith" id="{980EF6B7-3781-4D16-A6C4-40500C62A2B4}">
            <xm:f>LEFT(M283,LEN("Fail"))="Fail"</xm:f>
            <xm:f>"Fail"</xm:f>
            <x14:dxf>
              <font>
                <b/>
                <i val="0"/>
                <strike val="0"/>
                <color rgb="FFAA322F"/>
              </font>
              <fill>
                <patternFill patternType="solid">
                  <bgColor theme="0"/>
                </patternFill>
              </fill>
            </x14:dxf>
          </x14:cfRule>
          <xm:sqref>M283 O283</xm:sqref>
        </x14:conditionalFormatting>
        <x14:conditionalFormatting xmlns:xm="http://schemas.microsoft.com/office/excel/2006/main">
          <x14:cfRule type="beginsWith" priority="359" stopIfTrue="1" operator="beginsWith" id="{DFA5D18D-83C9-4CA5-9518-2EE6A8FF2F5F}">
            <xm:f>LEFT(M284,LEN("Fail"))="Fail"</xm:f>
            <xm:f>"Fail"</xm:f>
            <x14:dxf>
              <font>
                <b/>
                <i val="0"/>
                <strike val="0"/>
                <color rgb="FFAA322F"/>
              </font>
              <fill>
                <patternFill patternType="solid">
                  <bgColor theme="0"/>
                </patternFill>
              </fill>
            </x14:dxf>
          </x14:cfRule>
          <xm:sqref>M284:N284</xm:sqref>
        </x14:conditionalFormatting>
        <x14:conditionalFormatting xmlns:xm="http://schemas.microsoft.com/office/excel/2006/main">
          <x14:cfRule type="beginsWith" priority="356" stopIfTrue="1" operator="beginsWith" id="{F0D9D95E-5FA4-4A7A-8613-CA65EA2D5087}">
            <xm:f>LEFT(P283,LEN("Fail"))="Fail"</xm:f>
            <xm:f>"Fail"</xm:f>
            <x14:dxf>
              <font>
                <b/>
                <i val="0"/>
                <strike val="0"/>
                <color rgb="FFAA322F"/>
              </font>
              <fill>
                <patternFill patternType="solid">
                  <bgColor theme="0"/>
                </patternFill>
              </fill>
            </x14:dxf>
          </x14:cfRule>
          <xm:sqref>P283</xm:sqref>
        </x14:conditionalFormatting>
        <x14:conditionalFormatting xmlns:xm="http://schemas.microsoft.com/office/excel/2006/main">
          <x14:cfRule type="beginsWith" priority="353" stopIfTrue="1" operator="beginsWith" id="{38CFB0BD-B842-4515-B7D1-84A620F0DF04}">
            <xm:f>LEFT(P284,LEN("Fail"))="Fail"</xm:f>
            <xm:f>"Fail"</xm:f>
            <x14:dxf>
              <font>
                <b/>
                <i val="0"/>
                <strike val="0"/>
                <color rgb="FFAA322F"/>
              </font>
              <fill>
                <patternFill patternType="solid">
                  <bgColor theme="0"/>
                </patternFill>
              </fill>
            </x14:dxf>
          </x14:cfRule>
          <xm:sqref>P284</xm:sqref>
        </x14:conditionalFormatting>
        <x14:conditionalFormatting xmlns:xm="http://schemas.microsoft.com/office/excel/2006/main">
          <x14:cfRule type="beginsWith" priority="350" stopIfTrue="1" operator="beginsWith" id="{149BF68C-2367-4955-A9CD-850FF4C4EC3E}">
            <xm:f>LEFT(S283,LEN("Fail"))="Fail"</xm:f>
            <xm:f>"Fail"</xm:f>
            <x14:dxf>
              <font>
                <b/>
                <i val="0"/>
                <strike val="0"/>
                <color rgb="FFAA322F"/>
              </font>
              <fill>
                <patternFill patternType="solid">
                  <bgColor theme="0"/>
                </patternFill>
              </fill>
            </x14:dxf>
          </x14:cfRule>
          <xm:sqref>S283</xm:sqref>
        </x14:conditionalFormatting>
        <x14:conditionalFormatting xmlns:xm="http://schemas.microsoft.com/office/excel/2006/main">
          <x14:cfRule type="beginsWith" priority="347" stopIfTrue="1" operator="beginsWith" id="{C0C45B6F-62EB-43BC-9C22-513AEF1E6C40}">
            <xm:f>LEFT(R284,LEN("Fail"))="Fail"</xm:f>
            <xm:f>"Fail"</xm:f>
            <x14:dxf>
              <font>
                <b/>
                <i val="0"/>
                <strike val="0"/>
                <color rgb="FFAA322F"/>
              </font>
              <fill>
                <patternFill patternType="solid">
                  <bgColor theme="0"/>
                </patternFill>
              </fill>
            </x14:dxf>
          </x14:cfRule>
          <xm:sqref>R284</xm:sqref>
        </x14:conditionalFormatting>
        <x14:conditionalFormatting xmlns:xm="http://schemas.microsoft.com/office/excel/2006/main">
          <x14:cfRule type="beginsWith" priority="343" stopIfTrue="1" operator="beginsWith" id="{05B10BE7-0787-42F0-9FE9-05060A16822A}">
            <xm:f>LEFT(P285,LEN("Fail"))="Fail"</xm:f>
            <xm:f>"Fail"</xm:f>
            <x14:dxf>
              <font>
                <b/>
                <i val="0"/>
                <strike val="0"/>
                <color rgb="FFAA322F"/>
              </font>
              <fill>
                <patternFill patternType="solid">
                  <bgColor theme="0"/>
                </patternFill>
              </fill>
            </x14:dxf>
          </x14:cfRule>
          <xm:sqref>P285:P309</xm:sqref>
        </x14:conditionalFormatting>
        <x14:conditionalFormatting xmlns:xm="http://schemas.microsoft.com/office/excel/2006/main">
          <x14:cfRule type="beginsWith" priority="340" stopIfTrue="1" operator="beginsWith" id="{5D1493C9-E333-4B37-A644-4B9F25D21E5E}">
            <xm:f>LEFT(R285,LEN("Fail"))="Fail"</xm:f>
            <xm:f>"Fail"</xm:f>
            <x14:dxf>
              <font>
                <b/>
                <i val="0"/>
                <strike val="0"/>
                <color rgb="FFAA322F"/>
              </font>
              <fill>
                <patternFill patternType="solid">
                  <bgColor theme="0"/>
                </patternFill>
              </fill>
            </x14:dxf>
          </x14:cfRule>
          <xm:sqref>R285:R292 R296:R309</xm:sqref>
        </x14:conditionalFormatting>
        <x14:conditionalFormatting xmlns:xm="http://schemas.microsoft.com/office/excel/2006/main">
          <x14:cfRule type="beginsWith" priority="334" stopIfTrue="1" operator="beginsWith" id="{1D3BA5B1-E7E8-4749-AED7-B8A4FB7D00CA}">
            <xm:f>LEFT(T283,LEN("Fail"))="Fail"</xm:f>
            <xm:f>"Fail"</xm:f>
            <x14:dxf>
              <font>
                <b/>
                <i val="0"/>
                <strike val="0"/>
                <color rgb="FFAA322F"/>
              </font>
              <fill>
                <patternFill patternType="solid">
                  <bgColor theme="0"/>
                </patternFill>
              </fill>
            </x14:dxf>
          </x14:cfRule>
          <xm:sqref>T283</xm:sqref>
        </x14:conditionalFormatting>
        <x14:conditionalFormatting xmlns:xm="http://schemas.microsoft.com/office/excel/2006/main">
          <x14:cfRule type="beginsWith" priority="337" stopIfTrue="1" operator="beginsWith" id="{AC8BF954-2FFC-4BD7-8B7C-4D9D50922F0D}">
            <xm:f>LEFT(T283,LEN("Fail"))="Fail"</xm:f>
            <xm:f>"Fail"</xm:f>
            <x14:dxf>
              <font>
                <b/>
                <i val="0"/>
                <strike val="0"/>
                <color rgb="FFAA322F"/>
              </font>
              <fill>
                <patternFill patternType="solid">
                  <bgColor theme="0"/>
                </patternFill>
              </fill>
            </x14:dxf>
          </x14:cfRule>
          <xm:sqref>T283</xm:sqref>
        </x14:conditionalFormatting>
        <x14:conditionalFormatting xmlns:xm="http://schemas.microsoft.com/office/excel/2006/main">
          <x14:cfRule type="beginsWith" priority="331" stopIfTrue="1" operator="beginsWith" id="{8E5F21F3-014E-459F-9B2F-570AAD101B0E}">
            <xm:f>LEFT(T287,LEN("Fail"))="Fail"</xm:f>
            <xm:f>"Fail"</xm:f>
            <x14:dxf>
              <font>
                <b/>
                <i val="0"/>
                <strike val="0"/>
                <color rgb="FFAA322F"/>
              </font>
              <fill>
                <patternFill patternType="solid">
                  <bgColor theme="0"/>
                </patternFill>
              </fill>
            </x14:dxf>
          </x14:cfRule>
          <xm:sqref>T287:T290</xm:sqref>
        </x14:conditionalFormatting>
        <x14:conditionalFormatting xmlns:xm="http://schemas.microsoft.com/office/excel/2006/main">
          <x14:cfRule type="beginsWith" priority="320" stopIfTrue="1" operator="beginsWith" id="{237CB771-C87C-4779-AB7F-AC9F0D13E38C}">
            <xm:f>LEFT(V283,LEN("Fail"))="Fail"</xm:f>
            <xm:f>"Fail"</xm:f>
            <x14:dxf>
              <font>
                <b/>
                <i val="0"/>
                <strike val="0"/>
                <color rgb="FFAA322F"/>
              </font>
              <fill>
                <patternFill patternType="solid">
                  <bgColor theme="0"/>
                </patternFill>
              </fill>
            </x14:dxf>
          </x14:cfRule>
          <xm:sqref>V283</xm:sqref>
        </x14:conditionalFormatting>
        <x14:conditionalFormatting xmlns:xm="http://schemas.microsoft.com/office/excel/2006/main">
          <x14:cfRule type="beginsWith" priority="323" stopIfTrue="1" operator="beginsWith" id="{C6594DF9-B991-4DC1-9263-A3D0EF3740FE}">
            <xm:f>LEFT(V283,LEN("Fail"))="Fail"</xm:f>
            <xm:f>"Fail"</xm:f>
            <x14:dxf>
              <font>
                <b/>
                <i val="0"/>
                <strike val="0"/>
                <color rgb="FFAA322F"/>
              </font>
              <fill>
                <patternFill patternType="solid">
                  <bgColor theme="0"/>
                </patternFill>
              </fill>
            </x14:dxf>
          </x14:cfRule>
          <xm:sqref>V283</xm:sqref>
        </x14:conditionalFormatting>
        <x14:conditionalFormatting xmlns:xm="http://schemas.microsoft.com/office/excel/2006/main">
          <x14:cfRule type="beginsWith" priority="315" stopIfTrue="1" operator="beginsWith" id="{3B170804-635A-40D2-B82A-05090BDD52DC}">
            <xm:f>LEFT(T292,LEN("Fail"))="Fail"</xm:f>
            <xm:f>"Fail"</xm:f>
            <x14:dxf>
              <font>
                <b/>
                <i val="0"/>
                <strike val="0"/>
                <color rgb="FFAA322F"/>
              </font>
              <fill>
                <patternFill patternType="solid">
                  <bgColor theme="0"/>
                </patternFill>
              </fill>
            </x14:dxf>
          </x14:cfRule>
          <xm:sqref>T292</xm:sqref>
        </x14:conditionalFormatting>
        <x14:conditionalFormatting xmlns:xm="http://schemas.microsoft.com/office/excel/2006/main">
          <x14:cfRule type="beginsWith" priority="308" stopIfTrue="1" operator="beginsWith" id="{EBFA80BF-0622-4415-A168-EB3E3A48EFC9}">
            <xm:f>LEFT(T297,LEN("Fail"))="Fail"</xm:f>
            <xm:f>"Fail"</xm:f>
            <x14:dxf>
              <font>
                <b/>
                <i val="0"/>
                <strike val="0"/>
                <color rgb="FFAA322F"/>
              </font>
              <fill>
                <patternFill patternType="solid">
                  <bgColor theme="0"/>
                </patternFill>
              </fill>
            </x14:dxf>
          </x14:cfRule>
          <xm:sqref>T297:T303</xm:sqref>
        </x14:conditionalFormatting>
        <x14:conditionalFormatting xmlns:xm="http://schemas.microsoft.com/office/excel/2006/main">
          <x14:cfRule type="beginsWith" priority="301" stopIfTrue="1" operator="beginsWith" id="{973E2129-A076-42F2-9A97-635709342F95}">
            <xm:f>LEFT(T305,LEN("Fail"))="Fail"</xm:f>
            <xm:f>"Fail"</xm:f>
            <x14:dxf>
              <font>
                <b/>
                <i val="0"/>
                <strike val="0"/>
                <color rgb="FFAA322F"/>
              </font>
              <fill>
                <patternFill patternType="solid">
                  <bgColor theme="0"/>
                </patternFill>
              </fill>
            </x14:dxf>
          </x14:cfRule>
          <xm:sqref>T305:T309</xm:sqref>
        </x14:conditionalFormatting>
        <x14:conditionalFormatting xmlns:xm="http://schemas.microsoft.com/office/excel/2006/main">
          <x14:cfRule type="beginsWith" priority="294" stopIfTrue="1" operator="beginsWith" id="{A9152369-91B3-4203-B1E3-706F51BBEAAC}">
            <xm:f>LEFT(V287,LEN("Fail"))="Fail"</xm:f>
            <xm:f>"Fail"</xm:f>
            <x14:dxf>
              <font>
                <b/>
                <i val="0"/>
                <strike val="0"/>
                <color rgb="FFAA322F"/>
              </font>
              <fill>
                <patternFill patternType="solid">
                  <bgColor theme="0"/>
                </patternFill>
              </fill>
            </x14:dxf>
          </x14:cfRule>
          <xm:sqref>V287:V290</xm:sqref>
        </x14:conditionalFormatting>
        <x14:conditionalFormatting xmlns:xm="http://schemas.microsoft.com/office/excel/2006/main">
          <x14:cfRule type="beginsWith" priority="287" stopIfTrue="1" operator="beginsWith" id="{BFD8ACEB-5228-49B6-A78C-F09F7844247B}">
            <xm:f>LEFT(V292,LEN("Fail"))="Fail"</xm:f>
            <xm:f>"Fail"</xm:f>
            <x14:dxf>
              <font>
                <b/>
                <i val="0"/>
                <strike val="0"/>
                <color rgb="FFAA322F"/>
              </font>
              <fill>
                <patternFill patternType="solid">
                  <bgColor theme="0"/>
                </patternFill>
              </fill>
            </x14:dxf>
          </x14:cfRule>
          <xm:sqref>V292:V295</xm:sqref>
        </x14:conditionalFormatting>
        <x14:conditionalFormatting xmlns:xm="http://schemas.microsoft.com/office/excel/2006/main">
          <x14:cfRule type="beginsWith" priority="280" stopIfTrue="1" operator="beginsWith" id="{0C79FCBB-8BDD-434A-BF8D-C499849F2FE8}">
            <xm:f>LEFT(V297,LEN("Fail"))="Fail"</xm:f>
            <xm:f>"Fail"</xm:f>
            <x14:dxf>
              <font>
                <b/>
                <i val="0"/>
                <strike val="0"/>
                <color rgb="FFAA322F"/>
              </font>
              <fill>
                <patternFill patternType="solid">
                  <bgColor theme="0"/>
                </patternFill>
              </fill>
            </x14:dxf>
          </x14:cfRule>
          <xm:sqref>V297:V303</xm:sqref>
        </x14:conditionalFormatting>
        <x14:conditionalFormatting xmlns:xm="http://schemas.microsoft.com/office/excel/2006/main">
          <x14:cfRule type="beginsWith" priority="273" stopIfTrue="1" operator="beginsWith" id="{BFBB3579-B97A-48E6-82F7-0F6AAF5B49F3}">
            <xm:f>LEFT(V305,LEN("Fail"))="Fail"</xm:f>
            <xm:f>"Fail"</xm:f>
            <x14:dxf>
              <font>
                <b/>
                <i val="0"/>
                <strike val="0"/>
                <color rgb="FFAA322F"/>
              </font>
              <fill>
                <patternFill patternType="solid">
                  <bgColor theme="0"/>
                </patternFill>
              </fill>
            </x14:dxf>
          </x14:cfRule>
          <xm:sqref>V305:V309</xm:sqref>
        </x14:conditionalFormatting>
        <x14:conditionalFormatting xmlns:xm="http://schemas.microsoft.com/office/excel/2006/main">
          <x14:cfRule type="beginsWith" priority="251" stopIfTrue="1" operator="beginsWith" id="{591D1FF5-AB41-44F5-A3E3-CFBC3D89D779}">
            <xm:f>LEFT(W283,LEN("Fail"))="Fail"</xm:f>
            <xm:f>"Fail"</xm:f>
            <x14:dxf>
              <font>
                <b/>
                <i val="0"/>
                <strike val="0"/>
                <color rgb="FFAA322F"/>
              </font>
              <fill>
                <patternFill patternType="solid">
                  <bgColor theme="0"/>
                </patternFill>
              </fill>
            </x14:dxf>
          </x14:cfRule>
          <xm:sqref>W283</xm:sqref>
        </x14:conditionalFormatting>
        <x14:conditionalFormatting xmlns:xm="http://schemas.microsoft.com/office/excel/2006/main">
          <x14:cfRule type="beginsWith" priority="254" stopIfTrue="1" operator="beginsWith" id="{FC9B71C2-B1FD-4F76-9393-5723863B8203}">
            <xm:f>LEFT(W283,LEN("Fail"))="Fail"</xm:f>
            <xm:f>"Fail"</xm:f>
            <x14:dxf>
              <font>
                <b/>
                <i val="0"/>
                <strike val="0"/>
                <color rgb="FFAA322F"/>
              </font>
              <fill>
                <patternFill patternType="solid">
                  <bgColor theme="0"/>
                </patternFill>
              </fill>
            </x14:dxf>
          </x14:cfRule>
          <xm:sqref>W283</xm:sqref>
        </x14:conditionalFormatting>
        <x14:conditionalFormatting xmlns:xm="http://schemas.microsoft.com/office/excel/2006/main">
          <x14:cfRule type="beginsWith" priority="241" stopIfTrue="1" operator="beginsWith" id="{8EA1E792-7C55-4A97-807F-8786674EE6AA}">
            <xm:f>LEFT(T293,LEN("Fail"))="Fail"</xm:f>
            <xm:f>"Fail"</xm:f>
            <x14:dxf>
              <font>
                <b/>
                <i val="0"/>
                <strike val="0"/>
                <color rgb="FFAA322F"/>
              </font>
              <fill>
                <patternFill patternType="solid">
                  <bgColor theme="0"/>
                </patternFill>
              </fill>
            </x14:dxf>
          </x14:cfRule>
          <xm:sqref>T293:T295</xm:sqref>
        </x14:conditionalFormatting>
        <x14:conditionalFormatting xmlns:xm="http://schemas.microsoft.com/office/excel/2006/main">
          <x14:cfRule type="beginsWith" priority="233" stopIfTrue="1" operator="beginsWith" id="{C842C653-531C-4CFD-BDC8-2D98DC289506}">
            <xm:f>LEFT(R238,LEN("Fail"))="Fail"</xm:f>
            <xm:f>"Fail"</xm:f>
            <x14:dxf>
              <font>
                <b/>
                <i val="0"/>
                <strike val="0"/>
                <color rgb="FFAA322F"/>
              </font>
              <fill>
                <patternFill patternType="solid">
                  <bgColor theme="0"/>
                </patternFill>
              </fill>
            </x14:dxf>
          </x14:cfRule>
          <xm:sqref>R238:T238</xm:sqref>
        </x14:conditionalFormatting>
        <x14:conditionalFormatting xmlns:xm="http://schemas.microsoft.com/office/excel/2006/main">
          <x14:cfRule type="beginsWith" priority="157" stopIfTrue="1" operator="beginsWith" id="{416D51F6-CBD4-4BEC-B808-DF44313282D0}">
            <xm:f>LEFT(AG234,LEN("Fail"))="Fail"</xm:f>
            <xm:f>"Fail"</xm:f>
            <x14:dxf>
              <font>
                <b/>
                <i val="0"/>
                <strike val="0"/>
                <color rgb="FFAA322F"/>
              </font>
              <fill>
                <patternFill patternType="solid">
                  <bgColor theme="0"/>
                </patternFill>
              </fill>
            </x14:dxf>
          </x14:cfRule>
          <xm:sqref>AG234</xm:sqref>
        </x14:conditionalFormatting>
        <x14:conditionalFormatting xmlns:xm="http://schemas.microsoft.com/office/excel/2006/main">
          <x14:cfRule type="beginsWith" priority="160" stopIfTrue="1" operator="beginsWith" id="{4FC0786F-8CB2-4A3B-B360-ABC4D90A2943}">
            <xm:f>LEFT(AG234,LEN("Fail"))="Fail"</xm:f>
            <xm:f>"Fail"</xm:f>
            <x14:dxf>
              <font>
                <b/>
                <i val="0"/>
                <strike val="0"/>
                <color rgb="FFAA322F"/>
              </font>
              <fill>
                <patternFill patternType="solid">
                  <bgColor theme="0"/>
                </patternFill>
              </fill>
            </x14:dxf>
          </x14:cfRule>
          <xm:sqref>AG234</xm:sqref>
        </x14:conditionalFormatting>
        <x14:conditionalFormatting xmlns:xm="http://schemas.microsoft.com/office/excel/2006/main">
          <x14:cfRule type="beginsWith" priority="151" stopIfTrue="1" operator="beginsWith" id="{745B4E00-04F4-4961-B578-6E0EFE6CE0EE}">
            <xm:f>LEFT(AJ234,LEN("Fail"))="Fail"</xm:f>
            <xm:f>"Fail"</xm:f>
            <x14:dxf>
              <font>
                <b/>
                <i val="0"/>
                <strike val="0"/>
                <color rgb="FFAA322F"/>
              </font>
              <fill>
                <patternFill patternType="solid">
                  <bgColor theme="0"/>
                </patternFill>
              </fill>
            </x14:dxf>
          </x14:cfRule>
          <xm:sqref>AJ234</xm:sqref>
        </x14:conditionalFormatting>
        <x14:conditionalFormatting xmlns:xm="http://schemas.microsoft.com/office/excel/2006/main">
          <x14:cfRule type="beginsWith" priority="154" stopIfTrue="1" operator="beginsWith" id="{61702AD4-4ABB-4BB5-B2D1-797E40C30006}">
            <xm:f>LEFT(AJ234,LEN("Fail"))="Fail"</xm:f>
            <xm:f>"Fail"</xm:f>
            <x14:dxf>
              <font>
                <b/>
                <i val="0"/>
                <strike val="0"/>
                <color rgb="FFAA322F"/>
              </font>
              <fill>
                <patternFill patternType="solid">
                  <bgColor theme="0"/>
                </patternFill>
              </fill>
            </x14:dxf>
          </x14:cfRule>
          <xm:sqref>AJ234</xm:sqref>
        </x14:conditionalFormatting>
        <x14:conditionalFormatting xmlns:xm="http://schemas.microsoft.com/office/excel/2006/main">
          <x14:cfRule type="beginsWith" priority="147" stopIfTrue="1" operator="beginsWith" id="{6E7E3537-A4C1-468F-86EA-8122E22BCDC8}">
            <xm:f>LEFT(D265,LEN("Fail"))="Fail"</xm:f>
            <xm:f>"Fail"</xm:f>
            <x14:dxf>
              <font>
                <b/>
                <i val="0"/>
                <strike val="0"/>
                <color rgb="FFAA322F"/>
              </font>
              <fill>
                <patternFill patternType="solid">
                  <bgColor theme="0"/>
                </patternFill>
              </fill>
            </x14:dxf>
          </x14:cfRule>
          <xm:sqref>D265:E265</xm:sqref>
        </x14:conditionalFormatting>
        <x14:conditionalFormatting xmlns:xm="http://schemas.microsoft.com/office/excel/2006/main">
          <x14:cfRule type="beginsWith" priority="143" stopIfTrue="1" operator="beginsWith" id="{A09C2E33-4E0F-4918-A7FA-7E9B045AAD99}">
            <xm:f>LEFT(F265,LEN("Fail"))="Fail"</xm:f>
            <xm:f>"Fail"</xm:f>
            <x14:dxf>
              <font>
                <b/>
                <i val="0"/>
                <strike val="0"/>
                <color rgb="FFAA322F"/>
              </font>
              <fill>
                <patternFill patternType="solid">
                  <bgColor theme="0"/>
                </patternFill>
              </fill>
            </x14:dxf>
          </x14:cfRule>
          <xm:sqref>F265</xm:sqref>
        </x14:conditionalFormatting>
        <x14:conditionalFormatting xmlns:xm="http://schemas.microsoft.com/office/excel/2006/main">
          <x14:cfRule type="beginsWith" priority="139" stopIfTrue="1" operator="beginsWith" id="{0A3F43B9-E1C3-44D1-AECE-E33846724683}">
            <xm:f>LEFT(D266,LEN("Fail"))="Fail"</xm:f>
            <xm:f>"Fail"</xm:f>
            <x14:dxf>
              <font>
                <b/>
                <i val="0"/>
                <strike val="0"/>
                <color rgb="FFAA322F"/>
              </font>
              <fill>
                <patternFill patternType="solid">
                  <bgColor theme="0"/>
                </patternFill>
              </fill>
            </x14:dxf>
          </x14:cfRule>
          <xm:sqref>D266:E266</xm:sqref>
        </x14:conditionalFormatting>
        <x14:conditionalFormatting xmlns:xm="http://schemas.microsoft.com/office/excel/2006/main">
          <x14:cfRule type="beginsWith" priority="135" stopIfTrue="1" operator="beginsWith" id="{544299FD-2B8B-4EDE-94BA-0B3EC397B0CE}">
            <xm:f>LEFT(D267,LEN("Fail"))="Fail"</xm:f>
            <xm:f>"Fail"</xm:f>
            <x14:dxf>
              <font>
                <b/>
                <i val="0"/>
                <strike val="0"/>
                <color rgb="FFAA322F"/>
              </font>
              <fill>
                <patternFill patternType="solid">
                  <bgColor theme="0"/>
                </patternFill>
              </fill>
            </x14:dxf>
          </x14:cfRule>
          <xm:sqref>D267:E267</xm:sqref>
        </x14:conditionalFormatting>
        <x14:conditionalFormatting xmlns:xm="http://schemas.microsoft.com/office/excel/2006/main">
          <x14:cfRule type="beginsWith" priority="131" stopIfTrue="1" operator="beginsWith" id="{63C86DBD-FB62-4BB5-BDC3-78E312AB96F9}">
            <xm:f>LEFT(D268,LEN("Fail"))="Fail"</xm:f>
            <xm:f>"Fail"</xm:f>
            <x14:dxf>
              <font>
                <b/>
                <i val="0"/>
                <strike val="0"/>
                <color rgb="FFAA322F"/>
              </font>
              <fill>
                <patternFill patternType="solid">
                  <bgColor theme="0"/>
                </patternFill>
              </fill>
            </x14:dxf>
          </x14:cfRule>
          <xm:sqref>D268:E268</xm:sqref>
        </x14:conditionalFormatting>
        <x14:conditionalFormatting xmlns:xm="http://schemas.microsoft.com/office/excel/2006/main">
          <x14:cfRule type="beginsWith" priority="127" stopIfTrue="1" operator="beginsWith" id="{55ECD0EC-36EA-4B0C-8193-BA22E81CEB1A}">
            <xm:f>LEFT(F268,LEN("Fail"))="Fail"</xm:f>
            <xm:f>"Fail"</xm:f>
            <x14:dxf>
              <font>
                <b/>
                <i val="0"/>
                <strike val="0"/>
                <color rgb="FFAA322F"/>
              </font>
              <fill>
                <patternFill patternType="solid">
                  <bgColor theme="0"/>
                </patternFill>
              </fill>
            </x14:dxf>
          </x14:cfRule>
          <xm:sqref>F268</xm:sqref>
        </x14:conditionalFormatting>
        <x14:conditionalFormatting xmlns:xm="http://schemas.microsoft.com/office/excel/2006/main">
          <x14:cfRule type="beginsWith" priority="123" stopIfTrue="1" operator="beginsWith" id="{BE4B31E5-894D-411C-9E36-938102B6F9B5}">
            <xm:f>LEFT(D269,LEN("Fail"))="Fail"</xm:f>
            <xm:f>"Fail"</xm:f>
            <x14:dxf>
              <font>
                <b/>
                <i val="0"/>
                <strike val="0"/>
                <color rgb="FFAA322F"/>
              </font>
              <fill>
                <patternFill patternType="solid">
                  <bgColor theme="0"/>
                </patternFill>
              </fill>
            </x14:dxf>
          </x14:cfRule>
          <xm:sqref>D269:E269</xm:sqref>
        </x14:conditionalFormatting>
        <x14:conditionalFormatting xmlns:xm="http://schemas.microsoft.com/office/excel/2006/main">
          <x14:cfRule type="beginsWith" priority="119" stopIfTrue="1" operator="beginsWith" id="{F9D2E47E-666E-4868-8749-5E5FBF22D059}">
            <xm:f>LEFT(D270,LEN("Fail"))="Fail"</xm:f>
            <xm:f>"Fail"</xm:f>
            <x14:dxf>
              <font>
                <b/>
                <i val="0"/>
                <strike val="0"/>
                <color rgb="FFAA322F"/>
              </font>
              <fill>
                <patternFill patternType="solid">
                  <bgColor theme="0"/>
                </patternFill>
              </fill>
            </x14:dxf>
          </x14:cfRule>
          <xm:sqref>D270:E270</xm:sqref>
        </x14:conditionalFormatting>
        <x14:conditionalFormatting xmlns:xm="http://schemas.microsoft.com/office/excel/2006/main">
          <x14:cfRule type="beginsWith" priority="115" stopIfTrue="1" operator="beginsWith" id="{4B2F1A85-DAA9-4348-987B-74B0DFF51A75}">
            <xm:f>LEFT(F270,LEN("Fail"))="Fail"</xm:f>
            <xm:f>"Fail"</xm:f>
            <x14:dxf>
              <font>
                <b/>
                <i val="0"/>
                <strike val="0"/>
                <color rgb="FFAA322F"/>
              </font>
              <fill>
                <patternFill patternType="solid">
                  <bgColor theme="0"/>
                </patternFill>
              </fill>
            </x14:dxf>
          </x14:cfRule>
          <xm:sqref>F270</xm:sqref>
        </x14:conditionalFormatting>
        <x14:conditionalFormatting xmlns:xm="http://schemas.microsoft.com/office/excel/2006/main">
          <x14:cfRule type="beginsWith" priority="111" stopIfTrue="1" operator="beginsWith" id="{1E3E545E-9971-4B4E-97E1-664E9140D187}">
            <xm:f>LEFT(D271,LEN("Fail"))="Fail"</xm:f>
            <xm:f>"Fail"</xm:f>
            <x14:dxf>
              <font>
                <b/>
                <i val="0"/>
                <strike val="0"/>
                <color rgb="FFAA322F"/>
              </font>
              <fill>
                <patternFill patternType="solid">
                  <bgColor theme="0"/>
                </patternFill>
              </fill>
            </x14:dxf>
          </x14:cfRule>
          <xm:sqref>D271:E271</xm:sqref>
        </x14:conditionalFormatting>
        <x14:conditionalFormatting xmlns:xm="http://schemas.microsoft.com/office/excel/2006/main">
          <x14:cfRule type="beginsWith" priority="107" stopIfTrue="1" operator="beginsWith" id="{695250D9-FB1C-4EE2-9B9D-DB371D305745}">
            <xm:f>LEFT(F271,LEN("Fail"))="Fail"</xm:f>
            <xm:f>"Fail"</xm:f>
            <x14:dxf>
              <font>
                <b/>
                <i val="0"/>
                <strike val="0"/>
                <color rgb="FFAA322F"/>
              </font>
              <fill>
                <patternFill patternType="solid">
                  <bgColor theme="0"/>
                </patternFill>
              </fill>
            </x14:dxf>
          </x14:cfRule>
          <xm:sqref>F271</xm:sqref>
        </x14:conditionalFormatting>
        <x14:conditionalFormatting xmlns:xm="http://schemas.microsoft.com/office/excel/2006/main">
          <x14:cfRule type="beginsWith" priority="103" stopIfTrue="1" operator="beginsWith" id="{74DE84AC-B40D-438A-A230-20CD214612D9}">
            <xm:f>LEFT(F266,LEN("Fail"))="Fail"</xm:f>
            <xm:f>"Fail"</xm:f>
            <x14:dxf>
              <font>
                <b/>
                <i val="0"/>
                <strike val="0"/>
                <color rgb="FFAA322F"/>
              </font>
              <fill>
                <patternFill patternType="solid">
                  <bgColor theme="0"/>
                </patternFill>
              </fill>
            </x14:dxf>
          </x14:cfRule>
          <xm:sqref>F266</xm:sqref>
        </x14:conditionalFormatting>
        <x14:conditionalFormatting xmlns:xm="http://schemas.microsoft.com/office/excel/2006/main">
          <x14:cfRule type="beginsWith" priority="99" stopIfTrue="1" operator="beginsWith" id="{4D6F0CF1-649F-40B5-B63C-6E757DA5001B}">
            <xm:f>LEFT(F267,LEN("Fail"))="Fail"</xm:f>
            <xm:f>"Fail"</xm:f>
            <x14:dxf>
              <font>
                <b/>
                <i val="0"/>
                <strike val="0"/>
                <color rgb="FFAA322F"/>
              </font>
              <fill>
                <patternFill patternType="solid">
                  <bgColor theme="0"/>
                </patternFill>
              </fill>
            </x14:dxf>
          </x14:cfRule>
          <xm:sqref>F267</xm:sqref>
        </x14:conditionalFormatting>
        <x14:conditionalFormatting xmlns:xm="http://schemas.microsoft.com/office/excel/2006/main">
          <x14:cfRule type="beginsWith" priority="95" stopIfTrue="1" operator="beginsWith" id="{8CD65813-7C14-4426-A14E-647AFC6285AA}">
            <xm:f>LEFT(F269,LEN("Fail"))="Fail"</xm:f>
            <xm:f>"Fail"</xm:f>
            <x14:dxf>
              <font>
                <b/>
                <i val="0"/>
                <strike val="0"/>
                <color rgb="FFAA322F"/>
              </font>
              <fill>
                <patternFill patternType="solid">
                  <bgColor theme="0"/>
                </patternFill>
              </fill>
            </x14:dxf>
          </x14:cfRule>
          <xm:sqref>F269</xm:sqref>
        </x14:conditionalFormatting>
        <x14:conditionalFormatting xmlns:xm="http://schemas.microsoft.com/office/excel/2006/main">
          <x14:cfRule type="beginsWith" priority="91" stopIfTrue="1" operator="beginsWith" id="{A5EB6080-C57C-464E-8601-5333EA682818}">
            <xm:f>LEFT(H265,LEN("Fail"))="Fail"</xm:f>
            <xm:f>"Fail"</xm:f>
            <x14:dxf>
              <font>
                <b/>
                <i val="0"/>
                <strike val="0"/>
                <color rgb="FFAA322F"/>
              </font>
              <fill>
                <patternFill patternType="solid">
                  <bgColor theme="0"/>
                </patternFill>
              </fill>
            </x14:dxf>
          </x14:cfRule>
          <xm:sqref>H265</xm:sqref>
        </x14:conditionalFormatting>
        <x14:conditionalFormatting xmlns:xm="http://schemas.microsoft.com/office/excel/2006/main">
          <x14:cfRule type="beginsWith" priority="87" stopIfTrue="1" operator="beginsWith" id="{D67AF501-E925-484B-A8D1-33612874998C}">
            <xm:f>LEFT(H268,LEN("Fail"))="Fail"</xm:f>
            <xm:f>"Fail"</xm:f>
            <x14:dxf>
              <font>
                <b/>
                <i val="0"/>
                <strike val="0"/>
                <color rgb="FFAA322F"/>
              </font>
              <fill>
                <patternFill patternType="solid">
                  <bgColor theme="0"/>
                </patternFill>
              </fill>
            </x14:dxf>
          </x14:cfRule>
          <xm:sqref>H268</xm:sqref>
        </x14:conditionalFormatting>
        <x14:conditionalFormatting xmlns:xm="http://schemas.microsoft.com/office/excel/2006/main">
          <x14:cfRule type="beginsWith" priority="83" stopIfTrue="1" operator="beginsWith" id="{AAB6C6A8-D00D-4708-94F0-6DC937DA0699}">
            <xm:f>LEFT(H270,LEN("Fail"))="Fail"</xm:f>
            <xm:f>"Fail"</xm:f>
            <x14:dxf>
              <font>
                <b/>
                <i val="0"/>
                <strike val="0"/>
                <color rgb="FFAA322F"/>
              </font>
              <fill>
                <patternFill patternType="solid">
                  <bgColor theme="0"/>
                </patternFill>
              </fill>
            </x14:dxf>
          </x14:cfRule>
          <xm:sqref>H270</xm:sqref>
        </x14:conditionalFormatting>
        <x14:conditionalFormatting xmlns:xm="http://schemas.microsoft.com/office/excel/2006/main">
          <x14:cfRule type="beginsWith" priority="79" stopIfTrue="1" operator="beginsWith" id="{4F842220-95E1-48F9-ADD8-150FD667B5F8}">
            <xm:f>LEFT(H271,LEN("Fail"))="Fail"</xm:f>
            <xm:f>"Fail"</xm:f>
            <x14:dxf>
              <font>
                <b/>
                <i val="0"/>
                <strike val="0"/>
                <color rgb="FFAA322F"/>
              </font>
              <fill>
                <patternFill patternType="solid">
                  <bgColor theme="0"/>
                </patternFill>
              </fill>
            </x14:dxf>
          </x14:cfRule>
          <xm:sqref>H271</xm:sqref>
        </x14:conditionalFormatting>
        <x14:conditionalFormatting xmlns:xm="http://schemas.microsoft.com/office/excel/2006/main">
          <x14:cfRule type="beginsWith" priority="75" stopIfTrue="1" operator="beginsWith" id="{7BCDF216-4FBF-4FA2-91A6-BD350062DA10}">
            <xm:f>LEFT(H266,LEN("Fail"))="Fail"</xm:f>
            <xm:f>"Fail"</xm:f>
            <x14:dxf>
              <font>
                <b/>
                <i val="0"/>
                <strike val="0"/>
                <color rgb="FFAA322F"/>
              </font>
              <fill>
                <patternFill patternType="solid">
                  <bgColor theme="0"/>
                </patternFill>
              </fill>
            </x14:dxf>
          </x14:cfRule>
          <xm:sqref>H266</xm:sqref>
        </x14:conditionalFormatting>
        <x14:conditionalFormatting xmlns:xm="http://schemas.microsoft.com/office/excel/2006/main">
          <x14:cfRule type="beginsWith" priority="71" stopIfTrue="1" operator="beginsWith" id="{EB1B81DE-D15E-4E3C-B68B-4A8F30BF6C95}">
            <xm:f>LEFT(H267,LEN("Fail"))="Fail"</xm:f>
            <xm:f>"Fail"</xm:f>
            <x14:dxf>
              <font>
                <b/>
                <i val="0"/>
                <strike val="0"/>
                <color rgb="FFAA322F"/>
              </font>
              <fill>
                <patternFill patternType="solid">
                  <bgColor theme="0"/>
                </patternFill>
              </fill>
            </x14:dxf>
          </x14:cfRule>
          <xm:sqref>H267</xm:sqref>
        </x14:conditionalFormatting>
        <x14:conditionalFormatting xmlns:xm="http://schemas.microsoft.com/office/excel/2006/main">
          <x14:cfRule type="beginsWith" priority="67" stopIfTrue="1" operator="beginsWith" id="{1F20B4E8-9C3A-446B-935F-21FEA0032313}">
            <xm:f>LEFT(H269,LEN("Fail"))="Fail"</xm:f>
            <xm:f>"Fail"</xm:f>
            <x14:dxf>
              <font>
                <b/>
                <i val="0"/>
                <strike val="0"/>
                <color rgb="FFAA322F"/>
              </font>
              <fill>
                <patternFill patternType="solid">
                  <bgColor theme="0"/>
                </patternFill>
              </fill>
            </x14:dxf>
          </x14:cfRule>
          <xm:sqref>H269</xm:sqref>
        </x14:conditionalFormatting>
        <x14:conditionalFormatting xmlns:xm="http://schemas.microsoft.com/office/excel/2006/main">
          <x14:cfRule type="beginsWith" priority="63" stopIfTrue="1" operator="beginsWith" id="{16D3AF81-6734-4D56-9369-376EBF4FE9D5}">
            <xm:f>LEFT(D278,LEN("Fail"))="Fail"</xm:f>
            <xm:f>"Fail"</xm:f>
            <x14:dxf>
              <font>
                <b/>
                <i val="0"/>
                <strike val="0"/>
                <color rgb="FFAA322F"/>
              </font>
              <fill>
                <patternFill patternType="solid">
                  <bgColor theme="0"/>
                </patternFill>
              </fill>
            </x14:dxf>
          </x14:cfRule>
          <xm:sqref>D278:F278</xm:sqref>
        </x14:conditionalFormatting>
        <x14:conditionalFormatting xmlns:xm="http://schemas.microsoft.com/office/excel/2006/main">
          <x14:cfRule type="beginsWith" priority="59" stopIfTrue="1" operator="beginsWith" id="{BD051E9D-2E18-45C7-8D85-F0E1F1AEBFAA}">
            <xm:f>LEFT(H278,LEN("Fail"))="Fail"</xm:f>
            <xm:f>"Fail"</xm:f>
            <x14:dxf>
              <font>
                <b/>
                <i val="0"/>
                <strike val="0"/>
                <color rgb="FFAA322F"/>
              </font>
              <fill>
                <patternFill patternType="solid">
                  <bgColor theme="0"/>
                </patternFill>
              </fill>
            </x14:dxf>
          </x14:cfRule>
          <xm:sqref>H278:J278</xm:sqref>
        </x14:conditionalFormatting>
        <x14:conditionalFormatting xmlns:xm="http://schemas.microsoft.com/office/excel/2006/main">
          <x14:cfRule type="beginsWith" priority="55" stopIfTrue="1" operator="beginsWith" id="{0BD7146E-CC17-45CA-85A7-9DC4774EDE52}">
            <xm:f>LEFT(D288,LEN("Fail"))="Fail"</xm:f>
            <xm:f>"Fail"</xm:f>
            <x14:dxf>
              <font>
                <b/>
                <i val="0"/>
                <strike val="0"/>
                <color rgb="FFAA322F"/>
              </font>
              <fill>
                <patternFill patternType="solid">
                  <bgColor theme="0"/>
                </patternFill>
              </fill>
            </x14:dxf>
          </x14:cfRule>
          <xm:sqref>D288:F290</xm:sqref>
        </x14:conditionalFormatting>
        <x14:conditionalFormatting xmlns:xm="http://schemas.microsoft.com/office/excel/2006/main">
          <x14:cfRule type="beginsWith" priority="51" stopIfTrue="1" operator="beginsWith" id="{AE4527CC-0B13-4A32-9D56-151071049681}">
            <xm:f>LEFT(D293,LEN("Fail"))="Fail"</xm:f>
            <xm:f>"Fail"</xm:f>
            <x14:dxf>
              <font>
                <b/>
                <i val="0"/>
                <strike val="0"/>
                <color rgb="FFAA322F"/>
              </font>
              <fill>
                <patternFill patternType="solid">
                  <bgColor theme="0"/>
                </patternFill>
              </fill>
            </x14:dxf>
          </x14:cfRule>
          <xm:sqref>D293:F295</xm:sqref>
        </x14:conditionalFormatting>
        <x14:conditionalFormatting xmlns:xm="http://schemas.microsoft.com/office/excel/2006/main">
          <x14:cfRule type="beginsWith" priority="47" stopIfTrue="1" operator="beginsWith" id="{84E5D748-5F54-45DC-85C0-19DE5C7AE96A}">
            <xm:f>LEFT(D297,LEN("Fail"))="Fail"</xm:f>
            <xm:f>"Fail"</xm:f>
            <x14:dxf>
              <font>
                <b/>
                <i val="0"/>
                <strike val="0"/>
                <color rgb="FFAA322F"/>
              </font>
              <fill>
                <patternFill patternType="solid">
                  <bgColor theme="0"/>
                </patternFill>
              </fill>
            </x14:dxf>
          </x14:cfRule>
          <xm:sqref>D297:F299</xm:sqref>
        </x14:conditionalFormatting>
        <x14:conditionalFormatting xmlns:xm="http://schemas.microsoft.com/office/excel/2006/main">
          <x14:cfRule type="beginsWith" priority="43" stopIfTrue="1" operator="beginsWith" id="{D6A09B20-E5F0-4480-ABAF-333CCD995144}">
            <xm:f>LEFT(D300,LEN("Fail"))="Fail"</xm:f>
            <xm:f>"Fail"</xm:f>
            <x14:dxf>
              <font>
                <b/>
                <i val="0"/>
                <strike val="0"/>
                <color rgb="FFAA322F"/>
              </font>
              <fill>
                <patternFill patternType="solid">
                  <bgColor theme="0"/>
                </patternFill>
              </fill>
            </x14:dxf>
          </x14:cfRule>
          <xm:sqref>D300:F302</xm:sqref>
        </x14:conditionalFormatting>
        <x14:conditionalFormatting xmlns:xm="http://schemas.microsoft.com/office/excel/2006/main">
          <x14:cfRule type="beginsWith" priority="39" stopIfTrue="1" operator="beginsWith" id="{A5045991-4E4B-4CD3-841F-86243C3DE4DD}">
            <xm:f>LEFT(D305,LEN("Fail"))="Fail"</xm:f>
            <xm:f>"Fail"</xm:f>
            <x14:dxf>
              <font>
                <b/>
                <i val="0"/>
                <strike val="0"/>
                <color rgb="FFAA322F"/>
              </font>
              <fill>
                <patternFill patternType="solid">
                  <bgColor theme="0"/>
                </patternFill>
              </fill>
            </x14:dxf>
          </x14:cfRule>
          <xm:sqref>D305:F307</xm:sqref>
        </x14:conditionalFormatting>
        <x14:conditionalFormatting xmlns:xm="http://schemas.microsoft.com/office/excel/2006/main">
          <x14:cfRule type="beginsWith" priority="35" stopIfTrue="1" operator="beginsWith" id="{5D147532-EEDC-485B-9FBC-134BD8C105A4}">
            <xm:f>LEFT(D303,LEN("Fail"))="Fail"</xm:f>
            <xm:f>"Fail"</xm:f>
            <x14:dxf>
              <font>
                <b/>
                <i val="0"/>
                <strike val="0"/>
                <color rgb="FFAA322F"/>
              </font>
              <fill>
                <patternFill patternType="solid">
                  <bgColor theme="0"/>
                </patternFill>
              </fill>
            </x14:dxf>
          </x14:cfRule>
          <xm:sqref>D303:F303</xm:sqref>
        </x14:conditionalFormatting>
        <x14:conditionalFormatting xmlns:xm="http://schemas.microsoft.com/office/excel/2006/main">
          <x14:cfRule type="beginsWith" priority="31" stopIfTrue="1" operator="beginsWith" id="{7B9B4850-9E3E-4C74-9DFC-93063C1B40B4}">
            <xm:f>LEFT(D308,LEN("Fail"))="Fail"</xm:f>
            <xm:f>"Fail"</xm:f>
            <x14:dxf>
              <font>
                <b/>
                <i val="0"/>
                <strike val="0"/>
                <color rgb="FFAA322F"/>
              </font>
              <fill>
                <patternFill patternType="solid">
                  <bgColor theme="0"/>
                </patternFill>
              </fill>
            </x14:dxf>
          </x14:cfRule>
          <xm:sqref>D308:F308</xm:sqref>
        </x14:conditionalFormatting>
        <x14:conditionalFormatting xmlns:xm="http://schemas.microsoft.com/office/excel/2006/main">
          <x14:cfRule type="beginsWith" priority="27" stopIfTrue="1" operator="beginsWith" id="{FBD20E79-8A8E-4273-BAAA-EF79F416B1E5}">
            <xm:f>LEFT(I288,LEN("Fail"))="Fail"</xm:f>
            <xm:f>"Fail"</xm:f>
            <x14:dxf>
              <font>
                <b/>
                <i val="0"/>
                <strike val="0"/>
                <color rgb="FFAA322F"/>
              </font>
              <fill>
                <patternFill patternType="solid">
                  <bgColor theme="0"/>
                </patternFill>
              </fill>
            </x14:dxf>
          </x14:cfRule>
          <xm:sqref>I288:K290</xm:sqref>
        </x14:conditionalFormatting>
        <x14:conditionalFormatting xmlns:xm="http://schemas.microsoft.com/office/excel/2006/main">
          <x14:cfRule type="beginsWith" priority="23" stopIfTrue="1" operator="beginsWith" id="{5330606D-678A-4476-BA88-C5DAD4E322FB}">
            <xm:f>LEFT(I293,LEN("Fail"))="Fail"</xm:f>
            <xm:f>"Fail"</xm:f>
            <x14:dxf>
              <font>
                <b/>
                <i val="0"/>
                <strike val="0"/>
                <color rgb="FFAA322F"/>
              </font>
              <fill>
                <patternFill patternType="solid">
                  <bgColor theme="0"/>
                </patternFill>
              </fill>
            </x14:dxf>
          </x14:cfRule>
          <xm:sqref>I293:K295</xm:sqref>
        </x14:conditionalFormatting>
        <x14:conditionalFormatting xmlns:xm="http://schemas.microsoft.com/office/excel/2006/main">
          <x14:cfRule type="beginsWith" priority="19" stopIfTrue="1" operator="beginsWith" id="{778C2F4A-C57A-4BFA-9E23-244C87252F21}">
            <xm:f>LEFT(I297,LEN("Fail"))="Fail"</xm:f>
            <xm:f>"Fail"</xm:f>
            <x14:dxf>
              <font>
                <b/>
                <i val="0"/>
                <strike val="0"/>
                <color rgb="FFAA322F"/>
              </font>
              <fill>
                <patternFill patternType="solid">
                  <bgColor theme="0"/>
                </patternFill>
              </fill>
            </x14:dxf>
          </x14:cfRule>
          <xm:sqref>I297:K299</xm:sqref>
        </x14:conditionalFormatting>
        <x14:conditionalFormatting xmlns:xm="http://schemas.microsoft.com/office/excel/2006/main">
          <x14:cfRule type="beginsWith" priority="15" stopIfTrue="1" operator="beginsWith" id="{5A9CE385-C798-4AED-A438-8497EED05089}">
            <xm:f>LEFT(I300,LEN("Fail"))="Fail"</xm:f>
            <xm:f>"Fail"</xm:f>
            <x14:dxf>
              <font>
                <b/>
                <i val="0"/>
                <strike val="0"/>
                <color rgb="FFAA322F"/>
              </font>
              <fill>
                <patternFill patternType="solid">
                  <bgColor theme="0"/>
                </patternFill>
              </fill>
            </x14:dxf>
          </x14:cfRule>
          <xm:sqref>I300:K302</xm:sqref>
        </x14:conditionalFormatting>
        <x14:conditionalFormatting xmlns:xm="http://schemas.microsoft.com/office/excel/2006/main">
          <x14:cfRule type="beginsWith" priority="11" stopIfTrue="1" operator="beginsWith" id="{EDB83638-1BCB-451A-9719-257C5D0A4456}">
            <xm:f>LEFT(I305,LEN("Fail"))="Fail"</xm:f>
            <xm:f>"Fail"</xm:f>
            <x14:dxf>
              <font>
                <b/>
                <i val="0"/>
                <strike val="0"/>
                <color rgb="FFAA322F"/>
              </font>
              <fill>
                <patternFill patternType="solid">
                  <bgColor theme="0"/>
                </patternFill>
              </fill>
            </x14:dxf>
          </x14:cfRule>
          <xm:sqref>I305:K307</xm:sqref>
        </x14:conditionalFormatting>
        <x14:conditionalFormatting xmlns:xm="http://schemas.microsoft.com/office/excel/2006/main">
          <x14:cfRule type="beginsWith" priority="7" stopIfTrue="1" operator="beginsWith" id="{A0103DF9-4CB3-46BE-B75B-C8E9CF3174D5}">
            <xm:f>LEFT(I303,LEN("Fail"))="Fail"</xm:f>
            <xm:f>"Fail"</xm:f>
            <x14:dxf>
              <font>
                <b/>
                <i val="0"/>
                <strike val="0"/>
                <color rgb="FFAA322F"/>
              </font>
              <fill>
                <patternFill patternType="solid">
                  <bgColor theme="0"/>
                </patternFill>
              </fill>
            </x14:dxf>
          </x14:cfRule>
          <xm:sqref>I303:K303</xm:sqref>
        </x14:conditionalFormatting>
        <x14:conditionalFormatting xmlns:xm="http://schemas.microsoft.com/office/excel/2006/main">
          <x14:cfRule type="beginsWith" priority="3" stopIfTrue="1" operator="beginsWith" id="{BCAAB373-9235-407F-BA76-A0FDEF6F8288}">
            <xm:f>LEFT(I308,LEN("Fail"))="Fail"</xm:f>
            <xm:f>"Fail"</xm:f>
            <x14:dxf>
              <font>
                <b/>
                <i val="0"/>
                <strike val="0"/>
                <color rgb="FFAA322F"/>
              </font>
              <fill>
                <patternFill patternType="solid">
                  <bgColor theme="0"/>
                </patternFill>
              </fill>
            </x14:dxf>
          </x14:cfRule>
          <xm:sqref>I308:K308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CZ224"/>
  <sheetViews>
    <sheetView zoomScale="70" zoomScaleNormal="70" zoomScaleSheetLayoutView="50" workbookViewId="0">
      <pane xSplit="2" ySplit="1" topLeftCell="C35" activePane="bottomRight" state="frozen"/>
      <selection activeCell="P35" sqref="P35"/>
      <selection pane="topRight" activeCell="P35" sqref="P35"/>
      <selection pane="bottomLeft" activeCell="P35" sqref="P35"/>
      <selection pane="bottomRight" activeCell="L65" sqref="L65"/>
    </sheetView>
  </sheetViews>
  <sheetFormatPr defaultColWidth="16.88671875" defaultRowHeight="15" x14ac:dyDescent="0.35"/>
  <cols>
    <col min="1" max="1" width="1.6640625" style="98" customWidth="1"/>
    <col min="2" max="2" width="74.5546875" style="98" customWidth="1"/>
    <col min="3" max="5" width="16.6640625" style="98" customWidth="1"/>
    <col min="6" max="6" width="16.6640625" style="98" hidden="1" customWidth="1"/>
    <col min="7" max="16" width="16.6640625" style="98" customWidth="1"/>
    <col min="17" max="17" width="16.6640625" style="98" hidden="1" customWidth="1"/>
    <col min="18" max="28" width="16.6640625" style="98" customWidth="1"/>
    <col min="29" max="29" width="16.6640625" style="98" hidden="1" customWidth="1"/>
    <col min="30" max="37" width="16.6640625" style="98" customWidth="1"/>
    <col min="38" max="44" width="16.6640625" style="1513" customWidth="1"/>
    <col min="45" max="45" width="16.6640625" style="1513" hidden="1" customWidth="1"/>
    <col min="46" max="55" width="16.6640625" style="1513" customWidth="1"/>
    <col min="56" max="56" width="16.6640625" style="1513" hidden="1" customWidth="1"/>
    <col min="57" max="67" width="16.6640625" style="1513" customWidth="1"/>
    <col min="68" max="68" width="16.6640625" style="1513" hidden="1" customWidth="1"/>
    <col min="69" max="76" width="16.6640625" style="1513" customWidth="1"/>
    <col min="77" max="77" width="16.6640625" style="1513" hidden="1" customWidth="1"/>
    <col min="78" max="80" width="16.6640625" style="1513" customWidth="1"/>
    <col min="81" max="81" width="16.6640625" style="1513" hidden="1" customWidth="1"/>
    <col min="82" max="95" width="16.6640625" style="1513" customWidth="1"/>
    <col min="96" max="96" width="18.6640625" style="1513" customWidth="1"/>
    <col min="97" max="97" width="28.6640625" style="1513" customWidth="1"/>
    <col min="98" max="103" width="24.6640625" style="1513" customWidth="1"/>
    <col min="104" max="104" width="1.6640625" style="1513" customWidth="1"/>
  </cols>
  <sheetData>
    <row r="1" spans="1:104" ht="30" customHeight="1" x14ac:dyDescent="0.65">
      <c r="A1" s="766" t="s">
        <v>855</v>
      </c>
      <c r="B1" s="767"/>
      <c r="C1" s="739" t="str">
        <f>CONCATENATE("Reporting unit: ", 'General Info'!$C$7, " ", 'General Info'!$C$5)</f>
        <v>Reporting unit: 1000 eur</v>
      </c>
      <c r="D1" s="739"/>
      <c r="E1" s="739"/>
      <c r="F1" s="739"/>
      <c r="G1" s="739"/>
      <c r="H1" s="752"/>
      <c r="I1" s="752"/>
      <c r="J1" s="752"/>
      <c r="K1" s="752"/>
      <c r="L1" s="752"/>
      <c r="M1" s="752"/>
      <c r="N1" s="752"/>
      <c r="O1" s="752"/>
      <c r="P1" s="752"/>
      <c r="Q1" s="752"/>
      <c r="R1" s="752"/>
      <c r="S1" s="752"/>
      <c r="T1" s="752"/>
      <c r="U1" s="752"/>
      <c r="V1" s="752"/>
      <c r="W1" s="752"/>
      <c r="X1" s="752"/>
      <c r="Y1" s="752"/>
      <c r="Z1" s="752"/>
      <c r="AA1" s="752"/>
      <c r="AB1" s="752"/>
      <c r="AC1" s="752"/>
      <c r="AD1" s="752"/>
      <c r="AE1" s="752"/>
      <c r="AF1" s="752"/>
      <c r="AG1" s="752"/>
      <c r="AH1" s="752"/>
      <c r="AI1" s="752"/>
      <c r="AJ1" s="752"/>
      <c r="AK1" s="752"/>
      <c r="AL1" s="752"/>
      <c r="AM1" s="752"/>
      <c r="AN1" s="752"/>
      <c r="AO1" s="752"/>
      <c r="AP1" s="752"/>
      <c r="AQ1" s="752"/>
      <c r="AR1" s="752"/>
      <c r="AS1" s="752"/>
      <c r="AT1" s="752"/>
      <c r="AU1" s="752"/>
      <c r="AV1" s="752"/>
      <c r="AW1" s="752"/>
      <c r="AX1" s="752"/>
      <c r="AY1" s="752"/>
      <c r="AZ1" s="752"/>
      <c r="BA1" s="752"/>
      <c r="BB1" s="752"/>
      <c r="BC1" s="752"/>
      <c r="BD1" s="752"/>
      <c r="BE1" s="752"/>
      <c r="BF1" s="752"/>
      <c r="BG1" s="752"/>
      <c r="BH1" s="752"/>
      <c r="BI1" s="752"/>
      <c r="BJ1" s="752"/>
      <c r="BK1" s="752"/>
      <c r="BL1" s="752"/>
      <c r="BM1" s="752"/>
      <c r="BN1" s="752"/>
      <c r="BO1" s="752"/>
      <c r="BP1" s="752"/>
      <c r="BQ1" s="752"/>
      <c r="BR1" s="752"/>
      <c r="BS1" s="752"/>
      <c r="BT1" s="752"/>
      <c r="BU1" s="752"/>
      <c r="BV1" s="752"/>
      <c r="BW1" s="752"/>
      <c r="BX1" s="752"/>
      <c r="BY1" s="752"/>
      <c r="BZ1" s="752"/>
      <c r="CA1" s="752"/>
      <c r="CB1" s="752"/>
      <c r="CC1" s="752"/>
      <c r="CD1" s="752"/>
      <c r="CE1" s="752"/>
      <c r="CF1" s="752"/>
      <c r="CG1" s="741"/>
      <c r="CH1" s="741"/>
      <c r="CI1" s="741"/>
      <c r="CJ1" s="741"/>
      <c r="CK1" s="741"/>
      <c r="CL1" s="752"/>
      <c r="CM1" s="752"/>
      <c r="CN1" s="752"/>
      <c r="CO1" s="752"/>
      <c r="CP1" s="752"/>
      <c r="CQ1" s="752"/>
      <c r="CR1" s="752"/>
      <c r="CS1" s="752"/>
      <c r="CT1" s="752"/>
      <c r="CU1" s="752"/>
      <c r="CV1" s="752"/>
      <c r="CW1" s="752"/>
      <c r="CX1" s="752"/>
      <c r="CY1" s="752"/>
      <c r="CZ1" s="694"/>
    </row>
    <row r="2" spans="1:104" ht="15" customHeight="1" x14ac:dyDescent="0.35">
      <c r="A2" s="263"/>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741"/>
      <c r="CH2" s="741"/>
      <c r="CI2" s="741"/>
      <c r="CJ2" s="741"/>
      <c r="CK2" s="741"/>
      <c r="CL2" s="741"/>
      <c r="CM2" s="741"/>
      <c r="CN2" s="741"/>
      <c r="CO2" s="741"/>
      <c r="CP2" s="741"/>
      <c r="CQ2" s="741"/>
      <c r="CR2" s="741"/>
      <c r="CS2" s="741"/>
      <c r="CT2" s="741"/>
      <c r="CU2" s="741"/>
      <c r="CV2" s="741"/>
      <c r="CW2" s="741"/>
      <c r="CX2" s="741"/>
      <c r="CY2" s="741"/>
      <c r="CZ2" s="537"/>
    </row>
    <row r="3" spans="1:104" ht="30" customHeight="1" x14ac:dyDescent="0.35">
      <c r="A3" s="263"/>
      <c r="B3" s="775" t="s">
        <v>856</v>
      </c>
      <c r="C3" s="776"/>
      <c r="D3" s="776"/>
      <c r="E3" s="776"/>
      <c r="F3" s="776"/>
      <c r="G3" s="776"/>
      <c r="H3" s="776"/>
      <c r="I3" s="776"/>
      <c r="J3" s="776"/>
      <c r="K3" s="776"/>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8"/>
      <c r="CK3" s="98"/>
      <c r="CL3" s="98"/>
      <c r="CM3" s="98"/>
      <c r="CN3" s="98"/>
      <c r="CO3" s="98"/>
      <c r="CP3" s="98"/>
      <c r="CQ3" s="98"/>
      <c r="CR3" s="98"/>
      <c r="CS3" s="98"/>
      <c r="CT3" s="98"/>
      <c r="CU3" s="98"/>
      <c r="CV3" s="98"/>
      <c r="CW3" s="98"/>
      <c r="CX3" s="98"/>
      <c r="CY3" s="98"/>
      <c r="CZ3" s="315"/>
    </row>
    <row r="4" spans="1:104" ht="15" customHeight="1" x14ac:dyDescent="0.35">
      <c r="A4" s="263"/>
      <c r="B4" s="1545"/>
      <c r="C4" s="1540" t="s">
        <v>165</v>
      </c>
      <c r="D4" s="1540" t="s">
        <v>166</v>
      </c>
      <c r="E4" s="1546"/>
      <c r="F4" s="1546"/>
      <c r="G4" s="1545"/>
      <c r="H4" s="1546"/>
      <c r="I4" s="1546"/>
      <c r="J4" s="1545"/>
      <c r="K4" s="1546"/>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c r="BS4" s="98"/>
      <c r="BT4" s="98"/>
      <c r="BU4" s="98"/>
      <c r="BV4" s="98"/>
      <c r="BW4" s="98"/>
      <c r="BX4" s="98"/>
      <c r="BY4" s="98"/>
      <c r="BZ4" s="98"/>
      <c r="CA4" s="98"/>
      <c r="CB4" s="98"/>
      <c r="CC4" s="98"/>
      <c r="CD4" s="98"/>
      <c r="CE4" s="98"/>
      <c r="CF4" s="98"/>
      <c r="CG4" s="98"/>
      <c r="CH4" s="98"/>
      <c r="CI4" s="98"/>
      <c r="CJ4" s="98"/>
      <c r="CK4" s="98"/>
      <c r="CL4" s="98"/>
      <c r="CM4" s="98"/>
      <c r="CN4" s="98"/>
      <c r="CO4" s="98"/>
      <c r="CP4" s="98"/>
      <c r="CQ4" s="98"/>
      <c r="CR4" s="98"/>
      <c r="CS4" s="98"/>
      <c r="CT4" s="98"/>
      <c r="CU4" s="98"/>
      <c r="CV4" s="98"/>
      <c r="CW4" s="98"/>
      <c r="CX4" s="98"/>
      <c r="CY4" s="98"/>
      <c r="CZ4" s="315"/>
    </row>
    <row r="5" spans="1:104" ht="15" customHeight="1" x14ac:dyDescent="0.35">
      <c r="A5" s="263"/>
      <c r="B5" s="777" t="str">
        <f>'General Info'!$B12</f>
        <v>FIRB approach</v>
      </c>
      <c r="C5" s="778" t="str">
        <f>IF(ISBLANK('General Info'!$C12),"",'General Info'!$C12)</f>
        <v>No</v>
      </c>
      <c r="D5" s="779" t="str">
        <f>IF(C5="Yes", "Please fill in FIRB exposures section in panel A", "No FIRB exposures")</f>
        <v>No FIRB exposures</v>
      </c>
      <c r="E5" s="784"/>
      <c r="F5" s="784"/>
      <c r="G5" s="784"/>
      <c r="H5" s="784"/>
      <c r="I5" s="784"/>
      <c r="J5" s="784"/>
      <c r="K5" s="784"/>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c r="BY5" s="98"/>
      <c r="BZ5" s="98"/>
      <c r="CA5" s="98"/>
      <c r="CB5" s="98"/>
      <c r="CC5" s="98"/>
      <c r="CD5" s="98"/>
      <c r="CE5" s="98"/>
      <c r="CF5" s="98"/>
      <c r="CG5" s="98"/>
      <c r="CH5" s="98"/>
      <c r="CI5" s="98"/>
      <c r="CJ5" s="98"/>
      <c r="CK5" s="98"/>
      <c r="CL5" s="98"/>
      <c r="CM5" s="98"/>
      <c r="CN5" s="98"/>
      <c r="CO5" s="98"/>
      <c r="CP5" s="98"/>
      <c r="CQ5" s="98"/>
      <c r="CR5" s="98"/>
      <c r="CS5" s="98"/>
      <c r="CT5" s="98"/>
      <c r="CU5" s="98"/>
      <c r="CV5" s="98"/>
      <c r="CW5" s="98"/>
      <c r="CX5" s="98"/>
      <c r="CY5" s="98"/>
      <c r="CZ5" s="315"/>
    </row>
    <row r="6" spans="1:104" ht="15" customHeight="1" x14ac:dyDescent="0.35">
      <c r="A6" s="263"/>
      <c r="B6" s="940" t="str">
        <f>'General Info'!$B13</f>
        <v>AIRB approach</v>
      </c>
      <c r="C6" s="780" t="str">
        <f>IF(ISBLANK('General Info'!$C13),"",'General Info'!$C13)</f>
        <v>Yes</v>
      </c>
      <c r="D6" s="781" t="str">
        <f>IF(C6="Yes", "Please fill in AIRB exposures section in panel A", "No AIRB exposures")</f>
        <v>Please fill in AIRB exposures section in panel A</v>
      </c>
      <c r="E6" s="785"/>
      <c r="F6" s="785"/>
      <c r="G6" s="785"/>
      <c r="H6" s="785"/>
      <c r="I6" s="785"/>
      <c r="J6" s="785"/>
      <c r="K6" s="785"/>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c r="BY6" s="98"/>
      <c r="BZ6" s="98"/>
      <c r="CA6" s="98"/>
      <c r="CB6" s="98"/>
      <c r="CC6" s="98"/>
      <c r="CD6" s="98"/>
      <c r="CE6" s="98"/>
      <c r="CF6" s="98"/>
      <c r="CG6" s="98"/>
      <c r="CH6" s="98"/>
      <c r="CI6" s="98"/>
      <c r="CJ6" s="98"/>
      <c r="CK6" s="98"/>
      <c r="CL6" s="98"/>
      <c r="CM6" s="98"/>
      <c r="CN6" s="98"/>
      <c r="CO6" s="98"/>
      <c r="CP6" s="98"/>
      <c r="CQ6" s="98"/>
      <c r="CR6" s="98"/>
      <c r="CS6" s="98"/>
      <c r="CT6" s="98"/>
      <c r="CU6" s="98"/>
      <c r="CV6" s="98"/>
      <c r="CW6" s="98"/>
      <c r="CX6" s="98"/>
      <c r="CY6" s="98"/>
      <c r="CZ6" s="315"/>
    </row>
    <row r="7" spans="1:104" ht="15" customHeight="1" x14ac:dyDescent="0.35">
      <c r="A7" s="263"/>
      <c r="B7" s="940" t="s">
        <v>857</v>
      </c>
      <c r="C7" s="780" t="str">
        <f>IF(ISBLANK('General Info'!$C14),"",'General Info'!$C14)</f>
        <v>No</v>
      </c>
      <c r="D7" s="781" t="str">
        <f>IF(C7="Yes","Please fill in complete standardised approach section for revised framework in panel A",IF(C7="No","Please fill in equities rows in the standardised approach section for revised framework in panel A",""))</f>
        <v>Please fill in equities rows in the standardised approach section for revised framework in panel A</v>
      </c>
      <c r="E7" s="785"/>
      <c r="F7" s="785"/>
      <c r="G7" s="785"/>
      <c r="H7" s="785"/>
      <c r="I7" s="785"/>
      <c r="J7" s="785"/>
      <c r="K7" s="785"/>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c r="BY7" s="98"/>
      <c r="BZ7" s="98"/>
      <c r="CA7" s="98"/>
      <c r="CB7" s="98"/>
      <c r="CC7" s="98"/>
      <c r="CD7" s="98"/>
      <c r="CE7" s="98"/>
      <c r="CF7" s="98"/>
      <c r="CG7" s="98"/>
      <c r="CH7" s="98"/>
      <c r="CI7" s="98"/>
      <c r="CJ7" s="98"/>
      <c r="CK7" s="98"/>
      <c r="CL7" s="98"/>
      <c r="CM7" s="98"/>
      <c r="CN7" s="98"/>
      <c r="CO7" s="98"/>
      <c r="CP7" s="98"/>
      <c r="CQ7" s="98"/>
      <c r="CR7" s="98"/>
      <c r="CS7" s="98"/>
      <c r="CT7" s="98"/>
      <c r="CU7" s="98"/>
      <c r="CV7" s="98"/>
      <c r="CW7" s="98"/>
      <c r="CX7" s="98"/>
      <c r="CY7" s="98"/>
      <c r="CZ7" s="315"/>
    </row>
    <row r="8" spans="1:104" ht="15" customHeight="1" x14ac:dyDescent="0.35">
      <c r="A8" s="263"/>
      <c r="B8" s="940" t="str">
        <f>'General Info'!$B15</f>
        <v>Slotting approach for specialised lending</v>
      </c>
      <c r="C8" s="780" t="str">
        <f>IF(ISBLANK('General Info'!$C15),"",'General Info'!$C15)</f>
        <v>No</v>
      </c>
      <c r="D8" s="781" t="str">
        <f>IF(C8="Yes","Please report data in FIRB section of panel A"," ")</f>
        <v xml:space="preserve"> </v>
      </c>
      <c r="E8" s="785"/>
      <c r="F8" s="785"/>
      <c r="G8" s="785"/>
      <c r="H8" s="785"/>
      <c r="I8" s="785"/>
      <c r="J8" s="785"/>
      <c r="K8" s="785"/>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315"/>
    </row>
    <row r="9" spans="1:104" ht="15" customHeight="1" x14ac:dyDescent="0.35">
      <c r="A9" s="263"/>
      <c r="B9" s="1538" t="str">
        <f>'General Info'!B47</f>
        <v>Revised market risk framework definition of TB-BB boundary</v>
      </c>
      <c r="C9" s="782" t="str">
        <f>IF(ISBLANK('General Info'!C47),"",'General Info'!$C47)</f>
        <v>Yes</v>
      </c>
      <c r="D9" s="783" t="str">
        <f>IF(C9="Yes", "Please complete rows " &amp; ROW(B68) &amp; " and " &amp; ROW(B69) &amp; ".", IF(C9="No", "Please leave rows " &amp; ROW(B68) &amp; " and " &amp; ROW(B69) &amp; " empty.", ""))</f>
        <v>Please complete rows 68 and 69.</v>
      </c>
      <c r="E9" s="786"/>
      <c r="F9" s="786"/>
      <c r="G9" s="786"/>
      <c r="H9" s="786"/>
      <c r="I9" s="786"/>
      <c r="J9" s="786"/>
      <c r="K9" s="786"/>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s="98"/>
      <c r="CI9" s="98"/>
      <c r="CJ9" s="98"/>
      <c r="CK9" s="98"/>
      <c r="CL9" s="98"/>
      <c r="CM9" s="98"/>
      <c r="CN9" s="98"/>
      <c r="CO9" s="98"/>
      <c r="CP9" s="98"/>
      <c r="CQ9" s="98"/>
      <c r="CR9" s="98"/>
      <c r="CS9" s="98"/>
      <c r="CT9" s="98"/>
      <c r="CU9" s="98"/>
      <c r="CV9" s="98"/>
      <c r="CW9" s="98"/>
      <c r="CX9" s="98"/>
      <c r="CY9" s="98"/>
      <c r="CZ9" s="315"/>
    </row>
    <row r="10" spans="1:104" ht="15" customHeight="1" x14ac:dyDescent="0.35">
      <c r="A10" s="717"/>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275"/>
      <c r="CH10" s="275"/>
      <c r="CI10" s="275"/>
      <c r="CJ10" s="275"/>
      <c r="CK10" s="275"/>
      <c r="CL10" s="275"/>
      <c r="CM10" s="275"/>
      <c r="CN10" s="275"/>
      <c r="CO10" s="275"/>
      <c r="CP10" s="275"/>
      <c r="CQ10" s="275"/>
      <c r="CR10" s="275"/>
      <c r="CS10" s="275"/>
      <c r="CT10" s="275"/>
      <c r="CU10" s="275"/>
      <c r="CV10" s="275"/>
      <c r="CW10" s="275"/>
      <c r="CX10" s="275"/>
      <c r="CY10" s="275"/>
      <c r="CZ10" s="567"/>
    </row>
    <row r="11" spans="1:104" ht="52.5" customHeight="1" x14ac:dyDescent="0.35">
      <c r="A11" s="704" t="str">
        <f>"A. Exposures currently subject to the IRB approaches under national rules in place at the reporting date (using the " &amp; IF(Parameters!F270="Yes",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1" s="740"/>
      <c r="C11" s="741"/>
      <c r="D11" s="741"/>
      <c r="E11" s="741"/>
      <c r="F11" s="741"/>
      <c r="G11" s="741"/>
      <c r="H11" s="741"/>
      <c r="I11" s="741"/>
      <c r="J11" s="741"/>
      <c r="K11" s="741"/>
      <c r="L11" s="741"/>
      <c r="M11" s="741"/>
      <c r="N11" s="741"/>
      <c r="O11" s="741"/>
      <c r="P11" s="741"/>
      <c r="Q11" s="741"/>
      <c r="R11" s="741"/>
      <c r="S11" s="741"/>
      <c r="T11" s="741"/>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c r="AT11" s="741"/>
      <c r="AU11" s="741"/>
      <c r="AV11" s="741"/>
      <c r="AW11" s="741"/>
      <c r="AX11" s="741"/>
      <c r="AY11" s="741"/>
      <c r="AZ11" s="741"/>
      <c r="BA11" s="741"/>
      <c r="BB11" s="741"/>
      <c r="BC11" s="741"/>
      <c r="BD11" s="741"/>
      <c r="BE11" s="741"/>
      <c r="BF11" s="741"/>
      <c r="BG11" s="741"/>
      <c r="BH11" s="741"/>
      <c r="BI11" s="741"/>
      <c r="BJ11" s="741"/>
      <c r="BK11" s="741"/>
      <c r="BL11" s="741"/>
      <c r="BM11" s="741"/>
      <c r="BN11" s="741"/>
      <c r="BO11" s="741"/>
      <c r="BP11" s="741"/>
      <c r="BQ11" s="741"/>
      <c r="BR11" s="741"/>
      <c r="BS11" s="741"/>
      <c r="BT11" s="741"/>
      <c r="BU11" s="741"/>
      <c r="BV11" s="741"/>
      <c r="BW11" s="741"/>
      <c r="BX11" s="741"/>
      <c r="BY11" s="741"/>
      <c r="BZ11" s="741"/>
      <c r="CA11" s="741"/>
      <c r="CB11" s="741"/>
      <c r="CC11" s="741"/>
      <c r="CD11" s="741"/>
      <c r="CE11" s="741"/>
      <c r="CF11" s="741"/>
      <c r="CG11" s="98"/>
      <c r="CH11" s="98"/>
      <c r="CI11" s="98"/>
      <c r="CJ11" s="98"/>
      <c r="CK11" s="98"/>
      <c r="CL11" s="98"/>
      <c r="CM11" s="98"/>
      <c r="CN11" s="98"/>
      <c r="CO11" s="98"/>
      <c r="CP11" s="98"/>
      <c r="CQ11" s="98"/>
      <c r="CR11" s="98"/>
      <c r="CS11" s="98"/>
      <c r="CZ11" s="1514"/>
    </row>
    <row r="12" spans="1:104" ht="30" customHeight="1" x14ac:dyDescent="0.35">
      <c r="A12" s="263"/>
      <c r="B12" s="2770" t="s">
        <v>169</v>
      </c>
      <c r="C12" s="2773" t="s">
        <v>735</v>
      </c>
      <c r="D12" s="2773"/>
      <c r="E12" s="2773"/>
      <c r="F12" s="2773"/>
      <c r="G12" s="2773"/>
      <c r="H12" s="2773"/>
      <c r="I12" s="2773"/>
      <c r="J12" s="2773"/>
      <c r="K12" s="2773"/>
      <c r="L12" s="2773"/>
      <c r="M12" s="2773"/>
      <c r="N12" s="2768" t="s">
        <v>735</v>
      </c>
      <c r="O12" s="2768"/>
      <c r="P12" s="2768"/>
      <c r="Q12" s="2768"/>
      <c r="R12" s="2768"/>
      <c r="S12" s="2768"/>
      <c r="T12" s="2768"/>
      <c r="U12" s="2768"/>
      <c r="V12" s="2768"/>
      <c r="W12" s="2768"/>
      <c r="X12" s="2768"/>
      <c r="Y12" s="2768"/>
      <c r="Z12" s="2767" t="s">
        <v>735</v>
      </c>
      <c r="AA12" s="2768"/>
      <c r="AB12" s="2768"/>
      <c r="AC12" s="2768"/>
      <c r="AD12" s="2768"/>
      <c r="AE12" s="2768"/>
      <c r="AF12" s="2768"/>
      <c r="AG12" s="2768"/>
      <c r="AH12" s="2768"/>
      <c r="AI12" s="2768"/>
      <c r="AJ12" s="2768"/>
      <c r="AK12" s="2768"/>
      <c r="AL12" s="2767" t="s">
        <v>735</v>
      </c>
      <c r="AM12" s="2768"/>
      <c r="AN12" s="2768"/>
      <c r="AO12" s="2769"/>
      <c r="AP12" s="2748" t="s">
        <v>858</v>
      </c>
      <c r="AQ12" s="2748"/>
      <c r="AR12" s="2748"/>
      <c r="AS12" s="2748"/>
      <c r="AT12" s="2748"/>
      <c r="AU12" s="2748"/>
      <c r="AV12" s="2748"/>
      <c r="AW12" s="2748"/>
      <c r="AX12" s="2748"/>
      <c r="AY12" s="2748"/>
      <c r="AZ12" s="2749"/>
      <c r="BA12" s="2747" t="s">
        <v>858</v>
      </c>
      <c r="BB12" s="2748"/>
      <c r="BC12" s="2748"/>
      <c r="BD12" s="2748"/>
      <c r="BE12" s="2748"/>
      <c r="BF12" s="2748"/>
      <c r="BG12" s="2748"/>
      <c r="BH12" s="2748"/>
      <c r="BI12" s="2748"/>
      <c r="BJ12" s="2748"/>
      <c r="BK12" s="2748"/>
      <c r="BL12" s="2748"/>
      <c r="BM12" s="2747" t="s">
        <v>858</v>
      </c>
      <c r="BN12" s="2748"/>
      <c r="BO12" s="2748"/>
      <c r="BP12" s="2748"/>
      <c r="BQ12" s="2748"/>
      <c r="BR12" s="2748"/>
      <c r="BS12" s="2748"/>
      <c r="BT12" s="2748"/>
      <c r="BU12" s="2748"/>
      <c r="BV12" s="2748"/>
      <c r="BW12" s="2748"/>
      <c r="BX12" s="2749"/>
      <c r="BY12" s="2683" t="s">
        <v>858</v>
      </c>
      <c r="BZ12" s="2684"/>
      <c r="CA12" s="2684"/>
      <c r="CB12" s="2684"/>
      <c r="CC12" s="2684"/>
      <c r="CD12" s="2684"/>
      <c r="CE12" s="2684"/>
      <c r="CF12" s="2684"/>
      <c r="CG12" s="2684"/>
      <c r="CH12" s="2684"/>
      <c r="CI12" s="2684"/>
      <c r="CJ12" s="2684"/>
      <c r="CK12" s="2685"/>
      <c r="CL12" s="2738" t="s">
        <v>859</v>
      </c>
      <c r="CM12" s="2739"/>
      <c r="CN12" s="2740"/>
      <c r="CO12" s="2741" t="s">
        <v>221</v>
      </c>
      <c r="CP12" s="2742"/>
      <c r="CQ12" s="2742"/>
      <c r="CR12" s="2742"/>
      <c r="CS12" s="2742"/>
      <c r="CT12" s="2762" t="s">
        <v>860</v>
      </c>
      <c r="CU12" s="2763"/>
      <c r="CV12" s="2763"/>
      <c r="CW12" s="2763" t="s">
        <v>861</v>
      </c>
      <c r="CX12" s="2763"/>
      <c r="CY12" s="2764"/>
      <c r="CZ12" s="1523"/>
    </row>
    <row r="13" spans="1:104" ht="45" customHeight="1" x14ac:dyDescent="0.35">
      <c r="A13" s="263"/>
      <c r="B13" s="2771"/>
      <c r="C13" s="2566" t="s">
        <v>224</v>
      </c>
      <c r="D13" s="2566"/>
      <c r="E13" s="2566"/>
      <c r="F13" s="2566"/>
      <c r="G13" s="2566"/>
      <c r="H13" s="2566"/>
      <c r="I13" s="2566"/>
      <c r="J13" s="2566"/>
      <c r="K13" s="2566"/>
      <c r="L13" s="2566"/>
      <c r="M13" s="2572"/>
      <c r="N13" s="2565" t="s">
        <v>862</v>
      </c>
      <c r="O13" s="2566"/>
      <c r="P13" s="2566"/>
      <c r="Q13" s="2566"/>
      <c r="R13" s="2566"/>
      <c r="S13" s="2566"/>
      <c r="T13" s="2566"/>
      <c r="U13" s="2566"/>
      <c r="V13" s="2566"/>
      <c r="W13" s="2566"/>
      <c r="X13" s="2566"/>
      <c r="Y13" s="774"/>
      <c r="Z13" s="2565" t="s">
        <v>863</v>
      </c>
      <c r="AA13" s="2566"/>
      <c r="AB13" s="2566"/>
      <c r="AC13" s="2566"/>
      <c r="AD13" s="2566"/>
      <c r="AE13" s="2566"/>
      <c r="AF13" s="2566"/>
      <c r="AG13" s="2566"/>
      <c r="AH13" s="2566"/>
      <c r="AI13" s="2566"/>
      <c r="AJ13" s="2566"/>
      <c r="AK13" s="2572"/>
      <c r="AL13" s="2565" t="s">
        <v>740</v>
      </c>
      <c r="AM13" s="2566"/>
      <c r="AN13" s="2566"/>
      <c r="AO13" s="2572"/>
      <c r="AP13" s="2565" t="s">
        <v>224</v>
      </c>
      <c r="AQ13" s="2566"/>
      <c r="AR13" s="2566"/>
      <c r="AS13" s="2566"/>
      <c r="AT13" s="2566"/>
      <c r="AU13" s="2566"/>
      <c r="AV13" s="2566"/>
      <c r="AW13" s="2566"/>
      <c r="AX13" s="2566"/>
      <c r="AY13" s="2566"/>
      <c r="AZ13" s="2572"/>
      <c r="BA13" s="2565" t="s">
        <v>862</v>
      </c>
      <c r="BB13" s="2566"/>
      <c r="BC13" s="2566"/>
      <c r="BD13" s="2566"/>
      <c r="BE13" s="2566"/>
      <c r="BF13" s="2566"/>
      <c r="BG13" s="2566"/>
      <c r="BH13" s="2566"/>
      <c r="BI13" s="2566"/>
      <c r="BJ13" s="2566"/>
      <c r="BK13" s="2566"/>
      <c r="BL13" s="2572"/>
      <c r="BM13" s="2565" t="s">
        <v>863</v>
      </c>
      <c r="BN13" s="2566"/>
      <c r="BO13" s="2566"/>
      <c r="BP13" s="2566"/>
      <c r="BQ13" s="2566"/>
      <c r="BR13" s="2566"/>
      <c r="BS13" s="2566"/>
      <c r="BT13" s="2566"/>
      <c r="BU13" s="2566"/>
      <c r="BV13" s="2566"/>
      <c r="BW13" s="2566"/>
      <c r="BX13" s="2572"/>
      <c r="BY13" s="2750" t="s">
        <v>864</v>
      </c>
      <c r="BZ13" s="2751"/>
      <c r="CA13" s="2751"/>
      <c r="CB13" s="2751"/>
      <c r="CC13" s="2751"/>
      <c r="CD13" s="2751"/>
      <c r="CE13" s="2751"/>
      <c r="CF13" s="2751"/>
      <c r="CG13" s="2751"/>
      <c r="CH13" s="2751"/>
      <c r="CI13" s="2751"/>
      <c r="CJ13" s="2751"/>
      <c r="CK13" s="2752"/>
      <c r="CL13" s="2679" t="s">
        <v>742</v>
      </c>
      <c r="CM13" s="2637"/>
      <c r="CN13" s="2735"/>
      <c r="CO13" s="2679" t="s">
        <v>865</v>
      </c>
      <c r="CP13" s="2637"/>
      <c r="CQ13" s="2735"/>
      <c r="CR13" s="2743" t="s">
        <v>38</v>
      </c>
      <c r="CS13" s="2744"/>
      <c r="CT13" s="2672" t="s">
        <v>866</v>
      </c>
      <c r="CU13" s="2633"/>
      <c r="CV13" s="2633"/>
      <c r="CW13" s="2633" t="s">
        <v>867</v>
      </c>
      <c r="CX13" s="2633"/>
      <c r="CY13" s="2565"/>
      <c r="CZ13" s="1514"/>
    </row>
    <row r="14" spans="1:104" ht="30" customHeight="1" x14ac:dyDescent="0.35">
      <c r="A14" s="263"/>
      <c r="B14" s="2771"/>
      <c r="C14" s="2737" t="s">
        <v>738</v>
      </c>
      <c r="D14" s="2737"/>
      <c r="E14" s="2737"/>
      <c r="F14" s="2737"/>
      <c r="G14" s="2707"/>
      <c r="H14" s="2686" t="s">
        <v>868</v>
      </c>
      <c r="I14" s="2565" t="s">
        <v>177</v>
      </c>
      <c r="J14" s="2566"/>
      <c r="K14" s="2566"/>
      <c r="L14" s="2572"/>
      <c r="M14" s="2686" t="s">
        <v>869</v>
      </c>
      <c r="N14" s="2737" t="s">
        <v>738</v>
      </c>
      <c r="O14" s="2737"/>
      <c r="P14" s="2737"/>
      <c r="Q14" s="2737"/>
      <c r="R14" s="2707"/>
      <c r="S14" s="2754" t="s">
        <v>868</v>
      </c>
      <c r="T14" s="2565" t="s">
        <v>177</v>
      </c>
      <c r="U14" s="2566"/>
      <c r="V14" s="2566"/>
      <c r="W14" s="2572"/>
      <c r="X14" s="2565" t="s">
        <v>178</v>
      </c>
      <c r="Y14" s="2572"/>
      <c r="Z14" s="2737" t="s">
        <v>738</v>
      </c>
      <c r="AA14" s="2737"/>
      <c r="AB14" s="2737"/>
      <c r="AC14" s="2737"/>
      <c r="AD14" s="2707"/>
      <c r="AE14" s="2754" t="s">
        <v>868</v>
      </c>
      <c r="AF14" s="2565" t="s">
        <v>177</v>
      </c>
      <c r="AG14" s="2566"/>
      <c r="AH14" s="2566"/>
      <c r="AI14" s="2572"/>
      <c r="AJ14" s="2565" t="s">
        <v>178</v>
      </c>
      <c r="AK14" s="2572"/>
      <c r="AL14" s="2633" t="s">
        <v>750</v>
      </c>
      <c r="AM14" s="2633"/>
      <c r="AN14" s="2633" t="s">
        <v>751</v>
      </c>
      <c r="AO14" s="2633"/>
      <c r="AP14" s="2706" t="s">
        <v>738</v>
      </c>
      <c r="AQ14" s="2737"/>
      <c r="AR14" s="2737"/>
      <c r="AS14" s="2737"/>
      <c r="AT14" s="2707"/>
      <c r="AU14" s="2686" t="s">
        <v>868</v>
      </c>
      <c r="AV14" s="2565" t="s">
        <v>177</v>
      </c>
      <c r="AW14" s="2566"/>
      <c r="AX14" s="2566"/>
      <c r="AY14" s="2572"/>
      <c r="AZ14" s="2686" t="s">
        <v>178</v>
      </c>
      <c r="BA14" s="2737" t="s">
        <v>738</v>
      </c>
      <c r="BB14" s="2737"/>
      <c r="BC14" s="2737"/>
      <c r="BD14" s="2737"/>
      <c r="BE14" s="2707"/>
      <c r="BF14" s="2686" t="s">
        <v>226</v>
      </c>
      <c r="BG14" s="2565" t="s">
        <v>177</v>
      </c>
      <c r="BH14" s="2566"/>
      <c r="BI14" s="2566"/>
      <c r="BJ14" s="2572"/>
      <c r="BK14" s="2565" t="s">
        <v>178</v>
      </c>
      <c r="BL14" s="2572"/>
      <c r="BM14" s="2737" t="s">
        <v>738</v>
      </c>
      <c r="BN14" s="2737"/>
      <c r="BO14" s="2737"/>
      <c r="BP14" s="2737"/>
      <c r="BQ14" s="2707"/>
      <c r="BR14" s="2686" t="s">
        <v>226</v>
      </c>
      <c r="BS14" s="2565" t="s">
        <v>177</v>
      </c>
      <c r="BT14" s="2566"/>
      <c r="BU14" s="2566"/>
      <c r="BV14" s="2572"/>
      <c r="BW14" s="2565" t="s">
        <v>178</v>
      </c>
      <c r="BX14" s="2572"/>
      <c r="BY14" s="2688" t="s">
        <v>738</v>
      </c>
      <c r="BZ14" s="2689"/>
      <c r="CA14" s="2689"/>
      <c r="CB14" s="2689"/>
      <c r="CC14" s="2689"/>
      <c r="CD14" s="2690"/>
      <c r="CE14" s="2686" t="s">
        <v>176</v>
      </c>
      <c r="CF14" s="2565" t="s">
        <v>177</v>
      </c>
      <c r="CG14" s="2566"/>
      <c r="CH14" s="2566"/>
      <c r="CI14" s="2572"/>
      <c r="CJ14" s="2686" t="s">
        <v>741</v>
      </c>
      <c r="CK14" s="2692" t="str">
        <f>"Check: column " &amp; COLUMN(AM20) &amp; " RW in Parameters worksheet"</f>
        <v>Check: column 39 RW in Parameters worksheet</v>
      </c>
      <c r="CL14" s="2680"/>
      <c r="CM14" s="2638"/>
      <c r="CN14" s="2708"/>
      <c r="CO14" s="2680"/>
      <c r="CP14" s="2638"/>
      <c r="CQ14" s="2708"/>
      <c r="CR14" s="2745"/>
      <c r="CS14" s="2746"/>
      <c r="CT14" s="2672"/>
      <c r="CU14" s="2633"/>
      <c r="CV14" s="2633"/>
      <c r="CW14" s="2633"/>
      <c r="CX14" s="2633"/>
      <c r="CY14" s="2565"/>
      <c r="CZ14" s="1514"/>
    </row>
    <row r="15" spans="1:104" ht="45" customHeight="1" x14ac:dyDescent="0.35">
      <c r="A15" s="263"/>
      <c r="B15" s="2771"/>
      <c r="C15" s="2735" t="s">
        <v>870</v>
      </c>
      <c r="D15" s="2565" t="s">
        <v>746</v>
      </c>
      <c r="E15" s="2572"/>
      <c r="F15" s="1469"/>
      <c r="G15" s="2735" t="s">
        <v>871</v>
      </c>
      <c r="H15" s="2691"/>
      <c r="I15" s="2686" t="s">
        <v>748</v>
      </c>
      <c r="J15" s="2686" t="s">
        <v>746</v>
      </c>
      <c r="K15" s="2686" t="s">
        <v>749</v>
      </c>
      <c r="L15" s="2686" t="s">
        <v>59</v>
      </c>
      <c r="M15" s="2691"/>
      <c r="N15" s="2735" t="s">
        <v>870</v>
      </c>
      <c r="O15" s="2565" t="s">
        <v>746</v>
      </c>
      <c r="P15" s="2572"/>
      <c r="Q15" s="1465"/>
      <c r="R15" s="2735" t="s">
        <v>871</v>
      </c>
      <c r="S15" s="2755"/>
      <c r="T15" s="2686" t="s">
        <v>748</v>
      </c>
      <c r="U15" s="2686" t="s">
        <v>746</v>
      </c>
      <c r="V15" s="2686" t="s">
        <v>749</v>
      </c>
      <c r="W15" s="2686" t="s">
        <v>59</v>
      </c>
      <c r="X15" s="2686" t="s">
        <v>59</v>
      </c>
      <c r="Y15" s="2686" t="s">
        <v>872</v>
      </c>
      <c r="Z15" s="2735" t="s">
        <v>870</v>
      </c>
      <c r="AA15" s="2565" t="s">
        <v>746</v>
      </c>
      <c r="AB15" s="2572"/>
      <c r="AC15" s="1465"/>
      <c r="AD15" s="2735" t="s">
        <v>871</v>
      </c>
      <c r="AE15" s="2755"/>
      <c r="AF15" s="2686" t="s">
        <v>748</v>
      </c>
      <c r="AG15" s="2686" t="s">
        <v>746</v>
      </c>
      <c r="AH15" s="2686" t="s">
        <v>749</v>
      </c>
      <c r="AI15" s="2686" t="s">
        <v>59</v>
      </c>
      <c r="AJ15" s="2686" t="s">
        <v>59</v>
      </c>
      <c r="AK15" s="2686" t="s">
        <v>872</v>
      </c>
      <c r="AL15" s="2633" t="s">
        <v>873</v>
      </c>
      <c r="AM15" s="2633" t="s">
        <v>739</v>
      </c>
      <c r="AN15" s="2633" t="s">
        <v>873</v>
      </c>
      <c r="AO15" s="2633" t="s">
        <v>739</v>
      </c>
      <c r="AP15" s="2686" t="s">
        <v>870</v>
      </c>
      <c r="AQ15" s="2565" t="s">
        <v>746</v>
      </c>
      <c r="AR15" s="2572"/>
      <c r="AS15" s="1465"/>
      <c r="AT15" s="2735" t="s">
        <v>871</v>
      </c>
      <c r="AU15" s="2691"/>
      <c r="AV15" s="2686" t="s">
        <v>748</v>
      </c>
      <c r="AW15" s="2686" t="s">
        <v>746</v>
      </c>
      <c r="AX15" s="2686" t="s">
        <v>749</v>
      </c>
      <c r="AY15" s="2686" t="s">
        <v>59</v>
      </c>
      <c r="AZ15" s="2691"/>
      <c r="BA15" s="2735" t="s">
        <v>870</v>
      </c>
      <c r="BB15" s="2565" t="s">
        <v>746</v>
      </c>
      <c r="BC15" s="2572"/>
      <c r="BD15" s="1465"/>
      <c r="BE15" s="2735" t="s">
        <v>871</v>
      </c>
      <c r="BF15" s="2691"/>
      <c r="BG15" s="2686" t="s">
        <v>748</v>
      </c>
      <c r="BH15" s="2686" t="s">
        <v>746</v>
      </c>
      <c r="BI15" s="2686" t="s">
        <v>749</v>
      </c>
      <c r="BJ15" s="2686" t="s">
        <v>59</v>
      </c>
      <c r="BK15" s="2686" t="s">
        <v>59</v>
      </c>
      <c r="BL15" s="2686" t="s">
        <v>872</v>
      </c>
      <c r="BM15" s="2735" t="s">
        <v>870</v>
      </c>
      <c r="BN15" s="2565" t="s">
        <v>746</v>
      </c>
      <c r="BO15" s="2572"/>
      <c r="BP15" s="1465"/>
      <c r="BQ15" s="2735" t="s">
        <v>871</v>
      </c>
      <c r="BR15" s="2691"/>
      <c r="BS15" s="2686" t="s">
        <v>748</v>
      </c>
      <c r="BT15" s="2686" t="s">
        <v>746</v>
      </c>
      <c r="BU15" s="2686" t="s">
        <v>749</v>
      </c>
      <c r="BV15" s="2686" t="s">
        <v>59</v>
      </c>
      <c r="BW15" s="2686" t="s">
        <v>59</v>
      </c>
      <c r="BX15" s="2686" t="s">
        <v>872</v>
      </c>
      <c r="BY15" s="1465"/>
      <c r="BZ15" s="2735" t="s">
        <v>870</v>
      </c>
      <c r="CA15" s="2565" t="s">
        <v>746</v>
      </c>
      <c r="CB15" s="2572"/>
      <c r="CC15" s="1465"/>
      <c r="CD15" s="2735" t="s">
        <v>871</v>
      </c>
      <c r="CE15" s="2691"/>
      <c r="CF15" s="2686" t="s">
        <v>748</v>
      </c>
      <c r="CG15" s="2686" t="s">
        <v>746</v>
      </c>
      <c r="CH15" s="2686" t="s">
        <v>749</v>
      </c>
      <c r="CI15" s="2686" t="s">
        <v>59</v>
      </c>
      <c r="CJ15" s="2691"/>
      <c r="CK15" s="2693"/>
      <c r="CL15" s="2686" t="s">
        <v>868</v>
      </c>
      <c r="CM15" s="2686" t="s">
        <v>755</v>
      </c>
      <c r="CN15" s="2686" t="s">
        <v>874</v>
      </c>
      <c r="CO15" s="2565" t="s">
        <v>752</v>
      </c>
      <c r="CP15" s="2572"/>
      <c r="CQ15" s="2686" t="s">
        <v>177</v>
      </c>
      <c r="CR15" s="768" t="s">
        <v>875</v>
      </c>
      <c r="CS15" s="769" t="s">
        <v>876</v>
      </c>
      <c r="CT15" s="2672" t="s">
        <v>752</v>
      </c>
      <c r="CU15" s="2766"/>
      <c r="CV15" s="2766" t="s">
        <v>877</v>
      </c>
      <c r="CW15" s="2633" t="s">
        <v>752</v>
      </c>
      <c r="CX15" s="2766"/>
      <c r="CY15" s="2750" t="s">
        <v>877</v>
      </c>
      <c r="CZ15" s="1514"/>
    </row>
    <row r="16" spans="1:104" ht="45" customHeight="1" x14ac:dyDescent="0.35">
      <c r="A16" s="263"/>
      <c r="B16" s="2772"/>
      <c r="C16" s="2708"/>
      <c r="D16" s="770" t="s">
        <v>59</v>
      </c>
      <c r="E16" s="770" t="s">
        <v>878</v>
      </c>
      <c r="F16" s="770"/>
      <c r="G16" s="2708"/>
      <c r="H16" s="2687"/>
      <c r="I16" s="2687"/>
      <c r="J16" s="2687"/>
      <c r="K16" s="2687"/>
      <c r="L16" s="2687"/>
      <c r="M16" s="2687"/>
      <c r="N16" s="2753"/>
      <c r="O16" s="1537" t="s">
        <v>59</v>
      </c>
      <c r="P16" s="1537" t="s">
        <v>878</v>
      </c>
      <c r="Q16" s="1537"/>
      <c r="R16" s="2708"/>
      <c r="S16" s="2755"/>
      <c r="T16" s="2691"/>
      <c r="U16" s="2691"/>
      <c r="V16" s="2691"/>
      <c r="W16" s="2691"/>
      <c r="X16" s="2691"/>
      <c r="Y16" s="2691"/>
      <c r="Z16" s="2753"/>
      <c r="AA16" s="1537" t="s">
        <v>59</v>
      </c>
      <c r="AB16" s="1537" t="s">
        <v>878</v>
      </c>
      <c r="AC16" s="1537"/>
      <c r="AD16" s="2708"/>
      <c r="AE16" s="2755"/>
      <c r="AF16" s="2691"/>
      <c r="AG16" s="2691"/>
      <c r="AH16" s="2691"/>
      <c r="AI16" s="2691"/>
      <c r="AJ16" s="2691"/>
      <c r="AK16" s="2691"/>
      <c r="AL16" s="2633"/>
      <c r="AM16" s="2633"/>
      <c r="AN16" s="2633"/>
      <c r="AO16" s="2633"/>
      <c r="AP16" s="2687"/>
      <c r="AQ16" s="770" t="s">
        <v>59</v>
      </c>
      <c r="AR16" s="770" t="s">
        <v>878</v>
      </c>
      <c r="AS16" s="770"/>
      <c r="AT16" s="2708"/>
      <c r="AU16" s="2687"/>
      <c r="AV16" s="2687"/>
      <c r="AW16" s="2687"/>
      <c r="AX16" s="2687"/>
      <c r="AY16" s="2687"/>
      <c r="AZ16" s="2687"/>
      <c r="BA16" s="2708"/>
      <c r="BB16" s="770" t="s">
        <v>59</v>
      </c>
      <c r="BC16" s="770" t="s">
        <v>878</v>
      </c>
      <c r="BD16" s="770"/>
      <c r="BE16" s="2708"/>
      <c r="BF16" s="2687"/>
      <c r="BG16" s="2687"/>
      <c r="BH16" s="2687"/>
      <c r="BI16" s="2687"/>
      <c r="BJ16" s="2687"/>
      <c r="BK16" s="2691"/>
      <c r="BL16" s="2691"/>
      <c r="BM16" s="2708"/>
      <c r="BN16" s="770" t="s">
        <v>59</v>
      </c>
      <c r="BO16" s="770" t="s">
        <v>878</v>
      </c>
      <c r="BP16" s="770"/>
      <c r="BQ16" s="2708"/>
      <c r="BR16" s="2687"/>
      <c r="BS16" s="2687"/>
      <c r="BT16" s="2687"/>
      <c r="BU16" s="2687"/>
      <c r="BV16" s="2687"/>
      <c r="BW16" s="2691"/>
      <c r="BX16" s="2691"/>
      <c r="BY16" s="770"/>
      <c r="BZ16" s="2708"/>
      <c r="CA16" s="770" t="s">
        <v>59</v>
      </c>
      <c r="CB16" s="770" t="s">
        <v>754</v>
      </c>
      <c r="CC16" s="770"/>
      <c r="CD16" s="2708"/>
      <c r="CE16" s="2687"/>
      <c r="CF16" s="2687"/>
      <c r="CG16" s="2687"/>
      <c r="CH16" s="2687"/>
      <c r="CI16" s="2687"/>
      <c r="CJ16" s="2687"/>
      <c r="CK16" s="2694"/>
      <c r="CL16" s="2687"/>
      <c r="CM16" s="2687"/>
      <c r="CN16" s="2687"/>
      <c r="CO16" s="770" t="s">
        <v>59</v>
      </c>
      <c r="CP16" s="770" t="s">
        <v>756</v>
      </c>
      <c r="CQ16" s="2687"/>
      <c r="CR16" s="771" t="str">
        <f>"Check: column " &amp; LEFT(ADDRESS(ROW(CO16),COLUMN(CO16),4), 2) &amp; " ≥ column " &amp; LEFT(ADDRESS(ROW(AU16),COLUMN(AU16),4), 2) &amp; " plus column " &amp; LEFT(ADDRESS(ROW(CE16),COLUMN(CE16),4), 2)</f>
        <v>Check: column CO ≥ column AU plus column CE</v>
      </c>
      <c r="CS16" s="772" t="str">
        <f>"Check column " &amp; LEFT(ADDRESS(ROW(CQ16),COLUMN(CQ16),4), 2) &amp; " ≥ column " &amp; LEFT(ADDRESS(ROW(AY16),COLUMN(AY16),4), 2) &amp; " plus column " &amp; LEFT(ADDRESS(ROW(CI16),COLUMN(CI16),4), 2) &amp; ", adjusted for provisioning shortfall if any"</f>
        <v>Check column CQ ≥ column AY plus column CI, adjusted for provisioning shortfall if any</v>
      </c>
      <c r="CT16" s="1841" t="s">
        <v>59</v>
      </c>
      <c r="CU16" s="1839" t="s">
        <v>756</v>
      </c>
      <c r="CV16" s="2766"/>
      <c r="CW16" s="1839" t="s">
        <v>59</v>
      </c>
      <c r="CX16" s="1839" t="s">
        <v>756</v>
      </c>
      <c r="CY16" s="2750"/>
      <c r="CZ16" s="1514"/>
    </row>
    <row r="17" spans="1:104" ht="15" customHeight="1" x14ac:dyDescent="0.35">
      <c r="A17" s="263"/>
      <c r="B17" s="562" t="s">
        <v>879</v>
      </c>
      <c r="C17" s="568">
        <f t="shared" ref="C17:S17" si="0">IF(AND(ISNUMBER(C18),ISNUMBER(C19)),SUM(C18:C19),"")</f>
        <v>6277655.264834444</v>
      </c>
      <c r="D17" s="568">
        <f t="shared" si="0"/>
        <v>24188.122036700021</v>
      </c>
      <c r="E17" s="568">
        <f t="shared" si="0"/>
        <v>0</v>
      </c>
      <c r="F17" s="568" t="str">
        <f t="shared" si="0"/>
        <v/>
      </c>
      <c r="G17" s="568">
        <f t="shared" si="0"/>
        <v>736975.68415719934</v>
      </c>
      <c r="H17" s="568">
        <f>IF(AND(ISNUMBER(H18),ISNUMBER(H19)),SUM(H18:H19),"")</f>
        <v>7038819.0710283425</v>
      </c>
      <c r="I17" s="568">
        <f t="shared" ref="I17" si="1">IF(AND(ISNUMBER(I18),ISNUMBER(I19)),SUM(I18:I19),"")</f>
        <v>2764100.2326317839</v>
      </c>
      <c r="J17" s="568">
        <f t="shared" ref="J17" si="2">IF(AND(ISNUMBER(J18),ISNUMBER(J19)),SUM(J18:J19),"")</f>
        <v>11666.894102499999</v>
      </c>
      <c r="K17" s="568">
        <f t="shared" ref="K17" si="3">IF(AND(ISNUMBER(K18),ISNUMBER(K19)),SUM(K18:K19),"")</f>
        <v>223439.32734460029</v>
      </c>
      <c r="L17" s="568">
        <f t="shared" si="0"/>
        <v>2999206.4540788839</v>
      </c>
      <c r="M17" s="568">
        <f t="shared" si="0"/>
        <v>125145.49271110026</v>
      </c>
      <c r="N17" s="568">
        <f t="shared" si="0"/>
        <v>6277655.264834444</v>
      </c>
      <c r="O17" s="568">
        <f t="shared" si="0"/>
        <v>24188.122036700021</v>
      </c>
      <c r="P17" s="568">
        <f t="shared" si="0"/>
        <v>0</v>
      </c>
      <c r="Q17" s="568" t="str">
        <f t="shared" si="0"/>
        <v/>
      </c>
      <c r="R17" s="568">
        <f t="shared" si="0"/>
        <v>736975.68415719934</v>
      </c>
      <c r="S17" s="568">
        <f t="shared" si="0"/>
        <v>7038819.0710283425</v>
      </c>
      <c r="T17" s="568">
        <f t="shared" ref="T17:Y17" si="4">IF(AND(ISNUMBER(T18),ISNUMBER(T19)), SUM(T18:T19),"")</f>
        <v>2764100.2326317839</v>
      </c>
      <c r="U17" s="568">
        <f t="shared" si="4"/>
        <v>11666.894102499999</v>
      </c>
      <c r="V17" s="568">
        <f t="shared" si="4"/>
        <v>223439.32734460029</v>
      </c>
      <c r="W17" s="568">
        <f t="shared" si="4"/>
        <v>2999206.4540788839</v>
      </c>
      <c r="X17" s="568">
        <f t="shared" si="4"/>
        <v>125145.49271110026</v>
      </c>
      <c r="Y17" s="568">
        <f t="shared" si="4"/>
        <v>109167.49240319982</v>
      </c>
      <c r="Z17" s="616">
        <f t="shared" ref="Z17:AJ17" si="5">IF(AND(ISNUMBER(Z18),ISNUMBER(Z19)),SUM(Z18:Z19),"")</f>
        <v>0</v>
      </c>
      <c r="AA17" s="568">
        <f t="shared" si="5"/>
        <v>0</v>
      </c>
      <c r="AB17" s="568">
        <f t="shared" ref="AB17" si="6">IF(AND(ISNUMBER(AB18),ISNUMBER(AB19)),SUM(AB18:AB19),"")</f>
        <v>0</v>
      </c>
      <c r="AC17" s="568">
        <f t="shared" si="5"/>
        <v>0</v>
      </c>
      <c r="AD17" s="622">
        <f t="shared" si="5"/>
        <v>0</v>
      </c>
      <c r="AE17" s="568">
        <f t="shared" si="5"/>
        <v>0</v>
      </c>
      <c r="AF17" s="568">
        <f t="shared" ref="AF17" si="7">IF(AND(ISNUMBER(AF18),ISNUMBER(AF19)),SUM(AF18:AF19),"")</f>
        <v>0</v>
      </c>
      <c r="AG17" s="568">
        <f t="shared" ref="AG17" si="8">IF(AND(ISNUMBER(AG18),ISNUMBER(AG19)),SUM(AG18:AG19),"")</f>
        <v>0</v>
      </c>
      <c r="AH17" s="622">
        <f t="shared" ref="AH17" si="9">IF(AND(ISNUMBER(AH18),ISNUMBER(AH19)),SUM(AH18:AH19),"")</f>
        <v>0</v>
      </c>
      <c r="AI17" s="568">
        <f t="shared" si="5"/>
        <v>0</v>
      </c>
      <c r="AJ17" s="568">
        <f t="shared" si="5"/>
        <v>0</v>
      </c>
      <c r="AK17" s="568">
        <f t="shared" ref="AK17" si="10">IF(AND(ISNUMBER(AK18),ISNUMBER(AK19)),SUM(AK18:AK19),"")</f>
        <v>0</v>
      </c>
      <c r="AL17" s="299">
        <f>+AL18+AL19</f>
        <v>9134.2810399998525</v>
      </c>
      <c r="AM17" s="208">
        <f>+AM18+AM19</f>
        <v>106103.98974000003</v>
      </c>
      <c r="AN17" s="208">
        <v>0</v>
      </c>
      <c r="AO17" s="2540">
        <v>0</v>
      </c>
      <c r="AP17" s="626">
        <f t="shared" ref="AP17:AZ17" si="11">IF(AND(ISNUMBER(AP18),ISNUMBER(AP19)),SUM(AP18:AP19),"")</f>
        <v>6277655.2648344934</v>
      </c>
      <c r="AQ17" s="626">
        <f t="shared" si="11"/>
        <v>24188.122036700006</v>
      </c>
      <c r="AR17" s="626">
        <f t="shared" si="11"/>
        <v>0</v>
      </c>
      <c r="AS17" s="626">
        <f t="shared" si="11"/>
        <v>0</v>
      </c>
      <c r="AT17" s="626">
        <f t="shared" si="11"/>
        <v>967440.89466545894</v>
      </c>
      <c r="AU17" s="626">
        <f>IF(AND(ISNUMBER(AU18),ISNUMBER(AU19)),SUM(AU18:AU19),"")</f>
        <v>7269284.2815366527</v>
      </c>
      <c r="AV17" s="626">
        <f t="shared" ref="AV17" si="12">IF(AND(ISNUMBER(AV18),ISNUMBER(AV19)),SUM(AV18:AV19),"")</f>
        <v>2755096.9620450991</v>
      </c>
      <c r="AW17" s="626">
        <f t="shared" ref="AW17" si="13">IF(AND(ISNUMBER(AW18),ISNUMBER(AW19)),SUM(AW18:AW19),"")</f>
        <v>11340.643609647866</v>
      </c>
      <c r="AX17" s="626">
        <f t="shared" ref="AX17" si="14">IF(AND(ISNUMBER(AX18),ISNUMBER(AX19)),SUM(AX18:AX19),"")</f>
        <v>285100.98221726349</v>
      </c>
      <c r="AY17" s="626">
        <f t="shared" si="11"/>
        <v>3051538.5878720102</v>
      </c>
      <c r="AZ17" s="626">
        <f t="shared" si="11"/>
        <v>125466.16059650043</v>
      </c>
      <c r="BA17" s="568">
        <f t="shared" ref="BA17:BL17" si="15">IF(ISNUMBER(BA19), BA19, "")</f>
        <v>4861627.0452044932</v>
      </c>
      <c r="BB17" s="568">
        <f t="shared" si="15"/>
        <v>18972.387509500004</v>
      </c>
      <c r="BC17" s="568">
        <f t="shared" si="15"/>
        <v>0</v>
      </c>
      <c r="BD17" s="568">
        <f t="shared" si="15"/>
        <v>0</v>
      </c>
      <c r="BE17" s="568">
        <f t="shared" si="15"/>
        <v>670341.42155595927</v>
      </c>
      <c r="BF17" s="568">
        <f t="shared" si="15"/>
        <v>5550940.8542699525</v>
      </c>
      <c r="BG17" s="568">
        <f t="shared" si="15"/>
        <v>2079733.0683312758</v>
      </c>
      <c r="BH17" s="568">
        <f t="shared" si="15"/>
        <v>9675.0801762845149</v>
      </c>
      <c r="BI17" s="568">
        <f t="shared" si="15"/>
        <v>162647.96837528975</v>
      </c>
      <c r="BJ17" s="568">
        <f t="shared" si="15"/>
        <v>2252056.11688285</v>
      </c>
      <c r="BK17" s="568">
        <f t="shared" si="15"/>
        <v>120521.63669423191</v>
      </c>
      <c r="BL17" s="568">
        <f t="shared" si="15"/>
        <v>107317.61151889982</v>
      </c>
      <c r="BM17" s="568">
        <f t="shared" ref="BM17:BR17" si="16">IF(AND( ISNUMBER(BM18),ISNUMBER(BM19)), SUM(BM18:BM19),"")</f>
        <v>1416028.2196300004</v>
      </c>
      <c r="BN17" s="568">
        <f t="shared" ref="BN17" si="17">IF(AND( ISNUMBER(BN18),ISNUMBER(BN19)), SUM(BN18:BN19),"")</f>
        <v>5215.734527200002</v>
      </c>
      <c r="BO17" s="568">
        <f t="shared" si="16"/>
        <v>0</v>
      </c>
      <c r="BP17" s="568">
        <f t="shared" si="16"/>
        <v>0</v>
      </c>
      <c r="BQ17" s="568">
        <f t="shared" si="16"/>
        <v>297099.47310949973</v>
      </c>
      <c r="BR17" s="719">
        <f t="shared" si="16"/>
        <v>1718343.4272667002</v>
      </c>
      <c r="BS17" s="568">
        <f t="shared" ref="BS17" si="18">IF(AND( ISNUMBER(BS18),ISNUMBER(BS19)), SUM(BS18:BS19),"")</f>
        <v>675363.89371382317</v>
      </c>
      <c r="BT17" s="568">
        <f t="shared" ref="BT17" si="19">IF(AND( ISNUMBER(BT18),ISNUMBER(BT19)), SUM(BT18:BT19),"")</f>
        <v>1665.5634333633516</v>
      </c>
      <c r="BU17" s="568">
        <f t="shared" ref="BU17" si="20">IF(AND( ISNUMBER(BU18),ISNUMBER(BU19)), SUM(BU18:BU19),"")</f>
        <v>122453.01384197373</v>
      </c>
      <c r="BV17" s="568">
        <f t="shared" ref="BV17:BX17" si="21">IF(AND( ISNUMBER(BV18),ISNUMBER(BV19)), SUM(BV18:BV19),"")</f>
        <v>799482.47098916024</v>
      </c>
      <c r="BW17" s="568">
        <f t="shared" si="21"/>
        <v>4944.5239022685182</v>
      </c>
      <c r="BX17" s="568">
        <f t="shared" si="21"/>
        <v>1849.8808842999999</v>
      </c>
      <c r="BY17" s="568">
        <f>IF($C$7="No", 0, IF(AND(ISNUMBER(BY19),ISNUMBER(BY18)),BY18+BY19,""))</f>
        <v>0</v>
      </c>
      <c r="BZ17" s="568">
        <f t="shared" ref="BZ17:CD17" si="22">IF($C$7="No", 0, IF(AND(ISNUMBER(BZ19),ISNUMBER(BZ18)),BZ18+BZ19,""))</f>
        <v>0</v>
      </c>
      <c r="CA17" s="568">
        <f t="shared" si="22"/>
        <v>0</v>
      </c>
      <c r="CB17" s="568">
        <f t="shared" si="22"/>
        <v>0</v>
      </c>
      <c r="CC17" s="568">
        <f t="shared" si="22"/>
        <v>0</v>
      </c>
      <c r="CD17" s="568">
        <f t="shared" si="22"/>
        <v>0</v>
      </c>
      <c r="CE17" s="568">
        <f t="shared" ref="CE17" si="23">IF(AND(ISNUMBER(CE19), ISNUMBER(CE18)), CE18+CE19, "")</f>
        <v>0</v>
      </c>
      <c r="CF17" s="568">
        <f t="shared" ref="CF17:CH17" si="24">IF($C$7="No", 0, IF(AND(ISNUMBER(CF19),ISNUMBER(CF18)),CF18+CF19,""))</f>
        <v>0</v>
      </c>
      <c r="CG17" s="568">
        <f t="shared" si="24"/>
        <v>0</v>
      </c>
      <c r="CH17" s="568">
        <f t="shared" si="24"/>
        <v>0</v>
      </c>
      <c r="CI17" s="139">
        <f>IF($C$7="No", 0, IF(AND(ISNUMBER(CF17), ISNUMBER(CG17), ISNUMBER(CH17)), SUM(CF17:CH17), ""))</f>
        <v>0</v>
      </c>
      <c r="CJ17" s="611" t="str">
        <f>IF(AND(ISNUMBER(CE17), ISNUMBER(CI17)), IF(CE17&lt;&gt;0, CI17/CE17, ""), "")</f>
        <v/>
      </c>
      <c r="CK17" s="319"/>
      <c r="CL17" s="568">
        <f t="shared" ref="CL17:CQ17" si="25">IF(AND( ISNUMBER(CL18),ISNUMBER(CL19)), SUM(CL18:CL19),"")</f>
        <v>0</v>
      </c>
      <c r="CM17" s="568">
        <f t="shared" si="25"/>
        <v>0</v>
      </c>
      <c r="CN17" s="568">
        <f t="shared" si="25"/>
        <v>0</v>
      </c>
      <c r="CO17" s="568">
        <f t="shared" si="25"/>
        <v>7154046.0107566314</v>
      </c>
      <c r="CP17" s="568">
        <f t="shared" si="25"/>
        <v>24188.233418260021</v>
      </c>
      <c r="CQ17" s="568">
        <f t="shared" si="25"/>
        <v>7094900.2286714213</v>
      </c>
      <c r="CR17" s="489" t="str">
        <f>IF(AND(ISNUMBER(CO17), ISNUMBER(AU17), ISNUMBER(CE17)), IF(CO17&gt;= 0.85 * (AU17+CE17), "Pass", "please check"),"")</f>
        <v>Pass</v>
      </c>
      <c r="CS17" s="525" t="str">
        <f t="shared" ref="CS17:CS21" si="26">IF(AND(ISNUMBER(AL17),ISNUMBER(AM17),ISNUMBER(AN17),ISNUMBER(AO17),ISNUMBER(AY17), ISNUMBER(AZ17), ISNUMBER(CQ17), ISNUMBER(CI17)), IF(CQ17&gt;=(AY17+12.5*MAX(0,AZ17-(AL17+AM17+AN17+AO17))+CI17), "Pass", "please check"), "")</f>
        <v>Pass</v>
      </c>
      <c r="CT17" s="1894" t="str">
        <f t="shared" ref="CT17" si="27">IF(AND( ISNUMBER(CT18),ISNUMBER(CT19)), SUM(CT18:CT19),"")</f>
        <v/>
      </c>
      <c r="CU17" s="1895" t="str">
        <f>IF(AND(OR('General Info'!$C$19="Yes",'General Info'!$D$19="Yes"),ISNUMBER(CU18),ISNUMBER(CU19)), SUM(CU18:CU19),"")</f>
        <v/>
      </c>
      <c r="CV17" s="1895" t="str">
        <f>IF(AND(OR('General Info'!$C$19="Yes",'General Info'!$D$19="Yes"),ISNUMBER(CV18),ISNUMBER(CV19)), SUM(CV18:CV19),"")</f>
        <v/>
      </c>
      <c r="CW17" s="1896" t="str">
        <f>IF(AND(OR('General Info'!$C$19="Yes",'General Info'!$D$19="Yes"),ISNUMBER(AU17),ISNUMBER(CE17)),SUM(AU17,CE17),"")</f>
        <v/>
      </c>
      <c r="CX17" s="1896" t="str">
        <f>IF(AND(OR('General Info'!$C$19="Yes",'General Info'!$D$19="Yes"),ISNUMBER(AQ17),ISNUMBER(CA17)),SUM(AQ17,CA17),"")</f>
        <v/>
      </c>
      <c r="CY17" s="1897" t="str">
        <f>IF(AND(OR('General Info'!$C$19="Yes",'General Info'!$D$19="Yes"),ISNUMBER(CY18),ISNUMBER(CY19)), SUM(CY18:CY19),"")</f>
        <v/>
      </c>
      <c r="CZ17" s="1514"/>
    </row>
    <row r="18" spans="1:104" ht="15" customHeight="1" x14ac:dyDescent="0.35">
      <c r="A18" s="263"/>
      <c r="B18" s="219" t="s">
        <v>880</v>
      </c>
      <c r="C18" s="375">
        <f t="shared" ref="C18:G19" si="28">IF(AND(ISNUMBER(N18),ISNUMBER(Z18)),SUM(N18,Z18),"")</f>
        <v>1416028.2196299972</v>
      </c>
      <c r="D18" s="375">
        <f t="shared" si="28"/>
        <v>5215.7345272000011</v>
      </c>
      <c r="E18" s="375">
        <f t="shared" si="28"/>
        <v>0</v>
      </c>
      <c r="F18" s="375" t="str">
        <f t="shared" si="28"/>
        <v/>
      </c>
      <c r="G18" s="375">
        <f t="shared" si="28"/>
        <v>301641.34603209968</v>
      </c>
      <c r="H18" s="375">
        <f>IF(AND(ISNUMBER(C18),ISNUMBER(D18),ISNUMBER(G18)),SUM(C18,D18,G18),"")</f>
        <v>1722885.3001892967</v>
      </c>
      <c r="I18" s="375">
        <f t="shared" ref="I18:M19" si="29">IF(AND(ISNUMBER(T18),ISNUMBER(AF18)),SUM(T18,AF18),"")</f>
        <v>572903.21269790013</v>
      </c>
      <c r="J18" s="375">
        <f t="shared" si="29"/>
        <v>1411.4243977000001</v>
      </c>
      <c r="K18" s="375">
        <f t="shared" si="29"/>
        <v>80453.195624</v>
      </c>
      <c r="L18" s="375">
        <f t="shared" si="29"/>
        <v>654767.83271960018</v>
      </c>
      <c r="M18" s="375">
        <f t="shared" si="29"/>
        <v>5252.1971872000022</v>
      </c>
      <c r="N18" s="212">
        <v>1416028.2196299972</v>
      </c>
      <c r="O18" s="212">
        <v>5215.7345272000011</v>
      </c>
      <c r="P18" s="212">
        <v>0</v>
      </c>
      <c r="Q18" s="212"/>
      <c r="R18" s="155">
        <v>301641.34603209968</v>
      </c>
      <c r="S18" s="375">
        <f>IF(AND(ISNUMBER(N18),ISNUMBER(O18),ISNUMBER(R18)),SUM(N18,O18,R18),"")</f>
        <v>1722885.3001892967</v>
      </c>
      <c r="T18" s="495">
        <v>572903.21269790013</v>
      </c>
      <c r="U18" s="212">
        <v>1411.4243977000001</v>
      </c>
      <c r="V18" s="155">
        <v>80453.195624</v>
      </c>
      <c r="W18" s="375">
        <f>IF(AND(ISNUMBER(T18),ISNUMBER(U18),ISNUMBER(V18)),SUM(T18:V18), "")</f>
        <v>654767.83271960018</v>
      </c>
      <c r="X18" s="495">
        <v>5252.1971872000022</v>
      </c>
      <c r="Y18" s="212">
        <v>1849.8808842999999</v>
      </c>
      <c r="Z18" s="2527">
        <v>0</v>
      </c>
      <c r="AA18" s="212">
        <v>0</v>
      </c>
      <c r="AB18" s="2527">
        <v>0</v>
      </c>
      <c r="AC18" s="2527">
        <v>0</v>
      </c>
      <c r="AD18" s="2527">
        <v>0</v>
      </c>
      <c r="AE18" s="375">
        <f>IF(AND(ISNUMBER(Z18),ISNUMBER(AA18),ISNUMBER(AD18)),SUM(Z18,AA18,AD18),"")</f>
        <v>0</v>
      </c>
      <c r="AF18" s="495">
        <v>0</v>
      </c>
      <c r="AG18" s="2535">
        <v>0</v>
      </c>
      <c r="AH18" s="2535">
        <v>0</v>
      </c>
      <c r="AI18" s="375">
        <f>IF(AND(ISNUMBER(AF18),ISNUMBER(AG18),ISNUMBER(AH18)),SUM(AF18:AH18), "")</f>
        <v>0</v>
      </c>
      <c r="AJ18" s="495">
        <v>0</v>
      </c>
      <c r="AK18" s="2535">
        <v>0</v>
      </c>
      <c r="AL18" s="208">
        <v>1673.3800800000122</v>
      </c>
      <c r="AM18" s="208">
        <v>3548.4562900000046</v>
      </c>
      <c r="AN18" s="2540">
        <v>0</v>
      </c>
      <c r="AO18" s="2540">
        <v>0</v>
      </c>
      <c r="AP18" s="375">
        <f t="shared" ref="AP18:AT18" si="30">IF(ISNUMBER(BM18),BM18,"")</f>
        <v>1416028.2196300004</v>
      </c>
      <c r="AQ18" s="375">
        <f t="shared" si="30"/>
        <v>5215.734527200002</v>
      </c>
      <c r="AR18" s="375">
        <f t="shared" si="30"/>
        <v>0</v>
      </c>
      <c r="AS18" s="375">
        <f t="shared" si="30"/>
        <v>0</v>
      </c>
      <c r="AT18" s="375">
        <f t="shared" si="30"/>
        <v>297099.47310949973</v>
      </c>
      <c r="AU18" s="375">
        <f>IF(AND(ISNUMBER(AP18),ISNUMBER(AQ18),ISNUMBER(AT18)),SUM(AP18,AQ18,AT18),"")</f>
        <v>1718343.4272667002</v>
      </c>
      <c r="AV18" s="375">
        <f>IF(ISNUMBER(BS18),BS18,"")</f>
        <v>675363.89371382317</v>
      </c>
      <c r="AW18" s="375">
        <f>IF(ISNUMBER(BT18),BT18,"")</f>
        <v>1665.5634333633516</v>
      </c>
      <c r="AX18" s="375">
        <f>IF(ISNUMBER(BU18),BU18,"")</f>
        <v>122453.01384197373</v>
      </c>
      <c r="AY18" s="375">
        <f>IF(ISNUMBER(BV18),BV18,"")</f>
        <v>799482.47098916024</v>
      </c>
      <c r="AZ18" s="375">
        <f>IF(ISNUMBER(BW18),BW18,"")</f>
        <v>4944.5239022685182</v>
      </c>
      <c r="BA18" s="533"/>
      <c r="BB18" s="533"/>
      <c r="BC18" s="533"/>
      <c r="BD18" s="533"/>
      <c r="BE18" s="533"/>
      <c r="BF18" s="574"/>
      <c r="BG18" s="533"/>
      <c r="BH18" s="533"/>
      <c r="BI18" s="533"/>
      <c r="BJ18" s="533"/>
      <c r="BK18" s="533"/>
      <c r="BL18" s="533"/>
      <c r="BM18" s="212">
        <v>1416028.2196300004</v>
      </c>
      <c r="BN18" s="212">
        <v>5215.734527200002</v>
      </c>
      <c r="BO18" s="212">
        <v>0</v>
      </c>
      <c r="BP18" s="212">
        <v>0</v>
      </c>
      <c r="BQ18" s="155">
        <v>297099.47310949973</v>
      </c>
      <c r="BR18" s="375">
        <f>IF(AND(ISNUMBER(BM18), ISNUMBER(BN18), ISNUMBER(BQ18)), SUM(BM18,BN18,BQ18), "")</f>
        <v>1718343.4272667002</v>
      </c>
      <c r="BS18" s="495">
        <v>675363.89371382317</v>
      </c>
      <c r="BT18" s="212">
        <v>1665.5634333633516</v>
      </c>
      <c r="BU18" s="212">
        <v>122453.01384197373</v>
      </c>
      <c r="BV18" s="626">
        <f>IF(AND(ISNUMBER(BS18),ISNUMBER(BT18),ISNUMBER(BU18)),SUM(BS18:BU18), "")</f>
        <v>799482.47098916024</v>
      </c>
      <c r="BW18" s="212">
        <v>4944.5239022685182</v>
      </c>
      <c r="BX18" s="212">
        <v>1849.8808842999999</v>
      </c>
      <c r="BY18" s="208"/>
      <c r="BZ18" s="208">
        <v>0</v>
      </c>
      <c r="CA18" s="2540">
        <v>0</v>
      </c>
      <c r="CB18" s="2540">
        <v>0</v>
      </c>
      <c r="CC18" s="2540">
        <v>0</v>
      </c>
      <c r="CD18" s="2540">
        <v>0</v>
      </c>
      <c r="CE18" s="375">
        <f>IF($C$7="No", 0, IF(AND(ISNUMBER(BZ18),ISNUMBER(CA18),ISNUMBER(CD18)),SUM(BZ18,CA18,CD18),""))</f>
        <v>0</v>
      </c>
      <c r="CF18" s="208">
        <v>0</v>
      </c>
      <c r="CG18" s="208">
        <v>0</v>
      </c>
      <c r="CH18" s="208">
        <v>0</v>
      </c>
      <c r="CI18" s="139">
        <f>IF($C$7="No", 0, IF(AND(ISNUMBER(CF18), ISNUMBER(CG18), ISNUMBER(CH18)), SUM(CF18:CH18), ""))</f>
        <v>0</v>
      </c>
      <c r="CJ18" s="614" t="str">
        <f>IF(AND(ISNUMBER(CE18), ISNUMBER(CI18)), IF(CE18&lt;&gt;0, CI18/CE18, ""), "")</f>
        <v/>
      </c>
      <c r="CK18" s="319"/>
      <c r="CL18" s="212">
        <v>0</v>
      </c>
      <c r="CM18" s="2527">
        <v>0</v>
      </c>
      <c r="CN18" s="2527">
        <v>0</v>
      </c>
      <c r="CO18" s="212">
        <v>1713121.5908966986</v>
      </c>
      <c r="CP18" s="212">
        <v>5215.7345271999984</v>
      </c>
      <c r="CQ18" s="212">
        <v>1701931.4218291687</v>
      </c>
      <c r="CR18" s="352" t="str">
        <f>IF(AND(ISNUMBER(CO18), ISNUMBER(AU18), ISNUMBER(CE18)), IF(CO18&gt;= 0.85 * (AU18+CE18), "Pass", "please check"),"")</f>
        <v>Pass</v>
      </c>
      <c r="CS18" s="356" t="str">
        <f t="shared" si="26"/>
        <v>Pass</v>
      </c>
      <c r="CT18" s="1898" t="str">
        <f>IF(AND(OR('General Info'!$C$19="Yes",'General Info'!$D$19="Yes"),ISNUMBER(CO18),ISNUMBER(CP18),ISNUMBER(CU18)),CO18-CP18+CU18,"")</f>
        <v/>
      </c>
      <c r="CU18" s="208"/>
      <c r="CV18" s="208"/>
      <c r="CW18" s="1899" t="str">
        <f>IF(AND(OR('General Info'!$C$19="Yes",'General Info'!$D$19="Yes"),ISNUMBER(AU18),ISNUMBER(CE18)),SUM(AU18,CE18),"")</f>
        <v/>
      </c>
      <c r="CX18" s="1899" t="str">
        <f>IF(AND(OR('General Info'!$C$19="Yes",'General Info'!$D$19="Yes"),ISNUMBER(AQ18),ISNUMBER(CA18)),SUM(AQ18,CA18),"")</f>
        <v/>
      </c>
      <c r="CY18" s="138"/>
      <c r="CZ18" s="1514"/>
    </row>
    <row r="19" spans="1:104" ht="15" customHeight="1" x14ac:dyDescent="0.35">
      <c r="A19" s="263"/>
      <c r="B19" s="219" t="s">
        <v>881</v>
      </c>
      <c r="C19" s="375">
        <f t="shared" si="28"/>
        <v>4861627.0452044467</v>
      </c>
      <c r="D19" s="375">
        <f t="shared" si="28"/>
        <v>18972.387509500018</v>
      </c>
      <c r="E19" s="375">
        <f t="shared" si="28"/>
        <v>0</v>
      </c>
      <c r="F19" s="375" t="str">
        <f t="shared" si="28"/>
        <v/>
      </c>
      <c r="G19" s="375">
        <f t="shared" si="28"/>
        <v>435334.33812509966</v>
      </c>
      <c r="H19" s="375">
        <f>IF(AND(ISNUMBER(C19),ISNUMBER(D19),ISNUMBER(G19)),SUM(C19,D19,G19),"")</f>
        <v>5315933.7708390458</v>
      </c>
      <c r="I19" s="375">
        <f t="shared" si="29"/>
        <v>2191197.0199338836</v>
      </c>
      <c r="J19" s="375">
        <f t="shared" si="29"/>
        <v>10255.469704799998</v>
      </c>
      <c r="K19" s="375">
        <f t="shared" si="29"/>
        <v>142986.13172060027</v>
      </c>
      <c r="L19" s="375">
        <f t="shared" si="29"/>
        <v>2344438.6213592836</v>
      </c>
      <c r="M19" s="375">
        <f t="shared" si="29"/>
        <v>119893.29552390026</v>
      </c>
      <c r="N19" s="210">
        <v>4861627.0452044467</v>
      </c>
      <c r="O19" s="210">
        <v>18972.387509500018</v>
      </c>
      <c r="P19" s="210">
        <v>0</v>
      </c>
      <c r="Q19" s="210"/>
      <c r="R19" s="237">
        <v>435334.33812509966</v>
      </c>
      <c r="S19" s="375">
        <f>IF(AND(ISNUMBER(N19),ISNUMBER(O19),ISNUMBER(R19)),SUM(N19,O19,R19),"")</f>
        <v>5315933.7708390458</v>
      </c>
      <c r="T19" s="307">
        <v>2191197.0199338836</v>
      </c>
      <c r="U19" s="210">
        <v>10255.469704799998</v>
      </c>
      <c r="V19" s="237">
        <v>142986.13172060027</v>
      </c>
      <c r="W19" s="375">
        <f>IF(AND(ISNUMBER(T19),ISNUMBER(U19),ISNUMBER(V19)),SUM(T19:V19), "")</f>
        <v>2344438.6213592836</v>
      </c>
      <c r="X19" s="307">
        <v>119893.29552390026</v>
      </c>
      <c r="Y19" s="210">
        <v>107317.61151889982</v>
      </c>
      <c r="Z19" s="2528">
        <v>0</v>
      </c>
      <c r="AA19" s="210">
        <v>0</v>
      </c>
      <c r="AB19" s="2528">
        <v>0</v>
      </c>
      <c r="AC19" s="2528">
        <v>0</v>
      </c>
      <c r="AD19" s="2528">
        <v>0</v>
      </c>
      <c r="AE19" s="375">
        <f>IF(AND(ISNUMBER(Z19),ISNUMBER(AA19),ISNUMBER(AD19)),SUM(Z19,AA19,AD19),"")</f>
        <v>0</v>
      </c>
      <c r="AF19" s="307">
        <v>0</v>
      </c>
      <c r="AG19" s="2537">
        <v>0</v>
      </c>
      <c r="AH19" s="2537">
        <v>0</v>
      </c>
      <c r="AI19" s="375">
        <f>IF(AND(ISNUMBER(AF19),ISNUMBER(AG19),ISNUMBER(AH19)),SUM(AF19:AH19), "")</f>
        <v>0</v>
      </c>
      <c r="AJ19" s="307">
        <v>0</v>
      </c>
      <c r="AK19" s="2537">
        <v>0</v>
      </c>
      <c r="AL19" s="208">
        <v>7460.9009599998399</v>
      </c>
      <c r="AM19" s="208">
        <v>102555.53345000003</v>
      </c>
      <c r="AN19" s="2540">
        <v>0</v>
      </c>
      <c r="AO19" s="2540">
        <v>0</v>
      </c>
      <c r="AP19" s="375">
        <f>IF(AND(ISNUMBER(BA19),ISNUMBER(BM19)),SUM(BA19,BM19),"")</f>
        <v>4861627.0452044932</v>
      </c>
      <c r="AQ19" s="375">
        <f>IF(AND(ISNUMBER(BB19),ISNUMBER(BN19)),SUM(BB19,BN19),"")</f>
        <v>18972.387509500004</v>
      </c>
      <c r="AR19" s="375">
        <f>IF(AND(ISNUMBER(BC19),ISNUMBER(BO19)),SUM(BC19,BO19),"")</f>
        <v>0</v>
      </c>
      <c r="AS19" s="375">
        <f>IF(AND(ISNUMBER(BD19),ISNUMBER(BP19)),SUM(BD19,BP19),"")</f>
        <v>0</v>
      </c>
      <c r="AT19" s="375">
        <f>IF(AND(ISNUMBER(BE19),ISNUMBER(BQ19)),SUM(BE19,BQ19),"")</f>
        <v>670341.42155595927</v>
      </c>
      <c r="AU19" s="375">
        <f>IF(AND(ISNUMBER(AP19),ISNUMBER(AQ19),ISNUMBER(AT19)),SUM(AP19,AQ19,AT19),"")</f>
        <v>5550940.8542699525</v>
      </c>
      <c r="AV19" s="375">
        <f>IF(AND(ISNUMBER(BG19),ISNUMBER(BS19)),SUM(BG19,BS19),"")</f>
        <v>2079733.0683312758</v>
      </c>
      <c r="AW19" s="375">
        <f>IF(AND(ISNUMBER(BH19),ISNUMBER(BT19)),SUM(BH19,BT19),"")</f>
        <v>9675.0801762845149</v>
      </c>
      <c r="AX19" s="375">
        <f>IF(AND(ISNUMBER(BI19),ISNUMBER(BU19)),SUM(BI19,BU19),"")</f>
        <v>162647.96837528975</v>
      </c>
      <c r="AY19" s="375">
        <f>IF(AND(ISNUMBER(BJ19),ISNUMBER(BV19)),SUM(BJ19,BV19),"")</f>
        <v>2252056.11688285</v>
      </c>
      <c r="AZ19" s="375">
        <f>IF(AND(ISNUMBER(BK19),ISNUMBER(BW19)),SUM(BK19,BW19),"")</f>
        <v>120521.63669423191</v>
      </c>
      <c r="BA19" s="208">
        <v>4861627.0452044932</v>
      </c>
      <c r="BB19" s="208">
        <v>18972.387509500004</v>
      </c>
      <c r="BC19" s="208">
        <v>0</v>
      </c>
      <c r="BD19" s="208">
        <v>0</v>
      </c>
      <c r="BE19" s="138">
        <v>670341.42155595927</v>
      </c>
      <c r="BF19" s="375">
        <f>IF(AND(ISNUMBER(BA19), ISNUMBER(BB19), ISNUMBER(BE19)), SUM(BA19,BB19,BE19), "")</f>
        <v>5550940.8542699525</v>
      </c>
      <c r="BG19" s="299">
        <v>2079733.0683312758</v>
      </c>
      <c r="BH19" s="208">
        <v>9675.0801762845149</v>
      </c>
      <c r="BI19" s="208">
        <v>162647.96837528975</v>
      </c>
      <c r="BJ19" s="375">
        <f>IF(AND(ISNUMBER(BG19),ISNUMBER(BH19),ISNUMBER(BI19)),SUM(BG19:BI19), "")</f>
        <v>2252056.11688285</v>
      </c>
      <c r="BK19" s="208">
        <v>120521.63669423191</v>
      </c>
      <c r="BL19" s="210">
        <v>107317.61151889982</v>
      </c>
      <c r="BM19" s="210">
        <v>0</v>
      </c>
      <c r="BN19" s="2528">
        <v>0</v>
      </c>
      <c r="BO19" s="2528">
        <v>0</v>
      </c>
      <c r="BP19" s="2528">
        <v>0</v>
      </c>
      <c r="BQ19" s="2528">
        <v>0</v>
      </c>
      <c r="BR19" s="375">
        <f>IF(AND(ISNUMBER(BM19), ISNUMBER(BN19), ISNUMBER(BQ19)), SUM(BM19,BN19,BQ19), "")</f>
        <v>0</v>
      </c>
      <c r="BS19" s="307">
        <v>0</v>
      </c>
      <c r="BT19" s="210">
        <v>0</v>
      </c>
      <c r="BU19" s="210">
        <v>0</v>
      </c>
      <c r="BV19" s="624">
        <f>IF(AND(ISNUMBER(BS19),ISNUMBER(BT19),ISNUMBER(BU19)),SUM(BS19:BU19), "")</f>
        <v>0</v>
      </c>
      <c r="BW19" s="210">
        <v>0</v>
      </c>
      <c r="BX19" s="210">
        <v>0</v>
      </c>
      <c r="BY19" s="208"/>
      <c r="BZ19" s="208">
        <v>0</v>
      </c>
      <c r="CA19" s="2540">
        <v>0</v>
      </c>
      <c r="CB19" s="2540">
        <v>0</v>
      </c>
      <c r="CC19" s="2540">
        <v>0</v>
      </c>
      <c r="CD19" s="2540">
        <v>0</v>
      </c>
      <c r="CE19" s="375">
        <f>IF($C$7="No", 0, IF(AND(ISNUMBER(BZ19),ISNUMBER(CA19),ISNUMBER(CD19)),SUM(BZ19,CA19,CD19),""))</f>
        <v>0</v>
      </c>
      <c r="CF19" s="2540">
        <v>0</v>
      </c>
      <c r="CG19" s="2540">
        <v>0</v>
      </c>
      <c r="CH19" s="2540">
        <v>0</v>
      </c>
      <c r="CI19" s="139">
        <f>IF($C$7="No", 0, IF(AND(ISNUMBER(CF19), ISNUMBER(CG19), ISNUMBER(CH19)), SUM(CF19:CH19), ""))</f>
        <v>0</v>
      </c>
      <c r="CJ19" s="614" t="str">
        <f>IF(AND(ISNUMBER(CE19), ISNUMBER(CI19)), IF(CE19&lt;&gt;0, CI19/CE19, ""), "")</f>
        <v/>
      </c>
      <c r="CK19" s="319"/>
      <c r="CL19" s="210">
        <v>0</v>
      </c>
      <c r="CM19" s="2528">
        <v>0</v>
      </c>
      <c r="CN19" s="2528">
        <v>0</v>
      </c>
      <c r="CO19" s="210">
        <v>5440924.4198599327</v>
      </c>
      <c r="CP19" s="210">
        <v>18972.498891060022</v>
      </c>
      <c r="CQ19" s="210">
        <v>5392968.8068422526</v>
      </c>
      <c r="CR19" s="352" t="str">
        <f>IF(AND(ISNUMBER(CO19), ISNUMBER(AU19), ISNUMBER(CE19)), IF(CO19&gt;= 0.85 * (AU19+CE19), "Pass", "please check"),"")</f>
        <v>Pass</v>
      </c>
      <c r="CS19" s="356" t="str">
        <f t="shared" si="26"/>
        <v>Pass</v>
      </c>
      <c r="CT19" s="1898" t="str">
        <f>IF(AND(OR('General Info'!$C$19="Yes",'General Info'!$D$19="Yes"),ISNUMBER(CO19),ISNUMBER(CP19),ISNUMBER(CU19)),CO19-CP19+CU19,"")</f>
        <v/>
      </c>
      <c r="CU19" s="208"/>
      <c r="CV19" s="208"/>
      <c r="CW19" s="1899" t="str">
        <f>IF(AND(OR('General Info'!$C$19="Yes",'General Info'!$D$19="Yes"),ISNUMBER(AU19),ISNUMBER(CE19)),SUM(AU19,CE19),"")</f>
        <v/>
      </c>
      <c r="CX19" s="1899" t="str">
        <f>IF(AND(OR('General Info'!$C$19="Yes",'General Info'!$D$19="Yes"),ISNUMBER(AQ19),ISNUMBER(CA19)),SUM(AQ19,CA19),"")</f>
        <v/>
      </c>
      <c r="CY19" s="138"/>
      <c r="CZ19" s="1514"/>
    </row>
    <row r="20" spans="1:104" ht="15" customHeight="1" x14ac:dyDescent="0.35">
      <c r="A20" s="263"/>
      <c r="B20" s="323" t="s">
        <v>800</v>
      </c>
      <c r="C20" s="375">
        <f t="shared" ref="C20:AC20" si="31">IF(AND(ISNUMBER(C21),ISNUMBER(C24),ISNUMBER(C27),ISNUMBER(C30),ISNUMBER(C33)),SUM(C21,C24,C27,C30,C33),"")</f>
        <v>0</v>
      </c>
      <c r="D20" s="375">
        <f t="shared" si="31"/>
        <v>0</v>
      </c>
      <c r="E20" s="375">
        <f t="shared" si="31"/>
        <v>0</v>
      </c>
      <c r="F20" s="375" t="str">
        <f t="shared" si="31"/>
        <v/>
      </c>
      <c r="G20" s="375">
        <f t="shared" si="31"/>
        <v>0</v>
      </c>
      <c r="H20" s="375">
        <f t="shared" si="31"/>
        <v>0</v>
      </c>
      <c r="I20" s="375">
        <f t="shared" ref="I20" si="32">IF(AND(ISNUMBER(I21),ISNUMBER(I24),ISNUMBER(I27),ISNUMBER(I30),ISNUMBER(I33)),SUM(I21,I24,I27,I30,I33),"")</f>
        <v>0</v>
      </c>
      <c r="J20" s="375">
        <f t="shared" ref="J20" si="33">IF(AND(ISNUMBER(J21),ISNUMBER(J24),ISNUMBER(J27),ISNUMBER(J30),ISNUMBER(J33)),SUM(J21,J24,J27,J30,J33),"")</f>
        <v>0</v>
      </c>
      <c r="K20" s="375">
        <f t="shared" ref="K20" si="34">IF(AND(ISNUMBER(K21),ISNUMBER(K24),ISNUMBER(K27),ISNUMBER(K30),ISNUMBER(K33)),SUM(K21,K24,K27,K30,K33),"")</f>
        <v>0</v>
      </c>
      <c r="L20" s="375">
        <f t="shared" si="31"/>
        <v>0</v>
      </c>
      <c r="M20" s="375">
        <f t="shared" si="31"/>
        <v>0</v>
      </c>
      <c r="N20" s="375">
        <f t="shared" si="31"/>
        <v>0</v>
      </c>
      <c r="O20" s="375">
        <f t="shared" si="31"/>
        <v>0</v>
      </c>
      <c r="P20" s="375">
        <f t="shared" si="31"/>
        <v>0</v>
      </c>
      <c r="Q20" s="375" t="str">
        <f t="shared" si="31"/>
        <v/>
      </c>
      <c r="R20" s="375">
        <f t="shared" si="31"/>
        <v>0</v>
      </c>
      <c r="S20" s="375">
        <f t="shared" si="31"/>
        <v>0</v>
      </c>
      <c r="T20" s="375">
        <f t="shared" ref="T20" si="35">IF(AND(ISNUMBER(T21),ISNUMBER(T24),ISNUMBER(T27),ISNUMBER(T30),ISNUMBER(T33)),SUM(T21,T24,T27,T30,T33),"")</f>
        <v>0</v>
      </c>
      <c r="U20" s="375">
        <f t="shared" ref="U20" si="36">IF(AND(ISNUMBER(U21),ISNUMBER(U24),ISNUMBER(U27),ISNUMBER(U30),ISNUMBER(U33)),SUM(U21,U24,U27,U30,U33),"")</f>
        <v>0</v>
      </c>
      <c r="V20" s="375">
        <f t="shared" ref="V20" si="37">IF(AND(ISNUMBER(V21),ISNUMBER(V24),ISNUMBER(V27),ISNUMBER(V30),ISNUMBER(V33)),SUM(V21,V24,V27,V30,V33),"")</f>
        <v>0</v>
      </c>
      <c r="W20" s="375">
        <f t="shared" si="31"/>
        <v>0</v>
      </c>
      <c r="X20" s="375">
        <f t="shared" si="31"/>
        <v>0</v>
      </c>
      <c r="Y20" s="375">
        <f t="shared" si="31"/>
        <v>0</v>
      </c>
      <c r="Z20" s="617">
        <f t="shared" si="31"/>
        <v>0</v>
      </c>
      <c r="AA20" s="375">
        <f t="shared" si="31"/>
        <v>0</v>
      </c>
      <c r="AB20" s="375">
        <f t="shared" si="31"/>
        <v>0</v>
      </c>
      <c r="AC20" s="375">
        <f t="shared" si="31"/>
        <v>0</v>
      </c>
      <c r="AD20" s="139">
        <f t="shared" ref="AD20:AK20" si="38">IF(AND(ISNUMBER(AD21),ISNUMBER(AD24),ISNUMBER(AD27),ISNUMBER(AD30),ISNUMBER(AD33)),SUM(AD21,AD24,AD27,AD30,AD33),"")</f>
        <v>0</v>
      </c>
      <c r="AE20" s="375">
        <f t="shared" si="38"/>
        <v>0</v>
      </c>
      <c r="AF20" s="375">
        <f t="shared" si="38"/>
        <v>0</v>
      </c>
      <c r="AG20" s="375">
        <f t="shared" si="38"/>
        <v>0</v>
      </c>
      <c r="AH20" s="139">
        <f t="shared" si="38"/>
        <v>0</v>
      </c>
      <c r="AI20" s="375">
        <f t="shared" si="38"/>
        <v>0</v>
      </c>
      <c r="AJ20" s="375">
        <f t="shared" si="38"/>
        <v>0</v>
      </c>
      <c r="AK20" s="375">
        <f t="shared" si="38"/>
        <v>0</v>
      </c>
      <c r="AL20" s="299">
        <v>0</v>
      </c>
      <c r="AM20" s="2540">
        <v>0</v>
      </c>
      <c r="AN20" s="2540">
        <v>0</v>
      </c>
      <c r="AO20" s="2540">
        <v>0</v>
      </c>
      <c r="AP20" s="375">
        <f t="shared" ref="AP20:AQ20" si="39">IF(AND(ISNUMBER(AP21),ISNUMBER(AP24),ISNUMBER(AP27),ISNUMBER(AP30),ISNUMBER(AP33)),SUM(AP21,AP24,AP27,AP30,AP33),"")</f>
        <v>0</v>
      </c>
      <c r="AQ20" s="375">
        <f t="shared" si="39"/>
        <v>0</v>
      </c>
      <c r="AR20" s="375">
        <f>IF(AND(ISNUMBER(AR21),ISNUMBER(AR24),ISNUMBER(AR27),ISNUMBER(AR30),ISNUMBER(AR33)),SUM(AR21,AR24,AR27,AR30,AR33),"")</f>
        <v>0</v>
      </c>
      <c r="AS20" s="375">
        <f>IF(AND(ISNUMBER(AS21),ISNUMBER(AS24),ISNUMBER(AS27),ISNUMBER(AS30),ISNUMBER(AS33)),SUM(AS21,AS24,AS27,AS30,AS33),"")</f>
        <v>0</v>
      </c>
      <c r="AT20" s="375">
        <f>IF(AND(ISNUMBER(AT21),ISNUMBER(AT24),ISNUMBER(AT27),ISNUMBER(AT30),ISNUMBER(AT33)),SUM(AT21,AT24,AT27,AT30,AT33),"")</f>
        <v>0</v>
      </c>
      <c r="AU20" s="375">
        <f>IF(AND(ISNUMBER(AU21),ISNUMBER(AU24),ISNUMBER(AU27),ISNUMBER(AU30),ISNUMBER(AU33)),SUM(AU21,AU24,AU27,AU30,AU33),"")</f>
        <v>0</v>
      </c>
      <c r="AV20" s="375">
        <f t="shared" ref="AV20" si="40">IF(AND(ISNUMBER(AV21),ISNUMBER(AV24),ISNUMBER(AV27),ISNUMBER(AV30),ISNUMBER(AV33)),SUM(AV21,AV24,AV27,AV30,AV33),"")</f>
        <v>0</v>
      </c>
      <c r="AW20" s="375">
        <f t="shared" ref="AW20" si="41">IF(AND(ISNUMBER(AW21),ISNUMBER(AW24),ISNUMBER(AW27),ISNUMBER(AW30),ISNUMBER(AW33)),SUM(AW21,AW24,AW27,AW30,AW33),"")</f>
        <v>0</v>
      </c>
      <c r="AX20" s="375">
        <f t="shared" ref="AX20" si="42">IF(AND(ISNUMBER(AX21),ISNUMBER(AX24),ISNUMBER(AX27),ISNUMBER(AX30),ISNUMBER(AX33)),SUM(AX21,AX24,AX27,AX30,AX33),"")</f>
        <v>0</v>
      </c>
      <c r="AY20" s="375">
        <f t="shared" ref="AY20:BX20" si="43">IF(AND(ISNUMBER(AY21),ISNUMBER(AY24),ISNUMBER(AY27),ISNUMBER(AY30),ISNUMBER(AY33)),SUM(AY21,AY24,AY27,AY30,AY33),"")</f>
        <v>0</v>
      </c>
      <c r="AZ20" s="375">
        <f t="shared" si="43"/>
        <v>0</v>
      </c>
      <c r="BA20" s="375">
        <f t="shared" si="43"/>
        <v>0</v>
      </c>
      <c r="BB20" s="375">
        <f t="shared" si="43"/>
        <v>0</v>
      </c>
      <c r="BC20" s="375">
        <f t="shared" si="43"/>
        <v>0</v>
      </c>
      <c r="BD20" s="375">
        <f t="shared" si="43"/>
        <v>0</v>
      </c>
      <c r="BE20" s="139">
        <f t="shared" si="43"/>
        <v>0</v>
      </c>
      <c r="BF20" s="375">
        <f t="shared" si="43"/>
        <v>0</v>
      </c>
      <c r="BG20" s="617">
        <f t="shared" ref="BG20" si="44">IF(AND(ISNUMBER(BG21),ISNUMBER(BG24),ISNUMBER(BG27),ISNUMBER(BG30),ISNUMBER(BG33)),SUM(BG21,BG24,BG27,BG30,BG33),"")</f>
        <v>0</v>
      </c>
      <c r="BH20" s="375">
        <f t="shared" ref="BH20" si="45">IF(AND(ISNUMBER(BH21),ISNUMBER(BH24),ISNUMBER(BH27),ISNUMBER(BH30),ISNUMBER(BH33)),SUM(BH21,BH24,BH27,BH30,BH33),"")</f>
        <v>0</v>
      </c>
      <c r="BI20" s="375">
        <f t="shared" ref="BI20" si="46">IF(AND(ISNUMBER(BI21),ISNUMBER(BI24),ISNUMBER(BI27),ISNUMBER(BI30),ISNUMBER(BI33)),SUM(BI21,BI24,BI27,BI30,BI33),"")</f>
        <v>0</v>
      </c>
      <c r="BJ20" s="375">
        <f t="shared" si="43"/>
        <v>0</v>
      </c>
      <c r="BK20" s="375">
        <f t="shared" si="43"/>
        <v>0</v>
      </c>
      <c r="BL20" s="375">
        <f t="shared" si="43"/>
        <v>0</v>
      </c>
      <c r="BM20" s="375">
        <f t="shared" si="43"/>
        <v>0</v>
      </c>
      <c r="BN20" s="375">
        <f t="shared" si="43"/>
        <v>0</v>
      </c>
      <c r="BO20" s="375">
        <f t="shared" si="43"/>
        <v>0</v>
      </c>
      <c r="BP20" s="375">
        <f t="shared" si="43"/>
        <v>0</v>
      </c>
      <c r="BQ20" s="375">
        <f t="shared" si="43"/>
        <v>0</v>
      </c>
      <c r="BR20" s="718">
        <f t="shared" si="43"/>
        <v>0</v>
      </c>
      <c r="BS20" s="375">
        <f t="shared" ref="BS20" si="47">IF(AND(ISNUMBER(BS21),ISNUMBER(BS24),ISNUMBER(BS27),ISNUMBER(BS30),ISNUMBER(BS33)),SUM(BS21,BS24,BS27,BS30,BS33),"")</f>
        <v>0</v>
      </c>
      <c r="BT20" s="375">
        <f t="shared" ref="BT20:BU20" si="48">IF(AND(ISNUMBER(BT21),ISNUMBER(BT24),ISNUMBER(BT27),ISNUMBER(BT30),ISNUMBER(BT33)),SUM(BT21,BT24,BT27,BT30,BT33),"")</f>
        <v>0</v>
      </c>
      <c r="BU20" s="375">
        <f t="shared" si="48"/>
        <v>0</v>
      </c>
      <c r="BV20" s="375">
        <f t="shared" si="43"/>
        <v>0</v>
      </c>
      <c r="BW20" s="375">
        <f t="shared" si="43"/>
        <v>0</v>
      </c>
      <c r="BX20" s="375">
        <f t="shared" si="43"/>
        <v>0</v>
      </c>
      <c r="BY20" s="375">
        <f>IF($C$7="No", 0, IF(AND(ISNUMBER(BY21), ISNUMBER(BY24), ISNUMBER(BY27), ISNUMBER(BY30), ISNUMBER(BY33)), SUM(BY21,BY24,BY27,BY30,BY33), ""))</f>
        <v>0</v>
      </c>
      <c r="BZ20" s="375">
        <f t="shared" ref="BZ20:CD20" si="49">IF($C$7="No", 0, IF(AND(ISNUMBER(BZ21), ISNUMBER(BZ24), ISNUMBER(BZ27), ISNUMBER(BZ30), ISNUMBER(BZ33)), SUM(BZ21,BZ24,BZ27,BZ30,BZ33), ""))</f>
        <v>0</v>
      </c>
      <c r="CA20" s="375">
        <f t="shared" si="49"/>
        <v>0</v>
      </c>
      <c r="CB20" s="375">
        <f t="shared" si="49"/>
        <v>0</v>
      </c>
      <c r="CC20" s="375">
        <f t="shared" si="49"/>
        <v>0</v>
      </c>
      <c r="CD20" s="375">
        <f t="shared" si="49"/>
        <v>0</v>
      </c>
      <c r="CE20" s="375">
        <f>IF(AND(ISNUMBER(CE21), ISNUMBER(CE24), ISNUMBER(CE27), ISNUMBER(CE30), ISNUMBER(CE33)), SUM(CE21,CE24,CE27,CE30,CE33), "")</f>
        <v>0</v>
      </c>
      <c r="CF20" s="375">
        <f t="shared" ref="CF20:CH20" si="50">IF($C$7="No", 0, IF(AND(ISNUMBER(CF21), ISNUMBER(CF24), ISNUMBER(CF27), ISNUMBER(CF30), ISNUMBER(CF33)), SUM(CF21,CF24,CF27,CF30,CF33), ""))</f>
        <v>0</v>
      </c>
      <c r="CG20" s="375">
        <f t="shared" si="50"/>
        <v>0</v>
      </c>
      <c r="CH20" s="375">
        <f t="shared" si="50"/>
        <v>0</v>
      </c>
      <c r="CI20" s="139">
        <f t="shared" ref="CI20" si="51">IF(AND(ISNUMBER(CI21), ISNUMBER(CI24), ISNUMBER(CI27), ISNUMBER(CI30), ISNUMBER(CI33)), SUM(CI21,CI24,CI27,CI30,CI33), "")</f>
        <v>0</v>
      </c>
      <c r="CJ20" s="614" t="str">
        <f>IF(AND(ISNUMBER(CE20), ISNUMBER(CI20)), IF(CE20&lt;&gt;0, CI20/CE20, ""), "")</f>
        <v/>
      </c>
      <c r="CK20" s="319"/>
      <c r="CL20" s="375">
        <f t="shared" ref="CL20:CQ20" si="52">IF(AND(ISNUMBER(CL21),ISNUMBER(CL24),ISNUMBER(CL27),ISNUMBER(CL30),ISNUMBER(CL33)),SUM(CL21,CL24,CL27,CL30,CL33),"")</f>
        <v>0</v>
      </c>
      <c r="CM20" s="375">
        <f t="shared" si="52"/>
        <v>0</v>
      </c>
      <c r="CN20" s="375">
        <f t="shared" si="52"/>
        <v>0</v>
      </c>
      <c r="CO20" s="375">
        <f t="shared" si="52"/>
        <v>0</v>
      </c>
      <c r="CP20" s="375">
        <f t="shared" si="52"/>
        <v>0</v>
      </c>
      <c r="CQ20" s="375">
        <f t="shared" si="52"/>
        <v>0</v>
      </c>
      <c r="CR20" s="352" t="str">
        <f>IF(AND(ISNUMBER(CO20), ISNUMBER(AU20), ISNUMBER(CE20)), IF(CO20&gt;= 0.85 * (AU20+CE20), "Pass", "please check"),"")</f>
        <v>Pass</v>
      </c>
      <c r="CS20" s="356" t="str">
        <f t="shared" si="26"/>
        <v>Pass</v>
      </c>
      <c r="CT20" s="1898" t="str">
        <f t="shared" ref="CT20" si="53">IF(AND(ISNUMBER(CT21),ISNUMBER(CT24),ISNUMBER(CT27),ISNUMBER(CT30),ISNUMBER(CT33)),SUM(CT21,CT24,CT27,CT30,CT33),"")</f>
        <v/>
      </c>
      <c r="CU20" s="1846" t="str">
        <f>IF(AND(OR('General Info'!$C$19="Yes",'General Info'!$D$19="Yes"),ISNUMBER(CU21),ISNUMBER(CU24),ISNUMBER(CU27),ISNUMBER(CU30),ISNUMBER(CU33)),SUM(CU21,CU24,CU27,CU30,CU33),"")</f>
        <v/>
      </c>
      <c r="CV20" s="1846" t="str">
        <f>IF(AND(OR('General Info'!$C$19="Yes",'General Info'!$D$19="Yes"),ISNUMBER(CV21),ISNUMBER(CV24),ISNUMBER(CV27),ISNUMBER(CV30),ISNUMBER(CV33)),SUM(CV21,CV24,CV27,CV30,CV33),"")</f>
        <v/>
      </c>
      <c r="CW20" s="1899" t="str">
        <f>IF(AND(OR('General Info'!$C$19="Yes",'General Info'!$D$19="Yes"),ISNUMBER(AU20),ISNUMBER(CE20)),SUM(AU20,CE20),"")</f>
        <v/>
      </c>
      <c r="CX20" s="1899" t="str">
        <f>IF(AND(OR('General Info'!$C$19="Yes",'General Info'!$D$19="Yes"),ISNUMBER(AQ20),ISNUMBER(CA20)),SUM(AQ20,CA20),"")</f>
        <v/>
      </c>
      <c r="CY20" s="1847" t="str">
        <f>IF(AND(OR('General Info'!$C$19="Yes",'General Info'!$D$19="Yes"),ISNUMBER(CY21),ISNUMBER(CY24),ISNUMBER(CY27),ISNUMBER(CY30),ISNUMBER(CY33)),SUM(CY21,CY24,CY27,CY30,CY33),"")</f>
        <v/>
      </c>
      <c r="CZ20" s="1514"/>
    </row>
    <row r="21" spans="1:104" ht="15" customHeight="1" x14ac:dyDescent="0.35">
      <c r="A21" s="263"/>
      <c r="B21" s="219" t="s">
        <v>883</v>
      </c>
      <c r="C21" s="375">
        <f>IF(AND(ISNUMBER(N21),ISNUMBER(Z21)),SUM(N21,Z21),"")</f>
        <v>0</v>
      </c>
      <c r="D21" s="375">
        <f>IF(AND(ISNUMBER(O21),ISNUMBER(AA21)),SUM(O21,AA21),"")</f>
        <v>0</v>
      </c>
      <c r="E21" s="375">
        <f>IF(AND(ISNUMBER(P21),ISNUMBER(AB21)),SUM(P21,AB21),"")</f>
        <v>0</v>
      </c>
      <c r="F21" s="375" t="str">
        <f>IF(AND(ISNUMBER(Q21),ISNUMBER(AC21)),SUM(Q21,AC21),"")</f>
        <v/>
      </c>
      <c r="G21" s="375">
        <f>IF(AND(ISNUMBER(R21),ISNUMBER(AD21)),SUM(R21,AD21),"")</f>
        <v>0</v>
      </c>
      <c r="H21" s="375">
        <f>IF(AND(ISNUMBER(C21),ISNUMBER(D21),ISNUMBER(G21)),SUM(C21,D21,G21),"")</f>
        <v>0</v>
      </c>
      <c r="I21" s="375">
        <f>IF(AND(ISNUMBER(T21),ISNUMBER(AF21)),SUM(T21,AF21),"")</f>
        <v>0</v>
      </c>
      <c r="J21" s="375">
        <f>IF(AND(ISNUMBER(U21),ISNUMBER(AG21)),SUM(U21,AG21),"")</f>
        <v>0</v>
      </c>
      <c r="K21" s="375">
        <f>IF(AND(ISNUMBER(V21),ISNUMBER(AH21)),SUM(V21,AH21),"")</f>
        <v>0</v>
      </c>
      <c r="L21" s="375">
        <f>IF(AND(ISNUMBER(W21),ISNUMBER(AI21)),SUM(W21,AI21),"")</f>
        <v>0</v>
      </c>
      <c r="M21" s="375">
        <f>IF(AND(ISNUMBER(X21),ISNUMBER(AJ21)),SUM(X21,AJ21),"")</f>
        <v>0</v>
      </c>
      <c r="N21" s="212">
        <v>0</v>
      </c>
      <c r="O21" s="212">
        <v>0</v>
      </c>
      <c r="P21" s="212">
        <v>0</v>
      </c>
      <c r="Q21" s="212"/>
      <c r="R21" s="155">
        <v>0</v>
      </c>
      <c r="S21" s="375">
        <f t="shared" ref="S21:S40" si="54">IF(AND(ISNUMBER(N21),ISNUMBER(O21),ISNUMBER(R21)),SUM(N21,O21,R21),"")</f>
        <v>0</v>
      </c>
      <c r="T21" s="495">
        <v>0</v>
      </c>
      <c r="U21" s="212">
        <v>0</v>
      </c>
      <c r="V21" s="155">
        <v>0</v>
      </c>
      <c r="W21" s="375">
        <f>IF(AND(ISNUMBER(T21),ISNUMBER(U21),ISNUMBER(V21)),SUM(T21:V21), "")</f>
        <v>0</v>
      </c>
      <c r="X21" s="495">
        <v>0</v>
      </c>
      <c r="Y21" s="212">
        <v>0</v>
      </c>
      <c r="Z21" s="2527">
        <v>0</v>
      </c>
      <c r="AA21" s="212">
        <v>0</v>
      </c>
      <c r="AB21" s="2527">
        <v>0</v>
      </c>
      <c r="AC21" s="2527">
        <v>0</v>
      </c>
      <c r="AD21" s="2527">
        <v>0</v>
      </c>
      <c r="AE21" s="375">
        <f t="shared" ref="AE21:AE39" si="55">IF(AND(ISNUMBER(Z21),ISNUMBER(AA21),ISNUMBER(AD21)),SUM(Z21,AA21,AD21),"")</f>
        <v>0</v>
      </c>
      <c r="AF21" s="495">
        <v>0</v>
      </c>
      <c r="AG21" s="2535">
        <v>0</v>
      </c>
      <c r="AH21" s="2535">
        <v>0</v>
      </c>
      <c r="AI21" s="375">
        <f>IF(AND(ISNUMBER(AF21),ISNUMBER(AG21),ISNUMBER(AH21)),SUM(AF21:AH21), "")</f>
        <v>0</v>
      </c>
      <c r="AJ21" s="495">
        <v>0</v>
      </c>
      <c r="AK21" s="2535">
        <v>0</v>
      </c>
      <c r="AL21" s="208">
        <v>0</v>
      </c>
      <c r="AM21" s="2540">
        <v>0</v>
      </c>
      <c r="AN21" s="2540">
        <v>0</v>
      </c>
      <c r="AO21" s="2540">
        <v>0</v>
      </c>
      <c r="AP21" s="375">
        <f>IF(AND(ISNUMBER(BA21),ISNUMBER(BM21)),SUM(BA21,BM21),"")</f>
        <v>0</v>
      </c>
      <c r="AQ21" s="375">
        <f>IF(AND(ISNUMBER(BB21),ISNUMBER(BN21)),SUM(BB21,BN21),"")</f>
        <v>0</v>
      </c>
      <c r="AR21" s="375">
        <f>IF(AND(ISNUMBER(BC21),ISNUMBER(BO21)),SUM(BC21,BO21),"")</f>
        <v>0</v>
      </c>
      <c r="AS21" s="375">
        <f>IF(AND(ISNUMBER(BD21),ISNUMBER(BP21)),SUM(BD21,BP21),"")</f>
        <v>0</v>
      </c>
      <c r="AT21" s="375">
        <f>IF(AND(ISNUMBER(BE21),ISNUMBER(BQ21)),SUM(BE21,BQ21),"")</f>
        <v>0</v>
      </c>
      <c r="AU21" s="375">
        <f>IF(AND(ISNUMBER(AP21),ISNUMBER(AQ21),ISNUMBER(AT21)),SUM(AP21,AQ21,AT21),"")</f>
        <v>0</v>
      </c>
      <c r="AV21" s="375">
        <f>IF(AND(ISNUMBER(BG21),ISNUMBER(BS21)),SUM(BG21,BS21),"")</f>
        <v>0</v>
      </c>
      <c r="AW21" s="375">
        <f>IF(AND(ISNUMBER(BH21),ISNUMBER(BT21)),SUM(BH21,BT21),"")</f>
        <v>0</v>
      </c>
      <c r="AX21" s="375">
        <f>IF(AND(ISNUMBER(BI21),ISNUMBER(BU21)),SUM(BI21,BU21),"")</f>
        <v>0</v>
      </c>
      <c r="AY21" s="375">
        <f>IF(AND(ISNUMBER(BJ21),ISNUMBER(BV21)),SUM(BJ21,BV21),"")</f>
        <v>0</v>
      </c>
      <c r="AZ21" s="375">
        <f>IF(AND(ISNUMBER(BK21),ISNUMBER(BW21)),SUM(BK21,BW21),"")</f>
        <v>0</v>
      </c>
      <c r="BA21" s="2540">
        <v>0</v>
      </c>
      <c r="BB21" s="2540">
        <v>0</v>
      </c>
      <c r="BC21" s="208">
        <v>0</v>
      </c>
      <c r="BD21" s="2540">
        <v>0</v>
      </c>
      <c r="BE21" s="2540">
        <v>0</v>
      </c>
      <c r="BF21" s="375">
        <f>IF(AND(ISNUMBER(BA21), ISNUMBER(BB21), ISNUMBER(BE21)), SUM(BA21,BB21,BE21), "")</f>
        <v>0</v>
      </c>
      <c r="BG21" s="299">
        <v>0</v>
      </c>
      <c r="BH21" s="208">
        <v>0</v>
      </c>
      <c r="BI21" s="208">
        <v>0</v>
      </c>
      <c r="BJ21" s="375">
        <f>IF(AND(ISNUMBER(BG21),ISNUMBER(BH21),ISNUMBER(BI21)),SUM(BG21:BI21), "")</f>
        <v>0</v>
      </c>
      <c r="BK21" s="2540">
        <v>0</v>
      </c>
      <c r="BL21" s="2540">
        <v>0</v>
      </c>
      <c r="BM21" s="212">
        <v>0</v>
      </c>
      <c r="BN21" s="2527">
        <v>0</v>
      </c>
      <c r="BO21" s="2527">
        <v>0</v>
      </c>
      <c r="BP21" s="2527">
        <v>0</v>
      </c>
      <c r="BQ21" s="2527">
        <v>0</v>
      </c>
      <c r="BR21" s="375">
        <f>IF(AND(ISNUMBER(BM21), ISNUMBER(BN21), ISNUMBER(BQ21)), SUM(BM21,BN21,BQ21), "")</f>
        <v>0</v>
      </c>
      <c r="BS21" s="495">
        <v>0</v>
      </c>
      <c r="BT21" s="2535">
        <v>0</v>
      </c>
      <c r="BU21" s="2535">
        <v>0</v>
      </c>
      <c r="BV21" s="626">
        <f>IF(AND(ISNUMBER(BS21),ISNUMBER(BT21),ISNUMBER(BU21)),SUM(BS21:BU21), "")</f>
        <v>0</v>
      </c>
      <c r="BW21" s="212">
        <v>0</v>
      </c>
      <c r="BX21" s="2527">
        <v>0</v>
      </c>
      <c r="BY21" s="208"/>
      <c r="BZ21" s="2540">
        <v>0</v>
      </c>
      <c r="CA21" s="2540">
        <v>0</v>
      </c>
      <c r="CB21" s="2540">
        <v>0</v>
      </c>
      <c r="CC21" s="2540">
        <v>0</v>
      </c>
      <c r="CD21" s="2540">
        <v>0</v>
      </c>
      <c r="CE21" s="375">
        <f>IF($C$7="No", 0, IF(AND(ISNUMBER(BZ21),ISNUMBER(CA21),ISNUMBER(CD21)),SUM(BZ21,CA21,CD21),""))</f>
        <v>0</v>
      </c>
      <c r="CF21" s="2540">
        <v>0</v>
      </c>
      <c r="CG21" s="2540">
        <v>0</v>
      </c>
      <c r="CH21" s="2540">
        <v>0</v>
      </c>
      <c r="CI21" s="139">
        <f>IF($C$7="No", 0, IF(AND(ISNUMBER(CF21), ISNUMBER(CG21), ISNUMBER(CH21)), SUM(CF21:CH21), ""))</f>
        <v>0</v>
      </c>
      <c r="CJ21" s="614" t="str">
        <f>IF(AND(ISNUMBER(CE21), ISNUMBER(CI21)), IF(CE21&lt;&gt;0, CI21/CE21, ""), "")</f>
        <v/>
      </c>
      <c r="CK21" s="319"/>
      <c r="CL21" s="212">
        <v>0</v>
      </c>
      <c r="CM21" s="2527">
        <v>0</v>
      </c>
      <c r="CN21" s="2527">
        <v>0</v>
      </c>
      <c r="CO21" s="2527">
        <v>0</v>
      </c>
      <c r="CP21" s="2527">
        <v>0</v>
      </c>
      <c r="CQ21" s="2527">
        <v>0</v>
      </c>
      <c r="CR21" s="352" t="str">
        <f>IF(AND(ISNUMBER(CO21), ISNUMBER(AU21), ISNUMBER(CE21)), IF(CO21&gt;= 0.85 * (AU21+CE21), "Pass", "please check"),"")</f>
        <v>Pass</v>
      </c>
      <c r="CS21" s="356" t="str">
        <f t="shared" si="26"/>
        <v>Pass</v>
      </c>
      <c r="CT21" s="1898" t="str">
        <f>IF(AND(OR('General Info'!$C$19="Yes",'General Info'!$D$19="Yes"),ISNUMBER(CO21),ISNUMBER(CP21),ISNUMBER(CU21)),CO21-CP21+CU21,"")</f>
        <v/>
      </c>
      <c r="CU21" s="208"/>
      <c r="CV21" s="208"/>
      <c r="CW21" s="1899" t="str">
        <f>IF(AND(OR('General Info'!$C$19="Yes",'General Info'!$D$19="Yes"),ISNUMBER(AU21),ISNUMBER(CE21)),SUM(AU21,CE21),"")</f>
        <v/>
      </c>
      <c r="CX21" s="1899" t="str">
        <f>IF(AND(OR('General Info'!$C$19="Yes",'General Info'!$D$19="Yes"),ISNUMBER(AQ21),ISNUMBER(CA21)),SUM(AQ21,CA21),"")</f>
        <v/>
      </c>
      <c r="CY21" s="138"/>
      <c r="CZ21" s="1514"/>
    </row>
    <row r="22" spans="1:104" ht="15" customHeight="1" x14ac:dyDescent="0.35">
      <c r="A22" s="263"/>
      <c r="B22" s="407" t="s">
        <v>884</v>
      </c>
      <c r="C22" s="375">
        <f t="shared" ref="C22:G22" si="56">IF(ISNUMBER(Z22), Z22, "")</f>
        <v>0</v>
      </c>
      <c r="D22" s="375">
        <f t="shared" si="56"/>
        <v>0</v>
      </c>
      <c r="E22" s="375">
        <f t="shared" si="56"/>
        <v>0</v>
      </c>
      <c r="F22" s="375">
        <f t="shared" si="56"/>
        <v>0</v>
      </c>
      <c r="G22" s="375">
        <f t="shared" si="56"/>
        <v>0</v>
      </c>
      <c r="H22" s="375">
        <f>IF(AND(ISNUMBER(C22),ISNUMBER(D22),ISNUMBER(G22)),SUM(C22,D22,G22),"")</f>
        <v>0</v>
      </c>
      <c r="I22" s="375">
        <f>IF(ISNUMBER(AF22), AF22, "")</f>
        <v>0</v>
      </c>
      <c r="J22" s="375">
        <f>IF(ISNUMBER(AG22), AG22, "")</f>
        <v>0</v>
      </c>
      <c r="K22" s="375">
        <f>IF(ISNUMBER(AH22), AH22, "")</f>
        <v>0</v>
      </c>
      <c r="L22" s="375">
        <f>IF(ISNUMBER(AI22), AI22, "")</f>
        <v>0</v>
      </c>
      <c r="M22" s="375">
        <f>IF(ISNUMBER(AJ22), AJ22, "")</f>
        <v>0</v>
      </c>
      <c r="N22" s="298"/>
      <c r="O22" s="298"/>
      <c r="P22" s="298"/>
      <c r="Q22" s="298"/>
      <c r="R22" s="298"/>
      <c r="S22" s="533"/>
      <c r="T22" s="298"/>
      <c r="U22" s="298"/>
      <c r="V22" s="298"/>
      <c r="W22" s="533"/>
      <c r="X22" s="298"/>
      <c r="Y22" s="298"/>
      <c r="Z22" s="2538">
        <v>0</v>
      </c>
      <c r="AA22" s="1804">
        <v>0</v>
      </c>
      <c r="AB22" s="2538">
        <v>0</v>
      </c>
      <c r="AC22" s="2538">
        <v>0</v>
      </c>
      <c r="AD22" s="2538">
        <v>0</v>
      </c>
      <c r="AE22" s="375">
        <f t="shared" si="55"/>
        <v>0</v>
      </c>
      <c r="AF22" s="1810">
        <v>0</v>
      </c>
      <c r="AG22" s="2539">
        <v>0</v>
      </c>
      <c r="AH22" s="2539">
        <v>0</v>
      </c>
      <c r="AI22" s="375">
        <f>IF(AND(ISNUMBER(AF22),ISNUMBER(AG22),ISNUMBER(AH22)),SUM(AF22:AH22), "")</f>
        <v>0</v>
      </c>
      <c r="AJ22" s="1810">
        <v>0</v>
      </c>
      <c r="AK22" s="2539">
        <v>0</v>
      </c>
      <c r="AL22" s="298"/>
      <c r="AM22" s="298"/>
      <c r="AN22" s="298"/>
      <c r="AO22" s="298"/>
      <c r="AP22" s="375">
        <f t="shared" ref="AP22:AT22" si="57">IF(ISNUMBER(BM22),BM22,"")</f>
        <v>0</v>
      </c>
      <c r="AQ22" s="375">
        <f t="shared" si="57"/>
        <v>0</v>
      </c>
      <c r="AR22" s="375">
        <f t="shared" si="57"/>
        <v>0</v>
      </c>
      <c r="AS22" s="375">
        <f t="shared" si="57"/>
        <v>0</v>
      </c>
      <c r="AT22" s="375">
        <f t="shared" si="57"/>
        <v>0</v>
      </c>
      <c r="AU22" s="375">
        <f>IF(AND(ISNUMBER(AP22),ISNUMBER(AQ22),ISNUMBER(AT22)),SUM(AP22,AQ22,AT22),"")</f>
        <v>0</v>
      </c>
      <c r="AV22" s="375">
        <f>IF(ISNUMBER(BS22),BS22,"")</f>
        <v>0</v>
      </c>
      <c r="AW22" s="375">
        <f t="shared" ref="AW22:AZ22" si="58">IF(ISNUMBER(BT22),BT22,"")</f>
        <v>0</v>
      </c>
      <c r="AX22" s="375">
        <f t="shared" si="58"/>
        <v>0</v>
      </c>
      <c r="AY22" s="375">
        <f t="shared" si="58"/>
        <v>0</v>
      </c>
      <c r="AZ22" s="375">
        <f t="shared" si="58"/>
        <v>0</v>
      </c>
      <c r="BA22" s="298"/>
      <c r="BB22" s="298"/>
      <c r="BC22" s="298"/>
      <c r="BD22" s="298"/>
      <c r="BE22" s="298"/>
      <c r="BF22" s="533"/>
      <c r="BG22" s="298"/>
      <c r="BH22" s="298"/>
      <c r="BI22" s="298"/>
      <c r="BJ22" s="298"/>
      <c r="BK22" s="298"/>
      <c r="BL22" s="298"/>
      <c r="BM22" s="1804">
        <v>0</v>
      </c>
      <c r="BN22" s="2538">
        <v>0</v>
      </c>
      <c r="BO22" s="2538">
        <v>0</v>
      </c>
      <c r="BP22" s="2538">
        <v>0</v>
      </c>
      <c r="BQ22" s="2538">
        <v>0</v>
      </c>
      <c r="BR22" s="375">
        <f>IF(AND(ISNUMBER(BM22), ISNUMBER(BN22), ISNUMBER(BQ22)), SUM(BM22,BN22,BQ22), "")</f>
        <v>0</v>
      </c>
      <c r="BS22" s="1810">
        <v>0</v>
      </c>
      <c r="BT22" s="2539">
        <v>0</v>
      </c>
      <c r="BU22" s="2539">
        <v>0</v>
      </c>
      <c r="BV22" s="375">
        <f>IF(AND(ISNUMBER(BS22),ISNUMBER(BT22),ISNUMBER(BU22)),SUM(BS22:BU22), "")</f>
        <v>0</v>
      </c>
      <c r="BW22" s="1804">
        <v>0</v>
      </c>
      <c r="BX22" s="2538">
        <v>0</v>
      </c>
      <c r="BY22" s="298"/>
      <c r="BZ22" s="298"/>
      <c r="CA22" s="298"/>
      <c r="CB22" s="298"/>
      <c r="CC22" s="298"/>
      <c r="CD22" s="298"/>
      <c r="CE22" s="298"/>
      <c r="CF22" s="298"/>
      <c r="CG22" s="298"/>
      <c r="CH22" s="298"/>
      <c r="CI22" s="316"/>
      <c r="CJ22" s="298"/>
      <c r="CK22" s="319"/>
      <c r="CL22" s="1804">
        <v>0</v>
      </c>
      <c r="CM22" s="2538">
        <v>0</v>
      </c>
      <c r="CN22" s="2538">
        <v>0</v>
      </c>
      <c r="CO22" s="2538">
        <v>0</v>
      </c>
      <c r="CP22" s="2538">
        <v>0</v>
      </c>
      <c r="CQ22" s="2538">
        <v>0</v>
      </c>
      <c r="CR22" s="352" t="str">
        <f>IF(AND(ISNUMBER(CO22), ISNUMBER(AU22)), IF(CO22&gt;=AU22, "Pass", "please check"),"")</f>
        <v>Pass</v>
      </c>
      <c r="CS22" s="356" t="str">
        <f>IF(AND(ISNUMBER(AY22), ISNUMBER(CQ22)), IF(CQ22&gt;=AY22, "Pass", "please check"), "")</f>
        <v>Pass</v>
      </c>
      <c r="CT22" s="1900"/>
      <c r="CU22" s="1901"/>
      <c r="CV22" s="1901"/>
      <c r="CW22" s="1901"/>
      <c r="CX22" s="1901"/>
      <c r="CY22" s="1902"/>
      <c r="CZ22" s="1514"/>
    </row>
    <row r="23" spans="1:104" ht="15" customHeight="1" x14ac:dyDescent="0.35">
      <c r="A23" s="263"/>
      <c r="B23" s="324" t="str">
        <f>"Check: row " &amp; ROW(B22) &amp; " ≤ row " &amp; ROW(B21)</f>
        <v>Check: row 22 ≤ row 21</v>
      </c>
      <c r="C23" s="574"/>
      <c r="D23" s="574"/>
      <c r="E23" s="574"/>
      <c r="F23" s="574"/>
      <c r="G23" s="574"/>
      <c r="H23" s="574"/>
      <c r="I23" s="574"/>
      <c r="J23" s="574"/>
      <c r="K23" s="574"/>
      <c r="L23" s="574"/>
      <c r="M23" s="574"/>
      <c r="N23" s="298"/>
      <c r="O23" s="298"/>
      <c r="P23" s="298"/>
      <c r="Q23" s="298"/>
      <c r="R23" s="298"/>
      <c r="S23" s="309"/>
      <c r="T23" s="298"/>
      <c r="U23" s="298"/>
      <c r="V23" s="298"/>
      <c r="W23" s="309"/>
      <c r="X23" s="298"/>
      <c r="Y23" s="298"/>
      <c r="Z23" s="352" t="str">
        <f t="shared" ref="Z23" si="59">IF(AND(ISNUMBER(Z22),ISNUMBER(Z21)), IF(Z22&lt;=Z21, "Pass", "Fail"), "")</f>
        <v>Pass</v>
      </c>
      <c r="AA23" s="352" t="str">
        <f t="shared" ref="AA23" si="60">IF(AND(ISNUMBER(AA22),ISNUMBER(AA21)), IF(AA22&lt;=AA21, "Pass", "Fail"), "")</f>
        <v>Pass</v>
      </c>
      <c r="AB23" s="352" t="str">
        <f t="shared" ref="AB23" si="61">IF(AND(ISNUMBER(AB22),ISNUMBER(AB21)), IF(AB22&lt;=AB21, "Pass", "Fail"), "")</f>
        <v>Pass</v>
      </c>
      <c r="AC23" s="352" t="str">
        <f t="shared" ref="AC23" si="62">IF(AND(ISNUMBER(AC22),ISNUMBER(AC21)), IF(AC22&lt;=AC21, "Pass", "Fail"), "")</f>
        <v>Pass</v>
      </c>
      <c r="AD23" s="356" t="str">
        <f t="shared" ref="AD23" si="63">IF(AND(ISNUMBER(AD22),ISNUMBER(AD21)), IF(AD22&lt;=AD21, "Pass", "Fail"), "")</f>
        <v>Pass</v>
      </c>
      <c r="AE23" s="574"/>
      <c r="AF23" s="352" t="str">
        <f t="shared" ref="AF23" si="64">IF(AND(ISNUMBER(AF22),ISNUMBER(AF21)), IF(AF22&lt;=AF21, "Pass", "Fail"), "")</f>
        <v>Pass</v>
      </c>
      <c r="AG23" s="352" t="str">
        <f t="shared" ref="AG23" si="65">IF(AND(ISNUMBER(AG22),ISNUMBER(AG21)), IF(AG22&lt;=AG21, "Pass", "Fail"), "")</f>
        <v>Pass</v>
      </c>
      <c r="AH23" s="356" t="str">
        <f t="shared" ref="AH23" si="66">IF(AND(ISNUMBER(AH22),ISNUMBER(AH21)), IF(AH22&lt;=AH21, "Pass", "Fail"), "")</f>
        <v>Pass</v>
      </c>
      <c r="AI23" s="574"/>
      <c r="AJ23" s="352" t="str">
        <f t="shared" ref="AJ23" si="67">IF(AND(ISNUMBER(AJ22),ISNUMBER(AJ21)), IF(AJ22&lt;=AJ21, "Pass", "Fail"), "")</f>
        <v>Pass</v>
      </c>
      <c r="AK23" s="352" t="str">
        <f t="shared" ref="AK23" si="68">IF(AND(ISNUMBER(AK22),ISNUMBER(AK21)), IF(AK22&lt;=AK21, "Pass", "Fail"), "")</f>
        <v>Pass</v>
      </c>
      <c r="AL23" s="298"/>
      <c r="AM23" s="298"/>
      <c r="AN23" s="298"/>
      <c r="AO23" s="298"/>
      <c r="AP23" s="574"/>
      <c r="AQ23" s="574"/>
      <c r="AR23" s="574"/>
      <c r="AS23" s="574"/>
      <c r="AT23" s="574"/>
      <c r="AU23" s="574"/>
      <c r="AV23" s="574"/>
      <c r="AW23" s="574"/>
      <c r="AX23" s="574"/>
      <c r="AY23" s="574"/>
      <c r="AZ23" s="574"/>
      <c r="BA23" s="298"/>
      <c r="BB23" s="298"/>
      <c r="BC23" s="298"/>
      <c r="BD23" s="298"/>
      <c r="BE23" s="298"/>
      <c r="BF23" s="309"/>
      <c r="BG23" s="298"/>
      <c r="BH23" s="298"/>
      <c r="BI23" s="298"/>
      <c r="BJ23" s="566"/>
      <c r="BK23" s="298"/>
      <c r="BL23" s="298"/>
      <c r="BM23" s="352" t="str">
        <f t="shared" ref="BM23:BQ23" si="69">IF(AND(ISNUMBER(BM22),ISNUMBER(BM21)), IF(BM22&lt;=BM21, "Pass", "Fail"), "")</f>
        <v>Pass</v>
      </c>
      <c r="BN23" s="352" t="str">
        <f t="shared" si="69"/>
        <v>Pass</v>
      </c>
      <c r="BO23" s="352" t="str">
        <f t="shared" si="69"/>
        <v>Pass</v>
      </c>
      <c r="BP23" s="352" t="str">
        <f t="shared" si="69"/>
        <v>Pass</v>
      </c>
      <c r="BQ23" s="352" t="str">
        <f t="shared" si="69"/>
        <v>Pass</v>
      </c>
      <c r="BR23" s="574"/>
      <c r="BS23" s="352" t="str">
        <f t="shared" ref="BS23" si="70">IF(AND(ISNUMBER(BS22),ISNUMBER(BS21)), IF(BS22&lt;=BS21, "Pass", "Fail"), "")</f>
        <v>Pass</v>
      </c>
      <c r="BT23" s="352" t="str">
        <f t="shared" ref="BT23:BU23" si="71">IF(AND(ISNUMBER(BT22),ISNUMBER(BT21)), IF(BT22&lt;=BT21, "Pass", "Fail"), "")</f>
        <v>Pass</v>
      </c>
      <c r="BU23" s="352" t="str">
        <f t="shared" si="71"/>
        <v>Pass</v>
      </c>
      <c r="BV23" s="298"/>
      <c r="BW23" s="352" t="str">
        <f t="shared" ref="BW23:BX23" si="72">IF(AND(ISNUMBER(BW22),ISNUMBER(BW21)), IF(BW22&lt;=BW21, "Pass", "Fail"), "")</f>
        <v>Pass</v>
      </c>
      <c r="BX23" s="352" t="str">
        <f t="shared" si="72"/>
        <v>Pass</v>
      </c>
      <c r="BY23" s="298"/>
      <c r="BZ23" s="298"/>
      <c r="CA23" s="298"/>
      <c r="CB23" s="298"/>
      <c r="CC23" s="298"/>
      <c r="CD23" s="298"/>
      <c r="CE23" s="298"/>
      <c r="CF23" s="298"/>
      <c r="CG23" s="298"/>
      <c r="CH23" s="298"/>
      <c r="CI23" s="316"/>
      <c r="CJ23" s="298"/>
      <c r="CK23" s="319"/>
      <c r="CL23" s="352" t="str">
        <f>IF(AND(ISNUMBER(CL22),ISNUMBER(CL21)), IF(CL22&lt;=CL21, "Pass", "Fail"), "")</f>
        <v>Pass</v>
      </c>
      <c r="CM23" s="582"/>
      <c r="CN23" s="582"/>
      <c r="CO23" s="352" t="str">
        <f>IF(AND(ISNUMBER(CO22),ISNUMBER(CO21)), IF(CO22&lt;=CO21, "Pass", "Fail"), "")</f>
        <v>Pass</v>
      </c>
      <c r="CP23" s="352" t="str">
        <f>IF(AND(ISNUMBER(CP22),ISNUMBER(CP21)), IF(CP22&lt;=CP21, "Pass", "Fail"), "")</f>
        <v>Pass</v>
      </c>
      <c r="CQ23" s="352" t="str">
        <f>IF(AND(ISNUMBER(CQ22),ISNUMBER(CQ21)), IF(CQ22&lt;=CQ21, "Pass", "Fail"), "")</f>
        <v>Pass</v>
      </c>
      <c r="CR23" s="582"/>
      <c r="CS23" s="583"/>
      <c r="CT23" s="1900"/>
      <c r="CU23" s="1901"/>
      <c r="CV23" s="1901"/>
      <c r="CW23" s="1901"/>
      <c r="CX23" s="1901"/>
      <c r="CY23" s="1902"/>
      <c r="CZ23" s="1514"/>
    </row>
    <row r="24" spans="1:104" ht="15" customHeight="1" x14ac:dyDescent="0.35">
      <c r="A24" s="263"/>
      <c r="B24" s="219" t="s">
        <v>885</v>
      </c>
      <c r="C24" s="375">
        <f>IF(AND(ISNUMBER(N24),ISNUMBER(Z24)),SUM(N24,Z24),"")</f>
        <v>0</v>
      </c>
      <c r="D24" s="375">
        <f>IF(AND(ISNUMBER(O24),ISNUMBER(AA24)),SUM(O24,AA24),"")</f>
        <v>0</v>
      </c>
      <c r="E24" s="375">
        <f>IF(AND(ISNUMBER(P24),ISNUMBER(AB24)),SUM(P24,AB24),"")</f>
        <v>0</v>
      </c>
      <c r="F24" s="375" t="str">
        <f>IF(AND(ISNUMBER(Q24),ISNUMBER(AC24)),SUM(Q24,AC24),"")</f>
        <v/>
      </c>
      <c r="G24" s="375">
        <f>IF(AND(ISNUMBER(R24),ISNUMBER(AD24)),SUM(R24,AD24),"")</f>
        <v>0</v>
      </c>
      <c r="H24" s="375">
        <f t="shared" ref="H24:H40" si="73">IF(AND(ISNUMBER(C24),ISNUMBER(D24),ISNUMBER(G24)),SUM(C24,D24,G24),"")</f>
        <v>0</v>
      </c>
      <c r="I24" s="375">
        <f>IF(AND(ISNUMBER(T24),ISNUMBER(AF24)),SUM(T24,AF24),"")</f>
        <v>0</v>
      </c>
      <c r="J24" s="375">
        <f>IF(AND(ISNUMBER(U24),ISNUMBER(AG24)),SUM(U24,AG24),"")</f>
        <v>0</v>
      </c>
      <c r="K24" s="375">
        <f>IF(AND(ISNUMBER(V24),ISNUMBER(AH24)),SUM(V24,AH24),"")</f>
        <v>0</v>
      </c>
      <c r="L24" s="375">
        <f>IF(AND(ISNUMBER(W24),ISNUMBER(AI24)),SUM(W24,AI24),"")</f>
        <v>0</v>
      </c>
      <c r="M24" s="375">
        <f>IF(AND(ISNUMBER(X24),ISNUMBER(AJ24)),SUM(X24,AJ24),"")</f>
        <v>0</v>
      </c>
      <c r="N24" s="2527">
        <v>0</v>
      </c>
      <c r="O24" s="2527">
        <v>0</v>
      </c>
      <c r="P24" s="2527">
        <v>0</v>
      </c>
      <c r="Q24" s="2527"/>
      <c r="R24" s="2534">
        <v>0</v>
      </c>
      <c r="S24" s="375">
        <f t="shared" si="54"/>
        <v>0</v>
      </c>
      <c r="T24" s="2535">
        <v>0</v>
      </c>
      <c r="U24" s="2527">
        <v>0</v>
      </c>
      <c r="V24" s="2534">
        <v>0</v>
      </c>
      <c r="W24" s="375">
        <f>IF(AND(ISNUMBER(T24),ISNUMBER(U24),ISNUMBER(V24)),SUM(T24:V24), "")</f>
        <v>0</v>
      </c>
      <c r="X24" s="2535">
        <v>0</v>
      </c>
      <c r="Y24" s="2527">
        <v>0</v>
      </c>
      <c r="Z24" s="2527">
        <v>0</v>
      </c>
      <c r="AA24" s="2527">
        <v>0</v>
      </c>
      <c r="AB24" s="2527">
        <v>0</v>
      </c>
      <c r="AC24" s="2527">
        <v>0</v>
      </c>
      <c r="AD24" s="2527">
        <v>0</v>
      </c>
      <c r="AE24" s="375">
        <f t="shared" si="55"/>
        <v>0</v>
      </c>
      <c r="AF24" s="2535">
        <v>0</v>
      </c>
      <c r="AG24" s="2535">
        <v>0</v>
      </c>
      <c r="AH24" s="2535">
        <v>0</v>
      </c>
      <c r="AI24" s="375">
        <f>IF(AND(ISNUMBER(AF24),ISNUMBER(AG24),ISNUMBER(AH24)),SUM(AF24:AH24), "")</f>
        <v>0</v>
      </c>
      <c r="AJ24" s="2535">
        <v>0</v>
      </c>
      <c r="AK24" s="2535">
        <v>0</v>
      </c>
      <c r="AL24" s="208">
        <v>0</v>
      </c>
      <c r="AM24" s="2540">
        <v>0</v>
      </c>
      <c r="AN24" s="208">
        <v>0</v>
      </c>
      <c r="AO24" s="208">
        <v>0</v>
      </c>
      <c r="AP24" s="375">
        <f>IF(AND(ISNUMBER(BA24),ISNUMBER(BM24)),SUM(BA24,BM24),"")</f>
        <v>0</v>
      </c>
      <c r="AQ24" s="375">
        <f>IF(AND(ISNUMBER(BB24),ISNUMBER(BN24)),SUM(BB24,BN24),"")</f>
        <v>0</v>
      </c>
      <c r="AR24" s="375">
        <f>IF(AND(ISNUMBER(BC24),ISNUMBER(BO24)),SUM(BC24,BO24),"")</f>
        <v>0</v>
      </c>
      <c r="AS24" s="375">
        <f>IF(AND(ISNUMBER(BD24),ISNUMBER(BP24)),SUM(BD24,BP24),"")</f>
        <v>0</v>
      </c>
      <c r="AT24" s="375">
        <f>IF(AND(ISNUMBER(BE24),ISNUMBER(BQ24)),SUM(BE24,BQ24),"")</f>
        <v>0</v>
      </c>
      <c r="AU24" s="375">
        <f>IF(AND(ISNUMBER(AP24),ISNUMBER(AQ24),ISNUMBER(AT24)),SUM(AP24,AQ24,AT24),"")</f>
        <v>0</v>
      </c>
      <c r="AV24" s="375">
        <f>IF(AND(ISNUMBER(BG24),ISNUMBER(BS24)),SUM(BG24,BS24),"")</f>
        <v>0</v>
      </c>
      <c r="AW24" s="375">
        <f>IF(AND(ISNUMBER(BH24),ISNUMBER(BT24)),SUM(BH24,BT24),"")</f>
        <v>0</v>
      </c>
      <c r="AX24" s="375">
        <f>IF(AND(ISNUMBER(BI24),ISNUMBER(BU24)),SUM(BI24,BU24),"")</f>
        <v>0</v>
      </c>
      <c r="AY24" s="375">
        <f>IF(AND(ISNUMBER(BJ24),ISNUMBER(BV24)),SUM(BJ24,BV24),"")</f>
        <v>0</v>
      </c>
      <c r="AZ24" s="375">
        <f>IF(AND(ISNUMBER(BK24),ISNUMBER(BW24)),SUM(BK24,BW24),"")</f>
        <v>0</v>
      </c>
      <c r="BA24" s="2540">
        <v>0</v>
      </c>
      <c r="BB24" s="2540">
        <v>0</v>
      </c>
      <c r="BC24" s="2540">
        <v>0</v>
      </c>
      <c r="BD24" s="2540">
        <v>0</v>
      </c>
      <c r="BE24" s="2540">
        <v>0</v>
      </c>
      <c r="BF24" s="375">
        <f>IF(AND(ISNUMBER(BA24), ISNUMBER(BB24), ISNUMBER(BE24)), SUM(BA24,BB24,BE24), "")</f>
        <v>0</v>
      </c>
      <c r="BG24" s="2536">
        <v>0</v>
      </c>
      <c r="BH24" s="2540">
        <v>0</v>
      </c>
      <c r="BI24" s="2540">
        <v>0</v>
      </c>
      <c r="BJ24" s="375">
        <f>IF(AND(ISNUMBER(BG24),ISNUMBER(BH24),ISNUMBER(BI24)),SUM(BG24:BI24), "")</f>
        <v>0</v>
      </c>
      <c r="BK24" s="2540">
        <v>0</v>
      </c>
      <c r="BL24" s="2540">
        <v>0</v>
      </c>
      <c r="BM24" s="2527">
        <v>0</v>
      </c>
      <c r="BN24" s="2527">
        <v>0</v>
      </c>
      <c r="BO24" s="2527">
        <v>0</v>
      </c>
      <c r="BP24" s="2527">
        <v>0</v>
      </c>
      <c r="BQ24" s="2527">
        <v>0</v>
      </c>
      <c r="BR24" s="375">
        <f>IF(AND(ISNUMBER(BM24), ISNUMBER(BN24), ISNUMBER(BQ24)), SUM(BM24,BN24,BQ24), "")</f>
        <v>0</v>
      </c>
      <c r="BS24" s="2535">
        <v>0</v>
      </c>
      <c r="BT24" s="2535">
        <v>0</v>
      </c>
      <c r="BU24" s="2535">
        <v>0</v>
      </c>
      <c r="BV24" s="375">
        <f>IF(AND(ISNUMBER(BS24),ISNUMBER(BT24),ISNUMBER(BU24)),SUM(BS24:BU24), "")</f>
        <v>0</v>
      </c>
      <c r="BW24" s="2527">
        <v>0</v>
      </c>
      <c r="BX24" s="2527">
        <v>0</v>
      </c>
      <c r="BY24" s="208"/>
      <c r="BZ24" s="2540">
        <v>0</v>
      </c>
      <c r="CA24" s="2540">
        <v>0</v>
      </c>
      <c r="CB24" s="2540">
        <v>0</v>
      </c>
      <c r="CC24" s="2540">
        <v>0</v>
      </c>
      <c r="CD24" s="2540">
        <v>0</v>
      </c>
      <c r="CE24" s="375">
        <f>IF($C$7="No", 0, IF(AND(ISNUMBER(BZ24),ISNUMBER(CA24),ISNUMBER(CD24)),SUM(BZ24,CA24,CD24),""))</f>
        <v>0</v>
      </c>
      <c r="CF24" s="2540">
        <v>0</v>
      </c>
      <c r="CG24" s="2540">
        <v>0</v>
      </c>
      <c r="CH24" s="2540">
        <v>0</v>
      </c>
      <c r="CI24" s="139">
        <f>IF($C$7="No", 0, IF(AND(ISNUMBER(CF24), ISNUMBER(CG24), ISNUMBER(CH24)), SUM(CF24:CH24), ""))</f>
        <v>0</v>
      </c>
      <c r="CJ24" s="614" t="str">
        <f>IF(AND(ISNUMBER(CE24), ISNUMBER(CI24)), IF(CE24&lt;&gt;0, CI24/CE24, ""), "")</f>
        <v/>
      </c>
      <c r="CK24" s="319"/>
      <c r="CL24" s="2527">
        <v>0</v>
      </c>
      <c r="CM24" s="2527">
        <v>0</v>
      </c>
      <c r="CN24" s="2527">
        <v>0</v>
      </c>
      <c r="CO24" s="2527">
        <v>0</v>
      </c>
      <c r="CP24" s="2527">
        <v>0</v>
      </c>
      <c r="CQ24" s="2527">
        <v>0</v>
      </c>
      <c r="CR24" s="352" t="str">
        <f>IF(AND(ISNUMBER(CO24), ISNUMBER(AU24), ISNUMBER(CE24)), IF(CO24&gt;= 0.85 * (AU24+CE24), "Pass", "please check"),"")</f>
        <v>Pass</v>
      </c>
      <c r="CS24" s="356" t="str">
        <f>IF(AND(ISNUMBER(AL24),ISNUMBER(AM24),ISNUMBER(AN24),ISNUMBER(AO24),ISNUMBER(AY24), ISNUMBER(AZ24), ISNUMBER(CQ24), ISNUMBER(CI24)), IF(CQ24&gt;=(AY24+12.5*MAX(0,AZ24-(AL24+AM24+AN24+AO24))+CI24), "Pass", "please check"), "")</f>
        <v>Pass</v>
      </c>
      <c r="CT24" s="1898" t="str">
        <f>IF(AND(OR('General Info'!$C$19="Yes",'General Info'!$D$19="Yes"),ISNUMBER(CO24),ISNUMBER(CP24),ISNUMBER(CU24)),CO24-CP24+CU24,"")</f>
        <v/>
      </c>
      <c r="CU24" s="208"/>
      <c r="CV24" s="208"/>
      <c r="CW24" s="1899" t="str">
        <f>IF(AND(OR('General Info'!$C$19="Yes",'General Info'!$D$19="Yes"),ISNUMBER(AU24),ISNUMBER(CE24)),SUM(AU24,CE24),"")</f>
        <v/>
      </c>
      <c r="CX24" s="1899" t="str">
        <f>IF(AND(OR('General Info'!$C$19="Yes",'General Info'!$D$19="Yes"),ISNUMBER(AQ24),ISNUMBER(CA24)),SUM(AQ24,CA24),"")</f>
        <v/>
      </c>
      <c r="CY24" s="138"/>
      <c r="CZ24" s="1514"/>
    </row>
    <row r="25" spans="1:104" ht="15" customHeight="1" x14ac:dyDescent="0.35">
      <c r="A25" s="263"/>
      <c r="B25" s="407" t="s">
        <v>884</v>
      </c>
      <c r="C25" s="375">
        <f t="shared" ref="C25:G25" si="74">IF(ISNUMBER(Z25), Z25, "")</f>
        <v>0</v>
      </c>
      <c r="D25" s="375">
        <f t="shared" si="74"/>
        <v>0</v>
      </c>
      <c r="E25" s="375">
        <f t="shared" si="74"/>
        <v>0</v>
      </c>
      <c r="F25" s="375">
        <f t="shared" si="74"/>
        <v>0</v>
      </c>
      <c r="G25" s="375">
        <f t="shared" si="74"/>
        <v>0</v>
      </c>
      <c r="H25" s="375">
        <f>IF(AND(ISNUMBER(C25),ISNUMBER(D25),ISNUMBER(G25)),SUM(C25,D25,G25),"")</f>
        <v>0</v>
      </c>
      <c r="I25" s="375">
        <f>IF(ISNUMBER(AF25), AF25, "")</f>
        <v>0</v>
      </c>
      <c r="J25" s="375">
        <f>IF(ISNUMBER(AG25), AG25, "")</f>
        <v>0</v>
      </c>
      <c r="K25" s="375">
        <f>IF(ISNUMBER(AH25), AH25, "")</f>
        <v>0</v>
      </c>
      <c r="L25" s="375">
        <f>IF(ISNUMBER(AI25), AI25, "")</f>
        <v>0</v>
      </c>
      <c r="M25" s="375">
        <f>IF(ISNUMBER(AJ25), AJ25, "")</f>
        <v>0</v>
      </c>
      <c r="N25" s="298"/>
      <c r="O25" s="298"/>
      <c r="P25" s="298"/>
      <c r="Q25" s="298"/>
      <c r="R25" s="298"/>
      <c r="S25" s="533"/>
      <c r="T25" s="298"/>
      <c r="U25" s="298"/>
      <c r="V25" s="298"/>
      <c r="W25" s="533"/>
      <c r="X25" s="298"/>
      <c r="Y25" s="298"/>
      <c r="Z25" s="2538">
        <v>0</v>
      </c>
      <c r="AA25" s="2538">
        <v>0</v>
      </c>
      <c r="AB25" s="2538">
        <v>0</v>
      </c>
      <c r="AC25" s="2538">
        <v>0</v>
      </c>
      <c r="AD25" s="2538">
        <v>0</v>
      </c>
      <c r="AE25" s="375">
        <f t="shared" si="55"/>
        <v>0</v>
      </c>
      <c r="AF25" s="2539">
        <v>0</v>
      </c>
      <c r="AG25" s="2539">
        <v>0</v>
      </c>
      <c r="AH25" s="2539">
        <v>0</v>
      </c>
      <c r="AI25" s="375">
        <f>IF(AND(ISNUMBER(AF25),ISNUMBER(AG25),ISNUMBER(AH25)),SUM(AF25:AH25), "")</f>
        <v>0</v>
      </c>
      <c r="AJ25" s="2539">
        <v>0</v>
      </c>
      <c r="AK25" s="2539">
        <v>0</v>
      </c>
      <c r="AL25" s="298"/>
      <c r="AM25" s="298"/>
      <c r="AN25" s="298"/>
      <c r="AO25" s="298"/>
      <c r="AP25" s="375">
        <f t="shared" ref="AP25:AT25" si="75">IF(ISNUMBER(BM25),BM25,"")</f>
        <v>0</v>
      </c>
      <c r="AQ25" s="375">
        <f t="shared" si="75"/>
        <v>0</v>
      </c>
      <c r="AR25" s="375">
        <f t="shared" si="75"/>
        <v>0</v>
      </c>
      <c r="AS25" s="375">
        <f t="shared" si="75"/>
        <v>0</v>
      </c>
      <c r="AT25" s="375">
        <f t="shared" si="75"/>
        <v>0</v>
      </c>
      <c r="AU25" s="375">
        <f>IF(AND(ISNUMBER(AP25),ISNUMBER(AQ25),ISNUMBER(AT25)),SUM(AP25,AQ25,AT25),"")</f>
        <v>0</v>
      </c>
      <c r="AV25" s="375">
        <f t="shared" ref="AV25:AZ25" si="76">IF(ISNUMBER(BS25),BS25,"")</f>
        <v>0</v>
      </c>
      <c r="AW25" s="375">
        <f t="shared" si="76"/>
        <v>0</v>
      </c>
      <c r="AX25" s="375">
        <f t="shared" si="76"/>
        <v>0</v>
      </c>
      <c r="AY25" s="375">
        <f t="shared" si="76"/>
        <v>0</v>
      </c>
      <c r="AZ25" s="375">
        <f t="shared" si="76"/>
        <v>0</v>
      </c>
      <c r="BA25" s="298"/>
      <c r="BB25" s="298"/>
      <c r="BC25" s="298"/>
      <c r="BD25" s="298"/>
      <c r="BE25" s="298"/>
      <c r="BF25" s="533"/>
      <c r="BG25" s="298"/>
      <c r="BH25" s="298"/>
      <c r="BI25" s="298"/>
      <c r="BJ25" s="298"/>
      <c r="BK25" s="298"/>
      <c r="BL25" s="298"/>
      <c r="BM25" s="2538">
        <v>0</v>
      </c>
      <c r="BN25" s="2538">
        <v>0</v>
      </c>
      <c r="BO25" s="2538">
        <v>0</v>
      </c>
      <c r="BP25" s="2538">
        <v>0</v>
      </c>
      <c r="BQ25" s="2538">
        <v>0</v>
      </c>
      <c r="BR25" s="375">
        <f>IF(AND(ISNUMBER(BM25), ISNUMBER(BN25), ISNUMBER(BQ25)), SUM(BM25,BN25,BQ25), "")</f>
        <v>0</v>
      </c>
      <c r="BS25" s="2539">
        <v>0</v>
      </c>
      <c r="BT25" s="2539">
        <v>0</v>
      </c>
      <c r="BU25" s="2539">
        <v>0</v>
      </c>
      <c r="BV25" s="375">
        <f>IF(AND(ISNUMBER(BS25),ISNUMBER(BT25),ISNUMBER(BU25)),SUM(BS25:BU25), "")</f>
        <v>0</v>
      </c>
      <c r="BW25" s="2538">
        <v>0</v>
      </c>
      <c r="BX25" s="2538">
        <v>0</v>
      </c>
      <c r="BY25" s="298"/>
      <c r="BZ25" s="298"/>
      <c r="CA25" s="298"/>
      <c r="CB25" s="298"/>
      <c r="CC25" s="298"/>
      <c r="CD25" s="298"/>
      <c r="CE25" s="298"/>
      <c r="CF25" s="298"/>
      <c r="CG25" s="298"/>
      <c r="CH25" s="298"/>
      <c r="CI25" s="316"/>
      <c r="CJ25" s="298"/>
      <c r="CK25" s="319"/>
      <c r="CL25" s="2538">
        <v>0</v>
      </c>
      <c r="CM25" s="2538">
        <v>0</v>
      </c>
      <c r="CN25" s="2538">
        <v>0</v>
      </c>
      <c r="CO25" s="2538">
        <v>0</v>
      </c>
      <c r="CP25" s="2538">
        <v>0</v>
      </c>
      <c r="CQ25" s="2538">
        <v>0</v>
      </c>
      <c r="CR25" s="352" t="str">
        <f>IF(AND(ISNUMBER(CO25), ISNUMBER(AU25)), IF(CO25&gt;=AU25, "Pass", "please check"),"")</f>
        <v>Pass</v>
      </c>
      <c r="CS25" s="356" t="str">
        <f>IF(AND(ISNUMBER(AY25), ISNUMBER(CQ25)), IF(CQ25&gt;=AY25, "Pass", "please check"), "")</f>
        <v>Pass</v>
      </c>
      <c r="CT25" s="1900"/>
      <c r="CU25" s="1901"/>
      <c r="CV25" s="1901"/>
      <c r="CW25" s="1901"/>
      <c r="CX25" s="1901"/>
      <c r="CY25" s="1902"/>
      <c r="CZ25" s="1514"/>
    </row>
    <row r="26" spans="1:104" ht="15" customHeight="1" x14ac:dyDescent="0.35">
      <c r="A26" s="263"/>
      <c r="B26" s="324" t="str">
        <f>"Check: row " &amp; ROW(B25) &amp; " ≤ row " &amp; ROW(B24)</f>
        <v>Check: row 25 ≤ row 24</v>
      </c>
      <c r="C26" s="574"/>
      <c r="D26" s="574"/>
      <c r="E26" s="574"/>
      <c r="F26" s="574"/>
      <c r="G26" s="574"/>
      <c r="H26" s="574"/>
      <c r="I26" s="574"/>
      <c r="J26" s="574"/>
      <c r="K26" s="574"/>
      <c r="L26" s="574"/>
      <c r="M26" s="574"/>
      <c r="N26" s="298"/>
      <c r="O26" s="298"/>
      <c r="P26" s="298"/>
      <c r="Q26" s="298"/>
      <c r="R26" s="298"/>
      <c r="S26" s="309"/>
      <c r="T26" s="298"/>
      <c r="U26" s="298"/>
      <c r="V26" s="298"/>
      <c r="W26" s="309"/>
      <c r="X26" s="298"/>
      <c r="Y26" s="298"/>
      <c r="Z26" s="352" t="str">
        <f t="shared" ref="Z26" si="77">IF(AND(ISNUMBER(Z25),ISNUMBER(Z24)), IF(Z25&lt;=Z24, "Pass", "Fail"), "")</f>
        <v>Pass</v>
      </c>
      <c r="AA26" s="352" t="str">
        <f t="shared" ref="AA26" si="78">IF(AND(ISNUMBER(AA25),ISNUMBER(AA24)), IF(AA25&lt;=AA24, "Pass", "Fail"), "")</f>
        <v>Pass</v>
      </c>
      <c r="AB26" s="352" t="str">
        <f t="shared" ref="AB26" si="79">IF(AND(ISNUMBER(AB25),ISNUMBER(AB24)), IF(AB25&lt;=AB24, "Pass", "Fail"), "")</f>
        <v>Pass</v>
      </c>
      <c r="AC26" s="352" t="str">
        <f t="shared" ref="AC26" si="80">IF(AND(ISNUMBER(AC25),ISNUMBER(AC24)), IF(AC25&lt;=AC24, "Pass", "Fail"), "")</f>
        <v>Pass</v>
      </c>
      <c r="AD26" s="356" t="str">
        <f t="shared" ref="AD26" si="81">IF(AND(ISNUMBER(AD25),ISNUMBER(AD24)), IF(AD25&lt;=AD24, "Pass", "Fail"), "")</f>
        <v>Pass</v>
      </c>
      <c r="AE26" s="574"/>
      <c r="AF26" s="352" t="str">
        <f t="shared" ref="AF26" si="82">IF(AND(ISNUMBER(AF25),ISNUMBER(AF24)), IF(AF25&lt;=AF24, "Pass", "Fail"), "")</f>
        <v>Pass</v>
      </c>
      <c r="AG26" s="352" t="str">
        <f t="shared" ref="AG26" si="83">IF(AND(ISNUMBER(AG25),ISNUMBER(AG24)), IF(AG25&lt;=AG24, "Pass", "Fail"), "")</f>
        <v>Pass</v>
      </c>
      <c r="AH26" s="356" t="str">
        <f t="shared" ref="AH26" si="84">IF(AND(ISNUMBER(AH25),ISNUMBER(AH24)), IF(AH25&lt;=AH24, "Pass", "Fail"), "")</f>
        <v>Pass</v>
      </c>
      <c r="AI26" s="574"/>
      <c r="AJ26" s="352" t="str">
        <f t="shared" ref="AJ26" si="85">IF(AND(ISNUMBER(AJ25),ISNUMBER(AJ24)), IF(AJ25&lt;=AJ24, "Pass", "Fail"), "")</f>
        <v>Pass</v>
      </c>
      <c r="AK26" s="352" t="str">
        <f t="shared" ref="AK26" si="86">IF(AND(ISNUMBER(AK25),ISNUMBER(AK24)), IF(AK25&lt;=AK24, "Pass", "Fail"), "")</f>
        <v>Pass</v>
      </c>
      <c r="AL26" s="298"/>
      <c r="AM26" s="298"/>
      <c r="AN26" s="298"/>
      <c r="AO26" s="298"/>
      <c r="AP26" s="574"/>
      <c r="AQ26" s="574"/>
      <c r="AR26" s="574"/>
      <c r="AS26" s="574"/>
      <c r="AT26" s="574"/>
      <c r="AU26" s="574"/>
      <c r="AV26" s="574"/>
      <c r="AW26" s="574"/>
      <c r="AX26" s="574"/>
      <c r="AY26" s="574"/>
      <c r="AZ26" s="574"/>
      <c r="BA26" s="298"/>
      <c r="BB26" s="298"/>
      <c r="BC26" s="298"/>
      <c r="BD26" s="298"/>
      <c r="BE26" s="298"/>
      <c r="BF26" s="309"/>
      <c r="BG26" s="298"/>
      <c r="BH26" s="298"/>
      <c r="BI26" s="298"/>
      <c r="BJ26" s="298"/>
      <c r="BK26" s="298"/>
      <c r="BL26" s="298"/>
      <c r="BM26" s="352" t="str">
        <f t="shared" ref="BM26:BQ26" si="87">IF(AND(ISNUMBER(BM25),ISNUMBER(BM24)), IF(BM25&lt;=BM24, "Pass", "Fail"), "")</f>
        <v>Pass</v>
      </c>
      <c r="BN26" s="352" t="str">
        <f t="shared" si="87"/>
        <v>Pass</v>
      </c>
      <c r="BO26" s="352" t="str">
        <f t="shared" si="87"/>
        <v>Pass</v>
      </c>
      <c r="BP26" s="352" t="str">
        <f t="shared" si="87"/>
        <v>Pass</v>
      </c>
      <c r="BQ26" s="352" t="str">
        <f t="shared" si="87"/>
        <v>Pass</v>
      </c>
      <c r="BR26" s="574"/>
      <c r="BS26" s="352" t="str">
        <f t="shared" ref="BS26" si="88">IF(AND(ISNUMBER(BS25),ISNUMBER(BS24)), IF(BS25&lt;=BS24, "Pass", "Fail"), "")</f>
        <v>Pass</v>
      </c>
      <c r="BT26" s="352" t="str">
        <f t="shared" ref="BT26:BU26" si="89">IF(AND(ISNUMBER(BT25),ISNUMBER(BT24)), IF(BT25&lt;=BT24, "Pass", "Fail"), "")</f>
        <v>Pass</v>
      </c>
      <c r="BU26" s="352" t="str">
        <f t="shared" si="89"/>
        <v>Pass</v>
      </c>
      <c r="BV26" s="298"/>
      <c r="BW26" s="352" t="str">
        <f t="shared" ref="BW26:BX26" si="90">IF(AND(ISNUMBER(BW25),ISNUMBER(BW24)), IF(BW25&lt;=BW24, "Pass", "Fail"), "")</f>
        <v>Pass</v>
      </c>
      <c r="BX26" s="352" t="str">
        <f t="shared" si="90"/>
        <v>Pass</v>
      </c>
      <c r="BY26" s="298"/>
      <c r="BZ26" s="298"/>
      <c r="CA26" s="298"/>
      <c r="CB26" s="298"/>
      <c r="CC26" s="298"/>
      <c r="CD26" s="298"/>
      <c r="CE26" s="298"/>
      <c r="CF26" s="298"/>
      <c r="CG26" s="298"/>
      <c r="CH26" s="298"/>
      <c r="CI26" s="316"/>
      <c r="CJ26" s="298"/>
      <c r="CK26" s="319"/>
      <c r="CL26" s="352" t="str">
        <f>IF(AND(ISNUMBER(CL25),ISNUMBER(CL24)), IF(CL25&lt;=CL24, "Pass", "Fail"), "")</f>
        <v>Pass</v>
      </c>
      <c r="CM26" s="582"/>
      <c r="CN26" s="582"/>
      <c r="CO26" s="352" t="str">
        <f>IF(AND(ISNUMBER(CO25),ISNUMBER(CO24)), IF(CO25&lt;=CO24, "Pass", "Fail"), "")</f>
        <v>Pass</v>
      </c>
      <c r="CP26" s="352" t="str">
        <f>IF(AND(ISNUMBER(CP25),ISNUMBER(CP24)), IF(CP25&lt;=CP24, "Pass", "Fail"), "")</f>
        <v>Pass</v>
      </c>
      <c r="CQ26" s="352" t="str">
        <f>IF(AND(ISNUMBER(CQ25),ISNUMBER(CQ24)), IF(CQ25&lt;=CQ24, "Pass", "Fail"), "")</f>
        <v>Pass</v>
      </c>
      <c r="CR26" s="582"/>
      <c r="CS26" s="583"/>
      <c r="CT26" s="1900"/>
      <c r="CU26" s="1901"/>
      <c r="CV26" s="1901"/>
      <c r="CW26" s="1901"/>
      <c r="CX26" s="1901"/>
      <c r="CY26" s="1902"/>
      <c r="CZ26" s="1514"/>
    </row>
    <row r="27" spans="1:104" ht="15" customHeight="1" x14ac:dyDescent="0.35">
      <c r="A27" s="263"/>
      <c r="B27" s="219" t="s">
        <v>886</v>
      </c>
      <c r="C27" s="375">
        <f>IF(AND(ISNUMBER(N27),ISNUMBER(Z27)),SUM(N27,Z27),"")</f>
        <v>0</v>
      </c>
      <c r="D27" s="375">
        <f>IF(AND(ISNUMBER(O27),ISNUMBER(AA27)),SUM(O27,AA27),"")</f>
        <v>0</v>
      </c>
      <c r="E27" s="375">
        <f>IF(AND(ISNUMBER(P27),ISNUMBER(AB27)),SUM(P27,AB27),"")</f>
        <v>0</v>
      </c>
      <c r="F27" s="375" t="str">
        <f>IF(AND(ISNUMBER(Q27),ISNUMBER(AC27)),SUM(Q27,AC27),"")</f>
        <v/>
      </c>
      <c r="G27" s="375">
        <f>IF(AND(ISNUMBER(R27),ISNUMBER(AD27)),SUM(R27,AD27),"")</f>
        <v>0</v>
      </c>
      <c r="H27" s="375">
        <f t="shared" si="73"/>
        <v>0</v>
      </c>
      <c r="I27" s="375">
        <f>IF(AND(ISNUMBER(T27),ISNUMBER(AF27)),SUM(T27,AF27),"")</f>
        <v>0</v>
      </c>
      <c r="J27" s="375">
        <f>IF(AND(ISNUMBER(U27),ISNUMBER(AG27)),SUM(U27,AG27),"")</f>
        <v>0</v>
      </c>
      <c r="K27" s="375">
        <f>IF(AND(ISNUMBER(V27),ISNUMBER(AH27)),SUM(V27,AH27),"")</f>
        <v>0</v>
      </c>
      <c r="L27" s="375">
        <f>IF(AND(ISNUMBER(W27),ISNUMBER(AI27)),SUM(W27,AI27),"")</f>
        <v>0</v>
      </c>
      <c r="M27" s="375">
        <f>IF(AND(ISNUMBER(X27),ISNUMBER(AJ27)),SUM(X27,AJ27),"")</f>
        <v>0</v>
      </c>
      <c r="N27" s="2527">
        <v>0</v>
      </c>
      <c r="O27" s="2527">
        <v>0</v>
      </c>
      <c r="P27" s="2527">
        <v>0</v>
      </c>
      <c r="Q27" s="2527"/>
      <c r="R27" s="2534">
        <v>0</v>
      </c>
      <c r="S27" s="375">
        <f t="shared" si="54"/>
        <v>0</v>
      </c>
      <c r="T27" s="2535">
        <v>0</v>
      </c>
      <c r="U27" s="2527">
        <v>0</v>
      </c>
      <c r="V27" s="2534">
        <v>0</v>
      </c>
      <c r="W27" s="375">
        <f>IF(AND(ISNUMBER(T27),ISNUMBER(U27),ISNUMBER(V27)),SUM(T27:V27), "")</f>
        <v>0</v>
      </c>
      <c r="X27" s="2535">
        <v>0</v>
      </c>
      <c r="Y27" s="2527">
        <v>0</v>
      </c>
      <c r="Z27" s="2527">
        <v>0</v>
      </c>
      <c r="AA27" s="2527">
        <v>0</v>
      </c>
      <c r="AB27" s="2527">
        <v>0</v>
      </c>
      <c r="AC27" s="2527">
        <v>0</v>
      </c>
      <c r="AD27" s="2527">
        <v>0</v>
      </c>
      <c r="AE27" s="375">
        <f t="shared" si="55"/>
        <v>0</v>
      </c>
      <c r="AF27" s="2535">
        <v>0</v>
      </c>
      <c r="AG27" s="2535">
        <v>0</v>
      </c>
      <c r="AH27" s="2535">
        <v>0</v>
      </c>
      <c r="AI27" s="375">
        <f>IF(AND(ISNUMBER(AF27),ISNUMBER(AG27),ISNUMBER(AH27)),SUM(AF27:AH27), "")</f>
        <v>0</v>
      </c>
      <c r="AJ27" s="2535">
        <v>0</v>
      </c>
      <c r="AK27" s="2535">
        <v>0</v>
      </c>
      <c r="AL27" s="208">
        <v>0</v>
      </c>
      <c r="AM27" s="2540">
        <v>0</v>
      </c>
      <c r="AN27" s="2540">
        <v>0</v>
      </c>
      <c r="AO27" s="2540">
        <v>0</v>
      </c>
      <c r="AP27" s="375">
        <f>IF(AND(ISNUMBER(BA27),ISNUMBER(BM27)),SUM(BA27,BM27),"")</f>
        <v>0</v>
      </c>
      <c r="AQ27" s="375">
        <f>IF(AND(ISNUMBER(BB27),ISNUMBER(BN27)),SUM(BB27,BN27),"")</f>
        <v>0</v>
      </c>
      <c r="AR27" s="375">
        <f>IF(AND(ISNUMBER(BC27),ISNUMBER(BO27)),SUM(BC27,BO27),"")</f>
        <v>0</v>
      </c>
      <c r="AS27" s="375">
        <f>IF(AND(ISNUMBER(BD27),ISNUMBER(BP27)),SUM(BD27,BP27),"")</f>
        <v>0</v>
      </c>
      <c r="AT27" s="375">
        <f>IF(AND(ISNUMBER(BE27),ISNUMBER(BQ27)),SUM(BE27,BQ27),"")</f>
        <v>0</v>
      </c>
      <c r="AU27" s="375">
        <f>IF(AND(ISNUMBER(AP27),ISNUMBER(AQ27),ISNUMBER(AT27)),SUM(AP27,AQ27,AT27),"")</f>
        <v>0</v>
      </c>
      <c r="AV27" s="375">
        <f>IF(AND(ISNUMBER(BG27),ISNUMBER(BS27)),SUM(BG27,BS27),"")</f>
        <v>0</v>
      </c>
      <c r="AW27" s="375">
        <f>IF(AND(ISNUMBER(BH27),ISNUMBER(BT27)),SUM(BH27,BT27),"")</f>
        <v>0</v>
      </c>
      <c r="AX27" s="375">
        <f>IF(AND(ISNUMBER(BI27),ISNUMBER(BU27)),SUM(BI27,BU27),"")</f>
        <v>0</v>
      </c>
      <c r="AY27" s="375">
        <f>IF(AND(ISNUMBER(BJ27),ISNUMBER(BV27)),SUM(BJ27,BV27),"")</f>
        <v>0</v>
      </c>
      <c r="AZ27" s="375">
        <f>IF(AND(ISNUMBER(BK27),ISNUMBER(BW27)),SUM(BK27,BW27),"")</f>
        <v>0</v>
      </c>
      <c r="BA27" s="2540">
        <v>0</v>
      </c>
      <c r="BB27" s="2540">
        <v>0</v>
      </c>
      <c r="BC27" s="2540">
        <v>0</v>
      </c>
      <c r="BD27" s="2540">
        <v>0</v>
      </c>
      <c r="BE27" s="2540">
        <v>0</v>
      </c>
      <c r="BF27" s="375">
        <f>IF(AND(ISNUMBER(BA27), ISNUMBER(BB27), ISNUMBER(BE27)), SUM(BA27,BB27,BE27), "")</f>
        <v>0</v>
      </c>
      <c r="BG27" s="2536">
        <v>0</v>
      </c>
      <c r="BH27" s="2540">
        <v>0</v>
      </c>
      <c r="BI27" s="2540">
        <v>0</v>
      </c>
      <c r="BJ27" s="375">
        <f>IF(AND(ISNUMBER(BG27),ISNUMBER(BH27),ISNUMBER(BI27)),SUM(BG27:BI27), "")</f>
        <v>0</v>
      </c>
      <c r="BK27" s="2540">
        <v>0</v>
      </c>
      <c r="BL27" s="2540">
        <v>0</v>
      </c>
      <c r="BM27" s="2527">
        <v>0</v>
      </c>
      <c r="BN27" s="2527">
        <v>0</v>
      </c>
      <c r="BO27" s="2527">
        <v>0</v>
      </c>
      <c r="BP27" s="2527">
        <v>0</v>
      </c>
      <c r="BQ27" s="2527">
        <v>0</v>
      </c>
      <c r="BR27" s="375">
        <f>IF(AND(ISNUMBER(BM27), ISNUMBER(BN27), ISNUMBER(BQ27)), SUM(BM27,BN27,BQ27), "")</f>
        <v>0</v>
      </c>
      <c r="BS27" s="2535">
        <v>0</v>
      </c>
      <c r="BT27" s="2535">
        <v>0</v>
      </c>
      <c r="BU27" s="2535">
        <v>0</v>
      </c>
      <c r="BV27" s="375">
        <f>IF(AND(ISNUMBER(BS27),ISNUMBER(BT27),ISNUMBER(BU27)),SUM(BS27:BU27), "")</f>
        <v>0</v>
      </c>
      <c r="BW27" s="2527">
        <v>0</v>
      </c>
      <c r="BX27" s="2527">
        <v>0</v>
      </c>
      <c r="BY27" s="208"/>
      <c r="BZ27" s="2540">
        <v>0</v>
      </c>
      <c r="CA27" s="2540">
        <v>0</v>
      </c>
      <c r="CB27" s="2540">
        <v>0</v>
      </c>
      <c r="CC27" s="2540">
        <v>0</v>
      </c>
      <c r="CD27" s="2540">
        <v>0</v>
      </c>
      <c r="CE27" s="375">
        <f>IF($C$7="No", 0, IF(AND(ISNUMBER(BZ27),ISNUMBER(CA27),ISNUMBER(CD27)),SUM(BZ27,CA27,CD27),""))</f>
        <v>0</v>
      </c>
      <c r="CF27" s="2540">
        <v>0</v>
      </c>
      <c r="CG27" s="2540">
        <v>0</v>
      </c>
      <c r="CH27" s="2540">
        <v>0</v>
      </c>
      <c r="CI27" s="139">
        <f>IF($C$7="No", 0, IF(AND(ISNUMBER(CF27), ISNUMBER(CG27), ISNUMBER(CH27)), SUM(CF27:CH27), ""))</f>
        <v>0</v>
      </c>
      <c r="CJ27" s="614" t="str">
        <f>IF(AND(ISNUMBER(CE27), ISNUMBER(CI27)), IF(CE27&lt;&gt;0, CI27/CE27, ""), "")</f>
        <v/>
      </c>
      <c r="CK27" s="319"/>
      <c r="CL27" s="2527">
        <v>0</v>
      </c>
      <c r="CM27" s="2527">
        <v>0</v>
      </c>
      <c r="CN27" s="2527">
        <v>0</v>
      </c>
      <c r="CO27" s="2527">
        <v>0</v>
      </c>
      <c r="CP27" s="2527">
        <v>0</v>
      </c>
      <c r="CQ27" s="2527">
        <v>0</v>
      </c>
      <c r="CR27" s="352" t="str">
        <f>IF(AND(ISNUMBER(CO27), ISNUMBER(AU27), ISNUMBER(CE27)), IF(CO27&gt;= 0.85 * (AU27+CE27), "Pass", "please check"),"")</f>
        <v>Pass</v>
      </c>
      <c r="CS27" s="356" t="str">
        <f>IF(AND(ISNUMBER(AL27),ISNUMBER(AM27),ISNUMBER(AN27),ISNUMBER(AO27),ISNUMBER(AY27), ISNUMBER(AZ27), ISNUMBER(CQ27), ISNUMBER(CI27)), IF(CQ27&gt;=(AY27+12.5*MAX(0,AZ27-(AL27+AM27+AN27+AO27))+CI27), "Pass", "please check"), "")</f>
        <v>Pass</v>
      </c>
      <c r="CT27" s="1898" t="str">
        <f>IF(AND(OR('General Info'!$C$19="Yes",'General Info'!$D$19="Yes"),ISNUMBER(CO27),ISNUMBER(CP27),ISNUMBER(CU27)),CO27-CP27+CU27,"")</f>
        <v/>
      </c>
      <c r="CU27" s="208"/>
      <c r="CV27" s="208"/>
      <c r="CW27" s="1899" t="str">
        <f>IF(AND(OR('General Info'!$C$19="Yes",'General Info'!$D$19="Yes"),ISNUMBER(AU27),ISNUMBER(CE27)),SUM(AU27,CE27),"")</f>
        <v/>
      </c>
      <c r="CX27" s="1899" t="str">
        <f>IF(AND(OR('General Info'!$C$19="Yes",'General Info'!$D$19="Yes"),ISNUMBER(AQ27),ISNUMBER(CA27)),SUM(AQ27,CA27),"")</f>
        <v/>
      </c>
      <c r="CY27" s="138"/>
      <c r="CZ27" s="1514"/>
    </row>
    <row r="28" spans="1:104" ht="15" customHeight="1" x14ac:dyDescent="0.35">
      <c r="A28" s="263"/>
      <c r="B28" s="407" t="s">
        <v>884</v>
      </c>
      <c r="C28" s="375">
        <f t="shared" ref="C28:G28" si="91">IF(ISNUMBER(Z28), Z28, "")</f>
        <v>0</v>
      </c>
      <c r="D28" s="375">
        <f t="shared" si="91"/>
        <v>0</v>
      </c>
      <c r="E28" s="375">
        <f t="shared" si="91"/>
        <v>0</v>
      </c>
      <c r="F28" s="375">
        <f t="shared" si="91"/>
        <v>0</v>
      </c>
      <c r="G28" s="375">
        <f t="shared" si="91"/>
        <v>0</v>
      </c>
      <c r="H28" s="375">
        <f>IF(AND(ISNUMBER(C28),ISNUMBER(D28),ISNUMBER(G28)),SUM(C28,D28,G28),"")</f>
        <v>0</v>
      </c>
      <c r="I28" s="375">
        <f>IF(ISNUMBER(AF28), AF28, "")</f>
        <v>0</v>
      </c>
      <c r="J28" s="375">
        <f>IF(ISNUMBER(AG28), AG28, "")</f>
        <v>0</v>
      </c>
      <c r="K28" s="375">
        <f>IF(ISNUMBER(AH28), AH28, "")</f>
        <v>0</v>
      </c>
      <c r="L28" s="375">
        <f>IF(ISNUMBER(AI28), AI28, "")</f>
        <v>0</v>
      </c>
      <c r="M28" s="375">
        <f>IF(ISNUMBER(AJ28), AJ28, "")</f>
        <v>0</v>
      </c>
      <c r="N28" s="298"/>
      <c r="O28" s="298"/>
      <c r="P28" s="298"/>
      <c r="Q28" s="298"/>
      <c r="R28" s="298"/>
      <c r="S28" s="533"/>
      <c r="T28" s="298"/>
      <c r="U28" s="298"/>
      <c r="V28" s="298"/>
      <c r="W28" s="533"/>
      <c r="X28" s="298"/>
      <c r="Y28" s="298"/>
      <c r="Z28" s="2538">
        <v>0</v>
      </c>
      <c r="AA28" s="2538">
        <v>0</v>
      </c>
      <c r="AB28" s="2538">
        <v>0</v>
      </c>
      <c r="AC28" s="2538">
        <v>0</v>
      </c>
      <c r="AD28" s="2538">
        <v>0</v>
      </c>
      <c r="AE28" s="375">
        <f t="shared" si="55"/>
        <v>0</v>
      </c>
      <c r="AF28" s="2539">
        <v>0</v>
      </c>
      <c r="AG28" s="2539">
        <v>0</v>
      </c>
      <c r="AH28" s="2539">
        <v>0</v>
      </c>
      <c r="AI28" s="375">
        <f>IF(AND(ISNUMBER(AF28),ISNUMBER(AG28),ISNUMBER(AH28)),SUM(AF28:AH28), "")</f>
        <v>0</v>
      </c>
      <c r="AJ28" s="2539">
        <v>0</v>
      </c>
      <c r="AK28" s="2539">
        <v>0</v>
      </c>
      <c r="AL28" s="298"/>
      <c r="AM28" s="298"/>
      <c r="AN28" s="298"/>
      <c r="AO28" s="298"/>
      <c r="AP28" s="375">
        <f t="shared" ref="AP28:AT28" si="92">IF(ISNUMBER(BM28),BM28,"")</f>
        <v>0</v>
      </c>
      <c r="AQ28" s="375">
        <f t="shared" si="92"/>
        <v>0</v>
      </c>
      <c r="AR28" s="375">
        <f t="shared" si="92"/>
        <v>0</v>
      </c>
      <c r="AS28" s="375">
        <f t="shared" si="92"/>
        <v>0</v>
      </c>
      <c r="AT28" s="375">
        <f t="shared" si="92"/>
        <v>0</v>
      </c>
      <c r="AU28" s="375">
        <f>IF(AND(ISNUMBER(AP28),ISNUMBER(AQ28),ISNUMBER(AT28)),SUM(AP28,AQ28,AT28),"")</f>
        <v>0</v>
      </c>
      <c r="AV28" s="375">
        <f t="shared" ref="AV28:AZ28" si="93">IF(ISNUMBER(BS28),BS28,"")</f>
        <v>0</v>
      </c>
      <c r="AW28" s="375">
        <f t="shared" si="93"/>
        <v>0</v>
      </c>
      <c r="AX28" s="375">
        <f t="shared" si="93"/>
        <v>0</v>
      </c>
      <c r="AY28" s="375">
        <f t="shared" si="93"/>
        <v>0</v>
      </c>
      <c r="AZ28" s="375">
        <f t="shared" si="93"/>
        <v>0</v>
      </c>
      <c r="BA28" s="298"/>
      <c r="BB28" s="298"/>
      <c r="BC28" s="298"/>
      <c r="BD28" s="298"/>
      <c r="BE28" s="298"/>
      <c r="BF28" s="533"/>
      <c r="BG28" s="298"/>
      <c r="BH28" s="298"/>
      <c r="BI28" s="298"/>
      <c r="BJ28" s="298"/>
      <c r="BK28" s="298"/>
      <c r="BL28" s="298"/>
      <c r="BM28" s="2538">
        <v>0</v>
      </c>
      <c r="BN28" s="2538">
        <v>0</v>
      </c>
      <c r="BO28" s="2538">
        <v>0</v>
      </c>
      <c r="BP28" s="2538">
        <v>0</v>
      </c>
      <c r="BQ28" s="2538">
        <v>0</v>
      </c>
      <c r="BR28" s="375">
        <f>IF(AND(ISNUMBER(BM28), ISNUMBER(BN28), ISNUMBER(BQ28)), SUM(BM28,BN28,BQ28), "")</f>
        <v>0</v>
      </c>
      <c r="BS28" s="2539">
        <v>0</v>
      </c>
      <c r="BT28" s="2539">
        <v>0</v>
      </c>
      <c r="BU28" s="2539">
        <v>0</v>
      </c>
      <c r="BV28" s="375">
        <f>IF(AND(ISNUMBER(BS28),ISNUMBER(BT28),ISNUMBER(BU28)),SUM(BS28:BU28), "")</f>
        <v>0</v>
      </c>
      <c r="BW28" s="2538">
        <v>0</v>
      </c>
      <c r="BX28" s="2538">
        <v>0</v>
      </c>
      <c r="BY28" s="298"/>
      <c r="BZ28" s="298"/>
      <c r="CA28" s="298"/>
      <c r="CB28" s="298"/>
      <c r="CC28" s="298"/>
      <c r="CD28" s="298"/>
      <c r="CE28" s="298"/>
      <c r="CF28" s="298"/>
      <c r="CG28" s="298"/>
      <c r="CH28" s="298"/>
      <c r="CI28" s="316"/>
      <c r="CJ28" s="298"/>
      <c r="CK28" s="319"/>
      <c r="CL28" s="2538">
        <v>0</v>
      </c>
      <c r="CM28" s="2538">
        <v>0</v>
      </c>
      <c r="CN28" s="2538">
        <v>0</v>
      </c>
      <c r="CO28" s="2538">
        <v>0</v>
      </c>
      <c r="CP28" s="2538">
        <v>0</v>
      </c>
      <c r="CQ28" s="2538">
        <v>0</v>
      </c>
      <c r="CR28" s="352" t="str">
        <f>IF(AND(ISNUMBER(CO28), ISNUMBER(AU28)), IF(CO28&gt;=AU28, "Pass", "please check"),"")</f>
        <v>Pass</v>
      </c>
      <c r="CS28" s="356" t="str">
        <f>IF(AND(ISNUMBER(AY28), ISNUMBER(CQ28)), IF(CQ28&gt;=AY28, "Pass", "please check"), "")</f>
        <v>Pass</v>
      </c>
      <c r="CT28" s="1900"/>
      <c r="CU28" s="1901"/>
      <c r="CV28" s="1901"/>
      <c r="CW28" s="1901"/>
      <c r="CX28" s="1901"/>
      <c r="CY28" s="1902"/>
      <c r="CZ28" s="1514"/>
    </row>
    <row r="29" spans="1:104" ht="15" customHeight="1" x14ac:dyDescent="0.35">
      <c r="A29" s="263"/>
      <c r="B29" s="324" t="str">
        <f>"Check: row " &amp; ROW(B28) &amp; " ≤ row " &amp; ROW(B27)</f>
        <v>Check: row 28 ≤ row 27</v>
      </c>
      <c r="C29" s="574"/>
      <c r="D29" s="574"/>
      <c r="E29" s="574"/>
      <c r="F29" s="574"/>
      <c r="G29" s="574"/>
      <c r="H29" s="574"/>
      <c r="I29" s="574"/>
      <c r="J29" s="574"/>
      <c r="K29" s="574"/>
      <c r="L29" s="574"/>
      <c r="M29" s="574"/>
      <c r="N29" s="298"/>
      <c r="O29" s="298"/>
      <c r="P29" s="298"/>
      <c r="Q29" s="298"/>
      <c r="R29" s="298"/>
      <c r="S29" s="309"/>
      <c r="T29" s="298"/>
      <c r="U29" s="298"/>
      <c r="V29" s="298"/>
      <c r="W29" s="309"/>
      <c r="X29" s="298"/>
      <c r="Y29" s="298"/>
      <c r="Z29" s="352" t="str">
        <f t="shared" ref="Z29" si="94">IF(AND(ISNUMBER(Z28),ISNUMBER(Z27)), IF(Z28&lt;=Z27, "Pass", "Fail"), "")</f>
        <v>Pass</v>
      </c>
      <c r="AA29" s="352" t="str">
        <f t="shared" ref="AA29" si="95">IF(AND(ISNUMBER(AA28),ISNUMBER(AA27)), IF(AA28&lt;=AA27, "Pass", "Fail"), "")</f>
        <v>Pass</v>
      </c>
      <c r="AB29" s="352" t="str">
        <f t="shared" ref="AB29" si="96">IF(AND(ISNUMBER(AB28),ISNUMBER(AB27)), IF(AB28&lt;=AB27, "Pass", "Fail"), "")</f>
        <v>Pass</v>
      </c>
      <c r="AC29" s="352" t="str">
        <f t="shared" ref="AC29" si="97">IF(AND(ISNUMBER(AC28),ISNUMBER(AC27)), IF(AC28&lt;=AC27, "Pass", "Fail"), "")</f>
        <v>Pass</v>
      </c>
      <c r="AD29" s="356" t="str">
        <f t="shared" ref="AD29" si="98">IF(AND(ISNUMBER(AD28),ISNUMBER(AD27)), IF(AD28&lt;=AD27, "Pass", "Fail"), "")</f>
        <v>Pass</v>
      </c>
      <c r="AE29" s="574"/>
      <c r="AF29" s="352" t="str">
        <f t="shared" ref="AF29" si="99">IF(AND(ISNUMBER(AF28),ISNUMBER(AF27)), IF(AF28&lt;=AF27, "Pass", "Fail"), "")</f>
        <v>Pass</v>
      </c>
      <c r="AG29" s="352" t="str">
        <f t="shared" ref="AG29" si="100">IF(AND(ISNUMBER(AG28),ISNUMBER(AG27)), IF(AG28&lt;=AG27, "Pass", "Fail"), "")</f>
        <v>Pass</v>
      </c>
      <c r="AH29" s="352" t="str">
        <f t="shared" ref="AH29" si="101">IF(AND(ISNUMBER(AH28),ISNUMBER(AH27)), IF(AH28&lt;=AH27, "Pass", "Fail"), "")</f>
        <v>Pass</v>
      </c>
      <c r="AI29" s="574"/>
      <c r="AJ29" s="352" t="str">
        <f t="shared" ref="AJ29" si="102">IF(AND(ISNUMBER(AJ28),ISNUMBER(AJ27)), IF(AJ28&lt;=AJ27, "Pass", "Fail"), "")</f>
        <v>Pass</v>
      </c>
      <c r="AK29" s="352" t="str">
        <f t="shared" ref="AK29" si="103">IF(AND(ISNUMBER(AK28),ISNUMBER(AK27)), IF(AK28&lt;=AK27, "Pass", "Fail"), "")</f>
        <v>Pass</v>
      </c>
      <c r="AL29" s="298"/>
      <c r="AM29" s="298"/>
      <c r="AN29" s="298"/>
      <c r="AO29" s="298"/>
      <c r="AP29" s="574"/>
      <c r="AQ29" s="574"/>
      <c r="AR29" s="574"/>
      <c r="AS29" s="574"/>
      <c r="AT29" s="574"/>
      <c r="AU29" s="574"/>
      <c r="AV29" s="574"/>
      <c r="AW29" s="574"/>
      <c r="AX29" s="574"/>
      <c r="AY29" s="574"/>
      <c r="AZ29" s="574"/>
      <c r="BA29" s="298"/>
      <c r="BB29" s="298"/>
      <c r="BC29" s="298"/>
      <c r="BD29" s="298"/>
      <c r="BE29" s="298"/>
      <c r="BF29" s="309"/>
      <c r="BG29" s="298"/>
      <c r="BH29" s="298"/>
      <c r="BI29" s="298"/>
      <c r="BJ29" s="298"/>
      <c r="BK29" s="298"/>
      <c r="BL29" s="298"/>
      <c r="BM29" s="352" t="str">
        <f t="shared" ref="BM29:BQ29" si="104">IF(AND(ISNUMBER(BM28),ISNUMBER(BM27)), IF(BM28&lt;=BM27, "Pass", "Fail"), "")</f>
        <v>Pass</v>
      </c>
      <c r="BN29" s="352" t="str">
        <f t="shared" si="104"/>
        <v>Pass</v>
      </c>
      <c r="BO29" s="352" t="str">
        <f t="shared" si="104"/>
        <v>Pass</v>
      </c>
      <c r="BP29" s="352" t="str">
        <f t="shared" si="104"/>
        <v>Pass</v>
      </c>
      <c r="BQ29" s="352" t="str">
        <f t="shared" si="104"/>
        <v>Pass</v>
      </c>
      <c r="BR29" s="574"/>
      <c r="BS29" s="352" t="str">
        <f t="shared" ref="BS29" si="105">IF(AND(ISNUMBER(BS28),ISNUMBER(BS27)), IF(BS28&lt;=BS27, "Pass", "Fail"), "")</f>
        <v>Pass</v>
      </c>
      <c r="BT29" s="352" t="str">
        <f t="shared" ref="BT29:BU29" si="106">IF(AND(ISNUMBER(BT28),ISNUMBER(BT27)), IF(BT28&lt;=BT27, "Pass", "Fail"), "")</f>
        <v>Pass</v>
      </c>
      <c r="BU29" s="352" t="str">
        <f t="shared" si="106"/>
        <v>Pass</v>
      </c>
      <c r="BV29" s="298"/>
      <c r="BW29" s="352" t="str">
        <f t="shared" ref="BW29:BX29" si="107">IF(AND(ISNUMBER(BW28),ISNUMBER(BW27)), IF(BW28&lt;=BW27, "Pass", "Fail"), "")</f>
        <v>Pass</v>
      </c>
      <c r="BX29" s="352" t="str">
        <f t="shared" si="107"/>
        <v>Pass</v>
      </c>
      <c r="BY29" s="298"/>
      <c r="BZ29" s="298"/>
      <c r="CA29" s="298"/>
      <c r="CB29" s="298"/>
      <c r="CC29" s="298"/>
      <c r="CD29" s="298"/>
      <c r="CE29" s="298"/>
      <c r="CF29" s="298"/>
      <c r="CG29" s="298"/>
      <c r="CH29" s="298"/>
      <c r="CI29" s="316"/>
      <c r="CJ29" s="298"/>
      <c r="CK29" s="319"/>
      <c r="CL29" s="352" t="str">
        <f>IF(AND(ISNUMBER(CL28),ISNUMBER(CL27)), IF(CL28&lt;=CL27, "Pass", "Fail"), "")</f>
        <v>Pass</v>
      </c>
      <c r="CM29" s="582"/>
      <c r="CN29" s="582"/>
      <c r="CO29" s="352" t="str">
        <f>IF(AND(ISNUMBER(CO28),ISNUMBER(CO27)), IF(CO28&lt;=CO27, "Pass", "Fail"), "")</f>
        <v>Pass</v>
      </c>
      <c r="CP29" s="352" t="str">
        <f>IF(AND(ISNUMBER(CP28),ISNUMBER(CP27)), IF(CP28&lt;=CP27, "Pass", "Fail"), "")</f>
        <v>Pass</v>
      </c>
      <c r="CQ29" s="352" t="str">
        <f>IF(AND(ISNUMBER(CQ28),ISNUMBER(CQ27)), IF(CQ28&lt;=CQ27, "Pass", "Fail"), "")</f>
        <v>Pass</v>
      </c>
      <c r="CR29" s="582"/>
      <c r="CS29" s="583"/>
      <c r="CT29" s="1900"/>
      <c r="CU29" s="1901"/>
      <c r="CV29" s="1901"/>
      <c r="CW29" s="1901"/>
      <c r="CX29" s="1901"/>
      <c r="CY29" s="1902"/>
      <c r="CZ29" s="1514"/>
    </row>
    <row r="30" spans="1:104" ht="15" customHeight="1" x14ac:dyDescent="0.35">
      <c r="A30" s="263"/>
      <c r="B30" s="219" t="s">
        <v>887</v>
      </c>
      <c r="C30" s="375">
        <f>IF(AND(ISNUMBER(N30),ISNUMBER(Z30)),SUM(N30,Z30),"")</f>
        <v>0</v>
      </c>
      <c r="D30" s="375">
        <f>IF(AND(ISNUMBER(O30),ISNUMBER(AA30)),SUM(O30,AA30),"")</f>
        <v>0</v>
      </c>
      <c r="E30" s="375">
        <f>IF(AND(ISNUMBER(P30),ISNUMBER(AB30)),SUM(P30,AB30),"")</f>
        <v>0</v>
      </c>
      <c r="F30" s="375" t="str">
        <f>IF(AND(ISNUMBER(Q30),ISNUMBER(AC30)),SUM(Q30,AC30),"")</f>
        <v/>
      </c>
      <c r="G30" s="375">
        <f>IF(AND(ISNUMBER(R30),ISNUMBER(AD30)),SUM(R30,AD30),"")</f>
        <v>0</v>
      </c>
      <c r="H30" s="375">
        <f t="shared" si="73"/>
        <v>0</v>
      </c>
      <c r="I30" s="375">
        <f>IF(AND(ISNUMBER(T30),ISNUMBER(AF30)),SUM(T30,AF30),"")</f>
        <v>0</v>
      </c>
      <c r="J30" s="375">
        <f>IF(AND(ISNUMBER(U30),ISNUMBER(AG30)),SUM(U30,AG30),"")</f>
        <v>0</v>
      </c>
      <c r="K30" s="375">
        <f>IF(AND(ISNUMBER(V30),ISNUMBER(AH30)),SUM(V30,AH30),"")</f>
        <v>0</v>
      </c>
      <c r="L30" s="375">
        <f>IF(AND(ISNUMBER(W30),ISNUMBER(AI30)),SUM(W30,AI30),"")</f>
        <v>0</v>
      </c>
      <c r="M30" s="375">
        <f>IF(AND(ISNUMBER(X30),ISNUMBER(AJ30)),SUM(X30,AJ30),"")</f>
        <v>0</v>
      </c>
      <c r="N30" s="2527">
        <v>0</v>
      </c>
      <c r="O30" s="2527">
        <v>0</v>
      </c>
      <c r="P30" s="2527">
        <v>0</v>
      </c>
      <c r="Q30" s="2527"/>
      <c r="R30" s="2534">
        <v>0</v>
      </c>
      <c r="S30" s="375">
        <f t="shared" si="54"/>
        <v>0</v>
      </c>
      <c r="T30" s="2535">
        <v>0</v>
      </c>
      <c r="U30" s="2527">
        <v>0</v>
      </c>
      <c r="V30" s="2534">
        <v>0</v>
      </c>
      <c r="W30" s="375">
        <f>IF(AND(ISNUMBER(T30),ISNUMBER(U30),ISNUMBER(V30)),SUM(T30:V30), "")</f>
        <v>0</v>
      </c>
      <c r="X30" s="2535">
        <v>0</v>
      </c>
      <c r="Y30" s="2527">
        <v>0</v>
      </c>
      <c r="Z30" s="2527">
        <v>0</v>
      </c>
      <c r="AA30" s="2527">
        <v>0</v>
      </c>
      <c r="AB30" s="2527">
        <v>0</v>
      </c>
      <c r="AC30" s="2527">
        <v>0</v>
      </c>
      <c r="AD30" s="2527">
        <v>0</v>
      </c>
      <c r="AE30" s="375">
        <f t="shared" si="55"/>
        <v>0</v>
      </c>
      <c r="AF30" s="2535">
        <v>0</v>
      </c>
      <c r="AG30" s="2535">
        <v>0</v>
      </c>
      <c r="AH30" s="2535">
        <v>0</v>
      </c>
      <c r="AI30" s="375">
        <f>IF(AND(ISNUMBER(AF30),ISNUMBER(AG30),ISNUMBER(AH30)),SUM(AF30:AH30), "")</f>
        <v>0</v>
      </c>
      <c r="AJ30" s="2535">
        <v>0</v>
      </c>
      <c r="AK30" s="2535">
        <v>0</v>
      </c>
      <c r="AL30" s="208">
        <v>0</v>
      </c>
      <c r="AM30" s="2540">
        <v>0</v>
      </c>
      <c r="AN30" s="2540">
        <v>0</v>
      </c>
      <c r="AO30" s="2540">
        <v>0</v>
      </c>
      <c r="AP30" s="375">
        <f>IF(AND(ISNUMBER(BA30),ISNUMBER(BM30)),SUM(BA30,BM30),"")</f>
        <v>0</v>
      </c>
      <c r="AQ30" s="375">
        <f>IF(AND(ISNUMBER(BB30),ISNUMBER(BN30)),SUM(BB30,BN30),"")</f>
        <v>0</v>
      </c>
      <c r="AR30" s="375">
        <f>IF(AND(ISNUMBER(BC30),ISNUMBER(BO30)),SUM(BC30,BO30),"")</f>
        <v>0</v>
      </c>
      <c r="AS30" s="375">
        <f>IF(AND(ISNUMBER(BD30),ISNUMBER(BP30)),SUM(BD30,BP30),"")</f>
        <v>0</v>
      </c>
      <c r="AT30" s="375">
        <f>IF(AND(ISNUMBER(BE30),ISNUMBER(BQ30)),SUM(BE30,BQ30),"")</f>
        <v>0</v>
      </c>
      <c r="AU30" s="375">
        <f>IF(AND(ISNUMBER(AP30),ISNUMBER(AQ30),ISNUMBER(AT30)),SUM(AP30,AQ30,AT30),"")</f>
        <v>0</v>
      </c>
      <c r="AV30" s="375">
        <f>IF(AND(ISNUMBER(BG30),ISNUMBER(BS30)),SUM(BG30,BS30),"")</f>
        <v>0</v>
      </c>
      <c r="AW30" s="375">
        <f>IF(AND(ISNUMBER(BH30),ISNUMBER(BT30)),SUM(BH30,BT30),"")</f>
        <v>0</v>
      </c>
      <c r="AX30" s="375">
        <f>IF(AND(ISNUMBER(BI30),ISNUMBER(BU30)),SUM(BI30,BU30),"")</f>
        <v>0</v>
      </c>
      <c r="AY30" s="375">
        <f>IF(AND(ISNUMBER(BJ30),ISNUMBER(BV30)),SUM(BJ30,BV30),"")</f>
        <v>0</v>
      </c>
      <c r="AZ30" s="375">
        <f>IF(AND(ISNUMBER(BK30),ISNUMBER(BW30)),SUM(BK30,BW30),"")</f>
        <v>0</v>
      </c>
      <c r="BA30" s="2540">
        <v>0</v>
      </c>
      <c r="BB30" s="2540">
        <v>0</v>
      </c>
      <c r="BC30" s="2540">
        <v>0</v>
      </c>
      <c r="BD30" s="2540">
        <v>0</v>
      </c>
      <c r="BE30" s="2540">
        <v>0</v>
      </c>
      <c r="BF30" s="375">
        <f>IF(AND(ISNUMBER(BA30), ISNUMBER(BB30), ISNUMBER(BE30)), SUM(BA30,BB30,BE30), "")</f>
        <v>0</v>
      </c>
      <c r="BG30" s="2536">
        <v>0</v>
      </c>
      <c r="BH30" s="2540">
        <v>0</v>
      </c>
      <c r="BI30" s="2540">
        <v>0</v>
      </c>
      <c r="BJ30" s="375">
        <f>IF(AND(ISNUMBER(BG30),ISNUMBER(BH30),ISNUMBER(BI30)),SUM(BG30:BI30), "")</f>
        <v>0</v>
      </c>
      <c r="BK30" s="2540">
        <v>0</v>
      </c>
      <c r="BL30" s="2540">
        <v>0</v>
      </c>
      <c r="BM30" s="2527">
        <v>0</v>
      </c>
      <c r="BN30" s="2527">
        <v>0</v>
      </c>
      <c r="BO30" s="2527">
        <v>0</v>
      </c>
      <c r="BP30" s="2527">
        <v>0</v>
      </c>
      <c r="BQ30" s="2527">
        <v>0</v>
      </c>
      <c r="BR30" s="375">
        <f>IF(AND(ISNUMBER(BM30), ISNUMBER(BN30), ISNUMBER(BQ30)), SUM(BM30,BN30,BQ30), "")</f>
        <v>0</v>
      </c>
      <c r="BS30" s="2535">
        <v>0</v>
      </c>
      <c r="BT30" s="2535">
        <v>0</v>
      </c>
      <c r="BU30" s="2535">
        <v>0</v>
      </c>
      <c r="BV30" s="375">
        <f>IF(AND(ISNUMBER(BS30),ISNUMBER(BT30),ISNUMBER(BU30)),SUM(BS30:BU30), "")</f>
        <v>0</v>
      </c>
      <c r="BW30" s="2527">
        <v>0</v>
      </c>
      <c r="BX30" s="2527">
        <v>0</v>
      </c>
      <c r="BY30" s="208"/>
      <c r="BZ30" s="2540">
        <v>0</v>
      </c>
      <c r="CA30" s="2540">
        <v>0</v>
      </c>
      <c r="CB30" s="2540">
        <v>0</v>
      </c>
      <c r="CC30" s="2540">
        <v>0</v>
      </c>
      <c r="CD30" s="2540">
        <v>0</v>
      </c>
      <c r="CE30" s="375">
        <f>IF($C$7="No", 0, IF(AND(ISNUMBER(BZ30),ISNUMBER(CA30),ISNUMBER(CD30)),SUM(BZ30,CA30,CD30),""))</f>
        <v>0</v>
      </c>
      <c r="CF30" s="2540">
        <v>0</v>
      </c>
      <c r="CG30" s="2540">
        <v>0</v>
      </c>
      <c r="CH30" s="2540">
        <v>0</v>
      </c>
      <c r="CI30" s="139">
        <f>IF($C$7="No", 0, IF(AND(ISNUMBER(CF30), ISNUMBER(CG30), ISNUMBER(CH30)), SUM(CF30:CH30), ""))</f>
        <v>0</v>
      </c>
      <c r="CJ30" s="614" t="str">
        <f>IF(AND(ISNUMBER(CE30), ISNUMBER(CI30)), IF(CE30&lt;&gt;0, CI30/CE30, ""), "")</f>
        <v/>
      </c>
      <c r="CK30" s="319"/>
      <c r="CL30" s="2527">
        <v>0</v>
      </c>
      <c r="CM30" s="2527">
        <v>0</v>
      </c>
      <c r="CN30" s="2527">
        <v>0</v>
      </c>
      <c r="CO30" s="2527">
        <v>0</v>
      </c>
      <c r="CP30" s="2527">
        <v>0</v>
      </c>
      <c r="CQ30" s="2527">
        <v>0</v>
      </c>
      <c r="CR30" s="352" t="str">
        <f>IF(AND(ISNUMBER(CO30), ISNUMBER(AU30), ISNUMBER(CE30)), IF(CO30&gt;= 0.85 * (AU30+CE30), "Pass", "please check"),"")</f>
        <v>Pass</v>
      </c>
      <c r="CS30" s="356" t="str">
        <f>IF(AND(ISNUMBER(AL30),ISNUMBER(AM30),ISNUMBER(AN30),ISNUMBER(AO30),ISNUMBER(AY30), ISNUMBER(AZ30), ISNUMBER(CQ30), ISNUMBER(CI30)), IF(CQ30&gt;=(AY30+12.5*MAX(0,AZ30-(AL30+AM30+AN30+AO30))+CI30), "Pass", "please check"), "")</f>
        <v>Pass</v>
      </c>
      <c r="CT30" s="1898" t="str">
        <f>IF(AND(OR('General Info'!$C$19="Yes",'General Info'!$D$19="Yes"),ISNUMBER(CO30),ISNUMBER(CP30),ISNUMBER(CU30)),CO30-CP30+CU30,"")</f>
        <v/>
      </c>
      <c r="CU30" s="208"/>
      <c r="CV30" s="208"/>
      <c r="CW30" s="1899" t="str">
        <f>IF(AND(OR('General Info'!$C$19="Yes",'General Info'!$D$19="Yes"),ISNUMBER(AU30),ISNUMBER(CE30)),SUM(AU30,CE30),"")</f>
        <v/>
      </c>
      <c r="CX30" s="1899" t="str">
        <f>IF(AND(OR('General Info'!$C$19="Yes",'General Info'!$D$19="Yes"),ISNUMBER(AQ30),ISNUMBER(CA30)),SUM(AQ30,CA30),"")</f>
        <v/>
      </c>
      <c r="CY30" s="138"/>
      <c r="CZ30" s="1514"/>
    </row>
    <row r="31" spans="1:104" ht="15" customHeight="1" x14ac:dyDescent="0.35">
      <c r="A31" s="263"/>
      <c r="B31" s="407" t="s">
        <v>884</v>
      </c>
      <c r="C31" s="375">
        <f t="shared" ref="C31:G31" si="108">IF(ISNUMBER(Z31), Z31, "")</f>
        <v>0</v>
      </c>
      <c r="D31" s="375">
        <f t="shared" si="108"/>
        <v>0</v>
      </c>
      <c r="E31" s="375">
        <f t="shared" si="108"/>
        <v>0</v>
      </c>
      <c r="F31" s="375">
        <f t="shared" si="108"/>
        <v>0</v>
      </c>
      <c r="G31" s="375">
        <f t="shared" si="108"/>
        <v>0</v>
      </c>
      <c r="H31" s="375">
        <f>IF(AND(ISNUMBER(C31),ISNUMBER(D31),ISNUMBER(G31)),SUM(C31,D31,G31),"")</f>
        <v>0</v>
      </c>
      <c r="I31" s="375">
        <f>IF(ISNUMBER(AF31), AF31, "")</f>
        <v>0</v>
      </c>
      <c r="J31" s="375">
        <f>IF(ISNUMBER(AG31), AG31, "")</f>
        <v>0</v>
      </c>
      <c r="K31" s="375">
        <f>IF(ISNUMBER(AH31), AH31, "")</f>
        <v>0</v>
      </c>
      <c r="L31" s="375">
        <f>IF(ISNUMBER(AI31), AI31, "")</f>
        <v>0</v>
      </c>
      <c r="M31" s="375">
        <f>IF(ISNUMBER(AJ31), AJ31, "")</f>
        <v>0</v>
      </c>
      <c r="N31" s="298"/>
      <c r="O31" s="298"/>
      <c r="P31" s="298"/>
      <c r="Q31" s="298"/>
      <c r="R31" s="298"/>
      <c r="S31" s="533"/>
      <c r="T31" s="298"/>
      <c r="U31" s="298"/>
      <c r="V31" s="298"/>
      <c r="W31" s="533"/>
      <c r="X31" s="298"/>
      <c r="Y31" s="298"/>
      <c r="Z31" s="2538">
        <v>0</v>
      </c>
      <c r="AA31" s="2538">
        <v>0</v>
      </c>
      <c r="AB31" s="2538">
        <v>0</v>
      </c>
      <c r="AC31" s="2538">
        <v>0</v>
      </c>
      <c r="AD31" s="2538">
        <v>0</v>
      </c>
      <c r="AE31" s="375">
        <f t="shared" si="55"/>
        <v>0</v>
      </c>
      <c r="AF31" s="2539">
        <v>0</v>
      </c>
      <c r="AG31" s="2539">
        <v>0</v>
      </c>
      <c r="AH31" s="2539">
        <v>0</v>
      </c>
      <c r="AI31" s="375">
        <f>IF(AND(ISNUMBER(AF31),ISNUMBER(AG31),ISNUMBER(AH31)),SUM(AF31:AH31), "")</f>
        <v>0</v>
      </c>
      <c r="AJ31" s="2539">
        <v>0</v>
      </c>
      <c r="AK31" s="2539">
        <v>0</v>
      </c>
      <c r="AL31" s="298"/>
      <c r="AM31" s="298"/>
      <c r="AN31" s="298"/>
      <c r="AO31" s="298"/>
      <c r="AP31" s="375">
        <f t="shared" ref="AP31:AT31" si="109">IF(ISNUMBER(BM31),BM31,"")</f>
        <v>0</v>
      </c>
      <c r="AQ31" s="375">
        <f t="shared" si="109"/>
        <v>0</v>
      </c>
      <c r="AR31" s="375">
        <f t="shared" si="109"/>
        <v>0</v>
      </c>
      <c r="AS31" s="375">
        <f t="shared" si="109"/>
        <v>0</v>
      </c>
      <c r="AT31" s="375">
        <f t="shared" si="109"/>
        <v>0</v>
      </c>
      <c r="AU31" s="375">
        <f>IF(AND(ISNUMBER(AP31),ISNUMBER(AQ31),ISNUMBER(AT31)),SUM(AP31,AQ31,AT31),"")</f>
        <v>0</v>
      </c>
      <c r="AV31" s="375">
        <f t="shared" ref="AV31:AZ31" si="110">IF(ISNUMBER(BS31),BS31,"")</f>
        <v>0</v>
      </c>
      <c r="AW31" s="375">
        <f t="shared" si="110"/>
        <v>0</v>
      </c>
      <c r="AX31" s="375">
        <f t="shared" si="110"/>
        <v>0</v>
      </c>
      <c r="AY31" s="375">
        <f t="shared" si="110"/>
        <v>0</v>
      </c>
      <c r="AZ31" s="375">
        <f t="shared" si="110"/>
        <v>0</v>
      </c>
      <c r="BA31" s="298"/>
      <c r="BB31" s="298"/>
      <c r="BC31" s="298"/>
      <c r="BD31" s="298"/>
      <c r="BE31" s="298"/>
      <c r="BF31" s="533"/>
      <c r="BG31" s="298"/>
      <c r="BH31" s="298"/>
      <c r="BI31" s="298"/>
      <c r="BJ31" s="298"/>
      <c r="BK31" s="298"/>
      <c r="BL31" s="298"/>
      <c r="BM31" s="2538">
        <v>0</v>
      </c>
      <c r="BN31" s="2538">
        <v>0</v>
      </c>
      <c r="BO31" s="2538">
        <v>0</v>
      </c>
      <c r="BP31" s="2538">
        <v>0</v>
      </c>
      <c r="BQ31" s="2538">
        <v>0</v>
      </c>
      <c r="BR31" s="375">
        <f>IF(AND(ISNUMBER(BM31), ISNUMBER(BN31), ISNUMBER(BQ31)), SUM(BM31,BN31,BQ31), "")</f>
        <v>0</v>
      </c>
      <c r="BS31" s="2539">
        <v>0</v>
      </c>
      <c r="BT31" s="2539">
        <v>0</v>
      </c>
      <c r="BU31" s="2539">
        <v>0</v>
      </c>
      <c r="BV31" s="375">
        <f>IF(AND(ISNUMBER(BS31),ISNUMBER(BT31),ISNUMBER(BU31)),SUM(BS31:BU31), "")</f>
        <v>0</v>
      </c>
      <c r="BW31" s="2538">
        <v>0</v>
      </c>
      <c r="BX31" s="2538">
        <v>0</v>
      </c>
      <c r="BY31" s="298"/>
      <c r="BZ31" s="298"/>
      <c r="CA31" s="298"/>
      <c r="CB31" s="298"/>
      <c r="CC31" s="298"/>
      <c r="CD31" s="298"/>
      <c r="CE31" s="298"/>
      <c r="CF31" s="298"/>
      <c r="CG31" s="298"/>
      <c r="CH31" s="298"/>
      <c r="CI31" s="316"/>
      <c r="CJ31" s="298"/>
      <c r="CK31" s="319"/>
      <c r="CL31" s="2538">
        <v>0</v>
      </c>
      <c r="CM31" s="2538">
        <v>0</v>
      </c>
      <c r="CN31" s="2538">
        <v>0</v>
      </c>
      <c r="CO31" s="2538">
        <v>0</v>
      </c>
      <c r="CP31" s="2538">
        <v>0</v>
      </c>
      <c r="CQ31" s="2538">
        <v>0</v>
      </c>
      <c r="CR31" s="352" t="str">
        <f>IF(AND(ISNUMBER(CO31), ISNUMBER(AU31)), IF(CO31&gt;=AU31, "Pass", "please check"),"")</f>
        <v>Pass</v>
      </c>
      <c r="CS31" s="356" t="str">
        <f>IF(AND(ISNUMBER(AY31), ISNUMBER(CQ31)), IF(CQ31&gt;=AY31, "Pass", "please check"), "")</f>
        <v>Pass</v>
      </c>
      <c r="CT31" s="1900"/>
      <c r="CU31" s="1901"/>
      <c r="CV31" s="1901"/>
      <c r="CW31" s="1901"/>
      <c r="CX31" s="1901"/>
      <c r="CY31" s="1902"/>
      <c r="CZ31" s="1514"/>
    </row>
    <row r="32" spans="1:104" ht="15" customHeight="1" x14ac:dyDescent="0.35">
      <c r="A32" s="263"/>
      <c r="B32" s="324" t="str">
        <f>"Check: row " &amp; ROW(B31) &amp; " ≤ row " &amp; ROW(B30)</f>
        <v>Check: row 31 ≤ row 30</v>
      </c>
      <c r="C32" s="574"/>
      <c r="D32" s="574"/>
      <c r="E32" s="574"/>
      <c r="F32" s="574"/>
      <c r="G32" s="574"/>
      <c r="H32" s="574"/>
      <c r="I32" s="574"/>
      <c r="J32" s="574"/>
      <c r="K32" s="574"/>
      <c r="L32" s="574"/>
      <c r="M32" s="574"/>
      <c r="N32" s="298"/>
      <c r="O32" s="298"/>
      <c r="P32" s="298"/>
      <c r="Q32" s="298"/>
      <c r="R32" s="298"/>
      <c r="S32" s="309"/>
      <c r="T32" s="298"/>
      <c r="U32" s="298"/>
      <c r="V32" s="298"/>
      <c r="W32" s="309"/>
      <c r="X32" s="298"/>
      <c r="Y32" s="298"/>
      <c r="Z32" s="352" t="str">
        <f t="shared" ref="Z32" si="111">IF(AND(ISNUMBER(Z31),ISNUMBER(Z30)), IF(Z31&lt;=Z30, "Pass", "Fail"), "")</f>
        <v>Pass</v>
      </c>
      <c r="AA32" s="352" t="str">
        <f t="shared" ref="AA32" si="112">IF(AND(ISNUMBER(AA31),ISNUMBER(AA30)), IF(AA31&lt;=AA30, "Pass", "Fail"), "")</f>
        <v>Pass</v>
      </c>
      <c r="AB32" s="352" t="str">
        <f t="shared" ref="AB32" si="113">IF(AND(ISNUMBER(AB31),ISNUMBER(AB30)), IF(AB31&lt;=AB30, "Pass", "Fail"), "")</f>
        <v>Pass</v>
      </c>
      <c r="AC32" s="352" t="str">
        <f t="shared" ref="AC32" si="114">IF(AND(ISNUMBER(AC31),ISNUMBER(AC30)), IF(AC31&lt;=AC30, "Pass", "Fail"), "")</f>
        <v>Pass</v>
      </c>
      <c r="AD32" s="356" t="str">
        <f t="shared" ref="AD32" si="115">IF(AND(ISNUMBER(AD31),ISNUMBER(AD30)), IF(AD31&lt;=AD30, "Pass", "Fail"), "")</f>
        <v>Pass</v>
      </c>
      <c r="AE32" s="574"/>
      <c r="AF32" s="352" t="str">
        <f t="shared" ref="AF32" si="116">IF(AND(ISNUMBER(AF31),ISNUMBER(AF30)), IF(AF31&lt;=AF30, "Pass", "Fail"), "")</f>
        <v>Pass</v>
      </c>
      <c r="AG32" s="352" t="str">
        <f t="shared" ref="AG32" si="117">IF(AND(ISNUMBER(AG31),ISNUMBER(AG30)), IF(AG31&lt;=AG30, "Pass", "Fail"), "")</f>
        <v>Pass</v>
      </c>
      <c r="AH32" s="352" t="str">
        <f t="shared" ref="AH32" si="118">IF(AND(ISNUMBER(AH31),ISNUMBER(AH30)), IF(AH31&lt;=AH30, "Pass", "Fail"), "")</f>
        <v>Pass</v>
      </c>
      <c r="AI32" s="574"/>
      <c r="AJ32" s="352" t="str">
        <f t="shared" ref="AJ32" si="119">IF(AND(ISNUMBER(AJ31),ISNUMBER(AJ30)), IF(AJ31&lt;=AJ30, "Pass", "Fail"), "")</f>
        <v>Pass</v>
      </c>
      <c r="AK32" s="352" t="str">
        <f t="shared" ref="AK32" si="120">IF(AND(ISNUMBER(AK31),ISNUMBER(AK30)), IF(AK31&lt;=AK30, "Pass", "Fail"), "")</f>
        <v>Pass</v>
      </c>
      <c r="AL32" s="298"/>
      <c r="AM32" s="298"/>
      <c r="AN32" s="298"/>
      <c r="AO32" s="298"/>
      <c r="AP32" s="574"/>
      <c r="AQ32" s="574"/>
      <c r="AR32" s="574"/>
      <c r="AS32" s="574"/>
      <c r="AT32" s="574"/>
      <c r="AU32" s="574"/>
      <c r="AV32" s="574"/>
      <c r="AW32" s="574"/>
      <c r="AX32" s="574"/>
      <c r="AY32" s="574"/>
      <c r="AZ32" s="574"/>
      <c r="BA32" s="298"/>
      <c r="BB32" s="298"/>
      <c r="BC32" s="298"/>
      <c r="BD32" s="298"/>
      <c r="BE32" s="298"/>
      <c r="BF32" s="309"/>
      <c r="BG32" s="298"/>
      <c r="BH32" s="298"/>
      <c r="BI32" s="298"/>
      <c r="BJ32" s="298"/>
      <c r="BK32" s="298"/>
      <c r="BL32" s="298"/>
      <c r="BM32" s="352" t="str">
        <f t="shared" ref="BM32:BQ32" si="121">IF(AND(ISNUMBER(BM31),ISNUMBER(BM30)), IF(BM31&lt;=BM30, "Pass", "Fail"), "")</f>
        <v>Pass</v>
      </c>
      <c r="BN32" s="352" t="str">
        <f t="shared" si="121"/>
        <v>Pass</v>
      </c>
      <c r="BO32" s="352" t="str">
        <f t="shared" si="121"/>
        <v>Pass</v>
      </c>
      <c r="BP32" s="352" t="str">
        <f t="shared" si="121"/>
        <v>Pass</v>
      </c>
      <c r="BQ32" s="352" t="str">
        <f t="shared" si="121"/>
        <v>Pass</v>
      </c>
      <c r="BR32" s="574"/>
      <c r="BS32" s="352" t="str">
        <f t="shared" ref="BS32" si="122">IF(AND(ISNUMBER(BS31),ISNUMBER(BS30)), IF(BS31&lt;=BS30, "Pass", "Fail"), "")</f>
        <v>Pass</v>
      </c>
      <c r="BT32" s="352" t="str">
        <f t="shared" ref="BT32:BU32" si="123">IF(AND(ISNUMBER(BT31),ISNUMBER(BT30)), IF(BT31&lt;=BT30, "Pass", "Fail"), "")</f>
        <v>Pass</v>
      </c>
      <c r="BU32" s="352" t="str">
        <f t="shared" si="123"/>
        <v>Pass</v>
      </c>
      <c r="BV32" s="298"/>
      <c r="BW32" s="352" t="str">
        <f t="shared" ref="BW32:BX32" si="124">IF(AND(ISNUMBER(BW31),ISNUMBER(BW30)), IF(BW31&lt;=BW30, "Pass", "Fail"), "")</f>
        <v>Pass</v>
      </c>
      <c r="BX32" s="352" t="str">
        <f t="shared" si="124"/>
        <v>Pass</v>
      </c>
      <c r="BY32" s="298"/>
      <c r="BZ32" s="298"/>
      <c r="CA32" s="298"/>
      <c r="CB32" s="298"/>
      <c r="CC32" s="298"/>
      <c r="CD32" s="298"/>
      <c r="CE32" s="298"/>
      <c r="CF32" s="298"/>
      <c r="CG32" s="298"/>
      <c r="CH32" s="298"/>
      <c r="CI32" s="316"/>
      <c r="CJ32" s="298"/>
      <c r="CK32" s="319"/>
      <c r="CL32" s="352" t="str">
        <f>IF(AND(ISNUMBER(CL31),ISNUMBER(CL30)), IF(CL31&lt;=CL30, "Pass", "Fail"), "")</f>
        <v>Pass</v>
      </c>
      <c r="CM32" s="582"/>
      <c r="CN32" s="582"/>
      <c r="CO32" s="352" t="str">
        <f>IF(AND(ISNUMBER(CO31),ISNUMBER(CO30)), IF(CO31&lt;=CO30, "Pass", "Fail"), "")</f>
        <v>Pass</v>
      </c>
      <c r="CP32" s="352" t="str">
        <f>IF(AND(ISNUMBER(CP31),ISNUMBER(CP30)), IF(CP31&lt;=CP30, "Pass", "Fail"), "")</f>
        <v>Pass</v>
      </c>
      <c r="CQ32" s="352" t="str">
        <f>IF(AND(ISNUMBER(CQ31),ISNUMBER(CQ30)), IF(CQ31&lt;=CQ30, "Pass", "Fail"), "")</f>
        <v>Pass</v>
      </c>
      <c r="CR32" s="582"/>
      <c r="CS32" s="583"/>
      <c r="CT32" s="1900"/>
      <c r="CU32" s="1901"/>
      <c r="CV32" s="1901"/>
      <c r="CW32" s="1901"/>
      <c r="CX32" s="1901"/>
      <c r="CY32" s="1902"/>
      <c r="CZ32" s="1514"/>
    </row>
    <row r="33" spans="1:104" ht="15" customHeight="1" x14ac:dyDescent="0.35">
      <c r="A33" s="263"/>
      <c r="B33" s="219" t="s">
        <v>888</v>
      </c>
      <c r="C33" s="375">
        <f>IF(AND(ISNUMBER(N33),ISNUMBER(Z33)),SUM(N33,Z33),"")</f>
        <v>0</v>
      </c>
      <c r="D33" s="375">
        <f>IF(AND(ISNUMBER(O33),ISNUMBER(AA33)),SUM(O33,AA33),"")</f>
        <v>0</v>
      </c>
      <c r="E33" s="375">
        <f>IF(AND(ISNUMBER(P33),ISNUMBER(AB33)),SUM(P33,AB33),"")</f>
        <v>0</v>
      </c>
      <c r="F33" s="375" t="str">
        <f>IF(AND(ISNUMBER(Q33),ISNUMBER(AC33)),SUM(Q33,AC33),"")</f>
        <v/>
      </c>
      <c r="G33" s="375">
        <f>IF(AND(ISNUMBER(R33),ISNUMBER(AD33)),SUM(R33,AD33),"")</f>
        <v>0</v>
      </c>
      <c r="H33" s="375">
        <f t="shared" si="73"/>
        <v>0</v>
      </c>
      <c r="I33" s="375">
        <f>IF(AND(ISNUMBER(T33),ISNUMBER(AF33)),SUM(T33,AF33),"")</f>
        <v>0</v>
      </c>
      <c r="J33" s="375">
        <f>IF(AND(ISNUMBER(U33),ISNUMBER(AG33)),SUM(U33,AG33),"")</f>
        <v>0</v>
      </c>
      <c r="K33" s="375">
        <f>IF(AND(ISNUMBER(V33),ISNUMBER(AH33)),SUM(V33,AH33),"")</f>
        <v>0</v>
      </c>
      <c r="L33" s="375">
        <f>IF(AND(ISNUMBER(W33),ISNUMBER(AI33)),SUM(W33,AI33),"")</f>
        <v>0</v>
      </c>
      <c r="M33" s="375">
        <f>IF(AND(ISNUMBER(X33),ISNUMBER(AJ33)),SUM(X33,AJ33),"")</f>
        <v>0</v>
      </c>
      <c r="N33" s="2527">
        <v>0</v>
      </c>
      <c r="O33" s="2527">
        <v>0</v>
      </c>
      <c r="P33" s="2527">
        <v>0</v>
      </c>
      <c r="Q33" s="2527"/>
      <c r="R33" s="2534">
        <v>0</v>
      </c>
      <c r="S33" s="375">
        <f t="shared" si="54"/>
        <v>0</v>
      </c>
      <c r="T33" s="2535">
        <v>0</v>
      </c>
      <c r="U33" s="2527">
        <v>0</v>
      </c>
      <c r="V33" s="2534">
        <v>0</v>
      </c>
      <c r="W33" s="375">
        <f>IF(AND(ISNUMBER(T33),ISNUMBER(U33),ISNUMBER(V33)),SUM(T33:V33), "")</f>
        <v>0</v>
      </c>
      <c r="X33" s="2535">
        <v>0</v>
      </c>
      <c r="Y33" s="2527">
        <v>0</v>
      </c>
      <c r="Z33" s="2527">
        <v>0</v>
      </c>
      <c r="AA33" s="2527">
        <v>0</v>
      </c>
      <c r="AB33" s="2527">
        <v>0</v>
      </c>
      <c r="AC33" s="2527">
        <v>0</v>
      </c>
      <c r="AD33" s="2527">
        <v>0</v>
      </c>
      <c r="AE33" s="375">
        <f t="shared" si="55"/>
        <v>0</v>
      </c>
      <c r="AF33" s="2535">
        <v>0</v>
      </c>
      <c r="AG33" s="2535">
        <v>0</v>
      </c>
      <c r="AH33" s="2535">
        <v>0</v>
      </c>
      <c r="AI33" s="375">
        <f>IF(AND(ISNUMBER(AF33),ISNUMBER(AG33),ISNUMBER(AH33)),SUM(AF33:AH33), "")</f>
        <v>0</v>
      </c>
      <c r="AJ33" s="2535">
        <v>0</v>
      </c>
      <c r="AK33" s="2535">
        <v>0</v>
      </c>
      <c r="AL33" s="208">
        <v>0</v>
      </c>
      <c r="AM33" s="2540">
        <v>0</v>
      </c>
      <c r="AN33" s="2540">
        <v>0</v>
      </c>
      <c r="AO33" s="2540">
        <v>0</v>
      </c>
      <c r="AP33" s="375">
        <f>IF(AND(ISNUMBER(BA33),ISNUMBER(BM33)),SUM(BA33,BM33),"")</f>
        <v>0</v>
      </c>
      <c r="AQ33" s="375">
        <f>IF(AND(ISNUMBER(BB33),ISNUMBER(BN33)),SUM(BB33,BN33),"")</f>
        <v>0</v>
      </c>
      <c r="AR33" s="375">
        <f>IF(AND(ISNUMBER(BC33),ISNUMBER(BO33)),SUM(BC33,BO33),"")</f>
        <v>0</v>
      </c>
      <c r="AS33" s="375">
        <f>IF(AND(ISNUMBER(BD33),ISNUMBER(BP33)),SUM(BD33,BP33),"")</f>
        <v>0</v>
      </c>
      <c r="AT33" s="375">
        <f>IF(AND(ISNUMBER(BE33),ISNUMBER(BQ33)),SUM(BE33,BQ33),"")</f>
        <v>0</v>
      </c>
      <c r="AU33" s="375">
        <f>IF(AND(ISNUMBER(AP33),ISNUMBER(AQ33),ISNUMBER(AT33)),SUM(AP33,AQ33,AT33),"")</f>
        <v>0</v>
      </c>
      <c r="AV33" s="375">
        <f>IF(AND(ISNUMBER(BG33),ISNUMBER(BS33)),SUM(BG33,BS33),"")</f>
        <v>0</v>
      </c>
      <c r="AW33" s="375">
        <f>IF(AND(ISNUMBER(BH33),ISNUMBER(BT33)),SUM(BH33,BT33),"")</f>
        <v>0</v>
      </c>
      <c r="AX33" s="375">
        <f>IF(AND(ISNUMBER(BI33),ISNUMBER(BU33)),SUM(BI33,BU33),"")</f>
        <v>0</v>
      </c>
      <c r="AY33" s="375">
        <f>IF(AND(ISNUMBER(BJ33),ISNUMBER(BV33)),SUM(BJ33,BV33),"")</f>
        <v>0</v>
      </c>
      <c r="AZ33" s="375">
        <f>IF(AND(ISNUMBER(BK33),ISNUMBER(BW33)),SUM(BK33,BW33),"")</f>
        <v>0</v>
      </c>
      <c r="BA33" s="2540">
        <v>0</v>
      </c>
      <c r="BB33" s="2540">
        <v>0</v>
      </c>
      <c r="BC33" s="2540">
        <v>0</v>
      </c>
      <c r="BD33" s="2540">
        <v>0</v>
      </c>
      <c r="BE33" s="2540">
        <v>0</v>
      </c>
      <c r="BF33" s="375">
        <f>IF(AND(ISNUMBER(BA33), ISNUMBER(BB33), ISNUMBER(BE33)), SUM(BA33,BB33,BE33), "")</f>
        <v>0</v>
      </c>
      <c r="BG33" s="2536">
        <v>0</v>
      </c>
      <c r="BH33" s="2540">
        <v>0</v>
      </c>
      <c r="BI33" s="2540">
        <v>0</v>
      </c>
      <c r="BJ33" s="375">
        <f>IF(AND(ISNUMBER(BG33),ISNUMBER(BH33),ISNUMBER(BI33)),SUM(BG33:BI33), "")</f>
        <v>0</v>
      </c>
      <c r="BK33" s="2540">
        <v>0</v>
      </c>
      <c r="BL33" s="2540">
        <v>0</v>
      </c>
      <c r="BM33" s="2527">
        <v>0</v>
      </c>
      <c r="BN33" s="2527">
        <v>0</v>
      </c>
      <c r="BO33" s="2527">
        <v>0</v>
      </c>
      <c r="BP33" s="2527">
        <v>0</v>
      </c>
      <c r="BQ33" s="2527">
        <v>0</v>
      </c>
      <c r="BR33" s="375">
        <f>IF(AND(ISNUMBER(BM33), ISNUMBER(BN33), ISNUMBER(BQ33)), SUM(BM33,BN33,BQ33), "")</f>
        <v>0</v>
      </c>
      <c r="BS33" s="2535">
        <v>0</v>
      </c>
      <c r="BT33" s="2535">
        <v>0</v>
      </c>
      <c r="BU33" s="2535">
        <v>0</v>
      </c>
      <c r="BV33" s="375">
        <f>IF(AND(ISNUMBER(BS33),ISNUMBER(BT33),ISNUMBER(BU33)),SUM(BS33:BU33), "")</f>
        <v>0</v>
      </c>
      <c r="BW33" s="2527">
        <v>0</v>
      </c>
      <c r="BX33" s="2527">
        <v>0</v>
      </c>
      <c r="BY33" s="208"/>
      <c r="BZ33" s="2540">
        <v>0</v>
      </c>
      <c r="CA33" s="2540">
        <v>0</v>
      </c>
      <c r="CB33" s="2540">
        <v>0</v>
      </c>
      <c r="CC33" s="2540">
        <v>0</v>
      </c>
      <c r="CD33" s="2540">
        <v>0</v>
      </c>
      <c r="CE33" s="375">
        <f>IF($C$7="No", 0, IF(AND(ISNUMBER(BZ33),ISNUMBER(CA33),ISNUMBER(CD33)),SUM(BZ33,CA33,CD33),""))</f>
        <v>0</v>
      </c>
      <c r="CF33" s="2540">
        <v>0</v>
      </c>
      <c r="CG33" s="2540">
        <v>0</v>
      </c>
      <c r="CH33" s="2540">
        <v>0</v>
      </c>
      <c r="CI33" s="139">
        <f>IF($C$7="No", 0, IF(AND(ISNUMBER(CF33), ISNUMBER(CG33), ISNUMBER(CH33)), SUM(CF33:CH33), ""))</f>
        <v>0</v>
      </c>
      <c r="CJ33" s="614" t="str">
        <f>IF(AND(ISNUMBER(CE33), ISNUMBER(CI33)), IF(CE33&lt;&gt;0, CI33/CE33, ""), "")</f>
        <v/>
      </c>
      <c r="CK33" s="319"/>
      <c r="CL33" s="2527">
        <v>0</v>
      </c>
      <c r="CM33" s="2527">
        <v>0</v>
      </c>
      <c r="CN33" s="2527">
        <v>0</v>
      </c>
      <c r="CO33" s="2527">
        <v>0</v>
      </c>
      <c r="CP33" s="2527">
        <v>0</v>
      </c>
      <c r="CQ33" s="2527">
        <v>0</v>
      </c>
      <c r="CR33" s="352" t="str">
        <f>IF(AND(ISNUMBER(CO33), ISNUMBER(AU33), ISNUMBER(CE33)), IF(CO33&gt;= 0.85 * (AU33+CE33), "Pass", "please check"),"")</f>
        <v>Pass</v>
      </c>
      <c r="CS33" s="356" t="str">
        <f>IF(AND(ISNUMBER(AL33),ISNUMBER(AM33),ISNUMBER(AN33),ISNUMBER(AO33),ISNUMBER(AY33), ISNUMBER(AZ33), ISNUMBER(CQ33), ISNUMBER(CI33)), IF(CQ33&gt;=(AY33+12.5*MAX(0,AZ33-(AL33+AM33+AN33+AO33))+CI33), "Pass", "please check"), "")</f>
        <v>Pass</v>
      </c>
      <c r="CT33" s="1898" t="str">
        <f>IF(AND(OR('General Info'!$C$19="Yes",'General Info'!$D$19="Yes"),ISNUMBER(CO33),ISNUMBER(CP33),ISNUMBER(CU33)),CO33-CP33+CU33,"")</f>
        <v/>
      </c>
      <c r="CU33" s="208"/>
      <c r="CV33" s="208"/>
      <c r="CW33" s="1899" t="str">
        <f>IF(AND(OR('General Info'!$C$19="Yes",'General Info'!$D$19="Yes"),ISNUMBER(AU33),ISNUMBER(CE33)),SUM(AU33,CE33),"")</f>
        <v/>
      </c>
      <c r="CX33" s="1899" t="str">
        <f>IF(AND(OR('General Info'!$C$19="Yes",'General Info'!$D$19="Yes"),ISNUMBER(AQ33),ISNUMBER(CA33)),SUM(AQ33,CA33),"")</f>
        <v/>
      </c>
      <c r="CY33" s="138"/>
      <c r="CZ33" s="1514"/>
    </row>
    <row r="34" spans="1:104" ht="15" customHeight="1" x14ac:dyDescent="0.35">
      <c r="A34" s="263"/>
      <c r="B34" s="407" t="s">
        <v>884</v>
      </c>
      <c r="C34" s="375">
        <f t="shared" ref="C34:G34" si="125">IF(ISNUMBER(Z34), Z34, "")</f>
        <v>0</v>
      </c>
      <c r="D34" s="375">
        <f t="shared" si="125"/>
        <v>0</v>
      </c>
      <c r="E34" s="375">
        <f t="shared" si="125"/>
        <v>0</v>
      </c>
      <c r="F34" s="375">
        <f t="shared" si="125"/>
        <v>0</v>
      </c>
      <c r="G34" s="375">
        <f t="shared" si="125"/>
        <v>0</v>
      </c>
      <c r="H34" s="375">
        <f>IF(AND(ISNUMBER(C34),ISNUMBER(D34),ISNUMBER(G34)),SUM(C34,D34,G34),"")</f>
        <v>0</v>
      </c>
      <c r="I34" s="375">
        <f>IF(ISNUMBER(AF34), AF34, "")</f>
        <v>0</v>
      </c>
      <c r="J34" s="375">
        <f>IF(ISNUMBER(AG34), AG34, "")</f>
        <v>0</v>
      </c>
      <c r="K34" s="375">
        <f>IF(ISNUMBER(AH34), AH34, "")</f>
        <v>0</v>
      </c>
      <c r="L34" s="375">
        <f>IF(ISNUMBER(AI34), AI34, "")</f>
        <v>0</v>
      </c>
      <c r="M34" s="375">
        <f>IF(ISNUMBER(AJ34), AJ34, "")</f>
        <v>0</v>
      </c>
      <c r="N34" s="298"/>
      <c r="O34" s="298"/>
      <c r="P34" s="298"/>
      <c r="Q34" s="298"/>
      <c r="R34" s="298"/>
      <c r="S34" s="533"/>
      <c r="T34" s="298"/>
      <c r="U34" s="298"/>
      <c r="V34" s="298"/>
      <c r="W34" s="533"/>
      <c r="X34" s="298"/>
      <c r="Y34" s="298"/>
      <c r="Z34" s="2538">
        <v>0</v>
      </c>
      <c r="AA34" s="2538">
        <v>0</v>
      </c>
      <c r="AB34" s="2538">
        <v>0</v>
      </c>
      <c r="AC34" s="2538">
        <v>0</v>
      </c>
      <c r="AD34" s="2538">
        <v>0</v>
      </c>
      <c r="AE34" s="375">
        <f t="shared" si="55"/>
        <v>0</v>
      </c>
      <c r="AF34" s="2539">
        <v>0</v>
      </c>
      <c r="AG34" s="2539">
        <v>0</v>
      </c>
      <c r="AH34" s="2539">
        <v>0</v>
      </c>
      <c r="AI34" s="375">
        <f>IF(AND(ISNUMBER(AF34),ISNUMBER(AG34),ISNUMBER(AH34)),SUM(AF34:AH34), "")</f>
        <v>0</v>
      </c>
      <c r="AJ34" s="2539">
        <v>0</v>
      </c>
      <c r="AK34" s="2539">
        <v>0</v>
      </c>
      <c r="AL34" s="298"/>
      <c r="AM34" s="298"/>
      <c r="AN34" s="298"/>
      <c r="AO34" s="298"/>
      <c r="AP34" s="375">
        <f t="shared" ref="AP34:AT34" si="126">IF(ISNUMBER(BM34),BM34,"")</f>
        <v>0</v>
      </c>
      <c r="AQ34" s="375">
        <f t="shared" si="126"/>
        <v>0</v>
      </c>
      <c r="AR34" s="375">
        <f t="shared" si="126"/>
        <v>0</v>
      </c>
      <c r="AS34" s="375">
        <f t="shared" si="126"/>
        <v>0</v>
      </c>
      <c r="AT34" s="375">
        <f t="shared" si="126"/>
        <v>0</v>
      </c>
      <c r="AU34" s="375">
        <f>IF(AND(ISNUMBER(AP34),ISNUMBER(AQ34),ISNUMBER(AT34)),SUM(AP34,AQ34,AT34),"")</f>
        <v>0</v>
      </c>
      <c r="AV34" s="375">
        <f t="shared" ref="AV34:AZ34" si="127">IF(ISNUMBER(BS34),BS34,"")</f>
        <v>0</v>
      </c>
      <c r="AW34" s="375">
        <f t="shared" si="127"/>
        <v>0</v>
      </c>
      <c r="AX34" s="375">
        <f t="shared" si="127"/>
        <v>0</v>
      </c>
      <c r="AY34" s="375">
        <f t="shared" si="127"/>
        <v>0</v>
      </c>
      <c r="AZ34" s="375">
        <f t="shared" si="127"/>
        <v>0</v>
      </c>
      <c r="BA34" s="298"/>
      <c r="BB34" s="298"/>
      <c r="BC34" s="298"/>
      <c r="BD34" s="298"/>
      <c r="BE34" s="298"/>
      <c r="BF34" s="533"/>
      <c r="BG34" s="298"/>
      <c r="BH34" s="298"/>
      <c r="BI34" s="298"/>
      <c r="BJ34" s="298"/>
      <c r="BK34" s="298"/>
      <c r="BL34" s="298"/>
      <c r="BM34" s="2538">
        <v>0</v>
      </c>
      <c r="BN34" s="2538">
        <v>0</v>
      </c>
      <c r="BO34" s="2538">
        <v>0</v>
      </c>
      <c r="BP34" s="2538">
        <v>0</v>
      </c>
      <c r="BQ34" s="2538">
        <v>0</v>
      </c>
      <c r="BR34" s="375">
        <f>IF(AND(ISNUMBER(BM34), ISNUMBER(BN34), ISNUMBER(BQ34)), SUM(BM34,BN34,BQ34), "")</f>
        <v>0</v>
      </c>
      <c r="BS34" s="2539">
        <v>0</v>
      </c>
      <c r="BT34" s="2539">
        <v>0</v>
      </c>
      <c r="BU34" s="2539">
        <v>0</v>
      </c>
      <c r="BV34" s="375">
        <f>IF(AND(ISNUMBER(BS34),ISNUMBER(BT34),ISNUMBER(BU34)),SUM(BS34:BU34), "")</f>
        <v>0</v>
      </c>
      <c r="BW34" s="2538">
        <v>0</v>
      </c>
      <c r="BX34" s="2538">
        <v>0</v>
      </c>
      <c r="BY34" s="298"/>
      <c r="BZ34" s="298"/>
      <c r="CA34" s="298"/>
      <c r="CB34" s="298"/>
      <c r="CC34" s="298"/>
      <c r="CD34" s="298"/>
      <c r="CE34" s="298"/>
      <c r="CF34" s="298"/>
      <c r="CG34" s="298"/>
      <c r="CH34" s="298"/>
      <c r="CI34" s="316"/>
      <c r="CJ34" s="298"/>
      <c r="CK34" s="319"/>
      <c r="CL34" s="2538">
        <v>0</v>
      </c>
      <c r="CM34" s="2538">
        <v>0</v>
      </c>
      <c r="CN34" s="2538">
        <v>0</v>
      </c>
      <c r="CO34" s="2538">
        <v>0</v>
      </c>
      <c r="CP34" s="2538">
        <v>0</v>
      </c>
      <c r="CQ34" s="2538">
        <v>0</v>
      </c>
      <c r="CR34" s="352" t="str">
        <f>IF(AND(ISNUMBER(CO34), ISNUMBER(AU34)), IF(CO34&gt;=AU34, "Pass", "please check"),"")</f>
        <v>Pass</v>
      </c>
      <c r="CS34" s="356" t="str">
        <f>IF(AND(ISNUMBER(AY34), ISNUMBER(CQ34)), IF(CQ34&gt;=AY34, "Pass", "please check"), "")</f>
        <v>Pass</v>
      </c>
      <c r="CT34" s="1900"/>
      <c r="CU34" s="1901"/>
      <c r="CV34" s="1901"/>
      <c r="CW34" s="1901"/>
      <c r="CX34" s="1901"/>
      <c r="CY34" s="1902"/>
      <c r="CZ34" s="1514"/>
    </row>
    <row r="35" spans="1:104" ht="15" customHeight="1" x14ac:dyDescent="0.35">
      <c r="A35" s="263"/>
      <c r="B35" s="324" t="str">
        <f>"Check: row " &amp; ROW(B34) &amp; " ≤ row " &amp; ROW(B33)</f>
        <v>Check: row 34 ≤ row 33</v>
      </c>
      <c r="C35" s="574"/>
      <c r="D35" s="574"/>
      <c r="E35" s="574"/>
      <c r="F35" s="574"/>
      <c r="G35" s="574"/>
      <c r="H35" s="574"/>
      <c r="I35" s="574"/>
      <c r="J35" s="574"/>
      <c r="K35" s="574"/>
      <c r="L35" s="574"/>
      <c r="M35" s="574"/>
      <c r="N35" s="298"/>
      <c r="O35" s="298"/>
      <c r="P35" s="298"/>
      <c r="Q35" s="298"/>
      <c r="R35" s="298"/>
      <c r="S35" s="309"/>
      <c r="T35" s="298"/>
      <c r="U35" s="298"/>
      <c r="V35" s="298"/>
      <c r="W35" s="309"/>
      <c r="X35" s="298"/>
      <c r="Y35" s="298"/>
      <c r="Z35" s="352" t="str">
        <f t="shared" ref="Z35" si="128">IF(AND(ISNUMBER(Z34),ISNUMBER(Z33)), IF(Z34&lt;=Z33, "Pass", "Fail"), "")</f>
        <v>Pass</v>
      </c>
      <c r="AA35" s="352" t="str">
        <f t="shared" ref="AA35" si="129">IF(AND(ISNUMBER(AA34),ISNUMBER(AA33)), IF(AA34&lt;=AA33, "Pass", "Fail"), "")</f>
        <v>Pass</v>
      </c>
      <c r="AB35" s="352" t="str">
        <f t="shared" ref="AB35" si="130">IF(AND(ISNUMBER(AB34),ISNUMBER(AB33)), IF(AB34&lt;=AB33, "Pass", "Fail"), "")</f>
        <v>Pass</v>
      </c>
      <c r="AC35" s="352" t="str">
        <f t="shared" ref="AC35" si="131">IF(AND(ISNUMBER(AC34),ISNUMBER(AC33)), IF(AC34&lt;=AC33, "Pass", "Fail"), "")</f>
        <v>Pass</v>
      </c>
      <c r="AD35" s="356" t="str">
        <f t="shared" ref="AD35" si="132">IF(AND(ISNUMBER(AD34),ISNUMBER(AD33)), IF(AD34&lt;=AD33, "Pass", "Fail"), "")</f>
        <v>Pass</v>
      </c>
      <c r="AE35" s="574"/>
      <c r="AF35" s="352" t="str">
        <f t="shared" ref="AF35" si="133">IF(AND(ISNUMBER(AF34),ISNUMBER(AF33)), IF(AF34&lt;=AF33, "Pass", "Fail"), "")</f>
        <v>Pass</v>
      </c>
      <c r="AG35" s="352" t="str">
        <f t="shared" ref="AG35" si="134">IF(AND(ISNUMBER(AG34),ISNUMBER(AG33)), IF(AG34&lt;=AG33, "Pass", "Fail"), "")</f>
        <v>Pass</v>
      </c>
      <c r="AH35" s="352" t="str">
        <f t="shared" ref="AH35" si="135">IF(AND(ISNUMBER(AH34),ISNUMBER(AH33)), IF(AH34&lt;=AH33, "Pass", "Fail"), "")</f>
        <v>Pass</v>
      </c>
      <c r="AI35" s="574"/>
      <c r="AJ35" s="352" t="str">
        <f t="shared" ref="AJ35" si="136">IF(AND(ISNUMBER(AJ34),ISNUMBER(AJ33)), IF(AJ34&lt;=AJ33, "Pass", "Fail"), "")</f>
        <v>Pass</v>
      </c>
      <c r="AK35" s="352" t="str">
        <f t="shared" ref="AK35" si="137">IF(AND(ISNUMBER(AK34),ISNUMBER(AK33)), IF(AK34&lt;=AK33, "Pass", "Fail"), "")</f>
        <v>Pass</v>
      </c>
      <c r="AL35" s="298"/>
      <c r="AM35" s="298"/>
      <c r="AN35" s="298"/>
      <c r="AO35" s="298"/>
      <c r="AP35" s="574"/>
      <c r="AQ35" s="574"/>
      <c r="AR35" s="574"/>
      <c r="AS35" s="574"/>
      <c r="AT35" s="574"/>
      <c r="AU35" s="574"/>
      <c r="AV35" s="574"/>
      <c r="AW35" s="574"/>
      <c r="AX35" s="574"/>
      <c r="AY35" s="574"/>
      <c r="AZ35" s="574"/>
      <c r="BA35" s="298"/>
      <c r="BB35" s="298"/>
      <c r="BC35" s="298"/>
      <c r="BD35" s="298"/>
      <c r="BE35" s="298"/>
      <c r="BF35" s="309"/>
      <c r="BG35" s="298"/>
      <c r="BH35" s="298"/>
      <c r="BI35" s="298"/>
      <c r="BJ35" s="298"/>
      <c r="BK35" s="298"/>
      <c r="BL35" s="298"/>
      <c r="BM35" s="352" t="str">
        <f t="shared" ref="BM35:BQ35" si="138">IF(AND(ISNUMBER(BM34),ISNUMBER(BM33)), IF(BM34&lt;=BM33, "Pass", "Fail"), "")</f>
        <v>Pass</v>
      </c>
      <c r="BN35" s="352" t="str">
        <f t="shared" si="138"/>
        <v>Pass</v>
      </c>
      <c r="BO35" s="352" t="str">
        <f t="shared" si="138"/>
        <v>Pass</v>
      </c>
      <c r="BP35" s="352" t="str">
        <f t="shared" si="138"/>
        <v>Pass</v>
      </c>
      <c r="BQ35" s="352" t="str">
        <f t="shared" si="138"/>
        <v>Pass</v>
      </c>
      <c r="BR35" s="574"/>
      <c r="BS35" s="352" t="str">
        <f t="shared" ref="BS35" si="139">IF(AND(ISNUMBER(BS34),ISNUMBER(BS33)), IF(BS34&lt;=BS33, "Pass", "Fail"), "")</f>
        <v>Pass</v>
      </c>
      <c r="BT35" s="352" t="str">
        <f t="shared" ref="BT35:BU35" si="140">IF(AND(ISNUMBER(BT34),ISNUMBER(BT33)), IF(BT34&lt;=BT33, "Pass", "Fail"), "")</f>
        <v>Pass</v>
      </c>
      <c r="BU35" s="352" t="str">
        <f t="shared" si="140"/>
        <v>Pass</v>
      </c>
      <c r="BV35" s="298"/>
      <c r="BW35" s="352" t="str">
        <f t="shared" ref="BW35:BX35" si="141">IF(AND(ISNUMBER(BW34),ISNUMBER(BW33)), IF(BW34&lt;=BW33, "Pass", "Fail"), "")</f>
        <v>Pass</v>
      </c>
      <c r="BX35" s="352" t="str">
        <f t="shared" si="141"/>
        <v>Pass</v>
      </c>
      <c r="BY35" s="298"/>
      <c r="BZ35" s="298"/>
      <c r="CA35" s="298"/>
      <c r="CB35" s="298"/>
      <c r="CC35" s="298"/>
      <c r="CD35" s="298"/>
      <c r="CE35" s="298"/>
      <c r="CF35" s="298"/>
      <c r="CG35" s="298"/>
      <c r="CH35" s="298"/>
      <c r="CI35" s="316"/>
      <c r="CJ35" s="298"/>
      <c r="CK35" s="319"/>
      <c r="CL35" s="352" t="str">
        <f>IF(AND(ISNUMBER(CL34),ISNUMBER(CL33)), IF(CL34&lt;=CL33, "Pass", "Fail"), "")</f>
        <v>Pass</v>
      </c>
      <c r="CM35" s="582"/>
      <c r="CN35" s="582"/>
      <c r="CO35" s="352" t="str">
        <f>IF(AND(ISNUMBER(CO34),ISNUMBER(CO33)), IF(CO34&lt;=CO33, "Pass", "Fail"), "")</f>
        <v>Pass</v>
      </c>
      <c r="CP35" s="352" t="str">
        <f>IF(AND(ISNUMBER(CP34),ISNUMBER(CP33)), IF(CP34&lt;=CP33, "Pass", "Fail"), "")</f>
        <v>Pass</v>
      </c>
      <c r="CQ35" s="352" t="str">
        <f>IF(AND(ISNUMBER(CQ34),ISNUMBER(CQ33)), IF(CQ34&lt;=CQ33, "Pass", "Fail"), "")</f>
        <v>Pass</v>
      </c>
      <c r="CR35" s="582"/>
      <c r="CS35" s="583"/>
      <c r="CT35" s="1900"/>
      <c r="CU35" s="1901"/>
      <c r="CV35" s="1901"/>
      <c r="CW35" s="1901"/>
      <c r="CX35" s="1901"/>
      <c r="CY35" s="1902"/>
      <c r="CZ35" s="1514"/>
    </row>
    <row r="36" spans="1:104" ht="15" customHeight="1" x14ac:dyDescent="0.35">
      <c r="A36" s="263"/>
      <c r="B36" s="323" t="s">
        <v>889</v>
      </c>
      <c r="C36" s="375">
        <f t="shared" ref="C36:G39" si="142">IF(AND(ISNUMBER(N36),ISNUMBER(Z36)),SUM(N36,Z36),"")</f>
        <v>6379578.8708719108</v>
      </c>
      <c r="D36" s="375">
        <f t="shared" si="142"/>
        <v>18794.835699200015</v>
      </c>
      <c r="E36" s="375">
        <f t="shared" si="142"/>
        <v>0</v>
      </c>
      <c r="F36" s="375" t="str">
        <f t="shared" si="142"/>
        <v/>
      </c>
      <c r="G36" s="375">
        <f t="shared" si="142"/>
        <v>685165.2166179982</v>
      </c>
      <c r="H36" s="375">
        <f t="shared" si="73"/>
        <v>7083538.9231891092</v>
      </c>
      <c r="I36" s="375">
        <f t="shared" ref="I36:M39" si="143">IF(AND(ISNUMBER(T36),ISNUMBER(AF36)),SUM(T36,AF36),"")</f>
        <v>2171220.0287543205</v>
      </c>
      <c r="J36" s="375">
        <f t="shared" si="143"/>
        <v>8756.0366547999784</v>
      </c>
      <c r="K36" s="375">
        <f t="shared" si="143"/>
        <v>162206.72833919787</v>
      </c>
      <c r="L36" s="375">
        <f t="shared" si="143"/>
        <v>2342182.7937483187</v>
      </c>
      <c r="M36" s="375">
        <f t="shared" si="143"/>
        <v>97498.719733199774</v>
      </c>
      <c r="N36" s="208">
        <v>6379578.8708719108</v>
      </c>
      <c r="O36" s="208">
        <v>18794.835699200015</v>
      </c>
      <c r="P36" s="208">
        <v>0</v>
      </c>
      <c r="Q36" s="208"/>
      <c r="R36" s="138">
        <v>685165.2166179982</v>
      </c>
      <c r="S36" s="375">
        <f t="shared" si="54"/>
        <v>7083538.9231891092</v>
      </c>
      <c r="T36" s="299">
        <v>2171220.0287543205</v>
      </c>
      <c r="U36" s="208">
        <v>8756.0366547999784</v>
      </c>
      <c r="V36" s="138">
        <v>162206.72833919787</v>
      </c>
      <c r="W36" s="375">
        <f t="shared" ref="W36:W40" si="144">IF(AND(ISNUMBER(T36),ISNUMBER(U36),ISNUMBER(V36)),SUM(T36:V36), "")</f>
        <v>2342182.7937483187</v>
      </c>
      <c r="X36" s="299">
        <v>97498.719733199774</v>
      </c>
      <c r="Y36" s="208">
        <v>70149.346422599963</v>
      </c>
      <c r="Z36" s="2536">
        <v>0</v>
      </c>
      <c r="AA36" s="2536">
        <v>0</v>
      </c>
      <c r="AB36" s="2536">
        <v>0</v>
      </c>
      <c r="AC36" s="2536">
        <v>0</v>
      </c>
      <c r="AD36" s="138">
        <v>0</v>
      </c>
      <c r="AE36" s="375">
        <f t="shared" si="55"/>
        <v>0</v>
      </c>
      <c r="AF36" s="299">
        <v>0</v>
      </c>
      <c r="AG36" s="2536">
        <v>0</v>
      </c>
      <c r="AH36" s="2536">
        <v>0</v>
      </c>
      <c r="AI36" s="375">
        <f>IF(AND(ISNUMBER(AF36),ISNUMBER(AG36),ISNUMBER(AH36)),SUM(AF36:AH36), "")</f>
        <v>0</v>
      </c>
      <c r="AJ36" s="299">
        <v>0</v>
      </c>
      <c r="AK36" s="2536">
        <v>0</v>
      </c>
      <c r="AL36" s="208">
        <v>15546.668919999136</v>
      </c>
      <c r="AM36" s="208">
        <v>69133.363829999886</v>
      </c>
      <c r="AN36" s="208">
        <v>0</v>
      </c>
      <c r="AO36" s="2540">
        <v>0</v>
      </c>
      <c r="AP36" s="375">
        <f>IF(AND(ISNUMBER(BA36),ISNUMBER(BM36)),SUM(BA36,BM36),"")</f>
        <v>6379578.8708719825</v>
      </c>
      <c r="AQ36" s="375">
        <f>IF(AND(ISNUMBER(BB36),ISNUMBER(BN36)),SUM(BB36,BN36),"")</f>
        <v>18794.83569919999</v>
      </c>
      <c r="AR36" s="375">
        <f>IF(AND(ISNUMBER(BC36),ISNUMBER(BO36)),SUM(BC36,BO36),"")</f>
        <v>0</v>
      </c>
      <c r="AS36" s="375">
        <f>IF(AND(ISNUMBER(BD36),ISNUMBER(BP36)),SUM(BD36,BP36),"")</f>
        <v>0</v>
      </c>
      <c r="AT36" s="375">
        <f>IF(AND(ISNUMBER(BE36),ISNUMBER(BQ36)),SUM(BE36,BQ36),"")</f>
        <v>1031468.7690833673</v>
      </c>
      <c r="AU36" s="375">
        <f>IF(AND(ISNUMBER(AP36),ISNUMBER(AQ36),ISNUMBER(AT36)),SUM(AP36,AQ36,AT36),"")</f>
        <v>7429842.4756545499</v>
      </c>
      <c r="AV36" s="375">
        <f>IF(AND(ISNUMBER(BG36),ISNUMBER(BS36)),SUM(BG36,BS36),"")</f>
        <v>2653408.7919888296</v>
      </c>
      <c r="AW36" s="375">
        <f>IF(AND(ISNUMBER(BH36),ISNUMBER(BT36)),SUM(BH36,BT36),"")</f>
        <v>8267.386247522425</v>
      </c>
      <c r="AX36" s="375">
        <f>IF(AND(ISNUMBER(BI36),ISNUMBER(BU36)),SUM(BI36,BU36),"")</f>
        <v>231911.00260711918</v>
      </c>
      <c r="AY36" s="375">
        <f>IF(AND(ISNUMBER(BJ36),ISNUMBER(BV36)),SUM(BJ36,BV36),"")</f>
        <v>2893587.1808434711</v>
      </c>
      <c r="AZ36" s="375">
        <f>IF(AND(ISNUMBER(BK36),ISNUMBER(BW36)),SUM(BK36,BW36),"")</f>
        <v>98909.753247555331</v>
      </c>
      <c r="BA36" s="208">
        <v>6379578.8708719825</v>
      </c>
      <c r="BB36" s="208">
        <v>18794.83569919999</v>
      </c>
      <c r="BC36" s="208">
        <v>0</v>
      </c>
      <c r="BD36" s="208">
        <v>0</v>
      </c>
      <c r="BE36" s="138">
        <v>1031468.7690833673</v>
      </c>
      <c r="BF36" s="375">
        <f>IF(AND(ISNUMBER(BA36), ISNUMBER(BB36), ISNUMBER(BE36)), SUM(BA36,BB36,BE36), "")</f>
        <v>7429842.4756545499</v>
      </c>
      <c r="BG36" s="299">
        <v>2653408.7919888296</v>
      </c>
      <c r="BH36" s="208">
        <v>8267.386247522425</v>
      </c>
      <c r="BI36" s="208">
        <v>231911.00260711918</v>
      </c>
      <c r="BJ36" s="375">
        <f>IF(AND(ISNUMBER(BG36),ISNUMBER(BH36),ISNUMBER(BI36)),SUM(BG36:BI36), "")</f>
        <v>2893587.1808434711</v>
      </c>
      <c r="BK36" s="208">
        <v>98909.753247555331</v>
      </c>
      <c r="BL36" s="208">
        <v>70149.346422599963</v>
      </c>
      <c r="BM36" s="2528">
        <v>0</v>
      </c>
      <c r="BN36" s="2528">
        <v>0</v>
      </c>
      <c r="BO36" s="2528">
        <v>0</v>
      </c>
      <c r="BP36" s="2528">
        <v>0</v>
      </c>
      <c r="BQ36" s="2528">
        <v>0</v>
      </c>
      <c r="BR36" s="375">
        <f>IF(AND(ISNUMBER(BM36), ISNUMBER(BN36), ISNUMBER(BQ36)), SUM(BM36,BN36,BQ36), "")</f>
        <v>0</v>
      </c>
      <c r="BS36" s="2537">
        <v>0</v>
      </c>
      <c r="BT36" s="2528">
        <v>0</v>
      </c>
      <c r="BU36" s="2528">
        <v>0</v>
      </c>
      <c r="BV36" s="375">
        <f>IF(AND(ISNUMBER(BS36),ISNUMBER(BT36),ISNUMBER(BU36)),SUM(BS36:BU36), "")</f>
        <v>0</v>
      </c>
      <c r="BW36" s="208">
        <v>0</v>
      </c>
      <c r="BX36" s="208">
        <v>0</v>
      </c>
      <c r="BY36" s="208"/>
      <c r="BZ36" s="2540">
        <v>0</v>
      </c>
      <c r="CA36" s="2540">
        <v>0</v>
      </c>
      <c r="CB36" s="2540">
        <v>0</v>
      </c>
      <c r="CC36" s="2540">
        <v>0</v>
      </c>
      <c r="CD36" s="2540">
        <v>0</v>
      </c>
      <c r="CE36" s="375">
        <f>IF($C$7="No", 0, IF(AND(ISNUMBER(BZ36),ISNUMBER(CA36),ISNUMBER(CD36)),SUM(BZ36,CA36,CD36),""))</f>
        <v>0</v>
      </c>
      <c r="CF36" s="2540">
        <v>0</v>
      </c>
      <c r="CG36" s="2540">
        <v>0</v>
      </c>
      <c r="CH36" s="2540">
        <v>0</v>
      </c>
      <c r="CI36" s="139">
        <f>IF($C$7="No", 0, IF(AND(ISNUMBER(CF36), ISNUMBER(CG36), ISNUMBER(CH36)), SUM(CF36:CH36), ""))</f>
        <v>0</v>
      </c>
      <c r="CJ36" s="614" t="str">
        <f t="shared" ref="CJ36:CJ46" si="145">IF(AND(ISNUMBER(CE36), ISNUMBER(CI36)), IF(CE36&lt;&gt;0, CI36/CE36, ""), "")</f>
        <v/>
      </c>
      <c r="CK36" s="319"/>
      <c r="CL36" s="2527">
        <v>0</v>
      </c>
      <c r="CM36" s="2527">
        <v>0</v>
      </c>
      <c r="CN36" s="2527">
        <v>0</v>
      </c>
      <c r="CO36" s="208">
        <v>7345162.4429045841</v>
      </c>
      <c r="CP36" s="208">
        <v>18809.958528900017</v>
      </c>
      <c r="CQ36" s="208">
        <v>7178565.0804836834</v>
      </c>
      <c r="CR36" s="352" t="str">
        <f t="shared" ref="CR36:CR46" si="146">IF(AND(ISNUMBER(CO36), ISNUMBER(AU36), ISNUMBER(CE36)), IF(CO36&gt;= 0.85 * (AU36+CE36), "Pass", "please check"),"")</f>
        <v>Pass</v>
      </c>
      <c r="CS36" s="356" t="str">
        <f t="shared" ref="CS36:CS46" si="147">IF(AND(ISNUMBER(AL36),ISNUMBER(AM36),ISNUMBER(AN36),ISNUMBER(AO36),ISNUMBER(AY36), ISNUMBER(AZ36), ISNUMBER(CQ36), ISNUMBER(CI36)), IF(CQ36&gt;=(AY36+12.5*MAX(0,AZ36-(AL36+AM36+AN36+AO36))+CI36), "Pass", "please check"), "")</f>
        <v>Pass</v>
      </c>
      <c r="CT36" s="1898" t="str">
        <f>IF(AND(OR('General Info'!$C$19="Yes",'General Info'!$D$19="Yes"),ISNUMBER(CO36),ISNUMBER(CP36),ISNUMBER(CU36)),CO36-CP36+CU36,"")</f>
        <v/>
      </c>
      <c r="CU36" s="208"/>
      <c r="CV36" s="208"/>
      <c r="CW36" s="1899" t="str">
        <f>IF(AND(OR('General Info'!$C$19="Yes",'General Info'!$D$19="Yes"),ISNUMBER(AU36),ISNUMBER(CE36)),SUM(AU36,CE36),"")</f>
        <v/>
      </c>
      <c r="CX36" s="1899" t="str">
        <f>IF(AND(OR('General Info'!$C$19="Yes",'General Info'!$D$19="Yes"),ISNUMBER(AQ36),ISNUMBER(CA36)),SUM(AQ36,CA36),"")</f>
        <v/>
      </c>
      <c r="CY36" s="138"/>
      <c r="CZ36" s="1514"/>
    </row>
    <row r="37" spans="1:104" ht="15" customHeight="1" x14ac:dyDescent="0.35">
      <c r="A37" s="263"/>
      <c r="B37" s="323" t="s">
        <v>890</v>
      </c>
      <c r="C37" s="375">
        <f t="shared" si="142"/>
        <v>252892.73473210004</v>
      </c>
      <c r="D37" s="375">
        <f t="shared" si="142"/>
        <v>3281.4530752000001</v>
      </c>
      <c r="E37" s="375">
        <f t="shared" si="142"/>
        <v>0</v>
      </c>
      <c r="F37" s="375" t="str">
        <f t="shared" si="142"/>
        <v/>
      </c>
      <c r="G37" s="375">
        <f t="shared" si="142"/>
        <v>55562.327288200002</v>
      </c>
      <c r="H37" s="375">
        <f t="shared" si="73"/>
        <v>311736.51509550004</v>
      </c>
      <c r="I37" s="375">
        <f t="shared" si="143"/>
        <v>133160.76315339998</v>
      </c>
      <c r="J37" s="375">
        <f t="shared" si="143"/>
        <v>274.65385559999993</v>
      </c>
      <c r="K37" s="375">
        <f t="shared" si="143"/>
        <v>18694.123327199999</v>
      </c>
      <c r="L37" s="375">
        <f t="shared" si="143"/>
        <v>152129.54033619998</v>
      </c>
      <c r="M37" s="375">
        <f t="shared" si="143"/>
        <v>680.56430729999977</v>
      </c>
      <c r="N37" s="208">
        <v>252892.73473210004</v>
      </c>
      <c r="O37" s="208">
        <v>3281.4530752000001</v>
      </c>
      <c r="P37" s="208">
        <v>0</v>
      </c>
      <c r="Q37" s="208"/>
      <c r="R37" s="138">
        <v>55562.327288200002</v>
      </c>
      <c r="S37" s="375">
        <f t="shared" si="54"/>
        <v>311736.51509550004</v>
      </c>
      <c r="T37" s="299">
        <v>133160.76315339998</v>
      </c>
      <c r="U37" s="208">
        <v>274.65385559999993</v>
      </c>
      <c r="V37" s="138">
        <v>18694.123327199999</v>
      </c>
      <c r="W37" s="375">
        <f t="shared" si="144"/>
        <v>152129.54033619998</v>
      </c>
      <c r="X37" s="299">
        <v>680.56430729999977</v>
      </c>
      <c r="Y37" s="208">
        <v>85.316836299999991</v>
      </c>
      <c r="Z37" s="2536">
        <v>0</v>
      </c>
      <c r="AA37" s="2536">
        <v>0</v>
      </c>
      <c r="AB37" s="2536">
        <v>0</v>
      </c>
      <c r="AC37" s="2536">
        <v>0</v>
      </c>
      <c r="AD37" s="138">
        <v>0</v>
      </c>
      <c r="AE37" s="375">
        <f t="shared" si="55"/>
        <v>0</v>
      </c>
      <c r="AF37" s="299">
        <v>0</v>
      </c>
      <c r="AG37" s="2536">
        <v>0</v>
      </c>
      <c r="AH37" s="2536">
        <v>0</v>
      </c>
      <c r="AI37" s="375">
        <f>IF(AND(ISNUMBER(AF37),ISNUMBER(AG37),ISNUMBER(AH37)),SUM(AF37:AH37), "")</f>
        <v>0</v>
      </c>
      <c r="AJ37" s="2536">
        <v>0</v>
      </c>
      <c r="AK37" s="2536">
        <v>0</v>
      </c>
      <c r="AL37" s="208">
        <v>209.57569999999978</v>
      </c>
      <c r="AM37" s="208">
        <v>76.727519999999998</v>
      </c>
      <c r="AN37" s="208">
        <v>0</v>
      </c>
      <c r="AO37" s="2540">
        <v>0</v>
      </c>
      <c r="AP37" s="375">
        <f t="shared" ref="AP37:AZ37" si="148">IF((ISNUMBER(BM37)),BM37,"")</f>
        <v>252892.7347321001</v>
      </c>
      <c r="AQ37" s="375">
        <f t="shared" si="148"/>
        <v>3281.4530752000001</v>
      </c>
      <c r="AR37" s="375">
        <f t="shared" si="148"/>
        <v>0</v>
      </c>
      <c r="AS37" s="375">
        <f t="shared" si="148"/>
        <v>0</v>
      </c>
      <c r="AT37" s="375">
        <f t="shared" si="148"/>
        <v>28574.482509500016</v>
      </c>
      <c r="AU37" s="375">
        <f t="shared" si="148"/>
        <v>284748.67031680013</v>
      </c>
      <c r="AV37" s="375">
        <f t="shared" si="148"/>
        <v>193719.35231454507</v>
      </c>
      <c r="AW37" s="375">
        <f t="shared" si="148"/>
        <v>648.65066832485525</v>
      </c>
      <c r="AX37" s="375">
        <f t="shared" si="148"/>
        <v>26938.441800514807</v>
      </c>
      <c r="AY37" s="375">
        <f t="shared" si="148"/>
        <v>221306.44478338474</v>
      </c>
      <c r="AZ37" s="375">
        <f t="shared" si="148"/>
        <v>762.06341236774927</v>
      </c>
      <c r="BA37" s="298"/>
      <c r="BB37" s="298"/>
      <c r="BC37" s="298"/>
      <c r="BD37" s="298"/>
      <c r="BE37" s="298"/>
      <c r="BF37" s="574"/>
      <c r="BG37" s="298"/>
      <c r="BH37" s="298"/>
      <c r="BI37" s="298"/>
      <c r="BJ37" s="298"/>
      <c r="BK37" s="298"/>
      <c r="BL37" s="298"/>
      <c r="BM37" s="208">
        <v>252892.7347321001</v>
      </c>
      <c r="BN37" s="208">
        <v>3281.4530752000001</v>
      </c>
      <c r="BO37" s="208">
        <v>0</v>
      </c>
      <c r="BP37" s="208">
        <v>0</v>
      </c>
      <c r="BQ37" s="138">
        <v>28574.482509500016</v>
      </c>
      <c r="BR37" s="375">
        <f>IF(AND(ISNUMBER(BM37), ISNUMBER(BN37), ISNUMBER(BQ37)), SUM(BM37,BN37,BQ37), "")</f>
        <v>284748.67031680013</v>
      </c>
      <c r="BS37" s="299">
        <v>193719.35231454507</v>
      </c>
      <c r="BT37" s="208">
        <v>648.65066832485525</v>
      </c>
      <c r="BU37" s="208">
        <v>26938.441800514807</v>
      </c>
      <c r="BV37" s="375">
        <f>IF(AND(ISNUMBER(BS37),ISNUMBER(BT37),ISNUMBER(BU37)),SUM(BS37:BU37), "")</f>
        <v>221306.44478338474</v>
      </c>
      <c r="BW37" s="208">
        <v>762.06341236774927</v>
      </c>
      <c r="BX37" s="208">
        <v>85.316836299999991</v>
      </c>
      <c r="BY37" s="208"/>
      <c r="BZ37" s="2540">
        <v>0</v>
      </c>
      <c r="CA37" s="2540">
        <v>0</v>
      </c>
      <c r="CB37" s="2540">
        <v>0</v>
      </c>
      <c r="CC37" s="2540">
        <v>0</v>
      </c>
      <c r="CD37" s="2540">
        <v>0</v>
      </c>
      <c r="CE37" s="375">
        <f t="shared" ref="CE37:CE40" si="149">IF($C$7="No", 0, IF(AND(ISNUMBER(BZ37),ISNUMBER(CA37),ISNUMBER(CD37)),SUM(BZ37,CA37,CD37),""))</f>
        <v>0</v>
      </c>
      <c r="CF37" s="2540">
        <v>0</v>
      </c>
      <c r="CG37" s="2540">
        <v>0</v>
      </c>
      <c r="CH37" s="2540">
        <v>0</v>
      </c>
      <c r="CI37" s="139">
        <f>IF($C$7="No", 0, IF(AND(ISNUMBER(CF37), ISNUMBER(CG37), ISNUMBER(CH37)), SUM(CF37:CH37), ""))</f>
        <v>0</v>
      </c>
      <c r="CJ37" s="614" t="str">
        <f t="shared" si="145"/>
        <v/>
      </c>
      <c r="CK37" s="319"/>
      <c r="CL37" s="2528">
        <v>0</v>
      </c>
      <c r="CM37" s="2528">
        <v>0</v>
      </c>
      <c r="CN37" s="2528">
        <v>0</v>
      </c>
      <c r="CO37" s="208">
        <v>284462.36709680001</v>
      </c>
      <c r="CP37" s="208">
        <v>3281.4530752000001</v>
      </c>
      <c r="CQ37" s="208">
        <v>282601.20735840005</v>
      </c>
      <c r="CR37" s="352" t="str">
        <f t="shared" si="146"/>
        <v>Pass</v>
      </c>
      <c r="CS37" s="356" t="str">
        <f t="shared" si="147"/>
        <v>Pass</v>
      </c>
      <c r="CT37" s="1898" t="str">
        <f>IF(AND(OR('General Info'!$C$19="Yes",'General Info'!$D$19="Yes"),ISNUMBER(CO37),ISNUMBER(CP37),ISNUMBER(CU37)),CO37-CP37+CU37,"")</f>
        <v/>
      </c>
      <c r="CU37" s="208"/>
      <c r="CV37" s="208"/>
      <c r="CW37" s="1899" t="str">
        <f>IF(AND(OR('General Info'!$C$19="Yes",'General Info'!$D$19="Yes"),ISNUMBER(AU37),ISNUMBER(CE37)),SUM(AU37,CE37),"")</f>
        <v/>
      </c>
      <c r="CX37" s="1899" t="str">
        <f>IF(AND(OR('General Info'!$C$19="Yes",'General Info'!$D$19="Yes"),ISNUMBER(AQ37),ISNUMBER(CA37)),SUM(AQ37,CA37),"")</f>
        <v/>
      </c>
      <c r="CY37" s="138"/>
      <c r="CZ37" s="1514"/>
    </row>
    <row r="38" spans="1:104" ht="15" customHeight="1" x14ac:dyDescent="0.35">
      <c r="A38" s="263"/>
      <c r="B38" s="323" t="s">
        <v>891</v>
      </c>
      <c r="C38" s="375">
        <f t="shared" si="142"/>
        <v>0</v>
      </c>
      <c r="D38" s="375">
        <f t="shared" si="142"/>
        <v>0</v>
      </c>
      <c r="E38" s="375">
        <f t="shared" si="142"/>
        <v>0</v>
      </c>
      <c r="F38" s="375" t="str">
        <f t="shared" si="142"/>
        <v/>
      </c>
      <c r="G38" s="375">
        <f t="shared" si="142"/>
        <v>0</v>
      </c>
      <c r="H38" s="375">
        <f t="shared" si="73"/>
        <v>0</v>
      </c>
      <c r="I38" s="375">
        <f t="shared" si="143"/>
        <v>0</v>
      </c>
      <c r="J38" s="375">
        <f t="shared" si="143"/>
        <v>0</v>
      </c>
      <c r="K38" s="375">
        <f t="shared" si="143"/>
        <v>0</v>
      </c>
      <c r="L38" s="375">
        <f t="shared" si="143"/>
        <v>0</v>
      </c>
      <c r="M38" s="375">
        <f t="shared" si="143"/>
        <v>0</v>
      </c>
      <c r="N38" s="2527">
        <v>0</v>
      </c>
      <c r="O38" s="2527">
        <v>0</v>
      </c>
      <c r="P38" s="2527">
        <v>0</v>
      </c>
      <c r="Q38" s="2527"/>
      <c r="R38" s="2534">
        <v>0</v>
      </c>
      <c r="S38" s="375">
        <f t="shared" si="54"/>
        <v>0</v>
      </c>
      <c r="T38" s="299">
        <v>0</v>
      </c>
      <c r="U38" s="208">
        <v>0</v>
      </c>
      <c r="V38" s="138">
        <v>0</v>
      </c>
      <c r="W38" s="375">
        <f t="shared" si="144"/>
        <v>0</v>
      </c>
      <c r="X38" s="299">
        <v>0</v>
      </c>
      <c r="Y38" s="208">
        <v>0</v>
      </c>
      <c r="Z38" s="2536">
        <v>0</v>
      </c>
      <c r="AA38" s="2536">
        <v>0</v>
      </c>
      <c r="AB38" s="2536">
        <v>0</v>
      </c>
      <c r="AC38" s="2536">
        <v>0</v>
      </c>
      <c r="AD38" s="138">
        <v>0</v>
      </c>
      <c r="AE38" s="375">
        <f t="shared" si="55"/>
        <v>0</v>
      </c>
      <c r="AF38" s="299">
        <v>0</v>
      </c>
      <c r="AG38" s="2536">
        <v>0</v>
      </c>
      <c r="AH38" s="2536">
        <v>0</v>
      </c>
      <c r="AI38" s="375">
        <f>IF(AND(ISNUMBER(AF38),ISNUMBER(AG38),ISNUMBER(AH38)),SUM(AF38:AH38), "")</f>
        <v>0</v>
      </c>
      <c r="AJ38" s="2536">
        <v>0</v>
      </c>
      <c r="AK38" s="2536">
        <v>0</v>
      </c>
      <c r="AL38" s="208">
        <v>0</v>
      </c>
      <c r="AM38" s="208">
        <v>0</v>
      </c>
      <c r="AN38" s="2540">
        <v>0</v>
      </c>
      <c r="AO38" s="2540">
        <v>0</v>
      </c>
      <c r="AP38" s="375">
        <f>IF(AND(ISNUMBER(BA38),ISNUMBER(BM38)),SUM(BA38,BM38),"")</f>
        <v>0</v>
      </c>
      <c r="AQ38" s="375">
        <f>IF(AND(ISNUMBER(BB38),ISNUMBER(BN38)),SUM(BB38,BN38),"")</f>
        <v>0</v>
      </c>
      <c r="AR38" s="375">
        <f>IF(AND(ISNUMBER(BC38),ISNUMBER(BO38)),SUM(BC38,BO38),"")</f>
        <v>0</v>
      </c>
      <c r="AS38" s="375">
        <f>IF(AND(ISNUMBER(BD38),ISNUMBER(BP38)),SUM(BD38,BP38),"")</f>
        <v>0</v>
      </c>
      <c r="AT38" s="375">
        <f>IF(AND(ISNUMBER(BE38),ISNUMBER(BQ38)),SUM(BE38,BQ38),"")</f>
        <v>0</v>
      </c>
      <c r="AU38" s="375">
        <f t="shared" ref="AU38:AU46" si="150">IF(AND(ISNUMBER(AP38),ISNUMBER(AQ38),ISNUMBER(AT38)),SUM(AP38,AQ38,AT38),"")</f>
        <v>0</v>
      </c>
      <c r="AV38" s="375">
        <f>IF(AND(ISNUMBER(BG38),ISNUMBER(BS38)),SUM(BG38,BS38),"")</f>
        <v>0</v>
      </c>
      <c r="AW38" s="375">
        <f>IF(AND(ISNUMBER(BH38),ISNUMBER(BT38)),SUM(BH38,BT38),"")</f>
        <v>0</v>
      </c>
      <c r="AX38" s="375">
        <f>IF(AND(ISNUMBER(BI38),ISNUMBER(BU38)),SUM(BI38,BU38),"")</f>
        <v>0</v>
      </c>
      <c r="AY38" s="375">
        <f>IF(AND(ISNUMBER(BJ38),ISNUMBER(BV38)),SUM(BJ38,BV38),"")</f>
        <v>0</v>
      </c>
      <c r="AZ38" s="375">
        <f>IF(AND(ISNUMBER(BK38),ISNUMBER(BW38)),SUM(BK38,BW38),"")</f>
        <v>0</v>
      </c>
      <c r="BA38" s="2540">
        <v>0</v>
      </c>
      <c r="BB38" s="2540">
        <v>0</v>
      </c>
      <c r="BC38" s="208">
        <v>0</v>
      </c>
      <c r="BD38" s="2540">
        <v>0</v>
      </c>
      <c r="BE38" s="2540">
        <v>0</v>
      </c>
      <c r="BF38" s="375">
        <f>IF(AND(ISNUMBER(BA38), ISNUMBER(BB38), ISNUMBER(BE38)), SUM(BA38,BB38,BE38), "")</f>
        <v>0</v>
      </c>
      <c r="BG38" s="2536">
        <v>0</v>
      </c>
      <c r="BH38" s="2540">
        <v>0</v>
      </c>
      <c r="BI38" s="2540">
        <v>0</v>
      </c>
      <c r="BJ38" s="375">
        <f>IF(AND(ISNUMBER(BG38),ISNUMBER(BH38),ISNUMBER(BI38)),SUM(BG38:BI38), "")</f>
        <v>0</v>
      </c>
      <c r="BK38" s="2540">
        <v>0</v>
      </c>
      <c r="BL38" s="2540">
        <v>0</v>
      </c>
      <c r="BM38" s="2528">
        <v>0</v>
      </c>
      <c r="BN38" s="2528">
        <v>0</v>
      </c>
      <c r="BO38" s="2528">
        <v>0</v>
      </c>
      <c r="BP38" s="2528">
        <v>0</v>
      </c>
      <c r="BQ38" s="2528">
        <v>0</v>
      </c>
      <c r="BR38" s="375">
        <f>IF(AND(ISNUMBER(BM38), ISNUMBER(BN38), ISNUMBER(BQ38)), SUM(BM38,BN38,BQ38), "")</f>
        <v>0</v>
      </c>
      <c r="BS38" s="2537">
        <v>0</v>
      </c>
      <c r="BT38" s="2528">
        <v>0</v>
      </c>
      <c r="BU38" s="2528">
        <v>0</v>
      </c>
      <c r="BV38" s="375">
        <f>IF(AND(ISNUMBER(BS38),ISNUMBER(BT38),ISNUMBER(BU38)),SUM(BS38:BU38), "")</f>
        <v>0</v>
      </c>
      <c r="BW38" s="2540">
        <v>0</v>
      </c>
      <c r="BX38" s="2540">
        <v>0</v>
      </c>
      <c r="BY38" s="208"/>
      <c r="BZ38" s="2540">
        <v>0</v>
      </c>
      <c r="CA38" s="2540">
        <v>0</v>
      </c>
      <c r="CB38" s="2540">
        <v>0</v>
      </c>
      <c r="CC38" s="2540">
        <v>0</v>
      </c>
      <c r="CD38" s="2540">
        <v>0</v>
      </c>
      <c r="CE38" s="375">
        <f t="shared" si="149"/>
        <v>0</v>
      </c>
      <c r="CF38" s="2540">
        <v>0</v>
      </c>
      <c r="CG38" s="2540">
        <v>0</v>
      </c>
      <c r="CH38" s="2540">
        <v>0</v>
      </c>
      <c r="CI38" s="139">
        <f>IF($C$7="No", 0, IF(AND(ISNUMBER(CF38), ISNUMBER(CG38), ISNUMBER(CH38)), SUM(CF38:CH38), ""))</f>
        <v>0</v>
      </c>
      <c r="CJ38" s="614" t="str">
        <f t="shared" si="145"/>
        <v/>
      </c>
      <c r="CK38" s="319"/>
      <c r="CL38" s="2527">
        <v>0</v>
      </c>
      <c r="CM38" s="2527">
        <v>0</v>
      </c>
      <c r="CN38" s="2527">
        <v>0</v>
      </c>
      <c r="CO38" s="208">
        <v>0</v>
      </c>
      <c r="CP38" s="208">
        <v>0</v>
      </c>
      <c r="CQ38" s="208">
        <v>0</v>
      </c>
      <c r="CR38" s="352" t="str">
        <f t="shared" si="146"/>
        <v>Pass</v>
      </c>
      <c r="CS38" s="356" t="str">
        <f t="shared" si="147"/>
        <v>Pass</v>
      </c>
      <c r="CT38" s="1898" t="str">
        <f>IF(AND(OR('General Info'!$C$19="Yes",'General Info'!$D$19="Yes"),ISNUMBER(CO38),ISNUMBER(CP38),ISNUMBER(CU38)),CO38-CP38+CU38,"")</f>
        <v/>
      </c>
      <c r="CU38" s="208"/>
      <c r="CV38" s="208"/>
      <c r="CW38" s="1899" t="str">
        <f>IF(AND(OR('General Info'!$C$19="Yes",'General Info'!$D$19="Yes"),ISNUMBER(AU38),ISNUMBER(CE38)),SUM(AU38,CE38),"")</f>
        <v/>
      </c>
      <c r="CX38" s="1899" t="str">
        <f>IF(AND(OR('General Info'!$C$19="Yes",'General Info'!$D$19="Yes"),ISNUMBER(AQ38),ISNUMBER(CA38)),SUM(AQ38,CA38),"")</f>
        <v/>
      </c>
      <c r="CY38" s="138"/>
      <c r="CZ38" s="1514"/>
    </row>
    <row r="39" spans="1:104" ht="15" customHeight="1" x14ac:dyDescent="0.35">
      <c r="A39" s="263"/>
      <c r="B39" s="323" t="s">
        <v>549</v>
      </c>
      <c r="C39" s="375">
        <f t="shared" si="142"/>
        <v>0</v>
      </c>
      <c r="D39" s="375">
        <f t="shared" si="142"/>
        <v>0</v>
      </c>
      <c r="E39" s="375">
        <f t="shared" si="142"/>
        <v>0</v>
      </c>
      <c r="F39" s="375" t="str">
        <f t="shared" si="142"/>
        <v/>
      </c>
      <c r="G39" s="375">
        <f t="shared" si="142"/>
        <v>0</v>
      </c>
      <c r="H39" s="375">
        <f t="shared" si="73"/>
        <v>0</v>
      </c>
      <c r="I39" s="375">
        <f t="shared" si="143"/>
        <v>0</v>
      </c>
      <c r="J39" s="375">
        <f t="shared" si="143"/>
        <v>0</v>
      </c>
      <c r="K39" s="375">
        <f t="shared" si="143"/>
        <v>0</v>
      </c>
      <c r="L39" s="375">
        <f t="shared" si="143"/>
        <v>0</v>
      </c>
      <c r="M39" s="375">
        <f t="shared" si="143"/>
        <v>0</v>
      </c>
      <c r="N39" s="2527">
        <v>0</v>
      </c>
      <c r="O39" s="2527">
        <v>0</v>
      </c>
      <c r="P39" s="2527">
        <v>0</v>
      </c>
      <c r="Q39" s="2527"/>
      <c r="R39" s="2534">
        <v>0</v>
      </c>
      <c r="S39" s="375">
        <f t="shared" si="54"/>
        <v>0</v>
      </c>
      <c r="T39" s="299">
        <v>0</v>
      </c>
      <c r="U39" s="208">
        <v>0</v>
      </c>
      <c r="V39" s="138">
        <v>0</v>
      </c>
      <c r="W39" s="375">
        <f t="shared" si="144"/>
        <v>0</v>
      </c>
      <c r="X39" s="299">
        <v>0</v>
      </c>
      <c r="Y39" s="208">
        <v>0</v>
      </c>
      <c r="Z39" s="2536">
        <v>0</v>
      </c>
      <c r="AA39" s="2536">
        <v>0</v>
      </c>
      <c r="AB39" s="2536">
        <v>0</v>
      </c>
      <c r="AC39" s="2536">
        <v>0</v>
      </c>
      <c r="AD39" s="138">
        <v>0</v>
      </c>
      <c r="AE39" s="375">
        <f t="shared" si="55"/>
        <v>0</v>
      </c>
      <c r="AF39" s="299">
        <v>0</v>
      </c>
      <c r="AG39" s="2536">
        <v>0</v>
      </c>
      <c r="AH39" s="2536">
        <v>0</v>
      </c>
      <c r="AI39" s="375">
        <f>IF(AND(ISNUMBER(AF39),ISNUMBER(AG39),ISNUMBER(AH39)),SUM(AF39:AH39), "")</f>
        <v>0</v>
      </c>
      <c r="AJ39" s="2536">
        <v>0</v>
      </c>
      <c r="AK39" s="2536">
        <v>0</v>
      </c>
      <c r="AL39" s="208">
        <v>0</v>
      </c>
      <c r="AM39" s="208">
        <v>0</v>
      </c>
      <c r="AN39" s="2540">
        <v>0</v>
      </c>
      <c r="AO39" s="2540">
        <v>0</v>
      </c>
      <c r="AP39" s="375">
        <f t="shared" ref="AP39:AT39" si="151">IF(ISNUMBER(BM39),BM39,"")</f>
        <v>0</v>
      </c>
      <c r="AQ39" s="375">
        <f t="shared" si="151"/>
        <v>0</v>
      </c>
      <c r="AR39" s="375">
        <f t="shared" si="151"/>
        <v>0</v>
      </c>
      <c r="AS39" s="375">
        <f t="shared" si="151"/>
        <v>0</v>
      </c>
      <c r="AT39" s="375">
        <f t="shared" si="151"/>
        <v>0</v>
      </c>
      <c r="AU39" s="375">
        <f t="shared" si="150"/>
        <v>0</v>
      </c>
      <c r="AV39" s="375">
        <f>IF(ISNUMBER(BS39),BS39,"")</f>
        <v>0</v>
      </c>
      <c r="AW39" s="375">
        <f>IF(ISNUMBER(BT39),BT39,"")</f>
        <v>0</v>
      </c>
      <c r="AX39" s="375">
        <f>IF(ISNUMBER(BU39),BU39,"")</f>
        <v>0</v>
      </c>
      <c r="AY39" s="375">
        <f>IF(ISNUMBER(BV39),BV39,"")</f>
        <v>0</v>
      </c>
      <c r="AZ39" s="375">
        <f>IF(ISNUMBER(BW39),BW39,"")</f>
        <v>0</v>
      </c>
      <c r="BA39" s="298"/>
      <c r="BB39" s="298"/>
      <c r="BC39" s="298"/>
      <c r="BD39" s="298"/>
      <c r="BE39" s="298"/>
      <c r="BF39" s="574"/>
      <c r="BG39" s="298"/>
      <c r="BH39" s="298"/>
      <c r="BI39" s="298"/>
      <c r="BJ39" s="298"/>
      <c r="BK39" s="298"/>
      <c r="BL39" s="298"/>
      <c r="BM39" s="2528">
        <v>0</v>
      </c>
      <c r="BN39" s="2528">
        <v>0</v>
      </c>
      <c r="BO39" s="2528">
        <v>0</v>
      </c>
      <c r="BP39" s="2528">
        <v>0</v>
      </c>
      <c r="BQ39" s="2528">
        <v>0</v>
      </c>
      <c r="BR39" s="375">
        <f>IF(AND(ISNUMBER(BM39), ISNUMBER(BN39), ISNUMBER(BQ39)), SUM(BM39,BN39,BQ39), "")</f>
        <v>0</v>
      </c>
      <c r="BS39" s="2537">
        <v>0</v>
      </c>
      <c r="BT39" s="2528">
        <v>0</v>
      </c>
      <c r="BU39" s="2528">
        <v>0</v>
      </c>
      <c r="BV39" s="375">
        <f>IF(AND(ISNUMBER(BS39),ISNUMBER(BT39),ISNUMBER(BU39)),SUM(BS39:BU39), "")</f>
        <v>0</v>
      </c>
      <c r="BW39" s="2540">
        <v>0</v>
      </c>
      <c r="BX39" s="2540">
        <v>0</v>
      </c>
      <c r="BY39" s="208"/>
      <c r="BZ39" s="2540">
        <v>0</v>
      </c>
      <c r="CA39" s="2540">
        <v>0</v>
      </c>
      <c r="CB39" s="2540">
        <v>0</v>
      </c>
      <c r="CC39" s="2540">
        <v>0</v>
      </c>
      <c r="CD39" s="2540">
        <v>0</v>
      </c>
      <c r="CE39" s="375">
        <f t="shared" si="149"/>
        <v>0</v>
      </c>
      <c r="CF39" s="2540">
        <v>0</v>
      </c>
      <c r="CG39" s="2540">
        <v>0</v>
      </c>
      <c r="CH39" s="2540">
        <v>0</v>
      </c>
      <c r="CI39" s="139">
        <f>IF($C$7="No", 0, IF(AND(ISNUMBER(CF39), ISNUMBER(CG39), ISNUMBER(CH39)), SUM(CF39:CH39), ""))</f>
        <v>0</v>
      </c>
      <c r="CJ39" s="614" t="str">
        <f t="shared" si="145"/>
        <v/>
      </c>
      <c r="CK39" s="319"/>
      <c r="CL39" s="2527">
        <v>0</v>
      </c>
      <c r="CM39" s="2527">
        <v>0</v>
      </c>
      <c r="CN39" s="2527">
        <v>0</v>
      </c>
      <c r="CO39" s="208">
        <v>0</v>
      </c>
      <c r="CP39" s="208">
        <v>0</v>
      </c>
      <c r="CQ39" s="208">
        <v>0</v>
      </c>
      <c r="CR39" s="352" t="str">
        <f t="shared" si="146"/>
        <v>Pass</v>
      </c>
      <c r="CS39" s="356" t="str">
        <f t="shared" si="147"/>
        <v>Pass</v>
      </c>
      <c r="CT39" s="1898" t="str">
        <f>IF(AND(OR('General Info'!$C$19="Yes",'General Info'!$D$19="Yes"),ISNUMBER(CO39),ISNUMBER(CP39),ISNUMBER(CU39)),CO39-CP39+CU39,"")</f>
        <v/>
      </c>
      <c r="CU39" s="208"/>
      <c r="CV39" s="208"/>
      <c r="CW39" s="1899" t="str">
        <f>IF(AND(OR('General Info'!$C$19="Yes",'General Info'!$D$19="Yes"),ISNUMBER(AU39),ISNUMBER(CE39)),SUM(AU39,CE39),"")</f>
        <v/>
      </c>
      <c r="CX39" s="1899" t="str">
        <f>IF(AND(OR('General Info'!$C$19="Yes",'General Info'!$D$19="Yes"),ISNUMBER(AQ39),ISNUMBER(CA39)),SUM(AQ39,CA39),"")</f>
        <v/>
      </c>
      <c r="CY39" s="138"/>
      <c r="CZ39" s="1514"/>
    </row>
    <row r="40" spans="1:104" ht="15" customHeight="1" x14ac:dyDescent="0.35">
      <c r="A40" s="263"/>
      <c r="B40" s="323" t="s">
        <v>892</v>
      </c>
      <c r="C40" s="375">
        <f t="shared" ref="C40:G40" si="152">IF((ISNUMBER(N40)),N40,"")</f>
        <v>9354168.4852654804</v>
      </c>
      <c r="D40" s="375">
        <f t="shared" si="152"/>
        <v>0</v>
      </c>
      <c r="E40" s="375">
        <f t="shared" si="152"/>
        <v>0</v>
      </c>
      <c r="F40" s="375" t="str">
        <f t="shared" si="152"/>
        <v/>
      </c>
      <c r="G40" s="375">
        <f t="shared" si="152"/>
        <v>0</v>
      </c>
      <c r="H40" s="375">
        <f t="shared" si="73"/>
        <v>9354168.4852654804</v>
      </c>
      <c r="I40" s="375">
        <f>IF((ISNUMBER(T40)),T40,"")</f>
        <v>2353995.0269878842</v>
      </c>
      <c r="J40" s="375">
        <f>IF((ISNUMBER(U40)),U40,"")</f>
        <v>0</v>
      </c>
      <c r="K40" s="375">
        <f>IF((ISNUMBER(V40)),V40,"")</f>
        <v>0</v>
      </c>
      <c r="L40" s="375">
        <f>IF((ISNUMBER(W40)),W40,"")</f>
        <v>2353995.0269878842</v>
      </c>
      <c r="M40" s="375">
        <f>IF((ISNUMBER(X40)),X40,"")</f>
        <v>97305.302923199779</v>
      </c>
      <c r="N40" s="210">
        <v>9354168.4852654804</v>
      </c>
      <c r="O40" s="210">
        <v>0</v>
      </c>
      <c r="P40" s="210">
        <v>0</v>
      </c>
      <c r="Q40" s="210"/>
      <c r="R40" s="237">
        <v>0</v>
      </c>
      <c r="S40" s="375">
        <f t="shared" si="54"/>
        <v>9354168.4852654804</v>
      </c>
      <c r="T40" s="307">
        <v>2353995.0269878842</v>
      </c>
      <c r="U40" s="210">
        <v>0</v>
      </c>
      <c r="V40" s="237">
        <v>0</v>
      </c>
      <c r="W40" s="375">
        <f t="shared" si="144"/>
        <v>2353995.0269878842</v>
      </c>
      <c r="X40" s="307">
        <v>97305.302923199779</v>
      </c>
      <c r="Y40" s="210">
        <v>72655.487163400074</v>
      </c>
      <c r="Z40" s="298"/>
      <c r="AA40" s="298"/>
      <c r="AB40" s="298"/>
      <c r="AC40" s="298"/>
      <c r="AD40" s="316"/>
      <c r="AE40" s="533"/>
      <c r="AF40" s="298"/>
      <c r="AG40" s="298"/>
      <c r="AH40" s="298"/>
      <c r="AI40" s="533"/>
      <c r="AJ40" s="298"/>
      <c r="AK40" s="298"/>
      <c r="AL40" s="208">
        <v>29838.295239999858</v>
      </c>
      <c r="AM40" s="208">
        <v>64299.492549999901</v>
      </c>
      <c r="AN40" s="2540">
        <v>0</v>
      </c>
      <c r="AO40" s="2540">
        <v>0</v>
      </c>
      <c r="AP40" s="375">
        <f t="shared" ref="AP40:AT46" si="153">IF(AND(ISNUMBER(BA40),ISNUMBER(BM40)),SUM(BA40,BM40),"")</f>
        <v>9354168.4852654189</v>
      </c>
      <c r="AQ40" s="375">
        <f t="shared" si="153"/>
        <v>0</v>
      </c>
      <c r="AR40" s="375">
        <f t="shared" si="153"/>
        <v>0</v>
      </c>
      <c r="AS40" s="375">
        <f t="shared" si="153"/>
        <v>0</v>
      </c>
      <c r="AT40" s="375">
        <f t="shared" si="153"/>
        <v>34249.535783575091</v>
      </c>
      <c r="AU40" s="375">
        <f t="shared" si="150"/>
        <v>9388418.0210489947</v>
      </c>
      <c r="AV40" s="375">
        <f t="shared" ref="AV40:AZ46" si="154">IF(AND(ISNUMBER(BG40),ISNUMBER(BS40)),SUM(BG40,BS40),"")</f>
        <v>2306102.2904252121</v>
      </c>
      <c r="AW40" s="375">
        <f t="shared" si="154"/>
        <v>0</v>
      </c>
      <c r="AX40" s="375">
        <f t="shared" si="154"/>
        <v>0</v>
      </c>
      <c r="AY40" s="375">
        <f t="shared" si="154"/>
        <v>2306102.2904252121</v>
      </c>
      <c r="AZ40" s="375">
        <f t="shared" si="154"/>
        <v>98409.706127241414</v>
      </c>
      <c r="BA40" s="210">
        <v>9354168.4852654189</v>
      </c>
      <c r="BB40" s="210">
        <v>0</v>
      </c>
      <c r="BC40" s="210">
        <v>0</v>
      </c>
      <c r="BD40" s="210">
        <v>0</v>
      </c>
      <c r="BE40" s="237">
        <v>34249.535783575091</v>
      </c>
      <c r="BF40" s="375">
        <f>IF(AND(ISNUMBER(BA40), ISNUMBER(BB40), ISNUMBER(BE40)), SUM(BA40,BB40,BE40), "")</f>
        <v>9388418.0210489947</v>
      </c>
      <c r="BG40" s="307">
        <v>2306102.2904252121</v>
      </c>
      <c r="BH40" s="210">
        <v>0</v>
      </c>
      <c r="BI40" s="210">
        <v>0</v>
      </c>
      <c r="BJ40" s="624">
        <f>IF(AND(ISNUMBER(BG40),ISNUMBER(BH40),ISNUMBER(BI40)),SUM(BG40:BI40), "")</f>
        <v>2306102.2904252121</v>
      </c>
      <c r="BK40" s="210">
        <v>98409.706127241414</v>
      </c>
      <c r="BL40" s="210">
        <v>72655.487163400074</v>
      </c>
      <c r="BM40" s="2528">
        <v>0</v>
      </c>
      <c r="BN40" s="2528">
        <v>0</v>
      </c>
      <c r="BO40" s="2528">
        <v>0</v>
      </c>
      <c r="BP40" s="2528">
        <v>0</v>
      </c>
      <c r="BQ40" s="2528">
        <v>0</v>
      </c>
      <c r="BR40" s="375">
        <f>IF(AND(ISNUMBER(BM40), ISNUMBER(BN40), ISNUMBER(BQ40)), SUM(BM40,BN40,BQ40), "")</f>
        <v>0</v>
      </c>
      <c r="BS40" s="2537">
        <v>0</v>
      </c>
      <c r="BT40" s="2528">
        <v>0</v>
      </c>
      <c r="BU40" s="2528">
        <v>0</v>
      </c>
      <c r="BV40" s="624">
        <f>IF(AND(ISNUMBER(BS40),ISNUMBER(BT40),ISNUMBER(BU40)),SUM(BS40:BU40), "")</f>
        <v>0</v>
      </c>
      <c r="BW40" s="2540">
        <v>0</v>
      </c>
      <c r="BX40" s="2540">
        <v>0</v>
      </c>
      <c r="BY40" s="210"/>
      <c r="BZ40" s="2540">
        <v>0</v>
      </c>
      <c r="CA40" s="2540">
        <v>0</v>
      </c>
      <c r="CB40" s="2540">
        <v>0</v>
      </c>
      <c r="CC40" s="2540">
        <v>0</v>
      </c>
      <c r="CD40" s="2540">
        <v>0</v>
      </c>
      <c r="CE40" s="375">
        <f t="shared" si="149"/>
        <v>0</v>
      </c>
      <c r="CF40" s="2540">
        <v>0</v>
      </c>
      <c r="CG40" s="2540">
        <v>0</v>
      </c>
      <c r="CH40" s="2540">
        <v>0</v>
      </c>
      <c r="CI40" s="139">
        <f>IF($C$7="No", 0, IF(AND(ISNUMBER(CF40), ISNUMBER(CG40), ISNUMBER(CH40)), SUM(CF40:CH40), ""))</f>
        <v>0</v>
      </c>
      <c r="CJ40" s="614" t="str">
        <f t="shared" si="145"/>
        <v/>
      </c>
      <c r="CK40" s="319"/>
      <c r="CL40" s="2527">
        <v>0</v>
      </c>
      <c r="CM40" s="2527">
        <v>0</v>
      </c>
      <c r="CN40" s="2527">
        <v>0</v>
      </c>
      <c r="CO40" s="208">
        <v>9294280.233258618</v>
      </c>
      <c r="CP40" s="208">
        <v>0</v>
      </c>
      <c r="CQ40" s="208">
        <v>2628908.2483446216</v>
      </c>
      <c r="CR40" s="352" t="str">
        <f t="shared" si="146"/>
        <v>Pass</v>
      </c>
      <c r="CS40" s="356" t="str">
        <f t="shared" si="147"/>
        <v>Pass</v>
      </c>
      <c r="CT40" s="1898" t="str">
        <f>IF(AND(OR('General Info'!$C$19="Yes",'General Info'!$D$19="Yes"),ISNUMBER(CO40),ISNUMBER(CP40),ISNUMBER(CU40)),CO40-CP40+CU40,"")</f>
        <v/>
      </c>
      <c r="CU40" s="208"/>
      <c r="CV40" s="208"/>
      <c r="CW40" s="1899" t="str">
        <f>IF(AND(OR('General Info'!$C$19="Yes",'General Info'!$D$19="Yes"),ISNUMBER(AU40),ISNUMBER(CE40)),SUM(AU40,CE40),"")</f>
        <v/>
      </c>
      <c r="CX40" s="1899" t="str">
        <f>IF(AND(OR('General Info'!$C$19="Yes",'General Info'!$D$19="Yes"),ISNUMBER(AQ40),ISNUMBER(CA40)),SUM(AQ40,CA40),"")</f>
        <v/>
      </c>
      <c r="CY40" s="138"/>
      <c r="CZ40" s="1514"/>
    </row>
    <row r="41" spans="1:104" ht="15" customHeight="1" x14ac:dyDescent="0.35">
      <c r="A41" s="263"/>
      <c r="B41" s="323" t="s">
        <v>893</v>
      </c>
      <c r="C41" s="375">
        <f t="shared" ref="C41:H41" si="155">IF(AND(ISNUMBER(C42),ISNUMBER(C43)),SUM(C42:C43),"")</f>
        <v>437001.0818714354</v>
      </c>
      <c r="D41" s="375">
        <f t="shared" si="155"/>
        <v>0</v>
      </c>
      <c r="E41" s="375">
        <f t="shared" ref="E41" si="156">IF(AND(ISNUMBER(E42),ISNUMBER(E43)),SUM(E42:E43),"")</f>
        <v>0</v>
      </c>
      <c r="F41" s="375" t="str">
        <f t="shared" si="155"/>
        <v/>
      </c>
      <c r="G41" s="375">
        <f t="shared" si="155"/>
        <v>0</v>
      </c>
      <c r="H41" s="375">
        <f t="shared" si="155"/>
        <v>437001.0818714354</v>
      </c>
      <c r="I41" s="375">
        <f>IF(AND(ISNUMBER(I42), ISNUMBER(I43)), SUM(I42:I43),"")</f>
        <v>104385.87685548617</v>
      </c>
      <c r="J41" s="375">
        <f>IF(AND(ISNUMBER(J42), ISNUMBER(J43)), SUM(J42:J43),"")</f>
        <v>0</v>
      </c>
      <c r="K41" s="375">
        <f>IF(AND(ISNUMBER(K42), ISNUMBER(K43)), SUM(K42:K43),"")</f>
        <v>0</v>
      </c>
      <c r="L41" s="375">
        <f>IF(AND(ISNUMBER(L42), ISNUMBER(L43)), SUM(L42:L43),"")</f>
        <v>104385.87685548617</v>
      </c>
      <c r="M41" s="375">
        <f>IF(AND(ISNUMBER(M42), ISNUMBER(M43)), SUM(M42:M43),"")</f>
        <v>20255.157822899928</v>
      </c>
      <c r="N41" s="375">
        <f t="shared" ref="N41:S41" si="157">IF(AND(ISNUMBER(N42),ISNUMBER(N43)),SUM(N42:N43),"")</f>
        <v>437001.0818714354</v>
      </c>
      <c r="O41" s="375">
        <f t="shared" si="157"/>
        <v>0</v>
      </c>
      <c r="P41" s="375">
        <f t="shared" ref="P41" si="158">IF(AND(ISNUMBER(P42),ISNUMBER(P43)),SUM(P42:P43),"")</f>
        <v>0</v>
      </c>
      <c r="Q41" s="375" t="str">
        <f t="shared" si="157"/>
        <v/>
      </c>
      <c r="R41" s="375">
        <f t="shared" si="157"/>
        <v>0</v>
      </c>
      <c r="S41" s="375">
        <f t="shared" si="157"/>
        <v>437001.0818714354</v>
      </c>
      <c r="T41" s="375">
        <f t="shared" ref="T41:Y41" si="159">IF(AND(ISNUMBER(T42), ISNUMBER(T43)), SUM(T42:T43),"")</f>
        <v>104385.87685548617</v>
      </c>
      <c r="U41" s="375">
        <f t="shared" si="159"/>
        <v>0</v>
      </c>
      <c r="V41" s="375">
        <f t="shared" si="159"/>
        <v>0</v>
      </c>
      <c r="W41" s="375">
        <f t="shared" si="159"/>
        <v>104385.87685548617</v>
      </c>
      <c r="X41" s="375">
        <f t="shared" si="159"/>
        <v>20255.157822899928</v>
      </c>
      <c r="Y41" s="375">
        <f t="shared" si="159"/>
        <v>16968.016246699997</v>
      </c>
      <c r="Z41" s="298"/>
      <c r="AA41" s="298"/>
      <c r="AB41" s="298"/>
      <c r="AC41" s="298"/>
      <c r="AD41" s="316"/>
      <c r="AE41" s="298"/>
      <c r="AF41" s="298"/>
      <c r="AG41" s="298"/>
      <c r="AH41" s="298"/>
      <c r="AI41" s="298"/>
      <c r="AJ41" s="298"/>
      <c r="AK41" s="298"/>
      <c r="AL41" s="169">
        <v>1924.7123100009223</v>
      </c>
      <c r="AM41" s="169">
        <v>29654.085540000007</v>
      </c>
      <c r="AN41" s="2540">
        <v>0</v>
      </c>
      <c r="AO41" s="2540">
        <v>0</v>
      </c>
      <c r="AP41" s="375">
        <f t="shared" si="153"/>
        <v>437001.08187142981</v>
      </c>
      <c r="AQ41" s="375">
        <f t="shared" si="153"/>
        <v>0</v>
      </c>
      <c r="AR41" s="375">
        <f t="shared" si="153"/>
        <v>0</v>
      </c>
      <c r="AS41" s="375">
        <f t="shared" si="153"/>
        <v>0</v>
      </c>
      <c r="AT41" s="375">
        <f t="shared" si="153"/>
        <v>0</v>
      </c>
      <c r="AU41" s="375">
        <f t="shared" si="150"/>
        <v>437001.08187142981</v>
      </c>
      <c r="AV41" s="375">
        <f t="shared" si="154"/>
        <v>162623.32138807798</v>
      </c>
      <c r="AW41" s="375">
        <f t="shared" si="154"/>
        <v>0</v>
      </c>
      <c r="AX41" s="375">
        <f t="shared" si="154"/>
        <v>0</v>
      </c>
      <c r="AY41" s="375">
        <f t="shared" si="154"/>
        <v>162623.32138807798</v>
      </c>
      <c r="AZ41" s="375">
        <f t="shared" si="154"/>
        <v>23296.531512848524</v>
      </c>
      <c r="BA41" s="375">
        <f t="shared" ref="BA41:BF41" si="160">IF(AND(ISNUMBER(BA42),ISNUMBER(BA43)),SUM(BA42:BA43),"")</f>
        <v>437001.08187142981</v>
      </c>
      <c r="BB41" s="375">
        <f t="shared" ref="BB41:BC41" si="161">IF(AND(ISNUMBER(BB42),ISNUMBER(BB43)),SUM(BB42:BB43),"")</f>
        <v>0</v>
      </c>
      <c r="BC41" s="375">
        <f t="shared" si="161"/>
        <v>0</v>
      </c>
      <c r="BD41" s="375">
        <f t="shared" si="160"/>
        <v>0</v>
      </c>
      <c r="BE41" s="375">
        <f t="shared" si="160"/>
        <v>0</v>
      </c>
      <c r="BF41" s="718">
        <f t="shared" si="160"/>
        <v>437001.08187142981</v>
      </c>
      <c r="BG41" s="375">
        <f t="shared" ref="BG41:BL41" si="162">IF(AND(ISNUMBER(BG42), ISNUMBER(BG43)), SUM(BG42:BG43),"")</f>
        <v>162623.32138807798</v>
      </c>
      <c r="BH41" s="375">
        <f t="shared" si="162"/>
        <v>0</v>
      </c>
      <c r="BI41" s="375">
        <f t="shared" si="162"/>
        <v>0</v>
      </c>
      <c r="BJ41" s="375">
        <f t="shared" si="162"/>
        <v>162623.32138807798</v>
      </c>
      <c r="BK41" s="375">
        <f t="shared" si="162"/>
        <v>23296.531512848524</v>
      </c>
      <c r="BL41" s="375">
        <f t="shared" si="162"/>
        <v>16968.016246699997</v>
      </c>
      <c r="BM41" s="375">
        <f t="shared" ref="BM41" si="163">IF(AND(ISNUMBER(BM42),ISNUMBER(BM43)),SUM(BM42:BM43),"")</f>
        <v>0</v>
      </c>
      <c r="BN41" s="375">
        <f t="shared" ref="BN41:BO41" si="164">IF(AND(ISNUMBER(BN42),ISNUMBER(BN43)),SUM(BN42:BN43),"")</f>
        <v>0</v>
      </c>
      <c r="BO41" s="375">
        <f t="shared" si="164"/>
        <v>0</v>
      </c>
      <c r="BP41" s="375">
        <f t="shared" ref="BP41:BR41" si="165">IF(AND(ISNUMBER(BP42),ISNUMBER(BP43)),SUM(BP42:BP43),"")</f>
        <v>0</v>
      </c>
      <c r="BQ41" s="375">
        <f t="shared" si="165"/>
        <v>0</v>
      </c>
      <c r="BR41" s="718">
        <f t="shared" si="165"/>
        <v>0</v>
      </c>
      <c r="BS41" s="375">
        <f t="shared" ref="BS41:BX41" si="166">IF(AND(ISNUMBER(BS42), ISNUMBER(BS43)), SUM(BS42:BS43),"")</f>
        <v>0</v>
      </c>
      <c r="BT41" s="375">
        <f t="shared" si="166"/>
        <v>0</v>
      </c>
      <c r="BU41" s="375">
        <f t="shared" si="166"/>
        <v>0</v>
      </c>
      <c r="BV41" s="375">
        <f t="shared" si="166"/>
        <v>0</v>
      </c>
      <c r="BW41" s="375">
        <f t="shared" si="166"/>
        <v>0</v>
      </c>
      <c r="BX41" s="375">
        <f t="shared" si="166"/>
        <v>0</v>
      </c>
      <c r="BY41" s="375">
        <f>IF($C$7="No", 0, IF(AND(ISNUMBER(BY42), ISNUMBER(BY43)),SUM(BY42:BY43), ""))</f>
        <v>0</v>
      </c>
      <c r="BZ41" s="375">
        <f t="shared" ref="BZ41:CD41" si="167">IF($C$7="No", 0, IF(AND(ISNUMBER(BZ42), ISNUMBER(BZ43)),SUM(BZ42:BZ43), ""))</f>
        <v>0</v>
      </c>
      <c r="CA41" s="375">
        <f t="shared" si="167"/>
        <v>0</v>
      </c>
      <c r="CB41" s="375">
        <f t="shared" si="167"/>
        <v>0</v>
      </c>
      <c r="CC41" s="375">
        <f t="shared" si="167"/>
        <v>0</v>
      </c>
      <c r="CD41" s="375">
        <f t="shared" si="167"/>
        <v>0</v>
      </c>
      <c r="CE41" s="375">
        <f t="shared" ref="CE41:CI41" si="168">IF(AND(ISNUMBER(CE42),ISNUMBER(CE43)),SUM(CE42:CE43),"")</f>
        <v>0</v>
      </c>
      <c r="CF41" s="375">
        <f t="shared" ref="CF41:CH41" si="169">IF($C$7="No", 0, IF(AND(ISNUMBER(CF42), ISNUMBER(CF43)),SUM(CF42:CF43), ""))</f>
        <v>0</v>
      </c>
      <c r="CG41" s="375">
        <f t="shared" si="169"/>
        <v>0</v>
      </c>
      <c r="CH41" s="375">
        <f t="shared" si="169"/>
        <v>0</v>
      </c>
      <c r="CI41" s="139">
        <f t="shared" si="168"/>
        <v>0</v>
      </c>
      <c r="CJ41" s="614" t="str">
        <f t="shared" si="145"/>
        <v/>
      </c>
      <c r="CK41" s="319"/>
      <c r="CL41" s="297">
        <f>IF(AND(ISNUMBER(CL42),ISNUMBER(CL43)),SUM(CL42:CL43),"")</f>
        <v>0</v>
      </c>
      <c r="CM41" s="322">
        <f t="shared" ref="CM41:CQ41" si="170">IF(AND(ISNUMBER(CM42),ISNUMBER(CM43)),SUM(CM42:CM43),"")</f>
        <v>0</v>
      </c>
      <c r="CN41" s="322">
        <f t="shared" si="170"/>
        <v>0</v>
      </c>
      <c r="CO41" s="322">
        <f t="shared" si="170"/>
        <v>405422.28402139893</v>
      </c>
      <c r="CP41" s="322">
        <f>IF(AND(ISNUMBER(CP42),ISNUMBER(CP43)),SUM(CP42:CP43),"")</f>
        <v>0</v>
      </c>
      <c r="CQ41" s="297">
        <f t="shared" si="170"/>
        <v>311949.8992257592</v>
      </c>
      <c r="CR41" s="352" t="str">
        <f t="shared" si="146"/>
        <v>Pass</v>
      </c>
      <c r="CS41" s="356" t="str">
        <f t="shared" si="147"/>
        <v>Pass</v>
      </c>
      <c r="CT41" s="1898" t="str">
        <f t="shared" ref="CT41" si="171">IF(AND(ISNUMBER(CT42),ISNUMBER(CT43)),SUM(CT42:CT43),"")</f>
        <v/>
      </c>
      <c r="CU41" s="297" t="str">
        <f>IF(AND(OR('General Info'!$C$19="Yes",'General Info'!$D$19="Yes"),ISNUMBER(CU42),ISNUMBER(CU43)),SUM(CU42:CU43),"")</f>
        <v/>
      </c>
      <c r="CV41" s="297" t="str">
        <f>IF(AND(OR('General Info'!$C$19="Yes",'General Info'!$D$19="Yes"),ISNUMBER(CV42),ISNUMBER(CV43)),SUM(CV42:CV43),"")</f>
        <v/>
      </c>
      <c r="CW41" s="1899" t="str">
        <f>IF(AND(OR('General Info'!$C$19="Yes",'General Info'!$D$19="Yes"),ISNUMBER(AU41),ISNUMBER(CE41)),SUM(AU41,CE41),"")</f>
        <v/>
      </c>
      <c r="CX41" s="1899" t="str">
        <f>IF(AND(OR('General Info'!$C$19="Yes",'General Info'!$D$19="Yes"),ISNUMBER(AQ41),ISNUMBER(CA41)),SUM(AQ41,CA41),"")</f>
        <v/>
      </c>
      <c r="CY41" s="702" t="str">
        <f>IF(AND(OR('General Info'!$C$19="Yes",'General Info'!$D$19="Yes"),ISNUMBER(CY42),ISNUMBER(CY43)),SUM(CY42:CY43),"")</f>
        <v/>
      </c>
      <c r="CZ41" s="1514"/>
    </row>
    <row r="42" spans="1:104" ht="15" customHeight="1" x14ac:dyDescent="0.35">
      <c r="A42" s="263"/>
      <c r="B42" s="219" t="s">
        <v>894</v>
      </c>
      <c r="C42" s="375">
        <f t="shared" ref="C42:G43" si="172">IF((ISNUMBER(N42)),N42,"")</f>
        <v>0</v>
      </c>
      <c r="D42" s="375">
        <f t="shared" si="172"/>
        <v>0</v>
      </c>
      <c r="E42" s="375">
        <f t="shared" si="172"/>
        <v>0</v>
      </c>
      <c r="F42" s="375" t="str">
        <f t="shared" si="172"/>
        <v/>
      </c>
      <c r="G42" s="375">
        <f t="shared" si="172"/>
        <v>0</v>
      </c>
      <c r="H42" s="375">
        <f>IF(AND(ISNUMBER(C42),ISNUMBER(D42),ISNUMBER(G42)),SUM(C42,D42,G42),"")</f>
        <v>0</v>
      </c>
      <c r="I42" s="375">
        <f t="shared" ref="I42:M43" si="173">IF((ISNUMBER(T42)),T42,"")</f>
        <v>0</v>
      </c>
      <c r="J42" s="375">
        <f t="shared" si="173"/>
        <v>0</v>
      </c>
      <c r="K42" s="375">
        <f t="shared" si="173"/>
        <v>0</v>
      </c>
      <c r="L42" s="375">
        <f t="shared" si="173"/>
        <v>0</v>
      </c>
      <c r="M42" s="375">
        <f t="shared" si="173"/>
        <v>0</v>
      </c>
      <c r="N42" s="212">
        <v>0</v>
      </c>
      <c r="O42" s="212">
        <v>0</v>
      </c>
      <c r="P42" s="212">
        <v>0</v>
      </c>
      <c r="Q42" s="212"/>
      <c r="R42" s="155">
        <v>0</v>
      </c>
      <c r="S42" s="375">
        <f>IF(AND(ISNUMBER(N42),ISNUMBER(O42),ISNUMBER(R42)),SUM(N42,O42,R42),"")</f>
        <v>0</v>
      </c>
      <c r="T42" s="495">
        <v>0</v>
      </c>
      <c r="U42" s="212">
        <v>0</v>
      </c>
      <c r="V42" s="155">
        <v>0</v>
      </c>
      <c r="W42" s="375">
        <f t="shared" ref="W42:W43" si="174">IF(AND(ISNUMBER(T42),ISNUMBER(U42),ISNUMBER(V42)),SUM(T42:V42), "")</f>
        <v>0</v>
      </c>
      <c r="X42" s="495">
        <v>0</v>
      </c>
      <c r="Y42" s="212">
        <v>0</v>
      </c>
      <c r="Z42" s="298"/>
      <c r="AA42" s="298"/>
      <c r="AB42" s="298"/>
      <c r="AC42" s="298"/>
      <c r="AD42" s="316"/>
      <c r="AE42" s="298"/>
      <c r="AF42" s="298"/>
      <c r="AG42" s="298"/>
      <c r="AH42" s="298"/>
      <c r="AI42" s="298"/>
      <c r="AJ42" s="298"/>
      <c r="AK42" s="298"/>
      <c r="AL42" s="208">
        <v>0</v>
      </c>
      <c r="AM42" s="208">
        <v>0</v>
      </c>
      <c r="AN42" s="2540">
        <v>0</v>
      </c>
      <c r="AO42" s="2540">
        <v>0</v>
      </c>
      <c r="AP42" s="375">
        <f t="shared" si="153"/>
        <v>0</v>
      </c>
      <c r="AQ42" s="375">
        <f t="shared" si="153"/>
        <v>0</v>
      </c>
      <c r="AR42" s="375">
        <f t="shared" si="153"/>
        <v>0</v>
      </c>
      <c r="AS42" s="375">
        <f t="shared" si="153"/>
        <v>0</v>
      </c>
      <c r="AT42" s="375">
        <f t="shared" si="153"/>
        <v>0</v>
      </c>
      <c r="AU42" s="375">
        <f t="shared" si="150"/>
        <v>0</v>
      </c>
      <c r="AV42" s="375">
        <f t="shared" si="154"/>
        <v>0</v>
      </c>
      <c r="AW42" s="375">
        <f t="shared" si="154"/>
        <v>0</v>
      </c>
      <c r="AX42" s="375">
        <f t="shared" si="154"/>
        <v>0</v>
      </c>
      <c r="AY42" s="375">
        <f t="shared" si="154"/>
        <v>0</v>
      </c>
      <c r="AZ42" s="375">
        <f t="shared" si="154"/>
        <v>0</v>
      </c>
      <c r="BA42" s="212">
        <v>0</v>
      </c>
      <c r="BB42" s="212">
        <v>0</v>
      </c>
      <c r="BC42" s="212">
        <v>0</v>
      </c>
      <c r="BD42" s="212">
        <v>0</v>
      </c>
      <c r="BE42" s="155">
        <v>0</v>
      </c>
      <c r="BF42" s="375">
        <f>IF(AND(ISNUMBER(BA42), ISNUMBER(BB42), ISNUMBER(BE42)), SUM(BA42,BB42,BE42), "")</f>
        <v>0</v>
      </c>
      <c r="BG42" s="2536">
        <v>0</v>
      </c>
      <c r="BH42" s="2540">
        <v>0</v>
      </c>
      <c r="BI42" s="2540">
        <v>0</v>
      </c>
      <c r="BJ42" s="626">
        <f>IF(AND(ISNUMBER(BG42),ISNUMBER(BH42),ISNUMBER(BI42)),SUM(BG42:BI42), "")</f>
        <v>0</v>
      </c>
      <c r="BK42" s="212">
        <v>0</v>
      </c>
      <c r="BL42" s="212">
        <v>0</v>
      </c>
      <c r="BM42" s="2528">
        <v>0</v>
      </c>
      <c r="BN42" s="2528">
        <v>0</v>
      </c>
      <c r="BO42" s="2528">
        <v>0</v>
      </c>
      <c r="BP42" s="2528">
        <v>0</v>
      </c>
      <c r="BQ42" s="2528">
        <v>0</v>
      </c>
      <c r="BR42" s="375">
        <f>IF(AND(ISNUMBER(BM42), ISNUMBER(BN42), ISNUMBER(BQ42)), SUM(BM42,BN42,BQ42), "")</f>
        <v>0</v>
      </c>
      <c r="BS42" s="2537">
        <v>0</v>
      </c>
      <c r="BT42" s="2528">
        <v>0</v>
      </c>
      <c r="BU42" s="2528">
        <v>0</v>
      </c>
      <c r="BV42" s="626">
        <f>IF(AND(ISNUMBER(BS42),ISNUMBER(BT42),ISNUMBER(BU42)),SUM(BS42:BU42), "")</f>
        <v>0</v>
      </c>
      <c r="BW42" s="2540">
        <v>0</v>
      </c>
      <c r="BX42" s="2540">
        <v>0</v>
      </c>
      <c r="BY42" s="212"/>
      <c r="BZ42" s="2540">
        <v>0</v>
      </c>
      <c r="CA42" s="2540">
        <v>0</v>
      </c>
      <c r="CB42" s="2540">
        <v>0</v>
      </c>
      <c r="CC42" s="2540">
        <v>0</v>
      </c>
      <c r="CD42" s="2540">
        <v>0</v>
      </c>
      <c r="CE42" s="375">
        <f>IF($C$7="No", 0, IF(AND(ISNUMBER(BZ42),ISNUMBER(CA42),ISNUMBER(CD42)),SUM(BZ42,CA42,CD42),""))</f>
        <v>0</v>
      </c>
      <c r="CF42" s="2540">
        <v>0</v>
      </c>
      <c r="CG42" s="2540">
        <v>0</v>
      </c>
      <c r="CH42" s="2540">
        <v>0</v>
      </c>
      <c r="CI42" s="139">
        <f>IF($C$7="No", 0, IF(AND(ISNUMBER(CF42), ISNUMBER(CG42), ISNUMBER(CH42)), SUM(CF42:CH42), ""))</f>
        <v>0</v>
      </c>
      <c r="CJ42" s="614" t="str">
        <f t="shared" si="145"/>
        <v/>
      </c>
      <c r="CK42" s="319"/>
      <c r="CL42" s="2527">
        <v>0</v>
      </c>
      <c r="CM42" s="2527">
        <v>0</v>
      </c>
      <c r="CN42" s="2527">
        <v>0</v>
      </c>
      <c r="CO42" s="208">
        <v>0</v>
      </c>
      <c r="CP42" s="208">
        <v>0</v>
      </c>
      <c r="CQ42" s="208">
        <v>0</v>
      </c>
      <c r="CR42" s="352" t="str">
        <f t="shared" si="146"/>
        <v>Pass</v>
      </c>
      <c r="CS42" s="356" t="str">
        <f t="shared" si="147"/>
        <v>Pass</v>
      </c>
      <c r="CT42" s="1898" t="str">
        <f>IF(AND(OR('General Info'!$C$19="Yes",'General Info'!$D$19="Yes"),ISNUMBER(CO42),ISNUMBER(CP42),ISNUMBER(CU42)),CO42-CP42+CU42,"")</f>
        <v/>
      </c>
      <c r="CU42" s="208"/>
      <c r="CV42" s="208"/>
      <c r="CW42" s="1899" t="str">
        <f>IF(AND(OR('General Info'!$C$19="Yes",'General Info'!$D$19="Yes"),ISNUMBER(AU42),ISNUMBER(CE42)),SUM(AU42,CE42),"")</f>
        <v/>
      </c>
      <c r="CX42" s="1899" t="str">
        <f>IF(AND(OR('General Info'!$C$19="Yes",'General Info'!$D$19="Yes"),ISNUMBER(AQ42),ISNUMBER(CA42)),SUM(AQ42,CA42),"")</f>
        <v/>
      </c>
      <c r="CY42" s="138"/>
      <c r="CZ42" s="1514"/>
    </row>
    <row r="43" spans="1:104" ht="15" customHeight="1" x14ac:dyDescent="0.35">
      <c r="A43" s="263"/>
      <c r="B43" s="219" t="s">
        <v>895</v>
      </c>
      <c r="C43" s="375">
        <f t="shared" si="172"/>
        <v>437001.0818714354</v>
      </c>
      <c r="D43" s="375">
        <f t="shared" si="172"/>
        <v>0</v>
      </c>
      <c r="E43" s="375">
        <f t="shared" si="172"/>
        <v>0</v>
      </c>
      <c r="F43" s="375" t="str">
        <f t="shared" si="172"/>
        <v/>
      </c>
      <c r="G43" s="375">
        <f t="shared" si="172"/>
        <v>0</v>
      </c>
      <c r="H43" s="375">
        <f>IF(AND(ISNUMBER(C43),ISNUMBER(D43),ISNUMBER(G43)),SUM(C43,D43,G43),"")</f>
        <v>437001.0818714354</v>
      </c>
      <c r="I43" s="375">
        <f t="shared" si="173"/>
        <v>104385.87685548617</v>
      </c>
      <c r="J43" s="375">
        <f t="shared" si="173"/>
        <v>0</v>
      </c>
      <c r="K43" s="375">
        <f t="shared" si="173"/>
        <v>0</v>
      </c>
      <c r="L43" s="375">
        <f t="shared" si="173"/>
        <v>104385.87685548617</v>
      </c>
      <c r="M43" s="375">
        <f t="shared" si="173"/>
        <v>20255.157822899928</v>
      </c>
      <c r="N43" s="210">
        <v>437001.0818714354</v>
      </c>
      <c r="O43" s="210">
        <v>0</v>
      </c>
      <c r="P43" s="210">
        <v>0</v>
      </c>
      <c r="Q43" s="210"/>
      <c r="R43" s="237">
        <v>0</v>
      </c>
      <c r="S43" s="375">
        <f>IF(AND(ISNUMBER(N43),ISNUMBER(O43),ISNUMBER(R43)),SUM(N43,O43,R43),"")</f>
        <v>437001.0818714354</v>
      </c>
      <c r="T43" s="307">
        <v>104385.87685548617</v>
      </c>
      <c r="U43" s="210">
        <v>0</v>
      </c>
      <c r="V43" s="237">
        <v>0</v>
      </c>
      <c r="W43" s="375">
        <f t="shared" si="174"/>
        <v>104385.87685548617</v>
      </c>
      <c r="X43" s="307">
        <v>20255.157822899928</v>
      </c>
      <c r="Y43" s="210">
        <v>16968.016246699997</v>
      </c>
      <c r="Z43" s="298"/>
      <c r="AA43" s="298"/>
      <c r="AB43" s="298"/>
      <c r="AC43" s="298"/>
      <c r="AD43" s="316"/>
      <c r="AE43" s="298"/>
      <c r="AF43" s="298"/>
      <c r="AG43" s="298"/>
      <c r="AH43" s="298"/>
      <c r="AI43" s="298"/>
      <c r="AJ43" s="298"/>
      <c r="AK43" s="298"/>
      <c r="AL43" s="208">
        <v>1924.7123100009223</v>
      </c>
      <c r="AM43" s="208">
        <v>29654.085540000007</v>
      </c>
      <c r="AN43" s="2540">
        <v>0</v>
      </c>
      <c r="AO43" s="2540">
        <v>0</v>
      </c>
      <c r="AP43" s="375">
        <f t="shared" si="153"/>
        <v>437001.08187142981</v>
      </c>
      <c r="AQ43" s="375">
        <f t="shared" si="153"/>
        <v>0</v>
      </c>
      <c r="AR43" s="375">
        <f t="shared" si="153"/>
        <v>0</v>
      </c>
      <c r="AS43" s="375">
        <f t="shared" si="153"/>
        <v>0</v>
      </c>
      <c r="AT43" s="375">
        <f t="shared" si="153"/>
        <v>0</v>
      </c>
      <c r="AU43" s="375">
        <f t="shared" si="150"/>
        <v>437001.08187142981</v>
      </c>
      <c r="AV43" s="375">
        <f t="shared" si="154"/>
        <v>162623.32138807798</v>
      </c>
      <c r="AW43" s="375">
        <f t="shared" si="154"/>
        <v>0</v>
      </c>
      <c r="AX43" s="375">
        <f t="shared" si="154"/>
        <v>0</v>
      </c>
      <c r="AY43" s="375">
        <f t="shared" si="154"/>
        <v>162623.32138807798</v>
      </c>
      <c r="AZ43" s="375">
        <f t="shared" si="154"/>
        <v>23296.531512848524</v>
      </c>
      <c r="BA43" s="208">
        <v>437001.08187142981</v>
      </c>
      <c r="BB43" s="208">
        <v>0</v>
      </c>
      <c r="BC43" s="208">
        <v>0</v>
      </c>
      <c r="BD43" s="208">
        <v>0</v>
      </c>
      <c r="BE43" s="138">
        <v>0</v>
      </c>
      <c r="BF43" s="375">
        <f>IF(AND(ISNUMBER(BA43), ISNUMBER(BB43), ISNUMBER(BE43)), SUM(BA43,BB43,BE43), "")</f>
        <v>437001.08187142981</v>
      </c>
      <c r="BG43" s="299">
        <v>162623.32138807798</v>
      </c>
      <c r="BH43" s="208">
        <v>0</v>
      </c>
      <c r="BI43" s="208">
        <v>0</v>
      </c>
      <c r="BJ43" s="375">
        <f>IF(AND(ISNUMBER(BG43),ISNUMBER(BH43),ISNUMBER(BI43)),SUM(BG43:BI43), "")</f>
        <v>162623.32138807798</v>
      </c>
      <c r="BK43" s="208">
        <v>23296.531512848524</v>
      </c>
      <c r="BL43" s="208">
        <v>16968.016246699997</v>
      </c>
      <c r="BM43" s="2528">
        <v>0</v>
      </c>
      <c r="BN43" s="2528">
        <v>0</v>
      </c>
      <c r="BO43" s="2528">
        <v>0</v>
      </c>
      <c r="BP43" s="2528">
        <v>0</v>
      </c>
      <c r="BQ43" s="2528">
        <v>0</v>
      </c>
      <c r="BR43" s="375">
        <f>IF(AND(ISNUMBER(BM43), ISNUMBER(BN43), ISNUMBER(BQ43)), SUM(BM43,BN43,BQ43), "")</f>
        <v>0</v>
      </c>
      <c r="BS43" s="2537">
        <v>0</v>
      </c>
      <c r="BT43" s="2528">
        <v>0</v>
      </c>
      <c r="BU43" s="2528">
        <v>0</v>
      </c>
      <c r="BV43" s="375">
        <f>IF(AND(ISNUMBER(BS43),ISNUMBER(BT43),ISNUMBER(BU43)),SUM(BS43:BU43), "")</f>
        <v>0</v>
      </c>
      <c r="BW43" s="2540">
        <v>0</v>
      </c>
      <c r="BX43" s="2540">
        <v>0</v>
      </c>
      <c r="BY43" s="208"/>
      <c r="BZ43" s="2540">
        <v>0</v>
      </c>
      <c r="CA43" s="2540">
        <v>0</v>
      </c>
      <c r="CB43" s="2540">
        <v>0</v>
      </c>
      <c r="CC43" s="2540">
        <v>0</v>
      </c>
      <c r="CD43" s="2540">
        <v>0</v>
      </c>
      <c r="CE43" s="375">
        <f>IF($C$7="No", 0, IF(AND(ISNUMBER(BZ43),ISNUMBER(CA43),ISNUMBER(CD43)),SUM(BZ43,CA43,CD43),""))</f>
        <v>0</v>
      </c>
      <c r="CF43" s="2540">
        <v>0</v>
      </c>
      <c r="CG43" s="2540">
        <v>0</v>
      </c>
      <c r="CH43" s="2540">
        <v>0</v>
      </c>
      <c r="CI43" s="139">
        <f>IF($C$7="No", 0, IF(AND(ISNUMBER(CF43), ISNUMBER(CG43), ISNUMBER(CH43)), SUM(CF43:CH43), ""))</f>
        <v>0</v>
      </c>
      <c r="CJ43" s="614" t="str">
        <f t="shared" si="145"/>
        <v/>
      </c>
      <c r="CK43" s="319"/>
      <c r="CL43" s="2528">
        <v>0</v>
      </c>
      <c r="CM43" s="2528">
        <v>0</v>
      </c>
      <c r="CN43" s="2528">
        <v>0</v>
      </c>
      <c r="CO43" s="208">
        <v>405422.28402139893</v>
      </c>
      <c r="CP43" s="208">
        <v>0</v>
      </c>
      <c r="CQ43" s="208">
        <v>311949.8992257592</v>
      </c>
      <c r="CR43" s="352" t="str">
        <f t="shared" si="146"/>
        <v>Pass</v>
      </c>
      <c r="CS43" s="356" t="str">
        <f t="shared" si="147"/>
        <v>Pass</v>
      </c>
      <c r="CT43" s="1898" t="str">
        <f>IF(AND(OR('General Info'!$C$19="Yes",'General Info'!$D$19="Yes"),ISNUMBER(CO43),ISNUMBER(CP43),ISNUMBER(CU43)),CO43-CP43+CU43,"")</f>
        <v/>
      </c>
      <c r="CU43" s="208"/>
      <c r="CV43" s="208"/>
      <c r="CW43" s="1899" t="str">
        <f>IF(AND(OR('General Info'!$C$19="Yes",'General Info'!$D$19="Yes"),ISNUMBER(AU43),ISNUMBER(CE43)),SUM(AU43,CE43),"")</f>
        <v/>
      </c>
      <c r="CX43" s="1899" t="str">
        <f>IF(AND(OR('General Info'!$C$19="Yes",'General Info'!$D$19="Yes"),ISNUMBER(AQ43),ISNUMBER(CA43)),SUM(AQ43,CA43),"")</f>
        <v/>
      </c>
      <c r="CY43" s="138"/>
      <c r="CZ43" s="1514"/>
    </row>
    <row r="44" spans="1:104" ht="15" customHeight="1" x14ac:dyDescent="0.35">
      <c r="A44" s="263"/>
      <c r="B44" s="323" t="s">
        <v>896</v>
      </c>
      <c r="C44" s="375">
        <f t="shared" ref="C44:R44" si="175">IF(AND(ISNUMBER(C45),ISNUMBER(C48)),SUM(C45,C48),"")</f>
        <v>4047247.525029581</v>
      </c>
      <c r="D44" s="375">
        <f t="shared" si="175"/>
        <v>299.9623972</v>
      </c>
      <c r="E44" s="375">
        <f t="shared" si="175"/>
        <v>0</v>
      </c>
      <c r="F44" s="375" t="str">
        <f t="shared" si="175"/>
        <v/>
      </c>
      <c r="G44" s="375">
        <f t="shared" si="175"/>
        <v>574055.77818093088</v>
      </c>
      <c r="H44" s="375">
        <f t="shared" si="175"/>
        <v>4621603.2656077119</v>
      </c>
      <c r="I44" s="375">
        <f t="shared" ref="I44" si="176">IF(AND(ISNUMBER(I45),ISNUMBER(I48)),SUM(I45,I48),"")</f>
        <v>1278392.6634741072</v>
      </c>
      <c r="J44" s="375">
        <f t="shared" ref="J44" si="177">IF(AND(ISNUMBER(J45),ISNUMBER(J48)),SUM(J45,J48),"")</f>
        <v>88.18724610000001</v>
      </c>
      <c r="K44" s="375">
        <f t="shared" ref="K44" si="178">IF(AND(ISNUMBER(K45),ISNUMBER(K48)),SUM(K45,K48),"")</f>
        <v>129157.8927676982</v>
      </c>
      <c r="L44" s="375">
        <f t="shared" si="175"/>
        <v>1407638.7434879055</v>
      </c>
      <c r="M44" s="375">
        <f t="shared" si="175"/>
        <v>156128.11033550024</v>
      </c>
      <c r="N44" s="375">
        <f t="shared" si="175"/>
        <v>4047247.525029581</v>
      </c>
      <c r="O44" s="375">
        <f t="shared" si="175"/>
        <v>299.9623972</v>
      </c>
      <c r="P44" s="375">
        <f t="shared" si="175"/>
        <v>0</v>
      </c>
      <c r="Q44" s="375" t="str">
        <f t="shared" si="175"/>
        <v/>
      </c>
      <c r="R44" s="375">
        <f t="shared" si="175"/>
        <v>574055.77818093088</v>
      </c>
      <c r="S44" s="375">
        <f t="shared" ref="S44:Y44" si="179">IF(AND(ISNUMBER(S45),ISNUMBER(S48)),SUM(S45,S48),"")</f>
        <v>4621603.2656077119</v>
      </c>
      <c r="T44" s="375">
        <f t="shared" si="179"/>
        <v>1278392.6634741072</v>
      </c>
      <c r="U44" s="375">
        <f t="shared" si="179"/>
        <v>88.18724610000001</v>
      </c>
      <c r="V44" s="375">
        <f t="shared" si="179"/>
        <v>129157.8927676982</v>
      </c>
      <c r="W44" s="375">
        <f t="shared" si="179"/>
        <v>1407638.7434879055</v>
      </c>
      <c r="X44" s="375">
        <f t="shared" si="179"/>
        <v>156128.11033550024</v>
      </c>
      <c r="Y44" s="375">
        <f t="shared" si="179"/>
        <v>119781.81013090035</v>
      </c>
      <c r="Z44" s="298"/>
      <c r="AA44" s="298"/>
      <c r="AB44" s="298"/>
      <c r="AC44" s="298"/>
      <c r="AD44" s="316"/>
      <c r="AE44" s="298"/>
      <c r="AF44" s="298"/>
      <c r="AG44" s="298"/>
      <c r="AH44" s="298"/>
      <c r="AI44" s="298"/>
      <c r="AJ44" s="298"/>
      <c r="AK44" s="298"/>
      <c r="AL44" s="169">
        <f>+AL45+AL48</f>
        <v>18700.859899989013</v>
      </c>
      <c r="AM44" s="169">
        <v>130844.28886000028</v>
      </c>
      <c r="AN44" s="2540">
        <v>0</v>
      </c>
      <c r="AO44" s="2540">
        <v>0</v>
      </c>
      <c r="AP44" s="375">
        <f t="shared" si="153"/>
        <v>4047247.5250294534</v>
      </c>
      <c r="AQ44" s="375">
        <f t="shared" si="153"/>
        <v>299.9623972</v>
      </c>
      <c r="AR44" s="375">
        <f t="shared" si="153"/>
        <v>0</v>
      </c>
      <c r="AS44" s="375">
        <f t="shared" si="153"/>
        <v>0</v>
      </c>
      <c r="AT44" s="375">
        <f t="shared" si="153"/>
        <v>434539.30438683135</v>
      </c>
      <c r="AU44" s="375">
        <f t="shared" si="150"/>
        <v>4482086.7918134853</v>
      </c>
      <c r="AV44" s="375">
        <f t="shared" si="154"/>
        <v>1653797.549650491</v>
      </c>
      <c r="AW44" s="375">
        <f t="shared" si="154"/>
        <v>109.45458782998107</v>
      </c>
      <c r="AX44" s="375">
        <f t="shared" si="154"/>
        <v>65585.024401869334</v>
      </c>
      <c r="AY44" s="375">
        <f t="shared" si="154"/>
        <v>1719492.0286401904</v>
      </c>
      <c r="AZ44" s="375">
        <f t="shared" si="154"/>
        <v>165745.12634036966</v>
      </c>
      <c r="BA44" s="375">
        <f>IF(AND(ISNUMBER(BA45),ISNUMBER(BA48)),SUM(BA45,BA48),"")</f>
        <v>4047247.5250294534</v>
      </c>
      <c r="BB44" s="375">
        <f t="shared" ref="BB44:BF44" si="180">IF(AND(ISNUMBER(BB45),ISNUMBER(BB48)),SUM(BB45,BB48),"")</f>
        <v>299.9623972</v>
      </c>
      <c r="BC44" s="375">
        <f t="shared" si="180"/>
        <v>0</v>
      </c>
      <c r="BD44" s="375">
        <f t="shared" si="180"/>
        <v>0</v>
      </c>
      <c r="BE44" s="375">
        <f t="shared" si="180"/>
        <v>434539.30438683135</v>
      </c>
      <c r="BF44" s="718">
        <f t="shared" si="180"/>
        <v>4482086.7918134853</v>
      </c>
      <c r="BG44" s="375">
        <f t="shared" ref="BG44:BM44" si="181">IF(AND(ISNUMBER(BG45),ISNUMBER(BG48)),SUM(BG45,BG48),"")</f>
        <v>1653797.549650491</v>
      </c>
      <c r="BH44" s="375">
        <f t="shared" si="181"/>
        <v>109.45458782998107</v>
      </c>
      <c r="BI44" s="375">
        <f t="shared" si="181"/>
        <v>65585.024401869334</v>
      </c>
      <c r="BJ44" s="375">
        <f t="shared" si="181"/>
        <v>1719492.0286401904</v>
      </c>
      <c r="BK44" s="375">
        <f t="shared" si="181"/>
        <v>165745.12634036966</v>
      </c>
      <c r="BL44" s="375">
        <f t="shared" si="181"/>
        <v>119781.81013090035</v>
      </c>
      <c r="BM44" s="375">
        <f t="shared" si="181"/>
        <v>0</v>
      </c>
      <c r="BN44" s="375">
        <f t="shared" ref="BN44:BR44" si="182">IF(AND(ISNUMBER(BN45),ISNUMBER(BN48)),SUM(BN45,BN48),"")</f>
        <v>0</v>
      </c>
      <c r="BO44" s="375">
        <f t="shared" si="182"/>
        <v>0</v>
      </c>
      <c r="BP44" s="375">
        <f t="shared" si="182"/>
        <v>0</v>
      </c>
      <c r="BQ44" s="375">
        <f t="shared" si="182"/>
        <v>0</v>
      </c>
      <c r="BR44" s="718">
        <f t="shared" si="182"/>
        <v>0</v>
      </c>
      <c r="BS44" s="375">
        <f t="shared" ref="BS44:BX44" si="183">IF(AND(ISNUMBER(BS45),ISNUMBER(BS48)),SUM(BS45,BS48),"")</f>
        <v>0</v>
      </c>
      <c r="BT44" s="375">
        <f t="shared" si="183"/>
        <v>0</v>
      </c>
      <c r="BU44" s="375">
        <f t="shared" si="183"/>
        <v>0</v>
      </c>
      <c r="BV44" s="375">
        <f t="shared" si="183"/>
        <v>0</v>
      </c>
      <c r="BW44" s="375">
        <f t="shared" si="183"/>
        <v>0</v>
      </c>
      <c r="BX44" s="375">
        <f t="shared" si="183"/>
        <v>0</v>
      </c>
      <c r="BY44" s="375">
        <f>IF($C$7="No", 0, IF(AND(ISNUMBER(BY45), ISNUMBER(BY48)), SUM(BY45,BY48), ""))</f>
        <v>0</v>
      </c>
      <c r="BZ44" s="375">
        <f t="shared" ref="BZ44:CD44" si="184">IF($C$7="No", 0, IF(AND(ISNUMBER(BZ45), ISNUMBER(BZ48)), SUM(BZ45,BZ48), ""))</f>
        <v>0</v>
      </c>
      <c r="CA44" s="375">
        <f t="shared" si="184"/>
        <v>0</v>
      </c>
      <c r="CB44" s="375">
        <f t="shared" si="184"/>
        <v>0</v>
      </c>
      <c r="CC44" s="375">
        <f t="shared" si="184"/>
        <v>0</v>
      </c>
      <c r="CD44" s="375">
        <f t="shared" si="184"/>
        <v>0</v>
      </c>
      <c r="CE44" s="375">
        <f t="shared" ref="CE44:CI44" si="185">IF(AND(ISNUMBER(CE45),ISNUMBER(CE48)),SUM(CE45,CE48),"")</f>
        <v>0</v>
      </c>
      <c r="CF44" s="375">
        <f t="shared" ref="CF44:CH44" si="186">IF($C$7="No", 0, IF(AND(ISNUMBER(CF45), ISNUMBER(CF48)), SUM(CF45,CF48), ""))</f>
        <v>0</v>
      </c>
      <c r="CG44" s="375">
        <f t="shared" si="186"/>
        <v>0</v>
      </c>
      <c r="CH44" s="375">
        <f t="shared" si="186"/>
        <v>0</v>
      </c>
      <c r="CI44" s="139">
        <f t="shared" si="185"/>
        <v>0</v>
      </c>
      <c r="CJ44" s="614" t="str">
        <f t="shared" si="145"/>
        <v/>
      </c>
      <c r="CK44" s="319"/>
      <c r="CL44" s="297">
        <f>IF(AND(ISNUMBER(CL45),ISNUMBER(CL48)),SUM(CL45,CL48),"")</f>
        <v>0</v>
      </c>
      <c r="CM44" s="297">
        <f t="shared" ref="CM44:CQ44" si="187">IF(AND(ISNUMBER(CM45),ISNUMBER(CM48)),SUM(CM45,CM48),"")</f>
        <v>0</v>
      </c>
      <c r="CN44" s="297">
        <f t="shared" si="187"/>
        <v>0</v>
      </c>
      <c r="CO44" s="297">
        <f t="shared" si="187"/>
        <v>4332541.6430533743</v>
      </c>
      <c r="CP44" s="297">
        <f t="shared" si="187"/>
        <v>224.97179789999996</v>
      </c>
      <c r="CQ44" s="297">
        <f t="shared" si="187"/>
        <v>3247448.9630445205</v>
      </c>
      <c r="CR44" s="352" t="str">
        <f t="shared" si="146"/>
        <v>Pass</v>
      </c>
      <c r="CS44" s="356" t="str">
        <f t="shared" si="147"/>
        <v>Pass</v>
      </c>
      <c r="CT44" s="1898" t="str">
        <f t="shared" ref="CT44" si="188">IF(AND(ISNUMBER(CT45),ISNUMBER(CT48)),SUM(CT45,CT48),"")</f>
        <v/>
      </c>
      <c r="CU44" s="297" t="str">
        <f>IF(AND(OR('General Info'!$C$19="Yes",'General Info'!$D$19="Yes"),ISNUMBER(CU45),ISNUMBER(CU48)),SUM(CU45,CU48),"")</f>
        <v/>
      </c>
      <c r="CV44" s="297" t="str">
        <f>IF(AND(OR('General Info'!$C$19="Yes",'General Info'!$D$19="Yes"),ISNUMBER(CV45),ISNUMBER(CV48)),SUM(CV45,CV48),"")</f>
        <v/>
      </c>
      <c r="CW44" s="1899" t="str">
        <f>IF(AND(OR('General Info'!$C$19="Yes",'General Info'!$D$19="Yes"),ISNUMBER(AU44),ISNUMBER(CE44)),SUM(AU44,CE44),"")</f>
        <v/>
      </c>
      <c r="CX44" s="1899" t="str">
        <f>IF(AND(OR('General Info'!$C$19="Yes",'General Info'!$D$19="Yes"),ISNUMBER(AQ44),ISNUMBER(CA44)),SUM(AQ44,CA44),"")</f>
        <v/>
      </c>
      <c r="CY44" s="702" t="str">
        <f>IF(AND(OR('General Info'!$C$19="Yes",'General Info'!$D$19="Yes"),ISNUMBER(CY45),ISNUMBER(CY48)),SUM(CY45,CY48),"")</f>
        <v/>
      </c>
      <c r="CZ44" s="1514"/>
    </row>
    <row r="45" spans="1:104" ht="15" customHeight="1" x14ac:dyDescent="0.35">
      <c r="A45" s="263"/>
      <c r="B45" s="219" t="s">
        <v>897</v>
      </c>
      <c r="C45" s="375">
        <f t="shared" ref="C45:G46" si="189">IF((ISNUMBER(N45)),N45,"")</f>
        <v>3795518.6950120809</v>
      </c>
      <c r="D45" s="375">
        <f t="shared" si="189"/>
        <v>299.9623972</v>
      </c>
      <c r="E45" s="375">
        <f t="shared" si="189"/>
        <v>0</v>
      </c>
      <c r="F45" s="375" t="str">
        <f t="shared" si="189"/>
        <v/>
      </c>
      <c r="G45" s="375">
        <f t="shared" si="189"/>
        <v>574055.77818093088</v>
      </c>
      <c r="H45" s="375">
        <f t="shared" ref="H45:H63" si="190">IF(AND(ISNUMBER(C45),ISNUMBER(D45),ISNUMBER(G45)),SUM(C45,D45,G45),"")</f>
        <v>4369874.4355902122</v>
      </c>
      <c r="I45" s="375">
        <f t="shared" ref="I45:M46" si="191">IF((ISNUMBER(T45)),T45,"")</f>
        <v>1162377.7663493073</v>
      </c>
      <c r="J45" s="375">
        <f t="shared" si="191"/>
        <v>88.18724610000001</v>
      </c>
      <c r="K45" s="375">
        <f t="shared" si="191"/>
        <v>129157.8927676982</v>
      </c>
      <c r="L45" s="375">
        <f t="shared" si="191"/>
        <v>1291623.8463631056</v>
      </c>
      <c r="M45" s="375">
        <f t="shared" si="191"/>
        <v>136689.07901650024</v>
      </c>
      <c r="N45" s="212">
        <v>3795518.6950120809</v>
      </c>
      <c r="O45" s="212">
        <v>299.9623972</v>
      </c>
      <c r="P45" s="212">
        <v>0</v>
      </c>
      <c r="Q45" s="212"/>
      <c r="R45" s="155">
        <v>574055.77818093088</v>
      </c>
      <c r="S45" s="375">
        <f t="shared" ref="S45:S60" si="192">IF(AND(ISNUMBER(N45),ISNUMBER(O45),ISNUMBER(R45)),SUM(N45,O45,R45),"")</f>
        <v>4369874.4355902122</v>
      </c>
      <c r="T45" s="495">
        <v>1162377.7663493073</v>
      </c>
      <c r="U45" s="212">
        <v>88.18724610000001</v>
      </c>
      <c r="V45" s="155">
        <v>129157.8927676982</v>
      </c>
      <c r="W45" s="375">
        <f t="shared" ref="W45:W46" si="193">IF(AND(ISNUMBER(T45),ISNUMBER(U45),ISNUMBER(V45)),SUM(T45:V45), "")</f>
        <v>1291623.8463631056</v>
      </c>
      <c r="X45" s="495">
        <v>136689.07901650024</v>
      </c>
      <c r="Y45" s="212">
        <v>102445.71797940035</v>
      </c>
      <c r="Z45" s="298"/>
      <c r="AA45" s="298"/>
      <c r="AB45" s="298"/>
      <c r="AC45" s="298"/>
      <c r="AD45" s="316"/>
      <c r="AE45" s="298"/>
      <c r="AF45" s="298"/>
      <c r="AG45" s="298"/>
      <c r="AH45" s="298"/>
      <c r="AI45" s="298"/>
      <c r="AJ45" s="298"/>
      <c r="AK45" s="298"/>
      <c r="AL45" s="208">
        <v>16838.035869989013</v>
      </c>
      <c r="AM45" s="208">
        <v>117155.69409000028</v>
      </c>
      <c r="AN45" s="2540">
        <v>0</v>
      </c>
      <c r="AO45" s="2540">
        <v>0</v>
      </c>
      <c r="AP45" s="375">
        <f t="shared" si="153"/>
        <v>3816630.9200564534</v>
      </c>
      <c r="AQ45" s="375">
        <f t="shared" si="153"/>
        <v>299.9623972</v>
      </c>
      <c r="AR45" s="375">
        <f t="shared" si="153"/>
        <v>0</v>
      </c>
      <c r="AS45" s="375">
        <f t="shared" si="153"/>
        <v>0</v>
      </c>
      <c r="AT45" s="375">
        <f t="shared" si="153"/>
        <v>434391.02388483135</v>
      </c>
      <c r="AU45" s="375">
        <f t="shared" si="150"/>
        <v>4251321.906338485</v>
      </c>
      <c r="AV45" s="375">
        <f t="shared" si="154"/>
        <v>1528349.8995780812</v>
      </c>
      <c r="AW45" s="375">
        <f t="shared" si="154"/>
        <v>109.45458782998107</v>
      </c>
      <c r="AX45" s="375">
        <f t="shared" si="154"/>
        <v>65585.024401869334</v>
      </c>
      <c r="AY45" s="375">
        <f t="shared" si="154"/>
        <v>1594044.3785677806</v>
      </c>
      <c r="AZ45" s="375">
        <f t="shared" si="154"/>
        <v>146532.44561711515</v>
      </c>
      <c r="BA45" s="208">
        <v>3816630.9200564534</v>
      </c>
      <c r="BB45" s="208">
        <v>299.9623972</v>
      </c>
      <c r="BC45" s="208">
        <v>0</v>
      </c>
      <c r="BD45" s="208">
        <v>0</v>
      </c>
      <c r="BE45" s="138">
        <v>434391.02388483135</v>
      </c>
      <c r="BF45" s="375">
        <f>IF(AND(ISNUMBER(BA45), ISNUMBER(BB45), ISNUMBER(BE45)), SUM(BA45,BB45,BE45), "")</f>
        <v>4251321.906338485</v>
      </c>
      <c r="BG45" s="299">
        <v>1528349.8995780812</v>
      </c>
      <c r="BH45" s="208">
        <v>109.45458782998107</v>
      </c>
      <c r="BI45" s="208">
        <v>65585.024401869334</v>
      </c>
      <c r="BJ45" s="375">
        <f>IF(AND(ISNUMBER(BG45),ISNUMBER(BH45),ISNUMBER(BI45)),SUM(BG45:BI45), "")</f>
        <v>1594044.3785677806</v>
      </c>
      <c r="BK45" s="208">
        <v>146532.44561711515</v>
      </c>
      <c r="BL45" s="208">
        <v>102445.71797940035</v>
      </c>
      <c r="BM45" s="2528">
        <v>0</v>
      </c>
      <c r="BN45" s="2528">
        <v>0</v>
      </c>
      <c r="BO45" s="2528">
        <v>0</v>
      </c>
      <c r="BP45" s="2528">
        <v>0</v>
      </c>
      <c r="BQ45" s="2528">
        <v>0</v>
      </c>
      <c r="BR45" s="375">
        <f>IF(AND(ISNUMBER(BM45), ISNUMBER(BN45), ISNUMBER(BQ45)), SUM(BM45,BN45,BQ45), "")</f>
        <v>0</v>
      </c>
      <c r="BS45" s="2537">
        <v>0</v>
      </c>
      <c r="BT45" s="2528">
        <v>0</v>
      </c>
      <c r="BU45" s="2528">
        <v>0</v>
      </c>
      <c r="BV45" s="375">
        <f>IF(AND(ISNUMBER(BS45),ISNUMBER(BT45),ISNUMBER(BU45)),SUM(BS45:BU45), "")</f>
        <v>0</v>
      </c>
      <c r="BW45" s="2540">
        <v>0</v>
      </c>
      <c r="BX45" s="2540">
        <v>0</v>
      </c>
      <c r="BY45" s="208"/>
      <c r="BZ45" s="2540">
        <v>0</v>
      </c>
      <c r="CA45" s="2540">
        <v>0</v>
      </c>
      <c r="CB45" s="2540">
        <v>0</v>
      </c>
      <c r="CC45" s="2540">
        <v>0</v>
      </c>
      <c r="CD45" s="2540">
        <v>0</v>
      </c>
      <c r="CE45" s="375">
        <f>IF($C$7="No", 0, IF(AND(ISNUMBER(BZ45),ISNUMBER(CA45),ISNUMBER(CD45)),SUM(BZ45,CA45,CD45),""))</f>
        <v>0</v>
      </c>
      <c r="CF45" s="2540">
        <v>0</v>
      </c>
      <c r="CG45" s="2540">
        <v>0</v>
      </c>
      <c r="CH45" s="2540">
        <v>0</v>
      </c>
      <c r="CI45" s="139">
        <f>IF($C$7="No", 0, IF(AND(ISNUMBER(CF45), ISNUMBER(CG45), ISNUMBER(CH45)), SUM(CF45:CH45), ""))</f>
        <v>0</v>
      </c>
      <c r="CJ45" s="614" t="str">
        <f t="shared" si="145"/>
        <v/>
      </c>
      <c r="CK45" s="319"/>
      <c r="CL45" s="2527">
        <v>0</v>
      </c>
      <c r="CM45" s="2527">
        <v>0</v>
      </c>
      <c r="CN45" s="2527">
        <v>0</v>
      </c>
      <c r="CO45" s="208">
        <v>4109502.1775051742</v>
      </c>
      <c r="CP45" s="208">
        <v>224.97179789999996</v>
      </c>
      <c r="CQ45" s="208">
        <v>3101886.2509455956</v>
      </c>
      <c r="CR45" s="352" t="str">
        <f t="shared" si="146"/>
        <v>Pass</v>
      </c>
      <c r="CS45" s="356" t="str">
        <f t="shared" si="147"/>
        <v>Pass</v>
      </c>
      <c r="CT45" s="1898" t="str">
        <f>IF(AND(OR('General Info'!$C$19="Yes",'General Info'!$D$19="Yes"),ISNUMBER(CO45),ISNUMBER(CP45),ISNUMBER(CU45)),CO45-CP45+CU45,"")</f>
        <v/>
      </c>
      <c r="CU45" s="208"/>
      <c r="CV45" s="208"/>
      <c r="CW45" s="1899" t="str">
        <f>IF(AND(OR('General Info'!$C$19="Yes",'General Info'!$D$19="Yes"),ISNUMBER(AU45),ISNUMBER(CE45)),SUM(AU45,CE45),"")</f>
        <v/>
      </c>
      <c r="CX45" s="1899" t="str">
        <f>IF(AND(OR('General Info'!$C$19="Yes",'General Info'!$D$19="Yes"),ISNUMBER(AQ45),ISNUMBER(CA45)),SUM(AQ45,CA45),"")</f>
        <v/>
      </c>
      <c r="CY45" s="138"/>
      <c r="CZ45" s="1514"/>
    </row>
    <row r="46" spans="1:104" ht="15" customHeight="1" x14ac:dyDescent="0.35">
      <c r="A46" s="263"/>
      <c r="B46" s="407" t="s">
        <v>898</v>
      </c>
      <c r="C46" s="375">
        <f t="shared" si="189"/>
        <v>1240672.0877157387</v>
      </c>
      <c r="D46" s="375">
        <f t="shared" si="189"/>
        <v>129.21352270000003</v>
      </c>
      <c r="E46" s="375">
        <f t="shared" si="189"/>
        <v>0</v>
      </c>
      <c r="F46" s="375" t="str">
        <f t="shared" si="189"/>
        <v/>
      </c>
      <c r="G46" s="375">
        <f t="shared" si="189"/>
        <v>291823.86857170053</v>
      </c>
      <c r="H46" s="375">
        <f t="shared" si="190"/>
        <v>1532625.1698101391</v>
      </c>
      <c r="I46" s="375">
        <f t="shared" si="191"/>
        <v>381147.20923790021</v>
      </c>
      <c r="J46" s="375">
        <f t="shared" si="191"/>
        <v>52.322525999999996</v>
      </c>
      <c r="K46" s="375">
        <f t="shared" si="191"/>
        <v>73060.403262797117</v>
      </c>
      <c r="L46" s="375">
        <f t="shared" si="191"/>
        <v>454259.93502669729</v>
      </c>
      <c r="M46" s="375">
        <f t="shared" si="191"/>
        <v>71647.154184699946</v>
      </c>
      <c r="N46" s="208">
        <v>1240672.0877157387</v>
      </c>
      <c r="O46" s="208">
        <v>129.21352270000003</v>
      </c>
      <c r="P46" s="208">
        <v>0</v>
      </c>
      <c r="Q46" s="208"/>
      <c r="R46" s="138">
        <v>291823.86857170053</v>
      </c>
      <c r="S46" s="375">
        <f t="shared" si="192"/>
        <v>1532625.1698101391</v>
      </c>
      <c r="T46" s="299">
        <v>381147.20923790021</v>
      </c>
      <c r="U46" s="208">
        <v>52.322525999999996</v>
      </c>
      <c r="V46" s="138">
        <v>73060.403262797117</v>
      </c>
      <c r="W46" s="375">
        <f t="shared" si="193"/>
        <v>454259.93502669729</v>
      </c>
      <c r="X46" s="299">
        <v>71647.154184699946</v>
      </c>
      <c r="Y46" s="208">
        <v>53246.367728400226</v>
      </c>
      <c r="Z46" s="298"/>
      <c r="AA46" s="298"/>
      <c r="AB46" s="298"/>
      <c r="AC46" s="298"/>
      <c r="AD46" s="316"/>
      <c r="AE46" s="298"/>
      <c r="AF46" s="298"/>
      <c r="AG46" s="298"/>
      <c r="AH46" s="298"/>
      <c r="AI46" s="298"/>
      <c r="AJ46" s="298"/>
      <c r="AK46" s="298"/>
      <c r="AL46" s="208">
        <v>7512.2308499992687</v>
      </c>
      <c r="AM46" s="208">
        <v>62295.15670000005</v>
      </c>
      <c r="AN46" s="2540">
        <v>0</v>
      </c>
      <c r="AO46" s="2540">
        <v>0</v>
      </c>
      <c r="AP46" s="375">
        <f t="shared" si="153"/>
        <v>1258526.3282125187</v>
      </c>
      <c r="AQ46" s="375">
        <f t="shared" si="153"/>
        <v>129.2135227</v>
      </c>
      <c r="AR46" s="375">
        <f t="shared" si="153"/>
        <v>0</v>
      </c>
      <c r="AS46" s="375">
        <f t="shared" si="153"/>
        <v>0</v>
      </c>
      <c r="AT46" s="375">
        <f t="shared" si="153"/>
        <v>155116.54361857061</v>
      </c>
      <c r="AU46" s="375">
        <f t="shared" si="150"/>
        <v>1413772.0853537892</v>
      </c>
      <c r="AV46" s="375">
        <f t="shared" si="154"/>
        <v>573588.1401718196</v>
      </c>
      <c r="AW46" s="375">
        <f t="shared" si="154"/>
        <v>58.592457653542859</v>
      </c>
      <c r="AX46" s="375">
        <f t="shared" si="154"/>
        <v>41257.748985140468</v>
      </c>
      <c r="AY46" s="375">
        <f t="shared" si="154"/>
        <v>614904.48161461356</v>
      </c>
      <c r="AZ46" s="375">
        <f t="shared" si="154"/>
        <v>75644.402852929605</v>
      </c>
      <c r="BA46" s="208">
        <v>1258526.3282125187</v>
      </c>
      <c r="BB46" s="208">
        <v>129.2135227</v>
      </c>
      <c r="BC46" s="208">
        <v>0</v>
      </c>
      <c r="BD46" s="208">
        <v>0</v>
      </c>
      <c r="BE46" s="138">
        <v>155116.54361857061</v>
      </c>
      <c r="BF46" s="375">
        <f>IF(AND(ISNUMBER(BA46), ISNUMBER(BB46), ISNUMBER(BE46)), SUM(BA46,BB46,BE46), "")</f>
        <v>1413772.0853537892</v>
      </c>
      <c r="BG46" s="299">
        <v>573588.1401718196</v>
      </c>
      <c r="BH46" s="208">
        <v>58.592457653542859</v>
      </c>
      <c r="BI46" s="208">
        <v>41257.748985140468</v>
      </c>
      <c r="BJ46" s="375">
        <f>IF(AND(ISNUMBER(BG46),ISNUMBER(BH46),ISNUMBER(BI46)),SUM(BG46:BI46), "")</f>
        <v>614904.48161461356</v>
      </c>
      <c r="BK46" s="208">
        <v>75644.402852929605</v>
      </c>
      <c r="BL46" s="208">
        <v>53246.367728400226</v>
      </c>
      <c r="BM46" s="2528">
        <v>0</v>
      </c>
      <c r="BN46" s="2528">
        <v>0</v>
      </c>
      <c r="BO46" s="2528">
        <v>0</v>
      </c>
      <c r="BP46" s="2528">
        <v>0</v>
      </c>
      <c r="BQ46" s="2528">
        <v>0</v>
      </c>
      <c r="BR46" s="375">
        <f>IF(AND(ISNUMBER(BM46), ISNUMBER(BN46), ISNUMBER(BQ46)), SUM(BM46,BN46,BQ46), "")</f>
        <v>0</v>
      </c>
      <c r="BS46" s="2537">
        <v>0</v>
      </c>
      <c r="BT46" s="2528">
        <v>0</v>
      </c>
      <c r="BU46" s="2528">
        <v>0</v>
      </c>
      <c r="BV46" s="375">
        <f>IF(AND(ISNUMBER(BS46),ISNUMBER(BT46),ISNUMBER(BU46)),SUM(BS46:BU46), "")</f>
        <v>0</v>
      </c>
      <c r="BW46" s="2540">
        <v>0</v>
      </c>
      <c r="BX46" s="2540">
        <v>0</v>
      </c>
      <c r="BY46" s="208"/>
      <c r="BZ46" s="2540">
        <v>0</v>
      </c>
      <c r="CA46" s="2540">
        <v>0</v>
      </c>
      <c r="CB46" s="2540">
        <v>0</v>
      </c>
      <c r="CC46" s="2540">
        <v>0</v>
      </c>
      <c r="CD46" s="2540">
        <v>0</v>
      </c>
      <c r="CE46" s="375">
        <f>IF($C$7="No", 0, IF(AND(ISNUMBER(BZ46),ISNUMBER(CA46),ISNUMBER(CD46)),SUM(BZ46,CA46,CD46),""))</f>
        <v>0</v>
      </c>
      <c r="CF46" s="2540">
        <v>0</v>
      </c>
      <c r="CG46" s="2540">
        <v>0</v>
      </c>
      <c r="CH46" s="2540">
        <v>0</v>
      </c>
      <c r="CI46" s="139">
        <f>IF($C$7="No", 0, IF(AND(ISNUMBER(CF46), ISNUMBER(CG46), ISNUMBER(CH46)), SUM(CF46:CH46), ""))</f>
        <v>0</v>
      </c>
      <c r="CJ46" s="614" t="str">
        <f t="shared" si="145"/>
        <v/>
      </c>
      <c r="CK46" s="319"/>
      <c r="CL46" s="2528">
        <v>0</v>
      </c>
      <c r="CM46" s="2528">
        <v>0</v>
      </c>
      <c r="CN46" s="2528">
        <v>0</v>
      </c>
      <c r="CO46" s="208">
        <v>1335415.2010773032</v>
      </c>
      <c r="CP46" s="208">
        <v>96.910142024999999</v>
      </c>
      <c r="CQ46" s="208">
        <v>1012400.4451987125</v>
      </c>
      <c r="CR46" s="352" t="str">
        <f t="shared" si="146"/>
        <v>Pass</v>
      </c>
      <c r="CS46" s="356" t="str">
        <f t="shared" si="147"/>
        <v>Pass</v>
      </c>
      <c r="CT46" s="1898" t="str">
        <f>IF(AND(OR('General Info'!$C$19="Yes",'General Info'!$D$19="Yes"),ISNUMBER(CO46),ISNUMBER(CP46),ISNUMBER(CU46)),CO46-CP46+CU46,"")</f>
        <v/>
      </c>
      <c r="CU46" s="208"/>
      <c r="CV46" s="208"/>
      <c r="CW46" s="1899" t="str">
        <f>IF(AND(OR('General Info'!$C$19="Yes",'General Info'!$D$19="Yes"),ISNUMBER(AU46),ISNUMBER(CE46)),SUM(AU46,CE46),"")</f>
        <v/>
      </c>
      <c r="CX46" s="1899" t="str">
        <f>IF(AND(OR('General Info'!$C$19="Yes",'General Info'!$D$19="Yes"),ISNUMBER(AQ46),ISNUMBER(CA46)),SUM(AQ46,CA46),"")</f>
        <v/>
      </c>
      <c r="CY46" s="138"/>
      <c r="CZ46" s="1514"/>
    </row>
    <row r="47" spans="1:104" ht="15" customHeight="1" x14ac:dyDescent="0.35">
      <c r="A47" s="263"/>
      <c r="B47" s="324" t="str">
        <f>"Check: row " &amp; ROW(B46) &amp; " ≤ row " &amp; ROW(B45)</f>
        <v>Check: row 46 ≤ row 45</v>
      </c>
      <c r="C47" s="574"/>
      <c r="D47" s="574"/>
      <c r="E47" s="574"/>
      <c r="F47" s="574"/>
      <c r="G47" s="574"/>
      <c r="H47" s="574"/>
      <c r="I47" s="574"/>
      <c r="J47" s="574"/>
      <c r="K47" s="574"/>
      <c r="L47" s="574"/>
      <c r="M47" s="574"/>
      <c r="N47" s="352" t="str">
        <f t="shared" ref="N47:R47" si="194">IF(AND(ISNUMBER(N46),ISNUMBER(N45)), IF(N46&lt;=N45, "Pass", "Fail"), "")</f>
        <v>Pass</v>
      </c>
      <c r="O47" s="352" t="str">
        <f t="shared" si="194"/>
        <v>Pass</v>
      </c>
      <c r="P47" s="352" t="str">
        <f t="shared" si="194"/>
        <v>Pass</v>
      </c>
      <c r="Q47" s="352" t="str">
        <f t="shared" si="194"/>
        <v/>
      </c>
      <c r="R47" s="352" t="str">
        <f t="shared" si="194"/>
        <v>Pass</v>
      </c>
      <c r="S47" s="574"/>
      <c r="T47" s="352" t="str">
        <f t="shared" ref="T47" si="195">IF(AND(ISNUMBER(T46),ISNUMBER(T45)), IF(T46&lt;=T45, "Pass", "Fail"), "")</f>
        <v>Pass</v>
      </c>
      <c r="U47" s="352" t="str">
        <f t="shared" ref="U47" si="196">IF(AND(ISNUMBER(U46),ISNUMBER(U45)), IF(U46&lt;=U45, "Pass", "Fail"), "")</f>
        <v>Pass</v>
      </c>
      <c r="V47" s="352" t="str">
        <f t="shared" ref="V47" si="197">IF(AND(ISNUMBER(V46),ISNUMBER(V45)), IF(V46&lt;=V45, "Pass", "Fail"), "")</f>
        <v>Pass</v>
      </c>
      <c r="W47" s="574"/>
      <c r="X47" s="352" t="str">
        <f t="shared" ref="X47:Y47" si="198">IF(AND(ISNUMBER(X46),ISNUMBER(X45)), IF(X46&lt;=X45, "Pass", "Fail"), "")</f>
        <v>Pass</v>
      </c>
      <c r="Y47" s="352" t="str">
        <f t="shared" si="198"/>
        <v>Pass</v>
      </c>
      <c r="Z47" s="298"/>
      <c r="AA47" s="298"/>
      <c r="AB47" s="298"/>
      <c r="AC47" s="298"/>
      <c r="AD47" s="316"/>
      <c r="AE47" s="298"/>
      <c r="AF47" s="298"/>
      <c r="AG47" s="298"/>
      <c r="AH47" s="298"/>
      <c r="AI47" s="298"/>
      <c r="AJ47" s="298"/>
      <c r="AK47" s="298"/>
      <c r="AL47" s="352" t="str">
        <f t="shared" ref="AL47:AO47" si="199">IF(AND(ISNUMBER(AL46),ISNUMBER(AL45)), IF(AL46&lt;=AL45, "Pass", "Fail"), "")</f>
        <v>Pass</v>
      </c>
      <c r="AM47" s="352" t="str">
        <f t="shared" si="199"/>
        <v>Pass</v>
      </c>
      <c r="AN47" s="352" t="str">
        <f t="shared" si="199"/>
        <v>Pass</v>
      </c>
      <c r="AO47" s="352" t="str">
        <f t="shared" si="199"/>
        <v>Pass</v>
      </c>
      <c r="AP47" s="574"/>
      <c r="AQ47" s="574"/>
      <c r="AR47" s="574"/>
      <c r="AS47" s="574"/>
      <c r="AT47" s="574"/>
      <c r="AU47" s="574"/>
      <c r="AV47" s="574"/>
      <c r="AW47" s="574"/>
      <c r="AX47" s="574"/>
      <c r="AY47" s="574"/>
      <c r="AZ47" s="574"/>
      <c r="BA47" s="352" t="str">
        <f t="shared" ref="BA47:BE47" si="200">IF(AND(ISNUMBER(BA46),ISNUMBER(BA45)), IF(BA46&lt;=BA45, "Pass", "Fail"), "")</f>
        <v>Pass</v>
      </c>
      <c r="BB47" s="352" t="str">
        <f t="shared" si="200"/>
        <v>Pass</v>
      </c>
      <c r="BC47" s="352" t="str">
        <f t="shared" si="200"/>
        <v>Pass</v>
      </c>
      <c r="BD47" s="352" t="str">
        <f t="shared" si="200"/>
        <v>Pass</v>
      </c>
      <c r="BE47" s="352" t="str">
        <f t="shared" si="200"/>
        <v>Pass</v>
      </c>
      <c r="BF47" s="574"/>
      <c r="BG47" s="352" t="str">
        <f t="shared" ref="BG47" si="201">IF(AND(ISNUMBER(BG46),ISNUMBER(BG45)), IF(BG46&lt;=BG45, "Pass", "Fail"), "")</f>
        <v>Pass</v>
      </c>
      <c r="BH47" s="352" t="str">
        <f t="shared" ref="BH47" si="202">IF(AND(ISNUMBER(BH46),ISNUMBER(BH45)), IF(BH46&lt;=BH45, "Pass", "Fail"), "")</f>
        <v>Pass</v>
      </c>
      <c r="BI47" s="352" t="str">
        <f t="shared" ref="BI47" si="203">IF(AND(ISNUMBER(BI46),ISNUMBER(BI45)), IF(BI46&lt;=BI45, "Pass", "Fail"), "")</f>
        <v>Pass</v>
      </c>
      <c r="BJ47" s="286"/>
      <c r="BK47" s="352" t="str">
        <f t="shared" ref="BK47:BQ47" si="204">IF(AND(ISNUMBER(BK46),ISNUMBER(BK45)), IF(BK46&lt;=BK45, "Pass", "Fail"), "")</f>
        <v>Pass</v>
      </c>
      <c r="BL47" s="352" t="str">
        <f t="shared" si="204"/>
        <v>Pass</v>
      </c>
      <c r="BM47" s="352" t="str">
        <f t="shared" si="204"/>
        <v>Pass</v>
      </c>
      <c r="BN47" s="352" t="str">
        <f t="shared" si="204"/>
        <v>Pass</v>
      </c>
      <c r="BO47" s="352" t="str">
        <f t="shared" si="204"/>
        <v>Pass</v>
      </c>
      <c r="BP47" s="352" t="str">
        <f t="shared" si="204"/>
        <v>Pass</v>
      </c>
      <c r="BQ47" s="352" t="str">
        <f t="shared" si="204"/>
        <v>Pass</v>
      </c>
      <c r="BR47" s="574"/>
      <c r="BS47" s="352" t="str">
        <f t="shared" ref="BS47:BU47" si="205">IF(AND(ISNUMBER(BS46),ISNUMBER(BS45)), IF(BS46&lt;=BS45, "Pass", "Fail"), "")</f>
        <v>Pass</v>
      </c>
      <c r="BT47" s="352" t="str">
        <f t="shared" si="205"/>
        <v>Pass</v>
      </c>
      <c r="BU47" s="352" t="str">
        <f t="shared" si="205"/>
        <v>Pass</v>
      </c>
      <c r="BV47" s="286"/>
      <c r="BW47" s="352" t="str">
        <f t="shared" ref="BW47:BX47" si="206">IF(AND(ISNUMBER(BW46),ISNUMBER(BW45)), IF(BW46&lt;=BW45, "Pass", "Fail"), "")</f>
        <v>Pass</v>
      </c>
      <c r="BX47" s="352" t="str">
        <f t="shared" si="206"/>
        <v>Pass</v>
      </c>
      <c r="BY47" s="352" t="str">
        <f t="shared" ref="BY47:BZ47" si="207">IF(AND(ISNUMBER(BY46),ISNUMBER(BY45)), IF(BY46&lt;=BY45, "Pass", "Fail"), "")</f>
        <v/>
      </c>
      <c r="BZ47" s="352" t="str">
        <f t="shared" si="207"/>
        <v>Pass</v>
      </c>
      <c r="CA47" s="352" t="str">
        <f t="shared" ref="CA47:CD47" si="208">IF(AND(ISNUMBER(CA46),ISNUMBER(CA45)), IF(CA46&lt;=CA45, "Pass", "Fail"), "")</f>
        <v>Pass</v>
      </c>
      <c r="CB47" s="352" t="str">
        <f t="shared" si="208"/>
        <v>Pass</v>
      </c>
      <c r="CC47" s="352" t="str">
        <f t="shared" si="208"/>
        <v>Pass</v>
      </c>
      <c r="CD47" s="352" t="str">
        <f t="shared" si="208"/>
        <v>Pass</v>
      </c>
      <c r="CE47" s="352" t="str">
        <f t="shared" ref="CE47:CI47" si="209">IF(AND(ISNUMBER(CE46),ISNUMBER(CE45)), IF(CE46&lt;=CE45, "Pass", "Fail"), "")</f>
        <v>Pass</v>
      </c>
      <c r="CF47" s="352" t="str">
        <f t="shared" ref="CF47:CH47" si="210">IF(AND(ISNUMBER(CF46),ISNUMBER(CF45)), IF(CF46&lt;=CF45, "Pass", "Fail"), "")</f>
        <v>Pass</v>
      </c>
      <c r="CG47" s="352" t="str">
        <f t="shared" si="210"/>
        <v>Pass</v>
      </c>
      <c r="CH47" s="352" t="str">
        <f t="shared" si="210"/>
        <v>Pass</v>
      </c>
      <c r="CI47" s="356" t="str">
        <f t="shared" si="209"/>
        <v>Pass</v>
      </c>
      <c r="CJ47" s="298"/>
      <c r="CK47" s="319"/>
      <c r="CL47" s="352" t="str">
        <f>IF(AND(ISNUMBER(CL46),ISNUMBER(CL45)), IF(CL46&lt;=CL45, "Pass", "Fail"), "")</f>
        <v>Pass</v>
      </c>
      <c r="CM47" s="582"/>
      <c r="CN47" s="582"/>
      <c r="CO47" s="352" t="str">
        <f t="shared" ref="CO47:CQ47" si="211">IF(AND(ISNUMBER(CO46),ISNUMBER(CO45)), IF(CO46&lt;=CO45, "Pass", "Fail"), "")</f>
        <v>Pass</v>
      </c>
      <c r="CP47" s="352" t="str">
        <f t="shared" si="211"/>
        <v>Pass</v>
      </c>
      <c r="CQ47" s="352" t="str">
        <f t="shared" si="211"/>
        <v>Pass</v>
      </c>
      <c r="CR47" s="582"/>
      <c r="CS47" s="583"/>
      <c r="CT47" s="1903" t="str">
        <f t="shared" ref="CT47:CY47" si="212">IF(AND(ISNUMBER(CT46),ISNUMBER(CT45)), IF(CT46&lt;=CT45, "Pass", "Fail"), "")</f>
        <v/>
      </c>
      <c r="CU47" s="1904" t="str">
        <f t="shared" si="212"/>
        <v/>
      </c>
      <c r="CV47" s="1904" t="str">
        <f t="shared" si="212"/>
        <v/>
      </c>
      <c r="CW47" s="1904" t="str">
        <f t="shared" si="212"/>
        <v/>
      </c>
      <c r="CX47" s="1904" t="str">
        <f t="shared" si="212"/>
        <v/>
      </c>
      <c r="CY47" s="1892" t="str">
        <f t="shared" si="212"/>
        <v/>
      </c>
      <c r="CZ47" s="1514"/>
    </row>
    <row r="48" spans="1:104" ht="15" customHeight="1" x14ac:dyDescent="0.35">
      <c r="A48" s="263"/>
      <c r="B48" s="219" t="s">
        <v>899</v>
      </c>
      <c r="C48" s="375">
        <f t="shared" ref="C48:G49" si="213">IF((ISNUMBER(N48)),N48,"")</f>
        <v>251728.83001750003</v>
      </c>
      <c r="D48" s="375">
        <f t="shared" si="213"/>
        <v>0</v>
      </c>
      <c r="E48" s="375">
        <f t="shared" si="213"/>
        <v>0</v>
      </c>
      <c r="F48" s="375" t="str">
        <f t="shared" si="213"/>
        <v/>
      </c>
      <c r="G48" s="375">
        <f t="shared" si="213"/>
        <v>0</v>
      </c>
      <c r="H48" s="375">
        <f t="shared" si="190"/>
        <v>251728.83001750003</v>
      </c>
      <c r="I48" s="375">
        <f t="shared" ref="I48:M49" si="214">IF((ISNUMBER(T48)),T48,"")</f>
        <v>116014.89712479991</v>
      </c>
      <c r="J48" s="375">
        <f t="shared" si="214"/>
        <v>0</v>
      </c>
      <c r="K48" s="375">
        <f t="shared" si="214"/>
        <v>0</v>
      </c>
      <c r="L48" s="375">
        <f t="shared" si="214"/>
        <v>116014.89712479991</v>
      </c>
      <c r="M48" s="375">
        <f t="shared" si="214"/>
        <v>19439.031319000002</v>
      </c>
      <c r="N48" s="208">
        <v>251728.83001750003</v>
      </c>
      <c r="O48" s="208">
        <v>0</v>
      </c>
      <c r="P48" s="208">
        <v>0</v>
      </c>
      <c r="Q48" s="208"/>
      <c r="R48" s="138">
        <v>0</v>
      </c>
      <c r="S48" s="375">
        <f t="shared" si="192"/>
        <v>251728.83001750003</v>
      </c>
      <c r="T48" s="299">
        <v>116014.89712479991</v>
      </c>
      <c r="U48" s="208">
        <v>0</v>
      </c>
      <c r="V48" s="138">
        <v>0</v>
      </c>
      <c r="W48" s="375">
        <f>IF(AND(ISNUMBER(T48),ISNUMBER(U48),ISNUMBER(V48)),SUM(T48:V48), "")</f>
        <v>116014.89712479991</v>
      </c>
      <c r="X48" s="299">
        <v>19439.031319000002</v>
      </c>
      <c r="Y48" s="208">
        <v>17336.092151500005</v>
      </c>
      <c r="Z48" s="298"/>
      <c r="AA48" s="298"/>
      <c r="AB48" s="298"/>
      <c r="AC48" s="298"/>
      <c r="AD48" s="316"/>
      <c r="AE48" s="298"/>
      <c r="AF48" s="298"/>
      <c r="AG48" s="298"/>
      <c r="AH48" s="298"/>
      <c r="AI48" s="298"/>
      <c r="AJ48" s="298"/>
      <c r="AK48" s="298"/>
      <c r="AL48" s="208">
        <v>1862.8240299999991</v>
      </c>
      <c r="AM48" s="208">
        <v>13688.594769999998</v>
      </c>
      <c r="AN48" s="208">
        <v>0</v>
      </c>
      <c r="AO48" s="2540">
        <v>0</v>
      </c>
      <c r="AP48" s="375">
        <f t="shared" ref="AP48:AT49" si="215">IF(AND(ISNUMBER(BA48),ISNUMBER(BM48)),SUM(BA48,BM48),"")</f>
        <v>230616.60497299989</v>
      </c>
      <c r="AQ48" s="375">
        <f t="shared" si="215"/>
        <v>0</v>
      </c>
      <c r="AR48" s="375">
        <f t="shared" si="215"/>
        <v>0</v>
      </c>
      <c r="AS48" s="375">
        <f t="shared" si="215"/>
        <v>0</v>
      </c>
      <c r="AT48" s="375">
        <f t="shared" si="215"/>
        <v>148.2805019999999</v>
      </c>
      <c r="AU48" s="375">
        <f>IF(AND(ISNUMBER(AP48),ISNUMBER(AQ48),ISNUMBER(AT48)),SUM(AP48,AQ48,AT48),"")</f>
        <v>230764.8854749999</v>
      </c>
      <c r="AV48" s="375">
        <f t="shared" ref="AV48:AZ49" si="216">IF(AND(ISNUMBER(BG48),ISNUMBER(BS48)),SUM(BG48,BS48),"")</f>
        <v>125447.65007240986</v>
      </c>
      <c r="AW48" s="375">
        <f t="shared" si="216"/>
        <v>0</v>
      </c>
      <c r="AX48" s="375">
        <f t="shared" si="216"/>
        <v>0</v>
      </c>
      <c r="AY48" s="375">
        <f t="shared" si="216"/>
        <v>125447.65007240986</v>
      </c>
      <c r="AZ48" s="375">
        <f t="shared" si="216"/>
        <v>19212.680723254503</v>
      </c>
      <c r="BA48" s="208">
        <v>230616.60497299989</v>
      </c>
      <c r="BB48" s="208">
        <v>0</v>
      </c>
      <c r="BC48" s="208">
        <v>0</v>
      </c>
      <c r="BD48" s="208">
        <v>0</v>
      </c>
      <c r="BE48" s="138">
        <v>148.2805019999999</v>
      </c>
      <c r="BF48" s="375">
        <f>IF(AND(ISNUMBER(BA48), ISNUMBER(BB48), ISNUMBER(BE48)), SUM(BA48,BB48,BE48), "")</f>
        <v>230764.8854749999</v>
      </c>
      <c r="BG48" s="299">
        <v>125447.65007240986</v>
      </c>
      <c r="BH48" s="208">
        <v>0</v>
      </c>
      <c r="BI48" s="208">
        <v>0</v>
      </c>
      <c r="BJ48" s="375">
        <f>IF(AND(ISNUMBER(BG48),ISNUMBER(BH48),ISNUMBER(BI48)),SUM(BG48:BI48), "")</f>
        <v>125447.65007240986</v>
      </c>
      <c r="BK48" s="208">
        <v>19212.680723254503</v>
      </c>
      <c r="BL48" s="208">
        <v>17336.092151500005</v>
      </c>
      <c r="BM48" s="2528">
        <v>0</v>
      </c>
      <c r="BN48" s="2528">
        <v>0</v>
      </c>
      <c r="BO48" s="2528">
        <v>0</v>
      </c>
      <c r="BP48" s="2528">
        <v>0</v>
      </c>
      <c r="BQ48" s="2528">
        <v>0</v>
      </c>
      <c r="BR48" s="375">
        <f>IF(AND(ISNUMBER(BM48), ISNUMBER(BN48), ISNUMBER(BQ48)), SUM(BM48,BN48,BQ48), "")</f>
        <v>0</v>
      </c>
      <c r="BS48" s="2537">
        <v>0</v>
      </c>
      <c r="BT48" s="2528">
        <v>0</v>
      </c>
      <c r="BU48" s="2528">
        <v>0</v>
      </c>
      <c r="BV48" s="375">
        <f>IF(AND(ISNUMBER(BS48),ISNUMBER(BT48),ISNUMBER(BU48)),SUM(BS48:BU48), "")</f>
        <v>0</v>
      </c>
      <c r="BW48" s="2540">
        <v>0</v>
      </c>
      <c r="BX48" s="2540">
        <v>0</v>
      </c>
      <c r="BY48" s="208"/>
      <c r="BZ48" s="2540">
        <v>0</v>
      </c>
      <c r="CA48" s="2540">
        <v>0</v>
      </c>
      <c r="CB48" s="2540">
        <v>0</v>
      </c>
      <c r="CC48" s="2540">
        <v>0</v>
      </c>
      <c r="CD48" s="2540">
        <v>0</v>
      </c>
      <c r="CE48" s="375">
        <f>IF($C$7="No", 0, IF(AND(ISNUMBER(BZ48),ISNUMBER(CA48),ISNUMBER(CD48)),SUM(BZ48,CA48,CD48),""))</f>
        <v>0</v>
      </c>
      <c r="CF48" s="2540">
        <v>0</v>
      </c>
      <c r="CG48" s="2540">
        <v>0</v>
      </c>
      <c r="CH48" s="2540">
        <v>0</v>
      </c>
      <c r="CI48" s="139">
        <f>IF($C$7="No", 0, IF(AND(ISNUMBER(CF48), ISNUMBER(CG48), ISNUMBER(CH48)), SUM(CF48:CH48), ""))</f>
        <v>0</v>
      </c>
      <c r="CJ48" s="614" t="str">
        <f>IF(AND(ISNUMBER(CE48), ISNUMBER(CI48)), IF(CE48&lt;&gt;0, CI48/CE48, ""), "")</f>
        <v/>
      </c>
      <c r="CK48" s="319"/>
      <c r="CL48" s="2527">
        <v>0</v>
      </c>
      <c r="CM48" s="2527">
        <v>0</v>
      </c>
      <c r="CN48" s="2527">
        <v>0</v>
      </c>
      <c r="CO48" s="208">
        <v>223039.46554819978</v>
      </c>
      <c r="CP48" s="208">
        <v>0</v>
      </c>
      <c r="CQ48" s="208">
        <v>145562.71209892488</v>
      </c>
      <c r="CR48" s="352" t="str">
        <f>IF(AND(ISNUMBER(CO48), ISNUMBER(AU48), ISNUMBER(CE48)), IF(CO48&gt;= 0.85 * (AU48+CE48), "Pass", "please check"),"")</f>
        <v>Pass</v>
      </c>
      <c r="CS48" s="356" t="str">
        <f>IF(AND(ISNUMBER(AL48),ISNUMBER(AM48),ISNUMBER(AN48),ISNUMBER(AO48),ISNUMBER(AY48), ISNUMBER(AZ48), ISNUMBER(CQ48), ISNUMBER(CI48)), IF(CQ48&gt;=(AY48+12.5*MAX(0,AZ48-(AL48+AM48+AN48+AO48))+CI48), "Pass", "please check"), "")</f>
        <v>please check</v>
      </c>
      <c r="CT48" s="1898" t="str">
        <f>IF(AND(OR('General Info'!$C$19="Yes",'General Info'!$D$19="Yes"),ISNUMBER(CO48),ISNUMBER(CP48),ISNUMBER(CU48)),CO48-CP48+CU48,"")</f>
        <v/>
      </c>
      <c r="CU48" s="208"/>
      <c r="CV48" s="208"/>
      <c r="CW48" s="1899" t="str">
        <f>IF(AND(OR('General Info'!$C$19="Yes",'General Info'!$D$19="Yes"),ISNUMBER(AU48),ISNUMBER(CE48)),SUM(AU48,CE48),"")</f>
        <v/>
      </c>
      <c r="CX48" s="1899" t="str">
        <f>IF(AND(OR('General Info'!$C$19="Yes",'General Info'!$D$19="Yes"),ISNUMBER(AQ48),ISNUMBER(CA48)),SUM(AQ48,CA48),"")</f>
        <v/>
      </c>
      <c r="CY48" s="138"/>
      <c r="CZ48" s="1514"/>
    </row>
    <row r="49" spans="1:104" ht="15" customHeight="1" x14ac:dyDescent="0.35">
      <c r="A49" s="263"/>
      <c r="B49" s="407" t="s">
        <v>898</v>
      </c>
      <c r="C49" s="375">
        <f t="shared" si="213"/>
        <v>209461.33024670006</v>
      </c>
      <c r="D49" s="375">
        <f t="shared" si="213"/>
        <v>0</v>
      </c>
      <c r="E49" s="375">
        <f t="shared" si="213"/>
        <v>0</v>
      </c>
      <c r="F49" s="375" t="str">
        <f t="shared" si="213"/>
        <v/>
      </c>
      <c r="G49" s="375">
        <f t="shared" si="213"/>
        <v>0</v>
      </c>
      <c r="H49" s="375">
        <f t="shared" si="190"/>
        <v>209461.33024670006</v>
      </c>
      <c r="I49" s="375">
        <f t="shared" si="214"/>
        <v>102917.0062222999</v>
      </c>
      <c r="J49" s="375">
        <f t="shared" si="214"/>
        <v>0</v>
      </c>
      <c r="K49" s="375">
        <f t="shared" si="214"/>
        <v>0</v>
      </c>
      <c r="L49" s="375">
        <f t="shared" si="214"/>
        <v>102917.0062222999</v>
      </c>
      <c r="M49" s="375">
        <f t="shared" si="214"/>
        <v>17731.593075100001</v>
      </c>
      <c r="N49" s="208">
        <v>209461.33024670006</v>
      </c>
      <c r="O49" s="208">
        <v>0</v>
      </c>
      <c r="P49" s="208">
        <v>0</v>
      </c>
      <c r="Q49" s="208"/>
      <c r="R49" s="138">
        <v>0</v>
      </c>
      <c r="S49" s="375">
        <f t="shared" si="192"/>
        <v>209461.33024670006</v>
      </c>
      <c r="T49" s="299">
        <v>102917.0062222999</v>
      </c>
      <c r="U49" s="208">
        <v>0</v>
      </c>
      <c r="V49" s="138">
        <v>0</v>
      </c>
      <c r="W49" s="375">
        <f>IF(AND(ISNUMBER(T49),ISNUMBER(U49),ISNUMBER(V49)),SUM(T49:V49), "")</f>
        <v>102917.0062222999</v>
      </c>
      <c r="X49" s="299">
        <v>17731.593075100001</v>
      </c>
      <c r="Y49" s="208">
        <v>15775.023334400006</v>
      </c>
      <c r="Z49" s="298"/>
      <c r="AA49" s="298"/>
      <c r="AB49" s="298"/>
      <c r="AC49" s="298"/>
      <c r="AD49" s="316"/>
      <c r="AE49" s="298"/>
      <c r="AF49" s="298"/>
      <c r="AG49" s="298"/>
      <c r="AH49" s="298"/>
      <c r="AI49" s="298"/>
      <c r="AJ49" s="298"/>
      <c r="AK49" s="298"/>
      <c r="AL49" s="208">
        <v>1700.8137499999991</v>
      </c>
      <c r="AM49" s="208">
        <v>12368.959179999998</v>
      </c>
      <c r="AN49" s="208">
        <v>0</v>
      </c>
      <c r="AO49" s="2540">
        <v>0</v>
      </c>
      <c r="AP49" s="375">
        <f t="shared" si="215"/>
        <v>191607.0897498999</v>
      </c>
      <c r="AQ49" s="375">
        <f t="shared" si="215"/>
        <v>0</v>
      </c>
      <c r="AR49" s="375">
        <f t="shared" si="215"/>
        <v>0</v>
      </c>
      <c r="AS49" s="375">
        <f t="shared" si="215"/>
        <v>0</v>
      </c>
      <c r="AT49" s="375">
        <f t="shared" si="215"/>
        <v>45.072789500000006</v>
      </c>
      <c r="AU49" s="375">
        <f>IF(AND(ISNUMBER(AP49),ISNUMBER(AQ49),ISNUMBER(AT49)),SUM(AP49,AQ49,AT49),"")</f>
        <v>191652.1625393999</v>
      </c>
      <c r="AV49" s="375">
        <f t="shared" si="216"/>
        <v>113833.53599242505</v>
      </c>
      <c r="AW49" s="375">
        <f t="shared" si="216"/>
        <v>0</v>
      </c>
      <c r="AX49" s="375">
        <f t="shared" si="216"/>
        <v>0</v>
      </c>
      <c r="AY49" s="375">
        <f t="shared" si="216"/>
        <v>113833.53599242505</v>
      </c>
      <c r="AZ49" s="375">
        <f t="shared" si="216"/>
        <v>17520.27787071453</v>
      </c>
      <c r="BA49" s="208">
        <v>191607.0897498999</v>
      </c>
      <c r="BB49" s="208">
        <v>0</v>
      </c>
      <c r="BC49" s="208">
        <v>0</v>
      </c>
      <c r="BD49" s="208">
        <v>0</v>
      </c>
      <c r="BE49" s="138">
        <v>45.072789500000006</v>
      </c>
      <c r="BF49" s="375">
        <f>IF(AND(ISNUMBER(BA49), ISNUMBER(BB49), ISNUMBER(BE49)), SUM(BA49,BB49,BE49), "")</f>
        <v>191652.1625393999</v>
      </c>
      <c r="BG49" s="299">
        <v>113833.53599242505</v>
      </c>
      <c r="BH49" s="208">
        <v>0</v>
      </c>
      <c r="BI49" s="208">
        <v>0</v>
      </c>
      <c r="BJ49" s="375">
        <f>IF(AND(ISNUMBER(BG49),ISNUMBER(BH49),ISNUMBER(BI49)),SUM(BG49:BI49), "")</f>
        <v>113833.53599242505</v>
      </c>
      <c r="BK49" s="208">
        <v>17520.27787071453</v>
      </c>
      <c r="BL49" s="208">
        <v>15775.023334400006</v>
      </c>
      <c r="BM49" s="2528">
        <v>0</v>
      </c>
      <c r="BN49" s="2528">
        <v>0</v>
      </c>
      <c r="BO49" s="2528">
        <v>0</v>
      </c>
      <c r="BP49" s="2528">
        <v>0</v>
      </c>
      <c r="BQ49" s="2528">
        <v>0</v>
      </c>
      <c r="BR49" s="375">
        <f>IF(AND(ISNUMBER(BM49), ISNUMBER(BN49), ISNUMBER(BQ49)), SUM(BM49,BN49,BQ49), "")</f>
        <v>0</v>
      </c>
      <c r="BS49" s="2537">
        <v>0</v>
      </c>
      <c r="BT49" s="2528">
        <v>0</v>
      </c>
      <c r="BU49" s="2528">
        <v>0</v>
      </c>
      <c r="BV49" s="375">
        <f>IF(AND(ISNUMBER(BS49),ISNUMBER(BT49),ISNUMBER(BU49)),SUM(BS49:BU49), "")</f>
        <v>0</v>
      </c>
      <c r="BW49" s="2540">
        <v>0</v>
      </c>
      <c r="BX49" s="2540">
        <v>0</v>
      </c>
      <c r="BY49" s="208"/>
      <c r="BZ49" s="2540">
        <v>0</v>
      </c>
      <c r="CA49" s="2540">
        <v>0</v>
      </c>
      <c r="CB49" s="2540">
        <v>0</v>
      </c>
      <c r="CC49" s="2540">
        <v>0</v>
      </c>
      <c r="CD49" s="2540">
        <v>0</v>
      </c>
      <c r="CE49" s="375">
        <f>IF($C$7="No", 0, IF(AND(ISNUMBER(BZ49),ISNUMBER(CA49),ISNUMBER(CD49)),SUM(BZ49,CA49,CD49),""))</f>
        <v>0</v>
      </c>
      <c r="CF49" s="2540">
        <v>0</v>
      </c>
      <c r="CG49" s="2540">
        <v>0</v>
      </c>
      <c r="CH49" s="2540">
        <v>0</v>
      </c>
      <c r="CI49" s="139">
        <f>IF($C$7="No", 0, IF(AND(ISNUMBER(CF49), ISNUMBER(CG49), ISNUMBER(CH49)), SUM(CF49:CH49), ""))</f>
        <v>0</v>
      </c>
      <c r="CJ49" s="614" t="str">
        <f>IF(AND(ISNUMBER(CE49), ISNUMBER(CI49)), IF(CE49&lt;&gt;0, CI49/CE49, ""), "")</f>
        <v/>
      </c>
      <c r="CK49" s="319"/>
      <c r="CL49" s="2528">
        <v>0</v>
      </c>
      <c r="CM49" s="2528">
        <v>0</v>
      </c>
      <c r="CN49" s="2528">
        <v>0</v>
      </c>
      <c r="CO49" s="208">
        <v>184193.83423429981</v>
      </c>
      <c r="CP49" s="208">
        <v>0</v>
      </c>
      <c r="CQ49" s="208">
        <v>120905.7092703549</v>
      </c>
      <c r="CR49" s="352" t="str">
        <f>IF(AND(ISNUMBER(CO49), ISNUMBER(AU49), ISNUMBER(CE49)), IF(CO49&gt;= 0.85 * (AU49+CE49), "Pass", "please check"),"")</f>
        <v>Pass</v>
      </c>
      <c r="CS49" s="356" t="str">
        <f>IF(AND(ISNUMBER(AL49),ISNUMBER(AM49),ISNUMBER(AN49),ISNUMBER(AO49),ISNUMBER(AY49), ISNUMBER(AZ49), ISNUMBER(CQ49), ISNUMBER(CI49)), IF(CQ49&gt;=(AY49+12.5*MAX(0,AZ49-(AL49+AM49+AN49+AO49))+CI49), "Pass", "please check"), "")</f>
        <v>please check</v>
      </c>
      <c r="CT49" s="1898" t="str">
        <f>IF(AND(OR('General Info'!$C$19="Yes",'General Info'!$D$19="Yes"),ISNUMBER(CO49),ISNUMBER(CP49),ISNUMBER(CU49)),CO49-CP49+CU49,"")</f>
        <v/>
      </c>
      <c r="CU49" s="208"/>
      <c r="CV49" s="208"/>
      <c r="CW49" s="1899" t="str">
        <f>IF(AND(OR('General Info'!$C$19="Yes",'General Info'!$D$19="Yes"),ISNUMBER(AU49),ISNUMBER(CE49)),SUM(AU49,CE49),"")</f>
        <v/>
      </c>
      <c r="CX49" s="1899" t="str">
        <f>IF(AND(OR('General Info'!$C$19="Yes",'General Info'!$D$19="Yes"),ISNUMBER(AQ49),ISNUMBER(CA49)),SUM(AQ49,CA49),"")</f>
        <v/>
      </c>
      <c r="CY49" s="138"/>
      <c r="CZ49" s="1514"/>
    </row>
    <row r="50" spans="1:104" ht="15" customHeight="1" x14ac:dyDescent="0.35">
      <c r="A50" s="263"/>
      <c r="B50" s="324" t="str">
        <f>"Check: row " &amp; ROW(B49) &amp; " ≤ row " &amp; ROW(B48)</f>
        <v>Check: row 49 ≤ row 48</v>
      </c>
      <c r="C50" s="533"/>
      <c r="D50" s="533"/>
      <c r="E50" s="533"/>
      <c r="F50" s="533"/>
      <c r="G50" s="533"/>
      <c r="H50" s="574"/>
      <c r="I50" s="533"/>
      <c r="J50" s="533"/>
      <c r="K50" s="533"/>
      <c r="L50" s="574"/>
      <c r="M50" s="533"/>
      <c r="N50" s="352" t="str">
        <f t="shared" ref="N50:R50" si="217">IF(AND(ISNUMBER(N49), ISNUMBER(N48)), IF(N49&lt;=N48, "Pass", "Fail"),"")</f>
        <v>Pass</v>
      </c>
      <c r="O50" s="352" t="str">
        <f t="shared" si="217"/>
        <v>Pass</v>
      </c>
      <c r="P50" s="352" t="str">
        <f t="shared" si="217"/>
        <v>Pass</v>
      </c>
      <c r="Q50" s="352" t="str">
        <f t="shared" si="217"/>
        <v/>
      </c>
      <c r="R50" s="352" t="str">
        <f t="shared" si="217"/>
        <v>Pass</v>
      </c>
      <c r="S50" s="533"/>
      <c r="T50" s="352" t="str">
        <f>IF(AND(ISNUMBER(T49), ISNUMBER(T48)), IF(T49&lt;=T48, "Pass", "Fail"),"")</f>
        <v>Pass</v>
      </c>
      <c r="U50" s="352" t="str">
        <f>IF(AND(ISNUMBER(U49), ISNUMBER(U48)), IF(U49&lt;=U48, "Pass", "Fail"),"")</f>
        <v>Pass</v>
      </c>
      <c r="V50" s="352" t="str">
        <f>IF(AND(ISNUMBER(V49), ISNUMBER(V48)), IF(V49&lt;=V48, "Pass", "Fail"),"")</f>
        <v>Pass</v>
      </c>
      <c r="W50" s="533"/>
      <c r="X50" s="352" t="str">
        <f>IF(AND(ISNUMBER(X49), ISNUMBER(X48)), IF(X49&lt;=X48, "Pass", "Fail"),"")</f>
        <v>Pass</v>
      </c>
      <c r="Y50" s="352" t="str">
        <f>IF(AND(ISNUMBER(Y49), ISNUMBER(Y48)), IF(Y49&lt;=Y48, "Pass", "Fail"),"")</f>
        <v>Pass</v>
      </c>
      <c r="Z50" s="298"/>
      <c r="AA50" s="298"/>
      <c r="AB50" s="298"/>
      <c r="AC50" s="298"/>
      <c r="AD50" s="316"/>
      <c r="AE50" s="298"/>
      <c r="AF50" s="298"/>
      <c r="AG50" s="298"/>
      <c r="AH50" s="298"/>
      <c r="AI50" s="298"/>
      <c r="AJ50" s="298"/>
      <c r="AK50" s="298"/>
      <c r="AL50" s="352" t="str">
        <f>IF(AND(ISNUMBER(AL49), ISNUMBER(AL48)), IF(AL49&lt;=AL48, "Pass", "Fail"),"")</f>
        <v>Pass</v>
      </c>
      <c r="AM50" s="352" t="str">
        <f>IF(AND(ISNUMBER(AM49), ISNUMBER(AM48)), IF(AM49&lt;=AM48, "Pass", "Fail"),"")</f>
        <v>Pass</v>
      </c>
      <c r="AN50" s="352" t="str">
        <f>IF(AND(ISNUMBER(AN49), ISNUMBER(AN48)), IF(AN49&lt;=AN48, "Pass", "Fail"),"")</f>
        <v>Pass</v>
      </c>
      <c r="AO50" s="352" t="str">
        <f>IF(AND(ISNUMBER(AO49), ISNUMBER(AO48)), IF(AO49&lt;=AO48, "Pass", "Fail"),"")</f>
        <v>Pass</v>
      </c>
      <c r="AP50" s="533"/>
      <c r="AQ50" s="533"/>
      <c r="AR50" s="533"/>
      <c r="AS50" s="533"/>
      <c r="AT50" s="533"/>
      <c r="AU50" s="533"/>
      <c r="AV50" s="533"/>
      <c r="AW50" s="533"/>
      <c r="AX50" s="533"/>
      <c r="AY50" s="533"/>
      <c r="AZ50" s="533"/>
      <c r="BA50" s="352" t="str">
        <f t="shared" ref="BA50:BL50" si="218">IF(AND(ISNUMBER(BA49), ISNUMBER(BA48)), IF(BA49&lt;=BA48, "Pass", "Fail"),"")</f>
        <v>Pass</v>
      </c>
      <c r="BB50" s="352" t="str">
        <f t="shared" si="218"/>
        <v>Pass</v>
      </c>
      <c r="BC50" s="352" t="str">
        <f t="shared" si="218"/>
        <v>Pass</v>
      </c>
      <c r="BD50" s="352" t="str">
        <f t="shared" si="218"/>
        <v>Pass</v>
      </c>
      <c r="BE50" s="352" t="str">
        <f t="shared" si="218"/>
        <v>Pass</v>
      </c>
      <c r="BF50" s="533"/>
      <c r="BG50" s="352" t="str">
        <f t="shared" ref="BG50" si="219">IF(AND(ISNUMBER(BG49), ISNUMBER(BG48)), IF(BG49&lt;=BG48, "Pass", "Fail"),"")</f>
        <v>Pass</v>
      </c>
      <c r="BH50" s="352" t="str">
        <f t="shared" ref="BH50" si="220">IF(AND(ISNUMBER(BH49), ISNUMBER(BH48)), IF(BH49&lt;=BH48, "Pass", "Fail"),"")</f>
        <v>Pass</v>
      </c>
      <c r="BI50" s="352" t="str">
        <f t="shared" ref="BI50" si="221">IF(AND(ISNUMBER(BI49), ISNUMBER(BI48)), IF(BI49&lt;=BI48, "Pass", "Fail"),"")</f>
        <v>Pass</v>
      </c>
      <c r="BJ50" s="286"/>
      <c r="BK50" s="352" t="str">
        <f t="shared" si="218"/>
        <v>Pass</v>
      </c>
      <c r="BL50" s="352" t="str">
        <f t="shared" si="218"/>
        <v>Pass</v>
      </c>
      <c r="BM50" s="352" t="str">
        <f t="shared" ref="BM50:BQ50" si="222">IF(AND(ISNUMBER(BM49), ISNUMBER(BM48)), IF(BM49&lt;=BM48, "Pass", "Fail"),"")</f>
        <v>Pass</v>
      </c>
      <c r="BN50" s="352" t="str">
        <f t="shared" si="222"/>
        <v>Pass</v>
      </c>
      <c r="BO50" s="352" t="str">
        <f t="shared" si="222"/>
        <v>Pass</v>
      </c>
      <c r="BP50" s="352" t="str">
        <f t="shared" si="222"/>
        <v>Pass</v>
      </c>
      <c r="BQ50" s="352" t="str">
        <f t="shared" si="222"/>
        <v>Pass</v>
      </c>
      <c r="BR50" s="533"/>
      <c r="BS50" s="352" t="str">
        <f t="shared" ref="BS50:BU50" si="223">IF(AND(ISNUMBER(BS49), ISNUMBER(BS48)), IF(BS49&lt;=BS48, "Pass", "Fail"),"")</f>
        <v>Pass</v>
      </c>
      <c r="BT50" s="352" t="str">
        <f t="shared" si="223"/>
        <v>Pass</v>
      </c>
      <c r="BU50" s="352" t="str">
        <f t="shared" si="223"/>
        <v>Pass</v>
      </c>
      <c r="BV50" s="286"/>
      <c r="BW50" s="352" t="str">
        <f t="shared" ref="BW50:BX50" si="224">IF(AND(ISNUMBER(BW49), ISNUMBER(BW48)), IF(BW49&lt;=BW48, "Pass", "Fail"),"")</f>
        <v>Pass</v>
      </c>
      <c r="BX50" s="352" t="str">
        <f t="shared" si="224"/>
        <v>Pass</v>
      </c>
      <c r="BY50" s="352" t="str">
        <f t="shared" ref="BY50:BZ50" si="225">IF(AND(ISNUMBER(BY49), ISNUMBER(BY48)), IF(BY49&lt;=BY48, "Pass", "Fail"),"")</f>
        <v/>
      </c>
      <c r="BZ50" s="352" t="str">
        <f t="shared" si="225"/>
        <v>Pass</v>
      </c>
      <c r="CA50" s="352" t="str">
        <f t="shared" ref="CA50:CD50" si="226">IF(AND(ISNUMBER(CA49), ISNUMBER(CA48)), IF(CA49&lt;=CA48, "Pass", "Fail"),"")</f>
        <v>Pass</v>
      </c>
      <c r="CB50" s="352" t="str">
        <f t="shared" si="226"/>
        <v>Pass</v>
      </c>
      <c r="CC50" s="352" t="str">
        <f t="shared" si="226"/>
        <v>Pass</v>
      </c>
      <c r="CD50" s="352" t="str">
        <f t="shared" si="226"/>
        <v>Pass</v>
      </c>
      <c r="CE50" s="352" t="str">
        <f t="shared" ref="CE50:CI50" si="227">IF(AND(ISNUMBER(CE49), ISNUMBER(CE48)), IF(CE49&lt;=CE48, "Pass", "Fail"),"")</f>
        <v>Pass</v>
      </c>
      <c r="CF50" s="352" t="str">
        <f t="shared" ref="CF50:CH50" si="228">IF(AND(ISNUMBER(CF49), ISNUMBER(CF48)), IF(CF49&lt;=CF48, "Pass", "Fail"),"")</f>
        <v>Pass</v>
      </c>
      <c r="CG50" s="352" t="str">
        <f t="shared" si="228"/>
        <v>Pass</v>
      </c>
      <c r="CH50" s="352" t="str">
        <f t="shared" si="228"/>
        <v>Pass</v>
      </c>
      <c r="CI50" s="356" t="str">
        <f t="shared" si="227"/>
        <v>Pass</v>
      </c>
      <c r="CJ50" s="298"/>
      <c r="CK50" s="319"/>
      <c r="CL50" s="352" t="str">
        <f>IF(AND(ISNUMBER(CL49), ISNUMBER(CL48)), IF(CL49&lt;=CL48, "Pass", "Fail"),"")</f>
        <v>Pass</v>
      </c>
      <c r="CM50" s="582"/>
      <c r="CN50" s="582"/>
      <c r="CO50" s="352" t="str">
        <f t="shared" ref="CO50" si="229">IF(AND(ISNUMBER(CO49), ISNUMBER(CO48)), IF(CO49&lt;=CO48, "Pass", "Fail"),"")</f>
        <v>Pass</v>
      </c>
      <c r="CP50" s="352" t="str">
        <f t="shared" ref="CP50" si="230">IF(AND(ISNUMBER(CP49), ISNUMBER(CP48)), IF(CP49&lt;=CP48, "Pass", "Fail"),"")</f>
        <v>Pass</v>
      </c>
      <c r="CQ50" s="352" t="str">
        <f t="shared" ref="CQ50" si="231">IF(AND(ISNUMBER(CQ49), ISNUMBER(CQ48)), IF(CQ49&lt;=CQ48, "Pass", "Fail"),"")</f>
        <v>Pass</v>
      </c>
      <c r="CR50" s="582"/>
      <c r="CS50" s="583"/>
      <c r="CT50" s="1903" t="str">
        <f t="shared" ref="CT50:CY50" si="232">IF(AND(ISNUMBER(CT49), ISNUMBER(CT48)), IF(CT49&lt;=CT48, "Pass", "Fail"),"")</f>
        <v/>
      </c>
      <c r="CU50" s="1904" t="str">
        <f t="shared" si="232"/>
        <v/>
      </c>
      <c r="CV50" s="1904" t="str">
        <f t="shared" si="232"/>
        <v/>
      </c>
      <c r="CW50" s="1904" t="str">
        <f t="shared" si="232"/>
        <v/>
      </c>
      <c r="CX50" s="1904" t="str">
        <f t="shared" si="232"/>
        <v/>
      </c>
      <c r="CY50" s="1892" t="str">
        <f t="shared" si="232"/>
        <v/>
      </c>
      <c r="CZ50" s="1514"/>
    </row>
    <row r="51" spans="1:104" ht="15" customHeight="1" x14ac:dyDescent="0.35">
      <c r="A51" s="263"/>
      <c r="B51" s="323" t="s">
        <v>808</v>
      </c>
      <c r="C51" s="375">
        <f t="shared" ref="C51:H51" si="233">IF(AND(ISNUMBER(C52),ISNUMBER(C53),ISNUMBER(C54)),SUM(C52:C54),"")</f>
        <v>234924.02600000001</v>
      </c>
      <c r="D51" s="375">
        <f t="shared" si="233"/>
        <v>0</v>
      </c>
      <c r="E51" s="375">
        <f t="shared" si="233"/>
        <v>0</v>
      </c>
      <c r="F51" s="375" t="str">
        <f t="shared" si="233"/>
        <v/>
      </c>
      <c r="G51" s="375">
        <f t="shared" si="233"/>
        <v>0</v>
      </c>
      <c r="H51" s="375">
        <f t="shared" si="233"/>
        <v>234924.02600000001</v>
      </c>
      <c r="I51" s="375">
        <f>IF(AND(ISNUMBER(I52),ISNUMBER(I53),ISNUMBER(I54)),SUM(I52:I54),"")</f>
        <v>826638.96799999999</v>
      </c>
      <c r="J51" s="375">
        <f t="shared" ref="J51:L51" si="234">IF(AND(ISNUMBER(J52),ISNUMBER(J53),ISNUMBER(J54)),SUM(J52:J54),"")</f>
        <v>0</v>
      </c>
      <c r="K51" s="375">
        <f t="shared" si="234"/>
        <v>0</v>
      </c>
      <c r="L51" s="375">
        <f t="shared" si="234"/>
        <v>826638.96799999999</v>
      </c>
      <c r="M51" s="375">
        <f>IF(AND(ISNUMBER(M52),ISNUMBER(M53),ISNUMBER(M54)),SUM(M52:M54),"")</f>
        <v>4786.5780000000004</v>
      </c>
      <c r="N51" s="298"/>
      <c r="O51" s="298"/>
      <c r="P51" s="298"/>
      <c r="Q51" s="298"/>
      <c r="R51" s="298"/>
      <c r="S51" s="298"/>
      <c r="T51" s="298"/>
      <c r="U51" s="298"/>
      <c r="V51" s="298"/>
      <c r="W51" s="298"/>
      <c r="X51" s="298"/>
      <c r="Y51" s="298"/>
      <c r="Z51" s="298"/>
      <c r="AA51" s="298"/>
      <c r="AB51" s="298"/>
      <c r="AC51" s="298"/>
      <c r="AD51" s="316"/>
      <c r="AE51" s="298"/>
      <c r="AF51" s="298"/>
      <c r="AG51" s="298"/>
      <c r="AH51" s="298"/>
      <c r="AI51" s="298"/>
      <c r="AJ51" s="298"/>
      <c r="AK51" s="298"/>
      <c r="AL51" s="208">
        <v>0</v>
      </c>
      <c r="AM51" s="2540">
        <v>0</v>
      </c>
      <c r="AN51" s="208">
        <v>0</v>
      </c>
      <c r="AO51" s="2540">
        <v>0</v>
      </c>
      <c r="AP51" s="309"/>
      <c r="AQ51" s="309"/>
      <c r="AR51" s="309"/>
      <c r="AS51" s="309"/>
      <c r="AT51" s="309"/>
      <c r="AU51" s="309"/>
      <c r="AV51" s="309"/>
      <c r="AW51" s="309"/>
      <c r="AX51" s="309"/>
      <c r="AY51" s="309"/>
      <c r="AZ51" s="309"/>
      <c r="BA51" s="286"/>
      <c r="BB51" s="286"/>
      <c r="BC51" s="286"/>
      <c r="BD51" s="286"/>
      <c r="BE51" s="286"/>
      <c r="BF51" s="286"/>
      <c r="BG51" s="286"/>
      <c r="BH51" s="286"/>
      <c r="BI51" s="286"/>
      <c r="BJ51" s="286"/>
      <c r="BK51" s="286"/>
      <c r="BL51" s="286"/>
      <c r="BM51" s="298"/>
      <c r="BN51" s="298"/>
      <c r="BO51" s="298"/>
      <c r="BP51" s="298"/>
      <c r="BQ51" s="298"/>
      <c r="BR51" s="298"/>
      <c r="BS51" s="298"/>
      <c r="BT51" s="298"/>
      <c r="BU51" s="298"/>
      <c r="BV51" s="298"/>
      <c r="BW51" s="298"/>
      <c r="BX51" s="298"/>
      <c r="BY51" s="375" t="str">
        <f t="shared" ref="BY51:CD51" si="235">IF(AND(ISNUMBER(BY52),ISNUMBER(BY53),ISNUMBER(BY54)),SUM(BY52:BY54),"")</f>
        <v/>
      </c>
      <c r="BZ51" s="375">
        <f t="shared" si="235"/>
        <v>234924.02600000001</v>
      </c>
      <c r="CA51" s="375">
        <f t="shared" si="235"/>
        <v>0</v>
      </c>
      <c r="CB51" s="375">
        <f t="shared" si="235"/>
        <v>0</v>
      </c>
      <c r="CC51" s="375" t="str">
        <f t="shared" si="235"/>
        <v/>
      </c>
      <c r="CD51" s="375">
        <f t="shared" si="235"/>
        <v>0</v>
      </c>
      <c r="CE51" s="375">
        <f>IF(AND(ISNUMBER(CE52),ISNUMBER(CE53),ISNUMBER(CE54)),SUM(CE52:CE54),"")</f>
        <v>234924.02600000001</v>
      </c>
      <c r="CF51" s="375">
        <f t="shared" ref="CF51:CH51" si="236">IF(AND(ISNUMBER(CF52),ISNUMBER(CF53),ISNUMBER(CF54)),SUM(CF52:CF54),"")</f>
        <v>587310.06500000006</v>
      </c>
      <c r="CG51" s="375">
        <f t="shared" si="236"/>
        <v>0</v>
      </c>
      <c r="CH51" s="375">
        <f t="shared" si="236"/>
        <v>0</v>
      </c>
      <c r="CI51" s="139">
        <f>IF(AND(ISNUMBER(CI52),ISNUMBER(CI53),ISNUMBER(CI54)),SUM(CI52:CI54),"")</f>
        <v>587310.06500000006</v>
      </c>
      <c r="CJ51" s="614">
        <f t="shared" ref="CJ51:CJ63" si="237">IF(AND(ISNUMBER(CE51), ISNUMBER(CI51)), IF(CE51&lt;&gt;0, CI51/CE51, ""), "")</f>
        <v>2.5</v>
      </c>
      <c r="CK51" s="319"/>
      <c r="CL51" s="298"/>
      <c r="CM51" s="298"/>
      <c r="CN51" s="298"/>
      <c r="CO51" s="322">
        <f>IF(ISNUMBER(CE51), CE51, "")</f>
        <v>234924.02600000001</v>
      </c>
      <c r="CP51" s="322">
        <f>IF(ISNUMBER(CA51), CA51, "")</f>
        <v>0</v>
      </c>
      <c r="CQ51" s="322">
        <f>IF(ISNUMBER(CI51), CI51, "")</f>
        <v>587310.06500000006</v>
      </c>
      <c r="CR51" s="582"/>
      <c r="CS51" s="583"/>
      <c r="CT51" s="1898">
        <f>IF(ISNUMBER(CE51), CE51, "")</f>
        <v>234924.02600000001</v>
      </c>
      <c r="CU51" s="322">
        <f>IF(ISNUMBER(CA51), CA51, "")</f>
        <v>0</v>
      </c>
      <c r="CV51" s="322">
        <f>IF(ISNUMBER(CI51), CI51, "")</f>
        <v>587310.06500000006</v>
      </c>
      <c r="CW51" s="1899">
        <f>IF(ISNUMBER(CE51), CE51, "")</f>
        <v>234924.02600000001</v>
      </c>
      <c r="CX51" s="1899">
        <f>IF(ISNUMBER(CA51), CA51, "")</f>
        <v>0</v>
      </c>
      <c r="CY51" s="1533">
        <f>IF(ISNUMBER(CI51), CI51, "")</f>
        <v>587310.06500000006</v>
      </c>
      <c r="CZ51" s="1514"/>
    </row>
    <row r="52" spans="1:104" ht="15" customHeight="1" x14ac:dyDescent="0.35">
      <c r="A52" s="263"/>
      <c r="B52" s="219" t="s">
        <v>809</v>
      </c>
      <c r="C52" s="2527">
        <v>0</v>
      </c>
      <c r="D52" s="2527">
        <v>0</v>
      </c>
      <c r="E52" s="2527">
        <v>0</v>
      </c>
      <c r="F52" s="2527">
        <v>0</v>
      </c>
      <c r="G52" s="2527">
        <v>0</v>
      </c>
      <c r="H52" s="375">
        <f>IF(AND(ISNUMBER(C52),ISNUMBER(D52),ISNUMBER(G52)),SUM(C52,D52,G52),"")</f>
        <v>0</v>
      </c>
      <c r="I52" s="2535">
        <v>0</v>
      </c>
      <c r="J52" s="2535">
        <v>0</v>
      </c>
      <c r="K52" s="2535">
        <v>0</v>
      </c>
      <c r="L52" s="375">
        <f>IF(AND(ISNUMBER(I52),ISNUMBER(J52),ISNUMBER(K52)),SUM(I52:K52), "")</f>
        <v>0</v>
      </c>
      <c r="M52" s="138">
        <v>0</v>
      </c>
      <c r="N52" s="298"/>
      <c r="O52" s="298"/>
      <c r="P52" s="298"/>
      <c r="Q52" s="298"/>
      <c r="R52" s="298"/>
      <c r="S52" s="298"/>
      <c r="T52" s="298"/>
      <c r="U52" s="298"/>
      <c r="V52" s="298"/>
      <c r="W52" s="298"/>
      <c r="X52" s="298"/>
      <c r="Y52" s="298"/>
      <c r="Z52" s="298"/>
      <c r="AA52" s="298"/>
      <c r="AB52" s="298"/>
      <c r="AC52" s="298"/>
      <c r="AD52" s="316"/>
      <c r="AE52" s="298"/>
      <c r="AF52" s="298"/>
      <c r="AG52" s="298"/>
      <c r="AH52" s="298"/>
      <c r="AI52" s="298"/>
      <c r="AJ52" s="298"/>
      <c r="AK52" s="316"/>
      <c r="AL52" s="208">
        <v>0</v>
      </c>
      <c r="AM52" s="2540">
        <v>0</v>
      </c>
      <c r="AN52" s="208">
        <v>0</v>
      </c>
      <c r="AO52" s="2540">
        <v>0</v>
      </c>
      <c r="AP52" s="309"/>
      <c r="AQ52" s="309"/>
      <c r="AR52" s="309"/>
      <c r="AS52" s="309"/>
      <c r="AT52" s="309"/>
      <c r="AU52" s="309"/>
      <c r="AV52" s="309"/>
      <c r="AW52" s="309"/>
      <c r="AX52" s="309"/>
      <c r="AY52" s="309"/>
      <c r="AZ52" s="309"/>
      <c r="BA52" s="286"/>
      <c r="BB52" s="286"/>
      <c r="BC52" s="286"/>
      <c r="BD52" s="286"/>
      <c r="BE52" s="286"/>
      <c r="BF52" s="286"/>
      <c r="BG52" s="286"/>
      <c r="BH52" s="286"/>
      <c r="BI52" s="286"/>
      <c r="BJ52" s="286"/>
      <c r="BK52" s="286"/>
      <c r="BL52" s="286"/>
      <c r="BM52" s="298"/>
      <c r="BN52" s="298"/>
      <c r="BO52" s="298"/>
      <c r="BP52" s="298"/>
      <c r="BQ52" s="298"/>
      <c r="BR52" s="298"/>
      <c r="BS52" s="298"/>
      <c r="BT52" s="298"/>
      <c r="BU52" s="298"/>
      <c r="BV52" s="298"/>
      <c r="BW52" s="298"/>
      <c r="BX52" s="298"/>
      <c r="BY52" s="208"/>
      <c r="BZ52" s="2540">
        <v>0</v>
      </c>
      <c r="CA52" s="2540">
        <v>0</v>
      </c>
      <c r="CB52" s="2540">
        <v>0</v>
      </c>
      <c r="CC52" s="2540">
        <v>0</v>
      </c>
      <c r="CD52" s="2540">
        <v>0</v>
      </c>
      <c r="CE52" s="375">
        <f>IF(AND(ISNUMBER(BZ52),ISNUMBER(CA52),ISNUMBER(CD52)),SUM(BZ52,CA52,CD52),"")</f>
        <v>0</v>
      </c>
      <c r="CF52" s="2540">
        <v>0</v>
      </c>
      <c r="CG52" s="2540">
        <v>0</v>
      </c>
      <c r="CH52" s="2540">
        <v>0</v>
      </c>
      <c r="CI52" s="139">
        <f>IF(AND(ISNUMBER(CF52), ISNUMBER(CG52), ISNUMBER(CH52)), SUM(CF52:CH52), "")</f>
        <v>0</v>
      </c>
      <c r="CJ52" s="614" t="str">
        <f t="shared" si="237"/>
        <v/>
      </c>
      <c r="CK52" s="359" t="str">
        <f>IF(ISNUMBER(CJ52),IF(AND(CJ52&gt;=(Parameters!F340*0.95), CJ52&lt;=(Parameters!F340*1.05)), "Pass", "Fail"),"")</f>
        <v/>
      </c>
      <c r="CL52" s="298"/>
      <c r="CM52" s="298"/>
      <c r="CN52" s="298"/>
      <c r="CO52" s="322">
        <f>IF(ISNUMBER(CE52), CE52, "")</f>
        <v>0</v>
      </c>
      <c r="CP52" s="322">
        <f>IF(ISNUMBER(CA52), CA52, "")</f>
        <v>0</v>
      </c>
      <c r="CQ52" s="322">
        <f>IF(ISNUMBER(CI52), CI52, "")</f>
        <v>0</v>
      </c>
      <c r="CR52" s="582"/>
      <c r="CS52" s="583"/>
      <c r="CT52" s="1898">
        <f t="shared" ref="CT52:CT54" si="238">IF(ISNUMBER(CE52), CE52, "")</f>
        <v>0</v>
      </c>
      <c r="CU52" s="322">
        <f t="shared" ref="CU52:CU54" si="239">IF(ISNUMBER(CA52), CA52, "")</f>
        <v>0</v>
      </c>
      <c r="CV52" s="322">
        <f t="shared" ref="CV52:CV54" si="240">IF(ISNUMBER(CI52), CI52, "")</f>
        <v>0</v>
      </c>
      <c r="CW52" s="1899">
        <f t="shared" ref="CW52:CW54" si="241">IF(ISNUMBER(CE52), CE52, "")</f>
        <v>0</v>
      </c>
      <c r="CX52" s="1899">
        <f t="shared" ref="CX52:CX54" si="242">IF(ISNUMBER(CA52), CA52, "")</f>
        <v>0</v>
      </c>
      <c r="CY52" s="1533">
        <f t="shared" ref="CY52:CY54" si="243">IF(ISNUMBER(CI52), CI52, "")</f>
        <v>0</v>
      </c>
      <c r="CZ52" s="1514"/>
    </row>
    <row r="53" spans="1:104" ht="15" customHeight="1" x14ac:dyDescent="0.35">
      <c r="A53" s="263"/>
      <c r="B53" s="219" t="s">
        <v>810</v>
      </c>
      <c r="C53" s="2528">
        <v>0</v>
      </c>
      <c r="D53" s="2528">
        <v>0</v>
      </c>
      <c r="E53" s="2528">
        <v>0</v>
      </c>
      <c r="F53" s="2528">
        <v>0</v>
      </c>
      <c r="G53" s="2528">
        <v>0</v>
      </c>
      <c r="H53" s="375">
        <f t="shared" ref="H53:H54" si="244">IF(AND(ISNUMBER(C53),ISNUMBER(D53),ISNUMBER(G53)),SUM(C53,D53,G53),"")</f>
        <v>0</v>
      </c>
      <c r="I53" s="2536">
        <v>0</v>
      </c>
      <c r="J53" s="2536">
        <v>0</v>
      </c>
      <c r="K53" s="2536">
        <v>0</v>
      </c>
      <c r="L53" s="375">
        <f t="shared" ref="L53:L54" si="245">IF(AND(ISNUMBER(I53),ISNUMBER(J53),ISNUMBER(K53)),SUM(I53:K53), "")</f>
        <v>0</v>
      </c>
      <c r="M53" s="138">
        <v>0</v>
      </c>
      <c r="N53" s="298"/>
      <c r="O53" s="298"/>
      <c r="P53" s="298"/>
      <c r="Q53" s="298"/>
      <c r="R53" s="298"/>
      <c r="S53" s="298"/>
      <c r="T53" s="298"/>
      <c r="U53" s="298"/>
      <c r="V53" s="298"/>
      <c r="W53" s="298"/>
      <c r="X53" s="298"/>
      <c r="Y53" s="298"/>
      <c r="Z53" s="298"/>
      <c r="AA53" s="298"/>
      <c r="AB53" s="298"/>
      <c r="AC53" s="298"/>
      <c r="AD53" s="316"/>
      <c r="AE53" s="298"/>
      <c r="AF53" s="298"/>
      <c r="AG53" s="298"/>
      <c r="AH53" s="298"/>
      <c r="AI53" s="298"/>
      <c r="AJ53" s="298"/>
      <c r="AK53" s="316"/>
      <c r="AL53" s="208">
        <v>0</v>
      </c>
      <c r="AM53" s="2540">
        <v>0</v>
      </c>
      <c r="AN53" s="208">
        <v>0</v>
      </c>
      <c r="AO53" s="2540">
        <v>0</v>
      </c>
      <c r="AP53" s="309"/>
      <c r="AQ53" s="309"/>
      <c r="AR53" s="309"/>
      <c r="AS53" s="309"/>
      <c r="AT53" s="309"/>
      <c r="AU53" s="309"/>
      <c r="AV53" s="309"/>
      <c r="AW53" s="309"/>
      <c r="AX53" s="309"/>
      <c r="AY53" s="309"/>
      <c r="AZ53" s="309"/>
      <c r="BA53" s="286"/>
      <c r="BB53" s="286"/>
      <c r="BC53" s="286"/>
      <c r="BD53" s="286"/>
      <c r="BE53" s="286"/>
      <c r="BF53" s="286"/>
      <c r="BG53" s="286"/>
      <c r="BH53" s="286"/>
      <c r="BI53" s="286"/>
      <c r="BJ53" s="286"/>
      <c r="BK53" s="286"/>
      <c r="BL53" s="286"/>
      <c r="BM53" s="298"/>
      <c r="BN53" s="298"/>
      <c r="BO53" s="298"/>
      <c r="BP53" s="298"/>
      <c r="BQ53" s="298"/>
      <c r="BR53" s="298"/>
      <c r="BS53" s="298"/>
      <c r="BT53" s="298"/>
      <c r="BU53" s="298"/>
      <c r="BV53" s="298"/>
      <c r="BW53" s="298"/>
      <c r="BX53" s="298"/>
      <c r="BY53" s="208"/>
      <c r="BZ53" s="2540">
        <v>0</v>
      </c>
      <c r="CA53" s="2540">
        <v>0</v>
      </c>
      <c r="CB53" s="2540">
        <v>0</v>
      </c>
      <c r="CC53" s="2540">
        <v>0</v>
      </c>
      <c r="CD53" s="2540">
        <v>0</v>
      </c>
      <c r="CE53" s="375">
        <f t="shared" ref="CE53:CE54" si="246">IF(AND(ISNUMBER(BZ53),ISNUMBER(CA53),ISNUMBER(CD53)),SUM(BZ53,CA53,CD53),"")</f>
        <v>0</v>
      </c>
      <c r="CF53" s="2540">
        <v>0</v>
      </c>
      <c r="CG53" s="2540">
        <v>0</v>
      </c>
      <c r="CH53" s="2540">
        <v>0</v>
      </c>
      <c r="CI53" s="139">
        <f>IF(AND(ISNUMBER(CF53), ISNUMBER(CG53), ISNUMBER(CH53)), SUM(CF53:CH53), "")</f>
        <v>0</v>
      </c>
      <c r="CJ53" s="614" t="str">
        <f t="shared" si="237"/>
        <v/>
      </c>
      <c r="CK53" s="359" t="str">
        <f>IF(ISNUMBER(CJ53),IF(AND(CJ53&gt;=(Parameters!F341*0.95), CJ53&lt;=(Parameters!F341*1.05)), "Pass", "Fail"),"")</f>
        <v/>
      </c>
      <c r="CL53" s="298"/>
      <c r="CM53" s="298"/>
      <c r="CN53" s="298"/>
      <c r="CO53" s="322">
        <f>IF(ISNUMBER(CE53), CE53, "")</f>
        <v>0</v>
      </c>
      <c r="CP53" s="322">
        <f>IF(ISNUMBER(CA53), CA53, "")</f>
        <v>0</v>
      </c>
      <c r="CQ53" s="322">
        <f>IF(ISNUMBER(CI53), CI53, "")</f>
        <v>0</v>
      </c>
      <c r="CR53" s="582"/>
      <c r="CS53" s="583"/>
      <c r="CT53" s="1898">
        <f t="shared" si="238"/>
        <v>0</v>
      </c>
      <c r="CU53" s="322">
        <f t="shared" si="239"/>
        <v>0</v>
      </c>
      <c r="CV53" s="322">
        <f t="shared" si="240"/>
        <v>0</v>
      </c>
      <c r="CW53" s="1899">
        <f t="shared" si="241"/>
        <v>0</v>
      </c>
      <c r="CX53" s="1899">
        <f t="shared" si="242"/>
        <v>0</v>
      </c>
      <c r="CY53" s="1533">
        <f t="shared" si="243"/>
        <v>0</v>
      </c>
      <c r="CZ53" s="1514"/>
    </row>
    <row r="54" spans="1:104" ht="15" customHeight="1" x14ac:dyDescent="0.35">
      <c r="A54" s="263"/>
      <c r="B54" s="219" t="s">
        <v>811</v>
      </c>
      <c r="C54" s="208">
        <v>234924.02600000001</v>
      </c>
      <c r="D54" s="208">
        <v>0</v>
      </c>
      <c r="E54" s="208">
        <v>0</v>
      </c>
      <c r="F54" s="208"/>
      <c r="G54" s="208">
        <v>0</v>
      </c>
      <c r="H54" s="375">
        <f t="shared" si="244"/>
        <v>234924.02600000001</v>
      </c>
      <c r="I54" s="138">
        <v>826638.96799999999</v>
      </c>
      <c r="J54" s="138">
        <v>0</v>
      </c>
      <c r="K54" s="138">
        <v>0</v>
      </c>
      <c r="L54" s="375">
        <f t="shared" si="245"/>
        <v>826638.96799999999</v>
      </c>
      <c r="M54" s="138">
        <v>4786.5780000000004</v>
      </c>
      <c r="N54" s="298"/>
      <c r="O54" s="298"/>
      <c r="P54" s="298"/>
      <c r="Q54" s="298"/>
      <c r="R54" s="298"/>
      <c r="S54" s="298"/>
      <c r="T54" s="298"/>
      <c r="U54" s="298"/>
      <c r="V54" s="298"/>
      <c r="W54" s="298"/>
      <c r="X54" s="298"/>
      <c r="Y54" s="298"/>
      <c r="Z54" s="298"/>
      <c r="AA54" s="298"/>
      <c r="AB54" s="298"/>
      <c r="AC54" s="298"/>
      <c r="AD54" s="316"/>
      <c r="AE54" s="298"/>
      <c r="AF54" s="298"/>
      <c r="AG54" s="298"/>
      <c r="AH54" s="298"/>
      <c r="AI54" s="298"/>
      <c r="AJ54" s="298"/>
      <c r="AK54" s="316"/>
      <c r="AL54" s="208">
        <v>0</v>
      </c>
      <c r="AM54" s="2540">
        <v>0</v>
      </c>
      <c r="AN54" s="208">
        <v>0</v>
      </c>
      <c r="AO54" s="2540">
        <v>0</v>
      </c>
      <c r="AP54" s="309"/>
      <c r="AQ54" s="309"/>
      <c r="AR54" s="309"/>
      <c r="AS54" s="309"/>
      <c r="AT54" s="309"/>
      <c r="AU54" s="309"/>
      <c r="AV54" s="309"/>
      <c r="AW54" s="309"/>
      <c r="AX54" s="309"/>
      <c r="AY54" s="309"/>
      <c r="AZ54" s="309"/>
      <c r="BA54" s="286"/>
      <c r="BB54" s="286"/>
      <c r="BC54" s="286"/>
      <c r="BD54" s="286"/>
      <c r="BE54" s="286"/>
      <c r="BF54" s="286"/>
      <c r="BG54" s="286"/>
      <c r="BH54" s="286"/>
      <c r="BI54" s="286"/>
      <c r="BJ54" s="286"/>
      <c r="BK54" s="286"/>
      <c r="BL54" s="286"/>
      <c r="BM54" s="298"/>
      <c r="BN54" s="298"/>
      <c r="BO54" s="298"/>
      <c r="BP54" s="298"/>
      <c r="BQ54" s="298"/>
      <c r="BR54" s="298"/>
      <c r="BS54" s="298"/>
      <c r="BT54" s="298"/>
      <c r="BU54" s="298"/>
      <c r="BV54" s="298"/>
      <c r="BW54" s="298"/>
      <c r="BX54" s="298"/>
      <c r="BY54" s="208"/>
      <c r="BZ54" s="208">
        <f>+C54</f>
        <v>234924.02600000001</v>
      </c>
      <c r="CA54" s="208">
        <v>0</v>
      </c>
      <c r="CB54" s="208">
        <v>0</v>
      </c>
      <c r="CC54" s="208"/>
      <c r="CD54" s="138">
        <v>0</v>
      </c>
      <c r="CE54" s="375">
        <f t="shared" si="246"/>
        <v>234924.02600000001</v>
      </c>
      <c r="CF54" s="138">
        <f>+BZ54*2.5</f>
        <v>587310.06500000006</v>
      </c>
      <c r="CG54" s="138">
        <v>0</v>
      </c>
      <c r="CH54" s="138">
        <v>0</v>
      </c>
      <c r="CI54" s="139">
        <f>IF(AND(ISNUMBER(CF54), ISNUMBER(CG54), ISNUMBER(CH54)), SUM(CF54:CH54), "")</f>
        <v>587310.06500000006</v>
      </c>
      <c r="CJ54" s="614">
        <f t="shared" si="237"/>
        <v>2.5</v>
      </c>
      <c r="CK54" s="359" t="str">
        <f>IF(ISNUMBER(CJ54),IF(AND(CJ54&gt;=(Parameters!F342*0.95), CJ54&lt;=(Parameters!F342*1.05)), "Pass", "Fail"),"")</f>
        <v>Pass</v>
      </c>
      <c r="CL54" s="298"/>
      <c r="CM54" s="298"/>
      <c r="CN54" s="298"/>
      <c r="CO54" s="322">
        <f>IF(ISNUMBER(CE54), CE54, "")</f>
        <v>234924.02600000001</v>
      </c>
      <c r="CP54" s="322">
        <f>IF(ISNUMBER(CA54), CA54, "")</f>
        <v>0</v>
      </c>
      <c r="CQ54" s="322">
        <f>IF(ISNUMBER(CI54), CI54, "")</f>
        <v>587310.06500000006</v>
      </c>
      <c r="CR54" s="582"/>
      <c r="CS54" s="583"/>
      <c r="CT54" s="1898">
        <f t="shared" si="238"/>
        <v>234924.02600000001</v>
      </c>
      <c r="CU54" s="322">
        <f t="shared" si="239"/>
        <v>0</v>
      </c>
      <c r="CV54" s="322">
        <f t="shared" si="240"/>
        <v>587310.06500000006</v>
      </c>
      <c r="CW54" s="1899">
        <f t="shared" si="241"/>
        <v>234924.02600000001</v>
      </c>
      <c r="CX54" s="1899">
        <f t="shared" si="242"/>
        <v>0</v>
      </c>
      <c r="CY54" s="1533">
        <f t="shared" si="243"/>
        <v>587310.06500000006</v>
      </c>
      <c r="CZ54" s="1514"/>
    </row>
    <row r="55" spans="1:104" ht="15" customHeight="1" x14ac:dyDescent="0.35">
      <c r="A55" s="263"/>
      <c r="B55" s="323" t="s">
        <v>813</v>
      </c>
      <c r="C55" s="375">
        <f t="shared" ref="C55:L55" si="247">IF(AND(ISNUMBER(C56),ISNUMBER(C57)),SUM(C56:C57),"")</f>
        <v>0</v>
      </c>
      <c r="D55" s="375">
        <f t="shared" si="247"/>
        <v>0</v>
      </c>
      <c r="E55" s="375">
        <f t="shared" si="247"/>
        <v>0</v>
      </c>
      <c r="F55" s="375">
        <f t="shared" si="247"/>
        <v>0</v>
      </c>
      <c r="G55" s="375">
        <f t="shared" si="247"/>
        <v>0</v>
      </c>
      <c r="H55" s="375">
        <f>IF(AND(ISNUMBER(H56),ISNUMBER(H57)),SUM(H56:H57),"")</f>
        <v>0</v>
      </c>
      <c r="I55" s="375">
        <f t="shared" ref="I55" si="248">IF(AND(ISNUMBER(I56),ISNUMBER(I57)),SUM(I56:I57),"")</f>
        <v>0</v>
      </c>
      <c r="J55" s="375">
        <f t="shared" ref="J55" si="249">IF(AND(ISNUMBER(J56),ISNUMBER(J57)),SUM(J56:J57),"")</f>
        <v>0</v>
      </c>
      <c r="K55" s="375">
        <f t="shared" ref="K55" si="250">IF(AND(ISNUMBER(K56),ISNUMBER(K57)),SUM(K56:K57),"")</f>
        <v>0</v>
      </c>
      <c r="L55" s="375">
        <f t="shared" si="247"/>
        <v>0</v>
      </c>
      <c r="M55" s="375">
        <f>IF(ISNUMBER(M56), M56,"")</f>
        <v>0</v>
      </c>
      <c r="N55" s="298"/>
      <c r="O55" s="298"/>
      <c r="P55" s="298"/>
      <c r="Q55" s="298"/>
      <c r="R55" s="298"/>
      <c r="S55" s="298"/>
      <c r="T55" s="298"/>
      <c r="U55" s="298"/>
      <c r="V55" s="298"/>
      <c r="W55" s="298"/>
      <c r="X55" s="298"/>
      <c r="Y55" s="298"/>
      <c r="Z55" s="298"/>
      <c r="AA55" s="298"/>
      <c r="AB55" s="298"/>
      <c r="AC55" s="298"/>
      <c r="AD55" s="316"/>
      <c r="AE55" s="298"/>
      <c r="AF55" s="298"/>
      <c r="AG55" s="298"/>
      <c r="AH55" s="298"/>
      <c r="AI55" s="298"/>
      <c r="AJ55" s="298"/>
      <c r="AK55" s="316"/>
      <c r="AL55" s="375">
        <f>IF(ISNUMBER(AL56),AL56,"")</f>
        <v>0</v>
      </c>
      <c r="AM55" s="375">
        <f t="shared" ref="AM55:AO55" si="251">IF(ISNUMBER(AM56),AM56,"")</f>
        <v>0</v>
      </c>
      <c r="AN55" s="375">
        <f t="shared" si="251"/>
        <v>0</v>
      </c>
      <c r="AO55" s="375">
        <f t="shared" si="251"/>
        <v>0</v>
      </c>
      <c r="AP55" s="375">
        <f t="shared" ref="AP55:AY55" si="252">IF(AND(ISNUMBER(AP56),ISNUMBER(AP57) ),SUM(AP56:AP57),"")</f>
        <v>0</v>
      </c>
      <c r="AQ55" s="375">
        <f t="shared" si="252"/>
        <v>0</v>
      </c>
      <c r="AR55" s="375">
        <f t="shared" si="252"/>
        <v>0</v>
      </c>
      <c r="AS55" s="375">
        <f t="shared" si="252"/>
        <v>0</v>
      </c>
      <c r="AT55" s="375">
        <f t="shared" si="252"/>
        <v>0</v>
      </c>
      <c r="AU55" s="375">
        <f t="shared" si="252"/>
        <v>0</v>
      </c>
      <c r="AV55" s="375">
        <f t="shared" ref="AV55" si="253">IF(AND(ISNUMBER(AV56),ISNUMBER(AV57) ),SUM(AV56:AV57),"")</f>
        <v>0</v>
      </c>
      <c r="AW55" s="375">
        <f t="shared" ref="AW55" si="254">IF(AND(ISNUMBER(AW56),ISNUMBER(AW57) ),SUM(AW56:AW57),"")</f>
        <v>0</v>
      </c>
      <c r="AX55" s="375">
        <f t="shared" ref="AX55" si="255">IF(AND(ISNUMBER(AX56),ISNUMBER(AX57) ),SUM(AX56:AX57),"")</f>
        <v>0</v>
      </c>
      <c r="AY55" s="375">
        <f t="shared" si="252"/>
        <v>0</v>
      </c>
      <c r="AZ55" s="375">
        <f>IF(ISNUMBER(AZ56),AZ56,"")</f>
        <v>0</v>
      </c>
      <c r="BA55" s="286"/>
      <c r="BB55" s="286"/>
      <c r="BC55" s="286"/>
      <c r="BD55" s="286"/>
      <c r="BE55" s="286"/>
      <c r="BF55" s="286"/>
      <c r="BG55" s="286"/>
      <c r="BH55" s="286"/>
      <c r="BI55" s="286"/>
      <c r="BJ55" s="286"/>
      <c r="BK55" s="286"/>
      <c r="BL55" s="286"/>
      <c r="BM55" s="286"/>
      <c r="BN55" s="286"/>
      <c r="BO55" s="286"/>
      <c r="BP55" s="286"/>
      <c r="BQ55" s="286"/>
      <c r="BR55" s="286"/>
      <c r="BS55" s="286"/>
      <c r="BT55" s="286"/>
      <c r="BU55" s="286"/>
      <c r="BV55" s="286"/>
      <c r="BW55" s="286"/>
      <c r="BX55" s="286"/>
      <c r="BY55" s="375">
        <f>IF($C$7="No", 0, IF(AND(ISNUMBER(BY56), ISNUMBER(BY57)), SUM(BY56:BY57), ""))</f>
        <v>0</v>
      </c>
      <c r="BZ55" s="375">
        <f t="shared" ref="BZ55:CD55" si="256">IF($C$7="No", 0, IF(AND(ISNUMBER(BZ56), ISNUMBER(BZ57)), SUM(BZ56:BZ57), ""))</f>
        <v>0</v>
      </c>
      <c r="CA55" s="375">
        <f t="shared" si="256"/>
        <v>0</v>
      </c>
      <c r="CB55" s="375">
        <f t="shared" si="256"/>
        <v>0</v>
      </c>
      <c r="CC55" s="375">
        <f t="shared" si="256"/>
        <v>0</v>
      </c>
      <c r="CD55" s="375">
        <f t="shared" si="256"/>
        <v>0</v>
      </c>
      <c r="CE55" s="375">
        <f t="shared" ref="CE55:CI55" si="257">IF(AND(ISNUMBER(CE56),ISNUMBER(CE57) ),SUM(CE56:CE57),"")</f>
        <v>0</v>
      </c>
      <c r="CF55" s="375">
        <f>IF($C$7="No", 0, IF(AND(ISNUMBER(CF56), ISNUMBER(CF57)), SUM(CF56:CF57), ""))</f>
        <v>0</v>
      </c>
      <c r="CG55" s="375">
        <f>IF($C$7="No", 0, IF(AND(ISNUMBER(CG56), ISNUMBER(CG57)), SUM(CG56:CG57), ""))</f>
        <v>0</v>
      </c>
      <c r="CH55" s="375">
        <f>IF($C$7="No", 0, IF(AND(ISNUMBER(CH56), ISNUMBER(CH57)), SUM(CH56:CH57), ""))</f>
        <v>0</v>
      </c>
      <c r="CI55" s="139">
        <f t="shared" si="257"/>
        <v>0</v>
      </c>
      <c r="CJ55" s="614" t="str">
        <f t="shared" si="237"/>
        <v/>
      </c>
      <c r="CK55" s="319"/>
      <c r="CL55" s="322">
        <f t="shared" ref="CL55" si="258">IF(AND(ISNUMBER(CL56),ISNUMBER(CL57) ),SUM(CL56:CL57),"")</f>
        <v>0</v>
      </c>
      <c r="CM55" s="322">
        <f>IF(AND(ISNUMBER(CM56),ISNUMBER(CM57)),SUM(CM56:CM57),"")</f>
        <v>0</v>
      </c>
      <c r="CN55" s="322">
        <f>IF(ISNUMBER(CN56),CN56,"")</f>
        <v>0</v>
      </c>
      <c r="CO55" s="322">
        <f t="shared" ref="CO55:CQ55" si="259">IF(AND(ISNUMBER(CO56),ISNUMBER(CO57) ),SUM(CO56:CO57),"")</f>
        <v>0</v>
      </c>
      <c r="CP55" s="322">
        <f t="shared" si="259"/>
        <v>0</v>
      </c>
      <c r="CQ55" s="322">
        <f t="shared" si="259"/>
        <v>0</v>
      </c>
      <c r="CR55" s="352" t="str">
        <f t="shared" ref="CR55:CR63" si="260">IF(AND(ISNUMBER(CO55), ISNUMBER(AU55), ISNUMBER(CE55)), IF(CO55&gt;= 0.85 * (AU55+CE55), "Pass", "please check"),"")</f>
        <v>Pass</v>
      </c>
      <c r="CS55" s="356" t="str">
        <f t="shared" ref="CS55:CS63" si="261">IF(AND(ISNUMBER(AL55),ISNUMBER(AM55),ISNUMBER(AN55),ISNUMBER(AO55),ISNUMBER(AY55), ISNUMBER(AZ55), ISNUMBER(CQ55), ISNUMBER(CI55)), IF(CQ55&gt;=(AY55+12.5*MAX(0,AZ55-(AL55+AM55+AN55+AO55))+CI55), "Pass", "please check"), "")</f>
        <v>Pass</v>
      </c>
      <c r="CT55" s="1898" t="str">
        <f t="shared" ref="CT55" si="262">IF(AND(ISNUMBER(CT56),ISNUMBER(CT57) ),SUM(CT56:CT57),"")</f>
        <v/>
      </c>
      <c r="CU55" s="322" t="str">
        <f>IF(AND(OR('General Info'!$C$19="Yes",'General Info'!$D$19="Yes"),ISNUMBER(CU56),ISNUMBER(CU57) ),SUM(CU56:CU57),"")</f>
        <v/>
      </c>
      <c r="CV55" s="322" t="str">
        <f>IF(AND(OR('General Info'!$C$19="Yes",'General Info'!$D$19="Yes"),ISNUMBER(CV56),ISNUMBER(CV57) ),SUM(CV56:CV57),"")</f>
        <v/>
      </c>
      <c r="CW55" s="1899" t="str">
        <f>IF(AND(OR('General Info'!$C$19="Yes",'General Info'!$D$19="Yes"),ISNUMBER(AU55),ISNUMBER(CE55)),SUM(AU55,CE55),"")</f>
        <v/>
      </c>
      <c r="CX55" s="1899" t="str">
        <f>IF(AND(OR('General Info'!$C$19="Yes",'General Info'!$D$19="Yes"),ISNUMBER(AQ55),ISNUMBER(CA55)),SUM(AQ55,CA55),"")</f>
        <v/>
      </c>
      <c r="CY55" s="1533" t="str">
        <f>IF(AND(OR('General Info'!$C$19="Yes",'General Info'!$D$19="Yes"),ISNUMBER(CY56),ISNUMBER(CY57) ),SUM(CY56:CY57),"")</f>
        <v/>
      </c>
      <c r="CZ55" s="1514"/>
    </row>
    <row r="56" spans="1:104" ht="15" customHeight="1" x14ac:dyDescent="0.35">
      <c r="A56" s="263"/>
      <c r="B56" s="219" t="s">
        <v>900</v>
      </c>
      <c r="C56" s="212">
        <v>0</v>
      </c>
      <c r="D56" s="2527">
        <v>0</v>
      </c>
      <c r="E56" s="2527">
        <v>0</v>
      </c>
      <c r="F56" s="2527">
        <v>0</v>
      </c>
      <c r="G56" s="2527">
        <v>0</v>
      </c>
      <c r="H56" s="375">
        <f>IF(AND(ISNUMBER(C56),ISNUMBER(D56),ISNUMBER(G56)),SUM(C56,D56,G56),"")</f>
        <v>0</v>
      </c>
      <c r="I56" s="2535">
        <v>0</v>
      </c>
      <c r="J56" s="2535">
        <v>0</v>
      </c>
      <c r="K56" s="2535">
        <v>0</v>
      </c>
      <c r="L56" s="375">
        <f>IF(AND(ISNUMBER(I56),ISNUMBER(J56),ISNUMBER(K56)),SUM(I56:K56), "")</f>
        <v>0</v>
      </c>
      <c r="M56" s="495">
        <v>0</v>
      </c>
      <c r="N56" s="298"/>
      <c r="O56" s="298"/>
      <c r="P56" s="298"/>
      <c r="Q56" s="298"/>
      <c r="R56" s="298"/>
      <c r="S56" s="298"/>
      <c r="T56" s="298"/>
      <c r="U56" s="298"/>
      <c r="V56" s="298"/>
      <c r="W56" s="298"/>
      <c r="X56" s="298"/>
      <c r="Y56" s="298"/>
      <c r="Z56" s="298"/>
      <c r="AA56" s="298"/>
      <c r="AB56" s="298"/>
      <c r="AC56" s="298"/>
      <c r="AD56" s="316"/>
      <c r="AE56" s="298"/>
      <c r="AF56" s="298"/>
      <c r="AG56" s="298"/>
      <c r="AH56" s="298"/>
      <c r="AI56" s="298"/>
      <c r="AJ56" s="298"/>
      <c r="AK56" s="298"/>
      <c r="AL56" s="212">
        <v>0</v>
      </c>
      <c r="AM56" s="2527">
        <v>0</v>
      </c>
      <c r="AN56" s="212">
        <v>0</v>
      </c>
      <c r="AO56" s="212">
        <v>0</v>
      </c>
      <c r="AP56" s="2527">
        <v>0</v>
      </c>
      <c r="AQ56" s="2527">
        <v>0</v>
      </c>
      <c r="AR56" s="2527">
        <v>0</v>
      </c>
      <c r="AS56" s="2527">
        <v>0</v>
      </c>
      <c r="AT56" s="2527">
        <v>0</v>
      </c>
      <c r="AU56" s="375">
        <f>IF(AND(ISNUMBER(AP56),ISNUMBER(AQ56),ISNUMBER(AT56)),SUM(AP56,AQ56,AT56),"")</f>
        <v>0</v>
      </c>
      <c r="AV56" s="495">
        <v>0</v>
      </c>
      <c r="AW56" s="212">
        <v>0</v>
      </c>
      <c r="AX56" s="155">
        <v>0</v>
      </c>
      <c r="AY56" s="375">
        <f>IF(AND(ISNUMBER(AV56),ISNUMBER(AW56),ISNUMBER(AX56)),SUM(AV56:AX56), "")</f>
        <v>0</v>
      </c>
      <c r="AZ56" s="495">
        <v>0</v>
      </c>
      <c r="BA56" s="286"/>
      <c r="BB56" s="286"/>
      <c r="BC56" s="286"/>
      <c r="BD56" s="286"/>
      <c r="BE56" s="286"/>
      <c r="BF56" s="286"/>
      <c r="BG56" s="286"/>
      <c r="BH56" s="286"/>
      <c r="BI56" s="286"/>
      <c r="BJ56" s="286"/>
      <c r="BK56" s="286"/>
      <c r="BL56" s="286"/>
      <c r="BM56" s="298"/>
      <c r="BN56" s="298"/>
      <c r="BO56" s="298"/>
      <c r="BP56" s="298"/>
      <c r="BQ56" s="298"/>
      <c r="BR56" s="298"/>
      <c r="BS56" s="298"/>
      <c r="BT56" s="298"/>
      <c r="BU56" s="298"/>
      <c r="BV56" s="298"/>
      <c r="BW56" s="298"/>
      <c r="BX56" s="533"/>
      <c r="BY56" s="212"/>
      <c r="BZ56" s="2540">
        <v>0</v>
      </c>
      <c r="CA56" s="2540">
        <v>0</v>
      </c>
      <c r="CB56" s="2540">
        <v>0</v>
      </c>
      <c r="CC56" s="2540">
        <v>0</v>
      </c>
      <c r="CD56" s="2540">
        <v>0</v>
      </c>
      <c r="CE56" s="375">
        <f>IF($C$7="No", 0, IF(AND(ISNUMBER(BZ56),ISNUMBER(CA56),ISNUMBER(CD56)),SUM(BZ56,CA56,CD56),""))</f>
        <v>0</v>
      </c>
      <c r="CF56" s="2540">
        <v>0</v>
      </c>
      <c r="CG56" s="2540">
        <v>0</v>
      </c>
      <c r="CH56" s="2540">
        <v>0</v>
      </c>
      <c r="CI56" s="139">
        <f>IF($C$7="No", 0, IF(AND(ISNUMBER(CF56), ISNUMBER(CG56), ISNUMBER(CH56)), SUM(CF56:CH56), ""))</f>
        <v>0</v>
      </c>
      <c r="CJ56" s="614" t="str">
        <f t="shared" si="237"/>
        <v/>
      </c>
      <c r="CK56" s="319"/>
      <c r="CL56" s="2527">
        <v>0</v>
      </c>
      <c r="CM56" s="2527">
        <v>0</v>
      </c>
      <c r="CN56" s="2527">
        <v>0</v>
      </c>
      <c r="CO56" s="2527">
        <v>0</v>
      </c>
      <c r="CP56" s="2527">
        <v>0</v>
      </c>
      <c r="CQ56" s="2527">
        <v>0</v>
      </c>
      <c r="CR56" s="352" t="str">
        <f t="shared" si="260"/>
        <v>Pass</v>
      </c>
      <c r="CS56" s="356" t="str">
        <f t="shared" si="261"/>
        <v>Pass</v>
      </c>
      <c r="CT56" s="1898" t="str">
        <f>IF(AND(OR('General Info'!$C$19="Yes",'General Info'!$D$19="Yes"),ISNUMBER(CO56),ISNUMBER(CP56),ISNUMBER(CU56)),CO56-CP56+CU56,"")</f>
        <v/>
      </c>
      <c r="CU56" s="208"/>
      <c r="CV56" s="208"/>
      <c r="CW56" s="1899" t="str">
        <f>IF(AND(OR('General Info'!$C$19="Yes",'General Info'!$D$19="Yes"),ISNUMBER(AU56),ISNUMBER(CE56)),SUM(AU56,CE56),"")</f>
        <v/>
      </c>
      <c r="CX56" s="1899" t="str">
        <f>IF(AND(OR('General Info'!$C$19="Yes",'General Info'!$D$19="Yes"),ISNUMBER(AQ56),ISNUMBER(CA56)),SUM(AQ56,CA56),"")</f>
        <v/>
      </c>
      <c r="CY56" s="138"/>
      <c r="CZ56" s="1514"/>
    </row>
    <row r="57" spans="1:104" ht="15" customHeight="1" x14ac:dyDescent="0.35">
      <c r="A57" s="263"/>
      <c r="B57" s="219" t="s">
        <v>901</v>
      </c>
      <c r="C57" s="210">
        <v>0</v>
      </c>
      <c r="D57" s="2528">
        <v>0</v>
      </c>
      <c r="E57" s="2528">
        <v>0</v>
      </c>
      <c r="F57" s="2528">
        <v>0</v>
      </c>
      <c r="G57" s="2528">
        <v>0</v>
      </c>
      <c r="H57" s="375">
        <f t="shared" si="190"/>
        <v>0</v>
      </c>
      <c r="I57" s="2536">
        <v>0</v>
      </c>
      <c r="J57" s="2536">
        <v>0</v>
      </c>
      <c r="K57" s="2536">
        <v>0</v>
      </c>
      <c r="L57" s="375">
        <f>IF(AND(ISNUMBER(I57),ISNUMBER(J57),ISNUMBER(K57)),SUM(I57:K57), "")</f>
        <v>0</v>
      </c>
      <c r="M57" s="666"/>
      <c r="N57" s="298"/>
      <c r="O57" s="298"/>
      <c r="P57" s="298"/>
      <c r="Q57" s="298"/>
      <c r="R57" s="298"/>
      <c r="S57" s="298"/>
      <c r="T57" s="298"/>
      <c r="U57" s="298"/>
      <c r="V57" s="298"/>
      <c r="W57" s="298"/>
      <c r="X57" s="298"/>
      <c r="Y57" s="298"/>
      <c r="Z57" s="309"/>
      <c r="AA57" s="309"/>
      <c r="AB57" s="309"/>
      <c r="AC57" s="309"/>
      <c r="AD57" s="667"/>
      <c r="AE57" s="309"/>
      <c r="AF57" s="309"/>
      <c r="AG57" s="309"/>
      <c r="AH57" s="309"/>
      <c r="AI57" s="309"/>
      <c r="AJ57" s="309"/>
      <c r="AK57" s="309"/>
      <c r="AL57" s="298"/>
      <c r="AM57" s="298"/>
      <c r="AN57" s="298"/>
      <c r="AO57" s="298"/>
      <c r="AP57" s="2540">
        <v>0</v>
      </c>
      <c r="AQ57" s="2540">
        <v>0</v>
      </c>
      <c r="AR57" s="2540">
        <v>0</v>
      </c>
      <c r="AS57" s="2540">
        <v>0</v>
      </c>
      <c r="AT57" s="2540">
        <v>0</v>
      </c>
      <c r="AU57" s="375">
        <f>IF(AND(ISNUMBER(AP57),ISNUMBER(AQ57),ISNUMBER(AT57)),SUM(AP57,AQ57,AT57),"")</f>
        <v>0</v>
      </c>
      <c r="AV57" s="307">
        <v>0</v>
      </c>
      <c r="AW57" s="210">
        <v>0</v>
      </c>
      <c r="AX57" s="237">
        <v>0</v>
      </c>
      <c r="AY57" s="375">
        <f>IF(AND(ISNUMBER(AV57),ISNUMBER(AW57),ISNUMBER(AX57)),SUM(AV57:AX57), "")</f>
        <v>0</v>
      </c>
      <c r="AZ57" s="666"/>
      <c r="BA57" s="286"/>
      <c r="BB57" s="286"/>
      <c r="BC57" s="286"/>
      <c r="BD57" s="286"/>
      <c r="BE57" s="286"/>
      <c r="BF57" s="286"/>
      <c r="BG57" s="286"/>
      <c r="BH57" s="286"/>
      <c r="BI57" s="286"/>
      <c r="BJ57" s="286"/>
      <c r="BK57" s="566"/>
      <c r="BL57" s="566"/>
      <c r="BM57" s="298"/>
      <c r="BN57" s="298"/>
      <c r="BO57" s="298"/>
      <c r="BP57" s="298"/>
      <c r="BQ57" s="298"/>
      <c r="BR57" s="298"/>
      <c r="BS57" s="298"/>
      <c r="BT57" s="298"/>
      <c r="BU57" s="298"/>
      <c r="BV57" s="298"/>
      <c r="BW57" s="298"/>
      <c r="BX57" s="309"/>
      <c r="BY57" s="210"/>
      <c r="BZ57" s="2540">
        <v>0</v>
      </c>
      <c r="CA57" s="2540">
        <v>0</v>
      </c>
      <c r="CB57" s="2540">
        <v>0</v>
      </c>
      <c r="CC57" s="2540">
        <v>0</v>
      </c>
      <c r="CD57" s="2540">
        <v>0</v>
      </c>
      <c r="CE57" s="375">
        <f>IF($C$7="No", 0, IF(AND(ISNUMBER(BZ57),ISNUMBER(CA57),ISNUMBER(CD57)),SUM(BZ57,CA57,CD57),""))</f>
        <v>0</v>
      </c>
      <c r="CF57" s="2540">
        <v>0</v>
      </c>
      <c r="CG57" s="2540">
        <v>0</v>
      </c>
      <c r="CH57" s="2540">
        <v>0</v>
      </c>
      <c r="CI57" s="139">
        <f>IF($C$7="No", 0, IF(AND(ISNUMBER(CF57), ISNUMBER(CG57), ISNUMBER(CH57)), SUM(CF57:CH57), ""))</f>
        <v>0</v>
      </c>
      <c r="CJ57" s="614" t="str">
        <f t="shared" si="237"/>
        <v/>
      </c>
      <c r="CK57" s="319"/>
      <c r="CL57" s="2527">
        <v>0</v>
      </c>
      <c r="CM57" s="2527">
        <v>0</v>
      </c>
      <c r="CN57" s="298"/>
      <c r="CO57" s="2528">
        <v>0</v>
      </c>
      <c r="CP57" s="2528">
        <v>0</v>
      </c>
      <c r="CQ57" s="2528">
        <v>0</v>
      </c>
      <c r="CR57" s="352" t="str">
        <f t="shared" si="260"/>
        <v>Pass</v>
      </c>
      <c r="CS57" s="356" t="str">
        <f t="shared" si="261"/>
        <v/>
      </c>
      <c r="CT57" s="1898" t="str">
        <f>IF(AND(OR('General Info'!$C$19="Yes",'General Info'!$D$19="Yes"),ISNUMBER(CO57),ISNUMBER(CP57),ISNUMBER(CU57)),CO57-CP57+CU57,"")</f>
        <v/>
      </c>
      <c r="CU57" s="208"/>
      <c r="CV57" s="208"/>
      <c r="CW57" s="1899" t="str">
        <f>IF(AND(OR('General Info'!$C$19="Yes",'General Info'!$D$19="Yes"),ISNUMBER(AU57),ISNUMBER(CE57)),SUM(AU57,CE57),"")</f>
        <v/>
      </c>
      <c r="CX57" s="1899" t="str">
        <f>IF(AND(OR('General Info'!$C$19="Yes",'General Info'!$D$19="Yes"),ISNUMBER(AQ57),ISNUMBER(CA57)),SUM(AQ57,CA57),"")</f>
        <v/>
      </c>
      <c r="CY57" s="138"/>
      <c r="CZ57" s="1514"/>
    </row>
    <row r="58" spans="1:104" ht="15" customHeight="1" x14ac:dyDescent="0.35">
      <c r="A58" s="263"/>
      <c r="B58" s="323" t="s">
        <v>902</v>
      </c>
      <c r="C58" s="375">
        <f t="shared" ref="C58:H58" si="263">IF(AND(ISNUMBER(C59),ISNUMBER(C60)),SUM(C59:C60),"")</f>
        <v>0</v>
      </c>
      <c r="D58" s="375">
        <f t="shared" si="263"/>
        <v>0</v>
      </c>
      <c r="E58" s="375">
        <f t="shared" si="263"/>
        <v>0</v>
      </c>
      <c r="F58" s="375" t="str">
        <f t="shared" si="263"/>
        <v/>
      </c>
      <c r="G58" s="375">
        <f t="shared" si="263"/>
        <v>0</v>
      </c>
      <c r="H58" s="375">
        <f t="shared" si="263"/>
        <v>0</v>
      </c>
      <c r="I58" s="375">
        <f>IF(AND(ISNUMBER(I59),ISNUMBER(I60)),SUM(I59:I60),"")</f>
        <v>0</v>
      </c>
      <c r="J58" s="375">
        <f>IF(AND(ISNUMBER(J59),ISNUMBER(J60)),SUM(J59:J60),"")</f>
        <v>0</v>
      </c>
      <c r="K58" s="375">
        <f>IF(AND(ISNUMBER(K59),ISNUMBER(K60)),SUM(K59:K60),"")</f>
        <v>0</v>
      </c>
      <c r="L58" s="375">
        <f>IF(AND(ISNUMBER(L59),ISNUMBER(L60)),SUM(L59:L60),"")</f>
        <v>0</v>
      </c>
      <c r="M58" s="375">
        <f>IF(AND(ISNUMBER(M59),ISNUMBER(M60)),SUM(M59:M60),"")</f>
        <v>0</v>
      </c>
      <c r="N58" s="322">
        <f t="shared" ref="N58:S58" si="264">IF(AND(ISNUMBER(N59),ISNUMBER(N60)),SUM(N59:N60),"")</f>
        <v>0</v>
      </c>
      <c r="O58" s="322">
        <f t="shared" si="264"/>
        <v>0</v>
      </c>
      <c r="P58" s="322">
        <f t="shared" si="264"/>
        <v>0</v>
      </c>
      <c r="Q58" s="322" t="str">
        <f t="shared" si="264"/>
        <v/>
      </c>
      <c r="R58" s="322">
        <f t="shared" si="264"/>
        <v>0</v>
      </c>
      <c r="S58" s="322">
        <f t="shared" si="264"/>
        <v>0</v>
      </c>
      <c r="T58" s="693">
        <f t="shared" ref="T58:Y58" si="265">IF(AND(ISNUMBER(T59),ISNUMBER(T60)),SUM(T59:T60),"")</f>
        <v>0</v>
      </c>
      <c r="U58" s="693">
        <f t="shared" si="265"/>
        <v>0</v>
      </c>
      <c r="V58" s="693">
        <f t="shared" si="265"/>
        <v>0</v>
      </c>
      <c r="W58" s="693">
        <f t="shared" si="265"/>
        <v>0</v>
      </c>
      <c r="X58" s="693">
        <f t="shared" si="265"/>
        <v>0</v>
      </c>
      <c r="Y58" s="693">
        <f t="shared" si="265"/>
        <v>0</v>
      </c>
      <c r="Z58" s="375">
        <f t="shared" ref="Z58:AK58" si="266">IF(ISNUMBER(Z59),Z59,"")</f>
        <v>0</v>
      </c>
      <c r="AA58" s="375">
        <f t="shared" si="266"/>
        <v>0</v>
      </c>
      <c r="AB58" s="375">
        <f t="shared" si="266"/>
        <v>0</v>
      </c>
      <c r="AC58" s="375">
        <f t="shared" si="266"/>
        <v>0</v>
      </c>
      <c r="AD58" s="139">
        <f t="shared" si="266"/>
        <v>0</v>
      </c>
      <c r="AE58" s="375">
        <f>IF(AND(ISNUMBER(Z58),ISNUMBER(AA58),ISNUMBER(AD58)),SUM(Z58,AA58,AD58),"")</f>
        <v>0</v>
      </c>
      <c r="AF58" s="375">
        <f t="shared" si="266"/>
        <v>0</v>
      </c>
      <c r="AG58" s="375">
        <f t="shared" si="266"/>
        <v>0</v>
      </c>
      <c r="AH58" s="375">
        <f t="shared" si="266"/>
        <v>0</v>
      </c>
      <c r="AI58" s="375">
        <f t="shared" si="266"/>
        <v>0</v>
      </c>
      <c r="AJ58" s="375">
        <f t="shared" si="266"/>
        <v>0</v>
      </c>
      <c r="AK58" s="375">
        <f t="shared" si="266"/>
        <v>0</v>
      </c>
      <c r="AL58" s="175">
        <v>0</v>
      </c>
      <c r="AM58" s="2543">
        <v>0</v>
      </c>
      <c r="AN58" s="169">
        <v>0</v>
      </c>
      <c r="AO58" s="169">
        <v>0</v>
      </c>
      <c r="AP58" s="375">
        <f t="shared" ref="AP58:BF58" si="267">IF(AND(ISNUMBER(AP59),ISNUMBER(AP60)),SUM(AP59:AP60),"")</f>
        <v>0</v>
      </c>
      <c r="AQ58" s="375">
        <f t="shared" si="267"/>
        <v>0</v>
      </c>
      <c r="AR58" s="375">
        <f t="shared" si="267"/>
        <v>0</v>
      </c>
      <c r="AS58" s="375">
        <f t="shared" si="267"/>
        <v>0</v>
      </c>
      <c r="AT58" s="375">
        <f t="shared" si="267"/>
        <v>0</v>
      </c>
      <c r="AU58" s="375">
        <f t="shared" si="267"/>
        <v>0</v>
      </c>
      <c r="AV58" s="375">
        <f t="shared" ref="AV58:AZ58" si="268">IF(AND(ISNUMBER(AV59),ISNUMBER(AV60)),SUM(AV59:AV60),"")</f>
        <v>0</v>
      </c>
      <c r="AW58" s="375">
        <f t="shared" si="268"/>
        <v>0</v>
      </c>
      <c r="AX58" s="375">
        <f t="shared" si="268"/>
        <v>0</v>
      </c>
      <c r="AY58" s="375">
        <f t="shared" si="268"/>
        <v>0</v>
      </c>
      <c r="AZ58" s="375">
        <f t="shared" si="268"/>
        <v>0</v>
      </c>
      <c r="BA58" s="375">
        <f t="shared" si="267"/>
        <v>0</v>
      </c>
      <c r="BB58" s="375">
        <f t="shared" si="267"/>
        <v>0</v>
      </c>
      <c r="BC58" s="375">
        <f t="shared" si="267"/>
        <v>0</v>
      </c>
      <c r="BD58" s="375">
        <f t="shared" si="267"/>
        <v>0</v>
      </c>
      <c r="BE58" s="375">
        <f t="shared" si="267"/>
        <v>0</v>
      </c>
      <c r="BF58" s="375">
        <f t="shared" si="267"/>
        <v>0</v>
      </c>
      <c r="BG58" s="375">
        <f t="shared" ref="BG58:BX58" si="269">IF(AND(ISNUMBER(BG59),ISNUMBER(BG60)),SUM(BG59:BG60),"")</f>
        <v>0</v>
      </c>
      <c r="BH58" s="375">
        <f t="shared" si="269"/>
        <v>0</v>
      </c>
      <c r="BI58" s="375">
        <f t="shared" si="269"/>
        <v>0</v>
      </c>
      <c r="BJ58" s="375">
        <f t="shared" si="269"/>
        <v>0</v>
      </c>
      <c r="BK58" s="375">
        <f t="shared" si="269"/>
        <v>0</v>
      </c>
      <c r="BL58" s="375">
        <f t="shared" si="269"/>
        <v>0</v>
      </c>
      <c r="BM58" s="375">
        <f t="shared" si="269"/>
        <v>0</v>
      </c>
      <c r="BN58" s="375">
        <f t="shared" si="269"/>
        <v>0</v>
      </c>
      <c r="BO58" s="375">
        <f t="shared" si="269"/>
        <v>0</v>
      </c>
      <c r="BP58" s="375">
        <f t="shared" si="269"/>
        <v>0</v>
      </c>
      <c r="BQ58" s="375">
        <f t="shared" si="269"/>
        <v>0</v>
      </c>
      <c r="BR58" s="375">
        <f t="shared" si="269"/>
        <v>0</v>
      </c>
      <c r="BS58" s="375">
        <f t="shared" si="269"/>
        <v>0</v>
      </c>
      <c r="BT58" s="375">
        <f t="shared" si="269"/>
        <v>0</v>
      </c>
      <c r="BU58" s="375">
        <f t="shared" si="269"/>
        <v>0</v>
      </c>
      <c r="BV58" s="375">
        <f t="shared" si="269"/>
        <v>0</v>
      </c>
      <c r="BW58" s="375">
        <f t="shared" si="269"/>
        <v>0</v>
      </c>
      <c r="BX58" s="375">
        <f t="shared" si="269"/>
        <v>0</v>
      </c>
      <c r="BY58" s="375">
        <f>IF($C$7="No", 0, IF(AND(ISNUMBER(BY59), ISNUMBER(BY60)), SUM(BY59:BY60), ""))</f>
        <v>0</v>
      </c>
      <c r="BZ58" s="375">
        <f t="shared" ref="BZ58:CD58" si="270">IF($C$7="No", 0, IF(AND(ISNUMBER(BZ59), ISNUMBER(BZ60)), SUM(BZ59:BZ60), ""))</f>
        <v>0</v>
      </c>
      <c r="CA58" s="375">
        <f t="shared" si="270"/>
        <v>0</v>
      </c>
      <c r="CB58" s="375">
        <f t="shared" si="270"/>
        <v>0</v>
      </c>
      <c r="CC58" s="375">
        <f t="shared" si="270"/>
        <v>0</v>
      </c>
      <c r="CD58" s="375">
        <f t="shared" si="270"/>
        <v>0</v>
      </c>
      <c r="CE58" s="375">
        <f t="shared" ref="CE58:CI58" si="271">IF(AND(ISNUMBER(CE59),ISNUMBER(CE60)),SUM(CE59:CE60),"")</f>
        <v>0</v>
      </c>
      <c r="CF58" s="375">
        <f>IF($C$7="No", 0, IF(AND(ISNUMBER(CF59), ISNUMBER(CF60)), SUM(CF59:CF60), ""))</f>
        <v>0</v>
      </c>
      <c r="CG58" s="375">
        <f>IF($C$7="No", 0, IF(AND(ISNUMBER(CG59), ISNUMBER(CG60)), SUM(CG59:CG60), ""))</f>
        <v>0</v>
      </c>
      <c r="CH58" s="375">
        <f>IF($C$7="No", 0, IF(AND(ISNUMBER(CH59), ISNUMBER(CH60)), SUM(CH59:CH60), ""))</f>
        <v>0</v>
      </c>
      <c r="CI58" s="139">
        <f t="shared" si="271"/>
        <v>0</v>
      </c>
      <c r="CJ58" s="614" t="str">
        <f t="shared" si="237"/>
        <v/>
      </c>
      <c r="CK58" s="319"/>
      <c r="CL58" s="322">
        <f t="shared" ref="CL58:CQ58" si="272">IF(AND(ISNUMBER(CL59),ISNUMBER(CL60)),SUM(CL59:CL60),"")</f>
        <v>0</v>
      </c>
      <c r="CM58" s="322">
        <f t="shared" si="272"/>
        <v>0</v>
      </c>
      <c r="CN58" s="322">
        <f t="shared" si="272"/>
        <v>0</v>
      </c>
      <c r="CO58" s="322">
        <f t="shared" si="272"/>
        <v>0</v>
      </c>
      <c r="CP58" s="322">
        <f t="shared" si="272"/>
        <v>0</v>
      </c>
      <c r="CQ58" s="322">
        <f t="shared" si="272"/>
        <v>0</v>
      </c>
      <c r="CR58" s="352" t="str">
        <f t="shared" si="260"/>
        <v>Pass</v>
      </c>
      <c r="CS58" s="356" t="str">
        <f t="shared" si="261"/>
        <v>Pass</v>
      </c>
      <c r="CT58" s="1898" t="str">
        <f t="shared" ref="CT58" si="273">IF(AND(ISNUMBER(CT59),ISNUMBER(CT60)),SUM(CT59:CT60),"")</f>
        <v/>
      </c>
      <c r="CU58" s="322" t="str">
        <f>IF(AND(OR('General Info'!$C$19="Yes",'General Info'!$D$19="Yes"),ISNUMBER(CU59),ISNUMBER(CU60)),SUM(CU59:CU60),"")</f>
        <v/>
      </c>
      <c r="CV58" s="322" t="str">
        <f>IF(AND(OR('General Info'!$C$19="Yes",'General Info'!$D$19="Yes"),ISNUMBER(CV59),ISNUMBER(CV60)),SUM(CV59:CV60),"")</f>
        <v/>
      </c>
      <c r="CW58" s="1899" t="str">
        <f>IF(AND(OR('General Info'!$C$19="Yes",'General Info'!$D$19="Yes"),ISNUMBER(AU58),ISNUMBER(CE58)),SUM(AU58,CE58),"")</f>
        <v/>
      </c>
      <c r="CX58" s="1899" t="str">
        <f>IF(AND(OR('General Info'!$C$19="Yes",'General Info'!$D$19="Yes"),ISNUMBER(AQ58),ISNUMBER(CA58)),SUM(AQ58,CA58),"")</f>
        <v/>
      </c>
      <c r="CY58" s="1533" t="str">
        <f>IF(AND(OR('General Info'!$C$19="Yes",'General Info'!$D$19="Yes"),ISNUMBER(CY59),ISNUMBER(CY60)),SUM(CY59:CY60),"")</f>
        <v/>
      </c>
      <c r="CZ58" s="1514"/>
    </row>
    <row r="59" spans="1:104" ht="15" customHeight="1" x14ac:dyDescent="0.35">
      <c r="A59" s="263"/>
      <c r="B59" s="219" t="s">
        <v>903</v>
      </c>
      <c r="C59" s="375">
        <f>IF(AND(ISNUMBER(N59),ISNUMBER(Z59)),SUM(N59,Z59),"")</f>
        <v>0</v>
      </c>
      <c r="D59" s="375">
        <f>IF(AND(ISNUMBER(O59),ISNUMBER(AA59)),SUM(O59,AA59),"")</f>
        <v>0</v>
      </c>
      <c r="E59" s="375">
        <f>IF(AND(ISNUMBER(P59),ISNUMBER(AB59)),SUM(P59,AB59),"")</f>
        <v>0</v>
      </c>
      <c r="F59" s="375" t="str">
        <f>IF(AND(ISNUMBER(Q59),ISNUMBER(AC59)),SUM(Q59,AC59),"")</f>
        <v/>
      </c>
      <c r="G59" s="375">
        <f>IF(AND(ISNUMBER(R59),ISNUMBER(AD59)),SUM(R59,AD59),"")</f>
        <v>0</v>
      </c>
      <c r="H59" s="375">
        <f t="shared" si="190"/>
        <v>0</v>
      </c>
      <c r="I59" s="375">
        <f>IF(AND(ISNUMBER(T59),ISNUMBER(AF59)),SUM(T59,AF59),"")</f>
        <v>0</v>
      </c>
      <c r="J59" s="375">
        <f>IF(AND(ISNUMBER(U59),ISNUMBER(AG59)),SUM(U59,AG59),"")</f>
        <v>0</v>
      </c>
      <c r="K59" s="375">
        <f>IF(AND(ISNUMBER(V59),ISNUMBER(AH59)),SUM(V59,AH59),"")</f>
        <v>0</v>
      </c>
      <c r="L59" s="375">
        <f>IF(AND(ISNUMBER(W59),ISNUMBER(AI59)),SUM(W59,AI59),"")</f>
        <v>0</v>
      </c>
      <c r="M59" s="375">
        <f>IF(AND(ISNUMBER(X59),ISNUMBER(AJ59)),SUM(X59,AJ59),"")</f>
        <v>0</v>
      </c>
      <c r="N59" s="208">
        <v>0</v>
      </c>
      <c r="O59" s="208">
        <v>0</v>
      </c>
      <c r="P59" s="208">
        <v>0</v>
      </c>
      <c r="Q59" s="208"/>
      <c r="R59" s="208">
        <v>0</v>
      </c>
      <c r="S59" s="297">
        <f t="shared" si="192"/>
        <v>0</v>
      </c>
      <c r="T59" s="2535">
        <v>0</v>
      </c>
      <c r="U59" s="2527">
        <v>0</v>
      </c>
      <c r="V59" s="2534">
        <v>0</v>
      </c>
      <c r="W59" s="375">
        <f>IF(AND(ISNUMBER(T59),ISNUMBER(U59),ISNUMBER(V59)),SUM(T59:V59), "")</f>
        <v>0</v>
      </c>
      <c r="X59" s="208">
        <v>0</v>
      </c>
      <c r="Y59" s="208">
        <v>0</v>
      </c>
      <c r="Z59" s="2540">
        <v>0</v>
      </c>
      <c r="AA59" s="2540">
        <v>0</v>
      </c>
      <c r="AB59" s="2540">
        <v>0</v>
      </c>
      <c r="AC59" s="2540">
        <v>0</v>
      </c>
      <c r="AD59" s="2540">
        <v>0</v>
      </c>
      <c r="AE59" s="375">
        <f>IF(AND(ISNUMBER(Z59),ISNUMBER(AA59),ISNUMBER(AD59)),SUM(Z59,AA59,AD59),"")</f>
        <v>0</v>
      </c>
      <c r="AF59" s="495">
        <v>0</v>
      </c>
      <c r="AG59" s="212">
        <v>0</v>
      </c>
      <c r="AH59" s="155">
        <v>0</v>
      </c>
      <c r="AI59" s="375">
        <f>IF(AND(ISNUMBER(AF59),ISNUMBER(AG59),ISNUMBER(AH59)),SUM(AF59:AH59), "")</f>
        <v>0</v>
      </c>
      <c r="AJ59" s="495">
        <v>0</v>
      </c>
      <c r="AK59" s="212">
        <v>0</v>
      </c>
      <c r="AL59" s="208">
        <v>0</v>
      </c>
      <c r="AM59" s="2540">
        <v>0</v>
      </c>
      <c r="AN59" s="2541">
        <v>0</v>
      </c>
      <c r="AO59" s="2541">
        <v>0</v>
      </c>
      <c r="AP59" s="375">
        <f t="shared" ref="AP59:AT60" si="274">IF(AND(ISNUMBER(BA59),ISNUMBER(BM59)),SUM(BA59,BM59),"")</f>
        <v>0</v>
      </c>
      <c r="AQ59" s="375">
        <f t="shared" si="274"/>
        <v>0</v>
      </c>
      <c r="AR59" s="375">
        <f t="shared" si="274"/>
        <v>0</v>
      </c>
      <c r="AS59" s="375">
        <f t="shared" si="274"/>
        <v>0</v>
      </c>
      <c r="AT59" s="375">
        <f t="shared" si="274"/>
        <v>0</v>
      </c>
      <c r="AU59" s="375">
        <f>IF(AND(ISNUMBER(AP59),ISNUMBER(AQ59),ISNUMBER(AT59)),SUM(AP59,AQ59,AT59),"")</f>
        <v>0</v>
      </c>
      <c r="AV59" s="375">
        <f t="shared" ref="AV59:AZ60" si="275">IF(AND(ISNUMBER(BG59),ISNUMBER(BS59)),SUM(BG59,BS59),"")</f>
        <v>0</v>
      </c>
      <c r="AW59" s="375">
        <f t="shared" si="275"/>
        <v>0</v>
      </c>
      <c r="AX59" s="375">
        <f t="shared" si="275"/>
        <v>0</v>
      </c>
      <c r="AY59" s="375">
        <f t="shared" si="275"/>
        <v>0</v>
      </c>
      <c r="AZ59" s="375">
        <f t="shared" si="275"/>
        <v>0</v>
      </c>
      <c r="BA59" s="2540">
        <v>0</v>
      </c>
      <c r="BB59" s="2540">
        <v>0</v>
      </c>
      <c r="BC59" s="208">
        <v>0</v>
      </c>
      <c r="BD59" s="2540">
        <v>0</v>
      </c>
      <c r="BE59" s="2540">
        <v>0</v>
      </c>
      <c r="BF59" s="297">
        <f>IF(AND(ISNUMBER(BA59), ISNUMBER(BB59), ISNUMBER(BE59)), SUM(BA59,BB59,BE59), "")</f>
        <v>0</v>
      </c>
      <c r="BG59" s="208">
        <v>0</v>
      </c>
      <c r="BH59" s="2540">
        <v>0</v>
      </c>
      <c r="BI59" s="2540">
        <v>0</v>
      </c>
      <c r="BJ59" s="375">
        <f>IF(AND(ISNUMBER(BG59),ISNUMBER(BH59),ISNUMBER(BI59)),SUM(BG59:BI59), "")</f>
        <v>0</v>
      </c>
      <c r="BK59" s="208">
        <v>0</v>
      </c>
      <c r="BL59" s="208">
        <v>0</v>
      </c>
      <c r="BM59" s="2528">
        <v>0</v>
      </c>
      <c r="BN59" s="2528">
        <v>0</v>
      </c>
      <c r="BO59" s="2528">
        <v>0</v>
      </c>
      <c r="BP59" s="2528">
        <v>0</v>
      </c>
      <c r="BQ59" s="2528">
        <v>0</v>
      </c>
      <c r="BR59" s="297">
        <f>IF(AND(ISNUMBER(BM59), ISNUMBER(BN59), ISNUMBER(BQ59)), SUM(BM59,BN59,BQ59), "")</f>
        <v>0</v>
      </c>
      <c r="BS59" s="2537">
        <v>0</v>
      </c>
      <c r="BT59" s="2528">
        <v>0</v>
      </c>
      <c r="BU59" s="2528">
        <v>0</v>
      </c>
      <c r="BV59" s="375">
        <f>IF(AND(ISNUMBER(BS59),ISNUMBER(BT59),ISNUMBER(BU59)),SUM(BS59:BU59), "")</f>
        <v>0</v>
      </c>
      <c r="BW59" s="208">
        <v>0</v>
      </c>
      <c r="BX59" s="2540">
        <v>0</v>
      </c>
      <c r="BY59" s="208"/>
      <c r="BZ59" s="2540">
        <v>0</v>
      </c>
      <c r="CA59" s="2540">
        <v>0</v>
      </c>
      <c r="CB59" s="2540">
        <v>0</v>
      </c>
      <c r="CC59" s="2540">
        <v>0</v>
      </c>
      <c r="CD59" s="2540">
        <v>0</v>
      </c>
      <c r="CE59" s="375">
        <f>IF($C$7="No", 0, IF(AND(ISNUMBER(BZ59),ISNUMBER(CA59),ISNUMBER(CD59)),SUM(BZ59,CA59,CD59),""))</f>
        <v>0</v>
      </c>
      <c r="CF59" s="2540">
        <v>0</v>
      </c>
      <c r="CG59" s="2540">
        <v>0</v>
      </c>
      <c r="CH59" s="2540">
        <v>0</v>
      </c>
      <c r="CI59" s="139">
        <f t="shared" ref="CI59:CI63" si="276">IF($C$7="No", 0, IF(AND(ISNUMBER(CF59), ISNUMBER(CG59), ISNUMBER(CH59)), SUM(CF59:CH59), ""))</f>
        <v>0</v>
      </c>
      <c r="CJ59" s="614" t="str">
        <f t="shared" si="237"/>
        <v/>
      </c>
      <c r="CK59" s="319"/>
      <c r="CL59" s="2527">
        <v>0</v>
      </c>
      <c r="CM59" s="2527">
        <v>0</v>
      </c>
      <c r="CN59" s="2527">
        <v>0</v>
      </c>
      <c r="CO59" s="2527">
        <v>0</v>
      </c>
      <c r="CP59" s="2527">
        <v>0</v>
      </c>
      <c r="CQ59" s="2527">
        <v>0</v>
      </c>
      <c r="CR59" s="352" t="str">
        <f t="shared" si="260"/>
        <v>Pass</v>
      </c>
      <c r="CS59" s="356" t="str">
        <f t="shared" si="261"/>
        <v>Pass</v>
      </c>
      <c r="CT59" s="1898" t="str">
        <f>IF(AND(OR('General Info'!$C$19="Yes",'General Info'!$D$19="Yes"),ISNUMBER(CO59),ISNUMBER(CP59),ISNUMBER(CU59)),CO59-CP59+CU59,"")</f>
        <v/>
      </c>
      <c r="CU59" s="208"/>
      <c r="CV59" s="208"/>
      <c r="CW59" s="1899" t="str">
        <f>IF(AND(OR('General Info'!$C$19="Yes",'General Info'!$D$19="Yes"),ISNUMBER(AU59),ISNUMBER(CE59)),SUM(AU59,CE59),"")</f>
        <v/>
      </c>
      <c r="CX59" s="1899" t="str">
        <f>IF(AND(OR('General Info'!$C$19="Yes",'General Info'!$D$19="Yes"),ISNUMBER(AQ59),ISNUMBER(CA59)),SUM(AQ59,CA59),"")</f>
        <v/>
      </c>
      <c r="CY59" s="138"/>
      <c r="CZ59" s="1514"/>
    </row>
    <row r="60" spans="1:104" ht="15" customHeight="1" x14ac:dyDescent="0.35">
      <c r="A60" s="263"/>
      <c r="B60" s="219" t="s">
        <v>904</v>
      </c>
      <c r="C60" s="375">
        <f t="shared" ref="C60:G60" si="277">IF((ISNUMBER(N60)),N60,"")</f>
        <v>0</v>
      </c>
      <c r="D60" s="375">
        <f t="shared" si="277"/>
        <v>0</v>
      </c>
      <c r="E60" s="375">
        <f t="shared" si="277"/>
        <v>0</v>
      </c>
      <c r="F60" s="375" t="str">
        <f t="shared" si="277"/>
        <v/>
      </c>
      <c r="G60" s="375">
        <f t="shared" si="277"/>
        <v>0</v>
      </c>
      <c r="H60" s="375">
        <f t="shared" si="190"/>
        <v>0</v>
      </c>
      <c r="I60" s="375">
        <f>IF((ISNUMBER(T60)),T60,"")</f>
        <v>0</v>
      </c>
      <c r="J60" s="375">
        <f>IF((ISNUMBER(U60)),U60,"")</f>
        <v>0</v>
      </c>
      <c r="K60" s="375">
        <f>IF((ISNUMBER(V60)),V60,"")</f>
        <v>0</v>
      </c>
      <c r="L60" s="375">
        <f>IF((ISNUMBER(W60)),W60,"")</f>
        <v>0</v>
      </c>
      <c r="M60" s="375">
        <f>IF((ISNUMBER(X60)),X60,"")</f>
        <v>0</v>
      </c>
      <c r="N60" s="208">
        <v>0</v>
      </c>
      <c r="O60" s="208">
        <v>0</v>
      </c>
      <c r="P60" s="208">
        <v>0</v>
      </c>
      <c r="Q60" s="208"/>
      <c r="R60" s="208">
        <v>0</v>
      </c>
      <c r="S60" s="297">
        <f t="shared" si="192"/>
        <v>0</v>
      </c>
      <c r="T60" s="2535">
        <v>0</v>
      </c>
      <c r="U60" s="2527">
        <v>0</v>
      </c>
      <c r="V60" s="2534">
        <v>0</v>
      </c>
      <c r="W60" s="375">
        <f>IF(AND(ISNUMBER(T60),ISNUMBER(U60),ISNUMBER(V60)),SUM(T60:V60), "")</f>
        <v>0</v>
      </c>
      <c r="X60" s="208">
        <v>0</v>
      </c>
      <c r="Y60" s="208">
        <v>0</v>
      </c>
      <c r="Z60" s="298"/>
      <c r="AA60" s="298"/>
      <c r="AB60" s="298"/>
      <c r="AC60" s="298"/>
      <c r="AD60" s="316"/>
      <c r="AE60" s="533"/>
      <c r="AF60" s="298"/>
      <c r="AG60" s="298"/>
      <c r="AH60" s="298"/>
      <c r="AI60" s="533"/>
      <c r="AJ60" s="298"/>
      <c r="AK60" s="298"/>
      <c r="AL60" s="208">
        <v>0</v>
      </c>
      <c r="AM60" s="2540">
        <v>0</v>
      </c>
      <c r="AN60" s="2541">
        <v>0</v>
      </c>
      <c r="AO60" s="2541">
        <v>0</v>
      </c>
      <c r="AP60" s="375">
        <f t="shared" si="274"/>
        <v>0</v>
      </c>
      <c r="AQ60" s="375">
        <f t="shared" si="274"/>
        <v>0</v>
      </c>
      <c r="AR60" s="375">
        <f t="shared" si="274"/>
        <v>0</v>
      </c>
      <c r="AS60" s="375">
        <f t="shared" si="274"/>
        <v>0</v>
      </c>
      <c r="AT60" s="375">
        <f t="shared" si="274"/>
        <v>0</v>
      </c>
      <c r="AU60" s="375">
        <f>IF(AND(ISNUMBER(AP60),ISNUMBER(AQ60),ISNUMBER(AT60)),SUM(AP60,AQ60,AT60),"")</f>
        <v>0</v>
      </c>
      <c r="AV60" s="375">
        <f t="shared" si="275"/>
        <v>0</v>
      </c>
      <c r="AW60" s="375">
        <f t="shared" si="275"/>
        <v>0</v>
      </c>
      <c r="AX60" s="375">
        <f t="shared" si="275"/>
        <v>0</v>
      </c>
      <c r="AY60" s="375">
        <f t="shared" si="275"/>
        <v>0</v>
      </c>
      <c r="AZ60" s="375">
        <f t="shared" si="275"/>
        <v>0</v>
      </c>
      <c r="BA60" s="2540">
        <v>0</v>
      </c>
      <c r="BB60" s="2540">
        <v>0</v>
      </c>
      <c r="BC60" s="208">
        <v>0</v>
      </c>
      <c r="BD60" s="2540">
        <v>0</v>
      </c>
      <c r="BE60" s="2540">
        <v>0</v>
      </c>
      <c r="BF60" s="297">
        <f>IF(AND(ISNUMBER(BA60), ISNUMBER(BB60), ISNUMBER(BE60)), SUM(BA60,BB60,BE60), "")</f>
        <v>0</v>
      </c>
      <c r="BG60" s="208">
        <v>0</v>
      </c>
      <c r="BH60" s="2540">
        <v>0</v>
      </c>
      <c r="BI60" s="2540">
        <v>0</v>
      </c>
      <c r="BJ60" s="375">
        <f>IF(AND(ISNUMBER(BG60),ISNUMBER(BH60),ISNUMBER(BI60)),SUM(BG60:BI60), "")</f>
        <v>0</v>
      </c>
      <c r="BK60" s="208">
        <v>0</v>
      </c>
      <c r="BL60" s="208">
        <v>0</v>
      </c>
      <c r="BM60" s="2528">
        <v>0</v>
      </c>
      <c r="BN60" s="2528">
        <v>0</v>
      </c>
      <c r="BO60" s="2528">
        <v>0</v>
      </c>
      <c r="BP60" s="2528">
        <v>0</v>
      </c>
      <c r="BQ60" s="2528">
        <v>0</v>
      </c>
      <c r="BR60" s="297">
        <f>IF(AND(ISNUMBER(BM60), ISNUMBER(BN60), ISNUMBER(BQ60)), SUM(BM60,BN60,BQ60), "")</f>
        <v>0</v>
      </c>
      <c r="BS60" s="2537">
        <v>0</v>
      </c>
      <c r="BT60" s="2528">
        <v>0</v>
      </c>
      <c r="BU60" s="2528">
        <v>0</v>
      </c>
      <c r="BV60" s="375">
        <f>IF(AND(ISNUMBER(BS60),ISNUMBER(BT60),ISNUMBER(BU60)),SUM(BS60:BU60), "")</f>
        <v>0</v>
      </c>
      <c r="BW60" s="2540">
        <v>0</v>
      </c>
      <c r="BX60" s="2540">
        <v>0</v>
      </c>
      <c r="BY60" s="208"/>
      <c r="BZ60" s="2540">
        <v>0</v>
      </c>
      <c r="CA60" s="2540">
        <v>0</v>
      </c>
      <c r="CB60" s="2540">
        <v>0</v>
      </c>
      <c r="CC60" s="2540">
        <v>0</v>
      </c>
      <c r="CD60" s="2540">
        <v>0</v>
      </c>
      <c r="CE60" s="375">
        <f>IF($C$7="No", 0, IF(AND(ISNUMBER(BZ60),ISNUMBER(CA60),ISNUMBER(CD60)),SUM(BZ60,CA60,CD60),""))</f>
        <v>0</v>
      </c>
      <c r="CF60" s="2540">
        <v>0</v>
      </c>
      <c r="CG60" s="2540">
        <v>0</v>
      </c>
      <c r="CH60" s="2540">
        <v>0</v>
      </c>
      <c r="CI60" s="139">
        <f t="shared" si="276"/>
        <v>0</v>
      </c>
      <c r="CJ60" s="614" t="str">
        <f t="shared" si="237"/>
        <v/>
      </c>
      <c r="CK60" s="319"/>
      <c r="CL60" s="2528">
        <v>0</v>
      </c>
      <c r="CM60" s="2528">
        <v>0</v>
      </c>
      <c r="CN60" s="2528">
        <v>0</v>
      </c>
      <c r="CO60" s="2528">
        <v>0</v>
      </c>
      <c r="CP60" s="2528">
        <v>0</v>
      </c>
      <c r="CQ60" s="2528">
        <v>0</v>
      </c>
      <c r="CR60" s="352" t="str">
        <f t="shared" si="260"/>
        <v>Pass</v>
      </c>
      <c r="CS60" s="356" t="str">
        <f t="shared" si="261"/>
        <v>Pass</v>
      </c>
      <c r="CT60" s="1898" t="str">
        <f>IF(AND(OR('General Info'!$C$19="Yes",'General Info'!$D$19="Yes"),ISNUMBER(CO60),ISNUMBER(CP60),ISNUMBER(CU60)),CO60-CP60+CU60,"")</f>
        <v/>
      </c>
      <c r="CU60" s="208"/>
      <c r="CV60" s="208"/>
      <c r="CW60" s="1899" t="str">
        <f>IF(AND(OR('General Info'!$C$19="Yes",'General Info'!$D$19="Yes"),ISNUMBER(AU60),ISNUMBER(CE60)),SUM(AU60,CE60),"")</f>
        <v/>
      </c>
      <c r="CX60" s="1899" t="str">
        <f>IF(AND(OR('General Info'!$C$19="Yes",'General Info'!$D$19="Yes"),ISNUMBER(AQ60),ISNUMBER(CA60)),SUM(AQ60,CA60),"")</f>
        <v/>
      </c>
      <c r="CY60" s="138"/>
      <c r="CZ60" s="1514"/>
    </row>
    <row r="61" spans="1:104" ht="15" customHeight="1" x14ac:dyDescent="0.35">
      <c r="A61" s="263"/>
      <c r="B61" s="323" t="s">
        <v>202</v>
      </c>
      <c r="C61" s="2527">
        <v>0</v>
      </c>
      <c r="D61" s="2527">
        <v>0</v>
      </c>
      <c r="E61" s="2527">
        <v>0</v>
      </c>
      <c r="F61" s="2527">
        <v>0</v>
      </c>
      <c r="G61" s="2527">
        <v>0</v>
      </c>
      <c r="H61" s="375">
        <f>IF(AND(ISNUMBER(C61),ISNUMBER(D61),ISNUMBER(G61)),SUM(C61,D61,G61),"")</f>
        <v>0</v>
      </c>
      <c r="I61" s="495">
        <v>0</v>
      </c>
      <c r="J61" s="2535">
        <v>0</v>
      </c>
      <c r="K61" s="2535">
        <v>0</v>
      </c>
      <c r="L61" s="375">
        <f>IF(AND(ISNUMBER(I61),ISNUMBER(J61),ISNUMBER(K61)),SUM(I61:K61), "")</f>
        <v>0</v>
      </c>
      <c r="M61" s="495">
        <v>0</v>
      </c>
      <c r="N61" s="298"/>
      <c r="O61" s="298"/>
      <c r="P61" s="298"/>
      <c r="Q61" s="298"/>
      <c r="R61" s="298"/>
      <c r="S61" s="298"/>
      <c r="T61" s="298"/>
      <c r="U61" s="298"/>
      <c r="V61" s="298"/>
      <c r="W61" s="298"/>
      <c r="X61" s="298"/>
      <c r="Y61" s="298"/>
      <c r="Z61" s="298"/>
      <c r="AA61" s="298"/>
      <c r="AB61" s="298"/>
      <c r="AC61" s="298"/>
      <c r="AD61" s="316"/>
      <c r="AE61" s="298"/>
      <c r="AF61" s="298"/>
      <c r="AG61" s="298"/>
      <c r="AH61" s="298"/>
      <c r="AI61" s="298"/>
      <c r="AJ61" s="298"/>
      <c r="AK61" s="298"/>
      <c r="AL61" s="298"/>
      <c r="AM61" s="298"/>
      <c r="AN61" s="298"/>
      <c r="AO61" s="298"/>
      <c r="AP61" s="212">
        <v>0</v>
      </c>
      <c r="AQ61" s="2527">
        <v>0</v>
      </c>
      <c r="AR61" s="2527">
        <v>0</v>
      </c>
      <c r="AS61" s="2527">
        <v>0</v>
      </c>
      <c r="AT61" s="2527">
        <v>0</v>
      </c>
      <c r="AU61" s="375">
        <f>IF(AND(ISNUMBER(AP61),ISNUMBER(AQ61),ISNUMBER(AT61)),SUM(AP61,AQ61,AT61),"")</f>
        <v>0</v>
      </c>
      <c r="AV61" s="495">
        <v>0</v>
      </c>
      <c r="AW61" s="2535">
        <v>0</v>
      </c>
      <c r="AX61" s="2535">
        <v>0</v>
      </c>
      <c r="AY61" s="375">
        <f>IF(AND(ISNUMBER(AV61),ISNUMBER(AW61),ISNUMBER(AX61)),SUM(AV61:AX61), "")</f>
        <v>0</v>
      </c>
      <c r="AZ61" s="495">
        <v>0</v>
      </c>
      <c r="BA61" s="298"/>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08"/>
      <c r="BZ61" s="2540">
        <v>0</v>
      </c>
      <c r="CA61" s="2540">
        <v>0</v>
      </c>
      <c r="CB61" s="2540">
        <v>0</v>
      </c>
      <c r="CC61" s="2540">
        <v>0</v>
      </c>
      <c r="CD61" s="2540">
        <v>0</v>
      </c>
      <c r="CE61" s="375">
        <f>IF($C$7="No", 0, IF(AND(ISNUMBER(BZ61),ISNUMBER(CA61),ISNUMBER(CD61)),SUM(BZ61,CA61,CD61),""))</f>
        <v>0</v>
      </c>
      <c r="CF61" s="2540">
        <v>0</v>
      </c>
      <c r="CG61" s="2540">
        <v>0</v>
      </c>
      <c r="CH61" s="2540">
        <v>0</v>
      </c>
      <c r="CI61" s="139">
        <f t="shared" si="276"/>
        <v>0</v>
      </c>
      <c r="CJ61" s="614" t="str">
        <f t="shared" si="237"/>
        <v/>
      </c>
      <c r="CK61" s="319"/>
      <c r="CL61" s="2528">
        <v>0</v>
      </c>
      <c r="CM61" s="2528">
        <v>0</v>
      </c>
      <c r="CN61" s="2528">
        <v>0</v>
      </c>
      <c r="CO61" s="2528">
        <v>0</v>
      </c>
      <c r="CP61" s="2528">
        <v>0</v>
      </c>
      <c r="CQ61" s="2528">
        <v>0</v>
      </c>
      <c r="CR61" s="352" t="str">
        <f t="shared" si="260"/>
        <v>Pass</v>
      </c>
      <c r="CS61" s="356" t="str">
        <f t="shared" si="261"/>
        <v/>
      </c>
      <c r="CT61" s="1898" t="str">
        <f>IF(AND(OR('General Info'!$C$19="Yes",'General Info'!$D$19="Yes"),ISNUMBER(CO61),ISNUMBER(CP61),ISNUMBER(CU61)),CO61-CP61+CU61,"")</f>
        <v/>
      </c>
      <c r="CU61" s="208"/>
      <c r="CV61" s="208"/>
      <c r="CW61" s="1899" t="str">
        <f>IF(AND(OR('General Info'!$C$19="Yes",'General Info'!$D$19="Yes"),ISNUMBER(AU61),ISNUMBER(CE61)),SUM(AU61,CE61),"")</f>
        <v/>
      </c>
      <c r="CX61" s="1899" t="str">
        <f>IF(AND(OR('General Info'!$C$19="Yes",'General Info'!$D$19="Yes"),ISNUMBER(AQ61),ISNUMBER(CA61)),SUM(AQ61,CA61),"")</f>
        <v/>
      </c>
      <c r="CY61" s="138"/>
      <c r="CZ61" s="1514"/>
    </row>
    <row r="62" spans="1:104" ht="15" customHeight="1" x14ac:dyDescent="0.35">
      <c r="A62" s="263"/>
      <c r="B62" s="221" t="s">
        <v>905</v>
      </c>
      <c r="C62" s="2528">
        <v>0</v>
      </c>
      <c r="D62" s="2528">
        <v>0</v>
      </c>
      <c r="E62" s="2528">
        <v>0</v>
      </c>
      <c r="F62" s="2528">
        <v>0</v>
      </c>
      <c r="G62" s="2528">
        <v>0</v>
      </c>
      <c r="H62" s="375">
        <f t="shared" si="190"/>
        <v>0</v>
      </c>
      <c r="I62" s="299">
        <v>0</v>
      </c>
      <c r="J62" s="2536">
        <v>0</v>
      </c>
      <c r="K62" s="2536">
        <v>0</v>
      </c>
      <c r="L62" s="375">
        <f>IF(AND(ISNUMBER(I62),ISNUMBER(J62),ISNUMBER(K62)),SUM(I62:K62), "")</f>
        <v>0</v>
      </c>
      <c r="M62" s="299">
        <v>0</v>
      </c>
      <c r="N62" s="298"/>
      <c r="O62" s="298"/>
      <c r="P62" s="298"/>
      <c r="Q62" s="298"/>
      <c r="R62" s="298"/>
      <c r="S62" s="298"/>
      <c r="T62" s="298"/>
      <c r="U62" s="298"/>
      <c r="V62" s="298"/>
      <c r="W62" s="298"/>
      <c r="X62" s="298"/>
      <c r="Y62" s="298"/>
      <c r="Z62" s="298"/>
      <c r="AA62" s="298"/>
      <c r="AB62" s="298"/>
      <c r="AC62" s="298"/>
      <c r="AD62" s="316"/>
      <c r="AE62" s="298"/>
      <c r="AF62" s="298"/>
      <c r="AG62" s="298"/>
      <c r="AH62" s="298"/>
      <c r="AI62" s="298"/>
      <c r="AJ62" s="298"/>
      <c r="AK62" s="298"/>
      <c r="AL62" s="208">
        <v>0</v>
      </c>
      <c r="AM62" s="208">
        <v>0</v>
      </c>
      <c r="AN62" s="208">
        <v>0</v>
      </c>
      <c r="AO62" s="208">
        <v>0</v>
      </c>
      <c r="AP62" s="208">
        <v>0</v>
      </c>
      <c r="AQ62" s="2540">
        <v>0</v>
      </c>
      <c r="AR62" s="2540">
        <v>0</v>
      </c>
      <c r="AS62" s="2540">
        <v>0</v>
      </c>
      <c r="AT62" s="2540">
        <v>0</v>
      </c>
      <c r="AU62" s="375">
        <f>IF(AND(ISNUMBER(AP62),ISNUMBER(AQ62),ISNUMBER(AT62)),SUM(AP62,AQ62,AT62),"")</f>
        <v>0</v>
      </c>
      <c r="AV62" s="299">
        <v>0</v>
      </c>
      <c r="AW62" s="2536">
        <v>0</v>
      </c>
      <c r="AX62" s="2536">
        <v>0</v>
      </c>
      <c r="AY62" s="375">
        <f>IF(AND(ISNUMBER(AV62),ISNUMBER(AW62),ISNUMBER(AX62)),SUM(AV62:AX62), "")</f>
        <v>0</v>
      </c>
      <c r="AZ62" s="299">
        <v>0</v>
      </c>
      <c r="BA62" s="298"/>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08"/>
      <c r="BZ62" s="2540">
        <v>0</v>
      </c>
      <c r="CA62" s="2540">
        <v>0</v>
      </c>
      <c r="CB62" s="2540">
        <v>0</v>
      </c>
      <c r="CC62" s="2540">
        <v>0</v>
      </c>
      <c r="CD62" s="2540">
        <v>0</v>
      </c>
      <c r="CE62" s="375">
        <f>IF($C$7="No", 0, IF(AND(ISNUMBER(BZ62),ISNUMBER(CA62),ISNUMBER(CD62)),SUM(BZ62,CA62,CD62),""))</f>
        <v>0</v>
      </c>
      <c r="CF62" s="2540">
        <v>0</v>
      </c>
      <c r="CG62" s="2540">
        <v>0</v>
      </c>
      <c r="CH62" s="2540">
        <v>0</v>
      </c>
      <c r="CI62" s="139">
        <f t="shared" si="276"/>
        <v>0</v>
      </c>
      <c r="CJ62" s="614" t="str">
        <f t="shared" si="237"/>
        <v/>
      </c>
      <c r="CK62" s="319"/>
      <c r="CL62" s="2528">
        <v>0</v>
      </c>
      <c r="CM62" s="2528">
        <v>0</v>
      </c>
      <c r="CN62" s="298"/>
      <c r="CO62" s="2528">
        <v>0</v>
      </c>
      <c r="CP62" s="2528">
        <v>0</v>
      </c>
      <c r="CQ62" s="2528">
        <v>0</v>
      </c>
      <c r="CR62" s="352" t="str">
        <f t="shared" si="260"/>
        <v>Pass</v>
      </c>
      <c r="CS62" s="356" t="str">
        <f t="shared" si="261"/>
        <v>Pass</v>
      </c>
      <c r="CT62" s="1898" t="str">
        <f>IF(AND(OR('General Info'!$C$19="Yes",'General Info'!$D$19="Yes"),ISNUMBER(CO62),ISNUMBER(CP62),ISNUMBER(CU62)),CO62-CP62+CU62,"")</f>
        <v/>
      </c>
      <c r="CU62" s="208"/>
      <c r="CV62" s="208"/>
      <c r="CW62" s="1899" t="str">
        <f>IF(AND(OR('General Info'!$C$19="Yes",'General Info'!$D$19="Yes"),ISNUMBER(AU62),ISNUMBER(CE62)),SUM(AU62,CE62),"")</f>
        <v/>
      </c>
      <c r="CX62" s="1899" t="str">
        <f>IF(AND(OR('General Info'!$C$19="Yes",'General Info'!$D$19="Yes"),ISNUMBER(AQ62),ISNUMBER(CA62)),SUM(AQ62,CA62),"")</f>
        <v/>
      </c>
      <c r="CY62" s="138"/>
      <c r="CZ62" s="1514"/>
    </row>
    <row r="63" spans="1:104" ht="15" customHeight="1" x14ac:dyDescent="0.35">
      <c r="A63" s="263"/>
      <c r="B63" s="219" t="s">
        <v>906</v>
      </c>
      <c r="C63" s="208">
        <v>0</v>
      </c>
      <c r="D63" s="208">
        <v>0</v>
      </c>
      <c r="E63" s="208">
        <v>0</v>
      </c>
      <c r="F63" s="208"/>
      <c r="G63" s="138">
        <v>0</v>
      </c>
      <c r="H63" s="375">
        <f t="shared" si="190"/>
        <v>0</v>
      </c>
      <c r="I63" s="299">
        <v>0</v>
      </c>
      <c r="J63" s="2536">
        <v>0</v>
      </c>
      <c r="K63" s="2536">
        <v>0</v>
      </c>
      <c r="L63" s="375">
        <f>IF(AND(ISNUMBER(I63),ISNUMBER(J63),ISNUMBER(K63)),SUM(I63:K63), "")</f>
        <v>0</v>
      </c>
      <c r="M63" s="319"/>
      <c r="N63" s="298"/>
      <c r="O63" s="298"/>
      <c r="P63" s="298"/>
      <c r="Q63" s="298"/>
      <c r="R63" s="298"/>
      <c r="S63" s="298"/>
      <c r="T63" s="298"/>
      <c r="U63" s="298"/>
      <c r="V63" s="298"/>
      <c r="W63" s="298"/>
      <c r="X63" s="298"/>
      <c r="Y63" s="298"/>
      <c r="Z63" s="298"/>
      <c r="AA63" s="298"/>
      <c r="AB63" s="298"/>
      <c r="AC63" s="298"/>
      <c r="AD63" s="316"/>
      <c r="AE63" s="298"/>
      <c r="AF63" s="298"/>
      <c r="AG63" s="298"/>
      <c r="AH63" s="298"/>
      <c r="AI63" s="298"/>
      <c r="AJ63" s="298"/>
      <c r="AK63" s="298"/>
      <c r="AL63" s="208">
        <v>0</v>
      </c>
      <c r="AM63" s="298"/>
      <c r="AN63" s="208">
        <v>0</v>
      </c>
      <c r="AO63" s="298"/>
      <c r="AP63" s="208">
        <v>0</v>
      </c>
      <c r="AQ63" s="2540">
        <v>0</v>
      </c>
      <c r="AR63" s="2540">
        <v>0</v>
      </c>
      <c r="AS63" s="2540">
        <v>0</v>
      </c>
      <c r="AT63" s="2540">
        <v>0</v>
      </c>
      <c r="AU63" s="375">
        <f>IF(AND(ISNUMBER(AP63),ISNUMBER(AQ63),ISNUMBER(AT63)),SUM(AP63,AQ63,AT63),"")</f>
        <v>0</v>
      </c>
      <c r="AV63" s="299">
        <v>0</v>
      </c>
      <c r="AW63" s="2536">
        <v>0</v>
      </c>
      <c r="AX63" s="2536">
        <v>0</v>
      </c>
      <c r="AY63" s="375">
        <f>IF(AND(ISNUMBER(AV63),ISNUMBER(AW63),ISNUMBER(AX63)),SUM(AV63:AX63), "")</f>
        <v>0</v>
      </c>
      <c r="AZ63" s="319"/>
      <c r="BA63" s="298"/>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08"/>
      <c r="BZ63" s="2540">
        <v>0</v>
      </c>
      <c r="CA63" s="2540">
        <v>0</v>
      </c>
      <c r="CB63" s="2540">
        <v>0</v>
      </c>
      <c r="CC63" s="2540">
        <v>0</v>
      </c>
      <c r="CD63" s="2540">
        <v>0</v>
      </c>
      <c r="CE63" s="375">
        <f>IF($C$7="No", 0, IF(AND(ISNUMBER(BZ63),ISNUMBER(CA63),ISNUMBER(CD63)),SUM(BZ63,CA63,CD63),""))</f>
        <v>0</v>
      </c>
      <c r="CF63" s="2540">
        <v>0</v>
      </c>
      <c r="CG63" s="2540">
        <v>0</v>
      </c>
      <c r="CH63" s="2540">
        <v>0</v>
      </c>
      <c r="CI63" s="139">
        <f t="shared" si="276"/>
        <v>0</v>
      </c>
      <c r="CJ63" s="614" t="str">
        <f t="shared" si="237"/>
        <v/>
      </c>
      <c r="CK63" s="319"/>
      <c r="CL63" s="2528">
        <v>0</v>
      </c>
      <c r="CM63" s="2528">
        <v>0</v>
      </c>
      <c r="CN63" s="298"/>
      <c r="CO63" s="2528">
        <v>0</v>
      </c>
      <c r="CP63" s="2528">
        <v>0</v>
      </c>
      <c r="CQ63" s="2528">
        <v>0</v>
      </c>
      <c r="CR63" s="352" t="str">
        <f t="shared" si="260"/>
        <v>Pass</v>
      </c>
      <c r="CS63" s="356" t="str">
        <f t="shared" si="261"/>
        <v/>
      </c>
      <c r="CT63" s="1898" t="str">
        <f>IF(AND(OR('General Info'!$C$19="Yes",'General Info'!$D$19="Yes"),ISNUMBER(CO63),ISNUMBER(CP63),ISNUMBER(CU63)),CO63-CP63+CU63,"")</f>
        <v/>
      </c>
      <c r="CU63" s="208"/>
      <c r="CV63" s="208"/>
      <c r="CW63" s="1899" t="str">
        <f>IF(AND(OR('General Info'!$C$19="Yes",'General Info'!$D$19="Yes"),ISNUMBER(AU63),ISNUMBER(CE63)),SUM(AU63,CE63),"")</f>
        <v/>
      </c>
      <c r="CX63" s="1899" t="str">
        <f>IF(AND(OR('General Info'!$C$19="Yes",'General Info'!$D$19="Yes"),ISNUMBER(AQ63),ISNUMBER(CA63)),SUM(AQ63,CA63),"")</f>
        <v/>
      </c>
      <c r="CY63" s="138"/>
      <c r="CZ63" s="1514"/>
    </row>
    <row r="64" spans="1:104" ht="15" customHeight="1" x14ac:dyDescent="0.35">
      <c r="A64" s="263"/>
      <c r="B64" s="572" t="str">
        <f>"Check: row " &amp; ROW(B63) &amp; " ≤ row " &amp; ROW(B62)</f>
        <v>Check: row 63 ≤ row 62</v>
      </c>
      <c r="C64" s="484" t="str">
        <f t="shared" ref="C64:G64" si="278">IF(AND(ISNUMBER(C63), ISNUMBER(C62)), IF(C63&lt;=C62, "Pass", "Fail"),"")</f>
        <v>Pass</v>
      </c>
      <c r="D64" s="484" t="str">
        <f t="shared" si="278"/>
        <v>Pass</v>
      </c>
      <c r="E64" s="484" t="str">
        <f t="shared" si="278"/>
        <v>Pass</v>
      </c>
      <c r="F64" s="484" t="str">
        <f t="shared" si="278"/>
        <v/>
      </c>
      <c r="G64" s="484" t="str">
        <f t="shared" si="278"/>
        <v>Pass</v>
      </c>
      <c r="H64" s="721"/>
      <c r="I64" s="484" t="str">
        <f>IF(AND(ISNUMBER(I63), ISNUMBER(I62)), IF(I63&lt;=I62, "Pass", "Fail"),"")</f>
        <v>Pass</v>
      </c>
      <c r="J64" s="484" t="str">
        <f>IF(AND(ISNUMBER(J63), ISNUMBER(J62)), IF(J63&lt;=J62, "Pass", "Fail"),"")</f>
        <v>Pass</v>
      </c>
      <c r="K64" s="484" t="str">
        <f>IF(AND(ISNUMBER(K63), ISNUMBER(K62)), IF(K63&lt;=K62, "Pass", "Fail"),"")</f>
        <v>Pass</v>
      </c>
      <c r="L64" s="574"/>
      <c r="M64" s="309"/>
      <c r="N64" s="309"/>
      <c r="O64" s="309"/>
      <c r="P64" s="309"/>
      <c r="Q64" s="309"/>
      <c r="R64" s="309"/>
      <c r="S64" s="309"/>
      <c r="T64" s="309"/>
      <c r="U64" s="309"/>
      <c r="V64" s="309"/>
      <c r="W64" s="309"/>
      <c r="X64" s="309"/>
      <c r="Y64" s="309"/>
      <c r="Z64" s="309"/>
      <c r="AA64" s="309"/>
      <c r="AB64" s="309"/>
      <c r="AC64" s="309"/>
      <c r="AD64" s="667"/>
      <c r="AE64" s="309"/>
      <c r="AF64" s="309"/>
      <c r="AG64" s="309"/>
      <c r="AH64" s="309"/>
      <c r="AI64" s="309"/>
      <c r="AJ64" s="309"/>
      <c r="AK64" s="309"/>
      <c r="AL64" s="484" t="str">
        <f>IF(AND(ISNUMBER(AL63), ISNUMBER(AL62)), IF(AL63&lt;=AL62, "Pass", "Fail"),"")</f>
        <v>Pass</v>
      </c>
      <c r="AM64" s="309"/>
      <c r="AN64" s="484" t="str">
        <f>IF(AND(ISNUMBER(AN63), ISNUMBER(AN62)), IF(AN63&lt;=AN62, "Pass", "Fail"),"")</f>
        <v>Pass</v>
      </c>
      <c r="AO64" s="309"/>
      <c r="AP64" s="484" t="str">
        <f>IF(AND(ISNUMBER(AP63), ISNUMBER(AP62)), IF(AP63&lt;=AP62, "Pass", "Fail"),"")</f>
        <v>Pass</v>
      </c>
      <c r="AQ64" s="484" t="str">
        <f>IF(AND(ISNUMBER(AQ63), ISNUMBER(AQ62)), IF(AQ63&lt;=AQ62, "Pass", "Fail"),"")</f>
        <v>Pass</v>
      </c>
      <c r="AR64" s="484" t="str">
        <f t="shared" ref="AR64:AT64" si="279">IF(AND(ISNUMBER(AR63), ISNUMBER(AR62)), IF(AR63&lt;=AR62, "Pass", "Fail"),"")</f>
        <v>Pass</v>
      </c>
      <c r="AS64" s="484" t="str">
        <f t="shared" si="279"/>
        <v>Pass</v>
      </c>
      <c r="AT64" s="484" t="str">
        <f t="shared" si="279"/>
        <v>Pass</v>
      </c>
      <c r="AU64" s="533"/>
      <c r="AV64" s="484" t="str">
        <f t="shared" ref="AV64" si="280">IF(AND(ISNUMBER(AV63), ISNUMBER(AV62)), IF(AV63&lt;=AV62, "Pass", "Fail"),"")</f>
        <v>Pass</v>
      </c>
      <c r="AW64" s="484" t="str">
        <f t="shared" ref="AW64" si="281">IF(AND(ISNUMBER(AW63), ISNUMBER(AW62)), IF(AW63&lt;=AW62, "Pass", "Fail"),"")</f>
        <v>Pass</v>
      </c>
      <c r="AX64" s="484" t="str">
        <f t="shared" ref="AX64" si="282">IF(AND(ISNUMBER(AX63), ISNUMBER(AX62)), IF(AX63&lt;=AX62, "Pass", "Fail"),"")</f>
        <v>Pass</v>
      </c>
      <c r="AY64" s="533"/>
      <c r="AZ64" s="309"/>
      <c r="BA64" s="309"/>
      <c r="BB64" s="309"/>
      <c r="BC64" s="309"/>
      <c r="BD64" s="309"/>
      <c r="BE64" s="309"/>
      <c r="BF64" s="309"/>
      <c r="BG64" s="309"/>
      <c r="BH64" s="309"/>
      <c r="BI64" s="309"/>
      <c r="BJ64" s="309"/>
      <c r="BK64" s="309"/>
      <c r="BL64" s="309"/>
      <c r="BM64" s="309"/>
      <c r="BN64" s="309"/>
      <c r="BO64" s="309"/>
      <c r="BP64" s="309"/>
      <c r="BQ64" s="309"/>
      <c r="BR64" s="309"/>
      <c r="BS64" s="309"/>
      <c r="BT64" s="309"/>
      <c r="BU64" s="309"/>
      <c r="BV64" s="309"/>
      <c r="BW64" s="309"/>
      <c r="BX64" s="309"/>
      <c r="BY64" s="309"/>
      <c r="BZ64" s="309"/>
      <c r="CA64" s="309"/>
      <c r="CB64" s="309"/>
      <c r="CC64" s="309"/>
      <c r="CD64" s="309"/>
      <c r="CE64" s="309"/>
      <c r="CF64" s="309"/>
      <c r="CG64" s="309"/>
      <c r="CH64" s="309"/>
      <c r="CI64" s="667"/>
      <c r="CJ64" s="298"/>
      <c r="CK64" s="666"/>
      <c r="CL64" s="484" t="str">
        <f t="shared" ref="CL64" si="283">IF(AND(ISNUMBER(CL63), ISNUMBER(CL62)), IF(CL63&lt;=CL62, "Pass", "Fail"),"")</f>
        <v>Pass</v>
      </c>
      <c r="CM64" s="309"/>
      <c r="CN64" s="309"/>
      <c r="CO64" s="484" t="str">
        <f t="shared" ref="CO64" si="284">IF(AND(ISNUMBER(CO63), ISNUMBER(CO62)), IF(CO63&lt;=CO62, "Pass", "Fail"),"")</f>
        <v>Pass</v>
      </c>
      <c r="CP64" s="484" t="str">
        <f t="shared" ref="CP64" si="285">IF(AND(ISNUMBER(CP63), ISNUMBER(CP62)), IF(CP63&lt;=CP62, "Pass", "Fail"),"")</f>
        <v>Pass</v>
      </c>
      <c r="CQ64" s="484" t="str">
        <f t="shared" ref="CQ64" si="286">IF(AND(ISNUMBER(CQ63), ISNUMBER(CQ62)), IF(CQ63&lt;=CQ62, "Pass", "Fail"),"")</f>
        <v>Pass</v>
      </c>
      <c r="CR64" s="582"/>
      <c r="CS64" s="583"/>
      <c r="CT64" s="1903" t="str">
        <f t="shared" ref="CT64:CY64" si="287">IF(AND(ISNUMBER(CT63), ISNUMBER(CT62)), IF(CT63&lt;=CT62, "Pass", "Fail"),"")</f>
        <v/>
      </c>
      <c r="CU64" s="1904" t="str">
        <f t="shared" si="287"/>
        <v/>
      </c>
      <c r="CV64" s="1904" t="str">
        <f t="shared" si="287"/>
        <v/>
      </c>
      <c r="CW64" s="1904" t="str">
        <f t="shared" si="287"/>
        <v/>
      </c>
      <c r="CX64" s="1904" t="str">
        <f t="shared" si="287"/>
        <v/>
      </c>
      <c r="CY64" s="1892" t="str">
        <f t="shared" si="287"/>
        <v/>
      </c>
      <c r="CZ64" s="1514"/>
    </row>
    <row r="65" spans="1:104" ht="15" customHeight="1" x14ac:dyDescent="0.35">
      <c r="A65" s="263"/>
      <c r="B65" s="569" t="s">
        <v>907</v>
      </c>
      <c r="C65" s="720">
        <f t="shared" ref="C65:L65" si="288">IF(AND(ISNUMBER(C17),ISNUMBER(C20),ISNUMBER(C36),ISNUMBER(C37),ISNUMBER(C38),ISNUMBER(C39), ISNUMBER(C40), ISNUMBER(C44), ISNUMBER(C41), ISNUMBER(C51),ISNUMBER(C55),ISNUMBER(C58), ISNUMBER(C62), ISNUMBER(C61)),SUM(C17, C20,C36,C37,C38,C39,C40,C44,C41,C51, C55, C58,C62,C61),"")</f>
        <v>26983467.988604952</v>
      </c>
      <c r="D65" s="720">
        <f t="shared" si="288"/>
        <v>46564.373208300036</v>
      </c>
      <c r="E65" s="720">
        <f t="shared" si="288"/>
        <v>0</v>
      </c>
      <c r="F65" s="720" t="str">
        <f t="shared" si="288"/>
        <v/>
      </c>
      <c r="G65" s="720">
        <f t="shared" si="288"/>
        <v>2051759.0062443283</v>
      </c>
      <c r="H65" s="720">
        <f t="shared" si="288"/>
        <v>29081791.368057579</v>
      </c>
      <c r="I65" s="720">
        <f t="shared" ref="I65" si="289">IF(AND(ISNUMBER(I17),ISNUMBER(I20),ISNUMBER(I36),ISNUMBER(I37),ISNUMBER(I38),ISNUMBER(I39), ISNUMBER(I40), ISNUMBER(I44), ISNUMBER(I41), ISNUMBER(I51),ISNUMBER(I55),ISNUMBER(I58), ISNUMBER(I62), ISNUMBER(I61)),SUM(I17, I20,I36,I37,I38,I39,I40,I44,I41,I51, I55, I58,I62,I61),"")</f>
        <v>9631893.5598569829</v>
      </c>
      <c r="J65" s="720">
        <f t="shared" ref="J65" si="290">IF(AND(ISNUMBER(J17),ISNUMBER(J20),ISNUMBER(J36),ISNUMBER(J37),ISNUMBER(J38),ISNUMBER(J39), ISNUMBER(J40), ISNUMBER(J44), ISNUMBER(J41), ISNUMBER(J51),ISNUMBER(J55),ISNUMBER(J58), ISNUMBER(J62), ISNUMBER(J61)),SUM(J17, J20,J36,J37,J38,J39,J40,J44,J41,J51, J55, J58,J62,J61),"")</f>
        <v>20785.771858999975</v>
      </c>
      <c r="K65" s="720">
        <f t="shared" ref="K65" si="291">IF(AND(ISNUMBER(K17),ISNUMBER(K20),ISNUMBER(K36),ISNUMBER(K37),ISNUMBER(K38),ISNUMBER(K39), ISNUMBER(K40), ISNUMBER(K44), ISNUMBER(K41), ISNUMBER(K51),ISNUMBER(K55),ISNUMBER(K58), ISNUMBER(K62), ISNUMBER(K61)),SUM(K17, K20,K36,K37,K38,K39,K40,K44,K41,K51, K55, K58,K62,K61),"")</f>
        <v>533498.07177869638</v>
      </c>
      <c r="L65" s="720">
        <f t="shared" si="288"/>
        <v>10186177.403494678</v>
      </c>
      <c r="M65" s="720">
        <f>IF(AND(ISNUMBER(M17),ISNUMBER(M20),ISNUMBER(M36),ISNUMBER(M37),ISNUMBER(M38),ISNUMBER(M39), ISNUMBER(M40), ISNUMBER(M44), ISNUMBER(M41), ISNUMBER(M51),ISNUMBER(M55),ISNUMBER(M58), ISNUMBER(M62), ISNUMBER(M61)),SUM(M17, M20,M36,M37,M38,M39,M40,M44,M41,M51, M55, M58,M62,M61),"")</f>
        <v>501799.92583319993</v>
      </c>
      <c r="N65" s="573">
        <f t="shared" ref="N65:Y65" si="292">IF(AND(ISNUMBER(N17),ISNUMBER(N20),ISNUMBER(N36),ISNUMBER(N37),ISNUMBER(N38),ISNUMBER(N39), ISNUMBER(N40), ISNUMBER(N44), ISNUMBER(N41), ISNUMBER(N58)),SUM(N17, N20,N36,N37,N38,N39,N40,N44,N41, N58),"")</f>
        <v>26748543.962604951</v>
      </c>
      <c r="O65" s="573">
        <f t="shared" si="292"/>
        <v>46564.373208300036</v>
      </c>
      <c r="P65" s="573">
        <f t="shared" si="292"/>
        <v>0</v>
      </c>
      <c r="Q65" s="573" t="str">
        <f t="shared" si="292"/>
        <v/>
      </c>
      <c r="R65" s="573">
        <f t="shared" si="292"/>
        <v>2051759.0062443283</v>
      </c>
      <c r="S65" s="573">
        <f t="shared" si="292"/>
        <v>28846867.342057578</v>
      </c>
      <c r="T65" s="573">
        <f t="shared" ref="T65" si="293">IF(AND(ISNUMBER(T17),ISNUMBER(T20),ISNUMBER(T36),ISNUMBER(T37),ISNUMBER(T38),ISNUMBER(T39), ISNUMBER(T40), ISNUMBER(T44), ISNUMBER(T41), ISNUMBER(T58)),SUM(T17, T20,T36,T37,T38,T39,T40,T44,T41, T58),"")</f>
        <v>8805254.5918569826</v>
      </c>
      <c r="U65" s="573">
        <f t="shared" ref="U65" si="294">IF(AND(ISNUMBER(U17),ISNUMBER(U20),ISNUMBER(U36),ISNUMBER(U37),ISNUMBER(U38),ISNUMBER(U39), ISNUMBER(U40), ISNUMBER(U44), ISNUMBER(U41), ISNUMBER(U58)),SUM(U17, U20,U36,U37,U38,U39,U40,U44,U41, U58),"")</f>
        <v>20785.771858999975</v>
      </c>
      <c r="V65" s="573">
        <f t="shared" ref="V65" si="295">IF(AND(ISNUMBER(V17),ISNUMBER(V20),ISNUMBER(V36),ISNUMBER(V37),ISNUMBER(V38),ISNUMBER(V39), ISNUMBER(V40), ISNUMBER(V44), ISNUMBER(V41), ISNUMBER(V58)),SUM(V17, V20,V36,V37,V38,V39,V40,V44,V41, V58),"")</f>
        <v>533498.07177869638</v>
      </c>
      <c r="W65" s="573">
        <f t="shared" si="292"/>
        <v>9359538.4354946781</v>
      </c>
      <c r="X65" s="573">
        <f t="shared" si="292"/>
        <v>497013.34783319995</v>
      </c>
      <c r="Y65" s="573">
        <f t="shared" si="292"/>
        <v>388807.46920310025</v>
      </c>
      <c r="Z65" s="573">
        <f t="shared" ref="Z65:AK65" si="296">IF(AND(ISNUMBER(Z17),ISNUMBER(Z20),ISNUMBER(Z36),ISNUMBER(Z37),ISNUMBER(Z38),ISNUMBER(Z39), ISNUMBER(Z58)),SUM(Z17, Z20,Z36,Z37,Z38,Z39,Z58),"")</f>
        <v>0</v>
      </c>
      <c r="AA65" s="573">
        <f t="shared" si="296"/>
        <v>0</v>
      </c>
      <c r="AB65" s="573">
        <f t="shared" si="296"/>
        <v>0</v>
      </c>
      <c r="AC65" s="573">
        <f t="shared" si="296"/>
        <v>0</v>
      </c>
      <c r="AD65" s="847">
        <f t="shared" si="296"/>
        <v>0</v>
      </c>
      <c r="AE65" s="573">
        <f t="shared" si="296"/>
        <v>0</v>
      </c>
      <c r="AF65" s="573">
        <f t="shared" ref="AF65" si="297">IF(AND(ISNUMBER(AF17),ISNUMBER(AF20),ISNUMBER(AF36),ISNUMBER(AF37),ISNUMBER(AF38),ISNUMBER(AF39), ISNUMBER(AF58)),SUM(AF17, AF20,AF36,AF37,AF38,AF39,AF58),"")</f>
        <v>0</v>
      </c>
      <c r="AG65" s="573">
        <f t="shared" ref="AG65" si="298">IF(AND(ISNUMBER(AG17),ISNUMBER(AG20),ISNUMBER(AG36),ISNUMBER(AG37),ISNUMBER(AG38),ISNUMBER(AG39), ISNUMBER(AG58)),SUM(AG17, AG20,AG36,AG37,AG38,AG39,AG58),"")</f>
        <v>0</v>
      </c>
      <c r="AH65" s="573">
        <f t="shared" ref="AH65" si="299">IF(AND(ISNUMBER(AH17),ISNUMBER(AH20),ISNUMBER(AH36),ISNUMBER(AH37),ISNUMBER(AH38),ISNUMBER(AH39), ISNUMBER(AH58)),SUM(AH17, AH20,AH36,AH37,AH38,AH39,AH58),"")</f>
        <v>0</v>
      </c>
      <c r="AI65" s="573">
        <f t="shared" si="296"/>
        <v>0</v>
      </c>
      <c r="AJ65" s="573">
        <f t="shared" si="296"/>
        <v>0</v>
      </c>
      <c r="AK65" s="573">
        <f t="shared" si="296"/>
        <v>0</v>
      </c>
      <c r="AL65" s="580">
        <f>+AL17+AL36+AL37+AL40+AL41+AL44</f>
        <v>75354.39310998877</v>
      </c>
      <c r="AM65" s="2542">
        <f>+AM17+AM36+AM37+AM40+AM41+AM44</f>
        <v>400111.9480400001</v>
      </c>
      <c r="AN65" s="2540">
        <v>0</v>
      </c>
      <c r="AO65" s="2540">
        <v>0</v>
      </c>
      <c r="AP65" s="573">
        <f t="shared" ref="AP65:AY65" si="300">IF(AND(ISNUMBER(AP17),ISNUMBER(AP20),ISNUMBER(AP36),ISNUMBER(AP37),ISNUMBER(AP38),ISNUMBER(AP39), ISNUMBER(AP40), ISNUMBER(AP44), ISNUMBER(AP41), ISNUMBER(AP55),ISNUMBER(AP58), ISNUMBER(AP62), ISNUMBER(AP61)),SUM(AP17, AP20,AP36,AP37,AP38,AP39,AP40,AP44,AP41, AP55, AP58,AP62,AP61),"")</f>
        <v>26748543.96260488</v>
      </c>
      <c r="AQ65" s="573">
        <f t="shared" si="300"/>
        <v>46564.373208299992</v>
      </c>
      <c r="AR65" s="573">
        <f t="shared" si="300"/>
        <v>0</v>
      </c>
      <c r="AS65" s="573">
        <f t="shared" si="300"/>
        <v>0</v>
      </c>
      <c r="AT65" s="573">
        <f t="shared" si="300"/>
        <v>2496272.986428733</v>
      </c>
      <c r="AU65" s="573">
        <f t="shared" si="300"/>
        <v>29291381.322241914</v>
      </c>
      <c r="AV65" s="573">
        <f t="shared" ref="AV65" si="301">IF(AND(ISNUMBER(AV17),ISNUMBER(AV20),ISNUMBER(AV36),ISNUMBER(AV37),ISNUMBER(AV38),ISNUMBER(AV39), ISNUMBER(AV40), ISNUMBER(AV44), ISNUMBER(AV41), ISNUMBER(AV55),ISNUMBER(AV58), ISNUMBER(AV62), ISNUMBER(AV61)),SUM(AV17, AV20,AV36,AV37,AV38,AV39,AV40,AV44,AV41, AV55, AV58,AV62,AV61),"")</f>
        <v>9724748.2678122558</v>
      </c>
      <c r="AW65" s="573">
        <f t="shared" ref="AW65" si="302">IF(AND(ISNUMBER(AW17),ISNUMBER(AW20),ISNUMBER(AW36),ISNUMBER(AW37),ISNUMBER(AW38),ISNUMBER(AW39), ISNUMBER(AW40), ISNUMBER(AW44), ISNUMBER(AW41), ISNUMBER(AW55),ISNUMBER(AW58), ISNUMBER(AW62), ISNUMBER(AW61)),SUM(AW17, AW20,AW36,AW37,AW38,AW39,AW40,AW44,AW41, AW55, AW58,AW62,AW61),"")</f>
        <v>20366.135113325126</v>
      </c>
      <c r="AX65" s="573">
        <f t="shared" ref="AX65" si="303">IF(AND(ISNUMBER(AX17),ISNUMBER(AX20),ISNUMBER(AX36),ISNUMBER(AX37),ISNUMBER(AX38),ISNUMBER(AX39), ISNUMBER(AX40), ISNUMBER(AX44), ISNUMBER(AX41), ISNUMBER(AX55),ISNUMBER(AX58), ISNUMBER(AX62), ISNUMBER(AX61)),SUM(AX17, AX20,AX36,AX37,AX38,AX39,AX40,AX44,AX41, AX55, AX58,AX62,AX61),"")</f>
        <v>609535.45102676679</v>
      </c>
      <c r="AY65" s="573">
        <f t="shared" si="300"/>
        <v>10354649.853952348</v>
      </c>
      <c r="AZ65" s="573">
        <f>IF(AND(ISNUMBER(AZ17),ISNUMBER(AZ20),ISNUMBER(AZ36),ISNUMBER(AZ37),ISNUMBER(AZ38),ISNUMBER(AZ39), ISNUMBER(AZ40), ISNUMBER(AZ44), ISNUMBER(AZ41),ISNUMBER(AZ55),ISNUMBER(AZ58), ISNUMBER(AZ62), ISNUMBER(AZ61)),SUM(AZ17, AZ20,AZ36,AZ37,AZ38,AZ39,AZ40,AZ44,AZ41, AZ55, AZ58,AZ62,AZ61),"")</f>
        <v>512589.34123688313</v>
      </c>
      <c r="BA65" s="573">
        <f>IF(AND(ISNUMBER(BA17), ISNUMBER(BA20), ISNUMBER(BA36), ISNUMBER(BA38), ISNUMBER(BA40), ISNUMBER(BA44), ISNUMBER(BA41), ISNUMBER(BA58)), SUM(BA17, BA20, BA36, BA38, BA40, BA44,BA41, BA58),"")</f>
        <v>25079623.008242778</v>
      </c>
      <c r="BB65" s="573">
        <f t="shared" ref="BB65:BJ65" si="304">IF(AND(ISNUMBER(BB17), ISNUMBER(BB20), ISNUMBER(BB36), ISNUMBER(BB38), ISNUMBER(BB40), ISNUMBER(BB44), ISNUMBER(BB41), ISNUMBER(BB58)), SUM(BB17, BB20, BB36, BB38, BB40, BB44,BB41, BB58),"")</f>
        <v>38067.185605899991</v>
      </c>
      <c r="BC65" s="573">
        <f t="shared" si="304"/>
        <v>0</v>
      </c>
      <c r="BD65" s="573">
        <f t="shared" si="304"/>
        <v>0</v>
      </c>
      <c r="BE65" s="573">
        <f t="shared" si="304"/>
        <v>2170599.0308097331</v>
      </c>
      <c r="BF65" s="573">
        <f t="shared" si="304"/>
        <v>27288289.224658411</v>
      </c>
      <c r="BG65" s="573">
        <f t="shared" si="304"/>
        <v>8855665.0217838865</v>
      </c>
      <c r="BH65" s="573">
        <f t="shared" si="304"/>
        <v>18051.921011636918</v>
      </c>
      <c r="BI65" s="573">
        <f t="shared" si="304"/>
        <v>460143.9953842783</v>
      </c>
      <c r="BJ65" s="573">
        <f t="shared" si="304"/>
        <v>9333860.9381798021</v>
      </c>
      <c r="BK65" s="573">
        <f>IF(AND(ISNUMBER(BK17), ISNUMBER(BK20), ISNUMBER(BK36), ISNUMBER(BK38), ISNUMBER(BK40), ISNUMBER(BK44), ISNUMBER(BK41), ISNUMBER(BK58)), SUM(BK17, BK20, BK36, BK38, BK40, BK44,BK41, BK58),"")</f>
        <v>506882.7539222468</v>
      </c>
      <c r="BL65" s="573">
        <f>IF(AND(ISNUMBER(BL17), ISNUMBER(BL20), ISNUMBER(BL36), ISNUMBER(BL38), ISNUMBER(BL40), ISNUMBER(BL44), ISNUMBER(BL41), ISNUMBER(BL58)), SUM(BL17, BL20, BL36, BL38, BL40, BL44,BL41, BL58),"")</f>
        <v>386872.27148250019</v>
      </c>
      <c r="BM65" s="573">
        <f t="shared" ref="BM65:BX65" si="305">IF(AND(ISNUMBER(BM17), ISNUMBER(BM20), ISNUMBER(BM36), ISNUMBER(BM37), ISNUMBER(BM38), ISNUMBER(BM39), ISNUMBER(BM40), ISNUMBER(BM41), ISNUMBER(BM44), ISNUMBER(BM58)), SUM(BM17,BM20,BM36:BM41,BM44,BM58), "")</f>
        <v>1668920.9543621005</v>
      </c>
      <c r="BN65" s="573">
        <f t="shared" si="305"/>
        <v>8497.1876024000012</v>
      </c>
      <c r="BO65" s="573">
        <f t="shared" si="305"/>
        <v>0</v>
      </c>
      <c r="BP65" s="573">
        <f t="shared" si="305"/>
        <v>0</v>
      </c>
      <c r="BQ65" s="573">
        <f t="shared" si="305"/>
        <v>325673.95561899972</v>
      </c>
      <c r="BR65" s="573">
        <f t="shared" si="305"/>
        <v>2003092.0975835002</v>
      </c>
      <c r="BS65" s="573">
        <f t="shared" si="305"/>
        <v>869083.24602836824</v>
      </c>
      <c r="BT65" s="573">
        <f t="shared" si="305"/>
        <v>2314.2141016882069</v>
      </c>
      <c r="BU65" s="573">
        <f t="shared" si="305"/>
        <v>149391.45564248855</v>
      </c>
      <c r="BV65" s="573">
        <f t="shared" si="305"/>
        <v>1020788.9157725449</v>
      </c>
      <c r="BW65" s="573">
        <f t="shared" si="305"/>
        <v>5706.5873146362674</v>
      </c>
      <c r="BX65" s="573">
        <f t="shared" si="305"/>
        <v>1935.1977205999999</v>
      </c>
      <c r="BY65" s="573" t="str">
        <f t="shared" ref="BY65:CI65" si="306">IF($C$7="No", IF(ISNUMBER(BY51), BY51, ""), IF(AND(ISNUMBER(BY17), ISNUMBER(BY20), ISNUMBER(BY36), ISNUMBER(BY37), ISNUMBER(BY38), ISNUMBER(BY39), ISNUMBER(BY40), ISNUMBER(BY44), ISNUMBER(BY41), ISNUMBER(BY51), ISNUMBER(BY55), ISNUMBER(BY58), ISNUMBER(BY61), ISNUMBER(BY62)), SUM(BY17, BY20, BY36, BY37, BY38, BY39, BY40, BY44, BY41, BY51, BY55, BY58, BY61, BY62),""))</f>
        <v/>
      </c>
      <c r="BZ65" s="573">
        <f t="shared" si="306"/>
        <v>234924.02600000001</v>
      </c>
      <c r="CA65" s="573">
        <f t="shared" si="306"/>
        <v>0</v>
      </c>
      <c r="CB65" s="573">
        <f t="shared" si="306"/>
        <v>0</v>
      </c>
      <c r="CC65" s="573" t="str">
        <f t="shared" si="306"/>
        <v/>
      </c>
      <c r="CD65" s="573">
        <f t="shared" si="306"/>
        <v>0</v>
      </c>
      <c r="CE65" s="573">
        <f t="shared" si="306"/>
        <v>234924.02600000001</v>
      </c>
      <c r="CF65" s="573">
        <f t="shared" si="306"/>
        <v>587310.06500000006</v>
      </c>
      <c r="CG65" s="573">
        <f t="shared" si="306"/>
        <v>0</v>
      </c>
      <c r="CH65" s="573">
        <f t="shared" si="306"/>
        <v>0</v>
      </c>
      <c r="CI65" s="847">
        <f t="shared" si="306"/>
        <v>587310.06500000006</v>
      </c>
      <c r="CJ65" s="298"/>
      <c r="CK65" s="319"/>
      <c r="CL65" s="573">
        <f>IF(AND(ISNUMBER(CL17), ISNUMBER(CL20), ISNUMBER(CL36), ISNUMBER(CL37), ISNUMBER(CL38), ISNUMBER(CL39), ISNUMBER(CL40), ISNUMBER(CL44), ISNUMBER(CL41), ISNUMBER(CL55),ISNUMBER(CL58), ISNUMBER(CL62), ISNUMBER(CL61)), SUM(CL17, CL20, CL36:CL41, CL44, CL55, CL58, CL61, CL62), "")</f>
        <v>0</v>
      </c>
      <c r="CM65" s="573">
        <f>IF(AND(ISNUMBER(CM17), ISNUMBER(CM20), ISNUMBER(CM36), ISNUMBER(CM37), ISNUMBER(CM38), ISNUMBER(CM39), ISNUMBER(CM40), ISNUMBER(CM44), ISNUMBER(CM41), ISNUMBER(CM55),ISNUMBER(CM58), ISNUMBER(CM61), ISNUMBER(CM62)), SUM(CM17, CM20, CM36:CM41, CM44, CM55, CM58, CM61, CM62), "")</f>
        <v>0</v>
      </c>
      <c r="CN65" s="573">
        <f>IF(AND(ISNUMBER(CN17), ISNUMBER(CN20), ISNUMBER(CN36), ISNUMBER(CN37), ISNUMBER(CN38), ISNUMBER(CN39), ISNUMBER(CN40), ISNUMBER(CN44), ISNUMBER(CN41), ISNUMBER(CN55),ISNUMBER(CN58), ISNUMBER(CN61)), SUM(CN17, CN20, CN36, CN37:CN41, CN44, CN55, CN58, CN61),"")</f>
        <v>0</v>
      </c>
      <c r="CO65" s="573">
        <f>IF(AND(ISNUMBER(CO17), ISNUMBER(CO20), ISNUMBER(CO36), ISNUMBER(CO37), ISNUMBER(CO38), ISNUMBER(CO39), ISNUMBER(CO40), ISNUMBER(CO44), ISNUMBER(CO41), ISNUMBER(CO51), ISNUMBER(CO55),ISNUMBER(CO58), ISNUMBER(CO62), ISNUMBER(CO61)), SUM(CO17, CO20, CO36:CO41, CO44, CO51, CO55, CO58, CO61, CO62), "")</f>
        <v>29050839.00709141</v>
      </c>
      <c r="CP65" s="573">
        <f>IF(AND(ISNUMBER(CP17), ISNUMBER(CP20), ISNUMBER(CP36), ISNUMBER(CP37), ISNUMBER(CP38), ISNUMBER(CP39), ISNUMBER(CP40), ISNUMBER(CP44), ISNUMBER(CP41), ISNUMBER(CP51), ISNUMBER(CP55),ISNUMBER(CP58), ISNUMBER(CP62), ISNUMBER(CP61)), SUM(CP17, CP20, CP36:CP41, CP44, CP51, CP55, CP58, CP61, CP62), "")</f>
        <v>46504.616820260038</v>
      </c>
      <c r="CQ65" s="573">
        <f>IF(AND(ISNUMBER(CQ17), ISNUMBER(CQ20), ISNUMBER(CQ36), ISNUMBER(CQ37), ISNUMBER(CQ38), ISNUMBER(CQ39), ISNUMBER(CQ40), ISNUMBER(CQ44), ISNUMBER(CQ41), ISNUMBER(CQ51), ISNUMBER(CQ55),ISNUMBER(CQ58), ISNUMBER(CQ62), ISNUMBER(CQ61)), SUM(CQ17, CQ20, CQ36:CQ41, CQ44, CQ51, CQ55, CQ58, CQ61, CQ62), "")</f>
        <v>21331683.692128409</v>
      </c>
      <c r="CR65" s="582"/>
      <c r="CS65" s="583"/>
      <c r="CT65" s="1534" t="str">
        <f t="shared" ref="CT65:CY65" si="307">IF(AND(ISNUMBER(CT17), ISNUMBER(CT20), ISNUMBER(CT36), ISNUMBER(CT37), ISNUMBER(CT38), ISNUMBER(CT39), ISNUMBER(CT40), ISNUMBER(CT44), ISNUMBER(CT41), ISNUMBER(CT51), ISNUMBER(CT55),ISNUMBER(CT58), ISNUMBER(CT62), ISNUMBER(CT61)), SUM(CT17, CT20, CT36:CT41, CT44, CT51, CT55, CT58, CT61, CT62), "")</f>
        <v/>
      </c>
      <c r="CU65" s="573" t="str">
        <f t="shared" si="307"/>
        <v/>
      </c>
      <c r="CV65" s="573" t="str">
        <f t="shared" si="307"/>
        <v/>
      </c>
      <c r="CW65" s="573" t="str">
        <f t="shared" si="307"/>
        <v/>
      </c>
      <c r="CX65" s="573" t="str">
        <f t="shared" si="307"/>
        <v/>
      </c>
      <c r="CY65" s="847" t="str">
        <f t="shared" si="307"/>
        <v/>
      </c>
      <c r="CZ65" s="1514"/>
    </row>
    <row r="66" spans="1:104" ht="15" customHeight="1" x14ac:dyDescent="0.35">
      <c r="A66" s="263"/>
      <c r="B66" s="753" t="s">
        <v>908</v>
      </c>
      <c r="C66" s="186">
        <f t="shared" ref="C66:M66" si="308">IF(ISNUMBER(C65),C65-C51, "")</f>
        <v>26748543.962604951</v>
      </c>
      <c r="D66" s="186">
        <f t="shared" si="308"/>
        <v>46564.373208300036</v>
      </c>
      <c r="E66" s="186">
        <f t="shared" si="308"/>
        <v>0</v>
      </c>
      <c r="F66" s="186" t="str">
        <f t="shared" si="308"/>
        <v/>
      </c>
      <c r="G66" s="186">
        <f t="shared" si="308"/>
        <v>2051759.0062443283</v>
      </c>
      <c r="H66" s="186">
        <f t="shared" si="308"/>
        <v>28846867.342057578</v>
      </c>
      <c r="I66" s="186">
        <f t="shared" ref="I66" si="309">IF(ISNUMBER(I65),I65-I51, "")</f>
        <v>8805254.5918569826</v>
      </c>
      <c r="J66" s="186">
        <f t="shared" ref="J66" si="310">IF(ISNUMBER(J65),J65-J51, "")</f>
        <v>20785.771858999975</v>
      </c>
      <c r="K66" s="186">
        <f t="shared" ref="K66" si="311">IF(ISNUMBER(K65),K65-K51, "")</f>
        <v>533498.07177869638</v>
      </c>
      <c r="L66" s="186">
        <f t="shared" si="308"/>
        <v>9359538.4354946781</v>
      </c>
      <c r="M66" s="186">
        <f t="shared" si="308"/>
        <v>497013.34783319995</v>
      </c>
      <c r="N66" s="298"/>
      <c r="O66" s="298"/>
      <c r="P66" s="298"/>
      <c r="Q66" s="298"/>
      <c r="R66" s="298"/>
      <c r="S66" s="298"/>
      <c r="T66" s="298"/>
      <c r="U66" s="298"/>
      <c r="V66" s="298"/>
      <c r="W66" s="298"/>
      <c r="X66" s="298"/>
      <c r="Y66" s="298"/>
      <c r="Z66" s="298"/>
      <c r="AA66" s="298"/>
      <c r="AB66" s="298"/>
      <c r="AC66" s="298"/>
      <c r="AD66" s="316"/>
      <c r="AE66" s="298"/>
      <c r="AF66" s="298"/>
      <c r="AG66" s="298"/>
      <c r="AH66" s="298"/>
      <c r="AI66" s="298"/>
      <c r="AJ66" s="298"/>
      <c r="AK66" s="298"/>
      <c r="AL66" s="186">
        <f t="shared" ref="AL66" si="312">IF(ISNUMBER(AL65),AL65-AL51, "")</f>
        <v>75354.39310998877</v>
      </c>
      <c r="AM66" s="186">
        <f t="shared" ref="AM66" si="313">IF(ISNUMBER(AM65),AM65-AM51, "")</f>
        <v>400111.9480400001</v>
      </c>
      <c r="AN66" s="186">
        <f t="shared" ref="AN66" si="314">IF(ISNUMBER(AN65),AN65-AN51, "")</f>
        <v>0</v>
      </c>
      <c r="AO66" s="186">
        <f t="shared" ref="AO66" si="315">IF(ISNUMBER(AO65),AO65-AO51, "")</f>
        <v>0</v>
      </c>
      <c r="AP66" s="298"/>
      <c r="AQ66" s="298"/>
      <c r="AR66" s="298"/>
      <c r="AS66" s="298"/>
      <c r="AT66" s="298"/>
      <c r="AU66" s="298"/>
      <c r="AV66" s="298"/>
      <c r="AW66" s="298"/>
      <c r="AX66" s="298"/>
      <c r="AY66" s="298"/>
      <c r="AZ66" s="298"/>
      <c r="BA66" s="298"/>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316"/>
      <c r="CJ66" s="298"/>
      <c r="CK66" s="319"/>
      <c r="CL66" s="298"/>
      <c r="CM66" s="298"/>
      <c r="CN66" s="298"/>
      <c r="CO66" s="298"/>
      <c r="CP66" s="298"/>
      <c r="CQ66" s="298"/>
      <c r="CR66" s="582"/>
      <c r="CS66" s="583"/>
      <c r="CT66" s="1535"/>
      <c r="CU66" s="298"/>
      <c r="CV66" s="298"/>
      <c r="CW66" s="298"/>
      <c r="CX66" s="298"/>
      <c r="CY66" s="316"/>
      <c r="CZ66" s="1514"/>
    </row>
    <row r="67" spans="1:104" ht="15" customHeight="1" x14ac:dyDescent="0.35">
      <c r="A67" s="263"/>
      <c r="B67" s="754" t="str">
        <f>"Check: DefCap provisioning data versus row " &amp; ROW(B65)</f>
        <v>Check: DefCap provisioning data versus row 65</v>
      </c>
      <c r="C67" s="234"/>
      <c r="D67" s="234"/>
      <c r="E67" s="234"/>
      <c r="F67" s="234"/>
      <c r="G67" s="234"/>
      <c r="H67" s="234"/>
      <c r="I67" s="234"/>
      <c r="J67" s="234"/>
      <c r="K67" s="234"/>
      <c r="L67" s="234"/>
      <c r="M67" s="234"/>
      <c r="N67" s="317"/>
      <c r="O67" s="317"/>
      <c r="P67" s="317"/>
      <c r="Q67" s="317"/>
      <c r="R67" s="317"/>
      <c r="S67" s="317"/>
      <c r="T67" s="317"/>
      <c r="U67" s="317"/>
      <c r="V67" s="317"/>
      <c r="W67" s="317"/>
      <c r="X67" s="317"/>
      <c r="Y67" s="317"/>
      <c r="Z67" s="317"/>
      <c r="AA67" s="317"/>
      <c r="AB67" s="317"/>
      <c r="AC67" s="317"/>
      <c r="AD67" s="318"/>
      <c r="AE67" s="317"/>
      <c r="AF67" s="317"/>
      <c r="AG67" s="317"/>
      <c r="AH67" s="317"/>
      <c r="AI67" s="317"/>
      <c r="AJ67" s="317"/>
      <c r="AK67" s="317"/>
      <c r="AL67" s="2559" t="str">
        <f>IF(AND(ISNUMBER($AL$65),ISNUMBER($AM$65),ISNUMBER($AN$65),ISNUMBER($AO$65), ISNUMBER(DefCap!$D$8)), IF(AND(SUM($AL$65:$AO$65) &gt; 0.5 * SUM(DefCap!$D$8, DefCap!$D$10), SUM($AL$65:$AO$65) &lt; 1.01 * SUM(DefCap!$D$8, DefCap!$D$10)), IF(SUM($AL$65:$AO$65) &gt; 0.85 * SUM(DefCap!$D$8, DefCap!$D$10), "Pass", "Please check"), "Fail"),IF(OR(AND(ISBLANK($AL$65),SUM($AL$17,$AL$20,$AL$36:$AL$41,$AL$44,$AL$51,$AL$56,$AL$58,$AL$62)&gt;0),AND(ISBLANK($AM$65),SUM($AM$17,$AM$20,$AM$36:$AM$41,$AM$44,$AM$51,$AM$56,$AM$58,$AM$62)&gt;0),AND(ISBLANK($AN$65), SUM($AN$17,$AN$20,$AN$36:$AN$41,$AN$44,$AN$51,$AN$56,$AN$58,$AN$62)&gt;0),AND(ISBLANK($AO$65), SUM($AO$17,$AO$20,$AO$36:$AO$41,$AO$44,$AO$51,$AO$56,$AO$58,$AO$62)&gt;0)),"Please fill in all mandatory cells AO60:AR60",""))</f>
        <v>Pass</v>
      </c>
      <c r="AM67" s="2560"/>
      <c r="AN67" s="2560"/>
      <c r="AO67" s="2575"/>
      <c r="AP67" s="317"/>
      <c r="AQ67" s="317"/>
      <c r="AR67" s="317"/>
      <c r="AS67" s="317"/>
      <c r="AT67" s="317"/>
      <c r="AU67" s="317"/>
      <c r="AV67" s="317"/>
      <c r="AW67" s="317"/>
      <c r="AX67" s="317"/>
      <c r="AY67" s="317"/>
      <c r="AZ67" s="317"/>
      <c r="BA67" s="317"/>
      <c r="BB67" s="317"/>
      <c r="BC67" s="317"/>
      <c r="BD67" s="317"/>
      <c r="BE67" s="317"/>
      <c r="BF67" s="317"/>
      <c r="BG67" s="317"/>
      <c r="BH67" s="317"/>
      <c r="BI67" s="317"/>
      <c r="BJ67" s="317"/>
      <c r="BK67" s="317"/>
      <c r="BL67" s="317"/>
      <c r="BM67" s="317"/>
      <c r="BN67" s="317"/>
      <c r="BO67" s="317"/>
      <c r="BP67" s="317"/>
      <c r="BQ67" s="317"/>
      <c r="BR67" s="317"/>
      <c r="BS67" s="317"/>
      <c r="BT67" s="317"/>
      <c r="BU67" s="317"/>
      <c r="BV67" s="317"/>
      <c r="BW67" s="317"/>
      <c r="BX67" s="317"/>
      <c r="BY67" s="317"/>
      <c r="BZ67" s="317"/>
      <c r="CA67" s="317"/>
      <c r="CB67" s="317"/>
      <c r="CC67" s="317"/>
      <c r="CD67" s="317"/>
      <c r="CE67" s="317"/>
      <c r="CF67" s="317"/>
      <c r="CG67" s="317"/>
      <c r="CH67" s="317"/>
      <c r="CI67" s="318"/>
      <c r="CJ67" s="317"/>
      <c r="CK67" s="320"/>
      <c r="CL67" s="317"/>
      <c r="CM67" s="317"/>
      <c r="CN67" s="317"/>
      <c r="CO67" s="317"/>
      <c r="CP67" s="317"/>
      <c r="CQ67" s="317"/>
      <c r="CR67" s="584"/>
      <c r="CS67" s="585"/>
      <c r="CT67" s="1536"/>
      <c r="CU67" s="317"/>
      <c r="CV67" s="317"/>
      <c r="CW67" s="317"/>
      <c r="CX67" s="317"/>
      <c r="CY67" s="318"/>
      <c r="CZ67" s="1514"/>
    </row>
    <row r="68" spans="1:104" ht="60" customHeight="1" x14ac:dyDescent="0.35">
      <c r="A68" s="263"/>
      <c r="B68" s="1352" t="s">
        <v>909</v>
      </c>
      <c r="C68" s="568">
        <f t="shared" ref="C68" si="316">IF(AND(ISNUMBER(N68),ISNUMBER(Z68)),SUM(N68,Z68),"")</f>
        <v>0</v>
      </c>
      <c r="D68" s="568">
        <f t="shared" ref="D68" si="317">IF(AND(ISNUMBER(O68),ISNUMBER(AA68)),SUM(O68,AA68),"")</f>
        <v>0</v>
      </c>
      <c r="E68" s="568">
        <f t="shared" ref="E68" si="318">IF(AND(ISNUMBER(P68),ISNUMBER(AB68)),SUM(P68,AB68),"")</f>
        <v>0</v>
      </c>
      <c r="F68" s="568">
        <f t="shared" ref="F68" si="319">IF(AND(ISNUMBER(Q68),ISNUMBER(AC68)),SUM(Q68,AC68),"")</f>
        <v>0</v>
      </c>
      <c r="G68" s="568">
        <f t="shared" ref="G68" si="320">IF(AND(ISNUMBER(R68),ISNUMBER(AD68)),SUM(R68,AD68),"")</f>
        <v>0</v>
      </c>
      <c r="H68" s="568">
        <f t="shared" ref="H68" si="321">IF(AND(ISNUMBER(C68),ISNUMBER(D68),ISNUMBER(G68)),SUM(C68,D68,G68),"")</f>
        <v>0</v>
      </c>
      <c r="I68" s="568">
        <f t="shared" ref="I68" si="322">IF(AND(ISNUMBER(T68),ISNUMBER(AF68)),SUM(T68,AF68),"")</f>
        <v>0</v>
      </c>
      <c r="J68" s="568">
        <f t="shared" ref="J68" si="323">IF(AND(ISNUMBER(U68),ISNUMBER(AG68)),SUM(U68,AG68),"")</f>
        <v>0</v>
      </c>
      <c r="K68" s="568">
        <f t="shared" ref="K68" si="324">IF(AND(ISNUMBER(V68),ISNUMBER(AH68)),SUM(V68,AH68),"")</f>
        <v>0</v>
      </c>
      <c r="L68" s="568">
        <f t="shared" ref="L68" si="325">IF(AND(ISNUMBER(W68),ISNUMBER(AI68)),SUM(W68,AI68),"")</f>
        <v>0</v>
      </c>
      <c r="M68" s="568">
        <f t="shared" ref="M68" si="326">IF(AND(ISNUMBER(X68),ISNUMBER(AJ68)),SUM(X68,AJ68),"")</f>
        <v>0</v>
      </c>
      <c r="N68" s="929">
        <v>0</v>
      </c>
      <c r="O68" s="2529">
        <v>0</v>
      </c>
      <c r="P68" s="2529">
        <v>0</v>
      </c>
      <c r="Q68" s="2529">
        <v>0</v>
      </c>
      <c r="R68" s="2529">
        <v>0</v>
      </c>
      <c r="S68" s="568">
        <f t="shared" ref="S68" si="327">IF(AND(ISNUMBER(N68),ISNUMBER(O68),ISNUMBER(R68)),SUM(N68,O68,R68),"")</f>
        <v>0</v>
      </c>
      <c r="T68" s="502">
        <v>0</v>
      </c>
      <c r="U68" s="2531">
        <v>0</v>
      </c>
      <c r="V68" s="2531">
        <v>0</v>
      </c>
      <c r="W68" s="568">
        <f t="shared" ref="W68" si="328">IF(AND(ISNUMBER(T68),ISNUMBER(U68),ISNUMBER(V68)),SUM(T68:V68), "")</f>
        <v>0</v>
      </c>
      <c r="X68" s="502">
        <v>0</v>
      </c>
      <c r="Y68" s="2531">
        <v>0</v>
      </c>
      <c r="Z68" s="2531">
        <v>0</v>
      </c>
      <c r="AA68" s="2531">
        <v>0</v>
      </c>
      <c r="AB68" s="2531">
        <v>0</v>
      </c>
      <c r="AC68" s="2531">
        <v>0</v>
      </c>
      <c r="AD68" s="2531">
        <v>0</v>
      </c>
      <c r="AE68" s="568">
        <f t="shared" ref="AE68" si="329">IF(AND(ISNUMBER(Z68),ISNUMBER(AA68),ISNUMBER(AD68)),SUM(Z68,AA68,AD68),"")</f>
        <v>0</v>
      </c>
      <c r="AF68" s="2540">
        <v>0</v>
      </c>
      <c r="AG68" s="2540">
        <v>0</v>
      </c>
      <c r="AH68" s="2540">
        <v>0</v>
      </c>
      <c r="AI68" s="568">
        <f>IF(AND(ISNUMBER(AF68),ISNUMBER(AG68),ISNUMBER(AH68)),SUM(AF68:AH68), "")</f>
        <v>0</v>
      </c>
      <c r="AJ68" s="2540">
        <v>0</v>
      </c>
      <c r="AK68" s="2540">
        <v>0</v>
      </c>
      <c r="AL68" s="2540">
        <v>0</v>
      </c>
      <c r="AM68" s="2540">
        <v>0</v>
      </c>
      <c r="AN68" s="2540">
        <v>0</v>
      </c>
      <c r="AO68" s="2540">
        <v>0</v>
      </c>
      <c r="AP68" s="1107"/>
      <c r="AQ68" s="1107"/>
      <c r="AR68" s="1107"/>
      <c r="AS68" s="1107"/>
      <c r="AT68" s="1296"/>
      <c r="AU68" s="1107"/>
      <c r="AV68" s="1354"/>
      <c r="AW68" s="1107"/>
      <c r="AX68" s="1296"/>
      <c r="AY68" s="1107"/>
      <c r="AZ68" s="1354"/>
      <c r="BA68" s="1355"/>
      <c r="BB68" s="1355"/>
      <c r="BC68" s="1355"/>
      <c r="BD68" s="1355"/>
      <c r="BE68" s="1355"/>
      <c r="BF68" s="1355"/>
      <c r="BG68" s="1355"/>
      <c r="BH68" s="1355"/>
      <c r="BI68" s="1355"/>
      <c r="BJ68" s="1355"/>
      <c r="BK68" s="1355"/>
      <c r="BL68" s="1355"/>
      <c r="BM68" s="1355"/>
      <c r="BN68" s="1355"/>
      <c r="BO68" s="1355"/>
      <c r="BP68" s="1355"/>
      <c r="BQ68" s="1355"/>
      <c r="BR68" s="1355"/>
      <c r="BS68" s="1355"/>
      <c r="BT68" s="1355"/>
      <c r="BU68" s="1355"/>
      <c r="BV68" s="1355"/>
      <c r="BW68" s="1355"/>
      <c r="BX68" s="1355"/>
      <c r="BY68" s="1107"/>
      <c r="BZ68" s="1107"/>
      <c r="CA68" s="1107"/>
      <c r="CB68" s="1107"/>
      <c r="CC68" s="1107"/>
      <c r="CD68" s="1107"/>
      <c r="CE68" s="1107"/>
      <c r="CF68" s="1107"/>
      <c r="CG68" s="1107"/>
      <c r="CH68" s="1107"/>
      <c r="CI68" s="1296"/>
      <c r="CJ68" s="1356"/>
      <c r="CK68" s="1357"/>
      <c r="CL68" s="1107"/>
      <c r="CM68" s="1107"/>
      <c r="CN68" s="1355"/>
      <c r="CO68" s="1107"/>
      <c r="CP68" s="1107"/>
      <c r="CQ68" s="1107"/>
      <c r="CR68" s="952"/>
      <c r="CS68" s="1358"/>
      <c r="CT68" s="1905"/>
      <c r="CU68" s="1906"/>
      <c r="CV68" s="1906"/>
      <c r="CW68" s="1906"/>
      <c r="CX68" s="1906"/>
      <c r="CY68" s="1906"/>
      <c r="CZ68" s="1514"/>
    </row>
    <row r="69" spans="1:104" ht="60" customHeight="1" x14ac:dyDescent="0.35">
      <c r="A69" s="263"/>
      <c r="B69" s="1353" t="s">
        <v>910</v>
      </c>
      <c r="C69" s="722">
        <f t="shared" ref="C69" si="330">IF(AND(ISNUMBER(N69),ISNUMBER(Z69)),SUM(N69,Z69),"")</f>
        <v>0</v>
      </c>
      <c r="D69" s="722">
        <f t="shared" ref="D69" si="331">IF(AND(ISNUMBER(O69),ISNUMBER(AA69)),SUM(O69,AA69),"")</f>
        <v>0</v>
      </c>
      <c r="E69" s="722">
        <f t="shared" ref="E69" si="332">IF(AND(ISNUMBER(P69),ISNUMBER(AB69)),SUM(P69,AB69),"")</f>
        <v>0</v>
      </c>
      <c r="F69" s="722">
        <f t="shared" ref="F69" si="333">IF(AND(ISNUMBER(Q69),ISNUMBER(AC69)),SUM(Q69,AC69),"")</f>
        <v>0</v>
      </c>
      <c r="G69" s="722">
        <f t="shared" ref="G69" si="334">IF(AND(ISNUMBER(R69),ISNUMBER(AD69)),SUM(R69,AD69),"")</f>
        <v>0</v>
      </c>
      <c r="H69" s="722">
        <f t="shared" ref="H69" si="335">IF(AND(ISNUMBER(C69),ISNUMBER(D69),ISNUMBER(G69)),SUM(C69,D69,G69),"")</f>
        <v>0</v>
      </c>
      <c r="I69" s="722">
        <f t="shared" ref="I69" si="336">IF(AND(ISNUMBER(T69),ISNUMBER(AF69)),SUM(T69,AF69),"")</f>
        <v>0</v>
      </c>
      <c r="J69" s="722">
        <f t="shared" ref="J69" si="337">IF(AND(ISNUMBER(U69),ISNUMBER(AG69)),SUM(U69,AG69),"")</f>
        <v>0</v>
      </c>
      <c r="K69" s="722">
        <f t="shared" ref="K69" si="338">IF(AND(ISNUMBER(V69),ISNUMBER(AH69)),SUM(V69,AH69),"")</f>
        <v>0</v>
      </c>
      <c r="L69" s="722">
        <f t="shared" ref="L69" si="339">IF(AND(ISNUMBER(W69),ISNUMBER(AI69)),SUM(W69,AI69),"")</f>
        <v>0</v>
      </c>
      <c r="M69" s="722">
        <f t="shared" ref="M69" si="340">IF(AND(ISNUMBER(X69),ISNUMBER(AJ69)),SUM(X69,AJ69),"")</f>
        <v>0</v>
      </c>
      <c r="N69" s="900">
        <v>0</v>
      </c>
      <c r="O69" s="2530">
        <v>0</v>
      </c>
      <c r="P69" s="2530">
        <v>0</v>
      </c>
      <c r="Q69" s="2530">
        <v>0</v>
      </c>
      <c r="R69" s="2530">
        <v>0</v>
      </c>
      <c r="S69" s="722">
        <f t="shared" ref="S69" si="341">IF(AND(ISNUMBER(N69),ISNUMBER(O69),ISNUMBER(R69)),SUM(N69,O69,R69),"")</f>
        <v>0</v>
      </c>
      <c r="T69" s="503">
        <v>0</v>
      </c>
      <c r="U69" s="2532">
        <v>0</v>
      </c>
      <c r="V69" s="2532">
        <v>0</v>
      </c>
      <c r="W69" s="722">
        <f t="shared" ref="W69" si="342">IF(AND(ISNUMBER(T69),ISNUMBER(U69),ISNUMBER(V69)),SUM(T69:V69), "")</f>
        <v>0</v>
      </c>
      <c r="X69" s="503">
        <v>0</v>
      </c>
      <c r="Y69" s="2532">
        <v>0</v>
      </c>
      <c r="Z69" s="2532">
        <v>0</v>
      </c>
      <c r="AA69" s="2532">
        <v>0</v>
      </c>
      <c r="AB69" s="2532">
        <v>0</v>
      </c>
      <c r="AC69" s="2532">
        <v>0</v>
      </c>
      <c r="AD69" s="2532">
        <v>0</v>
      </c>
      <c r="AE69" s="722">
        <f t="shared" ref="AE69" si="343">IF(AND(ISNUMBER(Z69),ISNUMBER(AA69),ISNUMBER(AD69)),SUM(Z69,AA69,AD69),"")</f>
        <v>0</v>
      </c>
      <c r="AF69" s="2540">
        <v>0</v>
      </c>
      <c r="AG69" s="2540">
        <v>0</v>
      </c>
      <c r="AH69" s="2540">
        <v>0</v>
      </c>
      <c r="AI69" s="722">
        <f>IF(AND(ISNUMBER(AF69),ISNUMBER(AG69),ISNUMBER(AH69)),SUM(AF69:AH69), "")</f>
        <v>0</v>
      </c>
      <c r="AJ69" s="2540">
        <v>0</v>
      </c>
      <c r="AK69" s="2540">
        <v>0</v>
      </c>
      <c r="AL69" s="2540">
        <v>0</v>
      </c>
      <c r="AM69" s="2540">
        <v>0</v>
      </c>
      <c r="AN69" s="2540">
        <v>0</v>
      </c>
      <c r="AO69" s="2540">
        <v>0</v>
      </c>
      <c r="AP69" s="1184"/>
      <c r="AQ69" s="1184"/>
      <c r="AR69" s="1184"/>
      <c r="AS69" s="1184"/>
      <c r="AT69" s="1350"/>
      <c r="AU69" s="1184"/>
      <c r="AV69" s="1359"/>
      <c r="AW69" s="1184"/>
      <c r="AX69" s="1350"/>
      <c r="AY69" s="1184"/>
      <c r="AZ69" s="1359"/>
      <c r="BA69" s="1209"/>
      <c r="BB69" s="1209"/>
      <c r="BC69" s="1209"/>
      <c r="BD69" s="1209"/>
      <c r="BE69" s="1209"/>
      <c r="BF69" s="1209"/>
      <c r="BG69" s="1209"/>
      <c r="BH69" s="1209"/>
      <c r="BI69" s="1209"/>
      <c r="BJ69" s="1209"/>
      <c r="BK69" s="1209"/>
      <c r="BL69" s="1209"/>
      <c r="BM69" s="1209"/>
      <c r="BN69" s="1209"/>
      <c r="BO69" s="1209"/>
      <c r="BP69" s="1209"/>
      <c r="BQ69" s="1209"/>
      <c r="BR69" s="1209"/>
      <c r="BS69" s="1209"/>
      <c r="BT69" s="1209"/>
      <c r="BU69" s="1209"/>
      <c r="BV69" s="1209"/>
      <c r="BW69" s="1209"/>
      <c r="BX69" s="1209"/>
      <c r="BY69" s="1184"/>
      <c r="BZ69" s="1184"/>
      <c r="CA69" s="1184"/>
      <c r="CB69" s="1184"/>
      <c r="CC69" s="1184"/>
      <c r="CD69" s="1184"/>
      <c r="CE69" s="1184"/>
      <c r="CF69" s="1184"/>
      <c r="CG69" s="1184"/>
      <c r="CH69" s="1184"/>
      <c r="CI69" s="1350"/>
      <c r="CJ69" s="1360"/>
      <c r="CK69" s="618"/>
      <c r="CL69" s="1184"/>
      <c r="CM69" s="1184"/>
      <c r="CN69" s="1209"/>
      <c r="CO69" s="1184"/>
      <c r="CP69" s="1184"/>
      <c r="CQ69" s="1184"/>
      <c r="CR69" s="1324"/>
      <c r="CS69" s="1361"/>
      <c r="CT69" s="1907"/>
      <c r="CU69" s="1908"/>
      <c r="CV69" s="1908"/>
      <c r="CW69" s="1908"/>
      <c r="CX69" s="1908"/>
      <c r="CY69" s="1908"/>
      <c r="CZ69" s="1514"/>
    </row>
    <row r="70" spans="1:104" ht="15" customHeight="1" x14ac:dyDescent="0.35">
      <c r="A70" s="717"/>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75"/>
      <c r="AE70" s="275"/>
      <c r="AF70" s="275"/>
      <c r="AG70" s="275"/>
      <c r="AH70" s="275"/>
      <c r="AI70" s="275"/>
      <c r="AJ70" s="275"/>
      <c r="AK70" s="275"/>
      <c r="AL70" s="275"/>
      <c r="AM70" s="275"/>
      <c r="AN70" s="275"/>
      <c r="AO70" s="275"/>
      <c r="AP70" s="275"/>
      <c r="AQ70" s="275"/>
      <c r="AR70" s="275"/>
      <c r="AS70" s="275"/>
      <c r="AT70" s="275"/>
      <c r="AU70" s="275"/>
      <c r="AV70" s="275"/>
      <c r="AW70" s="275"/>
      <c r="AX70" s="275"/>
      <c r="AY70" s="275"/>
      <c r="AZ70" s="275"/>
      <c r="BA70" s="275"/>
      <c r="BB70" s="275"/>
      <c r="BC70" s="275"/>
      <c r="BD70" s="275"/>
      <c r="BE70" s="275"/>
      <c r="BF70" s="275"/>
      <c r="BG70" s="275"/>
      <c r="BH70" s="275"/>
      <c r="BI70" s="275"/>
      <c r="BJ70" s="275"/>
      <c r="BK70" s="275"/>
      <c r="BL70" s="275"/>
      <c r="BM70" s="275"/>
      <c r="BN70" s="275"/>
      <c r="BO70" s="275"/>
      <c r="BP70" s="275"/>
      <c r="BQ70" s="275"/>
      <c r="BR70" s="275"/>
      <c r="BS70" s="275"/>
      <c r="BT70" s="275"/>
      <c r="BU70" s="275"/>
      <c r="BV70" s="275"/>
      <c r="BW70" s="275"/>
      <c r="BX70" s="275"/>
      <c r="BY70" s="275"/>
      <c r="BZ70" s="275"/>
      <c r="CA70" s="275"/>
      <c r="CB70" s="275"/>
      <c r="CC70" s="275"/>
      <c r="CD70" s="275"/>
      <c r="CE70" s="275"/>
      <c r="CF70" s="275"/>
      <c r="CG70" s="275"/>
      <c r="CH70" s="275"/>
      <c r="CI70" s="275"/>
      <c r="CJ70" s="275"/>
      <c r="CK70" s="275"/>
      <c r="CL70" s="275"/>
      <c r="CM70" s="275"/>
      <c r="CN70" s="275"/>
      <c r="CO70" s="275"/>
      <c r="CP70" s="275"/>
      <c r="CQ70" s="275"/>
      <c r="CR70" s="275"/>
      <c r="CS70" s="275"/>
      <c r="CT70" s="1516"/>
      <c r="CU70" s="1516"/>
      <c r="CV70" s="1516"/>
      <c r="CW70" s="1516"/>
      <c r="CX70" s="1516"/>
      <c r="CY70" s="1516"/>
      <c r="CZ70" s="1515"/>
    </row>
    <row r="71" spans="1:104" ht="45" customHeight="1" x14ac:dyDescent="0.35">
      <c r="A71" s="311" t="s">
        <v>911</v>
      </c>
      <c r="B71" s="312"/>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315"/>
    </row>
    <row r="72" spans="1:104" ht="15" customHeight="1" x14ac:dyDescent="0.45">
      <c r="A72" s="311"/>
      <c r="B72" s="741"/>
      <c r="C72" s="2765" t="s">
        <v>735</v>
      </c>
      <c r="D72" s="2765"/>
      <c r="E72" s="2765"/>
      <c r="F72" s="2765"/>
      <c r="G72" s="2765"/>
      <c r="H72" s="2765"/>
      <c r="I72" s="2765"/>
      <c r="J72" s="2765"/>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c r="BY72" s="98"/>
      <c r="BZ72" s="98"/>
      <c r="CA72" s="98"/>
      <c r="CB72" s="98"/>
      <c r="CC72" s="98"/>
      <c r="CD72" s="98"/>
      <c r="CE72" s="98"/>
      <c r="CF72" s="98"/>
      <c r="CG72" s="98"/>
      <c r="CH72" s="98"/>
      <c r="CI72" s="98"/>
      <c r="CJ72" s="98"/>
      <c r="CK72" s="98"/>
      <c r="CL72" s="98"/>
      <c r="CM72" s="98"/>
      <c r="CN72" s="98"/>
      <c r="CO72" s="98"/>
      <c r="CP72" s="98"/>
      <c r="CQ72" s="98"/>
      <c r="CR72" s="98"/>
      <c r="CS72" s="98"/>
      <c r="CT72" s="98"/>
      <c r="CU72" s="98"/>
      <c r="CV72" s="98"/>
      <c r="CW72" s="98"/>
      <c r="CX72" s="98"/>
      <c r="CY72" s="98"/>
      <c r="CZ72" s="315"/>
    </row>
    <row r="73" spans="1:104" ht="15" customHeight="1" x14ac:dyDescent="0.35">
      <c r="A73" s="321"/>
      <c r="C73" s="2758" t="s">
        <v>224</v>
      </c>
      <c r="D73" s="2761"/>
      <c r="E73" s="2761"/>
      <c r="F73" s="2761"/>
      <c r="G73" s="2761"/>
      <c r="H73" s="2761"/>
      <c r="I73" s="2761"/>
      <c r="J73" s="2761"/>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315"/>
    </row>
    <row r="74" spans="1:104" ht="15" customHeight="1" x14ac:dyDescent="0.35">
      <c r="A74" s="321"/>
      <c r="B74" s="137"/>
      <c r="C74" s="2706" t="s">
        <v>738</v>
      </c>
      <c r="D74" s="2737"/>
      <c r="E74" s="2737"/>
      <c r="F74" s="2737"/>
      <c r="G74" s="2737"/>
      <c r="H74" s="2707"/>
      <c r="I74" s="2757" t="s">
        <v>177</v>
      </c>
      <c r="J74" s="2758" t="s">
        <v>178</v>
      </c>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98"/>
      <c r="CV74" s="98"/>
      <c r="CW74" s="98"/>
      <c r="CX74" s="98"/>
      <c r="CY74" s="98"/>
      <c r="CZ74" s="315"/>
    </row>
    <row r="75" spans="1:104" ht="37.5" customHeight="1" x14ac:dyDescent="0.35">
      <c r="A75" s="321"/>
      <c r="B75" s="137"/>
      <c r="C75" s="2759" t="s">
        <v>870</v>
      </c>
      <c r="D75" s="2686" t="s">
        <v>746</v>
      </c>
      <c r="E75" s="534"/>
      <c r="F75" s="1464"/>
      <c r="G75" s="2686" t="s">
        <v>871</v>
      </c>
      <c r="H75" s="2754" t="s">
        <v>868</v>
      </c>
      <c r="I75" s="2757"/>
      <c r="J75" s="275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c r="BY75" s="98"/>
      <c r="BZ75" s="98"/>
      <c r="CA75" s="98"/>
      <c r="CB75" s="98"/>
      <c r="CC75" s="98"/>
      <c r="CD75" s="98"/>
      <c r="CE75" s="98"/>
      <c r="CF75" s="98"/>
      <c r="CG75" s="98"/>
      <c r="CH75" s="98"/>
      <c r="CI75" s="98"/>
      <c r="CJ75" s="98"/>
      <c r="CK75" s="98"/>
      <c r="CL75" s="98"/>
      <c r="CM75" s="98"/>
      <c r="CN75" s="98"/>
      <c r="CO75" s="98"/>
      <c r="CP75" s="98"/>
      <c r="CQ75" s="98"/>
      <c r="CR75" s="98"/>
      <c r="CS75" s="98"/>
      <c r="CT75" s="98"/>
      <c r="CU75" s="98"/>
      <c r="CV75" s="98"/>
      <c r="CW75" s="98"/>
      <c r="CX75" s="98"/>
      <c r="CY75" s="98"/>
      <c r="CZ75" s="315"/>
    </row>
    <row r="76" spans="1:104" ht="37.5" customHeight="1" x14ac:dyDescent="0.35">
      <c r="A76" s="263"/>
      <c r="B76" s="1542"/>
      <c r="C76" s="2760"/>
      <c r="D76" s="2687"/>
      <c r="E76" s="535"/>
      <c r="F76" s="770"/>
      <c r="G76" s="2687"/>
      <c r="H76" s="2756"/>
      <c r="I76" s="2757"/>
      <c r="J76" s="275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c r="BY76" s="98"/>
      <c r="BZ76" s="98"/>
      <c r="CA76" s="98"/>
      <c r="CB76" s="98"/>
      <c r="CC76" s="98"/>
      <c r="CD76" s="98"/>
      <c r="CE76" s="98"/>
      <c r="CF76" s="98"/>
      <c r="CG76" s="98"/>
      <c r="CH76" s="98"/>
      <c r="CI76" s="98"/>
      <c r="CJ76" s="98"/>
      <c r="CK76" s="98"/>
      <c r="CL76" s="98"/>
      <c r="CM76" s="98"/>
      <c r="CN76" s="98"/>
      <c r="CO76" s="98"/>
      <c r="CP76" s="98"/>
      <c r="CQ76" s="98"/>
      <c r="CR76" s="98"/>
      <c r="CS76" s="98"/>
      <c r="CT76" s="98"/>
      <c r="CU76" s="98"/>
      <c r="CV76" s="98"/>
      <c r="CW76" s="98"/>
      <c r="CX76" s="98"/>
      <c r="CY76" s="98"/>
      <c r="CZ76" s="315"/>
    </row>
    <row r="77" spans="1:104" ht="15" customHeight="1" x14ac:dyDescent="0.35">
      <c r="A77" s="263"/>
      <c r="B77" s="562" t="s">
        <v>912</v>
      </c>
      <c r="C77" s="568">
        <f t="shared" ref="C77:J77" si="344">IF(AND(ISNUMBER(C78),ISNUMBER(C79)), SUM(C78,C79),"")</f>
        <v>234924.02600000001</v>
      </c>
      <c r="D77" s="568">
        <f t="shared" si="344"/>
        <v>0</v>
      </c>
      <c r="E77" s="668"/>
      <c r="F77" s="568" t="str">
        <f t="shared" si="344"/>
        <v/>
      </c>
      <c r="G77" s="568">
        <f t="shared" si="344"/>
        <v>0</v>
      </c>
      <c r="H77" s="568">
        <f t="shared" si="344"/>
        <v>234924.02600000001</v>
      </c>
      <c r="I77" s="568">
        <f t="shared" si="344"/>
        <v>826638.96799999999</v>
      </c>
      <c r="J77" s="622">
        <f t="shared" si="344"/>
        <v>4786.5780000000004</v>
      </c>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c r="BY77" s="98"/>
      <c r="BZ77" s="98"/>
      <c r="CA77" s="98"/>
      <c r="CB77" s="98"/>
      <c r="CC77" s="98"/>
      <c r="CD77" s="98"/>
      <c r="CE77" s="98"/>
      <c r="CF77" s="98"/>
      <c r="CG77" s="98"/>
      <c r="CH77" s="98"/>
      <c r="CI77" s="98"/>
      <c r="CJ77" s="98"/>
      <c r="CK77" s="98"/>
      <c r="CL77" s="98"/>
      <c r="CM77" s="98"/>
      <c r="CN77" s="98"/>
      <c r="CO77" s="98"/>
      <c r="CP77" s="98"/>
      <c r="CQ77" s="98"/>
      <c r="CR77" s="98"/>
      <c r="CS77" s="98"/>
      <c r="CT77" s="98"/>
      <c r="CU77" s="98"/>
      <c r="CV77" s="98"/>
      <c r="CW77" s="98"/>
      <c r="CX77" s="98"/>
      <c r="CY77" s="98"/>
      <c r="CZ77" s="315"/>
    </row>
    <row r="78" spans="1:104" ht="15" customHeight="1" x14ac:dyDescent="0.35">
      <c r="A78" s="263"/>
      <c r="B78" s="219" t="s">
        <v>913</v>
      </c>
      <c r="C78" s="1806">
        <f>+C54</f>
        <v>234924.02600000001</v>
      </c>
      <c r="D78" s="1806">
        <v>0</v>
      </c>
      <c r="E78" s="723"/>
      <c r="F78" s="1806"/>
      <c r="G78" s="1814">
        <v>0</v>
      </c>
      <c r="H78" s="375">
        <f>IF(AND(ISNUMBER(C78),ISNUMBER(D78),ISNUMBER(G78)),SUM(C78,D78,G78),"")</f>
        <v>234924.02600000001</v>
      </c>
      <c r="I78" s="1803">
        <f>+I54</f>
        <v>826638.96799999999</v>
      </c>
      <c r="J78" s="1814">
        <f>+M54</f>
        <v>4786.5780000000004</v>
      </c>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c r="BY78" s="98"/>
      <c r="BZ78" s="98"/>
      <c r="CA78" s="98"/>
      <c r="CB78" s="98"/>
      <c r="CC78" s="98"/>
      <c r="CD78" s="98"/>
      <c r="CE78" s="98"/>
      <c r="CF78" s="98"/>
      <c r="CG78" s="98"/>
      <c r="CH78" s="98"/>
      <c r="CI78" s="98"/>
      <c r="CJ78" s="98"/>
      <c r="CK78" s="98"/>
      <c r="CL78" s="98"/>
      <c r="CM78" s="98"/>
      <c r="CN78" s="98"/>
      <c r="CO78" s="98"/>
      <c r="CP78" s="98"/>
      <c r="CQ78" s="98"/>
      <c r="CR78" s="98"/>
      <c r="CS78" s="98"/>
      <c r="CT78" s="98"/>
      <c r="CU78" s="98"/>
      <c r="CV78" s="98"/>
      <c r="CW78" s="98"/>
      <c r="CX78" s="98"/>
      <c r="CY78" s="98"/>
      <c r="CZ78" s="315"/>
    </row>
    <row r="79" spans="1:104" ht="15" customHeight="1" x14ac:dyDescent="0.35">
      <c r="A79" s="263"/>
      <c r="B79" s="325" t="s">
        <v>914</v>
      </c>
      <c r="C79" s="1809">
        <v>0</v>
      </c>
      <c r="D79" s="1809">
        <v>0</v>
      </c>
      <c r="E79" s="725"/>
      <c r="F79" s="1809"/>
      <c r="G79" s="1813">
        <v>0</v>
      </c>
      <c r="H79" s="722">
        <f>IF(AND(ISNUMBER(C79),ISNUMBER(D79),ISNUMBER(G79)),SUM(C79,D79,G79),"")</f>
        <v>0</v>
      </c>
      <c r="I79" s="1812">
        <v>0</v>
      </c>
      <c r="J79" s="1813">
        <v>0</v>
      </c>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c r="BY79" s="98"/>
      <c r="BZ79" s="98"/>
      <c r="CA79" s="98"/>
      <c r="CB79" s="98"/>
      <c r="CC79" s="98"/>
      <c r="CD79" s="98"/>
      <c r="CE79" s="98"/>
      <c r="CF79" s="98"/>
      <c r="CG79" s="98"/>
      <c r="CH79" s="98"/>
      <c r="CI79" s="98"/>
      <c r="CJ79" s="98"/>
      <c r="CK79" s="98"/>
      <c r="CL79" s="98"/>
      <c r="CM79" s="98"/>
      <c r="CN79" s="98"/>
      <c r="CO79" s="98"/>
      <c r="CP79" s="98"/>
      <c r="CQ79" s="98"/>
      <c r="CR79" s="98"/>
      <c r="CS79" s="98"/>
      <c r="CT79" s="98"/>
      <c r="CU79" s="98"/>
      <c r="CV79" s="98"/>
      <c r="CW79" s="98"/>
      <c r="CX79" s="98"/>
      <c r="CY79" s="98"/>
      <c r="CZ79" s="315"/>
    </row>
    <row r="80" spans="1:104" ht="15" customHeight="1" x14ac:dyDescent="0.35">
      <c r="A80" s="263"/>
      <c r="B80" s="773" t="str">
        <f>"Check: row " &amp; ROW(B77) &amp;" = row " &amp; ROW(B51)</f>
        <v>Check: row 77 = row 51</v>
      </c>
      <c r="C80" s="724" t="str">
        <f>IF(AND(ISNUMBER(C51),ISNUMBER(C77)),IF(C51=C77, "Pass", "Fail"),"")</f>
        <v>Pass</v>
      </c>
      <c r="D80" s="724" t="str">
        <f>IF(AND(ISNUMBER(D51),ISNUMBER(D77)),IF(D51=D77, "Pass", "Fail"),"")</f>
        <v>Pass</v>
      </c>
      <c r="E80" s="535"/>
      <c r="F80" s="724" t="str">
        <f>IF(AND(ISNUMBER(F51),ISNUMBER(F77)),IF(F51=F77, "Pass", "Fail"),"")</f>
        <v/>
      </c>
      <c r="G80" s="724" t="str">
        <f>IF(AND(ISNUMBER(G51),ISNUMBER(G77)),IF(G51=G77, "Pass", "Fail"),"")</f>
        <v>Pass</v>
      </c>
      <c r="H80" s="724" t="str">
        <f>IF(AND(ISNUMBER(H51),ISNUMBER(H77)),IF(H51=H77, "Pass", "Fail"),"")</f>
        <v>Pass</v>
      </c>
      <c r="I80" s="724" t="str">
        <f>IF(AND(ISNUMBER(L51),ISNUMBER(I77)),IF(L51=I77, "Pass", "Fail"),"")</f>
        <v>Pass</v>
      </c>
      <c r="J80" s="692" t="str">
        <f>IF(AND(ISNUMBER(M51),ISNUMBER(J77)),IF(M51=J77, "Pass", "Fail"),"")</f>
        <v>Pass</v>
      </c>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c r="BY80" s="98"/>
      <c r="BZ80" s="98"/>
      <c r="CA80" s="98"/>
      <c r="CB80" s="98"/>
      <c r="CC80" s="98"/>
      <c r="CD80" s="98"/>
      <c r="CE80" s="98"/>
      <c r="CF80" s="98"/>
      <c r="CG80" s="98"/>
      <c r="CH80" s="98"/>
      <c r="CI80" s="98"/>
      <c r="CJ80" s="98"/>
      <c r="CK80" s="98"/>
      <c r="CL80" s="98"/>
      <c r="CM80" s="98"/>
      <c r="CN80" s="98"/>
      <c r="CO80" s="98"/>
      <c r="CP80" s="98"/>
      <c r="CQ80" s="98"/>
      <c r="CR80" s="98"/>
      <c r="CS80" s="98"/>
      <c r="CT80" s="98"/>
      <c r="CU80" s="98"/>
      <c r="CV80" s="98"/>
      <c r="CW80" s="98"/>
      <c r="CX80" s="98"/>
      <c r="CY80" s="98"/>
      <c r="CZ80" s="315"/>
    </row>
    <row r="81" spans="1:104" ht="15" hidden="1" customHeight="1" x14ac:dyDescent="0.35">
      <c r="A81" s="717"/>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1543"/>
      <c r="AC81" s="1543"/>
      <c r="AD81" s="1543"/>
      <c r="AE81" s="1543"/>
      <c r="AF81" s="1543"/>
      <c r="AG81" s="1543"/>
      <c r="AH81" s="1543"/>
      <c r="AI81" s="275"/>
      <c r="AJ81" s="275"/>
      <c r="AK81" s="275"/>
      <c r="AL81" s="275"/>
      <c r="AM81" s="275"/>
      <c r="AN81" s="275"/>
      <c r="AO81" s="275"/>
      <c r="AP81" s="275"/>
      <c r="AQ81" s="275"/>
      <c r="AR81" s="275"/>
      <c r="AS81" s="275"/>
      <c r="AT81" s="275"/>
      <c r="AU81" s="275"/>
      <c r="AV81" s="275"/>
      <c r="AW81" s="275"/>
      <c r="AX81" s="275"/>
      <c r="AY81" s="275"/>
      <c r="AZ81" s="275"/>
      <c r="BA81" s="275"/>
      <c r="BB81" s="275"/>
      <c r="BC81" s="275"/>
      <c r="BD81" s="275"/>
      <c r="BE81" s="275"/>
      <c r="BF81" s="275"/>
      <c r="BG81" s="275"/>
      <c r="BH81" s="275"/>
      <c r="BI81" s="275"/>
      <c r="BJ81" s="275"/>
      <c r="BK81" s="275"/>
      <c r="BL81" s="275"/>
      <c r="BM81" s="275"/>
      <c r="BN81" s="275"/>
      <c r="BO81" s="275"/>
      <c r="BP81" s="275"/>
      <c r="BQ81" s="275"/>
      <c r="BR81" s="275"/>
      <c r="BS81" s="275"/>
      <c r="BT81" s="275"/>
      <c r="BU81" s="275"/>
      <c r="BV81" s="275"/>
      <c r="BW81" s="275"/>
      <c r="BX81" s="275"/>
      <c r="BY81" s="275"/>
      <c r="BZ81" s="275"/>
      <c r="CA81" s="275"/>
      <c r="CB81" s="275"/>
      <c r="CC81" s="275"/>
      <c r="CD81" s="275"/>
      <c r="CE81" s="275"/>
      <c r="CF81" s="275"/>
      <c r="CG81" s="275"/>
      <c r="CH81" s="275"/>
      <c r="CI81" s="275"/>
      <c r="CJ81" s="275"/>
      <c r="CK81" s="275"/>
      <c r="CL81" s="275"/>
      <c r="CM81" s="275"/>
      <c r="CN81" s="275"/>
      <c r="CO81" s="275"/>
      <c r="CP81" s="275"/>
      <c r="CQ81" s="275"/>
      <c r="CR81" s="275"/>
      <c r="CS81" s="275"/>
      <c r="CT81" s="275"/>
      <c r="CU81" s="275"/>
      <c r="CV81" s="275"/>
      <c r="CW81" s="275"/>
      <c r="CX81" s="275"/>
      <c r="CY81" s="275"/>
      <c r="CZ81" s="567"/>
    </row>
    <row r="82" spans="1:104" hidden="1" x14ac:dyDescent="0.35"/>
    <row r="83" spans="1:104" hidden="1" x14ac:dyDescent="0.35"/>
    <row r="84" spans="1:104" hidden="1" x14ac:dyDescent="0.35"/>
    <row r="85" spans="1:104" hidden="1" x14ac:dyDescent="0.35"/>
    <row r="86" spans="1:104" hidden="1" x14ac:dyDescent="0.35"/>
    <row r="87" spans="1:104" hidden="1" x14ac:dyDescent="0.35"/>
    <row r="88" spans="1:104" hidden="1" x14ac:dyDescent="0.35"/>
    <row r="89" spans="1:104" hidden="1" x14ac:dyDescent="0.35"/>
    <row r="90" spans="1:104" hidden="1" x14ac:dyDescent="0.35"/>
    <row r="91" spans="1:104" hidden="1" x14ac:dyDescent="0.35"/>
    <row r="92" spans="1:104" hidden="1" x14ac:dyDescent="0.35"/>
    <row r="93" spans="1:104" hidden="1" x14ac:dyDescent="0.35"/>
    <row r="94" spans="1:104" hidden="1" x14ac:dyDescent="0.35"/>
    <row r="95" spans="1:104" hidden="1" x14ac:dyDescent="0.35"/>
    <row r="96" spans="1:104" hidden="1" x14ac:dyDescent="0.35"/>
    <row r="97" spans="1:56" hidden="1" x14ac:dyDescent="0.35"/>
    <row r="98" spans="1:56" hidden="1" x14ac:dyDescent="0.35"/>
    <row r="99" spans="1:56" hidden="1" x14ac:dyDescent="0.35"/>
    <row r="100" spans="1:56" hidden="1" x14ac:dyDescent="0.35"/>
    <row r="101" spans="1:56" hidden="1" x14ac:dyDescent="0.35"/>
    <row r="102" spans="1:56" hidden="1" x14ac:dyDescent="0.35"/>
    <row r="103" spans="1:56" hidden="1" x14ac:dyDescent="0.35"/>
    <row r="104" spans="1:56" hidden="1" x14ac:dyDescent="0.35"/>
    <row r="105" spans="1:56" hidden="1" x14ac:dyDescent="0.35"/>
    <row r="106" spans="1:56" hidden="1" x14ac:dyDescent="0.35"/>
    <row r="107" spans="1:56" hidden="1" x14ac:dyDescent="0.35"/>
    <row r="108" spans="1:56" hidden="1" x14ac:dyDescent="0.35"/>
    <row r="109" spans="1:56" hidden="1" x14ac:dyDescent="0.35"/>
    <row r="110" spans="1:56" hidden="1" x14ac:dyDescent="0.35"/>
    <row r="111" spans="1:56" ht="50.1" customHeight="1" x14ac:dyDescent="0.35">
      <c r="A111" s="1885" t="s">
        <v>2381</v>
      </c>
      <c r="B111" s="1513"/>
      <c r="C111" s="1513"/>
      <c r="D111" s="1513"/>
      <c r="E111" s="1513"/>
      <c r="F111" s="1909"/>
      <c r="G111" s="1513"/>
      <c r="H111" s="1513"/>
      <c r="I111" s="1513"/>
      <c r="J111" s="1513"/>
      <c r="K111" s="1513"/>
      <c r="L111" s="1513"/>
      <c r="M111" s="1513"/>
      <c r="N111" s="1513"/>
      <c r="O111" s="1513"/>
      <c r="P111" s="1513"/>
      <c r="R111" s="1513"/>
      <c r="S111" s="1513"/>
      <c r="T111" s="1513"/>
      <c r="U111" s="1513"/>
      <c r="V111" s="1513"/>
      <c r="W111" s="1513"/>
      <c r="X111" s="1513"/>
      <c r="Y111" s="1513"/>
      <c r="Z111" s="1513"/>
      <c r="AA111" s="1513"/>
      <c r="AB111" s="1513"/>
      <c r="AD111" s="1513"/>
      <c r="AE111" s="1513"/>
      <c r="AF111" s="1513"/>
      <c r="AG111" s="1513"/>
      <c r="AH111" s="1513"/>
      <c r="AI111" s="1513"/>
      <c r="AJ111" s="1513"/>
      <c r="AK111" s="1513"/>
      <c r="AS111" s="98"/>
      <c r="BD111" s="98"/>
    </row>
    <row r="112" spans="1:56" ht="50.1" customHeight="1" x14ac:dyDescent="0.35">
      <c r="A112" s="1885" t="s">
        <v>2300</v>
      </c>
      <c r="B112" s="1513"/>
      <c r="C112" s="1513"/>
      <c r="D112" s="1513"/>
      <c r="E112" s="1513"/>
      <c r="F112" s="1910"/>
      <c r="G112" s="1513"/>
      <c r="H112" s="1513"/>
      <c r="I112" s="1513"/>
      <c r="J112" s="1513"/>
      <c r="K112" s="1513"/>
      <c r="L112" s="1513"/>
      <c r="M112" s="1513"/>
      <c r="N112" s="1513"/>
      <c r="O112" s="1513"/>
      <c r="P112" s="1513"/>
      <c r="R112" s="1513"/>
      <c r="S112" s="1513"/>
      <c r="T112" s="1513"/>
      <c r="U112" s="1513"/>
      <c r="V112" s="1513"/>
      <c r="W112" s="1513"/>
      <c r="X112" s="1513"/>
      <c r="Y112" s="1513"/>
      <c r="Z112" s="1513"/>
      <c r="AA112" s="1513"/>
      <c r="AB112" s="1513"/>
      <c r="AD112" s="1513"/>
      <c r="AE112" s="1513"/>
      <c r="AF112" s="1513"/>
      <c r="AG112" s="1513"/>
      <c r="AH112" s="1513"/>
      <c r="AI112" s="1513"/>
      <c r="AJ112" s="1513"/>
      <c r="AK112" s="1513"/>
      <c r="AS112" s="98"/>
      <c r="BD112" s="98"/>
    </row>
    <row r="113" spans="1:57" ht="50.1" customHeight="1" x14ac:dyDescent="0.35">
      <c r="A113" s="1513"/>
      <c r="B113" s="2770" t="s">
        <v>2382</v>
      </c>
      <c r="C113" s="2774" t="s">
        <v>2383</v>
      </c>
      <c r="D113" s="2774"/>
      <c r="E113" s="2774"/>
      <c r="F113" s="2774"/>
      <c r="G113" s="2774"/>
      <c r="H113" s="2774"/>
      <c r="I113" s="2774"/>
      <c r="J113" s="2774"/>
      <c r="K113" s="2774"/>
      <c r="L113" s="2774"/>
      <c r="M113" s="2775" t="s">
        <v>2384</v>
      </c>
      <c r="N113" s="2775"/>
      <c r="O113" s="2775"/>
      <c r="P113" s="2775"/>
      <c r="Q113" s="2775"/>
      <c r="R113" s="2775"/>
      <c r="S113" s="2775"/>
      <c r="T113" s="2775"/>
      <c r="U113" s="2775"/>
      <c r="V113" s="2775"/>
      <c r="W113" s="2775"/>
      <c r="X113" s="2775" t="s">
        <v>864</v>
      </c>
      <c r="Y113" s="2775"/>
      <c r="Z113" s="2775"/>
      <c r="AA113" s="2775"/>
      <c r="AB113" s="2775"/>
      <c r="AC113" s="2775"/>
      <c r="AD113" s="2775"/>
      <c r="AE113" s="2775"/>
      <c r="AF113" s="2775"/>
      <c r="AG113" s="2776" t="s">
        <v>2385</v>
      </c>
      <c r="AH113" s="2776"/>
      <c r="AI113" s="2776"/>
      <c r="AJ113" s="2776"/>
      <c r="AK113" s="2776" t="s">
        <v>2386</v>
      </c>
      <c r="AL113" s="2776"/>
      <c r="AM113" s="2776"/>
      <c r="AN113" s="2776"/>
      <c r="AO113" s="2777" t="s">
        <v>2304</v>
      </c>
      <c r="AP113" s="2777"/>
      <c r="AQ113" s="2777"/>
      <c r="AR113" s="2778" t="s">
        <v>860</v>
      </c>
      <c r="AS113" s="2778"/>
      <c r="AT113" s="2778"/>
      <c r="AU113" s="2778"/>
      <c r="BD113" s="98"/>
    </row>
    <row r="114" spans="1:57" ht="50.1" customHeight="1" x14ac:dyDescent="0.35">
      <c r="A114" s="1513"/>
      <c r="B114" s="2771"/>
      <c r="C114" s="2709" t="s">
        <v>224</v>
      </c>
      <c r="D114" s="2709"/>
      <c r="E114" s="2709"/>
      <c r="F114" s="2709"/>
      <c r="G114" s="2709"/>
      <c r="H114" s="2709"/>
      <c r="I114" s="2709"/>
      <c r="J114" s="2709"/>
      <c r="K114" s="2709"/>
      <c r="L114" s="2709"/>
      <c r="M114" s="2709" t="s">
        <v>224</v>
      </c>
      <c r="N114" s="2709"/>
      <c r="O114" s="2709"/>
      <c r="P114" s="2709"/>
      <c r="Q114" s="2709"/>
      <c r="R114" s="2709"/>
      <c r="S114" s="2709"/>
      <c r="T114" s="2709"/>
      <c r="U114" s="2709"/>
      <c r="V114" s="2709"/>
      <c r="W114" s="2709"/>
      <c r="X114" s="2779" t="s">
        <v>2387</v>
      </c>
      <c r="Y114" s="2779"/>
      <c r="Z114" s="2779"/>
      <c r="AA114" s="2779"/>
      <c r="AB114" s="2779"/>
      <c r="AC114" s="2779"/>
      <c r="AD114" s="2779"/>
      <c r="AE114" s="2779"/>
      <c r="AF114" s="2779"/>
      <c r="AG114" s="2709" t="s">
        <v>224</v>
      </c>
      <c r="AH114" s="2709"/>
      <c r="AI114" s="2709"/>
      <c r="AJ114" s="2709"/>
      <c r="AK114" s="2709" t="s">
        <v>2387</v>
      </c>
      <c r="AL114" s="2709"/>
      <c r="AM114" s="2709"/>
      <c r="AN114" s="2709"/>
      <c r="AO114" s="2709" t="s">
        <v>2388</v>
      </c>
      <c r="AP114" s="2709"/>
      <c r="AQ114" s="2709"/>
      <c r="AR114" s="2709" t="s">
        <v>2389</v>
      </c>
      <c r="AS114" s="2709"/>
      <c r="AT114" s="2709"/>
      <c r="AU114" s="2709"/>
      <c r="BD114" s="98"/>
    </row>
    <row r="115" spans="1:57" ht="63" customHeight="1" x14ac:dyDescent="0.35">
      <c r="A115" s="1513"/>
      <c r="B115" s="2771"/>
      <c r="C115" s="2779" t="s">
        <v>2305</v>
      </c>
      <c r="D115" s="2779"/>
      <c r="E115" s="2779"/>
      <c r="F115" s="1911"/>
      <c r="G115" s="2779" t="s">
        <v>226</v>
      </c>
      <c r="H115" s="2709" t="s">
        <v>2390</v>
      </c>
      <c r="I115" s="2709"/>
      <c r="J115" s="2709"/>
      <c r="K115" s="2709" t="s">
        <v>59</v>
      </c>
      <c r="L115" s="2709" t="s">
        <v>869</v>
      </c>
      <c r="M115" s="2779" t="s">
        <v>2305</v>
      </c>
      <c r="N115" s="2779"/>
      <c r="O115" s="2779"/>
      <c r="P115" s="2779"/>
      <c r="Q115" s="1851"/>
      <c r="R115" s="2779" t="s">
        <v>2391</v>
      </c>
      <c r="S115" s="2779"/>
      <c r="T115" s="2779"/>
      <c r="U115" s="2779"/>
      <c r="V115" s="2710" t="s">
        <v>178</v>
      </c>
      <c r="W115" s="2729"/>
      <c r="X115" s="2779" t="s">
        <v>2305</v>
      </c>
      <c r="Y115" s="2779"/>
      <c r="Z115" s="2779"/>
      <c r="AA115" s="2779" t="s">
        <v>226</v>
      </c>
      <c r="AB115" s="2779" t="s">
        <v>2391</v>
      </c>
      <c r="AC115" s="2779"/>
      <c r="AD115" s="2779"/>
      <c r="AE115" s="2779"/>
      <c r="AF115" s="2779"/>
      <c r="AG115" s="2709" t="s">
        <v>2392</v>
      </c>
      <c r="AH115" s="2709"/>
      <c r="AI115" s="2709"/>
      <c r="AJ115" s="2709"/>
      <c r="AK115" s="2709" t="s">
        <v>2393</v>
      </c>
      <c r="AL115" s="2709"/>
      <c r="AM115" s="2709"/>
      <c r="AN115" s="2709"/>
      <c r="AO115" s="2709"/>
      <c r="AP115" s="2709"/>
      <c r="AQ115" s="2709"/>
      <c r="AR115" s="2709"/>
      <c r="AS115" s="2709"/>
      <c r="AT115" s="2709"/>
      <c r="AU115" s="2709"/>
      <c r="BD115" s="98"/>
    </row>
    <row r="116" spans="1:57" ht="50.1" customHeight="1" x14ac:dyDescent="0.35">
      <c r="A116" s="1513"/>
      <c r="B116" s="2771"/>
      <c r="C116" s="2779" t="s">
        <v>870</v>
      </c>
      <c r="D116" s="2779" t="s">
        <v>746</v>
      </c>
      <c r="E116" s="2779" t="s">
        <v>749</v>
      </c>
      <c r="F116" s="1911"/>
      <c r="G116" s="2779"/>
      <c r="H116" s="2779" t="s">
        <v>870</v>
      </c>
      <c r="I116" s="2779" t="s">
        <v>746</v>
      </c>
      <c r="J116" s="2779" t="s">
        <v>749</v>
      </c>
      <c r="K116" s="2709"/>
      <c r="L116" s="2709"/>
      <c r="M116" s="2779" t="s">
        <v>870</v>
      </c>
      <c r="N116" s="2779" t="s">
        <v>746</v>
      </c>
      <c r="O116" s="2779" t="s">
        <v>749</v>
      </c>
      <c r="P116" s="2709" t="s">
        <v>226</v>
      </c>
      <c r="Q116" s="1851"/>
      <c r="R116" s="2779" t="s">
        <v>870</v>
      </c>
      <c r="S116" s="2779" t="s">
        <v>746</v>
      </c>
      <c r="T116" s="2779" t="s">
        <v>749</v>
      </c>
      <c r="U116" s="2709" t="s">
        <v>59</v>
      </c>
      <c r="V116" s="2709" t="s">
        <v>59</v>
      </c>
      <c r="W116" s="2709" t="s">
        <v>872</v>
      </c>
      <c r="X116" s="2779" t="s">
        <v>870</v>
      </c>
      <c r="Y116" s="2779" t="s">
        <v>746</v>
      </c>
      <c r="Z116" s="2779" t="s">
        <v>749</v>
      </c>
      <c r="AA116" s="2709" t="s">
        <v>226</v>
      </c>
      <c r="AB116" s="2779" t="s">
        <v>748</v>
      </c>
      <c r="AC116" s="2779"/>
      <c r="AD116" s="2779" t="s">
        <v>746</v>
      </c>
      <c r="AE116" s="2709" t="s">
        <v>749</v>
      </c>
      <c r="AF116" s="2709" t="s">
        <v>59</v>
      </c>
      <c r="AG116" s="2709" t="s">
        <v>748</v>
      </c>
      <c r="AH116" s="2709" t="s">
        <v>746</v>
      </c>
      <c r="AI116" s="2709" t="s">
        <v>749</v>
      </c>
      <c r="AJ116" s="2709" t="s">
        <v>59</v>
      </c>
      <c r="AK116" s="2709" t="s">
        <v>748</v>
      </c>
      <c r="AL116" s="2709" t="s">
        <v>746</v>
      </c>
      <c r="AM116" s="2709" t="s">
        <v>749</v>
      </c>
      <c r="AN116" s="2709" t="s">
        <v>59</v>
      </c>
      <c r="AO116" s="2709" t="s">
        <v>752</v>
      </c>
      <c r="AP116" s="2709"/>
      <c r="AQ116" s="2709" t="s">
        <v>177</v>
      </c>
      <c r="AR116" s="2709" t="s">
        <v>752</v>
      </c>
      <c r="AS116" s="2709"/>
      <c r="AT116" s="2709"/>
      <c r="AU116" s="2709" t="s">
        <v>177</v>
      </c>
      <c r="AV116" s="2800" t="s">
        <v>2394</v>
      </c>
      <c r="AW116" s="2751"/>
      <c r="AX116" s="2801"/>
      <c r="AY116" s="2800" t="s">
        <v>2395</v>
      </c>
      <c r="AZ116" s="2751"/>
      <c r="BA116" s="2801"/>
      <c r="BB116" s="2726" t="s">
        <v>2396</v>
      </c>
      <c r="BC116" s="2726"/>
      <c r="BD116" s="2726"/>
      <c r="BE116" s="2726"/>
    </row>
    <row r="117" spans="1:57" ht="76.5" customHeight="1" x14ac:dyDescent="0.35">
      <c r="A117" s="1513"/>
      <c r="B117" s="2772"/>
      <c r="C117" s="2779"/>
      <c r="D117" s="2779"/>
      <c r="E117" s="2779"/>
      <c r="F117" s="1911"/>
      <c r="G117" s="2779"/>
      <c r="H117" s="2779"/>
      <c r="I117" s="2779"/>
      <c r="J117" s="2779"/>
      <c r="K117" s="2709"/>
      <c r="L117" s="2709"/>
      <c r="M117" s="2779"/>
      <c r="N117" s="2779"/>
      <c r="O117" s="2779"/>
      <c r="P117" s="2709"/>
      <c r="Q117" s="1851"/>
      <c r="R117" s="2779"/>
      <c r="S117" s="2779"/>
      <c r="T117" s="2779"/>
      <c r="U117" s="2709"/>
      <c r="V117" s="2709"/>
      <c r="W117" s="2709"/>
      <c r="X117" s="2779"/>
      <c r="Y117" s="2779"/>
      <c r="Z117" s="2779"/>
      <c r="AA117" s="2709"/>
      <c r="AB117" s="2779"/>
      <c r="AC117" s="2779"/>
      <c r="AD117" s="2779"/>
      <c r="AE117" s="2709"/>
      <c r="AF117" s="2709"/>
      <c r="AG117" s="2709"/>
      <c r="AH117" s="2709"/>
      <c r="AI117" s="2709"/>
      <c r="AJ117" s="2709"/>
      <c r="AK117" s="2709"/>
      <c r="AL117" s="2709"/>
      <c r="AM117" s="2709"/>
      <c r="AN117" s="2709"/>
      <c r="AO117" s="1853" t="s">
        <v>59</v>
      </c>
      <c r="AP117" s="1853" t="s">
        <v>756</v>
      </c>
      <c r="AQ117" s="2709"/>
      <c r="AR117" s="1853" t="s">
        <v>59</v>
      </c>
      <c r="AS117" s="1851"/>
      <c r="AT117" s="1853" t="s">
        <v>756</v>
      </c>
      <c r="AU117" s="2709"/>
      <c r="AV117" s="1840" t="s">
        <v>3559</v>
      </c>
      <c r="AW117" s="1853" t="s">
        <v>2317</v>
      </c>
      <c r="AX117" s="1853" t="s">
        <v>2318</v>
      </c>
      <c r="AY117" s="1853" t="s">
        <v>3557</v>
      </c>
      <c r="AZ117" s="1853" t="s">
        <v>2317</v>
      </c>
      <c r="BA117" s="1853" t="s">
        <v>2318</v>
      </c>
      <c r="BB117" s="1853" t="s">
        <v>3560</v>
      </c>
      <c r="BC117" s="1853" t="s">
        <v>2319</v>
      </c>
      <c r="BD117" s="1126"/>
      <c r="BE117" s="1853" t="s">
        <v>2320</v>
      </c>
    </row>
    <row r="118" spans="1:57" x14ac:dyDescent="0.35">
      <c r="A118" s="1513"/>
      <c r="B118" s="1912" t="s">
        <v>2397</v>
      </c>
      <c r="C118" s="1913">
        <f>IF(ISNUMBER(C17), C17, "")</f>
        <v>6277655.264834444</v>
      </c>
      <c r="D118" s="1913">
        <f t="shared" ref="D118" si="345">IF(ISNUMBER(D17), D17, "")</f>
        <v>24188.122036700021</v>
      </c>
      <c r="E118" s="1913">
        <f>IF(ISNUMBER(G17), G17, "")</f>
        <v>736975.68415719934</v>
      </c>
      <c r="F118" s="1909"/>
      <c r="G118" s="1913">
        <f>IF(AND(ISNUMBER(C118),ISNUMBER(D118), ISNUMBER(E118)),SUM(C118, D118, E118),"")</f>
        <v>7038819.0710283434</v>
      </c>
      <c r="H118" s="1913">
        <f>IF(ISNUMBER(I17), I17, "")</f>
        <v>2764100.2326317839</v>
      </c>
      <c r="I118" s="1913">
        <f>IF(ISNUMBER(J17), J17, "")</f>
        <v>11666.894102499999</v>
      </c>
      <c r="J118" s="1913">
        <f>IF(ISNUMBER(K17), K17, "")</f>
        <v>223439.32734460029</v>
      </c>
      <c r="K118" s="1913">
        <f>IF(AND(ISNUMBER(H118),ISNUMBER(I118), ISNUMBER(J118)),SUM(H118, I118, J118),"")</f>
        <v>2999206.4540788839</v>
      </c>
      <c r="L118" s="1913">
        <f>IF(ISNUMBER(M17), M17, "")</f>
        <v>125145.49271110026</v>
      </c>
      <c r="M118" s="1913">
        <f>IF(ISNUMBER(AP17), AP17, "")</f>
        <v>6277655.2648344934</v>
      </c>
      <c r="N118" s="1913">
        <f>IF(ISNUMBER(AQ17), AQ17, "")</f>
        <v>24188.122036700006</v>
      </c>
      <c r="O118" s="1913">
        <f>IF(ISNUMBER(AT17), AT17, "")</f>
        <v>967440.89466545894</v>
      </c>
      <c r="P118" s="1913">
        <f>IF(AND(ISNUMBER(M118),ISNUMBER(N118), ISNUMBER(O118)),SUM(M118, N118, O118),"")</f>
        <v>7269284.2815366527</v>
      </c>
      <c r="R118" s="1913">
        <f>IF(ISNUMBER(AV17), AV17, "")</f>
        <v>2755096.9620450991</v>
      </c>
      <c r="S118" s="1913">
        <f>IF(ISNUMBER(AW17), AW17, "")</f>
        <v>11340.643609647866</v>
      </c>
      <c r="T118" s="1913">
        <f>IF(ISNUMBER(AX17), AX17, "")</f>
        <v>285100.98221726349</v>
      </c>
      <c r="U118" s="1913">
        <f>IF(AND(ISNUMBER(R118),ISNUMBER(S118), ISNUMBER(T118)),SUM(R118, S118, T118),"")</f>
        <v>3051538.5878720102</v>
      </c>
      <c r="V118" s="1913">
        <f>IF(ISNUMBER(AZ17), AZ17, "")</f>
        <v>125466.16059650043</v>
      </c>
      <c r="W118" s="1913">
        <f>IF(AND(ISNUMBER(BL17),ISNUMBER(BX17)), BL17+BX17, "")</f>
        <v>109167.49240319982</v>
      </c>
      <c r="X118" s="1913">
        <f>IF(ISNUMBER(BZ17), BZ17, "")</f>
        <v>0</v>
      </c>
      <c r="Y118" s="1913">
        <f>IF(ISNUMBER(CA17), CA17, "")</f>
        <v>0</v>
      </c>
      <c r="Z118" s="1913">
        <f>IF(ISNUMBER(CD17), CD17, "")</f>
        <v>0</v>
      </c>
      <c r="AA118" s="1913">
        <f>IF(AND(ISNUMBER(X118),ISNUMBER(Y118), ISNUMBER(Z118)),SUM(X118, Y118, Z118),"")</f>
        <v>0</v>
      </c>
      <c r="AB118" s="1913">
        <f>IF(ISNUMBER(CF17), CF17, "")</f>
        <v>0</v>
      </c>
      <c r="AD118" s="1913">
        <f>IF(ISNUMBER(CG17), CG17, "")</f>
        <v>0</v>
      </c>
      <c r="AE118" s="1913">
        <f>IF(ISNUMBER(CH17), CH17, "")</f>
        <v>0</v>
      </c>
      <c r="AF118" s="1913">
        <f>IF(AND(ISNUMBER(AB118),ISNUMBER(AD118), ISNUMBER(AE118)),SUM(AB118, AD118, AE118),"")</f>
        <v>0</v>
      </c>
      <c r="AG118" s="1914">
        <v>2754776.2124939831</v>
      </c>
      <c r="AH118" s="1914">
        <v>11340.643609647866</v>
      </c>
      <c r="AI118" s="1914">
        <v>284985.98275298974</v>
      </c>
      <c r="AJ118" s="1913">
        <f>IF(AND(ISNUMBER(AG118),ISNUMBER(AH118), ISNUMBER(AI118)),SUM(AG118, AH118, AI118),"")</f>
        <v>3051102.8388566207</v>
      </c>
      <c r="AK118" s="1914">
        <v>0</v>
      </c>
      <c r="AL118" s="1914">
        <v>0</v>
      </c>
      <c r="AM118" s="1914">
        <v>0</v>
      </c>
      <c r="AN118" s="1913">
        <f>IF(AND(ISNUMBER(AK118),ISNUMBER(AL118), ISNUMBER(AM118)),SUM(AK118, AL118, AM118),"")</f>
        <v>0</v>
      </c>
      <c r="AO118" s="1915">
        <f>+CO17</f>
        <v>7154046.0107566314</v>
      </c>
      <c r="AP118" s="1915">
        <f t="shared" ref="AP118:AQ118" si="346">+CP17</f>
        <v>24188.233418260021</v>
      </c>
      <c r="AQ118" s="1915">
        <f t="shared" si="346"/>
        <v>7094900.2286714213</v>
      </c>
      <c r="AR118" s="1913" t="str">
        <f>IF(AND(OR('General Info'!$C$19="Yes",'General Info'!$D$19="Yes"),ISNUMBER(AO118),ISNUMBER(AP118),ISNUMBER(AT118)),AO118-AP118+AT118,"")</f>
        <v/>
      </c>
      <c r="AS118" s="98"/>
      <c r="AT118" s="1915">
        <v>1000</v>
      </c>
      <c r="AU118" s="1916"/>
      <c r="AV118" s="1893" t="str">
        <f>IF(AND(U118&lt;&gt;"",OR(AJ118="",AJ118=0)),"Missing Input",IF(AND(AJ118&gt;0,AJ118&lt;&gt;"",U118&gt;0,U118&lt;&gt;"",OR(_xlfn.NUMBERVALUE(U118)&gt;_xlfn.NUMBERVALUE(AJ118),_xlfn.NUMBERVALUE(U118)=_xlfn.NUMBERVALUE(AJ118))),"Ok","Please check"))</f>
        <v>Ok</v>
      </c>
      <c r="AW118" s="1917"/>
      <c r="AX118" s="1856" t="str">
        <f>+IFERROR(IF(AND(ABS(AJ118-U118)&gt;ABS(0.95*(AJ119-U119)),ABS(AJ118-U118)&lt;ABS(1.05*(AJ119-U119))),"Ok","Please Check"),"Please Check")</f>
        <v>Ok</v>
      </c>
      <c r="AY118" s="1893" t="str">
        <f>IF(AND(AF118&lt;&gt;"",OR(AN118="",AN118=0)),"Missing Input",IF(AND(AN118&gt;0,AN118&lt;&gt;"",AF118&gt;0,AF118&lt;&gt;"",OR(_xlfn.NUMBERVALUE(AF118)&gt;_xlfn.NUMBERVALUE(AN118),_xlfn.NUMBERVALUE(AF118)=_xlfn.NUMBERVALUE(AN118))),"Ok","Please check"))</f>
        <v>Missing Input</v>
      </c>
      <c r="AZ118" s="1917"/>
      <c r="BA118" s="1856" t="str">
        <f>+IFERROR(IF(AND(ABS(AN118-AF118)&gt;ABS(0.95*(AN119-AF119)),ABS(AN118-AF118)&lt;ABS(1.05*(AN119-AF119))),"Ok","Please Check"),"Please Check")</f>
        <v>Please Check</v>
      </c>
      <c r="BB118" s="1893" t="str">
        <f>IF(OR('General Info'!$C$19="Yes",'General Info'!$D$19="Yes"),IF(AND(AQ118&gt;0,AQ118&lt;&gt;"",CQ17&gt;0,CQ17&lt;&gt;"",OR(_xlfn.NUMBERVALUE(AQ118)&lt;_xlfn.NUMBERVALUE(CQ17),_xlfn.NUMBERVALUE(AQ118)=_xlfn.NUMBERVALUE(CQ17))),"Ok","Please check"),"NA")</f>
        <v>NA</v>
      </c>
      <c r="BC118" s="1893" t="str">
        <f>IF(OR('General Info'!$C$19="Yes",'General Info'!$D$19="Yes"),IFERROR(IF(_xlfn.NUMBERVALUE(AQ118)/_xlfn.NUMBERVALUE(CQ17)&lt;0.7119,"Please check","Ok"),"Please check"),"NA")</f>
        <v>NA</v>
      </c>
      <c r="BD118" s="98"/>
      <c r="BE118" s="1856" t="str">
        <f>IF(OR('General Info'!$C$19="Yes",'General Info'!$D$19="Yes"),IFERROR(IF(AND(_xlfn.NUMBERVALUE(AU118)/_xlfn.NUMBERVALUE(AR118)&gt;0.7143,_xlfn.NUMBERVALUE(AU118)/_xlfn.NUMBERVALUE(AR118)&lt;=1),"Ok", "Please check"),"Please check"),"NA")</f>
        <v>NA</v>
      </c>
    </row>
    <row r="119" spans="1:57" x14ac:dyDescent="0.35">
      <c r="A119" s="1513"/>
      <c r="B119" s="1870" t="s">
        <v>2322</v>
      </c>
      <c r="C119" s="1899">
        <f>IF(AND( ISNUMBER(C120),ISNUMBER(C121)), SUM(C120:C121),"")</f>
        <v>2707.6369743</v>
      </c>
      <c r="D119" s="1899">
        <f t="shared" ref="D119:E119" si="347">IF(AND( ISNUMBER(D120),ISNUMBER(D121)), SUM(D120:D121),"")</f>
        <v>0</v>
      </c>
      <c r="E119" s="1899">
        <f t="shared" si="347"/>
        <v>561.88617999999997</v>
      </c>
      <c r="F119" s="1909"/>
      <c r="G119" s="1899">
        <f>IF(AND(ISNUMBER(C119),ISNUMBER(D119), ISNUMBER(E119)),SUM(C119, D119, E119),"")</f>
        <v>3269.5231543</v>
      </c>
      <c r="H119" s="1899">
        <f>IF(AND( ISNUMBER(H120),ISNUMBER(H121)), SUM(H120:H121),"")</f>
        <v>1092.5818933999997</v>
      </c>
      <c r="I119" s="1899">
        <f>IF(AND( ISNUMBER(I120),ISNUMBER(I121)), SUM(I120:I121),"")</f>
        <v>0</v>
      </c>
      <c r="J119" s="1899">
        <f>IF(AND( ISNUMBER(J120),ISNUMBER(J121)), SUM(J120:J121),"")</f>
        <v>178.772074</v>
      </c>
      <c r="K119" s="1899">
        <f>IF(AND(ISNUMBER(H119),ISNUMBER(I119), ISNUMBER(J119)),SUM(H119, I119, J119),"")</f>
        <v>1271.3539673999996</v>
      </c>
      <c r="L119" s="1899">
        <f>IF(AND( ISNUMBER(L120),ISNUMBER(L121)), SUM(L120:L121),"")</f>
        <v>9.9051525000000016</v>
      </c>
      <c r="M119" s="1899">
        <f>IF(AND( ISNUMBER(M120),ISNUMBER(M121)), SUM(M120:M121),"")</f>
        <v>2707.6369742999996</v>
      </c>
      <c r="N119" s="1899">
        <f>IF(AND( ISNUMBER(N120),ISNUMBER(N121)), SUM(N120:N121),"")</f>
        <v>0</v>
      </c>
      <c r="O119" s="1899">
        <f>IF(AND( ISNUMBER(O120),ISNUMBER(O121)), SUM(O120:O121),"")</f>
        <v>1188.27927</v>
      </c>
      <c r="P119" s="1899">
        <f t="shared" ref="P119:P145" si="348">IF(AND(ISNUMBER(M119),ISNUMBER(N119), ISNUMBER(O119)),SUM(M119, N119, O119),"")</f>
        <v>3895.9162442999996</v>
      </c>
      <c r="R119" s="1899">
        <f>IF(AND( ISNUMBER(R120),ISNUMBER(R121)), SUM(R120:R121),"")</f>
        <v>1358.2659742834453</v>
      </c>
      <c r="S119" s="1899">
        <f>IF(AND( ISNUMBER(S120),ISNUMBER(S121)), SUM(S120:S121),"")</f>
        <v>0</v>
      </c>
      <c r="T119" s="1899">
        <f>IF(AND( ISNUMBER(T120),ISNUMBER(T121)), SUM(T120:T121),"")</f>
        <v>483.51122899002803</v>
      </c>
      <c r="U119" s="1899">
        <f>IF(AND(ISNUMBER(R119),ISNUMBER(S119), ISNUMBER(T119)),SUM(R119, S119, T119),"")</f>
        <v>1841.7772032734733</v>
      </c>
      <c r="V119" s="1899">
        <f>IF(AND( ISNUMBER(V120),ISNUMBER(V121)), SUM(V120:V121),"")</f>
        <v>11.038213670353739</v>
      </c>
      <c r="W119" s="1899">
        <f>IF(AND( ISNUMBER(W120),ISNUMBER(W121)), SUM(W120:W121),"")</f>
        <v>0</v>
      </c>
      <c r="X119" s="1899">
        <f>IF(AND( ISNUMBER(X120),ISNUMBER(X121)), SUM(X120:X121),"")</f>
        <v>0</v>
      </c>
      <c r="Y119" s="1899">
        <f>IF(AND( ISNUMBER(Y120),ISNUMBER(Y121)), SUM(Y120:Y121),"")</f>
        <v>0</v>
      </c>
      <c r="Z119" s="1899">
        <f>IF(AND( ISNUMBER(Z120),ISNUMBER(Z121)), SUM(Z120:Z121),"")</f>
        <v>0</v>
      </c>
      <c r="AA119" s="1899">
        <f>IF(AND(ISNUMBER(X119),ISNUMBER(Y119), ISNUMBER(Z119)),SUM(X119, Y119, Z119),"")</f>
        <v>0</v>
      </c>
      <c r="AB119" s="1899">
        <f>IF(AND( ISNUMBER(AB120),ISNUMBER(AB121)), SUM(AB120:AB121),"")</f>
        <v>0</v>
      </c>
      <c r="AD119" s="1899">
        <f>IF(AND( ISNUMBER(AD120),ISNUMBER(AD121)), SUM(AD120:AD121),"")</f>
        <v>0</v>
      </c>
      <c r="AE119" s="1899">
        <f>IF(AND( ISNUMBER(AE120),ISNUMBER(AE121)), SUM(AE120:AE121),"")</f>
        <v>0</v>
      </c>
      <c r="AF119" s="1899">
        <f>IF(AND(ISNUMBER(AB119),ISNUMBER(AD119), ISNUMBER(AE119)),SUM(AB119, AD119, AE119),"")</f>
        <v>0</v>
      </c>
      <c r="AG119" s="1899">
        <f>IF(AND( ISNUMBER(AG120),ISNUMBER(AG121)), SUM(AG120:AG121),"")</f>
        <v>1037.5164231677411</v>
      </c>
      <c r="AH119" s="1899">
        <f>IF(AND( ISNUMBER(AH120),ISNUMBER(AH121)), SUM(AH120:AH121),"")</f>
        <v>0</v>
      </c>
      <c r="AI119" s="1899">
        <f>IF(AND( ISNUMBER(AI120),ISNUMBER(AI121)), SUM(AI120:AI121),"")</f>
        <v>368.5117647162914</v>
      </c>
      <c r="AJ119" s="1899">
        <f>IF(AND(ISNUMBER(AG119),ISNUMBER(AH119), ISNUMBER(AI119)),SUM(AG119, AH119, AI119),"")</f>
        <v>1406.0281878840324</v>
      </c>
      <c r="AK119" s="1899">
        <f>IF(AND( ISNUMBER(AK120),ISNUMBER(AK121)), SUM(AK120:AK121),"")</f>
        <v>0</v>
      </c>
      <c r="AL119" s="1899">
        <f>IF(AND( ISNUMBER(AL120),ISNUMBER(AL121)), SUM(AL120:AL121),"")</f>
        <v>0</v>
      </c>
      <c r="AM119" s="1899">
        <f>IF(AND( ISNUMBER(AM120),ISNUMBER(AM121)), SUM(AM120:AM121),"")</f>
        <v>0</v>
      </c>
      <c r="AN119" s="1899">
        <f t="shared" ref="AN119:AN145" si="349">IF(AND(ISNUMBER(AK119),ISNUMBER(AL119), ISNUMBER(AM119)),SUM(AK119, AL119, AM119),"")</f>
        <v>0</v>
      </c>
      <c r="AO119" s="1899">
        <f>IF(AND( ISNUMBER(AO120),ISNUMBER(AO121)), SUM(AO120:AO121),"")</f>
        <v>3895.9162442999996</v>
      </c>
      <c r="AP119" s="1899">
        <f>IF(AND( ISNUMBER(AP120),ISNUMBER(AP121)), SUM(AP120:AP121),"")</f>
        <v>0</v>
      </c>
      <c r="AQ119" s="1899">
        <f>IF(AND( ISNUMBER(AQ120),ISNUMBER(AQ121)), SUM(AQ120:AQ121),"")</f>
        <v>1406.0281878840326</v>
      </c>
      <c r="AR119" s="1899" t="str">
        <f>IF(AND(OR('General Info'!$C$19="Yes",'General Info'!$D$19="Yes"),ISNUMBER(AO119),ISNUMBER(AP119),ISNUMBER(AT119)),AO119-AP119+AT119,"")</f>
        <v/>
      </c>
      <c r="AS119" s="98"/>
      <c r="AT119" s="1899" t="str">
        <f>IF(AND( ISNUMBER(AT120),ISNUMBER(AT121)), SUM(AT120:AT121),"")</f>
        <v/>
      </c>
      <c r="AU119" s="1899" t="str">
        <f>IF(AND( ISNUMBER(AU120),ISNUMBER(AU121)), SUM(AU120:AU121),"")</f>
        <v/>
      </c>
      <c r="AV119" s="1856" t="str">
        <f>IF(AND(U119&lt;&gt;"",OR(AJ119="",AJ119=0)),"Missing Input",IF(AND(AJ119&gt;0,AJ119&lt;&gt;"",U119&gt;0,U119&lt;&gt;"",_xlfn.NUMBERVALUE(AJ119)&lt;_xlfn.NUMBERVALUE(U119)),"Ok","Please check"))</f>
        <v>Ok</v>
      </c>
      <c r="AW119" s="1857"/>
      <c r="AX119" s="1857"/>
      <c r="AY119" s="1856" t="str">
        <f t="shared" ref="AY119:AY146" si="350">IF(AND(AF119&lt;&gt;"",OR(AN119="",AN119=0)),"Missing Input",IF(AND(AN119&gt;0,AN119&lt;&gt;"",AF119&gt;0,AF119&lt;&gt;"",OR(_xlfn.NUMBERVALUE(AF119)&gt;_xlfn.NUMBERVALUE(AN119),_xlfn.NUMBERVALUE(AF119)=_xlfn.NUMBERVALUE(AN119))),"Ok","Please check"))</f>
        <v>Missing Input</v>
      </c>
      <c r="AZ119" s="1857"/>
      <c r="BA119" s="1857"/>
      <c r="BB119" s="1857"/>
      <c r="BC119" s="1857"/>
      <c r="BD119" s="98"/>
      <c r="BE119" s="1857"/>
    </row>
    <row r="120" spans="1:57" x14ac:dyDescent="0.35">
      <c r="A120" s="1513"/>
      <c r="B120" s="1871" t="s">
        <v>2323</v>
      </c>
      <c r="C120" s="1918">
        <v>2707.6369743</v>
      </c>
      <c r="D120" s="1918">
        <v>0</v>
      </c>
      <c r="E120" s="1918">
        <v>561.88617999999997</v>
      </c>
      <c r="F120" s="1909"/>
      <c r="G120" s="1899">
        <f t="shared" ref="G120:G145" si="351">IF(AND(ISNUMBER(C120),ISNUMBER(D120), ISNUMBER(E120)),SUM(C120, D120, E120),"")</f>
        <v>3269.5231543</v>
      </c>
      <c r="H120" s="1918">
        <v>1092.5818933999997</v>
      </c>
      <c r="I120" s="1918">
        <v>0</v>
      </c>
      <c r="J120" s="1918">
        <v>178.772074</v>
      </c>
      <c r="K120" s="1899">
        <f>IF(AND(ISNUMBER(H120),ISNUMBER(I120), ISNUMBER(J120)),SUM(H120, I120, J120),"")</f>
        <v>1271.3539673999996</v>
      </c>
      <c r="L120" s="1918">
        <v>9.9051525000000016</v>
      </c>
      <c r="M120" s="1918">
        <v>2707.6369742999996</v>
      </c>
      <c r="N120" s="1918">
        <v>0</v>
      </c>
      <c r="O120" s="1918">
        <v>1188.27927</v>
      </c>
      <c r="P120" s="1899">
        <f>IF(AND(ISNUMBER(M120),ISNUMBER(N120), ISNUMBER(O120)),SUM(M120, N120, O120),"")</f>
        <v>3895.9162442999996</v>
      </c>
      <c r="R120" s="1918">
        <v>1358.2659742834453</v>
      </c>
      <c r="S120" s="1918">
        <v>0</v>
      </c>
      <c r="T120" s="1918">
        <v>483.51122899002803</v>
      </c>
      <c r="U120" s="1899">
        <f>IF(AND(ISNUMBER(R120),ISNUMBER(S120), ISNUMBER(T120)),SUM(R120, S120, T120),"")</f>
        <v>1841.7772032734733</v>
      </c>
      <c r="V120" s="1918">
        <v>11.038213670353739</v>
      </c>
      <c r="W120" s="1918">
        <v>0</v>
      </c>
      <c r="X120" s="1918">
        <v>0</v>
      </c>
      <c r="Y120" s="1918">
        <v>0</v>
      </c>
      <c r="Z120" s="1918">
        <v>0</v>
      </c>
      <c r="AA120" s="1899">
        <f>IF(AND(ISNUMBER(X120),ISNUMBER(Y120), ISNUMBER(Z120)),SUM(X120, Y120, Z120),"")</f>
        <v>0</v>
      </c>
      <c r="AB120" s="1918">
        <v>0</v>
      </c>
      <c r="AD120" s="1923">
        <v>0</v>
      </c>
      <c r="AE120" s="1923">
        <v>0</v>
      </c>
      <c r="AF120" s="1899">
        <f t="shared" ref="AF120:AF145" si="352">IF(AND(ISNUMBER(AB120),ISNUMBER(AD120), ISNUMBER(AE120)),SUM(AB120, AD120, AE120),"")</f>
        <v>0</v>
      </c>
      <c r="AG120" s="1918">
        <v>1037.5164231677411</v>
      </c>
      <c r="AH120" s="1918">
        <v>0</v>
      </c>
      <c r="AI120" s="1918">
        <v>368.5117647162914</v>
      </c>
      <c r="AJ120" s="1899">
        <f t="shared" ref="AJ120:AJ145" si="353">IF(AND(ISNUMBER(AG120),ISNUMBER(AH120), ISNUMBER(AI120)),SUM(AG120, AH120, AI120),"")</f>
        <v>1406.0281878840324</v>
      </c>
      <c r="AK120" s="1918">
        <v>0</v>
      </c>
      <c r="AL120" s="1918">
        <v>0</v>
      </c>
      <c r="AM120" s="1918">
        <v>0</v>
      </c>
      <c r="AN120" s="1899">
        <f t="shared" si="349"/>
        <v>0</v>
      </c>
      <c r="AO120" s="1915">
        <v>3895.9162442999996</v>
      </c>
      <c r="AP120" s="1915">
        <v>0</v>
      </c>
      <c r="AQ120" s="1915">
        <v>1406.0281878840326</v>
      </c>
      <c r="AR120" s="1899" t="str">
        <f>IF(AND(OR('General Info'!$C$19="Yes",'General Info'!$D$19="Yes"),ISNUMBER(AO120),ISNUMBER(AP120),ISNUMBER(AT120)),AO120-AP120+AT120,"")</f>
        <v/>
      </c>
      <c r="AS120" s="98"/>
      <c r="AT120" s="1919"/>
      <c r="AU120" s="1920"/>
      <c r="AV120" s="1856" t="str">
        <f>IF(AND(U120&lt;&gt;"",OR(AJ120="",AJ120=0)),"Missing Input",IF(AND(AJ120&gt;0,AJ120&lt;&gt;"",U120&gt;0,U120&lt;&gt;"",_xlfn.NUMBERVALUE(AJ120)&lt;_xlfn.NUMBERVALUE(U120)),"Ok","Please check"))</f>
        <v>Ok</v>
      </c>
      <c r="AW120" s="1856" t="str">
        <f>IFERROR(IF(OR(U120="",AJ120=""),"Missing input",IF(AND(_xlfn.NUMBERVALUE(AJ120)/_xlfn.NUMBERVALUE(U120)&gt;0.7119,_xlfn.NUMBERVALUE(AJ120)/_xlfn.NUMBERVALUE(U120)&lt;0.8119),"Ok","Please check")),"Please check")</f>
        <v>Ok</v>
      </c>
      <c r="AX120" s="1857"/>
      <c r="AY120" s="1856" t="str">
        <f t="shared" si="350"/>
        <v>Missing Input</v>
      </c>
      <c r="AZ120" s="1856" t="str">
        <f>IFERROR(IF(OR(AF120="",AN120=""),"Missing input",IF(AND(_xlfn.NUMBERVALUE(AN120)/_xlfn.NUMBERVALUE(AF120)&gt;0.7119,_xlfn.NUMBERVALUE(AN120)/_xlfn.NUMBERVALUE(AF120)&lt;0.8119),"Ok","Please check")),"Please check")</f>
        <v>Please check</v>
      </c>
      <c r="BA120" s="1857"/>
      <c r="BB120" s="1857"/>
      <c r="BC120" s="1857"/>
      <c r="BD120" s="98"/>
      <c r="BE120" s="1857"/>
    </row>
    <row r="121" spans="1:57" x14ac:dyDescent="0.35">
      <c r="A121" s="1513"/>
      <c r="B121" s="1871" t="s">
        <v>2324</v>
      </c>
      <c r="C121" s="1918">
        <v>0</v>
      </c>
      <c r="D121" s="1918">
        <v>0</v>
      </c>
      <c r="E121" s="1918">
        <v>0</v>
      </c>
      <c r="F121" s="1909"/>
      <c r="G121" s="1899">
        <f t="shared" si="351"/>
        <v>0</v>
      </c>
      <c r="H121" s="1918">
        <v>0</v>
      </c>
      <c r="I121" s="1918">
        <v>0</v>
      </c>
      <c r="J121" s="1918">
        <v>0</v>
      </c>
      <c r="K121" s="1899">
        <f t="shared" ref="K121:K145" si="354">IF(AND(ISNUMBER(H121),ISNUMBER(I121), ISNUMBER(J121)),SUM(H121, I121, J121),"")</f>
        <v>0</v>
      </c>
      <c r="L121" s="1918">
        <v>0</v>
      </c>
      <c r="M121" s="1918">
        <v>0</v>
      </c>
      <c r="N121" s="1918">
        <v>0</v>
      </c>
      <c r="O121" s="1918">
        <v>0</v>
      </c>
      <c r="P121" s="1899">
        <f t="shared" si="348"/>
        <v>0</v>
      </c>
      <c r="R121" s="1918">
        <v>0</v>
      </c>
      <c r="S121" s="1918">
        <v>0</v>
      </c>
      <c r="T121" s="1918">
        <v>0</v>
      </c>
      <c r="U121" s="1899">
        <f t="shared" ref="U121:U145" si="355">IF(AND(ISNUMBER(R121),ISNUMBER(S121), ISNUMBER(T121)),SUM(R121, S121, T121),"")</f>
        <v>0</v>
      </c>
      <c r="V121" s="1918">
        <v>0</v>
      </c>
      <c r="W121" s="1918">
        <v>0</v>
      </c>
      <c r="X121" s="1918">
        <v>0</v>
      </c>
      <c r="Y121" s="1918">
        <v>0</v>
      </c>
      <c r="Z121" s="1918">
        <v>0</v>
      </c>
      <c r="AA121" s="1899">
        <f t="shared" ref="AA121:AA145" si="356">IF(AND(ISNUMBER(X121),ISNUMBER(Y121), ISNUMBER(Z121)),SUM(X121, Y121, Z121),"")</f>
        <v>0</v>
      </c>
      <c r="AB121" s="1918">
        <v>0</v>
      </c>
      <c r="AD121" s="1923">
        <v>0</v>
      </c>
      <c r="AE121" s="1923">
        <v>0</v>
      </c>
      <c r="AF121" s="1899">
        <f t="shared" si="352"/>
        <v>0</v>
      </c>
      <c r="AG121" s="1918">
        <v>0</v>
      </c>
      <c r="AH121" s="1918">
        <v>0</v>
      </c>
      <c r="AI121" s="1918">
        <v>0</v>
      </c>
      <c r="AJ121" s="1899">
        <f t="shared" si="353"/>
        <v>0</v>
      </c>
      <c r="AK121" s="1918">
        <v>0</v>
      </c>
      <c r="AL121" s="1918">
        <v>0</v>
      </c>
      <c r="AM121" s="1918">
        <v>0</v>
      </c>
      <c r="AN121" s="1899">
        <f t="shared" si="349"/>
        <v>0</v>
      </c>
      <c r="AO121" s="1915">
        <v>0</v>
      </c>
      <c r="AP121" s="1915">
        <v>0</v>
      </c>
      <c r="AQ121" s="1915">
        <v>0</v>
      </c>
      <c r="AR121" s="1899" t="str">
        <f>IF(AND(OR('General Info'!$C$19="Yes",'General Info'!$D$19="Yes"),ISNUMBER(AO121),ISNUMBER(AP121),ISNUMBER(AT121)),AO121-AP121+AT121,"")</f>
        <v/>
      </c>
      <c r="AS121" s="98"/>
      <c r="AT121" s="1919"/>
      <c r="AU121" s="1920"/>
      <c r="AV121" s="1856" t="str">
        <f>IF(AND(U121&lt;&gt;"",OR(AJ121="",AJ121=0)),"Missing Input",IF(AND(AJ121&gt;0,AJ121&lt;&gt;"",U121&gt;0,U121&lt;&gt;"",_xlfn.NUMBERVALUE(AJ121)&lt;_xlfn.NUMBERVALUE(U121)),"Ok","Please check"))</f>
        <v>Missing Input</v>
      </c>
      <c r="AW121" s="1856" t="str">
        <f>IFERROR(IF(OR(U121="",AJ121=""),"Missing input",IF(AND(_xlfn.NUMBERVALUE(AJ121)/_xlfn.NUMBERVALUE(U121)&gt;0.7119,_xlfn.NUMBERVALUE(AJ121)/_xlfn.NUMBERVALUE(U121)&lt;0.9),"Ok","Please check")),"Please check")</f>
        <v>Please check</v>
      </c>
      <c r="AX121" s="1857"/>
      <c r="AY121" s="1856" t="str">
        <f t="shared" si="350"/>
        <v>Missing Input</v>
      </c>
      <c r="AZ121" s="1856" t="str">
        <f>IFERROR(IF(OR(AF121="",AN121=""),"Missing input",IF(AND(_xlfn.NUMBERVALUE(AN121)/_xlfn.NUMBERVALUE(AF121)&gt;0.7119,_xlfn.NUMBERVALUE(AN121)/_xlfn.NUMBERVALUE(AF121)&lt;0.9),"Ok","Please check")),"Please check")</f>
        <v>Please check</v>
      </c>
      <c r="BA121" s="1857"/>
      <c r="BB121" s="1857"/>
      <c r="BC121" s="1857"/>
      <c r="BD121" s="98"/>
      <c r="BE121" s="1857"/>
    </row>
    <row r="122" spans="1:57" x14ac:dyDescent="0.35">
      <c r="A122" s="1513"/>
      <c r="B122" s="1921" t="s">
        <v>889</v>
      </c>
      <c r="C122" s="1899">
        <f>IF(ISNUMBER(C36), C36, "")</f>
        <v>6379578.8708719108</v>
      </c>
      <c r="D122" s="1899">
        <f>IF(ISNUMBER(D36), D36, "")</f>
        <v>18794.835699200015</v>
      </c>
      <c r="E122" s="1899">
        <f>IF(ISNUMBER(G36), G36, "")</f>
        <v>685165.2166179982</v>
      </c>
      <c r="F122" s="1909"/>
      <c r="G122" s="1899">
        <f t="shared" si="351"/>
        <v>7083538.9231891092</v>
      </c>
      <c r="H122" s="1899">
        <f>IF(ISNUMBER(I36), I36, "")</f>
        <v>2171220.0287543205</v>
      </c>
      <c r="I122" s="1899">
        <f>IF(ISNUMBER(J36), J36, "")</f>
        <v>8756.0366547999784</v>
      </c>
      <c r="J122" s="1899">
        <f>IF(ISNUMBER(K36), K36, "")</f>
        <v>162206.72833919787</v>
      </c>
      <c r="K122" s="1899">
        <f t="shared" si="354"/>
        <v>2342182.7937483187</v>
      </c>
      <c r="L122" s="1899">
        <f>IF(ISNUMBER(M36), M36, "")</f>
        <v>97498.719733199774</v>
      </c>
      <c r="M122" s="1899">
        <f>IF(ISNUMBER(AP36), AP36, "")</f>
        <v>6379578.8708719825</v>
      </c>
      <c r="N122" s="1899">
        <f>IF(ISNUMBER(AQ36), AQ36, "")</f>
        <v>18794.83569919999</v>
      </c>
      <c r="O122" s="1899">
        <f>IF(ISNUMBER(AT36), AT36, "")</f>
        <v>1031468.7690833673</v>
      </c>
      <c r="P122" s="1899">
        <f t="shared" si="348"/>
        <v>7429842.4756545499</v>
      </c>
      <c r="R122" s="1899">
        <f>IF(ISNUMBER(AV36), AV36, "")</f>
        <v>2653408.7919888296</v>
      </c>
      <c r="S122" s="1899">
        <f>IF(ISNUMBER(AW36), AW36, "")</f>
        <v>8267.386247522425</v>
      </c>
      <c r="T122" s="1899">
        <f>IF(ISNUMBER(AX36), AX36, "")</f>
        <v>231911.00260711918</v>
      </c>
      <c r="U122" s="1899">
        <f t="shared" si="355"/>
        <v>2893587.1808434711</v>
      </c>
      <c r="V122" s="1899">
        <f>IF(ISNUMBER(AZ36), AZ36, "")</f>
        <v>98909.753247555331</v>
      </c>
      <c r="W122" s="1899">
        <f>IF(AND(ISNUMBER(BL36),ISNUMBER(BX36)), BL36+BX36, "")</f>
        <v>70149.346422599963</v>
      </c>
      <c r="X122" s="1899">
        <f>IF(ISNUMBER(BZ36), BZ36, "")</f>
        <v>0</v>
      </c>
      <c r="Y122" s="1899">
        <f>IF(ISNUMBER(CA36), CA36, "")</f>
        <v>0</v>
      </c>
      <c r="Z122" s="1899">
        <f>IF(ISNUMBER(CD36), CD36, "")</f>
        <v>0</v>
      </c>
      <c r="AA122" s="1899">
        <f t="shared" si="356"/>
        <v>0</v>
      </c>
      <c r="AB122" s="1899">
        <f>IF(ISNUMBER(CF36), CF36, "")</f>
        <v>0</v>
      </c>
      <c r="AD122" s="1899">
        <f>IF(ISNUMBER(CG36), CG36, "")</f>
        <v>0</v>
      </c>
      <c r="AE122" s="1899">
        <f>IF(ISNUMBER(CH36), CH36, "")</f>
        <v>0</v>
      </c>
      <c r="AF122" s="1899">
        <f t="shared" si="352"/>
        <v>0</v>
      </c>
      <c r="AG122" s="1918">
        <v>2063726.1593830581</v>
      </c>
      <c r="AH122" s="1918">
        <v>8267.386247522425</v>
      </c>
      <c r="AI122" s="1918">
        <v>177743.60583401282</v>
      </c>
      <c r="AJ122" s="1899">
        <f t="shared" si="353"/>
        <v>2249737.1514645931</v>
      </c>
      <c r="AK122" s="1918">
        <v>0</v>
      </c>
      <c r="AL122" s="1918">
        <v>0</v>
      </c>
      <c r="AM122" s="1922">
        <v>0</v>
      </c>
      <c r="AN122" s="1899">
        <f t="shared" si="349"/>
        <v>0</v>
      </c>
      <c r="AO122" s="1919">
        <f>+CO36</f>
        <v>7345162.4429045841</v>
      </c>
      <c r="AP122" s="1919">
        <f t="shared" ref="AP122:AQ122" si="357">+CP36</f>
        <v>18809.958528900017</v>
      </c>
      <c r="AQ122" s="1919">
        <f t="shared" si="357"/>
        <v>7178565.0804836834</v>
      </c>
      <c r="AR122" s="1899" t="str">
        <f>IF(AND(OR('General Info'!$C$19="Yes",'General Info'!$D$19="Yes"),ISNUMBER(AO122),ISNUMBER(AP122),ISNUMBER(AT122)),AO122-AP122+AT122,"")</f>
        <v/>
      </c>
      <c r="AS122" s="98"/>
      <c r="AT122" s="1919"/>
      <c r="AU122" s="1920"/>
      <c r="AV122" s="1856" t="str">
        <f>IF(AND(U122&lt;&gt;"",OR(AJ122="",AJ122=0)),"Missing Input",IF(AND(AJ122&gt;0,AJ122&lt;&gt;"",U122&gt;0,U122&lt;&gt;"",OR(_xlfn.NUMBERVALUE(U122)&gt;_xlfn.NUMBERVALUE(AJ122),_xlfn.NUMBERVALUE(U122)=_xlfn.NUMBERVALUE(AJ122))),"Ok","Please check"))</f>
        <v>Ok</v>
      </c>
      <c r="AW122" s="1857"/>
      <c r="AX122" s="1856" t="str">
        <f>+IFERROR(IF(AND(ABS(AJ122-U122)&gt;ABS(0.95*(AJ123-U123)),ABS(AJ122-U122)&lt;ABS(1.05*(AJ123-U123))),"Ok","Please Check"),"Please Check")</f>
        <v>Ok</v>
      </c>
      <c r="AY122" s="1856" t="str">
        <f t="shared" si="350"/>
        <v>Missing Input</v>
      </c>
      <c r="AZ122" s="1857"/>
      <c r="BA122" s="1856" t="str">
        <f>+IFERROR(IF(AND(ABS(AN122-AF122)&gt;ABS(0.95*(AN123-AF123)),ABS(AN122-AF122)&lt;ABS(1.05*(AN123-AF123))),"Ok","Please Check"),"Please Check")</f>
        <v>Please Check</v>
      </c>
      <c r="BB122" s="1893" t="str">
        <f>IF(OR('General Info'!$C$19="Yes",'General Info'!$D$19="Yes"),IF(AND(AQ122&gt;0,AQ122&lt;&gt;"",CQ36&gt;0,CQ36&lt;&gt;"",OR(_xlfn.NUMBERVALUE(AQ122)&lt;_xlfn.NUMBERVALUE(CQ36),_xlfn.NUMBERVALUE(AQ122)=_xlfn.NUMBERVALUE(CQ36))),"Ok","Please check"),"NA")</f>
        <v>NA</v>
      </c>
      <c r="BC122" s="1893" t="str">
        <f>IF(OR('General Info'!$C$19="Yes",'General Info'!$D$19="Yes"),IFERROR(IF(_xlfn.NUMBERVALUE(AQ122)/_xlfn.NUMBERVALUE(CQ36)&lt;0.7119,"Please check","Ok"),"Please check"),"NA")</f>
        <v>NA</v>
      </c>
      <c r="BD122" s="98"/>
      <c r="BE122" s="1856" t="str">
        <f>IF(OR('General Info'!$C$19="Yes",'General Info'!$D$19="Yes"),IFERROR(IF(AND(_xlfn.NUMBERVALUE(AU122)/_xlfn.NUMBERVALUE(AR122)&gt;0.7143,_xlfn.NUMBERVALUE(AU122)/_xlfn.NUMBERVALUE(AR122)&lt;=1),"Ok", "Please check"),"Please check"),"NA")</f>
        <v>NA</v>
      </c>
    </row>
    <row r="123" spans="1:57" x14ac:dyDescent="0.35">
      <c r="A123" s="1513"/>
      <c r="B123" s="1870" t="s">
        <v>2322</v>
      </c>
      <c r="C123" s="1899">
        <f t="shared" ref="C123:E123" si="358">IF(AND( ISNUMBER(C124),ISNUMBER(C125)), SUM(C124:C125),"")</f>
        <v>6209682.9367612125</v>
      </c>
      <c r="D123" s="1899">
        <f t="shared" si="358"/>
        <v>18640.041409399979</v>
      </c>
      <c r="E123" s="1899">
        <f t="shared" si="358"/>
        <v>676411.52623629884</v>
      </c>
      <c r="F123" s="1909"/>
      <c r="G123" s="1899">
        <f t="shared" si="351"/>
        <v>6904734.5044069113</v>
      </c>
      <c r="H123" s="1899">
        <f>IF(AND( ISNUMBER(H124),ISNUMBER(H125)), SUM(H124:H125),"")</f>
        <v>2044407.9203334057</v>
      </c>
      <c r="I123" s="1899">
        <f>IF(AND( ISNUMBER(I124),ISNUMBER(I125)), SUM(I124:I125),"")</f>
        <v>8629.793615799992</v>
      </c>
      <c r="J123" s="1899">
        <f>IF(AND( ISNUMBER(J124),ISNUMBER(J125)), SUM(J124:J125),"")</f>
        <v>158218.5451531999</v>
      </c>
      <c r="K123" s="1899">
        <f t="shared" si="354"/>
        <v>2211256.2591024055</v>
      </c>
      <c r="L123" s="1899">
        <f>IF(AND( ISNUMBER(L124),ISNUMBER(L125)), SUM(L124:L125),"")</f>
        <v>26811.989440799916</v>
      </c>
      <c r="M123" s="1899">
        <f>IF(AND( ISNUMBER(M124),ISNUMBER(M125)), SUM(M124:M125),"")</f>
        <v>6209682.9367612125</v>
      </c>
      <c r="N123" s="1899">
        <f>IF(AND( ISNUMBER(N124),ISNUMBER(N125)), SUM(N124:N125),"")</f>
        <v>18640.041409399957</v>
      </c>
      <c r="O123" s="1899">
        <f>IF(AND( ISNUMBER(O124),ISNUMBER(O125)), SUM(O124:O125),"")</f>
        <v>1022405.4084578704</v>
      </c>
      <c r="P123" s="1899">
        <f t="shared" si="348"/>
        <v>7250728.3866284834</v>
      </c>
      <c r="R123" s="1899">
        <f>IF(AND( ISNUMBER(R124),ISNUMBER(R125)), SUM(R124:R125),"")</f>
        <v>2528820.674006179</v>
      </c>
      <c r="S123" s="1899">
        <f>IF(AND( ISNUMBER(S124),ISNUMBER(S125)), SUM(S124:S125),"")</f>
        <v>8141.3281851714792</v>
      </c>
      <c r="T123" s="1899">
        <f>IF(AND( ISNUMBER(T124),ISNUMBER(T125)), SUM(T124:T125),"")</f>
        <v>229347.79853920938</v>
      </c>
      <c r="U123" s="1899">
        <f t="shared" si="355"/>
        <v>2766309.8007305595</v>
      </c>
      <c r="V123" s="1899">
        <f>IF(AND( ISNUMBER(V124),ISNUMBER(V125)), SUM(V124:V125),"")</f>
        <v>28210.711135633646</v>
      </c>
      <c r="W123" s="1899">
        <f>IF(AND( ISNUMBER(W124),ISNUMBER(W125)), SUM(W124:W125),"")</f>
        <v>0</v>
      </c>
      <c r="X123" s="1899">
        <f>IF(AND( ISNUMBER(X124),ISNUMBER(X125)), SUM(X124:X125),"")</f>
        <v>0</v>
      </c>
      <c r="Y123" s="1899">
        <f>IF(AND( ISNUMBER(Y124),ISNUMBER(Y125)), SUM(Y124:Y125),"")</f>
        <v>0</v>
      </c>
      <c r="Z123" s="1899">
        <f>IF(AND( ISNUMBER(Z124),ISNUMBER(Z125)), SUM(Z124:Z125),"")</f>
        <v>0</v>
      </c>
      <c r="AA123" s="1899">
        <f t="shared" si="356"/>
        <v>0</v>
      </c>
      <c r="AB123" s="1899">
        <f>IF(AND( ISNUMBER(AB124),ISNUMBER(AB125)), SUM(AB124:AB125),"")</f>
        <v>0</v>
      </c>
      <c r="AD123" s="1899">
        <f>IF(AND( ISNUMBER(AD124),ISNUMBER(AD125)), SUM(AD124:AD125),"")</f>
        <v>0</v>
      </c>
      <c r="AE123" s="1899">
        <f>IF(AND( ISNUMBER(AE124),ISNUMBER(AE125)), SUM(AE124:AE125),"")</f>
        <v>0</v>
      </c>
      <c r="AF123" s="1899">
        <f t="shared" si="352"/>
        <v>0</v>
      </c>
      <c r="AG123" s="1899">
        <f>IF(AND( ISNUMBER(AG124),ISNUMBER(AG125)), SUM(AG124:AG125),"")</f>
        <v>1939138.0414004242</v>
      </c>
      <c r="AH123" s="1899">
        <f>IF(AND( ISNUMBER(AH124),ISNUMBER(AH125)), SUM(AH124:AH125),"")</f>
        <v>8141.3281851714792</v>
      </c>
      <c r="AI123" s="1899">
        <f>IF(AND( ISNUMBER(AI124),ISNUMBER(AI125)), SUM(AI124:AI125),"")</f>
        <v>175180.40203767264</v>
      </c>
      <c r="AJ123" s="1899">
        <f t="shared" si="353"/>
        <v>2122459.7716232683</v>
      </c>
      <c r="AK123" s="1899">
        <f>IF(AND( ISNUMBER(AK124),ISNUMBER(AK125)), SUM(AK124:AK125),"")</f>
        <v>0</v>
      </c>
      <c r="AL123" s="1899">
        <f>IF(AND( ISNUMBER(AL124),ISNUMBER(AL125)), SUM(AL124:AL125),"")</f>
        <v>0</v>
      </c>
      <c r="AM123" s="1899">
        <f>IF(AND( ISNUMBER(AM124),ISNUMBER(AM125)), SUM(AM124:AM125),"")</f>
        <v>0</v>
      </c>
      <c r="AN123" s="1899">
        <f t="shared" si="349"/>
        <v>0</v>
      </c>
      <c r="AO123" s="1899">
        <f t="shared" ref="AO123:AQ123" si="359">IF(AND( ISNUMBER(AO124),ISNUMBER(AO125)), SUM(AO124:AO125),"")</f>
        <v>7246216.2441873839</v>
      </c>
      <c r="AP123" s="1899">
        <f t="shared" si="359"/>
        <v>18640.041409399957</v>
      </c>
      <c r="AQ123" s="1899">
        <f t="shared" si="359"/>
        <v>2122459.772480526</v>
      </c>
      <c r="AR123" s="1899" t="str">
        <f>IF(AND(OR('General Info'!$C$19="Yes",'General Info'!$D$19="Yes"),ISNUMBER(AO123),ISNUMBER(AP123),ISNUMBER(AT123)),AO123-AP123+AT123,"")</f>
        <v/>
      </c>
      <c r="AS123" s="98"/>
      <c r="AT123" s="1899" t="str">
        <f t="shared" ref="AT123:AU123" si="360">IF(AND( ISNUMBER(AT124),ISNUMBER(AT125)), SUM(AT124:AT125),"")</f>
        <v/>
      </c>
      <c r="AU123" s="1899" t="str">
        <f t="shared" si="360"/>
        <v/>
      </c>
      <c r="AV123" s="1856" t="str">
        <f>IF(AND(U123&lt;&gt;"",OR(AJ123="",AJ123=0)),"Missing Input",IF(AND(AJ123&gt;0,AJ123&lt;&gt;"",U123&gt;0,U123&lt;&gt;"",_xlfn.NUMBERVALUE(AJ123)&lt;_xlfn.NUMBERVALUE(U123)),"Ok","Please check"))</f>
        <v>Ok</v>
      </c>
      <c r="AW123" s="1857"/>
      <c r="AX123" s="1857"/>
      <c r="AY123" s="1856" t="str">
        <f t="shared" si="350"/>
        <v>Missing Input</v>
      </c>
      <c r="AZ123" s="1857"/>
      <c r="BA123" s="1857"/>
      <c r="BB123" s="1857"/>
      <c r="BC123" s="1857"/>
      <c r="BD123" s="98"/>
      <c r="BE123" s="1857"/>
    </row>
    <row r="124" spans="1:57" x14ac:dyDescent="0.35">
      <c r="A124" s="1513"/>
      <c r="B124" s="1871" t="s">
        <v>2323</v>
      </c>
      <c r="C124" s="1918">
        <v>5071835.7287597153</v>
      </c>
      <c r="D124" s="1918">
        <v>14127.898968299978</v>
      </c>
      <c r="E124" s="1918">
        <v>608903.16917819891</v>
      </c>
      <c r="F124" s="1909"/>
      <c r="G124" s="1899">
        <f t="shared" si="351"/>
        <v>5694866.7969062142</v>
      </c>
      <c r="H124" s="1918">
        <v>1735463.2150559048</v>
      </c>
      <c r="I124" s="1918">
        <v>6811.8114581999916</v>
      </c>
      <c r="J124" s="1918">
        <v>145323.41157889989</v>
      </c>
      <c r="K124" s="1899">
        <f t="shared" si="354"/>
        <v>1887598.4380930047</v>
      </c>
      <c r="L124" s="1918">
        <v>24828.275660799918</v>
      </c>
      <c r="M124" s="1918">
        <v>5071835.7287597135</v>
      </c>
      <c r="N124" s="1918">
        <v>14127.898968299955</v>
      </c>
      <c r="O124" s="1918">
        <v>860529.21688242001</v>
      </c>
      <c r="P124" s="1899">
        <f t="shared" si="348"/>
        <v>5946492.8446104331</v>
      </c>
      <c r="R124" s="1918">
        <v>2157488.5571771124</v>
      </c>
      <c r="S124" s="1918">
        <v>6426.2443992833141</v>
      </c>
      <c r="T124" s="1918">
        <v>197117.40550827427</v>
      </c>
      <c r="U124" s="1899">
        <f t="shared" si="355"/>
        <v>2361032.2070846697</v>
      </c>
      <c r="V124" s="1918">
        <v>26081.016996527436</v>
      </c>
      <c r="W124" s="1918">
        <v>0</v>
      </c>
      <c r="X124" s="1918">
        <v>0</v>
      </c>
      <c r="Y124" s="1918">
        <v>0</v>
      </c>
      <c r="Z124" s="1918">
        <v>0</v>
      </c>
      <c r="AA124" s="1899">
        <f t="shared" si="356"/>
        <v>0</v>
      </c>
      <c r="AB124" s="1918">
        <v>0</v>
      </c>
      <c r="AD124" s="1923">
        <v>0</v>
      </c>
      <c r="AE124" s="1923">
        <v>0</v>
      </c>
      <c r="AF124" s="1899">
        <f t="shared" si="352"/>
        <v>0</v>
      </c>
      <c r="AG124" s="1918">
        <v>1646837.3443642794</v>
      </c>
      <c r="AH124" s="1918">
        <v>6426.2443992833141</v>
      </c>
      <c r="AI124" s="1918">
        <v>150316.0279503293</v>
      </c>
      <c r="AJ124" s="1899">
        <f t="shared" si="353"/>
        <v>1803579.616713892</v>
      </c>
      <c r="AK124" s="1918">
        <v>0</v>
      </c>
      <c r="AL124" s="1918">
        <v>0</v>
      </c>
      <c r="AM124" s="1918">
        <v>0</v>
      </c>
      <c r="AN124" s="1899">
        <f t="shared" si="349"/>
        <v>0</v>
      </c>
      <c r="AO124" s="1915">
        <v>5946492.844610434</v>
      </c>
      <c r="AP124" s="1915">
        <v>14127.898968299955</v>
      </c>
      <c r="AQ124" s="1915">
        <v>1803579.6175711497</v>
      </c>
      <c r="AR124" s="1899" t="str">
        <f>IF(AND(OR('General Info'!$C$19="Yes",'General Info'!$D$19="Yes"),ISNUMBER(AO124),ISNUMBER(AP124),ISNUMBER(AT124)),AO124-AP124+AT124,"")</f>
        <v/>
      </c>
      <c r="AS124" s="98"/>
      <c r="AT124" s="1919"/>
      <c r="AU124" s="1920"/>
      <c r="AV124" s="1856" t="str">
        <f>IF(AND(U124&lt;&gt;"",OR(AJ124="",AJ124=0)),"Missing Input",IF(AND(AJ124&gt;0,AJ124&lt;&gt;"",U124&gt;0,U124&lt;&gt;"",_xlfn.NUMBERVALUE(AJ124)&lt;_xlfn.NUMBERVALUE(U124)),"Ok","Please check"))</f>
        <v>Ok</v>
      </c>
      <c r="AW124" s="1856" t="str">
        <f>IFERROR(IF(OR(U124="",AJ124=""),"Missing input",IF(AND(_xlfn.NUMBERVALUE(AJ124)/_xlfn.NUMBERVALUE(U124)&gt;0.7119,_xlfn.NUMBERVALUE(AJ124)/_xlfn.NUMBERVALUE(U124)&lt;0.8119),"Ok","Please check")),"Please check")</f>
        <v>Ok</v>
      </c>
      <c r="AX124" s="1857"/>
      <c r="AY124" s="1856" t="str">
        <f t="shared" si="350"/>
        <v>Missing Input</v>
      </c>
      <c r="AZ124" s="1856" t="str">
        <f>IFERROR(IF(OR(AF124="",AN124=""),"Missing input",IF(AND(_xlfn.NUMBERVALUE(AN124)/_xlfn.NUMBERVALUE(AF124)&gt;0.7119,_xlfn.NUMBERVALUE(AN124)/_xlfn.NUMBERVALUE(AF124)&lt;0.8119),"Ok","Please check")),"Please check")</f>
        <v>Please check</v>
      </c>
      <c r="BA124" s="1857"/>
      <c r="BB124" s="1857"/>
      <c r="BC124" s="1857"/>
      <c r="BD124" s="98"/>
      <c r="BE124" s="1857"/>
    </row>
    <row r="125" spans="1:57" x14ac:dyDescent="0.35">
      <c r="A125" s="1513"/>
      <c r="B125" s="1871" t="s">
        <v>2324</v>
      </c>
      <c r="C125" s="1918">
        <v>1137847.208001497</v>
      </c>
      <c r="D125" s="1918">
        <v>4512.1424411000016</v>
      </c>
      <c r="E125" s="1918">
        <v>67508.357058099966</v>
      </c>
      <c r="F125" s="1909"/>
      <c r="G125" s="1899">
        <f t="shared" si="351"/>
        <v>1209867.7075006969</v>
      </c>
      <c r="H125" s="1918">
        <v>308944.70527750085</v>
      </c>
      <c r="I125" s="1918">
        <v>1817.9821575999999</v>
      </c>
      <c r="J125" s="1918">
        <v>12895.133574300011</v>
      </c>
      <c r="K125" s="1899">
        <f t="shared" si="354"/>
        <v>323657.82100940088</v>
      </c>
      <c r="L125" s="1918">
        <v>1983.7137799999985</v>
      </c>
      <c r="M125" s="1918">
        <v>1137847.2080014991</v>
      </c>
      <c r="N125" s="1918">
        <v>4512.1424411000016</v>
      </c>
      <c r="O125" s="1918">
        <v>161876.1915754503</v>
      </c>
      <c r="P125" s="1899">
        <f t="shared" si="348"/>
        <v>1304235.5420180494</v>
      </c>
      <c r="R125" s="1918">
        <v>371332.11682906642</v>
      </c>
      <c r="S125" s="1918">
        <v>1715.0837858881653</v>
      </c>
      <c r="T125" s="1918">
        <v>32230.39303093512</v>
      </c>
      <c r="U125" s="1899">
        <f t="shared" si="355"/>
        <v>405277.59364588972</v>
      </c>
      <c r="V125" s="1918">
        <v>2129.6941391062082</v>
      </c>
      <c r="W125" s="1918">
        <v>0</v>
      </c>
      <c r="X125" s="1918">
        <v>0</v>
      </c>
      <c r="Y125" s="1918">
        <v>0</v>
      </c>
      <c r="Z125" s="1918">
        <v>0</v>
      </c>
      <c r="AA125" s="1899">
        <f t="shared" si="356"/>
        <v>0</v>
      </c>
      <c r="AB125" s="1918">
        <v>0</v>
      </c>
      <c r="AD125" s="1923">
        <v>0</v>
      </c>
      <c r="AE125" s="1923">
        <v>0</v>
      </c>
      <c r="AF125" s="1899">
        <f t="shared" si="352"/>
        <v>0</v>
      </c>
      <c r="AG125" s="1918">
        <v>292300.69703614479</v>
      </c>
      <c r="AH125" s="1918">
        <v>1715.0837858881653</v>
      </c>
      <c r="AI125" s="1918">
        <v>24864.374087343334</v>
      </c>
      <c r="AJ125" s="1899">
        <f t="shared" si="353"/>
        <v>318880.15490937629</v>
      </c>
      <c r="AK125" s="1918">
        <v>0</v>
      </c>
      <c r="AL125" s="1918">
        <v>0</v>
      </c>
      <c r="AM125" s="1918">
        <v>0</v>
      </c>
      <c r="AN125" s="1899">
        <f t="shared" si="349"/>
        <v>0</v>
      </c>
      <c r="AO125" s="1915">
        <v>1299723.3995769497</v>
      </c>
      <c r="AP125" s="1915">
        <v>4512.1424411000016</v>
      </c>
      <c r="AQ125" s="1915">
        <v>318880.15490937623</v>
      </c>
      <c r="AR125" s="1899" t="str">
        <f>IF(AND(OR('General Info'!$C$19="Yes",'General Info'!$D$19="Yes"),ISNUMBER(AO125),ISNUMBER(AP125),ISNUMBER(AT125)),AO125-AP125+AT125,"")</f>
        <v/>
      </c>
      <c r="AS125" s="98"/>
      <c r="AT125" s="1919"/>
      <c r="AU125" s="1920"/>
      <c r="AV125" s="1856" t="str">
        <f>IF(AND(U125&lt;&gt;"",OR(AJ125="",AJ125=0)),"Missing Input",IF(AND(AJ125&gt;0,AJ125&lt;&gt;"",U125&gt;0,U125&lt;&gt;"",_xlfn.NUMBERVALUE(AJ125)&lt;_xlfn.NUMBERVALUE(U125)),"Ok","Please check"))</f>
        <v>Ok</v>
      </c>
      <c r="AW125" s="1856" t="str">
        <f>IFERROR(IF(OR(U125="",AJ125=""),"Missing input",IF(AND(_xlfn.NUMBERVALUE(AJ125)/_xlfn.NUMBERVALUE(U125)&gt;0.7119,_xlfn.NUMBERVALUE(AJ125)/_xlfn.NUMBERVALUE(U125)&lt;0.9),"Ok","Please check")),"Please check")</f>
        <v>Ok</v>
      </c>
      <c r="AX125" s="1857"/>
      <c r="AY125" s="1856" t="str">
        <f t="shared" si="350"/>
        <v>Missing Input</v>
      </c>
      <c r="AZ125" s="1856" t="str">
        <f>IFERROR(IF(OR(AF125="",AN125=""),"Missing input",IF(AND(_xlfn.NUMBERVALUE(AN125)/_xlfn.NUMBERVALUE(AF125)&gt;0.7119,_xlfn.NUMBERVALUE(AN125)/_xlfn.NUMBERVALUE(AF125)&lt;0.9),"Ok","Please check")),"Please check")</f>
        <v>Please check</v>
      </c>
      <c r="BA125" s="1857"/>
      <c r="BB125" s="1857"/>
      <c r="BC125" s="1857"/>
      <c r="BD125" s="98"/>
      <c r="BE125" s="1857"/>
    </row>
    <row r="126" spans="1:57" x14ac:dyDescent="0.35">
      <c r="A126" s="1513"/>
      <c r="B126" s="1921" t="s">
        <v>892</v>
      </c>
      <c r="C126" s="1899">
        <f>IF(ISNUMBER(C40), C40, "")</f>
        <v>9354168.4852654804</v>
      </c>
      <c r="D126" s="1899">
        <f>IF(ISNUMBER(D40), D40, "")</f>
        <v>0</v>
      </c>
      <c r="E126" s="1899">
        <f>IF(ISNUMBER(G40), G40, "")</f>
        <v>0</v>
      </c>
      <c r="F126" s="1909"/>
      <c r="G126" s="1899">
        <f t="shared" si="351"/>
        <v>9354168.4852654804</v>
      </c>
      <c r="H126" s="1899">
        <f>IF(ISNUMBER(I40), I40, "")</f>
        <v>2353995.0269878842</v>
      </c>
      <c r="I126" s="1899">
        <f>IF(ISNUMBER(J40), J40, "")</f>
        <v>0</v>
      </c>
      <c r="J126" s="1899">
        <f>IF(ISNUMBER(K40), K40, "")</f>
        <v>0</v>
      </c>
      <c r="K126" s="1899">
        <f t="shared" si="354"/>
        <v>2353995.0269878842</v>
      </c>
      <c r="L126" s="1899">
        <f>IF(ISNUMBER(M40), M40, "")</f>
        <v>97305.302923199779</v>
      </c>
      <c r="M126" s="1899">
        <f>IF(ISNUMBER(AP40), AP40, "")</f>
        <v>9354168.4852654189</v>
      </c>
      <c r="N126" s="1899">
        <f>IF(ISNUMBER(AQ40), AQ40, "")</f>
        <v>0</v>
      </c>
      <c r="O126" s="1899">
        <f>IF(ISNUMBER(AT40), AT40, "")</f>
        <v>34249.535783575091</v>
      </c>
      <c r="P126" s="1899">
        <f t="shared" si="348"/>
        <v>9388418.0210489947</v>
      </c>
      <c r="R126" s="1899">
        <f>IF(ISNUMBER(AV40), AV40, "")</f>
        <v>2306102.2904252121</v>
      </c>
      <c r="S126" s="1899">
        <f>IF(ISNUMBER(AW40), AW40, "")</f>
        <v>0</v>
      </c>
      <c r="T126" s="1899">
        <f>IF(ISNUMBER(AX40), AX40, "")</f>
        <v>0</v>
      </c>
      <c r="U126" s="1899">
        <f t="shared" si="355"/>
        <v>2306102.2904252121</v>
      </c>
      <c r="V126" s="1899">
        <f>IF(ISNUMBER(AZ40), AZ40, "")</f>
        <v>98409.706127241414</v>
      </c>
      <c r="W126" s="1899">
        <f>IF(AND(ISNUMBER(BL40),ISNUMBER(BX40)), BL40+BX40, "")</f>
        <v>72655.487163400074</v>
      </c>
      <c r="X126" s="1899">
        <f>IF(ISNUMBER(BZ40), BZ40, "")</f>
        <v>0</v>
      </c>
      <c r="Y126" s="1899">
        <f>IF(ISNUMBER(CA40), CA40, "")</f>
        <v>0</v>
      </c>
      <c r="Z126" s="1899">
        <f>IF(ISNUMBER(CD40), CD40, "")</f>
        <v>0</v>
      </c>
      <c r="AA126" s="1899">
        <f t="shared" si="356"/>
        <v>0</v>
      </c>
      <c r="AB126" s="1899">
        <f>IF(ISNUMBER(CF40), CF40, "")</f>
        <v>0</v>
      </c>
      <c r="AD126" s="1899">
        <f>IF(ISNUMBER(CG40), CG40, "")</f>
        <v>0</v>
      </c>
      <c r="AE126" s="1899">
        <f>IF(ISNUMBER(CH40), CH40, "")</f>
        <v>0</v>
      </c>
      <c r="AF126" s="1899">
        <f t="shared" si="352"/>
        <v>0</v>
      </c>
      <c r="AG126" s="1918">
        <v>2283098.8906445149</v>
      </c>
      <c r="AH126" s="1918">
        <v>0</v>
      </c>
      <c r="AI126" s="1918">
        <v>0</v>
      </c>
      <c r="AJ126" s="1899">
        <f t="shared" si="353"/>
        <v>2283098.8906445149</v>
      </c>
      <c r="AK126" s="1918">
        <v>0</v>
      </c>
      <c r="AL126" s="1918">
        <v>0</v>
      </c>
      <c r="AM126" s="1922">
        <v>0</v>
      </c>
      <c r="AN126" s="1899">
        <f t="shared" si="349"/>
        <v>0</v>
      </c>
      <c r="AO126" s="1919">
        <f>+CO40</f>
        <v>9294280.233258618</v>
      </c>
      <c r="AP126" s="1919">
        <f t="shared" ref="AP126:AQ126" si="361">+CP40</f>
        <v>0</v>
      </c>
      <c r="AQ126" s="1919">
        <f t="shared" si="361"/>
        <v>2628908.2483446216</v>
      </c>
      <c r="AR126" s="1899" t="str">
        <f>IF(AND(OR('General Info'!$C$19="Yes",'General Info'!$D$19="Yes"),ISNUMBER(AO126),ISNUMBER(AP126),ISNUMBER(AT126)),AO126-AP126+AT126,"")</f>
        <v/>
      </c>
      <c r="AS126" s="98"/>
      <c r="AT126" s="1919"/>
      <c r="AU126" s="1920"/>
      <c r="AV126" s="1856" t="str">
        <f>IF(AND(U126&lt;&gt;"",OR(AJ126="",AJ126=0)),"Missing Input",IF(AND(AJ126&gt;0,AJ126&lt;&gt;"",U126&gt;0,U126&lt;&gt;"",OR(_xlfn.NUMBERVALUE(U126)&gt;_xlfn.NUMBERVALUE(AJ126),_xlfn.NUMBERVALUE(U126)=_xlfn.NUMBERVALUE(AJ126))),"Ok","Please check"))</f>
        <v>Ok</v>
      </c>
      <c r="AW126" s="1857"/>
      <c r="AX126" s="1856" t="str">
        <f>+IFERROR(IF(AND(ABS(AJ126-U126)&gt;ABS(0.95*(AJ127-U127)),ABS(AJ126-U126)&lt;ABS(1.05*(AJ127-U127))),"Ok","Please Check"),"Please Check")</f>
        <v>Ok</v>
      </c>
      <c r="AY126" s="1856" t="str">
        <f t="shared" si="350"/>
        <v>Missing Input</v>
      </c>
      <c r="AZ126" s="1857"/>
      <c r="BA126" s="1856" t="str">
        <f>+IFERROR(IF(AND(ABS(AN126-AF126)&gt;ABS(0.95*(AN127-AF127)),ABS(AN126-AF126)&lt;ABS(1.05*(AN127-AF127))),"Ok","Please Check"),"Please Check")</f>
        <v>Please Check</v>
      </c>
      <c r="BB126" s="1893" t="str">
        <f>IF(OR('General Info'!$C$19="Yes",'General Info'!$D$19="Yes"),IF(AND(AQ126&gt;0,AQ126&lt;&gt;"",CQ40&gt;0,CQ40&lt;&gt;"",OR(_xlfn.NUMBERVALUE(AQ126)&lt;_xlfn.NUMBERVALUE(CQ40),_xlfn.NUMBERVALUE(AQ126)=_xlfn.NUMBERVALUE(CQ40))),"Ok","Please check"),"NA")</f>
        <v>NA</v>
      </c>
      <c r="BC126" s="1893" t="str">
        <f>IF(OR('General Info'!$C$19="Yes",'General Info'!$D$19="Yes"),IFERROR(IF(_xlfn.NUMBERVALUE(AQ126)/_xlfn.NUMBERVALUE(CQ40)&lt;0.7119,"Please check","Ok"),"Please check"),"NA")</f>
        <v>NA</v>
      </c>
      <c r="BD126" s="98"/>
      <c r="BE126" s="1856" t="str">
        <f>IF(OR('General Info'!$C$19="Yes",'General Info'!$D$19="Yes"),IFERROR(IF(AND(_xlfn.NUMBERVALUE(AU126)/_xlfn.NUMBERVALUE(AR126)&gt;0.7143,_xlfn.NUMBERVALUE(AU126)/_xlfn.NUMBERVALUE(AR126)&lt;=1),"Ok", "Please check"),"Please check"),"NA")</f>
        <v>NA</v>
      </c>
    </row>
    <row r="127" spans="1:57" x14ac:dyDescent="0.35">
      <c r="A127" s="1513"/>
      <c r="B127" s="1870" t="s">
        <v>2322</v>
      </c>
      <c r="C127" s="1899">
        <f>IF(AND( ISNUMBER(C128),ISNUMBER(C129)), SUM(C128:C129),"")</f>
        <v>225176.42481890044</v>
      </c>
      <c r="D127" s="1899">
        <f t="shared" ref="D127:E127" si="362">IF(AND( ISNUMBER(D128),ISNUMBER(D129)), SUM(D128:D129),"")</f>
        <v>0</v>
      </c>
      <c r="E127" s="1899">
        <f t="shared" si="362"/>
        <v>0</v>
      </c>
      <c r="F127" s="1909"/>
      <c r="G127" s="1899">
        <f t="shared" si="351"/>
        <v>225176.42481890044</v>
      </c>
      <c r="H127" s="1899">
        <f t="shared" ref="H127:J127" si="363">IF(AND( ISNUMBER(H128),ISNUMBER(H129)), SUM(H128:H129),"")</f>
        <v>76884.705285200253</v>
      </c>
      <c r="I127" s="1899">
        <f t="shared" si="363"/>
        <v>0</v>
      </c>
      <c r="J127" s="1899">
        <f t="shared" si="363"/>
        <v>0</v>
      </c>
      <c r="K127" s="1899">
        <f t="shared" si="354"/>
        <v>76884.705285200253</v>
      </c>
      <c r="L127" s="1899">
        <f>IF(AND( ISNUMBER(L128),ISNUMBER(L129)), SUM(L128:L129),"")</f>
        <v>1711.1233505999999</v>
      </c>
      <c r="M127" s="1899">
        <f>IF(AND( ISNUMBER(M128),ISNUMBER(M129)), SUM(M128:M129),"")</f>
        <v>225176.4248189007</v>
      </c>
      <c r="N127" s="1899">
        <f>IF(AND( ISNUMBER(N128),ISNUMBER(N129)), SUM(N128:N129),"")</f>
        <v>0</v>
      </c>
      <c r="O127" s="1899">
        <f>IF(AND( ISNUMBER(O128),ISNUMBER(O129)), SUM(O128:O129),"")</f>
        <v>628.91131999999982</v>
      </c>
      <c r="P127" s="1899">
        <f t="shared" si="348"/>
        <v>225805.33613890072</v>
      </c>
      <c r="R127" s="1899">
        <f>IF(AND( ISNUMBER(R128),ISNUMBER(R129)), SUM(R128:R129),"")</f>
        <v>96612.346831974413</v>
      </c>
      <c r="S127" s="1899">
        <f>IF(AND( ISNUMBER(S128),ISNUMBER(S129)), SUM(S128:S129),"")</f>
        <v>0</v>
      </c>
      <c r="T127" s="1899">
        <f>IF(AND( ISNUMBER(T128),ISNUMBER(T129)), SUM(T128:T129),"")</f>
        <v>0</v>
      </c>
      <c r="U127" s="1899">
        <f t="shared" si="355"/>
        <v>96612.346831974413</v>
      </c>
      <c r="V127" s="1899">
        <f>IF(AND( ISNUMBER(V128),ISNUMBER(V129)), SUM(V128:V129),"")</f>
        <v>1770.4088889468496</v>
      </c>
      <c r="W127" s="1899">
        <f>IF(AND( ISNUMBER(W128),ISNUMBER(W129)), SUM(W128:W129),"")</f>
        <v>0</v>
      </c>
      <c r="X127" s="1899">
        <f>IF(AND( ISNUMBER(X128),ISNUMBER(X129)), SUM(X128:X129),"")</f>
        <v>0</v>
      </c>
      <c r="Y127" s="1899">
        <f>IF(AND( ISNUMBER(Y128),ISNUMBER(Y129)), SUM(Y128:Y129),"")</f>
        <v>0</v>
      </c>
      <c r="Z127" s="1899">
        <f>IF(AND( ISNUMBER(Z128),ISNUMBER(Z129)), SUM(Z128:Z129),"")</f>
        <v>0</v>
      </c>
      <c r="AA127" s="1899">
        <f t="shared" si="356"/>
        <v>0</v>
      </c>
      <c r="AB127" s="1899">
        <f>IF(AND( ISNUMBER(AB128),ISNUMBER(AB129)), SUM(AB128:AB129),"")</f>
        <v>0</v>
      </c>
      <c r="AD127" s="1899">
        <f>IF(AND( ISNUMBER(AD128),ISNUMBER(AD129)), SUM(AD128:AD129),"")</f>
        <v>0</v>
      </c>
      <c r="AE127" s="1899">
        <f>IF(AND( ISNUMBER(AE128),ISNUMBER(AE129)), SUM(AE128:AE129),"")</f>
        <v>0</v>
      </c>
      <c r="AF127" s="1899">
        <f t="shared" si="352"/>
        <v>0</v>
      </c>
      <c r="AG127" s="1899">
        <f>IF(AND( ISNUMBER(AG128),ISNUMBER(AG129)), SUM(AG128:AG129),"")</f>
        <v>73608.947051281531</v>
      </c>
      <c r="AH127" s="1899">
        <f>IF(AND( ISNUMBER(AH128),ISNUMBER(AH129)), SUM(AH128:AH129),"")</f>
        <v>0</v>
      </c>
      <c r="AI127" s="1899">
        <f>IF(AND( ISNUMBER(AI128),ISNUMBER(AI129)), SUM(AI128:AI129),"")</f>
        <v>0</v>
      </c>
      <c r="AJ127" s="1899">
        <f t="shared" si="353"/>
        <v>73608.947051281531</v>
      </c>
      <c r="AK127" s="1899">
        <f>IF(AND( ISNUMBER(AK128),ISNUMBER(AK129)), SUM(AK128:AK129),"")</f>
        <v>0</v>
      </c>
      <c r="AL127" s="1899">
        <f>IF(AND( ISNUMBER(AL128),ISNUMBER(AL129)), SUM(AL128:AL129),"")</f>
        <v>0</v>
      </c>
      <c r="AM127" s="1899">
        <f>IF(AND( ISNUMBER(AM128),ISNUMBER(AM129)), SUM(AM128:AM129),"")</f>
        <v>0</v>
      </c>
      <c r="AN127" s="1899">
        <f t="shared" si="349"/>
        <v>0</v>
      </c>
      <c r="AO127" s="1899">
        <f t="shared" ref="AO127:AQ127" si="364">IF(AND( ISNUMBER(AO128),ISNUMBER(AO129)), SUM(AO128:AO129),"")</f>
        <v>225805.33613890069</v>
      </c>
      <c r="AP127" s="1899">
        <f t="shared" si="364"/>
        <v>0</v>
      </c>
      <c r="AQ127" s="1899">
        <f t="shared" si="364"/>
        <v>73608.947051281531</v>
      </c>
      <c r="AR127" s="1899" t="str">
        <f>IF(AND(OR('General Info'!$C$19="Yes",'General Info'!$D$19="Yes"),ISNUMBER(AO127),ISNUMBER(AP127),ISNUMBER(AT127)),AO127-AP127+AT127,"")</f>
        <v/>
      </c>
      <c r="AS127" s="98"/>
      <c r="AT127" s="1899" t="str">
        <f t="shared" ref="AT127:AU127" si="365">IF(AND( ISNUMBER(AT128),ISNUMBER(AT129)), SUM(AT128:AT129),"")</f>
        <v/>
      </c>
      <c r="AU127" s="1899" t="str">
        <f t="shared" si="365"/>
        <v/>
      </c>
      <c r="AV127" s="1856" t="str">
        <f>IF(AND(U127&lt;&gt;"",OR(AJ127="",AJ127=0)),"Missing Input",IF(AND(AJ127&gt;0,AJ127&lt;&gt;"",U127&gt;0,U127&lt;&gt;"",_xlfn.NUMBERVALUE(AJ127)&lt;_xlfn.NUMBERVALUE(U127)),"Ok","Please check"))</f>
        <v>Ok</v>
      </c>
      <c r="AW127" s="1857"/>
      <c r="AX127" s="1857"/>
      <c r="AY127" s="1856" t="str">
        <f t="shared" si="350"/>
        <v>Missing Input</v>
      </c>
      <c r="AZ127" s="1857"/>
      <c r="BA127" s="1857"/>
      <c r="BB127" s="1857"/>
      <c r="BC127" s="1857"/>
      <c r="BD127" s="98"/>
      <c r="BE127" s="1857"/>
    </row>
    <row r="128" spans="1:57" x14ac:dyDescent="0.35">
      <c r="A128" s="1513"/>
      <c r="B128" s="1871" t="s">
        <v>2323</v>
      </c>
      <c r="C128" s="1918">
        <v>225176.42481890044</v>
      </c>
      <c r="D128" s="1918">
        <v>0</v>
      </c>
      <c r="E128" s="1918">
        <v>0</v>
      </c>
      <c r="F128" s="1909"/>
      <c r="G128" s="1899">
        <f t="shared" si="351"/>
        <v>225176.42481890044</v>
      </c>
      <c r="H128" s="1918">
        <v>76884.705285200253</v>
      </c>
      <c r="I128" s="1918">
        <v>0</v>
      </c>
      <c r="J128" s="1918">
        <v>0</v>
      </c>
      <c r="K128" s="1899">
        <f t="shared" si="354"/>
        <v>76884.705285200253</v>
      </c>
      <c r="L128" s="1918">
        <v>1711.1233505999999</v>
      </c>
      <c r="M128" s="1918">
        <v>225176.4248189007</v>
      </c>
      <c r="N128" s="1918">
        <v>0</v>
      </c>
      <c r="O128" s="1918">
        <v>628.91131999999982</v>
      </c>
      <c r="P128" s="1899">
        <f t="shared" si="348"/>
        <v>225805.33613890072</v>
      </c>
      <c r="R128" s="1918">
        <v>96612.346831974413</v>
      </c>
      <c r="S128" s="1918">
        <v>0</v>
      </c>
      <c r="T128" s="1918">
        <v>0</v>
      </c>
      <c r="U128" s="1899">
        <f t="shared" si="355"/>
        <v>96612.346831974413</v>
      </c>
      <c r="V128" s="1918">
        <v>1770.4088889468496</v>
      </c>
      <c r="W128" s="1918">
        <v>0</v>
      </c>
      <c r="X128" s="1918">
        <v>0</v>
      </c>
      <c r="Y128" s="1918">
        <v>0</v>
      </c>
      <c r="Z128" s="1918">
        <v>0</v>
      </c>
      <c r="AA128" s="1899">
        <f t="shared" si="356"/>
        <v>0</v>
      </c>
      <c r="AB128" s="1918">
        <v>0</v>
      </c>
      <c r="AD128" s="1923">
        <v>0</v>
      </c>
      <c r="AE128" s="1923">
        <v>0</v>
      </c>
      <c r="AF128" s="1899">
        <f t="shared" si="352"/>
        <v>0</v>
      </c>
      <c r="AG128" s="1918">
        <v>73608.947051281531</v>
      </c>
      <c r="AH128" s="1918">
        <v>0</v>
      </c>
      <c r="AI128" s="1918">
        <v>0</v>
      </c>
      <c r="AJ128" s="1899">
        <f t="shared" si="353"/>
        <v>73608.947051281531</v>
      </c>
      <c r="AK128" s="1918">
        <v>0</v>
      </c>
      <c r="AL128" s="1918">
        <v>0</v>
      </c>
      <c r="AM128" s="1918">
        <v>0</v>
      </c>
      <c r="AN128" s="1899">
        <f t="shared" si="349"/>
        <v>0</v>
      </c>
      <c r="AO128" s="1915">
        <v>225805.33613890069</v>
      </c>
      <c r="AP128" s="1915">
        <v>0</v>
      </c>
      <c r="AQ128" s="1915">
        <v>73608.947051281531</v>
      </c>
      <c r="AR128" s="1899" t="str">
        <f>IF(AND(OR('General Info'!$C$19="Yes",'General Info'!$D$19="Yes"),ISNUMBER(AO128),ISNUMBER(AP128),ISNUMBER(AT128)),AO128-AP128+AT128,"")</f>
        <v/>
      </c>
      <c r="AS128" s="98"/>
      <c r="AT128" s="1919"/>
      <c r="AU128" s="1920"/>
      <c r="AV128" s="1856" t="str">
        <f>IF(AND(U128&lt;&gt;"",OR(AJ128="",AJ128=0)),"Missing Input",IF(AND(AJ128&gt;0,AJ128&lt;&gt;"",U128&gt;0,U128&lt;&gt;"",_xlfn.NUMBERVALUE(AJ128)&lt;_xlfn.NUMBERVALUE(U128)),"Ok","Please check"))</f>
        <v>Ok</v>
      </c>
      <c r="AW128" s="1856" t="str">
        <f>IFERROR(IF(OR(U128="",AJ128=""),"Missing input",IF(AND(_xlfn.NUMBERVALUE(AJ128)/_xlfn.NUMBERVALUE(U128)&gt;0.7119,_xlfn.NUMBERVALUE(AJ128)/_xlfn.NUMBERVALUE(U128)&lt;0.8119),"Ok","Please check")),"Please check")</f>
        <v>Ok</v>
      </c>
      <c r="AX128" s="1857"/>
      <c r="AY128" s="1856" t="str">
        <f t="shared" si="350"/>
        <v>Missing Input</v>
      </c>
      <c r="AZ128" s="1856" t="str">
        <f>IFERROR(IF(OR(AF128="",AN128=""),"Missing input",IF(AND(_xlfn.NUMBERVALUE(AN128)/_xlfn.NUMBERVALUE(AF128)&gt;0.7119,_xlfn.NUMBERVALUE(AN128)/_xlfn.NUMBERVALUE(AF128)&lt;0.8119),"Ok","Please check")),"Please check")</f>
        <v>Please check</v>
      </c>
      <c r="BA128" s="1857"/>
      <c r="BB128" s="1857"/>
      <c r="BC128" s="1857"/>
      <c r="BD128" s="98"/>
      <c r="BE128" s="1857"/>
    </row>
    <row r="129" spans="1:57" x14ac:dyDescent="0.35">
      <c r="A129" s="1513"/>
      <c r="B129" s="1871" t="s">
        <v>2324</v>
      </c>
      <c r="C129" s="1918">
        <v>0</v>
      </c>
      <c r="D129" s="1918">
        <v>0</v>
      </c>
      <c r="E129" s="1918">
        <v>0</v>
      </c>
      <c r="F129" s="1909"/>
      <c r="G129" s="1899">
        <f t="shared" si="351"/>
        <v>0</v>
      </c>
      <c r="H129" s="1918">
        <v>0</v>
      </c>
      <c r="I129" s="1918">
        <v>0</v>
      </c>
      <c r="J129" s="1918">
        <v>0</v>
      </c>
      <c r="K129" s="1899">
        <f t="shared" si="354"/>
        <v>0</v>
      </c>
      <c r="L129" s="1918">
        <v>0</v>
      </c>
      <c r="M129" s="1918">
        <v>0</v>
      </c>
      <c r="N129" s="1918">
        <v>0</v>
      </c>
      <c r="O129" s="1918">
        <v>0</v>
      </c>
      <c r="P129" s="1899">
        <f t="shared" si="348"/>
        <v>0</v>
      </c>
      <c r="R129" s="1918">
        <v>0</v>
      </c>
      <c r="S129" s="1918">
        <v>0</v>
      </c>
      <c r="T129" s="1918">
        <v>0</v>
      </c>
      <c r="U129" s="1899">
        <f t="shared" si="355"/>
        <v>0</v>
      </c>
      <c r="V129" s="1918">
        <v>0</v>
      </c>
      <c r="W129" s="1918">
        <v>0</v>
      </c>
      <c r="X129" s="1918">
        <v>0</v>
      </c>
      <c r="Y129" s="1918">
        <v>0</v>
      </c>
      <c r="Z129" s="1918">
        <v>0</v>
      </c>
      <c r="AA129" s="1899">
        <f t="shared" si="356"/>
        <v>0</v>
      </c>
      <c r="AB129" s="1918">
        <v>0</v>
      </c>
      <c r="AD129" s="1923">
        <v>0</v>
      </c>
      <c r="AE129" s="1923">
        <v>0</v>
      </c>
      <c r="AF129" s="1899">
        <f t="shared" si="352"/>
        <v>0</v>
      </c>
      <c r="AG129" s="1918">
        <v>0</v>
      </c>
      <c r="AH129" s="1918">
        <v>0</v>
      </c>
      <c r="AI129" s="1918">
        <v>0</v>
      </c>
      <c r="AJ129" s="1899">
        <f t="shared" si="353"/>
        <v>0</v>
      </c>
      <c r="AK129" s="1918">
        <v>0</v>
      </c>
      <c r="AL129" s="1918">
        <v>0</v>
      </c>
      <c r="AM129" s="1918">
        <v>0</v>
      </c>
      <c r="AN129" s="1899">
        <f t="shared" si="349"/>
        <v>0</v>
      </c>
      <c r="AO129" s="1915">
        <v>0</v>
      </c>
      <c r="AP129" s="1915">
        <v>0</v>
      </c>
      <c r="AQ129" s="1915">
        <v>0</v>
      </c>
      <c r="AR129" s="1899" t="str">
        <f>IF(AND(OR('General Info'!$C$19="Yes",'General Info'!$D$19="Yes"),ISNUMBER(AO129),ISNUMBER(AP129),ISNUMBER(AT129)),AO129-AP129+AT129,"")</f>
        <v/>
      </c>
      <c r="AS129" s="98"/>
      <c r="AT129" s="1919"/>
      <c r="AU129" s="1920"/>
      <c r="AV129" s="1856" t="str">
        <f>IF(AND(U129&lt;&gt;"",OR(AJ129="",AJ129=0)),"Missing Input",IF(AND(AJ129&gt;0,AJ129&lt;&gt;"",U129&gt;0,U129&lt;&gt;"",_xlfn.NUMBERVALUE(AJ129)&lt;_xlfn.NUMBERVALUE(U129)),"Ok","Please check"))</f>
        <v>Missing Input</v>
      </c>
      <c r="AW129" s="1856" t="str">
        <f>IFERROR(IF(OR(U129="",AJ129=""),"Missing input",IF(AND(_xlfn.NUMBERVALUE(AJ129)/_xlfn.NUMBERVALUE(U129)&gt;0.7119,_xlfn.NUMBERVALUE(AJ129)/_xlfn.NUMBERVALUE(U129)&lt;0.9),"Ok","Please check")),"Please check")</f>
        <v>Please check</v>
      </c>
      <c r="AX129" s="1857"/>
      <c r="AY129" s="1856" t="str">
        <f t="shared" si="350"/>
        <v>Missing Input</v>
      </c>
      <c r="AZ129" s="1856" t="str">
        <f>IFERROR(IF(OR(AF129="",AN129=""),"Missing input",IF(AND(_xlfn.NUMBERVALUE(AN129)/_xlfn.NUMBERVALUE(AF129)&gt;0.7119,_xlfn.NUMBERVALUE(AN129)/_xlfn.NUMBERVALUE(AF129)&lt;0.9),"Ok","Please check")),"Please check")</f>
        <v>Please check</v>
      </c>
      <c r="BA129" s="1857"/>
      <c r="BB129" s="1857"/>
      <c r="BC129" s="1857"/>
      <c r="BD129" s="98"/>
      <c r="BE129" s="1857"/>
    </row>
    <row r="130" spans="1:57" x14ac:dyDescent="0.35">
      <c r="A130" s="1513"/>
      <c r="B130" s="1921" t="s">
        <v>553</v>
      </c>
      <c r="C130" s="1899">
        <f>IF(ISNUMBER(C41), C41, "")</f>
        <v>437001.0818714354</v>
      </c>
      <c r="D130" s="1899">
        <f>IF(ISNUMBER(D41), D41, "")</f>
        <v>0</v>
      </c>
      <c r="E130" s="1899">
        <f>IF(ISNUMBER(G41), G41, "")</f>
        <v>0</v>
      </c>
      <c r="F130" s="1909"/>
      <c r="G130" s="1899">
        <f t="shared" si="351"/>
        <v>437001.0818714354</v>
      </c>
      <c r="H130" s="1899">
        <f>IF(ISNUMBER(I41), I41, "")</f>
        <v>104385.87685548617</v>
      </c>
      <c r="I130" s="1899">
        <f>IF(ISNUMBER(J41), J41, "")</f>
        <v>0</v>
      </c>
      <c r="J130" s="1899">
        <f>IF(ISNUMBER(K41), K41, "")</f>
        <v>0</v>
      </c>
      <c r="K130" s="1899">
        <f t="shared" si="354"/>
        <v>104385.87685548617</v>
      </c>
      <c r="L130" s="1899">
        <f>IF(ISNUMBER(M41), M41, "")</f>
        <v>20255.157822899928</v>
      </c>
      <c r="M130" s="1899">
        <f>IF(ISNUMBER(AP41), AP41, "")</f>
        <v>437001.08187142981</v>
      </c>
      <c r="N130" s="1899">
        <f>IF(ISNUMBER(AQ41), AQ41, "")</f>
        <v>0</v>
      </c>
      <c r="O130" s="1899">
        <f>IF(ISNUMBER(AT41), AT41, "")</f>
        <v>0</v>
      </c>
      <c r="P130" s="1899">
        <f t="shared" si="348"/>
        <v>437001.08187142981</v>
      </c>
      <c r="R130" s="1899">
        <f>IF(ISNUMBER(AV41), AV41, "")</f>
        <v>162623.32138807798</v>
      </c>
      <c r="S130" s="1899">
        <f>IF(ISNUMBER(AW41), AW41, "")</f>
        <v>0</v>
      </c>
      <c r="T130" s="1899">
        <f>IF(ISNUMBER(AX41), AX41, "")</f>
        <v>0</v>
      </c>
      <c r="U130" s="1899">
        <f t="shared" si="355"/>
        <v>162623.32138807798</v>
      </c>
      <c r="V130" s="1899">
        <f>IF(ISNUMBER(AZ41), AZ41, "")</f>
        <v>23296.531512848524</v>
      </c>
      <c r="W130" s="1899">
        <f>IF(AND(ISNUMBER(BL41),ISNUMBER(BX41)), BL41+BX41, "")</f>
        <v>16968.016246699997</v>
      </c>
      <c r="X130" s="1899">
        <f>IF(ISNUMBER(BZ41), BZ41, "")</f>
        <v>0</v>
      </c>
      <c r="Y130" s="1899">
        <f>IF(ISNUMBER(CA41), CA41, "")</f>
        <v>0</v>
      </c>
      <c r="Z130" s="1899">
        <f>IF(ISNUMBER(CD41), CD41, "")</f>
        <v>0</v>
      </c>
      <c r="AA130" s="1899">
        <f t="shared" si="356"/>
        <v>0</v>
      </c>
      <c r="AB130" s="1899">
        <f>IF(ISNUMBER(CF41), CF41, "")</f>
        <v>0</v>
      </c>
      <c r="AD130" s="1899">
        <f>IF(ISNUMBER(CG41), CG41, "")</f>
        <v>0</v>
      </c>
      <c r="AE130" s="1899">
        <f>IF(ISNUMBER(CH41), CH41, "")</f>
        <v>0</v>
      </c>
      <c r="AF130" s="1899">
        <f t="shared" si="352"/>
        <v>0</v>
      </c>
      <c r="AG130" s="1918">
        <v>162623.32138807798</v>
      </c>
      <c r="AH130" s="1918">
        <v>0</v>
      </c>
      <c r="AI130" s="1918">
        <v>0</v>
      </c>
      <c r="AJ130" s="1899">
        <f t="shared" si="353"/>
        <v>162623.32138807798</v>
      </c>
      <c r="AK130" s="1918">
        <v>0</v>
      </c>
      <c r="AL130" s="1918">
        <v>0</v>
      </c>
      <c r="AM130" s="1922">
        <v>0</v>
      </c>
      <c r="AN130" s="1899">
        <f t="shared" si="349"/>
        <v>0</v>
      </c>
      <c r="AO130" s="1919">
        <f>+CO41</f>
        <v>405422.28402139893</v>
      </c>
      <c r="AP130" s="1919">
        <f t="shared" ref="AP130:AQ130" si="366">+CP41</f>
        <v>0</v>
      </c>
      <c r="AQ130" s="1919">
        <f t="shared" si="366"/>
        <v>311949.8992257592</v>
      </c>
      <c r="AR130" s="1899" t="str">
        <f>IF(AND(OR('General Info'!$C$19="Yes",'General Info'!$D$19="Yes"),ISNUMBER(AO130),ISNUMBER(AP130),ISNUMBER(AT130)),AO130-AP130+AT130,"")</f>
        <v/>
      </c>
      <c r="AS130" s="98"/>
      <c r="AT130" s="1919"/>
      <c r="AU130" s="1920"/>
      <c r="AV130" s="1856" t="str">
        <f>IF(AND(U130&lt;&gt;"",OR(AJ130="",AJ130=0)),"Missing Input",IF(AND(AJ130&gt;0,AJ130&lt;&gt;"",U130&gt;0,U130&lt;&gt;"",OR(_xlfn.NUMBERVALUE(U130)&gt;_xlfn.NUMBERVALUE(AJ130),_xlfn.NUMBERVALUE(U130)=_xlfn.NUMBERVALUE(AJ130))),"Ok","Please check"))</f>
        <v>Ok</v>
      </c>
      <c r="AW130" s="1857"/>
      <c r="AX130" s="1856" t="str">
        <f>+IFERROR(IF(AND(ABS(AJ130-U130)&gt;ABS(0.95*(AJ131-U131)),ABS(AJ130-U130)&lt;ABS(1.05*(AJ131-U131))),"Ok","Please Check"),"Please Check")</f>
        <v>Please Check</v>
      </c>
      <c r="AY130" s="1856" t="str">
        <f t="shared" si="350"/>
        <v>Missing Input</v>
      </c>
      <c r="AZ130" s="1857"/>
      <c r="BA130" s="1856" t="str">
        <f>+IFERROR(IF(AND(ABS(AN130-AF130)&gt;ABS(0.95*(AN131-AF131)),ABS(AN130-AF130)&lt;ABS(1.05*(AN131-AF131))),"Ok","Please Check"),"Please Check")</f>
        <v>Please Check</v>
      </c>
      <c r="BB130" s="1893" t="str">
        <f>IF(OR('General Info'!$C$19="Yes",'General Info'!$D$19="Yes"),IF(AND(AQ130&gt;0,AQ130&lt;&gt;"",CQ41&gt;0,CQ41&lt;&gt;"",OR(_xlfn.NUMBERVALUE(AQ130)&lt;_xlfn.NUMBERVALUE(CQ41),_xlfn.NUMBERVALUE(AQ130)=_xlfn.NUMBERVALUE(CQ41))),"Ok","Please check"),"NA")</f>
        <v>NA</v>
      </c>
      <c r="BC130" s="1893" t="str">
        <f>IF(OR('General Info'!$C$19="Yes",'General Info'!$D$19="Yes"),IFERROR(IF(_xlfn.NUMBERVALUE(AQ130)/_xlfn.NUMBERVALUE(CQ41)&lt;0.7119,"Please check","Ok"),"Please check"),"NA")</f>
        <v>NA</v>
      </c>
      <c r="BD130" s="98"/>
      <c r="BE130" s="1856" t="str">
        <f>IF(OR('General Info'!$C$19="Yes",'General Info'!$D$19="Yes"),IFERROR(IF(AND(_xlfn.NUMBERVALUE(AU130)/_xlfn.NUMBERVALUE(AR130)&gt;0.7143,_xlfn.NUMBERVALUE(AU130)/_xlfn.NUMBERVALUE(AR130)&lt;=1),"Ok", "Please check"),"Please check"),"NA")</f>
        <v>NA</v>
      </c>
    </row>
    <row r="131" spans="1:57" x14ac:dyDescent="0.35">
      <c r="A131" s="1513"/>
      <c r="B131" s="1870" t="s">
        <v>2322</v>
      </c>
      <c r="C131" s="1899">
        <f>IF(AND( ISNUMBER(C132),ISNUMBER(C133)), SUM(C132:C133),"")</f>
        <v>0</v>
      </c>
      <c r="D131" s="1899">
        <f t="shared" ref="D131:E131" si="367">IF(AND( ISNUMBER(D132),ISNUMBER(D133)), SUM(D132:D133),"")</f>
        <v>0</v>
      </c>
      <c r="E131" s="1899">
        <f t="shared" si="367"/>
        <v>0</v>
      </c>
      <c r="F131" s="1909"/>
      <c r="G131" s="1899">
        <f t="shared" si="351"/>
        <v>0</v>
      </c>
      <c r="H131" s="1899">
        <f t="shared" ref="H131:J131" si="368">IF(AND( ISNUMBER(H132),ISNUMBER(H133)), SUM(H132:H133),"")</f>
        <v>0</v>
      </c>
      <c r="I131" s="1899">
        <f t="shared" si="368"/>
        <v>0</v>
      </c>
      <c r="J131" s="1899">
        <f t="shared" si="368"/>
        <v>0</v>
      </c>
      <c r="K131" s="1899">
        <f t="shared" si="354"/>
        <v>0</v>
      </c>
      <c r="L131" s="1899">
        <f>IF(AND( ISNUMBER(L132),ISNUMBER(L133)), SUM(L132:L133),"")</f>
        <v>0</v>
      </c>
      <c r="M131" s="1899">
        <f>IF(AND( ISNUMBER(M132),ISNUMBER(M133)), SUM(M132:M133),"")</f>
        <v>0</v>
      </c>
      <c r="N131" s="1899">
        <f>IF(AND( ISNUMBER(N132),ISNUMBER(N133)), SUM(N132:N133),"")</f>
        <v>0</v>
      </c>
      <c r="O131" s="1899">
        <f>IF(AND( ISNUMBER(O132),ISNUMBER(O133)), SUM(O132:O133),"")</f>
        <v>0</v>
      </c>
      <c r="P131" s="1899">
        <f t="shared" si="348"/>
        <v>0</v>
      </c>
      <c r="R131" s="1899">
        <f>IF(AND( ISNUMBER(R132),ISNUMBER(R133)), SUM(R132:R133),"")</f>
        <v>0</v>
      </c>
      <c r="S131" s="1899">
        <f>IF(AND( ISNUMBER(S132),ISNUMBER(S133)), SUM(S132:S133),"")</f>
        <v>0</v>
      </c>
      <c r="T131" s="1899">
        <f>IF(AND( ISNUMBER(T132),ISNUMBER(T133)), SUM(T132:T133),"")</f>
        <v>0</v>
      </c>
      <c r="U131" s="1899">
        <f t="shared" si="355"/>
        <v>0</v>
      </c>
      <c r="V131" s="1899">
        <f>IF(AND( ISNUMBER(V132),ISNUMBER(V133)), SUM(V132:V133),"")</f>
        <v>0</v>
      </c>
      <c r="W131" s="1899">
        <f>IF(AND( ISNUMBER(W132),ISNUMBER(W133)), SUM(W132:W133),"")</f>
        <v>0</v>
      </c>
      <c r="X131" s="1899">
        <f>IF(AND( ISNUMBER(X132),ISNUMBER(X133)), SUM(X132:X133),"")</f>
        <v>0</v>
      </c>
      <c r="Y131" s="1899">
        <f>IF(AND( ISNUMBER(Y132),ISNUMBER(Y133)), SUM(Y132:Y133),"")</f>
        <v>0</v>
      </c>
      <c r="Z131" s="1899">
        <f>IF(AND( ISNUMBER(Z132),ISNUMBER(Z133)), SUM(Z132:Z133),"")</f>
        <v>0</v>
      </c>
      <c r="AA131" s="1899">
        <f t="shared" si="356"/>
        <v>0</v>
      </c>
      <c r="AB131" s="1899">
        <f>IF(AND( ISNUMBER(AB132),ISNUMBER(AB133)), SUM(AB132:AB133),"")</f>
        <v>0</v>
      </c>
      <c r="AD131" s="1899">
        <f>IF(AND( ISNUMBER(AD132),ISNUMBER(AD133)), SUM(AD132:AD133),"")</f>
        <v>0</v>
      </c>
      <c r="AE131" s="1899">
        <f>IF(AND( ISNUMBER(AE132),ISNUMBER(AE133)), SUM(AE132:AE133),"")</f>
        <v>0</v>
      </c>
      <c r="AF131" s="1899">
        <f t="shared" si="352"/>
        <v>0</v>
      </c>
      <c r="AG131" s="1899">
        <f>IF(AND( ISNUMBER(AG132),ISNUMBER(AG133)), SUM(AG132:AG133),"")</f>
        <v>0</v>
      </c>
      <c r="AH131" s="1899">
        <f>IF(AND( ISNUMBER(AH132),ISNUMBER(AH133)), SUM(AH132:AH133),"")</f>
        <v>0</v>
      </c>
      <c r="AI131" s="1899">
        <f>IF(AND( ISNUMBER(AI132),ISNUMBER(AI133)), SUM(AI132:AI133),"")</f>
        <v>0</v>
      </c>
      <c r="AJ131" s="1899">
        <f t="shared" si="353"/>
        <v>0</v>
      </c>
      <c r="AK131" s="1899">
        <f>IF(AND( ISNUMBER(AK132),ISNUMBER(AK133)), SUM(AK132:AK133),"")</f>
        <v>0</v>
      </c>
      <c r="AL131" s="1899">
        <f>IF(AND( ISNUMBER(AL132),ISNUMBER(AL133)), SUM(AL132:AL133),"")</f>
        <v>0</v>
      </c>
      <c r="AM131" s="1899">
        <f>IF(AND( ISNUMBER(AM132),ISNUMBER(AM133)), SUM(AM132:AM133),"")</f>
        <v>0</v>
      </c>
      <c r="AN131" s="1899">
        <f t="shared" si="349"/>
        <v>0</v>
      </c>
      <c r="AO131" s="1899">
        <f t="shared" ref="AO131:AQ131" si="369">IF(AND( ISNUMBER(AO132),ISNUMBER(AO133)), SUM(AO132:AO133),"")</f>
        <v>0</v>
      </c>
      <c r="AP131" s="1899">
        <f t="shared" si="369"/>
        <v>0</v>
      </c>
      <c r="AQ131" s="1899">
        <f t="shared" si="369"/>
        <v>0</v>
      </c>
      <c r="AR131" s="1899" t="str">
        <f>IF(AND(OR('General Info'!$C$19="Yes",'General Info'!$D$19="Yes"),ISNUMBER(AO131),ISNUMBER(AP131),ISNUMBER(AT131)),AO131-AP131+AT131,"")</f>
        <v/>
      </c>
      <c r="AS131" s="98"/>
      <c r="AT131" s="1899" t="str">
        <f t="shared" ref="AT131:AU131" si="370">IF(AND( ISNUMBER(AT132),ISNUMBER(AT133)), SUM(AT132:AT133),"")</f>
        <v/>
      </c>
      <c r="AU131" s="1899" t="str">
        <f t="shared" si="370"/>
        <v/>
      </c>
      <c r="AV131" s="1856" t="str">
        <f>IF(AND(U131&lt;&gt;"",OR(AJ131="",AJ131=0)),"Missing Input",IF(AND(AJ131&gt;0,AJ131&lt;&gt;"",U131&gt;0,U131&lt;&gt;"",_xlfn.NUMBERVALUE(AJ131)&lt;_xlfn.NUMBERVALUE(U131)),"Ok","Please check"))</f>
        <v>Missing Input</v>
      </c>
      <c r="AW131" s="1857"/>
      <c r="AX131" s="1857"/>
      <c r="AY131" s="1856" t="str">
        <f t="shared" si="350"/>
        <v>Missing Input</v>
      </c>
      <c r="AZ131" s="1857"/>
      <c r="BA131" s="1857"/>
      <c r="BB131" s="1857"/>
      <c r="BC131" s="1857"/>
      <c r="BD131" s="98"/>
      <c r="BE131" s="1857"/>
    </row>
    <row r="132" spans="1:57" x14ac:dyDescent="0.35">
      <c r="A132" s="1513"/>
      <c r="B132" s="1871" t="s">
        <v>2323</v>
      </c>
      <c r="C132" s="1918">
        <v>0</v>
      </c>
      <c r="D132" s="1918">
        <v>0</v>
      </c>
      <c r="E132" s="1918">
        <v>0</v>
      </c>
      <c r="F132" s="1909"/>
      <c r="G132" s="1899">
        <f t="shared" si="351"/>
        <v>0</v>
      </c>
      <c r="H132" s="1918">
        <v>0</v>
      </c>
      <c r="I132" s="1918">
        <v>0</v>
      </c>
      <c r="J132" s="1918">
        <v>0</v>
      </c>
      <c r="K132" s="1899">
        <f t="shared" si="354"/>
        <v>0</v>
      </c>
      <c r="L132" s="1918">
        <v>0</v>
      </c>
      <c r="M132" s="1918">
        <v>0</v>
      </c>
      <c r="N132" s="1918">
        <v>0</v>
      </c>
      <c r="O132" s="1918">
        <v>0</v>
      </c>
      <c r="P132" s="1899">
        <f t="shared" si="348"/>
        <v>0</v>
      </c>
      <c r="R132" s="1918">
        <v>0</v>
      </c>
      <c r="S132" s="1918">
        <v>0</v>
      </c>
      <c r="T132" s="1918">
        <v>0</v>
      </c>
      <c r="U132" s="1899">
        <f t="shared" si="355"/>
        <v>0</v>
      </c>
      <c r="V132" s="1918">
        <v>0</v>
      </c>
      <c r="W132" s="1918">
        <v>0</v>
      </c>
      <c r="X132" s="1918">
        <v>0</v>
      </c>
      <c r="Y132" s="1918">
        <v>0</v>
      </c>
      <c r="Z132" s="1918">
        <v>0</v>
      </c>
      <c r="AA132" s="1899">
        <f t="shared" si="356"/>
        <v>0</v>
      </c>
      <c r="AB132" s="1918">
        <v>0</v>
      </c>
      <c r="AD132" s="1923">
        <v>0</v>
      </c>
      <c r="AE132" s="1923">
        <v>0</v>
      </c>
      <c r="AF132" s="1899">
        <f t="shared" si="352"/>
        <v>0</v>
      </c>
      <c r="AG132" s="1918">
        <v>0</v>
      </c>
      <c r="AH132" s="1918">
        <v>0</v>
      </c>
      <c r="AI132" s="1918">
        <v>0</v>
      </c>
      <c r="AJ132" s="1899">
        <f t="shared" si="353"/>
        <v>0</v>
      </c>
      <c r="AK132" s="1918">
        <v>0</v>
      </c>
      <c r="AL132" s="1918">
        <v>0</v>
      </c>
      <c r="AM132" s="1918">
        <v>0</v>
      </c>
      <c r="AN132" s="1899">
        <f t="shared" si="349"/>
        <v>0</v>
      </c>
      <c r="AO132" s="1919">
        <v>0</v>
      </c>
      <c r="AP132" s="1919">
        <v>0</v>
      </c>
      <c r="AQ132" s="1919">
        <v>0</v>
      </c>
      <c r="AR132" s="1899" t="str">
        <f>IF(AND(OR('General Info'!$C$19="Yes",'General Info'!$D$19="Yes"),ISNUMBER(AO132),ISNUMBER(AP132),ISNUMBER(AT132)),AO132-AP132+AT132,"")</f>
        <v/>
      </c>
      <c r="AS132" s="98"/>
      <c r="AT132" s="1919"/>
      <c r="AU132" s="1920"/>
      <c r="AV132" s="1856" t="str">
        <f>IF(AND(U132&lt;&gt;"",OR(AJ132="",AJ132=0)),"Missing Input",IF(AND(AJ132&gt;0,AJ132&lt;&gt;"",U132&gt;0,U132&lt;&gt;"",_xlfn.NUMBERVALUE(AJ132)&lt;_xlfn.NUMBERVALUE(U132)),"Ok","Please check"))</f>
        <v>Missing Input</v>
      </c>
      <c r="AW132" s="1856" t="str">
        <f>IFERROR(IF(OR(U132="",AJ132=""),"Missing input",IF(AND(_xlfn.NUMBERVALUE(AJ132)/_xlfn.NUMBERVALUE(U132)&gt;0.7119,_xlfn.NUMBERVALUE(AJ132)/_xlfn.NUMBERVALUE(U132)&lt;0.8119),"Ok","Please check")),"Please check")</f>
        <v>Please check</v>
      </c>
      <c r="AX132" s="1857"/>
      <c r="AY132" s="1856" t="str">
        <f t="shared" si="350"/>
        <v>Missing Input</v>
      </c>
      <c r="AZ132" s="1856" t="str">
        <f>IFERROR(IF(OR(AF132="",AN132=""),"Missing input",IF(AND(_xlfn.NUMBERVALUE(AN132)/_xlfn.NUMBERVALUE(AF132)&gt;0.7119,_xlfn.NUMBERVALUE(AN132)/_xlfn.NUMBERVALUE(AF132)&lt;0.8119),"Ok","Please check")),"Please check")</f>
        <v>Please check</v>
      </c>
      <c r="BA132" s="1857"/>
      <c r="BB132" s="1857"/>
      <c r="BC132" s="1857"/>
      <c r="BD132" s="98"/>
      <c r="BE132" s="1857"/>
    </row>
    <row r="133" spans="1:57" x14ac:dyDescent="0.35">
      <c r="A133" s="1513"/>
      <c r="B133" s="1871" t="s">
        <v>2324</v>
      </c>
      <c r="C133" s="1918">
        <v>0</v>
      </c>
      <c r="D133" s="1918">
        <v>0</v>
      </c>
      <c r="E133" s="1918">
        <v>0</v>
      </c>
      <c r="F133" s="1909"/>
      <c r="G133" s="1899">
        <f t="shared" si="351"/>
        <v>0</v>
      </c>
      <c r="H133" s="1918">
        <v>0</v>
      </c>
      <c r="I133" s="1918">
        <v>0</v>
      </c>
      <c r="J133" s="1918">
        <v>0</v>
      </c>
      <c r="K133" s="1899">
        <f t="shared" si="354"/>
        <v>0</v>
      </c>
      <c r="L133" s="1918">
        <v>0</v>
      </c>
      <c r="M133" s="1918">
        <v>0</v>
      </c>
      <c r="N133" s="1918">
        <v>0</v>
      </c>
      <c r="O133" s="1918">
        <v>0</v>
      </c>
      <c r="P133" s="1899">
        <f t="shared" si="348"/>
        <v>0</v>
      </c>
      <c r="R133" s="1918">
        <v>0</v>
      </c>
      <c r="S133" s="1918">
        <v>0</v>
      </c>
      <c r="T133" s="1918">
        <v>0</v>
      </c>
      <c r="U133" s="1899">
        <f t="shared" si="355"/>
        <v>0</v>
      </c>
      <c r="V133" s="1918">
        <v>0</v>
      </c>
      <c r="W133" s="1918">
        <v>0</v>
      </c>
      <c r="X133" s="1918">
        <v>0</v>
      </c>
      <c r="Y133" s="1918">
        <v>0</v>
      </c>
      <c r="Z133" s="1918">
        <v>0</v>
      </c>
      <c r="AA133" s="1899">
        <f t="shared" si="356"/>
        <v>0</v>
      </c>
      <c r="AB133" s="1918">
        <v>0</v>
      </c>
      <c r="AD133" s="1923">
        <v>0</v>
      </c>
      <c r="AE133" s="1923">
        <v>0</v>
      </c>
      <c r="AF133" s="1899">
        <f t="shared" si="352"/>
        <v>0</v>
      </c>
      <c r="AG133" s="1918">
        <v>0</v>
      </c>
      <c r="AH133" s="1918">
        <v>0</v>
      </c>
      <c r="AI133" s="1918">
        <v>0</v>
      </c>
      <c r="AJ133" s="1899">
        <f t="shared" si="353"/>
        <v>0</v>
      </c>
      <c r="AK133" s="1918">
        <v>0</v>
      </c>
      <c r="AL133" s="1918">
        <v>0</v>
      </c>
      <c r="AM133" s="1918">
        <v>0</v>
      </c>
      <c r="AN133" s="1899">
        <f t="shared" si="349"/>
        <v>0</v>
      </c>
      <c r="AO133" s="1919">
        <v>0</v>
      </c>
      <c r="AP133" s="1919">
        <v>0</v>
      </c>
      <c r="AQ133" s="1919">
        <v>0</v>
      </c>
      <c r="AR133" s="1899" t="str">
        <f>IF(AND(OR('General Info'!$C$19="Yes",'General Info'!$D$19="Yes"),ISNUMBER(AO133),ISNUMBER(AP133),ISNUMBER(AT133)),AO133-AP133+AT133,"")</f>
        <v/>
      </c>
      <c r="AS133" s="98"/>
      <c r="AT133" s="1919"/>
      <c r="AU133" s="1920"/>
      <c r="AV133" s="1856" t="str">
        <f>IF(AND(U133&lt;&gt;"",OR(AJ133="",AJ133=0)),"Missing Input",IF(AND(AJ133&gt;0,AJ133&lt;&gt;"",U133&gt;0,U133&lt;&gt;"",_xlfn.NUMBERVALUE(AJ133)&lt;_xlfn.NUMBERVALUE(U133)),"Ok","Please check"))</f>
        <v>Missing Input</v>
      </c>
      <c r="AW133" s="1856" t="str">
        <f>IFERROR(IF(OR(U133="",AJ133=""),"Missing input",IF(AND(_xlfn.NUMBERVALUE(AJ133)/_xlfn.NUMBERVALUE(U133)&gt;0.7119,_xlfn.NUMBERVALUE(AJ133)/_xlfn.NUMBERVALUE(U133)&lt;0.9),"Ok","Please check")),"Please check")</f>
        <v>Please check</v>
      </c>
      <c r="AX133" s="1857"/>
      <c r="AY133" s="1856" t="str">
        <f t="shared" si="350"/>
        <v>Missing Input</v>
      </c>
      <c r="AZ133" s="1856" t="str">
        <f>IFERROR(IF(OR(AF133="",AN133=""),"Missing input",IF(AND(_xlfn.NUMBERVALUE(AN133)/_xlfn.NUMBERVALUE(AF133)&gt;0.7119,_xlfn.NUMBERVALUE(AN133)/_xlfn.NUMBERVALUE(AF133)&lt;0.9),"Ok","Please check")),"Please check")</f>
        <v>Please check</v>
      </c>
      <c r="BA133" s="1857"/>
      <c r="BB133" s="1857"/>
      <c r="BC133" s="1857"/>
      <c r="BD133" s="98"/>
      <c r="BE133" s="1857"/>
    </row>
    <row r="134" spans="1:57" x14ac:dyDescent="0.35">
      <c r="A134" s="1513"/>
      <c r="B134" s="1921" t="s">
        <v>2398</v>
      </c>
      <c r="C134" s="1899">
        <f>IF(ISNUMBER(C44),C44,"  ")</f>
        <v>4047247.525029581</v>
      </c>
      <c r="D134" s="1899">
        <f>IF(ISNUMBER(D44),D44," ")</f>
        <v>299.9623972</v>
      </c>
      <c r="E134" s="1899">
        <f>IF(ISNUMBER(G44), G44, "")</f>
        <v>574055.77818093088</v>
      </c>
      <c r="F134" s="1909"/>
      <c r="G134" s="1899">
        <f t="shared" si="351"/>
        <v>4621603.2656077119</v>
      </c>
      <c r="H134" s="1899">
        <f>IF(ISNUMBER(I44),I44,"  ")</f>
        <v>1278392.6634741072</v>
      </c>
      <c r="I134" s="1899">
        <f>IF(ISNUMBER(J44),J44,"  ")</f>
        <v>88.18724610000001</v>
      </c>
      <c r="J134" s="1899">
        <f>IF(ISNUMBER(K44),K44,"  ")</f>
        <v>129157.8927676982</v>
      </c>
      <c r="K134" s="1899">
        <f t="shared" si="354"/>
        <v>1407638.7434879055</v>
      </c>
      <c r="L134" s="1899">
        <f>IF(ISNUMBER(M44),M44,"  ")</f>
        <v>156128.11033550024</v>
      </c>
      <c r="M134" s="1899">
        <f>IF(ISNUMBER(AP44), AP44, "")</f>
        <v>4047247.5250294534</v>
      </c>
      <c r="N134" s="1899">
        <f>IF(ISNUMBER(AQ44), AQ44, "")</f>
        <v>299.9623972</v>
      </c>
      <c r="O134" s="1899">
        <f>IF(ISNUMBER(AT44), AT44, "")</f>
        <v>434539.30438683135</v>
      </c>
      <c r="P134" s="1899">
        <f t="shared" si="348"/>
        <v>4482086.7918134853</v>
      </c>
      <c r="R134" s="1899">
        <f>IF(ISNUMBER(AV44), AV44, "")</f>
        <v>1653797.549650491</v>
      </c>
      <c r="S134" s="1899">
        <f>IF(ISNUMBER(AW44), AW44, "")</f>
        <v>109.45458782998107</v>
      </c>
      <c r="T134" s="1899">
        <f>IF(ISNUMBER(AX44), AX44, "")</f>
        <v>65585.024401869334</v>
      </c>
      <c r="U134" s="1899">
        <f t="shared" si="355"/>
        <v>1719492.0286401904</v>
      </c>
      <c r="V134" s="1899">
        <f>IF(ISNUMBER(AZ44), AZ44, "")</f>
        <v>165745.12634036966</v>
      </c>
      <c r="W134" s="1899">
        <f>IF(AND(ISNUMBER(BL44),ISNUMBER(BX44)), BL44+BX44, "")</f>
        <v>119781.81013090035</v>
      </c>
      <c r="X134" s="1899">
        <f>IF(ISNUMBER(BZ44), BZ44, "")</f>
        <v>0</v>
      </c>
      <c r="Y134" s="1899">
        <f>IF(ISNUMBER(CA44), CA44, "")</f>
        <v>0</v>
      </c>
      <c r="Z134" s="1899">
        <f>IF(ISNUMBER(CD44), CD44, "")</f>
        <v>0</v>
      </c>
      <c r="AA134" s="1899">
        <f t="shared" si="356"/>
        <v>0</v>
      </c>
      <c r="AB134" s="1899">
        <f>IF(ISNUMBER(CF44), CF44, "")</f>
        <v>0</v>
      </c>
      <c r="AD134" s="1899">
        <f>IF(ISNUMBER(CG44), CG44, "")</f>
        <v>0</v>
      </c>
      <c r="AE134" s="1899">
        <f>IF(ISNUMBER(CH44), CH44, "")</f>
        <v>0</v>
      </c>
      <c r="AF134" s="1899">
        <f t="shared" si="352"/>
        <v>0</v>
      </c>
      <c r="AG134" s="1918">
        <v>1513237.4789966373</v>
      </c>
      <c r="AH134" s="1918">
        <v>109.45458782998107</v>
      </c>
      <c r="AI134" s="1918">
        <v>55820.378303596095</v>
      </c>
      <c r="AJ134" s="1899">
        <f t="shared" si="353"/>
        <v>1569167.3118880633</v>
      </c>
      <c r="AK134" s="1918">
        <v>0</v>
      </c>
      <c r="AL134" s="1918">
        <v>0</v>
      </c>
      <c r="AM134" s="1922">
        <v>0</v>
      </c>
      <c r="AN134" s="1899">
        <f t="shared" si="349"/>
        <v>0</v>
      </c>
      <c r="AO134" s="1919">
        <f>+CO44</f>
        <v>4332541.6430533743</v>
      </c>
      <c r="AP134" s="1919">
        <f t="shared" ref="AP134:AQ134" si="371">+CP44</f>
        <v>224.97179789999996</v>
      </c>
      <c r="AQ134" s="1919">
        <f t="shared" si="371"/>
        <v>3247448.9630445205</v>
      </c>
      <c r="AR134" s="1899" t="str">
        <f>IF(AND(OR('General Info'!$C$19="Yes",'General Info'!$D$19="Yes"),ISNUMBER(AO134),ISNUMBER(AP134),ISNUMBER(AT134)),AO134-AP134+AT134,"")</f>
        <v/>
      </c>
      <c r="AS134" s="98"/>
      <c r="AT134" s="1919"/>
      <c r="AU134" s="1920"/>
      <c r="AV134" s="1856" t="str">
        <f>IF(AND(U134&lt;&gt;"",OR(AJ134="",AJ134=0)),"Missing Input",IF(AND(AJ134&gt;0,AJ134&lt;&gt;"",U134&gt;0,U134&lt;&gt;"",OR(_xlfn.NUMBERVALUE(U134)&gt;_xlfn.NUMBERVALUE(AJ134),_xlfn.NUMBERVALUE(U134)=_xlfn.NUMBERVALUE(AJ134))),"Ok","Please check"))</f>
        <v>Ok</v>
      </c>
      <c r="AW134" s="1857"/>
      <c r="AX134" s="1856" t="str">
        <f>+IFERROR(IF(AND(ABS(AJ134-U134)&gt;ABS(0.95*(AJ135-U135)),ABS(AJ134-U134)&lt;ABS(1.05*(AJ135-U135))),"Ok","Please Check"),"Please Check")</f>
        <v>Ok</v>
      </c>
      <c r="AY134" s="1856" t="str">
        <f t="shared" si="350"/>
        <v>Missing Input</v>
      </c>
      <c r="AZ134" s="1857"/>
      <c r="BA134" s="1856" t="str">
        <f>+IFERROR(IF(AND(ABS(AN134-AF134)&gt;ABS(0.95*(AN135-AF135)),ABS(AN134-AF134)&lt;ABS(1.05*(AN135-AF135))),"Ok","Please Check"),"Please Check")</f>
        <v>Please Check</v>
      </c>
      <c r="BB134" s="1893" t="str">
        <f>IF(OR('General Info'!$C$19="Yes",'General Info'!$D$19="Yes"),IF(AND(AQ134&gt;0,AQ134&lt;&gt;"",CQ44&gt;0,CQ44&lt;&gt;"",OR(_xlfn.NUMBERVALUE(AQ134)&lt;_xlfn.NUMBERVALUE(CQ44),_xlfn.NUMBERVALUE(AQ134)=_xlfn.NUMBERVALUE(CQ44))),"Ok","Please check"),"NA")</f>
        <v>NA</v>
      </c>
      <c r="BC134" s="1893" t="str">
        <f>IF(OR('General Info'!$C$19="Yes",'General Info'!$D$19="Yes"),IFERROR(IF(_xlfn.NUMBERVALUE(AQ134)/_xlfn.NUMBERVALUE(CQ44)&lt;0.7119,"Please check","Ok"),"Please check"),"NA")</f>
        <v>NA</v>
      </c>
      <c r="BD134" s="98"/>
      <c r="BE134" s="1856" t="str">
        <f>IF(OR('General Info'!$C$19="Yes",'General Info'!$D$19="Yes"),IFERROR(IF(AND(_xlfn.NUMBERVALUE(AU134)/_xlfn.NUMBERVALUE(AR134)&gt;0.7143,_xlfn.NUMBERVALUE(AU134)/_xlfn.NUMBERVALUE(AR134)&lt;=1),"Ok", "Please check"),"Please check"),"NA")</f>
        <v>NA</v>
      </c>
    </row>
    <row r="135" spans="1:57" x14ac:dyDescent="0.35">
      <c r="A135" s="1513"/>
      <c r="B135" s="1870" t="s">
        <v>2322</v>
      </c>
      <c r="C135" s="1899">
        <f t="shared" ref="C135:E135" si="372">IF(AND( ISNUMBER(C136),ISNUMBER(C137)), SUM(C136:C137),"")</f>
        <v>1331108.6486288242</v>
      </c>
      <c r="D135" s="1899">
        <f t="shared" si="372"/>
        <v>125.6256278</v>
      </c>
      <c r="E135" s="1899">
        <f t="shared" si="372"/>
        <v>291382.89176270005</v>
      </c>
      <c r="F135" s="1909"/>
      <c r="G135" s="1899">
        <f t="shared" si="351"/>
        <v>1622617.1660193242</v>
      </c>
      <c r="H135" s="1899">
        <f t="shared" ref="H135:J135" si="373">IF(AND( ISNUMBER(H136),ISNUMBER(H137)), SUM(H136:H137),"")</f>
        <v>387283.03286030248</v>
      </c>
      <c r="I135" s="1899">
        <f t="shared" si="373"/>
        <v>50.395463700000029</v>
      </c>
      <c r="J135" s="1899">
        <f t="shared" si="373"/>
        <v>72769.083268797491</v>
      </c>
      <c r="K135" s="1899">
        <f t="shared" si="354"/>
        <v>460102.51159279997</v>
      </c>
      <c r="L135" s="1899">
        <f>IF(AND( ISNUMBER(L136),ISNUMBER(L137)), SUM(L136:L137),"")</f>
        <v>20312.99534789996</v>
      </c>
      <c r="M135" s="1899">
        <f>IF(AND( ISNUMBER(M136),ISNUMBER(M137)), SUM(M136:M137),"")</f>
        <v>1331108.6486288307</v>
      </c>
      <c r="N135" s="1899">
        <f>IF(AND( ISNUMBER(N136),ISNUMBER(N137)), SUM(N136:N137),"")</f>
        <v>125.6256278</v>
      </c>
      <c r="O135" s="1899">
        <f>IF(AND( ISNUMBER(O136),ISNUMBER(O137)), SUM(O136:O137),"")</f>
        <v>154635.85560707108</v>
      </c>
      <c r="P135" s="1899">
        <f t="shared" si="348"/>
        <v>1485870.1298637018</v>
      </c>
      <c r="R135" s="1899">
        <f>IF(AND( ISNUMBER(R136),ISNUMBER(R137)), SUM(R136:R137),"")</f>
        <v>590414.04381479754</v>
      </c>
      <c r="S135" s="1899">
        <f>IF(AND( ISNUMBER(S136),ISNUMBER(S137)), SUM(S136:S137),"")</f>
        <v>56.575464345236504</v>
      </c>
      <c r="T135" s="1899">
        <f>IF(AND( ISNUMBER(T136),ISNUMBER(T137)), SUM(T136:T137),"")</f>
        <v>41010.693398866933</v>
      </c>
      <c r="U135" s="1899">
        <f t="shared" si="355"/>
        <v>631481.31267800974</v>
      </c>
      <c r="V135" s="1899">
        <f>IF(AND( ISNUMBER(V136),ISNUMBER(V137)), SUM(V136:V137),"")</f>
        <v>24062.627556699852</v>
      </c>
      <c r="W135" s="1899">
        <f>IF(AND( ISNUMBER(W136),ISNUMBER(W137)), SUM(W136:W137),"")</f>
        <v>0</v>
      </c>
      <c r="X135" s="1899">
        <f>IF(AND( ISNUMBER(X136),ISNUMBER(X137)), SUM(X136:X137),"")</f>
        <v>0</v>
      </c>
      <c r="Y135" s="1899">
        <f>IF(AND( ISNUMBER(Y136),ISNUMBER(Y137)), SUM(Y136:Y137),"")</f>
        <v>0</v>
      </c>
      <c r="Z135" s="1899">
        <f>IF(AND( ISNUMBER(Z136),ISNUMBER(Z137)), SUM(Z136:Z137),"")</f>
        <v>0</v>
      </c>
      <c r="AA135" s="1899">
        <f t="shared" si="356"/>
        <v>0</v>
      </c>
      <c r="AB135" s="1899">
        <f>IF(AND( ISNUMBER(AB136),ISNUMBER(AB137)), SUM(AB136:AB137),"")</f>
        <v>0</v>
      </c>
      <c r="AD135" s="1899">
        <f>IF(AND( ISNUMBER(AD136),ISNUMBER(AD137)), SUM(AD136:AD137),"")</f>
        <v>0</v>
      </c>
      <c r="AE135" s="1899">
        <f>IF(AND( ISNUMBER(AE136),ISNUMBER(AE137)), SUM(AE136:AE137),"")</f>
        <v>0</v>
      </c>
      <c r="AF135" s="1899">
        <f t="shared" si="352"/>
        <v>0</v>
      </c>
      <c r="AG135" s="1899">
        <f>IF(AND( ISNUMBER(AG136),ISNUMBER(AG137)), SUM(AG136:AG137),"")</f>
        <v>449853.97316094104</v>
      </c>
      <c r="AH135" s="1899">
        <f>IF(AND( ISNUMBER(AH136),ISNUMBER(AH137)), SUM(AH136:AH137),"")</f>
        <v>56.575464345236504</v>
      </c>
      <c r="AI135" s="1899">
        <f>IF(AND( ISNUMBER(AI136),ISNUMBER(AI137)), SUM(AI136:AI137),"")</f>
        <v>31246.047300595554</v>
      </c>
      <c r="AJ135" s="1899">
        <f t="shared" si="353"/>
        <v>481156.59592588182</v>
      </c>
      <c r="AK135" s="1899">
        <f>IF(AND( ISNUMBER(AK136),ISNUMBER(AK137)), SUM(AK136:AK137),"")</f>
        <v>0</v>
      </c>
      <c r="AL135" s="1899">
        <f>IF(AND( ISNUMBER(AL136),ISNUMBER(AL137)), SUM(AL136:AL137),"")</f>
        <v>0</v>
      </c>
      <c r="AM135" s="1899">
        <f>IF(AND( ISNUMBER(AM136),ISNUMBER(AM137)), SUM(AM136:AM137),"")</f>
        <v>0</v>
      </c>
      <c r="AN135" s="1899">
        <f t="shared" si="349"/>
        <v>0</v>
      </c>
      <c r="AO135" s="1899">
        <f t="shared" ref="AO135:AQ135" si="374">IF(AND( ISNUMBER(AO136),ISNUMBER(AO137)), SUM(AO136:AO137),"")</f>
        <v>1485870.1298637018</v>
      </c>
      <c r="AP135" s="1899">
        <f t="shared" si="374"/>
        <v>125.6256278</v>
      </c>
      <c r="AQ135" s="1899">
        <f t="shared" si="374"/>
        <v>481156.59592588188</v>
      </c>
      <c r="AR135" s="1899" t="str">
        <f>IF(AND(OR('General Info'!$C$19="Yes",'General Info'!$D$19="Yes"),ISNUMBER(AO135),ISNUMBER(AP135),ISNUMBER(AT135)),AO135-AP135+AT135,"")</f>
        <v/>
      </c>
      <c r="AS135" s="98"/>
      <c r="AT135" s="1899" t="str">
        <f t="shared" ref="AT135:AU135" si="375">IF(AND( ISNUMBER(AT136),ISNUMBER(AT137)), SUM(AT136:AT137),"")</f>
        <v/>
      </c>
      <c r="AU135" s="1899" t="str">
        <f t="shared" si="375"/>
        <v/>
      </c>
      <c r="AV135" s="1856" t="str">
        <f>IF(AND(U135&lt;&gt;"",OR(AJ135="",AJ135=0)),"Missing Input",IF(AND(AJ135&gt;0,AJ135&lt;&gt;"",U135&gt;0,U135&lt;&gt;"",_xlfn.NUMBERVALUE(AJ135)&lt;_xlfn.NUMBERVALUE(U135)),"Ok","Please check"))</f>
        <v>Ok</v>
      </c>
      <c r="AW135" s="1857"/>
      <c r="AX135" s="1857"/>
      <c r="AY135" s="1856" t="str">
        <f t="shared" si="350"/>
        <v>Missing Input</v>
      </c>
      <c r="AZ135" s="1857"/>
      <c r="BA135" s="1857"/>
      <c r="BB135" s="1857"/>
      <c r="BC135" s="1857"/>
      <c r="BD135" s="98"/>
      <c r="BE135" s="1857"/>
    </row>
    <row r="136" spans="1:57" x14ac:dyDescent="0.35">
      <c r="A136" s="1513"/>
      <c r="B136" s="1871" t="s">
        <v>2323</v>
      </c>
      <c r="C136" s="1918">
        <v>1331108.6486288242</v>
      </c>
      <c r="D136" s="1918">
        <v>125.6256278</v>
      </c>
      <c r="E136" s="1918">
        <v>291382.89176270005</v>
      </c>
      <c r="F136" s="1909"/>
      <c r="G136" s="1899">
        <f t="shared" si="351"/>
        <v>1622617.1660193242</v>
      </c>
      <c r="H136" s="1918">
        <v>387283.03286030248</v>
      </c>
      <c r="I136" s="1918">
        <v>50.395463700000029</v>
      </c>
      <c r="J136" s="1918">
        <v>72769.083268797491</v>
      </c>
      <c r="K136" s="1899">
        <f t="shared" si="354"/>
        <v>460102.51159279997</v>
      </c>
      <c r="L136" s="1918">
        <v>20312.99534789996</v>
      </c>
      <c r="M136" s="1918">
        <v>1331108.6486288307</v>
      </c>
      <c r="N136" s="1918">
        <v>125.6256278</v>
      </c>
      <c r="O136" s="1918">
        <v>154635.85560707108</v>
      </c>
      <c r="P136" s="1899">
        <f t="shared" si="348"/>
        <v>1485870.1298637018</v>
      </c>
      <c r="R136" s="1918">
        <v>590414.04381479754</v>
      </c>
      <c r="S136" s="1918">
        <v>56.575464345236504</v>
      </c>
      <c r="T136" s="1918">
        <v>41010.693398866933</v>
      </c>
      <c r="U136" s="1899">
        <f t="shared" si="355"/>
        <v>631481.31267800974</v>
      </c>
      <c r="V136" s="1918">
        <v>24062.627556699852</v>
      </c>
      <c r="W136" s="1918">
        <v>0</v>
      </c>
      <c r="X136" s="1918">
        <v>0</v>
      </c>
      <c r="Y136" s="1918">
        <v>0</v>
      </c>
      <c r="Z136" s="1918">
        <v>0</v>
      </c>
      <c r="AA136" s="1899">
        <f t="shared" si="356"/>
        <v>0</v>
      </c>
      <c r="AB136" s="1918">
        <v>0</v>
      </c>
      <c r="AD136" s="1923">
        <v>0</v>
      </c>
      <c r="AE136" s="1923">
        <v>0</v>
      </c>
      <c r="AF136" s="1899">
        <f t="shared" si="352"/>
        <v>0</v>
      </c>
      <c r="AG136" s="1918">
        <v>449853.97316094104</v>
      </c>
      <c r="AH136" s="1918">
        <v>56.575464345236504</v>
      </c>
      <c r="AI136" s="1918">
        <v>31246.047300595554</v>
      </c>
      <c r="AJ136" s="1899">
        <f t="shared" si="353"/>
        <v>481156.59592588182</v>
      </c>
      <c r="AK136" s="1918">
        <v>0</v>
      </c>
      <c r="AL136" s="1918">
        <v>0</v>
      </c>
      <c r="AM136" s="1918">
        <v>0</v>
      </c>
      <c r="AN136" s="1899">
        <f t="shared" si="349"/>
        <v>0</v>
      </c>
      <c r="AO136" s="1915">
        <v>1485870.1298637018</v>
      </c>
      <c r="AP136" s="1915">
        <v>125.6256278</v>
      </c>
      <c r="AQ136" s="1915">
        <v>481156.59592588188</v>
      </c>
      <c r="AR136" s="1899" t="str">
        <f>IF(AND(OR('General Info'!$C$19="Yes",'General Info'!$D$19="Yes"),ISNUMBER(AO136),ISNUMBER(AP136),ISNUMBER(AT136)),AO136-AP136+AT136,"")</f>
        <v/>
      </c>
      <c r="AS136" s="98"/>
      <c r="AT136" s="1919"/>
      <c r="AU136" s="1920"/>
      <c r="AV136" s="1856" t="str">
        <f>IF(AND(U136&lt;&gt;"",OR(AJ136="",AJ136=0)),"Missing Input",IF(AND(AJ136&gt;0,AJ136&lt;&gt;"",U136&gt;0,U136&lt;&gt;"",_xlfn.NUMBERVALUE(AJ136)&lt;_xlfn.NUMBERVALUE(U136)),"Ok","Please check"))</f>
        <v>Ok</v>
      </c>
      <c r="AW136" s="1856" t="str">
        <f>IFERROR(IF(OR(U136="",AJ136=""),"Missing input",IF(AND(_xlfn.NUMBERVALUE(AJ136)/_xlfn.NUMBERVALUE(U136)&gt;0.7119,_xlfn.NUMBERVALUE(AJ136)/_xlfn.NUMBERVALUE(U136)&lt;0.8119),"Ok","Please check")),"Please check")</f>
        <v>Ok</v>
      </c>
      <c r="AX136" s="1857"/>
      <c r="AY136" s="1856" t="str">
        <f t="shared" si="350"/>
        <v>Missing Input</v>
      </c>
      <c r="AZ136" s="1856" t="str">
        <f>IFERROR(IF(OR(AF136="",AN136=""),"Missing input",IF(AND(_xlfn.NUMBERVALUE(AN136)/_xlfn.NUMBERVALUE(AF136)&gt;0.7119,_xlfn.NUMBERVALUE(AN136)/_xlfn.NUMBERVALUE(AF136)&lt;0.8119),"Ok","Please check")),"Please check")</f>
        <v>Please check</v>
      </c>
      <c r="BA136" s="1857"/>
      <c r="BB136" s="1857"/>
      <c r="BC136" s="1857"/>
      <c r="BD136" s="98"/>
      <c r="BE136" s="1857"/>
    </row>
    <row r="137" spans="1:57" x14ac:dyDescent="0.35">
      <c r="A137" s="1513"/>
      <c r="B137" s="1871" t="s">
        <v>2324</v>
      </c>
      <c r="C137" s="1918">
        <v>0</v>
      </c>
      <c r="D137" s="1918">
        <v>0</v>
      </c>
      <c r="E137" s="1918">
        <v>0</v>
      </c>
      <c r="F137" s="1909"/>
      <c r="G137" s="1899">
        <f t="shared" si="351"/>
        <v>0</v>
      </c>
      <c r="H137" s="1918">
        <v>0</v>
      </c>
      <c r="I137" s="1918">
        <v>0</v>
      </c>
      <c r="J137" s="1918">
        <v>0</v>
      </c>
      <c r="K137" s="1899">
        <f t="shared" si="354"/>
        <v>0</v>
      </c>
      <c r="L137" s="1918">
        <v>0</v>
      </c>
      <c r="M137" s="1918">
        <v>0</v>
      </c>
      <c r="N137" s="1918">
        <v>0</v>
      </c>
      <c r="O137" s="1918">
        <v>0</v>
      </c>
      <c r="P137" s="1899">
        <f t="shared" si="348"/>
        <v>0</v>
      </c>
      <c r="R137" s="1918">
        <v>0</v>
      </c>
      <c r="S137" s="1918">
        <v>0</v>
      </c>
      <c r="T137" s="1918">
        <v>0</v>
      </c>
      <c r="U137" s="1899">
        <f t="shared" si="355"/>
        <v>0</v>
      </c>
      <c r="V137" s="1918">
        <v>0</v>
      </c>
      <c r="W137" s="1918">
        <v>0</v>
      </c>
      <c r="X137" s="1918">
        <v>0</v>
      </c>
      <c r="Y137" s="1918">
        <v>0</v>
      </c>
      <c r="Z137" s="1918">
        <v>0</v>
      </c>
      <c r="AA137" s="1899">
        <f t="shared" si="356"/>
        <v>0</v>
      </c>
      <c r="AB137" s="1918">
        <v>0</v>
      </c>
      <c r="AD137" s="1923">
        <v>0</v>
      </c>
      <c r="AE137" s="1923">
        <v>0</v>
      </c>
      <c r="AF137" s="1899">
        <f t="shared" si="352"/>
        <v>0</v>
      </c>
      <c r="AG137" s="1918">
        <v>0</v>
      </c>
      <c r="AH137" s="1918">
        <v>0</v>
      </c>
      <c r="AI137" s="1918">
        <v>0</v>
      </c>
      <c r="AJ137" s="1899">
        <f t="shared" si="353"/>
        <v>0</v>
      </c>
      <c r="AK137" s="1918">
        <v>0</v>
      </c>
      <c r="AL137" s="1918">
        <v>0</v>
      </c>
      <c r="AM137" s="1918">
        <v>0</v>
      </c>
      <c r="AN137" s="1899">
        <f t="shared" si="349"/>
        <v>0</v>
      </c>
      <c r="AO137" s="1915">
        <v>0</v>
      </c>
      <c r="AP137" s="1915">
        <v>0</v>
      </c>
      <c r="AQ137" s="1915">
        <v>0</v>
      </c>
      <c r="AR137" s="1899" t="str">
        <f>IF(AND(OR('General Info'!$C$19="Yes",'General Info'!$D$19="Yes"),ISNUMBER(AO137),ISNUMBER(AP137),ISNUMBER(AT137)),AO137-AP137+AT137,"")</f>
        <v/>
      </c>
      <c r="AS137" s="98"/>
      <c r="AT137" s="1919"/>
      <c r="AU137" s="1920"/>
      <c r="AV137" s="1856" t="str">
        <f>IF(AND(U137&lt;&gt;"",OR(AJ137="",AJ137=0)),"Missing Input",IF(AND(AJ137&gt;0,AJ137&lt;&gt;"",U137&gt;0,U137&lt;&gt;"",_xlfn.NUMBERVALUE(AJ137)&lt;_xlfn.NUMBERVALUE(U137)),"Ok","Please check"))</f>
        <v>Missing Input</v>
      </c>
      <c r="AW137" s="1856" t="str">
        <f>IFERROR(IF(OR(U137="",AJ137=""),"Missing input",IF(AND(_xlfn.NUMBERVALUE(AJ137)/_xlfn.NUMBERVALUE(U137)&gt;0.7119,_xlfn.NUMBERVALUE(AJ137)/_xlfn.NUMBERVALUE(U137)&lt;0.9),"Ok","Please check")),"Please check")</f>
        <v>Please check</v>
      </c>
      <c r="AX137" s="1857"/>
      <c r="AY137" s="1856" t="str">
        <f t="shared" si="350"/>
        <v>Missing Input</v>
      </c>
      <c r="AZ137" s="1856" t="str">
        <f>IFERROR(IF(OR(AF137="",AN137=""),"Missing input",IF(AND(_xlfn.NUMBERVALUE(AN137)/_xlfn.NUMBERVALUE(AF137)&gt;0.7119,_xlfn.NUMBERVALUE(AN137)/_xlfn.NUMBERVALUE(AF137)&lt;0.9),"Ok","Please check")),"Please check")</f>
        <v>Please check</v>
      </c>
      <c r="BA137" s="1857"/>
      <c r="BB137" s="1857"/>
      <c r="BC137" s="1857"/>
      <c r="BD137" s="98"/>
      <c r="BE137" s="1857"/>
    </row>
    <row r="138" spans="1:57" x14ac:dyDescent="0.35">
      <c r="A138" s="1513"/>
      <c r="B138" s="1869" t="s">
        <v>2399</v>
      </c>
      <c r="C138" s="1899">
        <f>IF(ISNUMBER(C58), C58, "")</f>
        <v>0</v>
      </c>
      <c r="D138" s="1899">
        <f>IF(ISNUMBER(D58), D58, "")</f>
        <v>0</v>
      </c>
      <c r="E138" s="1899">
        <f>IF(ISNUMBER(G58), G58, "")</f>
        <v>0</v>
      </c>
      <c r="F138" s="1909"/>
      <c r="G138" s="1899">
        <f t="shared" si="351"/>
        <v>0</v>
      </c>
      <c r="H138" s="1899">
        <f>IF(ISNUMBER(I58), I58, "")</f>
        <v>0</v>
      </c>
      <c r="I138" s="1899">
        <f>IF(ISNUMBER(J58), J58, "")</f>
        <v>0</v>
      </c>
      <c r="J138" s="1899">
        <f>IF(ISNUMBER(K58), K58, "")</f>
        <v>0</v>
      </c>
      <c r="K138" s="1899">
        <f t="shared" si="354"/>
        <v>0</v>
      </c>
      <c r="L138" s="1899">
        <f>IF(ISNUMBER(M58), M58, "")</f>
        <v>0</v>
      </c>
      <c r="M138" s="1899">
        <f>IF(ISNUMBER(AP58), AP58, "")</f>
        <v>0</v>
      </c>
      <c r="N138" s="1899">
        <f>IF(ISNUMBER(AQ58), AQ58, "")</f>
        <v>0</v>
      </c>
      <c r="O138" s="1899">
        <f>IF(ISNUMBER(AT58), AT58, "")</f>
        <v>0</v>
      </c>
      <c r="P138" s="1899">
        <f t="shared" si="348"/>
        <v>0</v>
      </c>
      <c r="R138" s="1899">
        <f>IF(ISNUMBER(AV58), AV58, "")</f>
        <v>0</v>
      </c>
      <c r="S138" s="1899">
        <f>IF(ISNUMBER(AW58), AW58, "")</f>
        <v>0</v>
      </c>
      <c r="T138" s="1899">
        <f>IF(ISNUMBER(AX58), AX58, "")</f>
        <v>0</v>
      </c>
      <c r="U138" s="1899">
        <f t="shared" si="355"/>
        <v>0</v>
      </c>
      <c r="V138" s="1899">
        <f>IF(ISNUMBER(AZ58), AZ58, "")</f>
        <v>0</v>
      </c>
      <c r="W138" s="1899">
        <f>IF(AND(ISNUMBER(BL58),ISNUMBER(BX58)), BL58+BX58, "")</f>
        <v>0</v>
      </c>
      <c r="X138" s="1899">
        <f>IF(ISNUMBER(BZ58), BZ58, "")</f>
        <v>0</v>
      </c>
      <c r="Y138" s="1899">
        <f>IF(ISNUMBER(CA58), CA58, "")</f>
        <v>0</v>
      </c>
      <c r="Z138" s="1899">
        <f>IF(ISNUMBER(CD58), CD58, "")</f>
        <v>0</v>
      </c>
      <c r="AA138" s="1899">
        <f t="shared" si="356"/>
        <v>0</v>
      </c>
      <c r="AB138" s="1899">
        <f>IF(ISNUMBER(CF58), CF58, "")</f>
        <v>0</v>
      </c>
      <c r="AD138" s="1899">
        <f>IF(ISNUMBER(CG58), CG58, "")</f>
        <v>0</v>
      </c>
      <c r="AE138" s="1899">
        <f>IF(ISNUMBER(CH58), CH58, "")</f>
        <v>0</v>
      </c>
      <c r="AF138" s="1899">
        <f t="shared" si="352"/>
        <v>0</v>
      </c>
      <c r="AG138" s="1918">
        <v>0</v>
      </c>
      <c r="AH138" s="1918">
        <v>0</v>
      </c>
      <c r="AI138" s="1918">
        <v>0</v>
      </c>
      <c r="AJ138" s="1899">
        <f t="shared" si="353"/>
        <v>0</v>
      </c>
      <c r="AK138" s="1918">
        <v>0</v>
      </c>
      <c r="AL138" s="1918">
        <v>0</v>
      </c>
      <c r="AM138" s="1922">
        <v>0</v>
      </c>
      <c r="AN138" s="1899">
        <f t="shared" si="349"/>
        <v>0</v>
      </c>
      <c r="AO138" s="1919">
        <v>0</v>
      </c>
      <c r="AP138" s="1919">
        <v>0</v>
      </c>
      <c r="AQ138" s="1919">
        <v>0</v>
      </c>
      <c r="AR138" s="1899" t="str">
        <f>IF(AND(OR('General Info'!$C$19="Yes",'General Info'!$D$19="Yes"),ISNUMBER(AO138),ISNUMBER(AP138),ISNUMBER(AT138)),AO138-AP138+AT138,"")</f>
        <v/>
      </c>
      <c r="AS138" s="98"/>
      <c r="AT138" s="1919"/>
      <c r="AU138" s="1920"/>
      <c r="AV138" s="1856" t="str">
        <f>IF(AND(U138&lt;&gt;"",OR(AJ138="",AJ138=0)),"Missing Input",IF(AND(AJ138&gt;0,AJ138&lt;&gt;"",U138&gt;0,U138&lt;&gt;"",OR(_xlfn.NUMBERVALUE(U138)&gt;_xlfn.NUMBERVALUE(AJ138),_xlfn.NUMBERVALUE(U138)=_xlfn.NUMBERVALUE(AJ138))),"Ok","Please check"))</f>
        <v>Missing Input</v>
      </c>
      <c r="AW138" s="1857"/>
      <c r="AX138" s="1856" t="str">
        <f>+IFERROR(IF(AND(ABS(AJ138-U138)&gt;ABS(0.95*(AJ139-U139)),ABS(AJ138-U138)&lt;ABS(1.05*(AJ139-U139))),"Ok","Please Check"),"Please Check")</f>
        <v>Please Check</v>
      </c>
      <c r="AY138" s="1856" t="str">
        <f t="shared" si="350"/>
        <v>Missing Input</v>
      </c>
      <c r="AZ138" s="1857"/>
      <c r="BA138" s="1856" t="str">
        <f>+IFERROR(IF(AND(ABS(AN138-AF138)&gt;ABS(0.95*(AN139-AF139)),ABS(AN138-AF138)&lt;ABS(1.05*(AN139-AF139))),"Ok","Please Check"),"Please Check")</f>
        <v>Please Check</v>
      </c>
      <c r="BB138" s="1893" t="str">
        <f>IF(OR('General Info'!$C$19="Yes",'General Info'!$D$19="Yes"),IF(AND(AQ138&gt;0,AQ138&lt;&gt;"",CQ58&gt;0,CQ58&lt;&gt;"",OR(_xlfn.NUMBERVALUE(AQ138)&lt;_xlfn.NUMBERVALUE(CQ58),_xlfn.NUMBERVALUE(AQ138)=_xlfn.NUMBERVALUE(CQ58))),"Ok","Please check"),"NA")</f>
        <v>NA</v>
      </c>
      <c r="BC138" s="1893" t="str">
        <f>IF(OR('General Info'!$C$19="Yes",'General Info'!$D$19="Yes"),IFERROR(IF(_xlfn.NUMBERVALUE(AQ138)/_xlfn.NUMBERVALUE(CQ58)&lt;0.7119,"Please check","Ok"),"Please check"),"NA")</f>
        <v>NA</v>
      </c>
      <c r="BD138" s="98"/>
      <c r="BE138" s="1856" t="str">
        <f>IF(OR('General Info'!$C$19="Yes",'General Info'!$D$19="Yes"),IFERROR(IF(AND(_xlfn.NUMBERVALUE(AU138)/_xlfn.NUMBERVALUE(AR138)&gt;0.7143,_xlfn.NUMBERVALUE(AU138)/_xlfn.NUMBERVALUE(AR138)&lt;=1),"Ok", "Please check"),"Please check"),"NA")</f>
        <v>NA</v>
      </c>
    </row>
    <row r="139" spans="1:57" x14ac:dyDescent="0.35">
      <c r="A139" s="1513"/>
      <c r="B139" s="1870" t="s">
        <v>2322</v>
      </c>
      <c r="C139" s="1899">
        <f t="shared" ref="C139:E139" si="376">IF(AND( ISNUMBER(C140),ISNUMBER(C141)), SUM(C140:C141),"")</f>
        <v>0</v>
      </c>
      <c r="D139" s="1899">
        <f t="shared" si="376"/>
        <v>0</v>
      </c>
      <c r="E139" s="1899">
        <f t="shared" si="376"/>
        <v>0</v>
      </c>
      <c r="F139" s="1909"/>
      <c r="G139" s="1899">
        <f t="shared" si="351"/>
        <v>0</v>
      </c>
      <c r="H139" s="1899">
        <f t="shared" ref="H139:J139" si="377">IF(AND( ISNUMBER(H140),ISNUMBER(H141)), SUM(H140:H141),"")</f>
        <v>0</v>
      </c>
      <c r="I139" s="1899">
        <f t="shared" si="377"/>
        <v>0</v>
      </c>
      <c r="J139" s="1899">
        <f t="shared" si="377"/>
        <v>0</v>
      </c>
      <c r="K139" s="1899">
        <f t="shared" si="354"/>
        <v>0</v>
      </c>
      <c r="L139" s="1899">
        <f>IF(AND( ISNUMBER(L140),ISNUMBER(L141)), SUM(L140:L141),"")</f>
        <v>0</v>
      </c>
      <c r="M139" s="1899">
        <f>IF(AND( ISNUMBER(M140),ISNUMBER(M141)), SUM(M140:M141),"")</f>
        <v>0</v>
      </c>
      <c r="N139" s="1899">
        <f>IF(AND( ISNUMBER(N140),ISNUMBER(N141)), SUM(N140:N141),"")</f>
        <v>0</v>
      </c>
      <c r="O139" s="1899">
        <f>IF(AND( ISNUMBER(O140),ISNUMBER(O141)), SUM(O140:O141),"")</f>
        <v>0</v>
      </c>
      <c r="P139" s="1899">
        <f t="shared" si="348"/>
        <v>0</v>
      </c>
      <c r="R139" s="1899">
        <f>IF(AND( ISNUMBER(R140),ISNUMBER(R141)), SUM(R140:R141),"")</f>
        <v>0</v>
      </c>
      <c r="S139" s="1899">
        <f>IF(AND( ISNUMBER(S140),ISNUMBER(S141)), SUM(S140:S141),"")</f>
        <v>0</v>
      </c>
      <c r="T139" s="1899">
        <f>IF(AND( ISNUMBER(T140),ISNUMBER(T141)), SUM(T140:T141),"")</f>
        <v>0</v>
      </c>
      <c r="U139" s="1899">
        <f t="shared" si="355"/>
        <v>0</v>
      </c>
      <c r="V139" s="1899">
        <f>IF(AND( ISNUMBER(V140),ISNUMBER(V141)), SUM(V140:V141),"")</f>
        <v>0</v>
      </c>
      <c r="W139" s="1899">
        <f>IF(AND( ISNUMBER(W140),ISNUMBER(W141)), SUM(W140:W141),"")</f>
        <v>0</v>
      </c>
      <c r="X139" s="1899">
        <f>IF(AND( ISNUMBER(X140),ISNUMBER(X141)), SUM(X140:X141),"")</f>
        <v>0</v>
      </c>
      <c r="Y139" s="1899">
        <f>IF(AND( ISNUMBER(Y140),ISNUMBER(Y141)), SUM(Y140:Y141),"")</f>
        <v>0</v>
      </c>
      <c r="Z139" s="1899">
        <f>IF(AND( ISNUMBER(Z140),ISNUMBER(Z141)), SUM(Z140:Z141),"")</f>
        <v>0</v>
      </c>
      <c r="AA139" s="1899">
        <f t="shared" si="356"/>
        <v>0</v>
      </c>
      <c r="AB139" s="1899">
        <f>IF(AND( ISNUMBER(AB140),ISNUMBER(AB141)), SUM(AB140:AB141),"")</f>
        <v>0</v>
      </c>
      <c r="AD139" s="1899">
        <f>IF(AND( ISNUMBER(AD140),ISNUMBER(AD141)), SUM(AD140:AD141),"")</f>
        <v>0</v>
      </c>
      <c r="AE139" s="1899">
        <f>IF(AND( ISNUMBER(AE140),ISNUMBER(AE141)), SUM(AE140:AE141),"")</f>
        <v>0</v>
      </c>
      <c r="AF139" s="1899">
        <f t="shared" si="352"/>
        <v>0</v>
      </c>
      <c r="AG139" s="1899">
        <f>IF(AND( ISNUMBER(AG140),ISNUMBER(AG141)), SUM(AG140:AG141),"")</f>
        <v>0</v>
      </c>
      <c r="AH139" s="1899">
        <f>IF(AND( ISNUMBER(AH140),ISNUMBER(AH141)), SUM(AH140:AH141),"")</f>
        <v>0</v>
      </c>
      <c r="AI139" s="1899">
        <f>IF(AND( ISNUMBER(AI140),ISNUMBER(AI141)), SUM(AI140:AI141),"")</f>
        <v>0</v>
      </c>
      <c r="AJ139" s="1899">
        <f t="shared" si="353"/>
        <v>0</v>
      </c>
      <c r="AK139" s="1899">
        <f>IF(AND( ISNUMBER(AK140),ISNUMBER(AK141)), SUM(AK140:AK141),"")</f>
        <v>0</v>
      </c>
      <c r="AL139" s="1899">
        <f>IF(AND( ISNUMBER(AL140),ISNUMBER(AL141)), SUM(AL140:AL141),"")</f>
        <v>0</v>
      </c>
      <c r="AM139" s="1899">
        <f>IF(AND( ISNUMBER(AM140),ISNUMBER(AM141)), SUM(AM140:AM141),"")</f>
        <v>0</v>
      </c>
      <c r="AN139" s="1899">
        <f t="shared" si="349"/>
        <v>0</v>
      </c>
      <c r="AO139" s="1899">
        <f t="shared" ref="AO139:AQ139" si="378">IF(AND( ISNUMBER(AO140),ISNUMBER(AO141)), SUM(AO140:AO141),"")</f>
        <v>0</v>
      </c>
      <c r="AP139" s="1899">
        <f t="shared" si="378"/>
        <v>0</v>
      </c>
      <c r="AQ139" s="1899">
        <f t="shared" si="378"/>
        <v>0</v>
      </c>
      <c r="AR139" s="1899" t="str">
        <f>IF(AND(OR('General Info'!$C$19="Yes",'General Info'!$D$19="Yes"),ISNUMBER(AO139),ISNUMBER(AP139),ISNUMBER(AT139)),AO139-AP139+AT139,"")</f>
        <v/>
      </c>
      <c r="AS139" s="98"/>
      <c r="AT139" s="1899" t="str">
        <f t="shared" ref="AT139:AU139" si="379">IF(AND( ISNUMBER(AT140),ISNUMBER(AT141)), SUM(AT140:AT141),"")</f>
        <v/>
      </c>
      <c r="AU139" s="1899" t="str">
        <f t="shared" si="379"/>
        <v/>
      </c>
      <c r="AV139" s="1856" t="str">
        <f>IF(AND(U139&lt;&gt;"",OR(AJ139="",AJ139=0)),"Missing Input",IF(AND(AJ139&gt;0,AJ139&lt;&gt;"",U139&gt;0,U139&lt;&gt;"",_xlfn.NUMBERVALUE(AJ139)&lt;_xlfn.NUMBERVALUE(U139)),"Ok","Please check"))</f>
        <v>Missing Input</v>
      </c>
      <c r="AW139" s="1857"/>
      <c r="AX139" s="1857"/>
      <c r="AY139" s="1856" t="str">
        <f t="shared" si="350"/>
        <v>Missing Input</v>
      </c>
      <c r="AZ139" s="1857"/>
      <c r="BA139" s="1857"/>
      <c r="BB139" s="1857"/>
      <c r="BC139" s="1857"/>
      <c r="BD139" s="98"/>
      <c r="BE139" s="1857"/>
    </row>
    <row r="140" spans="1:57" x14ac:dyDescent="0.35">
      <c r="A140" s="1513"/>
      <c r="B140" s="1871" t="s">
        <v>2323</v>
      </c>
      <c r="C140" s="1918">
        <v>0</v>
      </c>
      <c r="D140" s="1918">
        <v>0</v>
      </c>
      <c r="E140" s="1918">
        <v>0</v>
      </c>
      <c r="F140" s="1909"/>
      <c r="G140" s="1899">
        <f t="shared" si="351"/>
        <v>0</v>
      </c>
      <c r="H140" s="1918">
        <v>0</v>
      </c>
      <c r="I140" s="1918">
        <v>0</v>
      </c>
      <c r="J140" s="1918">
        <v>0</v>
      </c>
      <c r="K140" s="1899">
        <f t="shared" si="354"/>
        <v>0</v>
      </c>
      <c r="L140" s="1923">
        <v>0</v>
      </c>
      <c r="M140" s="1918">
        <v>0</v>
      </c>
      <c r="N140" s="1918">
        <v>0</v>
      </c>
      <c r="O140" s="1918">
        <v>0</v>
      </c>
      <c r="P140" s="1899">
        <f t="shared" si="348"/>
        <v>0</v>
      </c>
      <c r="R140" s="1918">
        <v>0</v>
      </c>
      <c r="S140" s="1918">
        <v>0</v>
      </c>
      <c r="T140" s="1918">
        <v>0</v>
      </c>
      <c r="U140" s="1899">
        <f t="shared" si="355"/>
        <v>0</v>
      </c>
      <c r="V140" s="1923">
        <v>0</v>
      </c>
      <c r="W140" s="1923">
        <v>0</v>
      </c>
      <c r="X140" s="1918">
        <v>0</v>
      </c>
      <c r="Y140" s="1918">
        <v>0</v>
      </c>
      <c r="Z140" s="1918">
        <v>0</v>
      </c>
      <c r="AA140" s="1899">
        <f t="shared" si="356"/>
        <v>0</v>
      </c>
      <c r="AB140" s="1918">
        <v>0</v>
      </c>
      <c r="AD140" s="1923">
        <v>0</v>
      </c>
      <c r="AE140" s="1923">
        <v>0</v>
      </c>
      <c r="AF140" s="1899">
        <f t="shared" si="352"/>
        <v>0</v>
      </c>
      <c r="AG140" s="1923">
        <v>0</v>
      </c>
      <c r="AH140" s="1923">
        <v>0</v>
      </c>
      <c r="AI140" s="1923">
        <v>0</v>
      </c>
      <c r="AJ140" s="1899">
        <f t="shared" si="353"/>
        <v>0</v>
      </c>
      <c r="AK140" s="1918">
        <v>0</v>
      </c>
      <c r="AL140" s="1918">
        <v>0</v>
      </c>
      <c r="AM140" s="1918">
        <v>0</v>
      </c>
      <c r="AN140" s="1899">
        <f t="shared" si="349"/>
        <v>0</v>
      </c>
      <c r="AO140" s="1925">
        <v>0</v>
      </c>
      <c r="AP140" s="1925">
        <v>0</v>
      </c>
      <c r="AQ140" s="1925">
        <v>0</v>
      </c>
      <c r="AR140" s="1899" t="str">
        <f>IF(AND(OR('General Info'!$C$19="Yes",'General Info'!$D$19="Yes"),ISNUMBER(AO140),ISNUMBER(AP140),ISNUMBER(AT140)),AO140-AP140+AT140,"")</f>
        <v/>
      </c>
      <c r="AS140" s="98"/>
      <c r="AT140" s="1925"/>
      <c r="AU140" s="1926"/>
      <c r="AV140" s="1856" t="str">
        <f>IF(AND(U140&lt;&gt;"",OR(AJ140="",AJ140=0)),"Missing Input",IF(AND(AJ140&gt;0,AJ140&lt;&gt;"",U140&gt;0,U140&lt;&gt;"",_xlfn.NUMBERVALUE(AJ140)&lt;_xlfn.NUMBERVALUE(U140)),"Ok","Please check"))</f>
        <v>Missing Input</v>
      </c>
      <c r="AW140" s="1856" t="str">
        <f>IFERROR(IF(OR(U140="",AJ140=""),"Missing input",IF(AND(_xlfn.NUMBERVALUE(AJ140)/_xlfn.NUMBERVALUE(U140)&gt;0.7119,_xlfn.NUMBERVALUE(AJ140)/_xlfn.NUMBERVALUE(U140)&lt;0.8119),"Ok","Please check")),"Please check")</f>
        <v>Please check</v>
      </c>
      <c r="AX140" s="1857"/>
      <c r="AY140" s="1856" t="str">
        <f t="shared" si="350"/>
        <v>Missing Input</v>
      </c>
      <c r="AZ140" s="1856" t="str">
        <f>IFERROR(IF(OR(AF140="",AN140=""),"Missing input",IF(AND(_xlfn.NUMBERVALUE(AN140)/_xlfn.NUMBERVALUE(AF140)&gt;0.7119,_xlfn.NUMBERVALUE(AN140)/_xlfn.NUMBERVALUE(AF140)&lt;0.8119),"Ok","Please check")),"Please check")</f>
        <v>Please check</v>
      </c>
      <c r="BA140" s="1857"/>
      <c r="BB140" s="1857"/>
      <c r="BC140" s="1857"/>
      <c r="BD140" s="98"/>
      <c r="BE140" s="1857"/>
    </row>
    <row r="141" spans="1:57" x14ac:dyDescent="0.35">
      <c r="A141" s="1513"/>
      <c r="B141" s="1871" t="s">
        <v>2324</v>
      </c>
      <c r="C141" s="1918">
        <v>0</v>
      </c>
      <c r="D141" s="1918">
        <v>0</v>
      </c>
      <c r="E141" s="1918">
        <v>0</v>
      </c>
      <c r="F141" s="1909"/>
      <c r="G141" s="1899">
        <f t="shared" si="351"/>
        <v>0</v>
      </c>
      <c r="H141" s="1918">
        <v>0</v>
      </c>
      <c r="I141" s="1918">
        <v>0</v>
      </c>
      <c r="J141" s="1918">
        <v>0</v>
      </c>
      <c r="K141" s="1899">
        <f t="shared" si="354"/>
        <v>0</v>
      </c>
      <c r="L141" s="1923">
        <v>0</v>
      </c>
      <c r="M141" s="1918">
        <v>0</v>
      </c>
      <c r="N141" s="1918">
        <v>0</v>
      </c>
      <c r="O141" s="1918">
        <v>0</v>
      </c>
      <c r="P141" s="1899">
        <f t="shared" si="348"/>
        <v>0</v>
      </c>
      <c r="R141" s="1918">
        <v>0</v>
      </c>
      <c r="S141" s="1918">
        <v>0</v>
      </c>
      <c r="T141" s="1918">
        <v>0</v>
      </c>
      <c r="U141" s="1899">
        <f t="shared" si="355"/>
        <v>0</v>
      </c>
      <c r="V141" s="1923">
        <v>0</v>
      </c>
      <c r="W141" s="1923">
        <v>0</v>
      </c>
      <c r="X141" s="1918">
        <v>0</v>
      </c>
      <c r="Y141" s="1918">
        <v>0</v>
      </c>
      <c r="Z141" s="1918">
        <v>0</v>
      </c>
      <c r="AA141" s="1899">
        <f t="shared" si="356"/>
        <v>0</v>
      </c>
      <c r="AB141" s="1918">
        <v>0</v>
      </c>
      <c r="AD141" s="1923">
        <v>0</v>
      </c>
      <c r="AE141" s="1923">
        <v>0</v>
      </c>
      <c r="AF141" s="1899">
        <f t="shared" si="352"/>
        <v>0</v>
      </c>
      <c r="AG141" s="1923">
        <v>0</v>
      </c>
      <c r="AH141" s="1923">
        <v>0</v>
      </c>
      <c r="AI141" s="1923">
        <v>0</v>
      </c>
      <c r="AJ141" s="1899">
        <f t="shared" si="353"/>
        <v>0</v>
      </c>
      <c r="AK141" s="1918">
        <v>0</v>
      </c>
      <c r="AL141" s="1918">
        <v>0</v>
      </c>
      <c r="AM141" s="1922">
        <v>0</v>
      </c>
      <c r="AN141" s="1899">
        <f t="shared" si="349"/>
        <v>0</v>
      </c>
      <c r="AO141" s="1925">
        <v>0</v>
      </c>
      <c r="AP141" s="1925">
        <v>0</v>
      </c>
      <c r="AQ141" s="1925">
        <v>0</v>
      </c>
      <c r="AR141" s="1899" t="str">
        <f>IF(AND(OR('General Info'!$C$19="Yes",'General Info'!$D$19="Yes"),ISNUMBER(AO141),ISNUMBER(AP141),ISNUMBER(AT141)),AO141-AP141+AT141,"")</f>
        <v/>
      </c>
      <c r="AS141" s="98"/>
      <c r="AT141" s="1925"/>
      <c r="AU141" s="1926"/>
      <c r="AV141" s="1856" t="str">
        <f>IF(AND(U141&lt;&gt;"",OR(AJ141="",AJ141=0)),"Missing Input",IF(AND(AJ141&gt;0,AJ141&lt;&gt;"",U141&gt;0,U141&lt;&gt;"",_xlfn.NUMBERVALUE(AJ141)&lt;_xlfn.NUMBERVALUE(U141)),"Ok","Please check"))</f>
        <v>Missing Input</v>
      </c>
      <c r="AW141" s="1856" t="str">
        <f>IFERROR(IF(OR(U141="",AJ141=""),"Missing input",IF(AND(_xlfn.NUMBERVALUE(AJ141)/_xlfn.NUMBERVALUE(U141)&gt;0.7119,_xlfn.NUMBERVALUE(AJ141)/_xlfn.NUMBERVALUE(U141)&lt;0.9),"Ok","Please check")),"Please check")</f>
        <v>Please check</v>
      </c>
      <c r="AX141" s="1857"/>
      <c r="AY141" s="1856" t="str">
        <f t="shared" si="350"/>
        <v>Missing Input</v>
      </c>
      <c r="AZ141" s="1856" t="str">
        <f>IFERROR(IF(OR(AF141="",AN141=""),"Missing input",IF(AND(_xlfn.NUMBERVALUE(AN141)/_xlfn.NUMBERVALUE(AF141)&gt;0.7119,_xlfn.NUMBERVALUE(AN141)/_xlfn.NUMBERVALUE(AF141)&lt;0.9),"Ok","Please check")),"Please check")</f>
        <v>Please check</v>
      </c>
      <c r="BA141" s="1857"/>
      <c r="BB141" s="1857"/>
      <c r="BC141" s="1857"/>
      <c r="BD141" s="98"/>
      <c r="BE141" s="1857"/>
    </row>
    <row r="142" spans="1:57" x14ac:dyDescent="0.35">
      <c r="A142" s="1513"/>
      <c r="B142" s="1869" t="s">
        <v>2400</v>
      </c>
      <c r="C142" s="1899">
        <f>IF(AND(ISNUMBER(C20), ISNUMBER(C37), ISNUMBER(C38), ISNUMBER(C39), ISNUMBER(C51), ISNUMBER(C55), ISNUMBER(C61),ISNUMBER(C62)), SUM(C20, C37, C38, C39, C51, C55, C61,C62), "")</f>
        <v>487816.76073210005</v>
      </c>
      <c r="D142" s="1899">
        <f>IF(AND(ISNUMBER(D20), ISNUMBER(D37), ISNUMBER(D38), ISNUMBER(D39), ISNUMBER(D51), ISNUMBER(D55), ISNUMBER(D61),ISNUMBER(D62)), SUM(D20, D37, D38, D39, D51, D55, D61,D62), "")</f>
        <v>3281.4530752000001</v>
      </c>
      <c r="E142" s="1899">
        <f>IF(AND(ISNUMBER(G20), ISNUMBER(G37), ISNUMBER(G38), ISNUMBER(G39), ISNUMBER(G51), ISNUMBER(G55), ISNUMBER(G61),ISNUMBER(G62)), SUM(G20, G37, G38, G39, G51, G55, G61,G62), "")</f>
        <v>55562.327288200002</v>
      </c>
      <c r="F142" s="1909"/>
      <c r="G142" s="1899">
        <f t="shared" si="351"/>
        <v>546660.54109550011</v>
      </c>
      <c r="H142" s="1899">
        <f>IF(AND(ISNUMBER(I20), ISNUMBER(I37), ISNUMBER(I38), ISNUMBER(I39), ISNUMBER(I51), ISNUMBER(I55), ISNUMBER(I61),ISNUMBER(I62)), SUM(I20, I37, I38, I39, I51, I55, I61, I62), "")</f>
        <v>959799.73115339992</v>
      </c>
      <c r="I142" s="1899">
        <f>IF(AND(ISNUMBER(J20), ISNUMBER(J37), ISNUMBER(J38), ISNUMBER(J39), ISNUMBER(J51), ISNUMBER(J55), ISNUMBER(J61),ISNUMBER(J62)), SUM(J20, J37, J38, J39, J51, J55, J61,J62), "")</f>
        <v>274.65385559999993</v>
      </c>
      <c r="J142" s="1899">
        <f>IF(AND(ISNUMBER(K20), ISNUMBER(K37), ISNUMBER(K38), ISNUMBER(K39), ISNUMBER(K51), ISNUMBER(K55), ISNUMBER(K61),ISNUMBER(K62)), SUM(K20, K37, K38, K39, K51, K55, K61,K62), "")</f>
        <v>18694.123327199999</v>
      </c>
      <c r="K142" s="1899">
        <f t="shared" si="354"/>
        <v>978768.50833619991</v>
      </c>
      <c r="L142" s="1899">
        <f>IF(AND(ISNUMBER(M20), ISNUMBER(M37), ISNUMBER(M38), ISNUMBER(M39), ISNUMBER(M51), ISNUMBER(M55), ISNUMBER(M61),ISNUMBER(M62)), SUM(M20, M37, M38, M39, M51, M55, M61, M62), "")</f>
        <v>5467.1423073000005</v>
      </c>
      <c r="M142" s="1899">
        <f>IF(AND(ISNUMBER(AP20), ISNUMBER(AP37), ISNUMBER(AP38), ISNUMBER(AP39),ISNUMBER(AP55), ISNUMBER(AP61),ISNUMBER(AP62)), SUM(AP20, AP37, AP38, AP39, AP55, AP61, AP62), "")</f>
        <v>252892.7347321001</v>
      </c>
      <c r="N142" s="1899">
        <f>IF(AND(ISNUMBER(AQ20), ISNUMBER(AQ37), ISNUMBER(AQ38), ISNUMBER(AQ39),  ISNUMBER(AQ55), ISNUMBER(AQ61),ISNUMBER(AQ62)), SUM(AQ20, AQ37, AQ38, AQ39, AQ55, AQ61, AQ62), "")</f>
        <v>3281.4530752000001</v>
      </c>
      <c r="O142" s="1899">
        <f>IF(AND(ISNUMBER(AT20), ISNUMBER(AT37), ISNUMBER(AT38), ISNUMBER(AT39),  ISNUMBER(AT55), ISNUMBER(AT61),ISNUMBER(AT62)), SUM(AT20, AT37, AT38, AT39,  AT55, AT61, AT62), "")</f>
        <v>28574.482509500016</v>
      </c>
      <c r="P142" s="1899">
        <f t="shared" si="348"/>
        <v>284748.67031680013</v>
      </c>
      <c r="R142" s="1899">
        <f>IF(AND(ISNUMBER(AV20), ISNUMBER(AV37), ISNUMBER(AV38), ISNUMBER(AV39), ISNUMBER(AV55), ISNUMBER(AV61),ISNUMBER(AV62)), SUM(AV20, AV37, AV38, AV39, AV55, AV61, AV62), "")</f>
        <v>193719.35231454507</v>
      </c>
      <c r="S142" s="1899">
        <f>IF(AND(ISNUMBER(AW20), ISNUMBER(AW37), ISNUMBER(AW38), ISNUMBER(AW39), ISNUMBER(AW55), ISNUMBER(AW61),ISNUMBER(AW62)), SUM(AW20, AW37, AW38, AW39,  AW55, AW61, AW62), "")</f>
        <v>648.65066832485525</v>
      </c>
      <c r="T142" s="1899">
        <f>IF(AND(ISNUMBER(AX20), ISNUMBER(AX37), ISNUMBER(AX38), ISNUMBER(AX39),  ISNUMBER(AX55), ISNUMBER(AX61),ISNUMBER(AX62)), SUM(AX20, AX37, AX38, AX39, AX55, AX61, AX62), "")</f>
        <v>26938.441800514807</v>
      </c>
      <c r="U142" s="1899">
        <f t="shared" si="355"/>
        <v>221306.44478338474</v>
      </c>
      <c r="V142" s="1899">
        <f>IF(AND(ISNUMBER(AZ20), ISNUMBER(AZ37), ISNUMBER(AZ38), ISNUMBER(AZ39),  ISNUMBER(AZ55), ISNUMBER(AZ61),ISNUMBER(AZ62)), SUM(AZ20, AZ37, AZ38, AZ39, AZ55, AZ61, AZ62), "")</f>
        <v>762.06341236774927</v>
      </c>
      <c r="W142" s="1899" t="str">
        <f>IF(AND(ISNUMBER(BL20), ISNUMBER(BL37), ISNUMBER(BL38), ISNUMBER(BL39), ISNUMBER(BL55), ISNUMBER(BL61),ISNUMBER(BL62),ISNUMBER(BX20), ISNUMBER(BX37), ISNUMBER(BX38), ISNUMBER(BX39),  ISNUMBER(BX55), ISNUMBER(BX61),ISNUMBER(BX62)), SUM(BL20, BL37, BL38, BL39, BL55, BL61, BL62,BX20, BX37, BX38, BX39, BX55, BX61, BX62), "")</f>
        <v/>
      </c>
      <c r="X142" s="1899">
        <f>IF(AND(ISNUMBER(BZ20), ISNUMBER(BZ37), ISNUMBER(BZ38), ISNUMBER(BZ39), ISNUMBER(BZ51), ISNUMBER(BZ55), ISNUMBER(BZ61),ISNUMBER(BZ62)), SUM(BZ20, BZ37, BZ38, BZ39, BZ51, BZ55, BZ61, BZ62), "")</f>
        <v>234924.02600000001</v>
      </c>
      <c r="Y142" s="1899">
        <f>IF(AND(ISNUMBER(CA20), ISNUMBER(CA37), ISNUMBER(CA38), ISNUMBER(CA39), ISNUMBER(CA51), ISNUMBER(CA55), ISNUMBER(CA61),ISNUMBER(CA62)), SUM(CA20, CA37, CA38, CA39, CA51, CA55, CA61, CA62), "")</f>
        <v>0</v>
      </c>
      <c r="Z142" s="1899">
        <f>IF(AND(ISNUMBER(CD20), ISNUMBER(CD37), ISNUMBER(CD38), ISNUMBER(CD39), ISNUMBER(CD51), ISNUMBER(CD55), ISNUMBER(CD61),ISNUMBER(CD62)), SUM(CD20, CD37, CD38, CD39, CD51, CD55, CD61, CD62), "")</f>
        <v>0</v>
      </c>
      <c r="AA142" s="1899">
        <f t="shared" si="356"/>
        <v>234924.02600000001</v>
      </c>
      <c r="AB142" s="1899">
        <f>IF(AND(ISNUMBER(CF20), ISNUMBER(CF37), ISNUMBER(CF38), ISNUMBER(CF39), ISNUMBER(CF51), ISNUMBER(CF55), ISNUMBER(CF61),ISNUMBER(CF62)), SUM(CF20, CF37, CF38, CF39, CF51, CF55, CF61, CF62), "")</f>
        <v>587310.06500000006</v>
      </c>
      <c r="AD142" s="1899">
        <f>IF(AND(ISNUMBER(CG20), ISNUMBER(CG37), ISNUMBER(CG38), ISNUMBER(CG39), ISNUMBER(CG51), ISNUMBER(CG55), ISNUMBER(CG61),ISNUMBER(CG62)), SUM(CG20, CG37, CG38, CG39, CG51, CG55, CG61, CG62), "")</f>
        <v>0</v>
      </c>
      <c r="AE142" s="1899">
        <f>IF(AND(ISNUMBER(CH20), ISNUMBER(CH37), ISNUMBER(CH38), ISNUMBER(CH39), ISNUMBER(CH51), ISNUMBER(CH55), ISNUMBER(CH61),ISNUMBER(CH62)), SUM(CH20, CH37, CH38, CH39, CH51, CH55, CH61, CH62), "")</f>
        <v>0</v>
      </c>
      <c r="AF142" s="1899">
        <f t="shared" si="352"/>
        <v>587310.06500000006</v>
      </c>
      <c r="AG142" s="1923">
        <v>190269.75134475267</v>
      </c>
      <c r="AH142" s="1923">
        <v>648.65066832485525</v>
      </c>
      <c r="AI142" s="1923">
        <v>26487.602262735552</v>
      </c>
      <c r="AJ142" s="1899">
        <f t="shared" si="353"/>
        <v>217406.00427581306</v>
      </c>
      <c r="AK142" s="1923">
        <f>+CF54</f>
        <v>587310.06500000006</v>
      </c>
      <c r="AL142" s="1923">
        <v>0</v>
      </c>
      <c r="AM142" s="1924">
        <v>0</v>
      </c>
      <c r="AN142" s="1899">
        <f t="shared" si="349"/>
        <v>587310.06500000006</v>
      </c>
      <c r="AO142" s="1925">
        <f>+CO51+CO37</f>
        <v>519386.39309680002</v>
      </c>
      <c r="AP142" s="1925">
        <f>+CP51+CP37</f>
        <v>3281.4530752000001</v>
      </c>
      <c r="AQ142" s="1925">
        <f>+CQ51+CQ37</f>
        <v>869911.27235840005</v>
      </c>
      <c r="AR142" s="1899" t="str">
        <f>IF(AND(OR('General Info'!$C$19="Yes",'General Info'!$D$19="Yes"),ISNUMBER(AO142),ISNUMBER(AP142),ISNUMBER(AT142)),AO142-AP142+AT142,"")</f>
        <v/>
      </c>
      <c r="AS142" s="98"/>
      <c r="AT142" s="1925"/>
      <c r="AU142" s="1926"/>
      <c r="AV142" s="1857"/>
      <c r="AW142" s="1857"/>
      <c r="AX142" s="1857"/>
      <c r="AY142" s="1857"/>
      <c r="AZ142" s="1857"/>
      <c r="BA142" s="1857"/>
      <c r="BB142" s="1857"/>
      <c r="BC142" s="1857"/>
      <c r="BD142" s="98"/>
      <c r="BE142" s="1857"/>
    </row>
    <row r="143" spans="1:57" x14ac:dyDescent="0.35">
      <c r="A143" s="1513"/>
      <c r="B143" s="1870" t="s">
        <v>2322</v>
      </c>
      <c r="C143" s="1899">
        <f t="shared" ref="C143:E143" si="380">IF(AND( ISNUMBER(C144),ISNUMBER(C145)), SUM(C144:C145),"")</f>
        <v>26180.6764229</v>
      </c>
      <c r="D143" s="1899">
        <f t="shared" si="380"/>
        <v>8.9965100000000006E-2</v>
      </c>
      <c r="E143" s="1899">
        <f t="shared" si="380"/>
        <v>3508.9208463</v>
      </c>
      <c r="F143" s="1909"/>
      <c r="G143" s="1899">
        <f t="shared" si="351"/>
        <v>29689.6872343</v>
      </c>
      <c r="H143" s="1899">
        <f t="shared" ref="H143:J143" si="381">IF(AND( ISNUMBER(H144),ISNUMBER(H145)), SUM(H144:H145),"")</f>
        <v>7012.3306029000032</v>
      </c>
      <c r="I143" s="1899">
        <f t="shared" si="381"/>
        <v>0.1116134</v>
      </c>
      <c r="J143" s="1899">
        <f t="shared" si="381"/>
        <v>595.59705559999998</v>
      </c>
      <c r="K143" s="1899">
        <f t="shared" si="354"/>
        <v>7608.0392719000038</v>
      </c>
      <c r="L143" s="1899">
        <f>IF(AND( ISNUMBER(L144),ISNUMBER(L145)), SUM(L144:L145),"")</f>
        <v>45.886875499999988</v>
      </c>
      <c r="M143" s="1899">
        <f>IF(AND( ISNUMBER(M144),ISNUMBER(M145)), SUM(M144:M145),"")</f>
        <v>26180.676422900007</v>
      </c>
      <c r="N143" s="1899">
        <f>IF(AND( ISNUMBER(N144),ISNUMBER(N145)), SUM(N144:N145),"")</f>
        <v>8.9965100000000006E-2</v>
      </c>
      <c r="O143" s="1899">
        <f>IF(AND( ISNUMBER(O144),ISNUMBER(O145)), SUM(O144:O145),"")</f>
        <v>3003.9511460000003</v>
      </c>
      <c r="P143" s="1899">
        <f t="shared" si="348"/>
        <v>29184.717534000007</v>
      </c>
      <c r="R143" s="1899">
        <f>IF(AND( ISNUMBER(R144),ISNUMBER(R145)), SUM(R144:R145),"")</f>
        <v>15524.356086080144</v>
      </c>
      <c r="S143" s="1899">
        <f>IF(AND( ISNUMBER(S144),ISNUMBER(S145)), SUM(S144:S145),"")</f>
        <v>9.3721894309817658E-2</v>
      </c>
      <c r="T143" s="1899">
        <f>IF(AND( ISNUMBER(T144),ISNUMBER(T145)), SUM(T144:T145),"")</f>
        <v>2077.8914395585448</v>
      </c>
      <c r="U143" s="1899">
        <f t="shared" si="355"/>
        <v>17602.341247532997</v>
      </c>
      <c r="V143" s="1899">
        <f>IF(AND( ISNUMBER(V144),ISNUMBER(V145)), SUM(V144:V145),"")</f>
        <v>62.748708850948503</v>
      </c>
      <c r="W143" s="1899">
        <f>IF(AND( ISNUMBER(W144),ISNUMBER(W145)), SUM(W144:W145),"")</f>
        <v>0</v>
      </c>
      <c r="X143" s="1899">
        <f>IF(AND( ISNUMBER(X144),ISNUMBER(X145)), SUM(X144:X145),"")</f>
        <v>0</v>
      </c>
      <c r="Y143" s="1899">
        <f>IF(AND( ISNUMBER(Y144),ISNUMBER(Y145)), SUM(Y144:Y145),"")</f>
        <v>0</v>
      </c>
      <c r="Z143" s="1899">
        <f>IF(AND( ISNUMBER(Z144),ISNUMBER(Z145)), SUM(Z144:Z145),"")</f>
        <v>0</v>
      </c>
      <c r="AA143" s="1899">
        <f t="shared" si="356"/>
        <v>0</v>
      </c>
      <c r="AB143" s="1899">
        <f>IF(AND( ISNUMBER(AB144),ISNUMBER(AB145)), SUM(AB144:AB145),"")</f>
        <v>0</v>
      </c>
      <c r="AD143" s="1899">
        <f>IF(AND( ISNUMBER(AD144),ISNUMBER(AD145)), SUM(AD144:AD145),"")</f>
        <v>0</v>
      </c>
      <c r="AE143" s="1899">
        <f>IF(AND( ISNUMBER(AE144),ISNUMBER(AE145)), SUM(AE144:AE145),"")</f>
        <v>0</v>
      </c>
      <c r="AF143" s="1899">
        <f t="shared" si="352"/>
        <v>0</v>
      </c>
      <c r="AG143" s="1899">
        <f>IF(AND( ISNUMBER(AG144),ISNUMBER(AG145)), SUM(AG144:AG145),"")</f>
        <v>12074.755116287744</v>
      </c>
      <c r="AH143" s="1899">
        <f>IF(AND( ISNUMBER(AH144),ISNUMBER(AH145)), SUM(AH144:AH145),"")</f>
        <v>9.3721894309817658E-2</v>
      </c>
      <c r="AI143" s="1899">
        <f>IF(AND( ISNUMBER(AI144),ISNUMBER(AI145)), SUM(AI144:AI145),"")</f>
        <v>1627.0519145798253</v>
      </c>
      <c r="AJ143" s="1899">
        <f t="shared" si="353"/>
        <v>13701.900752761878</v>
      </c>
      <c r="AK143" s="1899">
        <f>IF(AND( ISNUMBER(AK144),ISNUMBER(AK145)), SUM(AK144:AK145),"")</f>
        <v>0</v>
      </c>
      <c r="AL143" s="1899">
        <f>IF(AND( ISNUMBER(AL144),ISNUMBER(AL145)), SUM(AL144:AL145),"")</f>
        <v>0</v>
      </c>
      <c r="AM143" s="1899">
        <f>IF(AND( ISNUMBER(AM144),ISNUMBER(AM145)), SUM(AM144:AM145),"")</f>
        <v>0</v>
      </c>
      <c r="AN143" s="1899">
        <f t="shared" si="349"/>
        <v>0</v>
      </c>
      <c r="AO143" s="1899">
        <f t="shared" ref="AO143:AQ143" si="382">IF(AND( ISNUMBER(AO144),ISNUMBER(AO145)), SUM(AO144:AO145),"")</f>
        <v>29184.71753400001</v>
      </c>
      <c r="AP143" s="1899">
        <f t="shared" si="382"/>
        <v>8.9965100000000006E-2</v>
      </c>
      <c r="AQ143" s="1899">
        <f t="shared" si="382"/>
        <v>13701.90075276188</v>
      </c>
      <c r="AR143" s="1899" t="str">
        <f>IF(AND(OR('General Info'!$C$19="Yes",'General Info'!$D$19="Yes"),ISNUMBER(AO143),ISNUMBER(AP143),ISNUMBER(AT143)),AO143-AP143+AT143,"")</f>
        <v/>
      </c>
      <c r="AS143" s="98"/>
      <c r="AT143" s="1899" t="str">
        <f t="shared" ref="AT143:AU143" si="383">IF(AND( ISNUMBER(AT144),ISNUMBER(AT145)), SUM(AT144:AT145),"")</f>
        <v/>
      </c>
      <c r="AU143" s="1899" t="str">
        <f t="shared" si="383"/>
        <v/>
      </c>
      <c r="AV143" s="1856" t="str">
        <f>IF(AND(U143&lt;&gt;"",OR(AJ143="",AJ143=0)),"Missing Input",IF(AND(AJ143&gt;0,AJ143&lt;&gt;"",U143&gt;0,U143&lt;&gt;"",_xlfn.NUMBERVALUE(AJ143)&lt;_xlfn.NUMBERVALUE(U143)),"Ok","Please check"))</f>
        <v>Ok</v>
      </c>
      <c r="AW143" s="1857"/>
      <c r="AX143" s="1857"/>
      <c r="AY143" s="1856" t="str">
        <f t="shared" si="350"/>
        <v>Missing Input</v>
      </c>
      <c r="AZ143" s="1857"/>
      <c r="BA143" s="1857"/>
      <c r="BB143" s="1857"/>
      <c r="BC143" s="1857"/>
      <c r="BD143" s="98"/>
      <c r="BE143" s="1857"/>
    </row>
    <row r="144" spans="1:57" x14ac:dyDescent="0.35">
      <c r="A144" s="1513"/>
      <c r="B144" s="1871" t="s">
        <v>2323</v>
      </c>
      <c r="C144" s="1923">
        <v>19436.526962899999</v>
      </c>
      <c r="D144" s="1923">
        <v>8.9965100000000006E-2</v>
      </c>
      <c r="E144" s="1923">
        <v>3008.9208463</v>
      </c>
      <c r="F144" s="1909"/>
      <c r="G144" s="1899">
        <f t="shared" si="351"/>
        <v>22445.537774299999</v>
      </c>
      <c r="H144" s="1923">
        <v>4792.7867552000034</v>
      </c>
      <c r="I144" s="1923">
        <v>5.5806700000000001E-2</v>
      </c>
      <c r="J144" s="1923">
        <v>444.05807909999999</v>
      </c>
      <c r="K144" s="1899">
        <f t="shared" si="354"/>
        <v>5236.9006410000038</v>
      </c>
      <c r="L144" s="1923">
        <v>35.68828899999999</v>
      </c>
      <c r="M144" s="1923">
        <v>19436.526962900007</v>
      </c>
      <c r="N144" s="1923">
        <v>8.9965100000000006E-2</v>
      </c>
      <c r="O144" s="1923">
        <v>2249.9511460000003</v>
      </c>
      <c r="P144" s="1899">
        <f t="shared" si="348"/>
        <v>21686.568074000006</v>
      </c>
      <c r="R144" s="1923">
        <v>9928.1062918529151</v>
      </c>
      <c r="S144" s="1923">
        <v>9.3721894309817658E-2</v>
      </c>
      <c r="T144" s="1923">
        <v>1534.4085900215732</v>
      </c>
      <c r="U144" s="1899">
        <f t="shared" si="355"/>
        <v>11462.608603768796</v>
      </c>
      <c r="V144" s="1923">
        <v>46.315861900348501</v>
      </c>
      <c r="W144" s="1923">
        <v>0</v>
      </c>
      <c r="X144" s="1918">
        <v>0</v>
      </c>
      <c r="Y144" s="1918">
        <v>0</v>
      </c>
      <c r="Z144" s="1918">
        <v>0</v>
      </c>
      <c r="AA144" s="1899">
        <f t="shared" si="356"/>
        <v>0</v>
      </c>
      <c r="AB144" s="1918">
        <v>0</v>
      </c>
      <c r="AD144" s="1923">
        <v>0</v>
      </c>
      <c r="AE144" s="1923">
        <v>0</v>
      </c>
      <c r="AF144" s="1899">
        <f t="shared" si="352"/>
        <v>0</v>
      </c>
      <c r="AG144" s="1923">
        <v>7564.2241837627416</v>
      </c>
      <c r="AH144" s="1923">
        <v>9.3721894309817658E-2</v>
      </c>
      <c r="AI144" s="1923">
        <v>1169.1567441879361</v>
      </c>
      <c r="AJ144" s="1899">
        <f t="shared" si="353"/>
        <v>8733.4746498449877</v>
      </c>
      <c r="AK144" s="1918">
        <v>0</v>
      </c>
      <c r="AL144" s="1918">
        <v>0</v>
      </c>
      <c r="AM144" s="1918">
        <v>0</v>
      </c>
      <c r="AN144" s="1899">
        <f t="shared" si="349"/>
        <v>0</v>
      </c>
      <c r="AO144" s="1915">
        <v>21686.56807400001</v>
      </c>
      <c r="AP144" s="1915">
        <v>8.9965100000000006E-2</v>
      </c>
      <c r="AQ144" s="1915">
        <v>8733.4746498449877</v>
      </c>
      <c r="AR144" s="1899" t="str">
        <f>IF(AND(OR('General Info'!$C$19="Yes",'General Info'!$D$19="Yes"),ISNUMBER(AO144),ISNUMBER(AP144),ISNUMBER(AT144)),AO144-AP144+AT144,"")</f>
        <v/>
      </c>
      <c r="AS144" s="98"/>
      <c r="AT144" s="1925"/>
      <c r="AU144" s="1926"/>
      <c r="AV144" s="1856" t="str">
        <f>IF(AND(U144&lt;&gt;"",OR(AJ144="",AJ144=0)),"Missing Input",IF(AND(AJ144&gt;0,AJ144&lt;&gt;"",U144&gt;0,U144&lt;&gt;"",_xlfn.NUMBERVALUE(AJ144)&lt;_xlfn.NUMBERVALUE(U144)),"Ok","Please check"))</f>
        <v>Ok</v>
      </c>
      <c r="AW144" s="1856" t="str">
        <f>IFERROR(IF(OR(U144="",AJ144=""),"Missing input",IF(AND(_xlfn.NUMBERVALUE(AJ144)/_xlfn.NUMBERVALUE(U144)&gt;0.7119,_xlfn.NUMBERVALUE(AJ144)/_xlfn.NUMBERVALUE(U144)&lt;0.8119),"Ok","Please check")),"Please check")</f>
        <v>Ok</v>
      </c>
      <c r="AX144" s="1857"/>
      <c r="AY144" s="1856" t="str">
        <f t="shared" si="350"/>
        <v>Missing Input</v>
      </c>
      <c r="AZ144" s="1856" t="str">
        <f>IFERROR(IF(OR(AF144="",AN144=""),"Missing input",IF(AND(_xlfn.NUMBERVALUE(AN144)/_xlfn.NUMBERVALUE(AF144)&gt;0.7119,_xlfn.NUMBERVALUE(AN144)/_xlfn.NUMBERVALUE(AF144)&lt;0.8119),"Ok","Please check")),"Please check")</f>
        <v>Please check</v>
      </c>
      <c r="BA144" s="1857"/>
      <c r="BB144" s="1857"/>
      <c r="BC144" s="1857"/>
      <c r="BD144" s="98"/>
      <c r="BE144" s="1857"/>
    </row>
    <row r="145" spans="1:57" x14ac:dyDescent="0.35">
      <c r="A145" s="1513"/>
      <c r="B145" s="1871" t="s">
        <v>2324</v>
      </c>
      <c r="C145" s="1923">
        <v>6744.1494600000005</v>
      </c>
      <c r="D145" s="1923">
        <v>0</v>
      </c>
      <c r="E145" s="1923">
        <v>500</v>
      </c>
      <c r="F145" s="1909"/>
      <c r="G145" s="1899">
        <f t="shared" si="351"/>
        <v>7244.1494600000005</v>
      </c>
      <c r="H145" s="1923">
        <v>2219.5438476999998</v>
      </c>
      <c r="I145" s="1923">
        <v>5.5806700000000001E-2</v>
      </c>
      <c r="J145" s="1923">
        <v>151.53897649999999</v>
      </c>
      <c r="K145" s="1899">
        <f t="shared" si="354"/>
        <v>2371.1386309</v>
      </c>
      <c r="L145" s="1923">
        <v>10.198586500000001</v>
      </c>
      <c r="M145" s="1923">
        <v>6744.1494600000005</v>
      </c>
      <c r="N145" s="1923">
        <v>0</v>
      </c>
      <c r="O145" s="1923">
        <v>754</v>
      </c>
      <c r="P145" s="1899">
        <f t="shared" si="348"/>
        <v>7498.1494600000005</v>
      </c>
      <c r="R145" s="1923">
        <v>5596.2497942272303</v>
      </c>
      <c r="S145" s="1923">
        <v>0</v>
      </c>
      <c r="T145" s="1923">
        <v>543.48284953697157</v>
      </c>
      <c r="U145" s="1899">
        <f t="shared" si="355"/>
        <v>6139.7326437642023</v>
      </c>
      <c r="V145" s="1923">
        <v>16.432846950600002</v>
      </c>
      <c r="W145" s="1923">
        <v>0</v>
      </c>
      <c r="X145" s="1918">
        <v>0</v>
      </c>
      <c r="Y145" s="1918">
        <v>0</v>
      </c>
      <c r="Z145" s="1918">
        <v>0</v>
      </c>
      <c r="AA145" s="1899">
        <f t="shared" si="356"/>
        <v>0</v>
      </c>
      <c r="AB145" s="1918">
        <v>0</v>
      </c>
      <c r="AD145" s="1923">
        <v>0</v>
      </c>
      <c r="AE145" s="1923">
        <v>0</v>
      </c>
      <c r="AF145" s="1899">
        <f t="shared" si="352"/>
        <v>0</v>
      </c>
      <c r="AG145" s="1923">
        <v>4510.5309325250028</v>
      </c>
      <c r="AH145" s="1923">
        <v>0</v>
      </c>
      <c r="AI145" s="1923">
        <v>457.89517039188928</v>
      </c>
      <c r="AJ145" s="1899">
        <f t="shared" si="353"/>
        <v>4968.426102916892</v>
      </c>
      <c r="AK145" s="1918">
        <v>0</v>
      </c>
      <c r="AL145" s="1918">
        <v>0</v>
      </c>
      <c r="AM145" s="1922">
        <v>0</v>
      </c>
      <c r="AN145" s="1899">
        <f t="shared" si="349"/>
        <v>0</v>
      </c>
      <c r="AO145" s="1915">
        <v>7498.1494600000005</v>
      </c>
      <c r="AP145" s="1915">
        <v>0</v>
      </c>
      <c r="AQ145" s="1915">
        <v>4968.426102916892</v>
      </c>
      <c r="AR145" s="1899" t="str">
        <f>IF(AND(OR('General Info'!$C$19="Yes",'General Info'!$D$19="Yes"),ISNUMBER(AO145),ISNUMBER(AP145),ISNUMBER(AT145)),AO145-AP145+AT145,"")</f>
        <v/>
      </c>
      <c r="AS145" s="98"/>
      <c r="AT145" s="1925"/>
      <c r="AU145" s="1926"/>
      <c r="AV145" s="1856" t="str">
        <f>IF(AND(U145&lt;&gt;"",OR(AJ145="",AJ145=0)),"Missing Input",IF(AND(AJ145&gt;0,AJ145&lt;&gt;"",U145&gt;0,U145&lt;&gt;"",_xlfn.NUMBERVALUE(AJ145)&lt;_xlfn.NUMBERVALUE(U145)),"Ok","Please check"))</f>
        <v>Ok</v>
      </c>
      <c r="AW145" s="1856" t="str">
        <f>IFERROR(IF(OR(U145="",AJ145=""),"Missing input",IF(AND(_xlfn.NUMBERVALUE(AJ145)/_xlfn.NUMBERVALUE(U145)&gt;0.7119,_xlfn.NUMBERVALUE(AJ145)/_xlfn.NUMBERVALUE(U145)&lt;0.9),"Ok","Please check")),"Please check")</f>
        <v>Ok</v>
      </c>
      <c r="AX145" s="1857"/>
      <c r="AY145" s="1856" t="str">
        <f t="shared" si="350"/>
        <v>Missing Input</v>
      </c>
      <c r="AZ145" s="1856" t="str">
        <f>IFERROR(IF(OR(AF145="",AN145=""),"Missing input",IF(AND(_xlfn.NUMBERVALUE(AN145)/_xlfn.NUMBERVALUE(AF145)&gt;0.7119,_xlfn.NUMBERVALUE(AN145)/_xlfn.NUMBERVALUE(AF145)&lt;0.9),"Ok","Please check")),"Please check")</f>
        <v>Please check</v>
      </c>
      <c r="BA145" s="1857"/>
      <c r="BB145" s="1857"/>
      <c r="BC145" s="1857"/>
      <c r="BD145" s="98"/>
      <c r="BE145" s="1857"/>
    </row>
    <row r="146" spans="1:57" x14ac:dyDescent="0.35">
      <c r="A146" s="1513"/>
      <c r="B146" s="1927" t="s">
        <v>2401</v>
      </c>
      <c r="C146" s="1928">
        <f>IF(AND(ISNUMBER(C118),ISNUMBER(C122),ISNUMBER(C126),ISNUMBER(C130),ISNUMBER(C134),ISNUMBER(C138),ISNUMBER(C142)),SUM(C118,C122,C126,C130,C134,C138,C142),"")</f>
        <v>26983467.988604952</v>
      </c>
      <c r="D146" s="1928">
        <f>IF(AND(ISNUMBER(D118),ISNUMBER(D122),ISNUMBER(D126),ISNUMBER(D130),ISNUMBER(D134),ISNUMBER(D138),ISNUMBER(D142)),SUM(D118,D122,D126,D130,D134,D138,D142),"")</f>
        <v>46564.373208300036</v>
      </c>
      <c r="E146" s="1928">
        <f t="shared" ref="E146" si="384">IF(AND(ISNUMBER(E118),ISNUMBER(E122),ISNUMBER(E126),ISNUMBER(E130),ISNUMBER(E134),ISNUMBER(E138),ISNUMBER(E142)),SUM(E118,E122,E126,E130,E134,E138,E142),"")</f>
        <v>2051759.0062443281</v>
      </c>
      <c r="F146" s="1909"/>
      <c r="G146" s="1928">
        <f t="shared" ref="G146:P146" si="385">IF(AND(ISNUMBER(G118),ISNUMBER(G122),ISNUMBER(G126),ISNUMBER(G130),ISNUMBER(G134),ISNUMBER(G138),ISNUMBER(G142)),SUM(G118,G122,G126,G130,G134,G138,G142),"")</f>
        <v>29081791.368057579</v>
      </c>
      <c r="H146" s="1928">
        <f t="shared" si="385"/>
        <v>9631893.5598569829</v>
      </c>
      <c r="I146" s="1928">
        <f t="shared" si="385"/>
        <v>20785.771858999975</v>
      </c>
      <c r="J146" s="1928">
        <f t="shared" si="385"/>
        <v>533498.07177869638</v>
      </c>
      <c r="K146" s="1928">
        <f t="shared" si="385"/>
        <v>10186177.403494677</v>
      </c>
      <c r="L146" s="1928">
        <f t="shared" si="385"/>
        <v>501799.92583319999</v>
      </c>
      <c r="M146" s="1928">
        <f t="shared" si="385"/>
        <v>26748543.96260488</v>
      </c>
      <c r="N146" s="1928">
        <f t="shared" si="385"/>
        <v>46564.373208299992</v>
      </c>
      <c r="O146" s="1928">
        <f t="shared" si="385"/>
        <v>2496272.9864287325</v>
      </c>
      <c r="P146" s="1928">
        <f t="shared" si="385"/>
        <v>29291381.322241914</v>
      </c>
      <c r="R146" s="1928">
        <f t="shared" ref="R146:AB146" si="386">IF(AND(ISNUMBER(R118),ISNUMBER(R122),ISNUMBER(R126),ISNUMBER(R130),ISNUMBER(R134),ISNUMBER(R138),ISNUMBER(R142)),SUM(R118,R122,R126,R130,R134,R138,R142),"")</f>
        <v>9724748.2678122539</v>
      </c>
      <c r="S146" s="1928">
        <f t="shared" si="386"/>
        <v>20366.135113325126</v>
      </c>
      <c r="T146" s="1928">
        <f t="shared" si="386"/>
        <v>609535.45102676691</v>
      </c>
      <c r="U146" s="1928">
        <f t="shared" si="386"/>
        <v>10354649.853952346</v>
      </c>
      <c r="V146" s="1928">
        <f t="shared" si="386"/>
        <v>512589.34123688313</v>
      </c>
      <c r="W146" s="1928" t="str">
        <f t="shared" si="386"/>
        <v/>
      </c>
      <c r="X146" s="1928">
        <f t="shared" si="386"/>
        <v>234924.02600000001</v>
      </c>
      <c r="Y146" s="1928">
        <f t="shared" si="386"/>
        <v>0</v>
      </c>
      <c r="Z146" s="1928">
        <f t="shared" si="386"/>
        <v>0</v>
      </c>
      <c r="AA146" s="1928">
        <f t="shared" si="386"/>
        <v>234924.02600000001</v>
      </c>
      <c r="AB146" s="1928">
        <f t="shared" si="386"/>
        <v>587310.06500000006</v>
      </c>
      <c r="AD146" s="1928">
        <f t="shared" ref="AD146:AQ146" si="387">IF(AND(ISNUMBER(AD118),ISNUMBER(AD122),ISNUMBER(AD126),ISNUMBER(AD130),ISNUMBER(AD134),ISNUMBER(AD138),ISNUMBER(AD142)),SUM(AD118,AD122,AD126,AD130,AD134,AD138,AD142),"")</f>
        <v>0</v>
      </c>
      <c r="AE146" s="1928">
        <f t="shared" si="387"/>
        <v>0</v>
      </c>
      <c r="AF146" s="1928">
        <f t="shared" si="387"/>
        <v>587310.06500000006</v>
      </c>
      <c r="AG146" s="1928">
        <f t="shared" si="387"/>
        <v>8967731.8142510243</v>
      </c>
      <c r="AH146" s="1928">
        <f t="shared" si="387"/>
        <v>20366.135113325126</v>
      </c>
      <c r="AI146" s="1928">
        <f t="shared" si="387"/>
        <v>545037.56915333425</v>
      </c>
      <c r="AJ146" s="1928">
        <f t="shared" si="387"/>
        <v>9533135.5185176842</v>
      </c>
      <c r="AK146" s="1928">
        <f t="shared" si="387"/>
        <v>587310.06500000006</v>
      </c>
      <c r="AL146" s="1928">
        <f t="shared" si="387"/>
        <v>0</v>
      </c>
      <c r="AM146" s="1928">
        <f t="shared" si="387"/>
        <v>0</v>
      </c>
      <c r="AN146" s="1928">
        <f t="shared" si="387"/>
        <v>587310.06500000006</v>
      </c>
      <c r="AO146" s="1928">
        <f t="shared" si="387"/>
        <v>29050839.007091407</v>
      </c>
      <c r="AP146" s="1928">
        <f t="shared" si="387"/>
        <v>46504.616820260038</v>
      </c>
      <c r="AQ146" s="1928">
        <f t="shared" si="387"/>
        <v>21331683.692128405</v>
      </c>
      <c r="AR146" s="1928" t="str">
        <f>IF(AND(ISNUMBER(AR118),ISNUMBER(AR122),ISNUMBER(AR126),ISNUMBER(AR130),ISNUMBER(AR134),ISNUMBER(AR138),ISNUMBER(AR142)),SUM(AR118,AR122,AR126,AR130,AR134,AR138,AR142),"")</f>
        <v/>
      </c>
      <c r="AS146" s="98"/>
      <c r="AT146" s="1928" t="str">
        <f t="shared" ref="AT146" si="388">IF(AND(ISNUMBER(AT118),ISNUMBER(AT122),ISNUMBER(AT126),ISNUMBER(AT130),ISNUMBER(AT134),ISNUMBER(AT138),ISNUMBER(AT142)),SUM(AT118,AT122,AT126,AT130,AT134,AT138,AT142),"")</f>
        <v/>
      </c>
      <c r="AU146" s="1928" t="str">
        <f>IF(AND(ISNUMBER(AU118),ISNUMBER(AU122),ISNUMBER(AU126),ISNUMBER(AU130),ISNUMBER(AU134),ISNUMBER(AU138),ISNUMBER(AU142)),SUM(AU118,AU122,AU126,AU130,AU134,AU138,AU142),"")</f>
        <v/>
      </c>
      <c r="AV146" s="1856" t="str">
        <f>IF(AND(U146&lt;&gt;"",OR(AJ146="",AJ146=0)),"Missing Input",IF(AND(AJ146&gt;0,AJ146&lt;&gt;"",U146&gt;0,U146&lt;&gt;"",OR(_xlfn.NUMBERVALUE(U146)&gt;_xlfn.NUMBERVALUE(AJ146),_xlfn.NUMBERVALUE(U146)=_xlfn.NUMBERVALUE(AJ146))),"Ok","Please check"))</f>
        <v>Ok</v>
      </c>
      <c r="AW146" s="1857"/>
      <c r="AX146" s="1857"/>
      <c r="AY146" s="1856" t="str">
        <f t="shared" si="350"/>
        <v>Ok</v>
      </c>
      <c r="AZ146" s="1857"/>
      <c r="BA146" s="1857"/>
      <c r="BB146" s="1893" t="str">
        <f>IF(OR('General Info'!$C$19="Yes",'General Info'!$D$19="Yes"),IF(AND(AQ146&gt;0,AQ146&lt;&gt;"",CQ65&gt;0,CQ65&lt;&gt;"",OR(_xlfn.NUMBERVALUE(AQ146)&lt;_xlfn.NUMBERVALUE(CQ65),_xlfn.NUMBERVALUE(AQ146)=_xlfn.NUMBERVALUE(CQ65))),"Ok","Please check"),"NA")</f>
        <v>NA</v>
      </c>
      <c r="BC146" s="1893" t="str">
        <f>IF(OR('General Info'!$C$19="Yes",'General Info'!$D$19="Yes"),IFERROR(IF(_xlfn.NUMBERVALUE(AQ146)/_xlfn.NUMBERVALUE(CQ65)&lt;0.7119,"Please check","Ok"),"Please check"),"NA")</f>
        <v>NA</v>
      </c>
      <c r="BD146" s="98"/>
      <c r="BE146" s="1856" t="str">
        <f>IF(OR('General Info'!$C$19="Yes",'General Info'!$D$19="Yes"),IFERROR(IF(AND(_xlfn.NUMBERVALUE(AU146)/_xlfn.NUMBERVALUE(AR146)&gt;0.7143,_xlfn.NUMBERVALUE(AU146)/_xlfn.NUMBERVALUE(AR146)&lt;=1),"Ok", "Please check"),"Please check"),"NA")</f>
        <v>NA</v>
      </c>
    </row>
    <row r="147" spans="1:57" ht="50.1" customHeight="1" x14ac:dyDescent="0.35">
      <c r="A147" s="1885" t="s">
        <v>2335</v>
      </c>
      <c r="B147" s="1885"/>
      <c r="C147" s="1885"/>
      <c r="D147" s="1885"/>
      <c r="E147" s="1885"/>
      <c r="F147" s="1909"/>
      <c r="G147" s="1885"/>
      <c r="H147" s="1885"/>
      <c r="I147" s="1885"/>
      <c r="J147" s="1885"/>
      <c r="K147" s="1885"/>
      <c r="L147" s="1885"/>
      <c r="M147" s="1885"/>
      <c r="N147" s="1885"/>
      <c r="O147" s="1885"/>
      <c r="P147" s="1885"/>
      <c r="R147" s="1885"/>
      <c r="S147" s="1885"/>
      <c r="T147" s="1885"/>
      <c r="U147" s="1885"/>
      <c r="V147" s="1885"/>
      <c r="W147" s="1885"/>
      <c r="X147" s="1885"/>
      <c r="Y147" s="1885"/>
      <c r="Z147" s="1885"/>
      <c r="AA147" s="1885"/>
      <c r="AB147" s="1885"/>
      <c r="AD147" s="1885"/>
      <c r="AE147" s="1885"/>
      <c r="AF147" s="1885"/>
      <c r="AG147" s="1885"/>
      <c r="AH147" s="1885"/>
      <c r="AI147" s="1885"/>
      <c r="AJ147" s="1885"/>
      <c r="AK147" s="1885"/>
      <c r="AL147" s="1885"/>
      <c r="AM147" s="1885"/>
      <c r="AN147" s="1885"/>
      <c r="AO147" s="1885"/>
      <c r="AP147" s="1885"/>
      <c r="AQ147" s="1885"/>
      <c r="AR147" s="1885"/>
      <c r="AS147" s="98"/>
      <c r="AT147" s="1885"/>
      <c r="AU147" s="1885"/>
      <c r="AV147" s="1885"/>
      <c r="BD147" s="98"/>
    </row>
    <row r="148" spans="1:57" ht="50.1" customHeight="1" x14ac:dyDescent="0.35">
      <c r="A148" s="1513"/>
      <c r="B148" s="2780" t="s">
        <v>2382</v>
      </c>
      <c r="C148" s="2774" t="s">
        <v>2383</v>
      </c>
      <c r="D148" s="2774"/>
      <c r="E148" s="2774"/>
      <c r="F148" s="2774"/>
      <c r="G148" s="2774"/>
      <c r="H148" s="2774"/>
      <c r="I148" s="2774"/>
      <c r="J148" s="2774"/>
      <c r="K148" s="2774"/>
      <c r="L148" s="2774"/>
      <c r="M148" s="2775" t="s">
        <v>2384</v>
      </c>
      <c r="N148" s="2775"/>
      <c r="O148" s="2775"/>
      <c r="P148" s="2775"/>
      <c r="Q148" s="2775"/>
      <c r="R148" s="2775"/>
      <c r="S148" s="2775"/>
      <c r="T148" s="2775"/>
      <c r="U148" s="2775"/>
      <c r="V148" s="2775"/>
      <c r="W148" s="2775"/>
      <c r="X148" s="2775" t="s">
        <v>864</v>
      </c>
      <c r="Y148" s="2775"/>
      <c r="Z148" s="2775"/>
      <c r="AA148" s="2775"/>
      <c r="AB148" s="2775"/>
      <c r="AC148" s="2775"/>
      <c r="AD148" s="2775"/>
      <c r="AE148" s="2775"/>
      <c r="AF148" s="2775"/>
      <c r="AG148" s="2776" t="s">
        <v>2402</v>
      </c>
      <c r="AH148" s="2776"/>
      <c r="AI148" s="2776"/>
      <c r="AJ148" s="2776"/>
      <c r="AK148" s="2776" t="s">
        <v>2403</v>
      </c>
      <c r="AL148" s="2776"/>
      <c r="AM148" s="2776"/>
      <c r="AN148" s="2776"/>
      <c r="AO148" s="2777" t="s">
        <v>2338</v>
      </c>
      <c r="AP148" s="2777"/>
      <c r="AQ148" s="2777"/>
      <c r="AR148" s="2778" t="s">
        <v>860</v>
      </c>
      <c r="AS148" s="2778"/>
      <c r="AT148" s="2778"/>
      <c r="AU148" s="2778"/>
      <c r="BD148" s="98"/>
    </row>
    <row r="149" spans="1:57" ht="50.1" customHeight="1" x14ac:dyDescent="0.35">
      <c r="A149" s="1513"/>
      <c r="B149" s="2781"/>
      <c r="C149" s="2709" t="s">
        <v>224</v>
      </c>
      <c r="D149" s="2709"/>
      <c r="E149" s="2709"/>
      <c r="F149" s="2709"/>
      <c r="G149" s="2709"/>
      <c r="H149" s="2709"/>
      <c r="I149" s="2709"/>
      <c r="J149" s="2709"/>
      <c r="K149" s="2709"/>
      <c r="L149" s="2709"/>
      <c r="M149" s="2709" t="s">
        <v>224</v>
      </c>
      <c r="N149" s="2709"/>
      <c r="O149" s="2709"/>
      <c r="P149" s="2709"/>
      <c r="Q149" s="2709"/>
      <c r="R149" s="2709"/>
      <c r="S149" s="2709"/>
      <c r="T149" s="2709"/>
      <c r="U149" s="2709"/>
      <c r="V149" s="2709"/>
      <c r="W149" s="2709"/>
      <c r="X149" s="2779" t="s">
        <v>2387</v>
      </c>
      <c r="Y149" s="2779"/>
      <c r="Z149" s="2779"/>
      <c r="AA149" s="2779"/>
      <c r="AB149" s="2779"/>
      <c r="AC149" s="2779"/>
      <c r="AD149" s="2779"/>
      <c r="AE149" s="2779"/>
      <c r="AF149" s="2779"/>
      <c r="AG149" s="2709" t="s">
        <v>224</v>
      </c>
      <c r="AH149" s="2709"/>
      <c r="AI149" s="2709"/>
      <c r="AJ149" s="2709"/>
      <c r="AK149" s="2709" t="s">
        <v>2387</v>
      </c>
      <c r="AL149" s="2709"/>
      <c r="AM149" s="2709"/>
      <c r="AN149" s="2709"/>
      <c r="AO149" s="2709" t="s">
        <v>2404</v>
      </c>
      <c r="AP149" s="2709"/>
      <c r="AQ149" s="2709"/>
      <c r="AR149" s="2709" t="s">
        <v>2405</v>
      </c>
      <c r="AS149" s="2709"/>
      <c r="AT149" s="2709"/>
      <c r="AU149" s="2709"/>
      <c r="BD149" s="98"/>
    </row>
    <row r="150" spans="1:57" ht="63" customHeight="1" x14ac:dyDescent="0.35">
      <c r="A150" s="1513"/>
      <c r="B150" s="2781"/>
      <c r="C150" s="2779" t="s">
        <v>2305</v>
      </c>
      <c r="D150" s="2779"/>
      <c r="E150" s="2779"/>
      <c r="F150" s="1911"/>
      <c r="G150" s="2779" t="s">
        <v>226</v>
      </c>
      <c r="H150" s="2709" t="s">
        <v>2390</v>
      </c>
      <c r="I150" s="2709"/>
      <c r="J150" s="2709"/>
      <c r="K150" s="2709" t="s">
        <v>59</v>
      </c>
      <c r="L150" s="2709" t="s">
        <v>869</v>
      </c>
      <c r="M150" s="2779" t="s">
        <v>2305</v>
      </c>
      <c r="N150" s="2779"/>
      <c r="O150" s="2779"/>
      <c r="P150" s="2779" t="s">
        <v>226</v>
      </c>
      <c r="Q150" s="1851"/>
      <c r="R150" s="2779" t="s">
        <v>2406</v>
      </c>
      <c r="S150" s="2779"/>
      <c r="T150" s="2779"/>
      <c r="U150" s="2779"/>
      <c r="V150" s="2710" t="s">
        <v>178</v>
      </c>
      <c r="W150" s="2729"/>
      <c r="X150" s="2779" t="s">
        <v>2305</v>
      </c>
      <c r="Y150" s="2779"/>
      <c r="Z150" s="2779"/>
      <c r="AA150" s="2779" t="s">
        <v>226</v>
      </c>
      <c r="AB150" s="2779" t="s">
        <v>2406</v>
      </c>
      <c r="AC150" s="2779"/>
      <c r="AD150" s="2779"/>
      <c r="AE150" s="2779"/>
      <c r="AF150" s="2779"/>
      <c r="AG150" s="2709" t="s">
        <v>2407</v>
      </c>
      <c r="AH150" s="2709"/>
      <c r="AI150" s="2709"/>
      <c r="AJ150" s="2709"/>
      <c r="AK150" s="2709" t="s">
        <v>2408</v>
      </c>
      <c r="AL150" s="2709"/>
      <c r="AM150" s="2709"/>
      <c r="AN150" s="2709"/>
      <c r="AO150" s="2709"/>
      <c r="AP150" s="2709"/>
      <c r="AQ150" s="2709"/>
      <c r="AR150" s="2709"/>
      <c r="AS150" s="2709"/>
      <c r="AT150" s="2709"/>
      <c r="AU150" s="2709"/>
      <c r="BD150" s="98"/>
    </row>
    <row r="151" spans="1:57" ht="50.1" customHeight="1" x14ac:dyDescent="0.35">
      <c r="A151" s="1513"/>
      <c r="B151" s="2781"/>
      <c r="C151" s="2779" t="s">
        <v>870</v>
      </c>
      <c r="D151" s="2779" t="s">
        <v>746</v>
      </c>
      <c r="E151" s="2779" t="s">
        <v>749</v>
      </c>
      <c r="F151" s="1911"/>
      <c r="G151" s="2779"/>
      <c r="H151" s="2779" t="s">
        <v>748</v>
      </c>
      <c r="I151" s="2779" t="s">
        <v>746</v>
      </c>
      <c r="J151" s="2779" t="s">
        <v>749</v>
      </c>
      <c r="K151" s="2709" t="s">
        <v>59</v>
      </c>
      <c r="L151" s="2709"/>
      <c r="M151" s="2779" t="s">
        <v>748</v>
      </c>
      <c r="N151" s="2779" t="s">
        <v>746</v>
      </c>
      <c r="O151" s="2779" t="s">
        <v>749</v>
      </c>
      <c r="P151" s="2709" t="s">
        <v>226</v>
      </c>
      <c r="Q151" s="1851"/>
      <c r="R151" s="2779" t="s">
        <v>748</v>
      </c>
      <c r="S151" s="2779" t="s">
        <v>746</v>
      </c>
      <c r="T151" s="2779" t="s">
        <v>749</v>
      </c>
      <c r="U151" s="2709" t="s">
        <v>59</v>
      </c>
      <c r="V151" s="2709" t="s">
        <v>59</v>
      </c>
      <c r="W151" s="2709" t="s">
        <v>872</v>
      </c>
      <c r="X151" s="2779" t="s">
        <v>870</v>
      </c>
      <c r="Y151" s="2779" t="s">
        <v>746</v>
      </c>
      <c r="Z151" s="2779" t="s">
        <v>749</v>
      </c>
      <c r="AA151" s="2709" t="s">
        <v>226</v>
      </c>
      <c r="AB151" s="2779" t="s">
        <v>748</v>
      </c>
      <c r="AC151" s="2779"/>
      <c r="AD151" s="2779" t="s">
        <v>746</v>
      </c>
      <c r="AE151" s="2709" t="s">
        <v>749</v>
      </c>
      <c r="AF151" s="2709" t="s">
        <v>59</v>
      </c>
      <c r="AG151" s="2709" t="s">
        <v>748</v>
      </c>
      <c r="AH151" s="2709" t="s">
        <v>746</v>
      </c>
      <c r="AI151" s="2709" t="s">
        <v>749</v>
      </c>
      <c r="AJ151" s="2709" t="s">
        <v>59</v>
      </c>
      <c r="AK151" s="2709" t="s">
        <v>748</v>
      </c>
      <c r="AL151" s="2709" t="s">
        <v>746</v>
      </c>
      <c r="AM151" s="2709" t="s">
        <v>749</v>
      </c>
      <c r="AN151" s="2709" t="s">
        <v>59</v>
      </c>
      <c r="AO151" s="2709" t="s">
        <v>752</v>
      </c>
      <c r="AP151" s="2709"/>
      <c r="AQ151" s="2709" t="s">
        <v>177</v>
      </c>
      <c r="AR151" s="2709" t="s">
        <v>752</v>
      </c>
      <c r="AS151" s="2709"/>
      <c r="AT151" s="2709"/>
      <c r="AU151" s="2709" t="s">
        <v>877</v>
      </c>
      <c r="AV151" s="2800" t="s">
        <v>2394</v>
      </c>
      <c r="AW151" s="2751"/>
      <c r="AX151" s="2801"/>
      <c r="AY151" s="2800" t="s">
        <v>2395</v>
      </c>
      <c r="AZ151" s="2751"/>
      <c r="BA151" s="2801"/>
      <c r="BB151" s="2800" t="s">
        <v>2396</v>
      </c>
      <c r="BC151" s="2751"/>
      <c r="BD151" s="2751"/>
      <c r="BE151" s="2801"/>
    </row>
    <row r="152" spans="1:57" ht="115.5" customHeight="1" x14ac:dyDescent="0.35">
      <c r="A152" s="1513"/>
      <c r="B152" s="2782"/>
      <c r="C152" s="2779"/>
      <c r="D152" s="2779"/>
      <c r="E152" s="2779"/>
      <c r="F152" s="1911"/>
      <c r="G152" s="2779"/>
      <c r="H152" s="2779"/>
      <c r="I152" s="2779"/>
      <c r="J152" s="2779"/>
      <c r="K152" s="2709"/>
      <c r="L152" s="2709"/>
      <c r="M152" s="2779"/>
      <c r="N152" s="2779"/>
      <c r="O152" s="2779"/>
      <c r="P152" s="2709"/>
      <c r="Q152" s="1851"/>
      <c r="R152" s="2779"/>
      <c r="S152" s="2779"/>
      <c r="T152" s="2779"/>
      <c r="U152" s="2709"/>
      <c r="V152" s="2709"/>
      <c r="W152" s="2709"/>
      <c r="X152" s="2779"/>
      <c r="Y152" s="2779"/>
      <c r="Z152" s="2779"/>
      <c r="AA152" s="2709"/>
      <c r="AB152" s="2779"/>
      <c r="AC152" s="2779"/>
      <c r="AD152" s="2779"/>
      <c r="AE152" s="2709"/>
      <c r="AF152" s="2709"/>
      <c r="AG152" s="2709"/>
      <c r="AH152" s="2709"/>
      <c r="AI152" s="2709"/>
      <c r="AJ152" s="2709"/>
      <c r="AK152" s="2709"/>
      <c r="AL152" s="2709"/>
      <c r="AM152" s="2709"/>
      <c r="AN152" s="2709"/>
      <c r="AO152" s="1853" t="s">
        <v>59</v>
      </c>
      <c r="AP152" s="1853" t="s">
        <v>756</v>
      </c>
      <c r="AQ152" s="2709"/>
      <c r="AR152" s="1853" t="s">
        <v>59</v>
      </c>
      <c r="AS152" s="1851"/>
      <c r="AT152" s="1853" t="s">
        <v>756</v>
      </c>
      <c r="AU152" s="2709"/>
      <c r="AV152" s="2504" t="s">
        <v>3559</v>
      </c>
      <c r="AW152" s="1853" t="s">
        <v>2317</v>
      </c>
      <c r="AX152" s="1853" t="s">
        <v>2318</v>
      </c>
      <c r="AY152" s="2503" t="s">
        <v>3557</v>
      </c>
      <c r="AZ152" s="1853" t="s">
        <v>2317</v>
      </c>
      <c r="BA152" s="1853" t="s">
        <v>2318</v>
      </c>
      <c r="BB152" s="2503" t="s">
        <v>3560</v>
      </c>
      <c r="BC152" s="1966" t="s">
        <v>2319</v>
      </c>
      <c r="BD152" s="1126"/>
      <c r="BE152" s="1966" t="s">
        <v>2320</v>
      </c>
    </row>
    <row r="153" spans="1:57" x14ac:dyDescent="0.35">
      <c r="A153" s="1513"/>
      <c r="B153" s="1912" t="s">
        <v>2397</v>
      </c>
      <c r="C153" s="1899">
        <f>IF(ISNUMBER(C17), C17, "")</f>
        <v>6277655.264834444</v>
      </c>
      <c r="D153" s="1899">
        <f>IF(ISNUMBER(D17), D17, "")</f>
        <v>24188.122036700021</v>
      </c>
      <c r="E153" s="1899">
        <f>IF(ISNUMBER(G17), G17, "")</f>
        <v>736975.68415719934</v>
      </c>
      <c r="F153" s="1909"/>
      <c r="G153" s="1899">
        <f>IF(AND(ISNUMBER(C153),ISNUMBER(D153), ISNUMBER(E153)),SUM(C153, D153, E153),"")</f>
        <v>7038819.0710283434</v>
      </c>
      <c r="H153" s="1899">
        <f>IF(ISNUMBER(I17), I17, "")</f>
        <v>2764100.2326317839</v>
      </c>
      <c r="I153" s="1899">
        <f>IF(ISNUMBER(J17), J17, "")</f>
        <v>11666.894102499999</v>
      </c>
      <c r="J153" s="1899">
        <f>IF(ISNUMBER(K17), K17, "")</f>
        <v>223439.32734460029</v>
      </c>
      <c r="K153" s="1899">
        <f>IF(AND(ISNUMBER(J153),ISNUMBER(H153), ISNUMBER(I153)),SUM(J153, H153, I153),"")</f>
        <v>2999206.4540788839</v>
      </c>
      <c r="L153" s="1899">
        <f>IF(ISNUMBER(M17), M17, "")</f>
        <v>125145.49271110026</v>
      </c>
      <c r="M153" s="1899">
        <f>IF(ISNUMBER(AP17), AP17, "")</f>
        <v>6277655.2648344934</v>
      </c>
      <c r="N153" s="1899">
        <f>IF(ISNUMBER(AQ17), AQ17, "")</f>
        <v>24188.122036700006</v>
      </c>
      <c r="O153" s="1899">
        <f>IF(ISNUMBER(AT17), AT17, "")</f>
        <v>967440.89466545894</v>
      </c>
      <c r="P153" s="1899">
        <f>IF(AND(ISNUMBER(O153),ISNUMBER(M153), ISNUMBER(N153)),SUM(O153, M153, N153),"")</f>
        <v>7269284.2815366527</v>
      </c>
      <c r="R153" s="1899">
        <f>IF(ISNUMBER(AV17), AV17, "")</f>
        <v>2755096.9620450991</v>
      </c>
      <c r="S153" s="1899">
        <f>IF(ISNUMBER(AW17), AW17, "")</f>
        <v>11340.643609647866</v>
      </c>
      <c r="T153" s="1899">
        <f>IF(ISNUMBER(AX17), AX17, "")</f>
        <v>285100.98221726349</v>
      </c>
      <c r="U153" s="1899">
        <f>IF(AND(ISNUMBER(T153),ISNUMBER(R153), ISNUMBER(S153)),SUM(T153, R153, S153),"")</f>
        <v>3051538.5878720102</v>
      </c>
      <c r="V153" s="1899">
        <f>IF(ISNUMBER(AZ17), AZ17, "")</f>
        <v>125466.16059650043</v>
      </c>
      <c r="W153" s="1899">
        <f>IF(AND(ISNUMBER(BL17),ISNUMBER(BX17)), BL17+BX17, "")</f>
        <v>109167.49240319982</v>
      </c>
      <c r="X153" s="1899">
        <f>IF(ISNUMBER(BZ17), BZ17, "")</f>
        <v>0</v>
      </c>
      <c r="Y153" s="1899">
        <f>IF(ISNUMBER(CA17), CA17, "")</f>
        <v>0</v>
      </c>
      <c r="Z153" s="1899">
        <f>IF(ISNUMBER(CD17), CD17, "")</f>
        <v>0</v>
      </c>
      <c r="AA153" s="1899">
        <f>IF(AND(ISNUMBER(Z153),ISNUMBER(X153), ISNUMBER(Y153)),SUM(Z153, X153, Y153),"")</f>
        <v>0</v>
      </c>
      <c r="AB153" s="1899">
        <f>IF(ISNUMBER(CF17), CF17, "")</f>
        <v>0</v>
      </c>
      <c r="AD153" s="1899">
        <f>IF(ISNUMBER(CG17), CG17, "")</f>
        <v>0</v>
      </c>
      <c r="AE153" s="1899">
        <f>IF(ISNUMBER(CH17), CH17, "")</f>
        <v>0</v>
      </c>
      <c r="AF153" s="1899">
        <f>IF(AND(ISNUMBER(AE153),ISNUMBER(AB153), ISNUMBER(AD153)),SUM(AE153, AB153, AD153),"")</f>
        <v>0</v>
      </c>
      <c r="AG153" s="1914">
        <f>+AG118</f>
        <v>2754776.2124939831</v>
      </c>
      <c r="AH153" s="1914">
        <f t="shared" ref="AH153:AI153" si="389">+AH118</f>
        <v>11340.643609647866</v>
      </c>
      <c r="AI153" s="1914">
        <f t="shared" si="389"/>
        <v>284985.98275298974</v>
      </c>
      <c r="AJ153" s="1899">
        <f>IF(AND(ISNUMBER(AI153),ISNUMBER(AG153), ISNUMBER(AH153)),SUM(AI153, AG153, AH153),"")</f>
        <v>3051102.8388566207</v>
      </c>
      <c r="AK153" s="1918">
        <v>0</v>
      </c>
      <c r="AL153" s="1918">
        <v>0</v>
      </c>
      <c r="AM153" s="1918">
        <v>0</v>
      </c>
      <c r="AN153" s="1899">
        <f>IF(AND(ISNUMBER(AM153),ISNUMBER(AK153), ISNUMBER(AL153)),SUM(AM153, AK153, AL153),"")</f>
        <v>0</v>
      </c>
      <c r="AO153" s="1929">
        <f>+CO17</f>
        <v>7154046.0107566314</v>
      </c>
      <c r="AP153" s="1929">
        <f t="shared" ref="AP153:AQ153" si="390">+CP17</f>
        <v>24188.233418260021</v>
      </c>
      <c r="AQ153" s="1929">
        <f t="shared" si="390"/>
        <v>7094900.2286714213</v>
      </c>
      <c r="AR153" s="1899" t="str">
        <f>IF(AND(OR('General Info'!$C$19="Yes",'General Info'!$D$19="Yes"),ISNUMBER(AO153),ISNUMBER(AP153),ISNUMBER(AT153)),AO153-AP153+AT153,"")</f>
        <v/>
      </c>
      <c r="AS153" s="98"/>
      <c r="AT153" s="1930"/>
      <c r="AU153" s="1931"/>
      <c r="AV153" s="1893" t="str">
        <f>IF(AND(U153&lt;&gt;"",OR(AJ153="",AJ153=0)),"Missing Input",IF(AND(AJ153&gt;0,AJ153&lt;&gt;"",U153&gt;0,U153&lt;&gt;"",OR(_xlfn.NUMBERVALUE(U153)&gt;_xlfn.NUMBERVALUE(AJ153),_xlfn.NUMBERVALUE(U153)=_xlfn.NUMBERVALUE(AJ153))),"Ok","Please check"))</f>
        <v>Ok</v>
      </c>
      <c r="AW153" s="1917"/>
      <c r="AX153" s="1856" t="str">
        <f>+IFERROR(IF(AND(ABS(AJ153-U153)&gt;ABS(0.95*(AJ154-U154)),ABS(AJ153-U153)&lt;ABS(1.05*(AJ154-U154))),"Ok","Please Check"),"Please Check")</f>
        <v>Please Check</v>
      </c>
      <c r="AY153" s="1893" t="str">
        <f>IF(AND(AF153&lt;&gt;"",OR(AN153="",AN153=0)),"Missing Input",IF(AND(AN153&gt;0,AN153&lt;&gt;"",AF153&gt;0,AF153&lt;&gt;"",OR(_xlfn.NUMBERVALUE(AF153)&gt;_xlfn.NUMBERVALUE(AN153),_xlfn.NUMBERVALUE(AF153)=_xlfn.NUMBERVALUE(AN153))),"Ok","Please check"))</f>
        <v>Missing Input</v>
      </c>
      <c r="AZ153" s="1917"/>
      <c r="BA153" s="1856" t="str">
        <f>+IFERROR(IF(AND(ABS(AN153-AF153)&gt;ABS(0.95*(AN154-AF154)),ABS(AN153-AF153)&lt;ABS(1.05*(AN154-AF154))),"Ok","Please Check"),"Please Check")</f>
        <v>Please Check</v>
      </c>
      <c r="BB153" s="1893" t="str">
        <f>IF(OR('General Info'!$C$19="Yes",'General Info'!$D$19="Yes"),IF(AND(AQ153&gt;0,AQ153&lt;&gt;"",CQ17&gt;0,CQ17&lt;&gt;"",OR(_xlfn.NUMBERVALUE(AQ153)&lt;_xlfn.NUMBERVALUE(CQ17),_xlfn.NUMBERVALUE(AQ153)=_xlfn.NUMBERVALUE(CQ17))),"Ok","Please check"),"NA")</f>
        <v>NA</v>
      </c>
      <c r="BC153" s="1893" t="str">
        <f>IF(OR('General Info'!$C$19="Yes",'General Info'!$D$19="Yes"),IFERROR(IF(_xlfn.NUMBERVALUE(AQ153)/_xlfn.NUMBERVALUE(CQ17)&lt;0.7119,"Please check","Ok"),"Please check"),"NA")</f>
        <v>NA</v>
      </c>
      <c r="BD153" s="98"/>
      <c r="BE153" s="1856" t="str">
        <f>IF(OR('General Info'!$C$19="Yes",'General Info'!$D$19="Yes"),IFERROR(IF(AND(_xlfn.NUMBERVALUE(AU153)/_xlfn.NUMBERVALUE(AR153)&gt;0.7143,_xlfn.NUMBERVALUE(AU153)/_xlfn.NUMBERVALUE(AR153)&lt;=1),"Ok", "Please check"),"Please check"),"NA")</f>
        <v>NA</v>
      </c>
    </row>
    <row r="154" spans="1:57" x14ac:dyDescent="0.35">
      <c r="A154" s="1513"/>
      <c r="B154" s="1870" t="s">
        <v>2343</v>
      </c>
      <c r="C154" s="1918">
        <v>0</v>
      </c>
      <c r="D154" s="1918">
        <v>0</v>
      </c>
      <c r="E154" s="1918">
        <v>0</v>
      </c>
      <c r="F154" s="1909"/>
      <c r="G154" s="1899">
        <f>IF(AND(ISNUMBER(C154),ISNUMBER(D154), ISNUMBER(E154)),SUM(C154, D154, E154),"")</f>
        <v>0</v>
      </c>
      <c r="H154" s="1918">
        <v>0</v>
      </c>
      <c r="I154" s="1918">
        <v>0</v>
      </c>
      <c r="J154" s="1918">
        <v>0</v>
      </c>
      <c r="K154" s="1899">
        <f t="shared" ref="K154:K160" si="391">IF(AND(ISNUMBER(J154),ISNUMBER(H154), ISNUMBER(I154)),SUM(J154, H154, I154),"")</f>
        <v>0</v>
      </c>
      <c r="L154" s="1918">
        <v>0</v>
      </c>
      <c r="M154" s="1918">
        <v>0</v>
      </c>
      <c r="N154" s="1918">
        <v>0</v>
      </c>
      <c r="O154" s="1918">
        <v>0</v>
      </c>
      <c r="P154" s="1899">
        <f t="shared" ref="P154:P160" si="392">IF(AND(ISNUMBER(O154),ISNUMBER(M154), ISNUMBER(N154)),SUM(O154, M154, N154),"")</f>
        <v>0</v>
      </c>
      <c r="R154" s="1918">
        <v>0</v>
      </c>
      <c r="S154" s="1918">
        <v>0</v>
      </c>
      <c r="T154" s="1918">
        <v>0</v>
      </c>
      <c r="U154" s="1899">
        <f t="shared" ref="U154:U160" si="393">IF(AND(ISNUMBER(T154),ISNUMBER(R154), ISNUMBER(S154)),SUM(T154, R154, S154),"")</f>
        <v>0</v>
      </c>
      <c r="V154" s="1918">
        <v>0</v>
      </c>
      <c r="W154" s="1918">
        <v>0</v>
      </c>
      <c r="X154" s="1918">
        <v>0</v>
      </c>
      <c r="Y154" s="1918">
        <v>0</v>
      </c>
      <c r="Z154" s="1918">
        <v>0</v>
      </c>
      <c r="AA154" s="1899">
        <f t="shared" ref="AA154:AA160" si="394">IF(AND(ISNUMBER(Z154),ISNUMBER(X154), ISNUMBER(Y154)),SUM(Z154, X154, Y154),"")</f>
        <v>0</v>
      </c>
      <c r="AB154" s="1918">
        <v>0</v>
      </c>
      <c r="AD154" s="1918">
        <v>0</v>
      </c>
      <c r="AE154" s="1918">
        <v>0</v>
      </c>
      <c r="AF154" s="1899">
        <f t="shared" ref="AF154:AF160" si="395">IF(AND(ISNUMBER(AE154),ISNUMBER(AB154), ISNUMBER(AD154)),SUM(AE154, AB154, AD154),"")</f>
        <v>0</v>
      </c>
      <c r="AG154" s="1918">
        <v>0</v>
      </c>
      <c r="AH154" s="1918">
        <v>0</v>
      </c>
      <c r="AI154" s="1918">
        <v>0</v>
      </c>
      <c r="AJ154" s="1899">
        <f t="shared" ref="AJ154:AJ160" si="396">IF(AND(ISNUMBER(AI154),ISNUMBER(AG154), ISNUMBER(AH154)),SUM(AI154, AG154, AH154),"")</f>
        <v>0</v>
      </c>
      <c r="AK154" s="1918">
        <v>0</v>
      </c>
      <c r="AL154" s="1918">
        <v>0</v>
      </c>
      <c r="AM154" s="1918">
        <v>0</v>
      </c>
      <c r="AN154" s="1899">
        <f t="shared" ref="AN154:AN160" si="397">IF(AND(ISNUMBER(AM154),ISNUMBER(AK154), ISNUMBER(AL154)),SUM(AM154, AK154, AL154),"")</f>
        <v>0</v>
      </c>
      <c r="AO154" s="1918">
        <v>0</v>
      </c>
      <c r="AP154" s="1918">
        <v>0</v>
      </c>
      <c r="AQ154" s="1918">
        <v>0</v>
      </c>
      <c r="AR154" s="1899" t="str">
        <f>IF(AND(OR('General Info'!$C$19="Yes",'General Info'!$D$19="Yes"),ISNUMBER(AO154),ISNUMBER(AP154),ISNUMBER(AT154)),AO154-AP154+AT154,"")</f>
        <v/>
      </c>
      <c r="AS154" s="98"/>
      <c r="AT154" s="1919"/>
      <c r="AU154" s="1920"/>
      <c r="AV154" s="1856" t="str">
        <f>IF(AND(U154&lt;&gt;"",OR(AJ154="",AJ154=0)),"Missing Input",IF(AND(AJ154&gt;0,AJ154&lt;&gt;"",U154&gt;0,U154&lt;&gt;"",_xlfn.NUMBERVALUE(AJ154)&lt;_xlfn.NUMBERVALUE(U154)),"Ok","Please check"))</f>
        <v>Missing Input</v>
      </c>
      <c r="AW154" s="1856" t="str">
        <f>IFERROR(IF(OR(U154="",AJ154=""),"Missing input",IF(AND(_xlfn.NUMBERVALUE(AJ154)/_xlfn.NUMBERVALUE(U154)&gt;0.7,_xlfn.NUMBERVALUE(AJ154)/_xlfn.NUMBERVALUE(U154)&lt;0.8),"Ok","Please check")),"Please check")</f>
        <v>Please check</v>
      </c>
      <c r="AX154" s="1857"/>
      <c r="AY154" s="1893" t="str">
        <f t="shared" ref="AY154:AY161" si="398">IF(AND(AF154&lt;&gt;"",OR(AN154="",AN154=0)),"Missing Input",IF(AND(AN154&gt;0,AN154&lt;&gt;"",AF154&gt;0,AF154&lt;&gt;"",OR(_xlfn.NUMBERVALUE(AF154)&gt;_xlfn.NUMBERVALUE(AN154),_xlfn.NUMBERVALUE(AF154)=_xlfn.NUMBERVALUE(AN154))),"Ok","Please check"))</f>
        <v>Missing Input</v>
      </c>
      <c r="AZ154" s="1856" t="str">
        <f>IFERROR(IF(OR(AF154="",AN154=""),"Missing input",IF(AND(_xlfn.NUMBERVALUE(AN154)/_xlfn.NUMBERVALUE(AF154)&gt;0.7,_xlfn.NUMBERVALUE(AN154)/_xlfn.NUMBERVALUE(AF154)&lt;0.8),"Ok","Please check")),"Please check")</f>
        <v>Please check</v>
      </c>
      <c r="BA154" s="1857"/>
      <c r="BB154" s="1857"/>
      <c r="BC154" s="1857"/>
      <c r="BD154" s="98"/>
      <c r="BE154" s="1857"/>
    </row>
    <row r="155" spans="1:57" x14ac:dyDescent="0.35">
      <c r="A155" s="1513"/>
      <c r="B155" s="1921" t="s">
        <v>800</v>
      </c>
      <c r="C155" s="1899">
        <f>IF(ISNUMBER(C20), C20, "")</f>
        <v>0</v>
      </c>
      <c r="D155" s="1899">
        <f>IF(ISNUMBER(D20), D20, "")</f>
        <v>0</v>
      </c>
      <c r="E155" s="1899">
        <f>IF(ISNUMBER(G20), G20, "")</f>
        <v>0</v>
      </c>
      <c r="F155" s="1909"/>
      <c r="G155" s="1899">
        <f>IF(AND(ISNUMBER(C155),ISNUMBER(D155), ISNUMBER(E155)),SUM(C155, D155, E155),"")</f>
        <v>0</v>
      </c>
      <c r="H155" s="1899">
        <f>IF(ISNUMBER(I20), I20, "")</f>
        <v>0</v>
      </c>
      <c r="I155" s="1899">
        <f>IF(ISNUMBER(J20), J20, "")</f>
        <v>0</v>
      </c>
      <c r="J155" s="1899">
        <f>IF(ISNUMBER(K20), K20, "")</f>
        <v>0</v>
      </c>
      <c r="K155" s="1899">
        <f t="shared" si="391"/>
        <v>0</v>
      </c>
      <c r="L155" s="1899">
        <f>IF(ISNUMBER(M20), M20, "")</f>
        <v>0</v>
      </c>
      <c r="M155" s="1899">
        <f>IF(ISNUMBER(AP20), AP20, "")</f>
        <v>0</v>
      </c>
      <c r="N155" s="1899">
        <f>IF(ISNUMBER(AQ20), AQ20, "")</f>
        <v>0</v>
      </c>
      <c r="O155" s="1899">
        <f>IF(ISNUMBER(AT20), AT20, "")</f>
        <v>0</v>
      </c>
      <c r="P155" s="1899">
        <f t="shared" si="392"/>
        <v>0</v>
      </c>
      <c r="R155" s="1899">
        <f>IF(ISNUMBER(AV20), AV20, "")</f>
        <v>0</v>
      </c>
      <c r="S155" s="1899">
        <f>IF(ISNUMBER(AW20), AW20, "")</f>
        <v>0</v>
      </c>
      <c r="T155" s="1899">
        <f>IF(ISNUMBER(AX20), AX20, "")</f>
        <v>0</v>
      </c>
      <c r="U155" s="1899">
        <f t="shared" si="393"/>
        <v>0</v>
      </c>
      <c r="V155" s="1899">
        <f>IF(ISNUMBER(AZ20), AZ20, "")</f>
        <v>0</v>
      </c>
      <c r="W155" s="1899">
        <f>IF(AND(ISNUMBER(BL20),ISNUMBER(BX20)), BL20+BX20, "")</f>
        <v>0</v>
      </c>
      <c r="X155" s="1899">
        <f>IF(ISNUMBER(BZ20), BZ20, "")</f>
        <v>0</v>
      </c>
      <c r="Y155" s="1899">
        <f>IF(ISNUMBER(CA20), CA20, "")</f>
        <v>0</v>
      </c>
      <c r="Z155" s="1899">
        <f>IF(ISNUMBER(CD20), CD20, "")</f>
        <v>0</v>
      </c>
      <c r="AA155" s="1899">
        <f t="shared" si="394"/>
        <v>0</v>
      </c>
      <c r="AB155" s="1899">
        <f>IF(ISNUMBER(CF20), CF20, "")</f>
        <v>0</v>
      </c>
      <c r="AD155" s="1899">
        <f>IF(ISNUMBER(CG20), CG20, "")</f>
        <v>0</v>
      </c>
      <c r="AE155" s="1899">
        <f>IF(ISNUMBER(CH20), CH20, "")</f>
        <v>0</v>
      </c>
      <c r="AF155" s="1899">
        <f t="shared" si="395"/>
        <v>0</v>
      </c>
      <c r="AG155" s="1918">
        <v>0</v>
      </c>
      <c r="AH155" s="1918">
        <v>0</v>
      </c>
      <c r="AI155" s="1918">
        <v>0</v>
      </c>
      <c r="AJ155" s="1899">
        <f t="shared" si="396"/>
        <v>0</v>
      </c>
      <c r="AK155" s="1918">
        <v>0</v>
      </c>
      <c r="AL155" s="1918">
        <v>0</v>
      </c>
      <c r="AM155" s="1918">
        <v>0</v>
      </c>
      <c r="AN155" s="1899">
        <f t="shared" si="397"/>
        <v>0</v>
      </c>
      <c r="AO155" s="1932">
        <v>0</v>
      </c>
      <c r="AP155" s="1919">
        <v>0</v>
      </c>
      <c r="AQ155" s="1919">
        <v>0</v>
      </c>
      <c r="AR155" s="1899" t="str">
        <f>IF(AND(OR('General Info'!$C$19="Yes",'General Info'!$D$19="Yes"),ISNUMBER(AO155),ISNUMBER(AP155),ISNUMBER(AT155)),AO155-AP155+AT155,"")</f>
        <v/>
      </c>
      <c r="AS155" s="98"/>
      <c r="AT155" s="1919"/>
      <c r="AU155" s="1920"/>
      <c r="AV155" s="1893" t="str">
        <f>IF(AND(U155&lt;&gt;"",OR(AJ155="",AJ155=0)),"Missing Input",IF(AND(AJ155&gt;0,AJ155&lt;&gt;"",U155&gt;0,U155&lt;&gt;"",OR(_xlfn.NUMBERVALUE(U155)&gt;_xlfn.NUMBERVALUE(AJ155),_xlfn.NUMBERVALUE(U155)=_xlfn.NUMBERVALUE(AJ155))),"Ok","Please check"))</f>
        <v>Missing Input</v>
      </c>
      <c r="AW155" s="1917"/>
      <c r="AX155" s="1856" t="str">
        <f>+IFERROR(IF(AND(ABS(AJ155-U155)&gt;ABS(0.95*(AJ156-U156)),ABS(AJ155-U155)&lt;ABS(1.05*(AJ156-U156))),"Ok","Please Check"),"Please Check")</f>
        <v>Please Check</v>
      </c>
      <c r="AY155" s="1893" t="str">
        <f t="shared" si="398"/>
        <v>Missing Input</v>
      </c>
      <c r="AZ155" s="1857"/>
      <c r="BA155" s="1856" t="str">
        <f>+IFERROR(IF(AND(ABS(AN155-AF155)&gt;ABS(0.95*(AN156-AF156)),ABS(AN155-AF155)&lt;ABS(1.05*(AN156-AF156))),"Ok","Please Check"),"Please Check")</f>
        <v>Please Check</v>
      </c>
      <c r="BB155" s="1893" t="str">
        <f>IF(OR('General Info'!$C$19="Yes",'General Info'!$D$19="Yes"),IF(AND(AQ155&gt;0,AQ155&lt;&gt;"",CQ20&gt;0,CQ20&lt;&gt;"",OR(_xlfn.NUMBERVALUE(AQ155)&lt;_xlfn.NUMBERVALUE(CQ20),_xlfn.NUMBERVALUE(AQ155)=_xlfn.NUMBERVALUE(CQ20))),"Ok","Please check"),"NA")</f>
        <v>NA</v>
      </c>
      <c r="BC155" s="1893" t="str">
        <f>IF(OR('General Info'!$C$19="Yes",'General Info'!$D$19="Yes"),IFERROR(IF(_xlfn.NUMBERVALUE(AQ155)/_xlfn.NUMBERVALUE(CQ20)&lt;0.7119,"Please check","Ok"),"Please check"),"NA")</f>
        <v>NA</v>
      </c>
      <c r="BD155" s="98"/>
      <c r="BE155" s="1856" t="str">
        <f>IF(OR('General Info'!$C$19="Yes",'General Info'!$D$19="Yes"),IFERROR(IF(AND(_xlfn.NUMBERVALUE(AU155)/_xlfn.NUMBERVALUE(AR155)&gt;0.7143,_xlfn.NUMBERVALUE(AU155)/_xlfn.NUMBERVALUE(AR155)&lt;=1),"Ok", "Please check"),"Please check"),"NA")</f>
        <v>NA</v>
      </c>
    </row>
    <row r="156" spans="1:57" x14ac:dyDescent="0.35">
      <c r="A156" s="1513"/>
      <c r="B156" s="1870" t="s">
        <v>2343</v>
      </c>
      <c r="C156" s="1918">
        <v>0</v>
      </c>
      <c r="D156" s="1918">
        <v>0</v>
      </c>
      <c r="E156" s="1918">
        <v>0</v>
      </c>
      <c r="F156" s="1909"/>
      <c r="G156" s="1899">
        <f t="shared" ref="G156:G160" si="399">IF(AND(ISNUMBER(C156),ISNUMBER(D156), ISNUMBER(E156)),SUM(C156, D156, E156),"")</f>
        <v>0</v>
      </c>
      <c r="H156" s="1918">
        <v>0</v>
      </c>
      <c r="I156" s="1918">
        <v>0</v>
      </c>
      <c r="J156" s="1918">
        <v>0</v>
      </c>
      <c r="K156" s="1899">
        <f t="shared" si="391"/>
        <v>0</v>
      </c>
      <c r="L156" s="1918">
        <v>0</v>
      </c>
      <c r="M156" s="1918">
        <v>0</v>
      </c>
      <c r="N156" s="1918">
        <v>0</v>
      </c>
      <c r="O156" s="1918">
        <v>0</v>
      </c>
      <c r="P156" s="1899">
        <f t="shared" si="392"/>
        <v>0</v>
      </c>
      <c r="R156" s="1918">
        <v>0</v>
      </c>
      <c r="S156" s="1918">
        <v>0</v>
      </c>
      <c r="T156" s="1918">
        <v>0</v>
      </c>
      <c r="U156" s="1899">
        <f t="shared" si="393"/>
        <v>0</v>
      </c>
      <c r="V156" s="1918">
        <v>0</v>
      </c>
      <c r="W156" s="1918">
        <v>0</v>
      </c>
      <c r="X156" s="1918">
        <v>0</v>
      </c>
      <c r="Y156" s="1918">
        <v>0</v>
      </c>
      <c r="Z156" s="1918">
        <v>0</v>
      </c>
      <c r="AA156" s="1899">
        <f t="shared" si="394"/>
        <v>0</v>
      </c>
      <c r="AB156" s="1918">
        <v>0</v>
      </c>
      <c r="AD156" s="1918">
        <v>0</v>
      </c>
      <c r="AE156" s="1918">
        <v>0</v>
      </c>
      <c r="AF156" s="1899">
        <f t="shared" si="395"/>
        <v>0</v>
      </c>
      <c r="AG156" s="1918">
        <v>0</v>
      </c>
      <c r="AH156" s="1918">
        <v>0</v>
      </c>
      <c r="AI156" s="1918">
        <v>0</v>
      </c>
      <c r="AJ156" s="1899">
        <f t="shared" si="396"/>
        <v>0</v>
      </c>
      <c r="AK156" s="1918">
        <v>0</v>
      </c>
      <c r="AL156" s="1918">
        <v>0</v>
      </c>
      <c r="AM156" s="1918">
        <v>0</v>
      </c>
      <c r="AN156" s="1899">
        <f t="shared" si="397"/>
        <v>0</v>
      </c>
      <c r="AO156" s="1918">
        <v>0</v>
      </c>
      <c r="AP156" s="1918">
        <v>0</v>
      </c>
      <c r="AQ156" s="1918">
        <v>0</v>
      </c>
      <c r="AR156" s="1899" t="str">
        <f>IF(AND(OR('General Info'!$C$19="Yes",'General Info'!$D$19="Yes"),ISNUMBER(AO156),ISNUMBER(AP156),ISNUMBER(AT156)),AO156-AP156+AT156,"")</f>
        <v/>
      </c>
      <c r="AS156" s="98"/>
      <c r="AT156" s="1919"/>
      <c r="AU156" s="1920"/>
      <c r="AV156" s="1856" t="str">
        <f>IF(AND(U156&lt;&gt;"",OR(AJ156="",AJ156=0)),"Missing Input",IF(AND(AJ156&gt;0,AJ156&lt;&gt;"",U156&gt;0,U156&lt;&gt;"",_xlfn.NUMBERVALUE(AJ156)&lt;_xlfn.NUMBERVALUE(U156)),"Ok","Please check"))</f>
        <v>Missing Input</v>
      </c>
      <c r="AW156" s="1856" t="str">
        <f>IFERROR(IF(OR(U156="",AJ156=""),"Missing input",IF(AND(_xlfn.NUMBERVALUE(AJ156)/_xlfn.NUMBERVALUE(U156)&gt;0.7,_xlfn.NUMBERVALUE(AJ156)/_xlfn.NUMBERVALUE(U156)&lt;0.8),"Ok","Please check")),"Please check")</f>
        <v>Please check</v>
      </c>
      <c r="AX156" s="1857"/>
      <c r="AY156" s="1893" t="str">
        <f t="shared" si="398"/>
        <v>Missing Input</v>
      </c>
      <c r="AZ156" s="1856" t="str">
        <f>IFERROR(IF(OR(AF156="",AN156=""),"Missing input",IF(AND(_xlfn.NUMBERVALUE(AN156)/_xlfn.NUMBERVALUE(AF156)&gt;0.7,_xlfn.NUMBERVALUE(AN156)/_xlfn.NUMBERVALUE(AF156)&lt;0.8),"Ok","Please check")),"Please check")</f>
        <v>Please check</v>
      </c>
      <c r="BA156" s="1857"/>
      <c r="BB156" s="1857"/>
      <c r="BC156" s="1857"/>
      <c r="BD156" s="98"/>
      <c r="BE156" s="1857"/>
    </row>
    <row r="157" spans="1:57" x14ac:dyDescent="0.35">
      <c r="A157" s="1513"/>
      <c r="B157" s="1921" t="s">
        <v>889</v>
      </c>
      <c r="C157" s="1899">
        <f>IF(ISNUMBER(C36),C36, "")</f>
        <v>6379578.8708719108</v>
      </c>
      <c r="D157" s="1899">
        <f>IF(ISNUMBER(D36),D36, "")</f>
        <v>18794.835699200015</v>
      </c>
      <c r="E157" s="1899">
        <f>IF(ISNUMBER(G36),G36, "")</f>
        <v>685165.2166179982</v>
      </c>
      <c r="F157" s="1909"/>
      <c r="G157" s="1899">
        <f t="shared" si="399"/>
        <v>7083538.9231891092</v>
      </c>
      <c r="H157" s="1899">
        <f>IF(ISNUMBER(I36),I36, "")</f>
        <v>2171220.0287543205</v>
      </c>
      <c r="I157" s="1899">
        <f>IF(ISNUMBER(J36),J36, "")</f>
        <v>8756.0366547999784</v>
      </c>
      <c r="J157" s="1899">
        <f>IF(ISNUMBER(K36),K36, "")</f>
        <v>162206.72833919787</v>
      </c>
      <c r="K157" s="1899">
        <f t="shared" si="391"/>
        <v>2342182.7937483187</v>
      </c>
      <c r="L157" s="1899">
        <f>IF(ISNUMBER(M36),M36, "")</f>
        <v>97498.719733199774</v>
      </c>
      <c r="M157" s="1899">
        <f>IF(ISNUMBER(AP36),AP36, "")</f>
        <v>6379578.8708719825</v>
      </c>
      <c r="N157" s="1899">
        <f>IF(ISNUMBER(AQ36),AQ36, "")</f>
        <v>18794.83569919999</v>
      </c>
      <c r="O157" s="1899">
        <f>IF(ISNUMBER(AT36),AT36, "")</f>
        <v>1031468.7690833673</v>
      </c>
      <c r="P157" s="1899">
        <f t="shared" si="392"/>
        <v>7429842.4756545499</v>
      </c>
      <c r="R157" s="1899">
        <f>IF(ISNUMBER(AV36),AV36, "")</f>
        <v>2653408.7919888296</v>
      </c>
      <c r="S157" s="1899">
        <f>IF(ISNUMBER(AW36),AW36, "")</f>
        <v>8267.386247522425</v>
      </c>
      <c r="T157" s="1899">
        <f>IF(ISNUMBER(AX36),AX36, "")</f>
        <v>231911.00260711918</v>
      </c>
      <c r="U157" s="1899">
        <f t="shared" si="393"/>
        <v>2893587.1808434711</v>
      </c>
      <c r="V157" s="1899">
        <f>IF(ISNUMBER(AZ36),AZ36, "")</f>
        <v>98909.753247555331</v>
      </c>
      <c r="W157" s="1899">
        <f>IF(AND(ISNUMBER(BL36),ISNUMBER(BX36)), BL36+BX36, "")</f>
        <v>70149.346422599963</v>
      </c>
      <c r="X157" s="1899">
        <f>IF(ISNUMBER(BZ36),BZ36, "")</f>
        <v>0</v>
      </c>
      <c r="Y157" s="1899">
        <f>IF(ISNUMBER(CA36),CA36, "")</f>
        <v>0</v>
      </c>
      <c r="Z157" s="1899">
        <f>IF(ISNUMBER(CD36),CD36, "")</f>
        <v>0</v>
      </c>
      <c r="AA157" s="1899">
        <f t="shared" si="394"/>
        <v>0</v>
      </c>
      <c r="AB157" s="1899">
        <f>IF(ISNUMBER(CF36),CF36, "")</f>
        <v>0</v>
      </c>
      <c r="AD157" s="1899">
        <f>IF(ISNUMBER(CG36),CG36, "")</f>
        <v>0</v>
      </c>
      <c r="AE157" s="1899">
        <f>IF(ISNUMBER(CH36),CH36, "")</f>
        <v>0</v>
      </c>
      <c r="AF157" s="1899">
        <f t="shared" si="395"/>
        <v>0</v>
      </c>
      <c r="AG157" s="1918">
        <f>+AG122</f>
        <v>2063726.1593830581</v>
      </c>
      <c r="AH157" s="1918">
        <f t="shared" ref="AH157:AI157" si="400">+AH122</f>
        <v>8267.386247522425</v>
      </c>
      <c r="AI157" s="1918">
        <f t="shared" si="400"/>
        <v>177743.60583401282</v>
      </c>
      <c r="AJ157" s="1899">
        <f t="shared" si="396"/>
        <v>2249737.1514645931</v>
      </c>
      <c r="AK157" s="1918">
        <v>0</v>
      </c>
      <c r="AL157" s="1918">
        <v>0</v>
      </c>
      <c r="AM157" s="1918">
        <v>0</v>
      </c>
      <c r="AN157" s="1899">
        <f t="shared" si="397"/>
        <v>0</v>
      </c>
      <c r="AO157" s="1918">
        <f>+CO36</f>
        <v>7345162.4429045841</v>
      </c>
      <c r="AP157" s="1918">
        <f t="shared" ref="AP157:AQ157" si="401">+CP36</f>
        <v>18809.958528900017</v>
      </c>
      <c r="AQ157" s="1918">
        <f t="shared" si="401"/>
        <v>7178565.0804836834</v>
      </c>
      <c r="AR157" s="1899" t="str">
        <f>IF(AND(OR('General Info'!$C$19="Yes",'General Info'!$D$19="Yes"),ISNUMBER(AO157),ISNUMBER(AP157),ISNUMBER(AT157)),AO157-AP157+AT157,"")</f>
        <v/>
      </c>
      <c r="AS157" s="98"/>
      <c r="AT157" s="1919"/>
      <c r="AU157" s="1920"/>
      <c r="AV157" s="1893" t="str">
        <f>IF(AND(U157&lt;&gt;"",OR(AJ157="",AJ157=0)),"Missing Input",IF(AND(AJ157&gt;0,AJ157&lt;&gt;"",U157&gt;0,U157&lt;&gt;"",OR(_xlfn.NUMBERVALUE(U157)&gt;_xlfn.NUMBERVALUE(AJ157),_xlfn.NUMBERVALUE(U157)=_xlfn.NUMBERVALUE(AJ157))),"Ok","Please check"))</f>
        <v>Ok</v>
      </c>
      <c r="AW157" s="1917"/>
      <c r="AX157" s="1856" t="str">
        <f>+IFERROR(IF(AND(ABS(AJ157-U157)&gt;ABS(0.95*(AJ158-U158)),ABS(AJ157-U157)&lt;ABS(1.05*(AJ158-U158))),"Ok","Please Check"),"Please Check")</f>
        <v>Please Check</v>
      </c>
      <c r="AY157" s="1893" t="str">
        <f t="shared" si="398"/>
        <v>Missing Input</v>
      </c>
      <c r="AZ157" s="1857"/>
      <c r="BA157" s="1856" t="str">
        <f>+IFERROR(IF(AND(ABS(AN157-AF157)&gt;ABS(0.95*(AN158-AF158)),ABS(AN157-AF157)&lt;ABS(1.05*(AN158-AF158))),"Ok","Please Check"),"Please Check")</f>
        <v>Please Check</v>
      </c>
      <c r="BB157" s="1893" t="str">
        <f>IF(OR('General Info'!$C$19="Yes",'General Info'!$D$19="Yes"),IF(AND(AQ157&gt;0,AQ157&lt;&gt;"",CQ36&gt;0,CQ36&lt;&gt;"",OR(_xlfn.NUMBERVALUE(AQ157)&lt;_xlfn.NUMBERVALUE(CQ36),_xlfn.NUMBERVALUE(AQ157)=_xlfn.NUMBERVALUE(CQ36))),"Ok","Please check"),"NA")</f>
        <v>NA</v>
      </c>
      <c r="BC157" s="1893" t="str">
        <f>IF(OR('General Info'!$C$19="Yes",'General Info'!$D$19="Yes"),IFERROR(IF(_xlfn.NUMBERVALUE(AQ157)/_xlfn.NUMBERVALUE(CQ36)&lt;0.7119,"Please check","Ok"),"Please check"),"NA")</f>
        <v>NA</v>
      </c>
      <c r="BD157" s="98"/>
      <c r="BE157" s="1856" t="str">
        <f>IF(OR('General Info'!$C$19="Yes",'General Info'!$D$19="Yes"),IFERROR(IF(AND(_xlfn.NUMBERVALUE(AU157)/_xlfn.NUMBERVALUE(AR157)&gt;0.7143,_xlfn.NUMBERVALUE(AU157)/_xlfn.NUMBERVALUE(AR157)&lt;=1),"Ok", "Please check"),"Please check"),"NA")</f>
        <v>NA</v>
      </c>
    </row>
    <row r="158" spans="1:57" x14ac:dyDescent="0.35">
      <c r="A158" s="1513"/>
      <c r="B158" s="1870" t="s">
        <v>2343</v>
      </c>
      <c r="C158" s="1918">
        <v>0</v>
      </c>
      <c r="D158" s="1918">
        <v>0</v>
      </c>
      <c r="E158" s="1918">
        <v>0</v>
      </c>
      <c r="F158" s="1909"/>
      <c r="G158" s="1899">
        <f t="shared" si="399"/>
        <v>0</v>
      </c>
      <c r="H158" s="1918">
        <v>0</v>
      </c>
      <c r="I158" s="1918">
        <v>0</v>
      </c>
      <c r="J158" s="1918">
        <v>0</v>
      </c>
      <c r="K158" s="1899">
        <f t="shared" si="391"/>
        <v>0</v>
      </c>
      <c r="L158" s="1918">
        <v>0</v>
      </c>
      <c r="M158" s="1918">
        <v>0</v>
      </c>
      <c r="N158" s="1918">
        <v>0</v>
      </c>
      <c r="O158" s="1918">
        <v>0</v>
      </c>
      <c r="P158" s="1899">
        <f t="shared" si="392"/>
        <v>0</v>
      </c>
      <c r="R158" s="1918">
        <v>0</v>
      </c>
      <c r="S158" s="1918">
        <v>0</v>
      </c>
      <c r="T158" s="1918">
        <v>0</v>
      </c>
      <c r="U158" s="1899">
        <f t="shared" si="393"/>
        <v>0</v>
      </c>
      <c r="V158" s="1918">
        <v>0</v>
      </c>
      <c r="W158" s="1918">
        <v>0</v>
      </c>
      <c r="X158" s="1918">
        <v>0</v>
      </c>
      <c r="Y158" s="1918">
        <v>0</v>
      </c>
      <c r="Z158" s="1918">
        <v>0</v>
      </c>
      <c r="AA158" s="1899">
        <f t="shared" si="394"/>
        <v>0</v>
      </c>
      <c r="AB158" s="1918">
        <v>0</v>
      </c>
      <c r="AD158" s="1918">
        <v>0</v>
      </c>
      <c r="AE158" s="1918">
        <v>0</v>
      </c>
      <c r="AF158" s="1899">
        <f t="shared" si="395"/>
        <v>0</v>
      </c>
      <c r="AG158" s="1918">
        <v>0</v>
      </c>
      <c r="AH158" s="1918">
        <v>0</v>
      </c>
      <c r="AI158" s="1918">
        <v>0</v>
      </c>
      <c r="AJ158" s="1899">
        <f t="shared" si="396"/>
        <v>0</v>
      </c>
      <c r="AK158" s="1918">
        <v>0</v>
      </c>
      <c r="AL158" s="1918">
        <v>0</v>
      </c>
      <c r="AM158" s="1918">
        <v>0</v>
      </c>
      <c r="AN158" s="1899">
        <f t="shared" si="397"/>
        <v>0</v>
      </c>
      <c r="AO158" s="1918">
        <v>0</v>
      </c>
      <c r="AP158" s="1918">
        <v>0</v>
      </c>
      <c r="AQ158" s="1918">
        <v>0</v>
      </c>
      <c r="AR158" s="1899" t="str">
        <f>IF(AND(OR('General Info'!$C$19="Yes",'General Info'!$D$19="Yes"),ISNUMBER(AO158),ISNUMBER(AP158),ISNUMBER(AT158)),AO158-AP158+AT158,"")</f>
        <v/>
      </c>
      <c r="AS158" s="98"/>
      <c r="AT158" s="1919"/>
      <c r="AU158" s="1920"/>
      <c r="AV158" s="1856" t="str">
        <f>IF(AND(U158&lt;&gt;"",OR(AJ158="",AJ158=0)),"Missing Input",IF(AND(AJ158&gt;0,AJ158&lt;&gt;"",U158&gt;0,U158&lt;&gt;"",_xlfn.NUMBERVALUE(AJ158)&lt;_xlfn.NUMBERVALUE(U158)),"Ok","Please check"))</f>
        <v>Missing Input</v>
      </c>
      <c r="AW158" s="1856" t="str">
        <f>IFERROR(IF(OR(U158="",AJ158=""),"Missing input",IF(AND(_xlfn.NUMBERVALUE(AJ158)/_xlfn.NUMBERVALUE(U158)&gt;0.7,_xlfn.NUMBERVALUE(AJ158)/_xlfn.NUMBERVALUE(U158)&lt;0.8),"Ok","Please check")),"Please check")</f>
        <v>Please check</v>
      </c>
      <c r="AX158" s="1857"/>
      <c r="AY158" s="1893" t="str">
        <f t="shared" si="398"/>
        <v>Missing Input</v>
      </c>
      <c r="AZ158" s="1856" t="str">
        <f>IFERROR(IF(OR(AF158="",AN158=""),"Missing input",IF(AND(_xlfn.NUMBERVALUE(AN158)/_xlfn.NUMBERVALUE(AF158)&gt;0.7,_xlfn.NUMBERVALUE(AN158)/_xlfn.NUMBERVALUE(AF158)&lt;0.8),"Ok","Please check")),"Please check")</f>
        <v>Please check</v>
      </c>
      <c r="BA158" s="1857"/>
      <c r="BB158" s="1857"/>
      <c r="BC158" s="1857"/>
      <c r="BD158" s="98"/>
      <c r="BE158" s="1857"/>
    </row>
    <row r="159" spans="1:57" x14ac:dyDescent="0.35">
      <c r="A159" s="1513"/>
      <c r="B159" s="1869" t="s">
        <v>2400</v>
      </c>
      <c r="C159" s="1899">
        <f>IF(AND(ISNUMBER(C37),ISNUMBER(C38),ISNUMBER(C39),ISNUMBER(C40),ISNUMBER(C41),ISNUMBER(C44),ISNUMBER(C51),ISNUMBER(C55),ISNUMBER(C58),ISNUMBER(C61),ISNUMBER(C62)),C37+C38+C39+C40+C41+C44+C51+C55+C58+C61+C62,"")</f>
        <v>14326233.852898598</v>
      </c>
      <c r="D159" s="1899">
        <f>IF(AND(ISNUMBER(D37),ISNUMBER(D38),ISNUMBER(D39),ISNUMBER(D40),ISNUMBER(D41),ISNUMBER(D44),ISNUMBER(D51),ISNUMBER(D55),ISNUMBER(D58),ISNUMBER(D61),ISNUMBER(D62)),D37+D38+D39+D40+D41+D44+D51+D55+D58+D61+D62,"")</f>
        <v>3581.4154724</v>
      </c>
      <c r="E159" s="1899">
        <f>IF(AND(ISNUMBER(G37),ISNUMBER(G38),ISNUMBER(G39),ISNUMBER(G40),ISNUMBER(G41),ISNUMBER(G44),ISNUMBER(G51),ISNUMBER(G55),ISNUMBER(G58),ISNUMBER(G61),ISNUMBER(G62)),G37+G38+G39+G40+G41+G44+G51+G55+G58+G61+G62,"")</f>
        <v>629618.10546913091</v>
      </c>
      <c r="F159" s="1909"/>
      <c r="G159" s="1899">
        <f t="shared" si="399"/>
        <v>14959433.373840127</v>
      </c>
      <c r="H159" s="1899">
        <f>IF(AND(ISNUMBER(I37),ISNUMBER(I38),ISNUMBER(I39),ISNUMBER(I40),ISNUMBER(I41),ISNUMBER(I44),ISNUMBER(I51),ISNUMBER(I55),ISNUMBER(I58),ISNUMBER(I61),ISNUMBER(I62)),I37+I38+I39+I40+I41+I44+I51+I55+I58+I61+I62,"")</f>
        <v>4696573.2984708771</v>
      </c>
      <c r="I159" s="1899">
        <f>IF(AND(ISNUMBER(J37),ISNUMBER(J38),ISNUMBER(J39),ISNUMBER(J40),ISNUMBER(J41),ISNUMBER(J44),ISNUMBER(J51),ISNUMBER(J55),ISNUMBER(J58),ISNUMBER(J61),ISNUMBER(J62)),J37+J38+J39+J40+J41+J44+J51+J55+J58+J61+J62,"")</f>
        <v>362.84110169999997</v>
      </c>
      <c r="J159" s="1899">
        <f>IF(AND(ISNUMBER(K37),ISNUMBER(K38),ISNUMBER(K39),ISNUMBER(K40),ISNUMBER(K41),ISNUMBER(K44),ISNUMBER(K51),ISNUMBER(K55),ISNUMBER(K58),ISNUMBER(K61),ISNUMBER(K62)),K37+K38+K39+K40+K41+K44+K51+K55+K58+K61+K62,"")</f>
        <v>147852.01609489819</v>
      </c>
      <c r="K159" s="1899">
        <f t="shared" si="391"/>
        <v>4844788.1556674754</v>
      </c>
      <c r="L159" s="1899">
        <f>IF(AND(ISNUMBER(M37),ISNUMBER(M38),ISNUMBER(M39),ISNUMBER(M40),ISNUMBER(M41),ISNUMBER(M44),ISNUMBER(M51),ISNUMBER(M55),ISNUMBER(M58),ISNUMBER(M61),ISNUMBER(M62)),M37+M38+M39+M40+M41+M44+M51+M55+M58+M61+M62,"")</f>
        <v>279155.71338889992</v>
      </c>
      <c r="M159" s="1899">
        <f>IF(AND(ISNUMBER(AP37),ISNUMBER(AP38),ISNUMBER(AP39),ISNUMBER(AP40),ISNUMBER(AP41),ISNUMBER(AP44),ISNUMBER(AP55),ISNUMBER(AP58),ISNUMBER(AP61),ISNUMBER(AP62)),AP37+AP38+AP39+AP40+AP41+AP44+AP55+AP58+AP61+AP62,"")</f>
        <v>14091309.826898403</v>
      </c>
      <c r="N159" s="1899">
        <f>IF(AND(ISNUMBER(AQ37),ISNUMBER(AQ38),ISNUMBER(AQ39),ISNUMBER(AQ40),ISNUMBER(AQ41),ISNUMBER(AQ44),ISNUMBER(AQ55),ISNUMBER(AQ58),ISNUMBER(AQ61),ISNUMBER(AQ62)),AQ37+AQ38+AQ39+AQ40+AQ41+AQ44+AQ55+AQ58+AQ61+AQ62,"")</f>
        <v>3581.4154724</v>
      </c>
      <c r="O159" s="1899">
        <f>IF(AND(ISNUMBER(AT37),ISNUMBER(AT38),ISNUMBER(AT39),ISNUMBER(AT40),ISNUMBER(AT41),ISNUMBER(AT44),ISNUMBER(AT55),ISNUMBER(AT58),ISNUMBER(AT61),ISNUMBER(AT62)),AT37+AT38+AT39+AT40+AT41+AT44+AT55+AT58+AT61+AT62,"")</f>
        <v>497363.32267990644</v>
      </c>
      <c r="P159" s="1899">
        <f t="shared" si="392"/>
        <v>14592254.56505071</v>
      </c>
      <c r="R159" s="1899">
        <f>IF(AND(ISNUMBER(AV37),ISNUMBER(AV38),ISNUMBER(AV39),ISNUMBER(AV40),ISNUMBER(AV41),ISNUMBER(AV44),ISNUMBER(AV55),ISNUMBER(AV58),ISNUMBER(AV61),ISNUMBER(AV62)),AV37+AV38+AV39+AV40+AV41+AV44+AV55+AV58+AV61+AV62,"")</f>
        <v>4316242.5137783261</v>
      </c>
      <c r="S159" s="1899">
        <f>IF(AND(ISNUMBER(AW37),ISNUMBER(AW38),ISNUMBER(AW39),ISNUMBER(AW40),ISNUMBER(AW41),ISNUMBER(AW44),ISNUMBER(AW55),ISNUMBER(AW58),ISNUMBER(AW61),ISNUMBER(AW62)),AW37+AW38+AW39+AW40+AW41+AW44+AW55+AW58+AW61+AW62,"")</f>
        <v>758.1052561548363</v>
      </c>
      <c r="T159" s="1899">
        <f>IF(AND(ISNUMBER(AX37),ISNUMBER(AX38),ISNUMBER(AX39),ISNUMBER(AX40),ISNUMBER(AX41),ISNUMBER(AX44),ISNUMBER(AX55),ISNUMBER(AX58),ISNUMBER(AX61),ISNUMBER(AX62)),AX37+AX38+AX39+AX40+AX41+AX44+AX55+AX58+AX61+AX62,"")</f>
        <v>92523.466202384137</v>
      </c>
      <c r="U159" s="1899">
        <f t="shared" si="393"/>
        <v>4409524.0852368651</v>
      </c>
      <c r="V159" s="1899">
        <f>IF(AND(ISNUMBER(AZ37),ISNUMBER(AZ38),ISNUMBER(AZ39),ISNUMBER(AZ40),ISNUMBER(AZ41),ISNUMBER(AZ44),ISNUMBER(AZ55),ISNUMBER(AZ58),ISNUMBER(AZ61),ISNUMBER(AZ62)),AZ37+AZ38+AZ39+AZ40+AZ41+AZ44+AZ55+AZ58+AZ61+AZ62,"")</f>
        <v>288213.42739282735</v>
      </c>
      <c r="W159" s="1899" t="str">
        <f>IF(AND(ISNUMBER(BL37),ISNUMBER(BL38),ISNUMBER(BL39),ISNUMBER(BL40),ISNUMBER(BL41),ISNUMBER(BL44),ISNUMBER(BL55),ISNUMBER(BL58),ISNUMBER(BL61),ISNUMBER(BL62),ISNUMBER(BX37),ISNUMBER(BX38),ISNUMBER(BX39),ISNUMBER(BX40),ISNUMBER(BX41),ISNUMBER(BX44),ISNUMBER(BX55),ISNUMBER(BX58),ISNUMBER(BX61),ISNUMBER(BX62)),BL37+BL38+BL39+BL40+BL41+BL44+BL55+BL58+BL61+BL62+BX37+BX38+BX39+BX40+BX41+BX44+BX55+BX58+BX61+BX62,"")</f>
        <v/>
      </c>
      <c r="X159" s="1899">
        <f>IF(AND(ISNUMBER(BZ37),ISNUMBER(BZ38),ISNUMBER(BZ39),ISNUMBER(BZ40),ISNUMBER(BZ41),ISNUMBER(BZ44),ISNUMBER(BZ51),ISNUMBER(BZ55),ISNUMBER(BZ58),ISNUMBER(BZ61),ISNUMBER(BZ62)),BZ37+BZ38+BZ39+BZ40+BZ41+BZ44+BZ51+BZ55+BZ58+BZ61+BZ62,"")</f>
        <v>234924.02600000001</v>
      </c>
      <c r="Y159" s="1899">
        <f>IF(AND(ISNUMBER(CA37),ISNUMBER(CA38),ISNUMBER(CA39),ISNUMBER(CA40),ISNUMBER(CA41),ISNUMBER(CA44),ISNUMBER(CA51),ISNUMBER(CA55),ISNUMBER(CA58),ISNUMBER(CA61),ISNUMBER(CA62)),CA37+CA38+CA39+CA40+CA41+CA44+CA51+CA55+CA58+CA61+CA62,"")</f>
        <v>0</v>
      </c>
      <c r="Z159" s="1899">
        <f>IF(AND(ISNUMBER(CD37),ISNUMBER(CD38),ISNUMBER(CD39),ISNUMBER(CD40),ISNUMBER(CD41),ISNUMBER(CD44),ISNUMBER(CD51),ISNUMBER(CD55),ISNUMBER(CD58),ISNUMBER(CD61),ISNUMBER(CD62)),CD37+CD38+CD39+CD40+CD41+CD44+CD51+CD55+CD58+CD61+CD62,"")</f>
        <v>0</v>
      </c>
      <c r="AA159" s="1899">
        <f t="shared" si="394"/>
        <v>234924.02600000001</v>
      </c>
      <c r="AB159" s="1899">
        <f>IF(AND(ISNUMBER(CF37),ISNUMBER(CF38),ISNUMBER(CF39),ISNUMBER(CF40),ISNUMBER(CF41),ISNUMBER(CF44),ISNUMBER(CF51),ISNUMBER(CF55),ISNUMBER(CF58),ISNUMBER(CF61),ISNUMBER(CF62)),CF37+CF38+CF39+CF40+CF41+CF44+CF51+CF55+CF58+CF61+CF62,"")</f>
        <v>587310.06500000006</v>
      </c>
      <c r="AD159" s="1899">
        <f>IF(AND(ISNUMBER(CG37),ISNUMBER(CG38),ISNUMBER(CG39),ISNUMBER(CG40),ISNUMBER(CG41),ISNUMBER(CG44),ISNUMBER(CG51),ISNUMBER(CG55),ISNUMBER(CG58),ISNUMBER(CG61),ISNUMBER(CG62)),CG37+CG38+CG39+CG40+CG41+CG44+CG51+CG55+CG58+CG61+CG62,"")</f>
        <v>0</v>
      </c>
      <c r="AE159" s="1899">
        <f>IF(AND(ISNUMBER(CH37),ISNUMBER(CH38),ISNUMBER(CH39),ISNUMBER(CH40),ISNUMBER(CH41),ISNUMBER(CH44),ISNUMBER(CH51),ISNUMBER(CH55),ISNUMBER(CH58),ISNUMBER(CH61),ISNUMBER(CH62)),CH37+CH38+CH39+CH40+CH41+CH44+CH51+CH55+CH58+CH61+CH62,"")</f>
        <v>0</v>
      </c>
      <c r="AF159" s="1899">
        <f t="shared" si="395"/>
        <v>587310.06500000006</v>
      </c>
      <c r="AG159" s="1923">
        <f>+AG142+AG134+AG130+AG126</f>
        <v>4149229.4423739826</v>
      </c>
      <c r="AH159" s="1923">
        <f t="shared" ref="AH159:AI159" si="402">+AH142+AH134+AH130+AH126</f>
        <v>758.1052561548363</v>
      </c>
      <c r="AI159" s="1923">
        <f t="shared" si="402"/>
        <v>82307.980566331651</v>
      </c>
      <c r="AJ159" s="1899">
        <f t="shared" si="396"/>
        <v>4232295.5281964689</v>
      </c>
      <c r="AK159" s="1923">
        <f>+CF54</f>
        <v>587310.06500000006</v>
      </c>
      <c r="AL159" s="1923">
        <v>0</v>
      </c>
      <c r="AM159" s="1924">
        <v>0</v>
      </c>
      <c r="AN159" s="1899">
        <f t="shared" si="397"/>
        <v>587310.06500000006</v>
      </c>
      <c r="AO159" s="1933">
        <f>+CO37+CO40+CO44+CO41+CO51</f>
        <v>14551630.55343019</v>
      </c>
      <c r="AP159" s="1933">
        <f t="shared" ref="AP159:AQ159" si="403">+CP37+CP40+CP44+CP41+CP51</f>
        <v>3506.4248730999998</v>
      </c>
      <c r="AQ159" s="1933">
        <f t="shared" si="403"/>
        <v>7058218.3829733022</v>
      </c>
      <c r="AR159" s="1899" t="str">
        <f>IF(AND(OR('General Info'!$C$19="Yes",'General Info'!$D$19="Yes"),ISNUMBER(AO159),ISNUMBER(AP159),ISNUMBER(AT159)),AO159-AP159+AT159,"")</f>
        <v/>
      </c>
      <c r="AS159" s="98"/>
      <c r="AT159" s="1925"/>
      <c r="AU159" s="1926"/>
      <c r="AV159" s="1857"/>
      <c r="AW159" s="1857"/>
      <c r="AX159" s="1857"/>
      <c r="AY159" s="1857"/>
      <c r="AZ159" s="1857"/>
      <c r="BA159" s="1857"/>
      <c r="BB159" s="1857"/>
      <c r="BC159" s="1857"/>
      <c r="BD159" s="98"/>
      <c r="BE159" s="1857"/>
    </row>
    <row r="160" spans="1:57" x14ac:dyDescent="0.35">
      <c r="A160" s="1513"/>
      <c r="B160" s="1934" t="s">
        <v>2343</v>
      </c>
      <c r="C160" s="1918">
        <v>0</v>
      </c>
      <c r="D160" s="1918">
        <v>0</v>
      </c>
      <c r="E160" s="1918">
        <v>0</v>
      </c>
      <c r="F160" s="1909"/>
      <c r="G160" s="1899">
        <f t="shared" si="399"/>
        <v>0</v>
      </c>
      <c r="H160" s="1918">
        <v>0</v>
      </c>
      <c r="I160" s="1918">
        <v>0</v>
      </c>
      <c r="J160" s="1918">
        <v>0</v>
      </c>
      <c r="K160" s="1899">
        <f t="shared" si="391"/>
        <v>0</v>
      </c>
      <c r="L160" s="1918">
        <v>0</v>
      </c>
      <c r="M160" s="1918">
        <v>0</v>
      </c>
      <c r="N160" s="1918">
        <v>0</v>
      </c>
      <c r="O160" s="1914">
        <v>0</v>
      </c>
      <c r="P160" s="1899">
        <f t="shared" si="392"/>
        <v>0</v>
      </c>
      <c r="R160" s="1918">
        <v>0</v>
      </c>
      <c r="S160" s="1918">
        <v>0</v>
      </c>
      <c r="T160" s="1918">
        <v>0</v>
      </c>
      <c r="U160" s="1899">
        <f t="shared" si="393"/>
        <v>0</v>
      </c>
      <c r="V160" s="1914">
        <v>0</v>
      </c>
      <c r="W160" s="1914">
        <v>0</v>
      </c>
      <c r="X160" s="1914">
        <v>0</v>
      </c>
      <c r="Y160" s="1914">
        <v>0</v>
      </c>
      <c r="Z160" s="1914">
        <v>0</v>
      </c>
      <c r="AA160" s="1899">
        <f t="shared" si="394"/>
        <v>0</v>
      </c>
      <c r="AB160" s="1935">
        <v>0</v>
      </c>
      <c r="AD160" s="1935">
        <v>0</v>
      </c>
      <c r="AE160" s="1935">
        <v>0</v>
      </c>
      <c r="AF160" s="1899">
        <f t="shared" si="395"/>
        <v>0</v>
      </c>
      <c r="AG160" s="1918">
        <v>0</v>
      </c>
      <c r="AH160" s="1918">
        <v>0</v>
      </c>
      <c r="AI160" s="1918">
        <v>0</v>
      </c>
      <c r="AJ160" s="1899">
        <f t="shared" si="396"/>
        <v>0</v>
      </c>
      <c r="AK160" s="1918">
        <v>0</v>
      </c>
      <c r="AL160" s="1918">
        <v>0</v>
      </c>
      <c r="AM160" s="1918">
        <v>0</v>
      </c>
      <c r="AN160" s="1899">
        <f t="shared" si="397"/>
        <v>0</v>
      </c>
      <c r="AO160" s="1918">
        <v>0</v>
      </c>
      <c r="AP160" s="1918">
        <v>0</v>
      </c>
      <c r="AQ160" s="1918">
        <v>0</v>
      </c>
      <c r="AR160" s="1899" t="str">
        <f>IF(AND(OR('General Info'!$C$19="Yes",'General Info'!$D$19="Yes"),ISNUMBER(AO160),ISNUMBER(AP160),ISNUMBER(AT160)),AO160-AP160+AT160,"")</f>
        <v/>
      </c>
      <c r="AS160" s="98"/>
      <c r="AT160" s="1919"/>
      <c r="AU160" s="1920"/>
      <c r="AV160" s="1856" t="str">
        <f>IF(AND(U160&lt;&gt;"",OR(AJ160="",AJ160=0)),"Missing Input",IF(AND(AJ160&gt;0,AJ160&lt;&gt;"",U160&gt;0,U160&lt;&gt;"",_xlfn.NUMBERVALUE(AJ160)&lt;_xlfn.NUMBERVALUE(U160)),"Ok","Please check"))</f>
        <v>Missing Input</v>
      </c>
      <c r="AW160" s="1856" t="str">
        <f>IFERROR(IF(OR(U160="",AJ160=""),"Missing input",IF(AND(_xlfn.NUMBERVALUE(AJ160)/_xlfn.NUMBERVALUE(U160)&gt;0.7,_xlfn.NUMBERVALUE(AJ160)/_xlfn.NUMBERVALUE(U160)&lt;0.8),"Ok","Please check")),"Please check")</f>
        <v>Please check</v>
      </c>
      <c r="AX160" s="1857"/>
      <c r="AY160" s="1893" t="str">
        <f t="shared" si="398"/>
        <v>Missing Input</v>
      </c>
      <c r="AZ160" s="1856" t="str">
        <f>IFERROR(IF(OR(AF160="",AN160=""),"Missing input",IF(AND(_xlfn.NUMBERVALUE(AN160)/_xlfn.NUMBERVALUE(AF160)&gt;0.7,_xlfn.NUMBERVALUE(AN160)/_xlfn.NUMBERVALUE(AF160)&lt;0.8),"Ok","Please check")),"Please check")</f>
        <v>Please check</v>
      </c>
      <c r="BA160" s="1857"/>
      <c r="BB160" s="1857"/>
      <c r="BC160" s="1857"/>
      <c r="BD160" s="98"/>
      <c r="BE160" s="1857"/>
    </row>
    <row r="161" spans="1:57" x14ac:dyDescent="0.35">
      <c r="A161" s="1513"/>
      <c r="B161" s="1936" t="s">
        <v>2401</v>
      </c>
      <c r="C161" s="1937">
        <f>IF(AND(ISNUMBER(C153),ISNUMBER(C155),ISNUMBER(C157),ISNUMBER(C159)),SUM(C153,C155,C157,C159),"")</f>
        <v>26983467.988604952</v>
      </c>
      <c r="D161" s="1937">
        <f>IF(AND(ISNUMBER(D153),ISNUMBER(D155),ISNUMBER(D157),ISNUMBER(D159)),SUM(D153,D155,D157,D159),"")</f>
        <v>46564.373208300036</v>
      </c>
      <c r="E161" s="1937">
        <f>IF(AND(ISNUMBER(E153),ISNUMBER(E155),ISNUMBER(E157),ISNUMBER(E159)),SUM(E153,E155,E157,E159),"")</f>
        <v>2051759.0062443283</v>
      </c>
      <c r="F161" s="1909"/>
      <c r="G161" s="1937">
        <f>IF(AND(ISNUMBER(G153),ISNUMBER(G155),ISNUMBER(G157),ISNUMBER(G159)),SUM(G153,G155,G157,G159),"")</f>
        <v>29081791.368057579</v>
      </c>
      <c r="H161" s="1937">
        <f t="shared" ref="H161:O161" si="404">IF(AND(ISNUMBER(H153),ISNUMBER(H155),ISNUMBER(H157),ISNUMBER(H159)),SUM(H153,H155,H157,H159),"")</f>
        <v>9631893.559856981</v>
      </c>
      <c r="I161" s="1937">
        <f t="shared" si="404"/>
        <v>20785.771858999975</v>
      </c>
      <c r="J161" s="1937">
        <f t="shared" si="404"/>
        <v>533498.07177869638</v>
      </c>
      <c r="K161" s="1937">
        <f>IF(AND(ISNUMBER(K153),ISNUMBER(K155),ISNUMBER(K157),ISNUMBER(K159)),SUM(K153,K155,K157,K159),"")</f>
        <v>10186177.403494678</v>
      </c>
      <c r="L161" s="1937">
        <f t="shared" si="404"/>
        <v>501799.92583319999</v>
      </c>
      <c r="M161" s="1937">
        <f t="shared" si="404"/>
        <v>26748543.96260488</v>
      </c>
      <c r="N161" s="1937">
        <f t="shared" si="404"/>
        <v>46564.373208299992</v>
      </c>
      <c r="O161" s="1937">
        <f t="shared" si="404"/>
        <v>2496272.986428733</v>
      </c>
      <c r="P161" s="1937">
        <f>IF(AND(ISNUMBER(P153),ISNUMBER(P155),ISNUMBER(P157),ISNUMBER(P159)),SUM(P153,P155,P157,P159),"")</f>
        <v>29291381.322241914</v>
      </c>
      <c r="R161" s="1937">
        <f t="shared" ref="R161:AB161" si="405">IF(AND(ISNUMBER(R153),ISNUMBER(R155),ISNUMBER(R157),ISNUMBER(R159)),SUM(R153,R155,R157,R159),"")</f>
        <v>9724748.2678122558</v>
      </c>
      <c r="S161" s="1937">
        <f t="shared" si="405"/>
        <v>20366.135113325126</v>
      </c>
      <c r="T161" s="1937">
        <f t="shared" si="405"/>
        <v>609535.45102676679</v>
      </c>
      <c r="U161" s="1937">
        <f t="shared" si="405"/>
        <v>10354649.853952346</v>
      </c>
      <c r="V161" s="1937">
        <f t="shared" si="405"/>
        <v>512589.34123688308</v>
      </c>
      <c r="W161" s="1937" t="str">
        <f t="shared" si="405"/>
        <v/>
      </c>
      <c r="X161" s="1937">
        <f t="shared" si="405"/>
        <v>234924.02600000001</v>
      </c>
      <c r="Y161" s="1937">
        <f t="shared" si="405"/>
        <v>0</v>
      </c>
      <c r="Z161" s="1937">
        <f t="shared" si="405"/>
        <v>0</v>
      </c>
      <c r="AA161" s="1937">
        <f t="shared" si="405"/>
        <v>234924.02600000001</v>
      </c>
      <c r="AB161" s="1937">
        <f t="shared" si="405"/>
        <v>587310.06500000006</v>
      </c>
      <c r="AD161" s="1937">
        <f t="shared" ref="AD161:AQ161" si="406">IF(AND(ISNUMBER(AD153),ISNUMBER(AD155),ISNUMBER(AD157),ISNUMBER(AD159)),SUM(AD153,AD155,AD157,AD159),"")</f>
        <v>0</v>
      </c>
      <c r="AE161" s="1937">
        <f t="shared" si="406"/>
        <v>0</v>
      </c>
      <c r="AF161" s="1937">
        <f>IF(AND(ISNUMBER(AF153),ISNUMBER(AF155),ISNUMBER(AF157),ISNUMBER(AF159)),SUM(AF153,AF155,AF157,AF159),"")</f>
        <v>587310.06500000006</v>
      </c>
      <c r="AG161" s="1937">
        <f t="shared" si="406"/>
        <v>8967731.8142510243</v>
      </c>
      <c r="AH161" s="1937">
        <f t="shared" si="406"/>
        <v>20366.135113325126</v>
      </c>
      <c r="AI161" s="1937">
        <f t="shared" si="406"/>
        <v>545037.56915333425</v>
      </c>
      <c r="AJ161" s="1937">
        <f>IF(AND(ISNUMBER(AJ153),ISNUMBER(AJ155),ISNUMBER(AJ157),ISNUMBER(AJ159)),SUM(AJ153,AJ155,AJ157,AJ159),"")</f>
        <v>9533135.5185176823</v>
      </c>
      <c r="AK161" s="1937">
        <f t="shared" si="406"/>
        <v>587310.06500000006</v>
      </c>
      <c r="AL161" s="1937">
        <f t="shared" si="406"/>
        <v>0</v>
      </c>
      <c r="AM161" s="1937">
        <f t="shared" si="406"/>
        <v>0</v>
      </c>
      <c r="AN161" s="1937">
        <f>IF(AND(ISNUMBER(AN153),ISNUMBER(AN155),ISNUMBER(AN157),ISNUMBER(AN159)),SUM(AN153,AN155,AN157,AN159),"")</f>
        <v>587310.06500000006</v>
      </c>
      <c r="AO161" s="1938">
        <f t="shared" si="406"/>
        <v>29050839.007091403</v>
      </c>
      <c r="AP161" s="1939">
        <f t="shared" si="406"/>
        <v>46504.616820260038</v>
      </c>
      <c r="AQ161" s="1939">
        <f t="shared" si="406"/>
        <v>21331683.692128405</v>
      </c>
      <c r="AR161" s="1939" t="str">
        <f>IF(AND(ISNUMBER(AR153),ISNUMBER(AR155),ISNUMBER(AR157),ISNUMBER(AR159)),SUM(AR153,AR155,AR157,AR159),"")</f>
        <v/>
      </c>
      <c r="AS161" s="98"/>
      <c r="AT161" s="1939" t="str">
        <f t="shared" ref="AT161:AU161" si="407">IF(AND(ISNUMBER(AT153),ISNUMBER(AT155),ISNUMBER(AT157),ISNUMBER(AT159)),SUM(AT153,AT155,AT157,AT159),"")</f>
        <v/>
      </c>
      <c r="AU161" s="1940" t="str">
        <f t="shared" si="407"/>
        <v/>
      </c>
      <c r="AV161" s="1893" t="str">
        <f>IF(AND(U161&lt;&gt;"",OR(AJ161="",AJ161=0)),"Missing Input",IF(AND(AJ161&gt;0,AJ161&lt;&gt;"",U161&gt;0,U161&lt;&gt;"",OR(_xlfn.NUMBERVALUE(U161)&gt;_xlfn.NUMBERVALUE(AJ161),_xlfn.NUMBERVALUE(U161)=_xlfn.NUMBERVALUE(AJ161))),"Ok","Please check"))</f>
        <v>Ok</v>
      </c>
      <c r="AW161" s="1917"/>
      <c r="AX161" s="1857"/>
      <c r="AY161" s="1893" t="str">
        <f t="shared" si="398"/>
        <v>Ok</v>
      </c>
      <c r="AZ161" s="1857"/>
      <c r="BA161" s="1857"/>
      <c r="BB161" s="1893" t="str">
        <f>IF(OR('General Info'!$C$19="Yes",'General Info'!$D$19="Yes"),IF(AND(AQ161&gt;0,AQ161&lt;&gt;"",CQ65&gt;0,CQ65&lt;&gt;"",OR(_xlfn.NUMBERVALUE(AQ161)&lt;_xlfn.NUMBERVALUE(CQ65),_xlfn.NUMBERVALUE(AQ161)=_xlfn.NUMBERVALUE(CQ65))),"Ok","Please check"),"NA")</f>
        <v>NA</v>
      </c>
      <c r="BC161" s="1893" t="str">
        <f>IF(OR('General Info'!$C$19="Yes",'General Info'!$D$19="Yes"),IFERROR(IF(_xlfn.NUMBERVALUE(AQ161)/_xlfn.NUMBERVALUE(CQ65)&lt;0.7119,"Please check","Ok"),"Please check"),"NA")</f>
        <v>NA</v>
      </c>
      <c r="BD161" s="98"/>
      <c r="BE161" s="1856" t="str">
        <f>IF(OR('General Info'!$C$19="Yes",'General Info'!$D$19="Yes"),IFERROR(IF(AND(_xlfn.NUMBERVALUE(AU161)/_xlfn.NUMBERVALUE(AR161)&gt;0.7143,_xlfn.NUMBERVALUE(AU161)/_xlfn.NUMBERVALUE(AR161)&lt;=1),"Ok", "Please check"),"Please check"),"NA")</f>
        <v>NA</v>
      </c>
    </row>
    <row r="162" spans="1:57" ht="50.1" customHeight="1" x14ac:dyDescent="0.35">
      <c r="A162" s="1885" t="s">
        <v>2409</v>
      </c>
      <c r="B162" s="1513"/>
      <c r="C162" s="1513"/>
      <c r="D162" s="1513"/>
      <c r="E162" s="1513"/>
      <c r="F162" s="1909"/>
      <c r="G162" s="1513"/>
      <c r="H162" s="1513"/>
      <c r="I162" s="1513"/>
      <c r="J162" s="1513"/>
      <c r="K162" s="1513"/>
      <c r="L162" s="1513"/>
      <c r="M162" s="1513"/>
      <c r="N162" s="1513"/>
      <c r="O162" s="1513"/>
      <c r="P162" s="1513"/>
      <c r="R162" s="1513"/>
      <c r="S162" s="1513"/>
      <c r="T162" s="1513"/>
      <c r="U162" s="1513"/>
      <c r="V162" s="1513"/>
      <c r="W162" s="1513"/>
      <c r="X162" s="1513"/>
      <c r="Y162" s="1513"/>
      <c r="Z162" s="1513"/>
      <c r="AA162" s="1513"/>
      <c r="AB162" s="1513"/>
      <c r="AD162" s="1513"/>
      <c r="AE162" s="1513"/>
      <c r="AF162" s="1513"/>
      <c r="AG162" s="1513"/>
      <c r="AH162" s="1513"/>
      <c r="AI162" s="1513"/>
      <c r="AJ162" s="1513"/>
      <c r="AK162" s="1513"/>
      <c r="AS162" s="98"/>
      <c r="BD162" s="98"/>
    </row>
    <row r="163" spans="1:57" ht="50.1" customHeight="1" x14ac:dyDescent="0.35">
      <c r="A163" s="1513"/>
      <c r="B163" s="2770" t="s">
        <v>2382</v>
      </c>
      <c r="C163" s="2784" t="s">
        <v>2410</v>
      </c>
      <c r="D163" s="2784"/>
      <c r="E163" s="2784"/>
      <c r="F163" s="1911"/>
      <c r="G163" s="2778" t="s">
        <v>860</v>
      </c>
      <c r="H163" s="2778"/>
      <c r="I163" s="2778"/>
      <c r="J163" s="1513"/>
      <c r="K163" s="1513"/>
      <c r="L163" s="1513"/>
      <c r="M163" s="1513"/>
      <c r="N163" s="1513"/>
      <c r="O163" s="1513"/>
      <c r="P163" s="1513"/>
      <c r="R163" s="1513"/>
      <c r="S163" s="1513"/>
      <c r="T163" s="1513"/>
      <c r="U163" s="1513"/>
      <c r="V163" s="1513"/>
      <c r="W163" s="1513"/>
      <c r="X163" s="1513"/>
      <c r="Y163" s="1513"/>
      <c r="Z163" s="1513"/>
      <c r="AA163" s="1513"/>
      <c r="AB163" s="1513"/>
      <c r="AD163" s="1513"/>
      <c r="AE163" s="1513"/>
      <c r="AF163" s="1513"/>
      <c r="AG163" s="1513"/>
      <c r="AH163" s="1513"/>
      <c r="AI163" s="1513"/>
      <c r="AJ163" s="1513"/>
      <c r="AK163" s="1513"/>
      <c r="AS163" s="98"/>
      <c r="BD163" s="98"/>
    </row>
    <row r="164" spans="1:57" ht="113.1" customHeight="1" x14ac:dyDescent="0.35">
      <c r="A164" s="1513"/>
      <c r="B164" s="2783"/>
      <c r="C164" s="2709" t="s">
        <v>2411</v>
      </c>
      <c r="D164" s="2709"/>
      <c r="E164" s="2709"/>
      <c r="F164" s="1911"/>
      <c r="G164" s="2709" t="s">
        <v>2412</v>
      </c>
      <c r="H164" s="2709"/>
      <c r="I164" s="2709"/>
      <c r="J164" s="1513"/>
      <c r="K164" s="1513"/>
      <c r="L164" s="1513"/>
      <c r="M164" s="1513"/>
      <c r="N164" s="1513"/>
      <c r="O164" s="1513"/>
      <c r="P164" s="1513"/>
      <c r="R164" s="1513"/>
      <c r="S164" s="1513"/>
      <c r="T164" s="1513"/>
      <c r="U164" s="1513"/>
      <c r="V164" s="1513"/>
      <c r="W164" s="1513"/>
      <c r="X164" s="1513"/>
      <c r="Y164" s="1513"/>
      <c r="Z164" s="1513"/>
      <c r="AA164" s="1513"/>
      <c r="AB164" s="1513"/>
      <c r="AD164" s="1513"/>
      <c r="AE164" s="1513"/>
      <c r="AF164" s="1513"/>
      <c r="AG164" s="1513"/>
      <c r="AH164" s="1513"/>
      <c r="AI164" s="1513"/>
      <c r="AJ164" s="1513"/>
      <c r="AK164" s="1513"/>
      <c r="AS164" s="98"/>
      <c r="BD164" s="98"/>
    </row>
    <row r="165" spans="1:57" ht="50.1" customHeight="1" x14ac:dyDescent="0.35">
      <c r="A165" s="1513"/>
      <c r="B165" s="2783"/>
      <c r="C165" s="2709" t="s">
        <v>2413</v>
      </c>
      <c r="D165" s="2709"/>
      <c r="E165" s="2709" t="s">
        <v>177</v>
      </c>
      <c r="F165" s="1911"/>
      <c r="G165" s="2709" t="s">
        <v>752</v>
      </c>
      <c r="H165" s="2709"/>
      <c r="I165" s="2709" t="s">
        <v>177</v>
      </c>
      <c r="J165" s="2735" t="s">
        <v>2414</v>
      </c>
      <c r="K165" s="2686" t="s">
        <v>2415</v>
      </c>
      <c r="L165" s="2785" t="s">
        <v>2358</v>
      </c>
      <c r="M165" s="1513"/>
      <c r="N165" s="1513"/>
      <c r="O165" s="1513"/>
      <c r="P165" s="1513"/>
      <c r="R165" s="1513"/>
      <c r="S165" s="1513"/>
      <c r="T165" s="1513"/>
      <c r="U165" s="1513"/>
      <c r="V165" s="1513"/>
      <c r="W165" s="1513"/>
      <c r="X165" s="1513"/>
      <c r="Y165" s="1513"/>
      <c r="Z165" s="1513"/>
      <c r="AA165" s="1513"/>
      <c r="AB165" s="1513"/>
      <c r="AD165" s="1513"/>
      <c r="AE165" s="1513"/>
      <c r="AF165" s="1513"/>
      <c r="AG165" s="1513"/>
      <c r="AH165" s="1513"/>
      <c r="AI165" s="1513"/>
      <c r="AJ165" s="1513"/>
      <c r="AK165" s="1513"/>
      <c r="AS165" s="98"/>
      <c r="BD165" s="98"/>
    </row>
    <row r="166" spans="1:57" ht="50.1" customHeight="1" x14ac:dyDescent="0.35">
      <c r="A166" s="1513"/>
      <c r="B166" s="2772"/>
      <c r="C166" s="1853" t="s">
        <v>59</v>
      </c>
      <c r="D166" s="1853" t="s">
        <v>756</v>
      </c>
      <c r="E166" s="2709"/>
      <c r="F166" s="1911"/>
      <c r="G166" s="1853" t="s">
        <v>59</v>
      </c>
      <c r="H166" s="1853" t="s">
        <v>756</v>
      </c>
      <c r="I166" s="2709"/>
      <c r="J166" s="2708"/>
      <c r="K166" s="2687"/>
      <c r="L166" s="2786"/>
      <c r="M166" s="1513"/>
      <c r="N166" s="1513"/>
      <c r="O166" s="1513"/>
      <c r="P166" s="1513"/>
      <c r="R166" s="1513"/>
      <c r="S166" s="1513"/>
      <c r="T166" s="1513"/>
      <c r="U166" s="1513"/>
      <c r="V166" s="1513"/>
      <c r="W166" s="1513"/>
      <c r="X166" s="1513"/>
      <c r="Y166" s="1513"/>
      <c r="Z166" s="1513"/>
      <c r="AA166" s="1513"/>
      <c r="AB166" s="1513"/>
      <c r="AD166" s="1513"/>
      <c r="AE166" s="1513"/>
      <c r="AF166" s="1513"/>
      <c r="AG166" s="1513"/>
      <c r="AH166" s="1513"/>
      <c r="AI166" s="1513"/>
      <c r="AJ166" s="1513"/>
      <c r="AK166" s="1513"/>
      <c r="AS166" s="98"/>
      <c r="BD166" s="98"/>
    </row>
    <row r="167" spans="1:57" x14ac:dyDescent="0.35">
      <c r="A167" s="1513"/>
      <c r="B167" s="185" t="s">
        <v>2416</v>
      </c>
      <c r="C167" s="1899">
        <f>+IF(AND(ISNUMBER(C168),ISNUMBER(C170)),C168+C170,"")</f>
        <v>7438508.3778534317</v>
      </c>
      <c r="D167" s="1899">
        <f>+IF(AND(ISNUMBER(D168),ISNUMBER(D170)),D168+D170,"")</f>
        <v>27469.68649346002</v>
      </c>
      <c r="E167" s="1899">
        <f>+IF(AND(ISNUMBER(E168),ISNUMBER(E170)),E168+E170,"")</f>
        <v>7377501.4360298216</v>
      </c>
      <c r="F167" s="1909"/>
      <c r="G167" s="1899" t="str">
        <f>+IF(AND(ISNUMBER(G168),ISNUMBER(G170)),G168+G170,"")</f>
        <v/>
      </c>
      <c r="H167" s="1899" t="str">
        <f>+IF(AND(ISNUMBER(H168),ISNUMBER(H170)),H168+H170,"")</f>
        <v/>
      </c>
      <c r="I167" s="1899" t="str">
        <f>+IF(AND(ISNUMBER(I168),ISNUMBER(I170)),I168+I170,"")</f>
        <v/>
      </c>
      <c r="J167" s="1856" t="str">
        <f>IFERROR(IF(OR(C167=""),"Missing input",IF(AND(C167=0,CO17=0),"NA",IF(AND(C167&lt;&gt;"",CO17&lt;&gt;"",C167&gt;0, CO17&gt;0,_xlfn.NUMBERVALUE(C167)/_xlfn.NUMBERVALUE(CO17)&gt;0.7,_xlfn.NUMBERVALUE(C167)/_xlfn.NUMBERVALUE(CO17)&lt;1.3),"Ok","Please Check"))),"Please check")</f>
        <v>Ok</v>
      </c>
      <c r="K167" s="1857"/>
      <c r="L167" s="1857"/>
      <c r="M167" s="1513"/>
      <c r="N167" s="1513"/>
      <c r="O167" s="1513"/>
      <c r="P167" s="1513"/>
      <c r="R167" s="1513"/>
      <c r="S167" s="1513"/>
      <c r="T167" s="1513"/>
      <c r="U167" s="1513"/>
      <c r="V167" s="1513"/>
      <c r="W167" s="1513"/>
      <c r="X167" s="1513"/>
      <c r="Y167" s="1513"/>
      <c r="Z167" s="1513"/>
      <c r="AA167" s="1513"/>
      <c r="AB167" s="1513"/>
      <c r="AD167" s="1513"/>
      <c r="AE167" s="1513"/>
      <c r="AF167" s="1513"/>
      <c r="AG167" s="1513"/>
      <c r="AH167" s="1513"/>
      <c r="AI167" s="1513"/>
      <c r="AJ167" s="1513"/>
      <c r="AK167" s="1513"/>
      <c r="AS167" s="98"/>
      <c r="BD167" s="98"/>
    </row>
    <row r="168" spans="1:57" x14ac:dyDescent="0.35">
      <c r="A168" s="1513"/>
      <c r="B168" s="219" t="s">
        <v>2417</v>
      </c>
      <c r="C168" s="1941">
        <v>7437525.6263453318</v>
      </c>
      <c r="D168" s="1941">
        <v>27469.68649346002</v>
      </c>
      <c r="E168" s="1941">
        <v>7376518.6845217217</v>
      </c>
      <c r="F168" s="1909"/>
      <c r="G168" s="1941"/>
      <c r="H168" s="1941"/>
      <c r="I168" s="1941"/>
      <c r="J168" s="1857"/>
      <c r="K168" s="1857"/>
      <c r="L168" s="1857"/>
      <c r="M168" s="1513"/>
      <c r="N168" s="1513"/>
      <c r="O168" s="1513"/>
      <c r="P168" s="1513"/>
      <c r="R168" s="1513"/>
      <c r="S168" s="1513"/>
      <c r="T168" s="1513"/>
      <c r="U168" s="1513"/>
      <c r="V168" s="1513"/>
      <c r="W168" s="1513"/>
      <c r="X168" s="1513"/>
      <c r="Y168" s="1513"/>
      <c r="Z168" s="1513"/>
      <c r="AA168" s="1513"/>
      <c r="AB168" s="1513"/>
      <c r="AD168" s="1513"/>
      <c r="AE168" s="1513"/>
      <c r="AF168" s="1513"/>
      <c r="AG168" s="1513"/>
      <c r="AH168" s="1513"/>
      <c r="AI168" s="1513"/>
      <c r="AJ168" s="1513"/>
      <c r="AK168" s="1513"/>
      <c r="AS168" s="98"/>
      <c r="BD168" s="98"/>
    </row>
    <row r="169" spans="1:57" x14ac:dyDescent="0.35">
      <c r="A169" s="1513"/>
      <c r="B169" s="1942" t="s">
        <v>2418</v>
      </c>
      <c r="C169" s="1941">
        <v>1713121.5908966986</v>
      </c>
      <c r="D169" s="1941">
        <v>5215.7345271999984</v>
      </c>
      <c r="E169" s="1941">
        <v>1701931.4218291687</v>
      </c>
      <c r="F169" s="1909"/>
      <c r="G169" s="1941"/>
      <c r="H169" s="1941"/>
      <c r="I169" s="1941"/>
      <c r="J169" s="1857"/>
      <c r="K169" s="1857"/>
      <c r="L169" s="1857"/>
      <c r="M169" s="1513"/>
      <c r="N169" s="1513"/>
      <c r="O169" s="1513"/>
      <c r="P169" s="1513"/>
      <c r="R169" s="1513"/>
      <c r="S169" s="1513"/>
      <c r="T169" s="1513"/>
      <c r="U169" s="1513"/>
      <c r="V169" s="1513"/>
      <c r="W169" s="1513"/>
      <c r="X169" s="1513"/>
      <c r="Y169" s="1513"/>
      <c r="Z169" s="1513"/>
      <c r="AA169" s="1513"/>
      <c r="AB169" s="1513"/>
      <c r="AD169" s="1513"/>
      <c r="AE169" s="1513"/>
      <c r="AF169" s="1513"/>
      <c r="AG169" s="1513"/>
      <c r="AH169" s="1513"/>
      <c r="AI169" s="1513"/>
      <c r="AJ169" s="1513"/>
      <c r="AK169" s="1513"/>
      <c r="AS169" s="98"/>
      <c r="BD169" s="98"/>
    </row>
    <row r="170" spans="1:57" x14ac:dyDescent="0.35">
      <c r="A170" s="1513"/>
      <c r="B170" s="219" t="s">
        <v>2419</v>
      </c>
      <c r="C170" s="1899">
        <f>+IF(AND(ISNUMBER(C171),ISNUMBER(C173)),C171+C173,"")</f>
        <v>982.75150809999991</v>
      </c>
      <c r="D170" s="1899">
        <f>+IF(AND(ISNUMBER(D171),ISNUMBER(D173)),D171+D173,"")</f>
        <v>0</v>
      </c>
      <c r="E170" s="1899">
        <f>+IF(AND(ISNUMBER(E171),ISNUMBER(E173)),E171+E173,"")</f>
        <v>982.75150809999991</v>
      </c>
      <c r="F170" s="1909"/>
      <c r="G170" s="1899" t="str">
        <f>+IF(AND(ISNUMBER(G171),ISNUMBER(G173)),G171+G173,"")</f>
        <v/>
      </c>
      <c r="H170" s="1899" t="str">
        <f>+IF(AND(ISNUMBER(H171),ISNUMBER(H173)),H171+H173,"")</f>
        <v/>
      </c>
      <c r="I170" s="1899" t="str">
        <f>+IF(AND(ISNUMBER(I171),ISNUMBER(I173)),I171+I173,"")</f>
        <v/>
      </c>
      <c r="J170" s="1857"/>
      <c r="K170" s="1857"/>
      <c r="L170" s="1857"/>
      <c r="M170" s="1513"/>
      <c r="N170" s="1513"/>
      <c r="O170" s="1513"/>
      <c r="P170" s="1513"/>
      <c r="R170" s="1513"/>
      <c r="S170" s="1513"/>
      <c r="T170" s="1513"/>
      <c r="U170" s="1513"/>
      <c r="V170" s="1513"/>
      <c r="W170" s="1513"/>
      <c r="X170" s="1513"/>
      <c r="Y170" s="1513"/>
      <c r="Z170" s="1513"/>
      <c r="AA170" s="1513"/>
      <c r="AB170" s="1513"/>
      <c r="AD170" s="1513"/>
      <c r="AE170" s="1513"/>
      <c r="AF170" s="1513"/>
      <c r="AG170" s="1513"/>
      <c r="AH170" s="1513"/>
      <c r="AI170" s="1513"/>
      <c r="AJ170" s="1513"/>
      <c r="AK170" s="1513"/>
      <c r="AS170" s="98"/>
      <c r="BD170" s="98"/>
    </row>
    <row r="171" spans="1:57" x14ac:dyDescent="0.35">
      <c r="A171" s="1513"/>
      <c r="B171" s="1943" t="s">
        <v>2420</v>
      </c>
      <c r="C171" s="1941">
        <v>0</v>
      </c>
      <c r="D171" s="1941">
        <v>0</v>
      </c>
      <c r="E171" s="1941">
        <v>0</v>
      </c>
      <c r="F171" s="1909"/>
      <c r="G171" s="1941"/>
      <c r="H171" s="1941"/>
      <c r="I171" s="1941"/>
      <c r="J171" s="1857"/>
      <c r="K171" s="1856" t="str">
        <f>IF(OR(C171="",E171=""),"Missing input",IF(C171=0,"NA",IF(AND(E171/C171&gt;0.6, E171/C171&lt;0.7),"Ok","Please Check")))</f>
        <v>NA</v>
      </c>
      <c r="L171" s="1856" t="str">
        <f>IF(OR('General Info'!$C$19="Yes",'General Info'!$D$19="Yes"),IFERROR(IF(AND(_xlfn.NUMBERVALUE(I171)/_xlfn.NUMBERVALUE(E171)&gt;0.7143,_xlfn.NUMBERVALUE(I171)/_xlfn.NUMBERVALUE(E171)&lt;=1),"Ok", "Please check"),"Please check"),"NA")</f>
        <v>NA</v>
      </c>
      <c r="M171" s="1513"/>
      <c r="N171" s="1513"/>
      <c r="O171" s="1513"/>
      <c r="P171" s="1513"/>
      <c r="R171" s="1513"/>
      <c r="S171" s="1513"/>
      <c r="T171" s="1513"/>
      <c r="U171" s="1513"/>
      <c r="V171" s="1513"/>
      <c r="W171" s="1513"/>
      <c r="X171" s="1513"/>
      <c r="Y171" s="1513"/>
      <c r="Z171" s="1513"/>
      <c r="AA171" s="1513"/>
      <c r="AB171" s="1513"/>
      <c r="AD171" s="1513"/>
      <c r="AE171" s="1513"/>
      <c r="AF171" s="1513"/>
      <c r="AG171" s="1513"/>
      <c r="AH171" s="1513"/>
      <c r="AI171" s="1513"/>
      <c r="AJ171" s="1513"/>
      <c r="AK171" s="1513"/>
      <c r="AS171" s="98"/>
      <c r="BD171" s="98"/>
    </row>
    <row r="172" spans="1:57" x14ac:dyDescent="0.35">
      <c r="A172" s="1513"/>
      <c r="B172" s="1942" t="s">
        <v>2418</v>
      </c>
      <c r="C172" s="1941">
        <v>0</v>
      </c>
      <c r="D172" s="1941">
        <v>0</v>
      </c>
      <c r="E172" s="1941">
        <v>0</v>
      </c>
      <c r="F172" s="1909"/>
      <c r="G172" s="1941"/>
      <c r="H172" s="1941"/>
      <c r="I172" s="1941"/>
      <c r="J172" s="1944"/>
      <c r="K172" s="1856" t="str">
        <f>IF(OR(C172="",E172=""),"Missing input",IF(C172=0,"NA",IF(AND(E172/C172&gt;0.6, E172/C172&lt;0.7),"Ok","Please Check")))</f>
        <v>NA</v>
      </c>
      <c r="L172" s="1856" t="str">
        <f>IF(OR('General Info'!$C$19="Yes",'General Info'!$D$19="Yes"),IFERROR(IF(AND(_xlfn.NUMBERVALUE(I172)/_xlfn.NUMBERVALUE(E172)&gt;0.7143,_xlfn.NUMBERVALUE(I172)/_xlfn.NUMBERVALUE(E172)&lt;=1),"Ok", "Please check"),"Please check"),"NA")</f>
        <v>NA</v>
      </c>
      <c r="M172" s="1513"/>
      <c r="N172" s="1513"/>
      <c r="O172" s="1513"/>
      <c r="P172" s="1513"/>
      <c r="R172" s="1513"/>
      <c r="S172" s="1513"/>
      <c r="T172" s="1513"/>
      <c r="U172" s="1513"/>
      <c r="V172" s="1513"/>
      <c r="W172" s="1513"/>
      <c r="X172" s="1513"/>
      <c r="Y172" s="1513"/>
      <c r="Z172" s="1513"/>
      <c r="AA172" s="1513"/>
      <c r="AB172" s="1513"/>
      <c r="AD172" s="1513"/>
      <c r="AE172" s="1513"/>
      <c r="AF172" s="1513"/>
      <c r="AG172" s="1513"/>
      <c r="AH172" s="1513"/>
      <c r="AI172" s="1513"/>
      <c r="AJ172" s="1513"/>
      <c r="AK172" s="1513"/>
      <c r="AS172" s="98"/>
      <c r="BD172" s="98"/>
    </row>
    <row r="173" spans="1:57" x14ac:dyDescent="0.35">
      <c r="A173" s="1513"/>
      <c r="B173" s="1943" t="s">
        <v>2421</v>
      </c>
      <c r="C173" s="1941">
        <v>982.75150809999991</v>
      </c>
      <c r="D173" s="1941">
        <v>0</v>
      </c>
      <c r="E173" s="1941">
        <v>982.75150809999991</v>
      </c>
      <c r="F173" s="1909"/>
      <c r="G173" s="1941"/>
      <c r="H173" s="1941"/>
      <c r="I173" s="1941"/>
      <c r="J173" s="1944"/>
      <c r="K173" s="1856" t="str">
        <f>IF(OR(C173="",E173=""),"Missing input",IF(C173=0,"NA",IF(AND(E173/C173&gt;0.95, E173/C173&lt;1.05),"Ok","Please Check")))</f>
        <v>Ok</v>
      </c>
      <c r="L173" s="1856" t="str">
        <f>IF(OR('General Info'!$C$19="Yes",'General Info'!$D$19="Yes"),IFERROR(IF(AND(_xlfn.NUMBERVALUE(I173)/_xlfn.NUMBERVALUE(E173)&gt;0.7143,_xlfn.NUMBERVALUE(I173)/_xlfn.NUMBERVALUE(E173)&lt;=1),"Ok", "Please check"),"Please check"),"NA")</f>
        <v>NA</v>
      </c>
      <c r="M173" s="1513"/>
      <c r="N173" s="1513"/>
      <c r="O173" s="1513"/>
      <c r="P173" s="1513"/>
      <c r="R173" s="1513"/>
      <c r="S173" s="1513"/>
      <c r="T173" s="1513"/>
      <c r="U173" s="1513"/>
      <c r="V173" s="1513"/>
      <c r="W173" s="1513"/>
      <c r="X173" s="1513"/>
      <c r="Y173" s="1513"/>
      <c r="Z173" s="1513"/>
      <c r="AA173" s="1513"/>
      <c r="AB173" s="1513"/>
      <c r="AD173" s="1513"/>
      <c r="AE173" s="1513"/>
      <c r="AF173" s="1513"/>
      <c r="AG173" s="1513"/>
      <c r="AH173" s="1513"/>
      <c r="AI173" s="1513"/>
      <c r="AJ173" s="1513"/>
      <c r="AK173" s="1513"/>
      <c r="AS173" s="98"/>
      <c r="BD173" s="98"/>
    </row>
    <row r="174" spans="1:57" x14ac:dyDescent="0.35">
      <c r="A174" s="1513"/>
      <c r="B174" s="1942" t="s">
        <v>2418</v>
      </c>
      <c r="C174" s="1941">
        <v>0</v>
      </c>
      <c r="D174" s="1941">
        <v>0</v>
      </c>
      <c r="E174" s="1941">
        <v>0</v>
      </c>
      <c r="F174" s="1909"/>
      <c r="G174" s="1941"/>
      <c r="H174" s="1941"/>
      <c r="I174" s="1941"/>
      <c r="J174" s="1944"/>
      <c r="K174" s="1856" t="str">
        <f>IF(OR(C174="",E174=""),"Missing input",IF(C174=0,"NA",IF(AND(E174/C174&gt;0.95, E174/C174&lt;1.05),"Ok","Please Check")))</f>
        <v>NA</v>
      </c>
      <c r="L174" s="1856" t="str">
        <f>IF(OR('General Info'!$C$19="Yes",'General Info'!$D$19="Yes"),IFERROR(IF(AND(_xlfn.NUMBERVALUE(I174)/_xlfn.NUMBERVALUE(E174)&gt;0.7143,_xlfn.NUMBERVALUE(I174)/_xlfn.NUMBERVALUE(E174)&lt;=1),"Ok", "Please check"),"Please check"),"NA")</f>
        <v>NA</v>
      </c>
      <c r="M174" s="1513"/>
      <c r="N174" s="1513"/>
      <c r="O174" s="1513"/>
      <c r="P174" s="1513"/>
      <c r="R174" s="1513"/>
      <c r="S174" s="1513"/>
      <c r="T174" s="1513"/>
      <c r="U174" s="1513"/>
      <c r="V174" s="1513"/>
      <c r="W174" s="1513"/>
      <c r="X174" s="1513"/>
      <c r="Y174" s="1513"/>
      <c r="Z174" s="1513"/>
      <c r="AA174" s="1513"/>
      <c r="AB174" s="1513"/>
      <c r="AD174" s="1513"/>
      <c r="AE174" s="1513"/>
      <c r="AF174" s="1513"/>
      <c r="AG174" s="1513"/>
      <c r="AH174" s="1513"/>
      <c r="AI174" s="1513"/>
      <c r="AJ174" s="1513"/>
      <c r="AK174" s="1513"/>
      <c r="AS174" s="98"/>
      <c r="BD174" s="98"/>
    </row>
    <row r="175" spans="1:57" x14ac:dyDescent="0.35">
      <c r="A175" s="1513"/>
      <c r="B175" s="185" t="s">
        <v>2422</v>
      </c>
      <c r="C175" s="1899">
        <f>+IF(AND(ISNUMBER(C176),ISNUMBER(C178)),C176+C178,"")</f>
        <v>7345162.4429045841</v>
      </c>
      <c r="D175" s="1899">
        <f>+IF(AND(ISNUMBER(D176),ISNUMBER(D178)),D176+D178,"")</f>
        <v>18809.958528900017</v>
      </c>
      <c r="E175" s="1899">
        <f>+IF(AND(ISNUMBER(E176),ISNUMBER(E178)),E176+E178,"")</f>
        <v>7178565.0804836834</v>
      </c>
      <c r="F175" s="1909"/>
      <c r="G175" s="1899" t="str">
        <f>+IF(AND(ISNUMBER(G176),ISNUMBER(G178)),G176+G178,"")</f>
        <v/>
      </c>
      <c r="H175" s="1899" t="str">
        <f>+IF(AND(ISNUMBER(H176),ISNUMBER(H178)),H176+H178,"")</f>
        <v/>
      </c>
      <c r="I175" s="1899" t="str">
        <f>+IF(AND(ISNUMBER(I176),ISNUMBER(I178)),I176+I178,"")</f>
        <v/>
      </c>
      <c r="J175" s="1856" t="str">
        <f>IFERROR(IF(OR(C175=""),"Missing input",IF(AND(C175=0,CO36=0),"NA",IF(AND(C175&lt;&gt;"",CO36&lt;&gt;"",C175&gt;0, CO36&gt;0,_xlfn.NUMBERVALUE(C175)/_xlfn.NUMBERVALUE(CO36)&gt;0.7,_xlfn.NUMBERVALUE(C175)/_xlfn.NUMBERVALUE(CO36)&lt;1.3),"Ok","Please Check"))),"Please check")</f>
        <v>Ok</v>
      </c>
      <c r="K175" s="1857"/>
      <c r="L175" s="1857"/>
      <c r="M175" s="1513"/>
      <c r="N175" s="1513"/>
      <c r="O175" s="1513"/>
      <c r="P175" s="1513"/>
      <c r="R175" s="1513"/>
      <c r="S175" s="1513"/>
      <c r="T175" s="1513"/>
      <c r="U175" s="1513"/>
      <c r="V175" s="1513"/>
      <c r="W175" s="1513"/>
      <c r="X175" s="1513"/>
      <c r="Y175" s="1513"/>
      <c r="Z175" s="1513"/>
      <c r="AA175" s="1513"/>
      <c r="AB175" s="1513"/>
      <c r="AD175" s="1513"/>
      <c r="AE175" s="1513"/>
      <c r="AF175" s="1513"/>
      <c r="AG175" s="1513"/>
      <c r="AH175" s="1513"/>
      <c r="AI175" s="1513"/>
      <c r="AJ175" s="1513"/>
      <c r="AK175" s="1513"/>
      <c r="AS175" s="98"/>
      <c r="BD175" s="98"/>
    </row>
    <row r="176" spans="1:57" x14ac:dyDescent="0.35">
      <c r="A176" s="1513"/>
      <c r="B176" s="219" t="s">
        <v>2423</v>
      </c>
      <c r="C176" s="1941">
        <v>7335483.9436199637</v>
      </c>
      <c r="D176" s="1941">
        <v>18809.958528900017</v>
      </c>
      <c r="E176" s="1941">
        <v>7169268.9215805037</v>
      </c>
      <c r="F176" s="1909"/>
      <c r="G176" s="1941"/>
      <c r="H176" s="1941"/>
      <c r="I176" s="1941"/>
      <c r="J176" s="1857"/>
      <c r="K176" s="1857"/>
      <c r="L176" s="1857"/>
      <c r="M176" s="1513"/>
      <c r="N176" s="1513"/>
      <c r="O176" s="1513"/>
      <c r="P176" s="1513"/>
      <c r="R176" s="1513"/>
      <c r="S176" s="1513"/>
      <c r="T176" s="1513"/>
      <c r="U176" s="1513"/>
      <c r="V176" s="1513"/>
      <c r="W176" s="1513"/>
      <c r="X176" s="1513"/>
      <c r="Y176" s="1513"/>
      <c r="Z176" s="1513"/>
      <c r="AA176" s="1513"/>
      <c r="AB176" s="1513"/>
      <c r="AD176" s="1513"/>
      <c r="AE176" s="1513"/>
      <c r="AF176" s="1513"/>
      <c r="AG176" s="1513"/>
      <c r="AH176" s="1513"/>
      <c r="AI176" s="1513"/>
      <c r="AJ176" s="1513"/>
      <c r="AK176" s="1513"/>
      <c r="AS176" s="98"/>
      <c r="BD176" s="98"/>
    </row>
    <row r="177" spans="1:56" x14ac:dyDescent="0.35">
      <c r="A177" s="1513"/>
      <c r="B177" s="407" t="s">
        <v>2424</v>
      </c>
      <c r="C177" s="1941">
        <v>7236668.0258824639</v>
      </c>
      <c r="D177" s="1941">
        <v>18809.958528900017</v>
      </c>
      <c r="E177" s="1941">
        <v>7169399.2025602031</v>
      </c>
      <c r="F177" s="1909"/>
      <c r="G177" s="1941"/>
      <c r="H177" s="1941"/>
      <c r="I177" s="1941"/>
      <c r="J177" s="1857"/>
      <c r="K177" s="1857"/>
      <c r="L177" s="1857"/>
      <c r="M177" s="1513"/>
      <c r="N177" s="1513"/>
      <c r="O177" s="1513"/>
      <c r="P177" s="1513"/>
      <c r="R177" s="1513"/>
      <c r="S177" s="1513"/>
      <c r="T177" s="1513"/>
      <c r="U177" s="1513"/>
      <c r="V177" s="1513"/>
      <c r="W177" s="1513"/>
      <c r="X177" s="1513"/>
      <c r="Y177" s="1513"/>
      <c r="Z177" s="1513"/>
      <c r="AA177" s="1513"/>
      <c r="AB177" s="1513"/>
      <c r="AD177" s="1513"/>
      <c r="AE177" s="1513"/>
      <c r="AF177" s="1513"/>
      <c r="AG177" s="1513"/>
      <c r="AH177" s="1513"/>
      <c r="AI177" s="1513"/>
      <c r="AJ177" s="1513"/>
      <c r="AK177" s="1513"/>
      <c r="AS177" s="98"/>
      <c r="BD177" s="98"/>
    </row>
    <row r="178" spans="1:56" x14ac:dyDescent="0.35">
      <c r="A178" s="1513"/>
      <c r="B178" s="219" t="s">
        <v>2425</v>
      </c>
      <c r="C178" s="1899">
        <f>+IF(AND(ISNUMBER(C179),ISNUMBER(C181)),C179+C181,"")</f>
        <v>9678.4992846200021</v>
      </c>
      <c r="D178" s="1899">
        <f>+IF(AND(ISNUMBER(D179),ISNUMBER(D181)),D179+D181,"")</f>
        <v>0</v>
      </c>
      <c r="E178" s="1899">
        <f>+IF(AND(ISNUMBER(E179),ISNUMBER(E181)),E179+E181,"")</f>
        <v>9296.1589031800031</v>
      </c>
      <c r="F178" s="1909"/>
      <c r="G178" s="1899" t="str">
        <f>+IF(AND(ISNUMBER(G179),ISNUMBER(G181)),G179+G181,"")</f>
        <v/>
      </c>
      <c r="H178" s="1899" t="str">
        <f>+IF(AND(ISNUMBER(H179),ISNUMBER(H181)),H179+H181,"")</f>
        <v/>
      </c>
      <c r="I178" s="1899" t="str">
        <f>+IF(AND(ISNUMBER(I179),ISNUMBER(I181)),I179+I181,"")</f>
        <v/>
      </c>
      <c r="J178" s="1857"/>
      <c r="K178" s="1857"/>
      <c r="L178" s="1857"/>
      <c r="M178" s="1513"/>
      <c r="N178" s="1513"/>
      <c r="O178" s="1513"/>
      <c r="P178" s="1513"/>
      <c r="R178" s="1513"/>
      <c r="S178" s="1513"/>
      <c r="T178" s="1513"/>
      <c r="U178" s="1513"/>
      <c r="V178" s="1513"/>
      <c r="W178" s="1513"/>
      <c r="X178" s="1513"/>
      <c r="Y178" s="1513"/>
      <c r="Z178" s="1513"/>
      <c r="AA178" s="1513"/>
      <c r="AB178" s="1513"/>
      <c r="AD178" s="1513"/>
      <c r="AE178" s="1513"/>
      <c r="AF178" s="1513"/>
      <c r="AG178" s="1513"/>
      <c r="AH178" s="1513"/>
      <c r="AI178" s="1513"/>
      <c r="AJ178" s="1513"/>
      <c r="AK178" s="1513"/>
      <c r="AS178" s="98"/>
      <c r="BD178" s="98"/>
    </row>
    <row r="179" spans="1:56" x14ac:dyDescent="0.35">
      <c r="A179" s="1513"/>
      <c r="B179" s="1943" t="s">
        <v>2420</v>
      </c>
      <c r="C179" s="1941">
        <v>0</v>
      </c>
      <c r="D179" s="1941">
        <v>0</v>
      </c>
      <c r="E179" s="1941">
        <v>0</v>
      </c>
      <c r="F179" s="1909"/>
      <c r="G179" s="1941"/>
      <c r="H179" s="1941"/>
      <c r="I179" s="1941"/>
      <c r="J179" s="1857"/>
      <c r="K179" s="1856" t="str">
        <f>IF(OR(C179="",E179=""),"Missing input",IF(C179=0,"NA",IF(AND(E179/C179&gt;0.6, E179/C179&lt;0.7),"Ok","Please Check")))</f>
        <v>NA</v>
      </c>
      <c r="L179" s="1856" t="str">
        <f>IF(OR('General Info'!$C$19="Yes",'General Info'!$D$19="Yes"),IFERROR(IF(AND(_xlfn.NUMBERVALUE(I179)/_xlfn.NUMBERVALUE(E179)&gt;0.7143,_xlfn.NUMBERVALUE(I179)/_xlfn.NUMBERVALUE(E179)&lt;=1),"Ok", "Please check"),"Please check"),"NA")</f>
        <v>NA</v>
      </c>
      <c r="M179" s="1513"/>
      <c r="N179" s="1513"/>
      <c r="O179" s="1513"/>
      <c r="P179" s="1513"/>
      <c r="R179" s="1513"/>
      <c r="S179" s="1513"/>
      <c r="T179" s="1513"/>
      <c r="U179" s="1513"/>
      <c r="V179" s="1513"/>
      <c r="W179" s="1513"/>
      <c r="X179" s="1513"/>
      <c r="Y179" s="1513"/>
      <c r="Z179" s="1513"/>
      <c r="AA179" s="1513"/>
      <c r="AB179" s="1513"/>
      <c r="AD179" s="1513"/>
      <c r="AE179" s="1513"/>
      <c r="AF179" s="1513"/>
      <c r="AG179" s="1513"/>
      <c r="AH179" s="1513"/>
      <c r="AI179" s="1513"/>
      <c r="AJ179" s="1513"/>
      <c r="AK179" s="1513"/>
      <c r="AS179" s="98"/>
      <c r="BD179" s="98"/>
    </row>
    <row r="180" spans="1:56" x14ac:dyDescent="0.35">
      <c r="A180" s="1513"/>
      <c r="B180" s="408" t="s">
        <v>2424</v>
      </c>
      <c r="C180" s="1941">
        <v>0</v>
      </c>
      <c r="D180" s="1941">
        <v>0</v>
      </c>
      <c r="E180" s="1941">
        <v>0</v>
      </c>
      <c r="F180" s="1909"/>
      <c r="G180" s="1941"/>
      <c r="H180" s="1941"/>
      <c r="I180" s="1941"/>
      <c r="J180" s="1857"/>
      <c r="K180" s="1856" t="str">
        <f>IF(OR(C180="",E180=""),"Missing input",IF(C180=0,"NA",IF(AND(E180/C180&gt;0.6, E180/C180&lt;0.7),"Ok","Please Check")))</f>
        <v>NA</v>
      </c>
      <c r="L180" s="1857"/>
      <c r="M180" s="1513"/>
      <c r="N180" s="1513"/>
      <c r="O180" s="1513"/>
      <c r="P180" s="1513"/>
      <c r="R180" s="1513"/>
      <c r="S180" s="1513"/>
      <c r="T180" s="1513"/>
      <c r="U180" s="1513"/>
      <c r="V180" s="1513"/>
      <c r="W180" s="1513"/>
      <c r="X180" s="1513"/>
      <c r="Y180" s="1513"/>
      <c r="Z180" s="1513"/>
      <c r="AA180" s="1513"/>
      <c r="AB180" s="1513"/>
      <c r="AD180" s="1513"/>
      <c r="AE180" s="1513"/>
      <c r="AF180" s="1513"/>
      <c r="AG180" s="1513"/>
      <c r="AH180" s="1513"/>
      <c r="AI180" s="1513"/>
      <c r="AJ180" s="1513"/>
      <c r="AK180" s="1513"/>
      <c r="AS180" s="98"/>
      <c r="BD180" s="98"/>
    </row>
    <row r="181" spans="1:56" x14ac:dyDescent="0.35">
      <c r="A181" s="1513"/>
      <c r="B181" s="1943" t="s">
        <v>2421</v>
      </c>
      <c r="C181" s="1941">
        <v>9678.4992846200021</v>
      </c>
      <c r="D181" s="1941">
        <v>0</v>
      </c>
      <c r="E181" s="1941">
        <v>9296.1589031800031</v>
      </c>
      <c r="F181" s="1909"/>
      <c r="G181" s="1941"/>
      <c r="H181" s="1941"/>
      <c r="I181" s="1941"/>
      <c r="J181" s="1857"/>
      <c r="K181" s="1856" t="str">
        <f>IF(OR(C181="",E181=""),"Missing input",IF(C181=0,"NA",IF(AND(E181/C181&gt;0.95, E181/C181&lt;1.05),"Ok","Please Check")))</f>
        <v>Ok</v>
      </c>
      <c r="L181" s="1856" t="str">
        <f>IF(OR('General Info'!$C$19="Yes",'General Info'!$D$19="Yes"),IFERROR(IF(AND(_xlfn.NUMBERVALUE(I181)/_xlfn.NUMBERVALUE(E181)&gt;0.7143,_xlfn.NUMBERVALUE(I181)/_xlfn.NUMBERVALUE(E181)&lt;=1),"Ok", "Please check"),"Please check"),"NA")</f>
        <v>NA</v>
      </c>
      <c r="M181" s="1513"/>
      <c r="N181" s="1513"/>
      <c r="O181" s="1513"/>
      <c r="P181" s="1513"/>
      <c r="R181" s="1513"/>
      <c r="S181" s="1513"/>
      <c r="T181" s="1513"/>
      <c r="U181" s="1513"/>
      <c r="V181" s="1513"/>
      <c r="W181" s="1513"/>
      <c r="X181" s="1513"/>
      <c r="Y181" s="1513"/>
      <c r="Z181" s="1513"/>
      <c r="AA181" s="1513"/>
      <c r="AB181" s="1513"/>
      <c r="AD181" s="1513"/>
      <c r="AE181" s="1513"/>
      <c r="AF181" s="1513"/>
      <c r="AG181" s="1513"/>
      <c r="AH181" s="1513"/>
      <c r="AI181" s="1513"/>
      <c r="AJ181" s="1513"/>
      <c r="AK181" s="1513"/>
      <c r="AS181" s="98"/>
      <c r="BD181" s="98"/>
    </row>
    <row r="182" spans="1:56" x14ac:dyDescent="0.35">
      <c r="A182" s="1513"/>
      <c r="B182" s="408" t="s">
        <v>2424</v>
      </c>
      <c r="C182" s="1941">
        <v>9548.218304920003</v>
      </c>
      <c r="D182" s="1941">
        <v>0</v>
      </c>
      <c r="E182" s="1941">
        <v>9165.877923480004</v>
      </c>
      <c r="F182" s="1909"/>
      <c r="G182" s="1941"/>
      <c r="H182" s="1941"/>
      <c r="I182" s="1941"/>
      <c r="J182" s="1857"/>
      <c r="K182" s="1856" t="str">
        <f>IF(OR(C182="",E182=""),"Missing input",IF(C182=0,"NA",IF(AND(E182/C182&gt;0.95, E182/C182&lt;1.05),"Ok","Please Check")))</f>
        <v>Ok</v>
      </c>
      <c r="L182" s="1857"/>
      <c r="M182" s="1513"/>
      <c r="N182" s="1513"/>
      <c r="O182" s="1513"/>
      <c r="P182" s="1513"/>
      <c r="R182" s="1513"/>
      <c r="S182" s="1513"/>
      <c r="T182" s="1513"/>
      <c r="U182" s="1513"/>
      <c r="V182" s="1513"/>
      <c r="W182" s="1513"/>
      <c r="X182" s="1513"/>
      <c r="Y182" s="1513"/>
      <c r="Z182" s="1513"/>
      <c r="AA182" s="1513"/>
      <c r="AB182" s="1513"/>
      <c r="AD182" s="1513"/>
      <c r="AE182" s="1513"/>
      <c r="AF182" s="1513"/>
      <c r="AG182" s="1513"/>
      <c r="AH182" s="1513"/>
      <c r="AI182" s="1513"/>
      <c r="AJ182" s="1513"/>
      <c r="AK182" s="1513"/>
      <c r="AS182" s="98"/>
      <c r="BD182" s="98"/>
    </row>
    <row r="183" spans="1:56" x14ac:dyDescent="0.35">
      <c r="A183" s="1513"/>
      <c r="B183" s="1513"/>
      <c r="C183" s="1513"/>
      <c r="D183" s="1513"/>
      <c r="E183" s="1513"/>
      <c r="F183" s="1513"/>
      <c r="G183" s="1513"/>
      <c r="H183" s="1513"/>
      <c r="I183" s="1513"/>
      <c r="J183" s="1513"/>
      <c r="K183" s="1513"/>
      <c r="L183" s="1513"/>
      <c r="M183" s="1513"/>
      <c r="N183" s="1513"/>
      <c r="O183" s="1513"/>
      <c r="P183" s="1513"/>
      <c r="R183" s="1513"/>
      <c r="S183" s="1513"/>
      <c r="T183" s="1513"/>
      <c r="U183" s="1513"/>
      <c r="V183" s="1513"/>
      <c r="W183" s="1513"/>
      <c r="X183" s="1513"/>
      <c r="Y183" s="1513"/>
      <c r="Z183" s="1513"/>
      <c r="AA183" s="1513"/>
      <c r="AB183" s="1513"/>
      <c r="AD183" s="1513"/>
      <c r="AE183" s="1513"/>
      <c r="AF183" s="1513"/>
      <c r="AG183" s="1513"/>
      <c r="AH183" s="1513"/>
      <c r="AI183" s="1513"/>
      <c r="AJ183" s="1513"/>
      <c r="AK183" s="1513"/>
      <c r="AS183" s="98"/>
      <c r="BD183" s="98"/>
    </row>
    <row r="184" spans="1:56" ht="50.1" customHeight="1" x14ac:dyDescent="0.35">
      <c r="A184" s="1885" t="s">
        <v>2426</v>
      </c>
      <c r="B184" s="1513"/>
      <c r="C184" s="1513"/>
      <c r="D184" s="1513"/>
      <c r="E184" s="1513"/>
      <c r="F184" s="1909"/>
      <c r="G184" s="1513"/>
      <c r="H184" s="1513"/>
      <c r="I184" s="1513"/>
      <c r="J184" s="1513"/>
      <c r="K184" s="1513"/>
      <c r="L184" s="1513"/>
      <c r="M184" s="1513"/>
      <c r="N184" s="1513"/>
      <c r="O184" s="1513"/>
      <c r="P184" s="1513"/>
      <c r="R184" s="1513"/>
      <c r="S184" s="1513"/>
      <c r="T184" s="1513"/>
      <c r="U184" s="1513"/>
      <c r="V184" s="1513"/>
      <c r="W184" s="1513"/>
      <c r="X184" s="1513"/>
      <c r="Y184" s="1513"/>
      <c r="Z184" s="1945"/>
      <c r="AA184" s="1945"/>
      <c r="AB184" s="1513"/>
      <c r="AD184" s="1850"/>
      <c r="AE184" s="1513"/>
      <c r="AF184" s="1513"/>
      <c r="AG184" s="1513"/>
      <c r="AH184" s="1513"/>
      <c r="AI184" s="1513"/>
      <c r="AJ184" s="1513"/>
      <c r="AK184" s="1513"/>
      <c r="AS184" s="98"/>
      <c r="BD184" s="98"/>
    </row>
    <row r="185" spans="1:56" ht="63" customHeight="1" x14ac:dyDescent="0.35">
      <c r="A185" s="1946"/>
      <c r="B185" s="2770" t="s">
        <v>2382</v>
      </c>
      <c r="C185" s="2730" t="s">
        <v>735</v>
      </c>
      <c r="D185" s="2730"/>
      <c r="E185" s="2731" t="s">
        <v>2349</v>
      </c>
      <c r="F185" s="2731"/>
      <c r="G185" s="2731"/>
      <c r="H185" s="2732" t="s">
        <v>2427</v>
      </c>
      <c r="I185" s="2732"/>
      <c r="J185" s="2732"/>
      <c r="K185" s="2778" t="s">
        <v>860</v>
      </c>
      <c r="L185" s="2778"/>
      <c r="M185" s="2778"/>
      <c r="N185" s="1513"/>
      <c r="O185" s="1513"/>
      <c r="P185" s="1513"/>
      <c r="R185" s="1513"/>
      <c r="S185" s="1850"/>
      <c r="T185" s="1513"/>
      <c r="U185" s="1513"/>
      <c r="V185" s="1513"/>
      <c r="W185" s="1513"/>
      <c r="X185" s="1513"/>
      <c r="Y185" s="1945"/>
      <c r="Z185" s="1945"/>
      <c r="AA185" s="1513"/>
      <c r="AB185" s="1850"/>
      <c r="AD185" s="1513"/>
      <c r="AE185" s="1513"/>
      <c r="AF185" s="1513"/>
      <c r="AG185" s="1513"/>
      <c r="AH185" s="1513"/>
      <c r="AI185" s="1513"/>
      <c r="AJ185" s="1513"/>
      <c r="AK185" s="1513"/>
      <c r="AS185" s="98"/>
      <c r="BD185" s="98"/>
    </row>
    <row r="186" spans="1:56" ht="109.5" customHeight="1" x14ac:dyDescent="0.35">
      <c r="A186" s="1946"/>
      <c r="B186" s="2783"/>
      <c r="C186" s="2709" t="s">
        <v>1012</v>
      </c>
      <c r="D186" s="2709" t="s">
        <v>2315</v>
      </c>
      <c r="E186" s="2709" t="s">
        <v>1012</v>
      </c>
      <c r="F186" s="1911"/>
      <c r="G186" s="2709" t="s">
        <v>2428</v>
      </c>
      <c r="H186" s="2709" t="s">
        <v>2429</v>
      </c>
      <c r="I186" s="2709"/>
      <c r="J186" s="2709"/>
      <c r="K186" s="2709" t="s">
        <v>2430</v>
      </c>
      <c r="L186" s="2709"/>
      <c r="M186" s="2709"/>
      <c r="N186" s="1513"/>
      <c r="O186" s="1513"/>
      <c r="P186" s="1513"/>
      <c r="R186" s="1513"/>
      <c r="S186" s="1513"/>
      <c r="T186" s="1513"/>
      <c r="U186" s="1513"/>
      <c r="V186" s="1513"/>
      <c r="W186" s="1513"/>
      <c r="X186" s="1513"/>
      <c r="Y186" s="1945"/>
      <c r="Z186" s="1945"/>
      <c r="AA186" s="1513"/>
      <c r="AB186" s="1850"/>
      <c r="AD186" s="1513"/>
      <c r="AE186" s="1513"/>
      <c r="AF186" s="1513"/>
      <c r="AG186" s="1513"/>
      <c r="AH186" s="1513"/>
      <c r="AI186" s="1513"/>
      <c r="AJ186" s="1513"/>
      <c r="AK186" s="1513"/>
      <c r="AS186" s="98"/>
      <c r="BD186" s="98"/>
    </row>
    <row r="187" spans="1:56" ht="50.1" customHeight="1" x14ac:dyDescent="0.35">
      <c r="A187" s="1946"/>
      <c r="B187" s="2783"/>
      <c r="C187" s="2709"/>
      <c r="D187" s="2709"/>
      <c r="E187" s="2709"/>
      <c r="F187" s="1911"/>
      <c r="G187" s="2709"/>
      <c r="H187" s="2709" t="s">
        <v>1012</v>
      </c>
      <c r="I187" s="2709"/>
      <c r="J187" s="2709" t="s">
        <v>2315</v>
      </c>
      <c r="K187" s="2709" t="s">
        <v>752</v>
      </c>
      <c r="L187" s="2709"/>
      <c r="M187" s="2726" t="s">
        <v>877</v>
      </c>
      <c r="N187" s="2735" t="s">
        <v>2354</v>
      </c>
      <c r="O187" s="2686" t="s">
        <v>2355</v>
      </c>
      <c r="P187" s="2686" t="s">
        <v>2356</v>
      </c>
      <c r="R187" s="2686" t="s">
        <v>2357</v>
      </c>
      <c r="S187" s="2785" t="s">
        <v>2358</v>
      </c>
      <c r="T187" s="1513"/>
      <c r="U187" s="1513"/>
      <c r="V187" s="1513"/>
      <c r="W187" s="1513"/>
      <c r="X187" s="1513"/>
      <c r="Y187" s="1945"/>
      <c r="Z187" s="1945"/>
      <c r="AA187" s="1513"/>
      <c r="AB187" s="1850"/>
      <c r="AD187" s="1513"/>
      <c r="AE187" s="1513"/>
      <c r="AF187" s="1513"/>
      <c r="AG187" s="1513"/>
      <c r="AH187" s="1513"/>
      <c r="AI187" s="1513"/>
      <c r="AJ187" s="1513"/>
      <c r="AK187" s="1513"/>
      <c r="AS187" s="98"/>
      <c r="BD187" s="98"/>
    </row>
    <row r="188" spans="1:56" ht="50.1" customHeight="1" x14ac:dyDescent="0.35">
      <c r="A188" s="1885"/>
      <c r="B188" s="2772"/>
      <c r="C188" s="2709"/>
      <c r="D188" s="2709"/>
      <c r="E188" s="2709"/>
      <c r="F188" s="1911"/>
      <c r="G188" s="2709"/>
      <c r="H188" s="1967" t="s">
        <v>59</v>
      </c>
      <c r="I188" s="1967" t="s">
        <v>756</v>
      </c>
      <c r="J188" s="2709"/>
      <c r="K188" s="1967" t="s">
        <v>59</v>
      </c>
      <c r="L188" s="1968" t="s">
        <v>756</v>
      </c>
      <c r="M188" s="2726"/>
      <c r="N188" s="2708"/>
      <c r="O188" s="2687"/>
      <c r="P188" s="2687"/>
      <c r="R188" s="2687"/>
      <c r="S188" s="2786"/>
      <c r="T188" s="1513"/>
      <c r="U188" s="1513"/>
      <c r="V188" s="1513"/>
      <c r="W188" s="1513"/>
      <c r="X188" s="1513"/>
      <c r="Y188" s="1947"/>
      <c r="Z188" s="1947"/>
      <c r="AA188" s="1513"/>
      <c r="AB188" s="1850"/>
      <c r="AD188" s="1513"/>
      <c r="AE188" s="1513"/>
      <c r="AF188" s="1513"/>
      <c r="AG188" s="1513"/>
      <c r="AH188" s="1513"/>
      <c r="AI188" s="1513"/>
      <c r="AJ188" s="1513" t="s">
        <v>882</v>
      </c>
      <c r="AK188" s="1513"/>
      <c r="AS188" s="98"/>
      <c r="BD188" s="98"/>
    </row>
    <row r="189" spans="1:56" ht="19.8" x14ac:dyDescent="0.35">
      <c r="A189" s="1885"/>
      <c r="B189" s="1948" t="s">
        <v>808</v>
      </c>
      <c r="C189" s="1899">
        <f>IF(AND(ISNUMBER(C190),ISNUMBER(C191), ISNUMBER(C192)), C190+C191+C192, "")</f>
        <v>234924.02600000001</v>
      </c>
      <c r="D189" s="1899">
        <f>IF(AND(ISNUMBER(D190),ISNUMBER(D191), ISNUMBER(D192)), D190+D191+D192, "")</f>
        <v>826638.96799999999</v>
      </c>
      <c r="E189" s="1899">
        <f>IF(AND(ISNUMBER(E190),ISNUMBER(E191), ISNUMBER(E192)), E190+E191+E192, "")</f>
        <v>234924.02600000001</v>
      </c>
      <c r="F189" s="1909"/>
      <c r="G189" s="1899">
        <f>IF(AND(ISNUMBER(G190),ISNUMBER(G191), ISNUMBER(G192)), G190+G191+G192, "")</f>
        <v>587310.06500000006</v>
      </c>
      <c r="H189" s="1899">
        <f>IF(AND(ISNUMBER(H190),ISNUMBER(H191), ISNUMBER(H192)), H190+H191+H192, "")</f>
        <v>234924.02600000001</v>
      </c>
      <c r="I189" s="1899">
        <f>IF(AND(ISNUMBER(I190),ISNUMBER(I191), ISNUMBER(I192)), I190+I191+I192, "")</f>
        <v>0</v>
      </c>
      <c r="J189" s="1899">
        <f>IF(AND(ISNUMBER(J190),ISNUMBER(J191), ISNUMBER(J192)), J190+J191+J192, "")</f>
        <v>587310.06500000006</v>
      </c>
      <c r="K189" s="1899" t="str">
        <f>IF(AND(ISNUMBER(H189),ISNUMBER(I189),ISNUMBER(L189)),H189-I189+L189,"")</f>
        <v/>
      </c>
      <c r="L189" s="1899" t="str">
        <f>IF(AND(ISNUMBER(L190),ISNUMBER(L191), ISNUMBER(L192)), L190+L191+L192, "")</f>
        <v/>
      </c>
      <c r="M189" s="1899" t="str">
        <f>IF(AND(ISNUMBER(M190),ISNUMBER(M191), ISNUMBER(M192)), M190+M191+M192, "")</f>
        <v/>
      </c>
      <c r="N189" s="1857"/>
      <c r="O189" s="1857"/>
      <c r="P189" s="1857"/>
      <c r="R189" s="1857"/>
      <c r="S189" s="1857"/>
      <c r="T189" s="1513"/>
      <c r="U189" s="1513"/>
      <c r="V189" s="1513"/>
      <c r="W189" s="1513"/>
      <c r="X189" s="1513"/>
      <c r="Y189" s="1947"/>
      <c r="Z189" s="1947"/>
      <c r="AA189" s="1513"/>
      <c r="AB189" s="1850"/>
      <c r="AD189" s="1513"/>
      <c r="AE189" s="1513"/>
      <c r="AF189" s="1513"/>
      <c r="AG189" s="1513"/>
      <c r="AH189" s="1513"/>
      <c r="AI189" s="1513"/>
      <c r="AJ189" s="1513"/>
      <c r="AK189" s="1513"/>
      <c r="AS189" s="98"/>
      <c r="BD189" s="98"/>
    </row>
    <row r="190" spans="1:56" ht="19.8" x14ac:dyDescent="0.35">
      <c r="A190" s="1885"/>
      <c r="B190" s="1949" t="s">
        <v>2359</v>
      </c>
      <c r="C190" s="1899">
        <f>IF(ISNUMBER(H52), H52, "")</f>
        <v>0</v>
      </c>
      <c r="D190" s="1899">
        <f>IF(ISNUMBER(L52), L52, "")</f>
        <v>0</v>
      </c>
      <c r="E190" s="1899">
        <f>IF(ISNUMBER(CE52), CE52, "")</f>
        <v>0</v>
      </c>
      <c r="F190" s="1909"/>
      <c r="G190" s="1899">
        <f>IF(ISNUMBER(CI52), CI52, "")</f>
        <v>0</v>
      </c>
      <c r="H190" s="1899">
        <f t="shared" ref="H190:J191" si="408">IF(ISNUMBER(CO52), CO52, "")</f>
        <v>0</v>
      </c>
      <c r="I190" s="1899">
        <f t="shared" si="408"/>
        <v>0</v>
      </c>
      <c r="J190" s="1899">
        <f t="shared" si="408"/>
        <v>0</v>
      </c>
      <c r="K190" s="1899">
        <f t="shared" ref="K190:K199" si="409">IF(AND(ISNUMBER(H190),ISNUMBER(I190),ISNUMBER(L190)),H190-I190+L190,"")</f>
        <v>0</v>
      </c>
      <c r="L190" s="1899">
        <f>IF(ISNUMBER(CU52), CU52, "")</f>
        <v>0</v>
      </c>
      <c r="M190" s="1899">
        <f>IF(ISNUMBER(CV52), CV52, "")</f>
        <v>0</v>
      </c>
      <c r="N190" s="1857"/>
      <c r="O190" s="1857"/>
      <c r="P190" s="1857"/>
      <c r="R190" s="1857"/>
      <c r="S190" s="1857"/>
      <c r="T190" s="1513"/>
      <c r="U190" s="1513"/>
      <c r="V190" s="1513"/>
      <c r="W190" s="1513"/>
      <c r="X190" s="1513"/>
      <c r="Y190" s="1947"/>
      <c r="Z190" s="1947"/>
      <c r="AA190" s="1513"/>
      <c r="AB190" s="1850"/>
      <c r="AD190" s="1513"/>
      <c r="AE190" s="1513"/>
      <c r="AF190" s="1513"/>
      <c r="AG190" s="1513"/>
      <c r="AH190" s="1513"/>
      <c r="AI190" s="1513"/>
      <c r="AJ190" s="1513"/>
      <c r="AK190" s="1513"/>
      <c r="AS190" s="98"/>
      <c r="BD190" s="98"/>
    </row>
    <row r="191" spans="1:56" ht="19.8" x14ac:dyDescent="0.35">
      <c r="A191" s="1885"/>
      <c r="B191" s="1950" t="s">
        <v>2360</v>
      </c>
      <c r="C191" s="1899">
        <f>IF(ISNUMBER(H53), H53, "")</f>
        <v>0</v>
      </c>
      <c r="D191" s="1899">
        <f>IF(ISNUMBER(L53), L53, "")</f>
        <v>0</v>
      </c>
      <c r="E191" s="1899">
        <f>IF(ISNUMBER(CE53), CE53, "")</f>
        <v>0</v>
      </c>
      <c r="F191" s="1909"/>
      <c r="G191" s="1899">
        <f>IF(ISNUMBER(CI53), CI53, "")</f>
        <v>0</v>
      </c>
      <c r="H191" s="1899">
        <f t="shared" si="408"/>
        <v>0</v>
      </c>
      <c r="I191" s="1899">
        <f t="shared" si="408"/>
        <v>0</v>
      </c>
      <c r="J191" s="1899">
        <f t="shared" si="408"/>
        <v>0</v>
      </c>
      <c r="K191" s="1899">
        <f t="shared" si="409"/>
        <v>0</v>
      </c>
      <c r="L191" s="1899">
        <f>IF(ISNUMBER(CU53), CU53, "")</f>
        <v>0</v>
      </c>
      <c r="M191" s="1899">
        <f>IF(ISNUMBER(CV53), CV53, "")</f>
        <v>0</v>
      </c>
      <c r="N191" s="1857"/>
      <c r="O191" s="1857"/>
      <c r="P191" s="1857"/>
      <c r="R191" s="1857"/>
      <c r="S191" s="1857"/>
      <c r="T191" s="1513"/>
      <c r="U191" s="1513"/>
      <c r="V191" s="1513"/>
      <c r="W191" s="1513"/>
      <c r="X191" s="1513"/>
      <c r="Y191" s="1947"/>
      <c r="Z191" s="1947"/>
      <c r="AA191" s="1513"/>
      <c r="AB191" s="1850"/>
      <c r="AD191" s="1513"/>
      <c r="AE191" s="1513"/>
      <c r="AF191" s="1513"/>
      <c r="AG191" s="1513"/>
      <c r="AH191" s="1513"/>
      <c r="AI191" s="1513"/>
      <c r="AJ191" s="1513"/>
      <c r="AK191" s="1513"/>
      <c r="AS191" s="98"/>
      <c r="BD191" s="98"/>
    </row>
    <row r="192" spans="1:56" ht="19.8" x14ac:dyDescent="0.35">
      <c r="A192" s="1885"/>
      <c r="B192" s="1951" t="s">
        <v>2361</v>
      </c>
      <c r="C192" s="1899">
        <f>IF(AND(ISNUMBER(C193),ISNUMBER(C194), ISNUMBER(C195), ISNUMBER(C197)), C193+C194+C195+C197, "")</f>
        <v>234924.02600000001</v>
      </c>
      <c r="D192" s="1899">
        <f t="shared" ref="D192:E192" si="410">IF(AND(ISNUMBER(D193),ISNUMBER(D194), ISNUMBER(D195), ISNUMBER(D197)), D193+D194+D195+D197, "")</f>
        <v>826638.96799999999</v>
      </c>
      <c r="E192" s="1899">
        <f t="shared" si="410"/>
        <v>234924.02600000001</v>
      </c>
      <c r="F192" s="1909"/>
      <c r="G192" s="1899">
        <f t="shared" ref="G192:M192" si="411">IF(AND(ISNUMBER(G193),ISNUMBER(G194), ISNUMBER(G195), ISNUMBER(G197)), G193+G194+G195+G197, "")</f>
        <v>587310.06500000006</v>
      </c>
      <c r="H192" s="1899">
        <f t="shared" si="411"/>
        <v>234924.02600000001</v>
      </c>
      <c r="I192" s="1899">
        <f t="shared" si="411"/>
        <v>0</v>
      </c>
      <c r="J192" s="1899">
        <f t="shared" si="411"/>
        <v>587310.06500000006</v>
      </c>
      <c r="K192" s="1899" t="str">
        <f t="shared" si="409"/>
        <v/>
      </c>
      <c r="L192" s="1899" t="str">
        <f t="shared" si="411"/>
        <v/>
      </c>
      <c r="M192" s="1899" t="str">
        <f t="shared" si="411"/>
        <v/>
      </c>
      <c r="N192" s="1856" t="str">
        <f>IF(OR(E192="",G192=""),"Missing input",IF(AND(E192=0,G192=0,CI54=0),"NA",IF(AND(E192&lt;&gt;"",CE54&lt;&gt;"", CE54&gt;0, E192&gt;0,_xlfn.NUMBERVALUE(E192)/_xlfn.NUMBERVALUE(CE54)&gt;0.95,_xlfn.NUMBERVALUE(E192)/_xlfn.NUMBERVALUE(CE54)&lt;1.05),"Ok","Please Check")))</f>
        <v>Ok</v>
      </c>
      <c r="O192" s="1856" t="str">
        <f>IF(OR(E192="",G192=""),"Missing input",IF(AND(E192=0,G192=0,CI54=0),"NA",IFERROR(IF(AND(G192&lt;&gt;"",CI54&lt;&gt;"",CI54&gt;0,G192&gt;0,_xlfn.NUMBERVALUE(G192)/_xlfn.NUMBERVALUE(E192)&lt;2.55,_xlfn.NUMBERVALUE(G192)/_xlfn.NUMBERVALUE(E192)&gt;0.95),"Ok","Please check"),"Please check")))</f>
        <v>Ok</v>
      </c>
      <c r="P192" s="1856" t="str">
        <f>IF(OR('General Info'!$C$19="Yes",'General Info'!$D$19="Yes"),IF(OR(H192="",J192=""),"Missing input",IF(AND(H192=0,J192=0,CQ54=0),"NA",IF(AND(H192&lt;&gt;"",CO54&lt;&gt;"", CO54&gt;0, H192&gt;0,_xlfn.NUMBERVALUE(H192)/_xlfn.NUMBERVALUE(CO54)&gt;0.95,_xlfn.NUMBERVALUE(H192)/_xlfn.NUMBERVALUE(CO54)&lt;1.05),"Ok","Please Check"))),"NA")</f>
        <v>NA</v>
      </c>
      <c r="R192" s="1856" t="str">
        <f>IF(OR('General Info'!$C$19="Yes",'General Info'!$D$19="Yes"),IF(OR(H192="",J192=""),"Missing input",IF(AND(H192=0,J192=0,CQ54=0),"NA",IFERROR(IF(AND(J192&lt;&gt;"",CQ54&lt;&gt;"",CQ54&gt;0,J192&gt;0,_xlfn.NUMBERVALUE(J192)/_xlfn.NUMBERVALUE(H192)&lt;2.55,_xlfn.NUMBERVALUE(J192)/_xlfn.NUMBERVALUE(H192)&gt;0.95),"Ok","Please check"),"Please check"))),"NA")</f>
        <v>NA</v>
      </c>
      <c r="S192" s="1856" t="str">
        <f>IF(OR('General Info'!$C$19="Yes",'General Info'!$D$19="Yes"),IFERROR(IF(AND(_xlfn.NUMBERVALUE(M192)/_xlfn.NUMBERVALUE(J192)&gt;0.7143,_xlfn.NUMBERVALUE(M192)/_xlfn.NUMBERVALUE(J192)&lt;=1),"Ok", "Please check"),"Please check"),"NA")</f>
        <v>NA</v>
      </c>
      <c r="T192" s="1513"/>
      <c r="U192" s="1513"/>
      <c r="V192" s="1513"/>
      <c r="W192" s="1513"/>
      <c r="X192" s="1513"/>
      <c r="Y192" s="1513"/>
      <c r="Z192" s="1947"/>
      <c r="AA192" s="1947"/>
      <c r="AB192" s="1513"/>
      <c r="AD192" s="1850"/>
      <c r="AE192" s="1513"/>
      <c r="AF192" s="1513"/>
      <c r="AG192" s="1513"/>
      <c r="AH192" s="1513"/>
      <c r="AI192" s="1513"/>
      <c r="AJ192" s="1513"/>
      <c r="AK192" s="1513"/>
      <c r="AS192" s="98"/>
      <c r="BD192" s="98"/>
    </row>
    <row r="193" spans="1:56" ht="19.8" x14ac:dyDescent="0.35">
      <c r="A193" s="1885"/>
      <c r="B193" s="1952" t="s">
        <v>2362</v>
      </c>
      <c r="C193" s="208">
        <v>0</v>
      </c>
      <c r="D193" s="2540">
        <v>0</v>
      </c>
      <c r="E193" s="2540">
        <v>0</v>
      </c>
      <c r="F193" s="1909"/>
      <c r="G193" s="2540">
        <v>0</v>
      </c>
      <c r="H193" s="2540">
        <v>0</v>
      </c>
      <c r="I193" s="2540">
        <v>0</v>
      </c>
      <c r="J193" s="2540">
        <v>0</v>
      </c>
      <c r="K193" s="1899" t="str">
        <f t="shared" si="409"/>
        <v/>
      </c>
      <c r="L193" s="2540"/>
      <c r="M193" s="2540"/>
      <c r="N193" s="1857"/>
      <c r="O193" s="1856" t="str">
        <f>IF(OR(E193="",G193=""),"Missing input",IF(AND(E193=0,G193=0), "NA",IFERROR(IF(AND(_xlfn.NUMBERVALUE(G193)/_xlfn.NUMBERVALUE(E193)&lt;1.05,_xlfn.NUMBERVALUE(G193)/_xlfn.NUMBERVALUE(E193)&gt;0.95),"Ok","Please check"),"Please check")))</f>
        <v>NA</v>
      </c>
      <c r="P193" s="1857"/>
      <c r="R193" s="1856" t="str">
        <f>IF(OR('General Info'!$C$19="Yes",'General Info'!$D$19="Yes"),IF(OR(H193="",J193=""),"Missing input",IF(AND(OR('General Info'!$C$19="Yes",'General Info'!$D$19="Yes"),H193=0,J193=0), "NA",IFERROR(IF(AND(_xlfn.NUMBERVALUE(J193)/_xlfn.NUMBERVALUE(H193)&lt;1.05,_xlfn.NUMBERVALUE(J193)/_xlfn.NUMBERVALUE(H193)&gt;0.95),"Ok","Please check"),"Please check"))),"NA")</f>
        <v>NA</v>
      </c>
      <c r="S193" s="1856" t="str">
        <f>IF(OR('General Info'!$C$19="Yes",'General Info'!$D$19="Yes"),IFERROR(IF(AND(_xlfn.NUMBERVALUE(M193)/_xlfn.NUMBERVALUE(J193)&gt;0.7143,_xlfn.NUMBERVALUE(M193)/_xlfn.NUMBERVALUE(J193)&lt;=1),"Ok", "Please check"),"Please check"),"NA")</f>
        <v>NA</v>
      </c>
      <c r="T193" s="1513"/>
      <c r="U193" s="1513"/>
      <c r="V193" s="1513"/>
      <c r="W193" s="1513"/>
      <c r="X193" s="1513"/>
      <c r="Y193" s="1513"/>
      <c r="Z193" s="1947"/>
      <c r="AA193" s="1947"/>
      <c r="AB193" s="1513"/>
      <c r="AD193" s="1850"/>
      <c r="AE193" s="1513"/>
      <c r="AF193" s="1513"/>
      <c r="AG193" s="1513"/>
      <c r="AH193" s="1513"/>
      <c r="AI193" s="1513"/>
      <c r="AJ193" s="1513"/>
      <c r="AK193" s="1513"/>
      <c r="AS193" s="98"/>
      <c r="BD193" s="98"/>
    </row>
    <row r="194" spans="1:56" ht="30" x14ac:dyDescent="0.35">
      <c r="A194" s="1885"/>
      <c r="B194" s="1953" t="s">
        <v>2363</v>
      </c>
      <c r="C194" s="208">
        <v>0</v>
      </c>
      <c r="D194" s="2540">
        <v>0</v>
      </c>
      <c r="E194" s="2540">
        <v>0</v>
      </c>
      <c r="F194" s="1909"/>
      <c r="G194" s="2540">
        <v>0</v>
      </c>
      <c r="H194" s="2540">
        <v>0</v>
      </c>
      <c r="I194" s="2540">
        <v>0</v>
      </c>
      <c r="J194" s="2540">
        <v>0</v>
      </c>
      <c r="K194" s="1899" t="str">
        <f t="shared" si="409"/>
        <v/>
      </c>
      <c r="L194" s="2540"/>
      <c r="M194" s="2540"/>
      <c r="N194" s="1857"/>
      <c r="O194" s="1856" t="str">
        <f>IF(OR(E194="",G194=""),"Missing input",IF(AND(E194=0,G194=0), "NA",IFERROR(IF(AND(_xlfn.NUMBERVALUE(G194)/_xlfn.NUMBERVALUE(E194)&lt;1.05,_xlfn.NUMBERVALUE(G194)/_xlfn.NUMBERVALUE(E194)&gt;0.95),"Ok","Please check"),"Please check")))</f>
        <v>NA</v>
      </c>
      <c r="P194" s="1857"/>
      <c r="R194" s="1856" t="str">
        <f>IF(OR('General Info'!$C$19="Yes",'General Info'!$D$19="Yes"),IF(OR(H194="",J194=""),"Missing input",IF(AND(OR('General Info'!$C$19="Yes",'General Info'!$D$19="Yes"),H194=0,J194=0), "NA",IFERROR(IF(AND(_xlfn.NUMBERVALUE(J194)/_xlfn.NUMBERVALUE(H194)&lt;1.05,_xlfn.NUMBERVALUE(J194)/_xlfn.NUMBERVALUE(H194)&gt;0.95),"Ok","Please check"),"Please check"))),"NA")</f>
        <v>NA</v>
      </c>
      <c r="S194" s="1856" t="str">
        <f>IF(OR('General Info'!$C$19="Yes",'General Info'!$D$19="Yes"),IFERROR(IF(AND(_xlfn.NUMBERVALUE(M194)/_xlfn.NUMBERVALUE(J194)&gt;0.7143,_xlfn.NUMBERVALUE(M194)/_xlfn.NUMBERVALUE(J194)&lt;=1),"Ok", "Please check"),"Please check"),"NA")</f>
        <v>NA</v>
      </c>
      <c r="T194" s="1513"/>
      <c r="U194" s="1513"/>
      <c r="V194" s="1513"/>
      <c r="W194" s="1513"/>
      <c r="X194" s="1513"/>
      <c r="Y194" s="1513"/>
      <c r="Z194" s="1947"/>
      <c r="AA194" s="1947"/>
      <c r="AB194" s="1513"/>
      <c r="AD194" s="1850"/>
      <c r="AE194" s="1513"/>
      <c r="AF194" s="1513"/>
      <c r="AG194" s="1513"/>
      <c r="AH194" s="1513"/>
      <c r="AI194" s="1513"/>
      <c r="AJ194" s="1513"/>
      <c r="AK194" s="1513"/>
      <c r="AS194" s="98"/>
      <c r="BD194" s="98"/>
    </row>
    <row r="195" spans="1:56" ht="30" x14ac:dyDescent="0.35">
      <c r="A195" s="1885"/>
      <c r="B195" s="1954" t="s">
        <v>2364</v>
      </c>
      <c r="C195" s="208">
        <v>0</v>
      </c>
      <c r="D195" s="2540">
        <v>0</v>
      </c>
      <c r="E195" s="2540">
        <v>0</v>
      </c>
      <c r="F195" s="1909"/>
      <c r="G195" s="2540">
        <v>0</v>
      </c>
      <c r="H195" s="2540">
        <v>0</v>
      </c>
      <c r="I195" s="2540">
        <v>0</v>
      </c>
      <c r="J195" s="2540">
        <v>0</v>
      </c>
      <c r="K195" s="1899" t="str">
        <f t="shared" si="409"/>
        <v/>
      </c>
      <c r="L195" s="2540"/>
      <c r="M195" s="2540"/>
      <c r="N195" s="1857"/>
      <c r="O195" s="1857"/>
      <c r="P195" s="1857"/>
      <c r="R195" s="1857"/>
      <c r="S195" s="1856" t="str">
        <f>IF(OR('General Info'!$C$19="Yes",'General Info'!$D$19="Yes"),IFERROR(IF(AND(_xlfn.NUMBERVALUE(M195)/_xlfn.NUMBERVALUE(J195)&gt;0.7143,_xlfn.NUMBERVALUE(M195)/_xlfn.NUMBERVALUE(J195)&lt;=1),"Ok", "Please check"),"Please check"),"NA")</f>
        <v>NA</v>
      </c>
      <c r="T195" s="1513"/>
      <c r="U195" s="1513"/>
      <c r="V195" s="1513"/>
      <c r="W195" s="1513"/>
      <c r="X195" s="1513"/>
      <c r="Y195" s="1513"/>
      <c r="Z195" s="1947"/>
      <c r="AA195" s="1947"/>
      <c r="AB195" s="1513"/>
      <c r="AD195" s="1850"/>
      <c r="AE195" s="1513"/>
      <c r="AF195" s="1513"/>
      <c r="AG195" s="1513"/>
      <c r="AH195" s="1513"/>
      <c r="AI195" s="1513"/>
      <c r="AJ195" s="1513"/>
      <c r="AK195" s="1513"/>
      <c r="AS195" s="98"/>
      <c r="BD195" s="98"/>
    </row>
    <row r="196" spans="1:56" ht="30" x14ac:dyDescent="0.35">
      <c r="A196" s="1885"/>
      <c r="B196" s="1955" t="s">
        <v>2365</v>
      </c>
      <c r="C196" s="208">
        <v>0</v>
      </c>
      <c r="D196" s="2540">
        <v>0</v>
      </c>
      <c r="E196" s="2540">
        <v>0</v>
      </c>
      <c r="F196" s="1909"/>
      <c r="G196" s="2540">
        <v>0</v>
      </c>
      <c r="H196" s="2540">
        <v>0</v>
      </c>
      <c r="I196" s="2540">
        <v>0</v>
      </c>
      <c r="J196" s="2540">
        <v>0</v>
      </c>
      <c r="K196" s="1899" t="str">
        <f t="shared" si="409"/>
        <v/>
      </c>
      <c r="L196" s="2540"/>
      <c r="M196" s="2540"/>
      <c r="N196" s="1857"/>
      <c r="O196" s="1857"/>
      <c r="P196" s="1857"/>
      <c r="R196" s="1857"/>
      <c r="S196" s="1857"/>
      <c r="T196" s="1513"/>
      <c r="U196" s="1513"/>
      <c r="V196" s="1513"/>
      <c r="W196" s="1513"/>
      <c r="X196" s="1513"/>
      <c r="Y196" s="1513"/>
      <c r="Z196" s="1947"/>
      <c r="AA196" s="1947"/>
      <c r="AB196" s="1513"/>
      <c r="AD196" s="1850"/>
      <c r="AE196" s="1513"/>
      <c r="AF196" s="1513"/>
      <c r="AG196" s="1513"/>
      <c r="AH196" s="1513"/>
      <c r="AI196" s="1513"/>
      <c r="AJ196" s="1513"/>
      <c r="AK196" s="1513"/>
      <c r="AS196" s="98"/>
      <c r="BD196" s="98"/>
    </row>
    <row r="197" spans="1:56" x14ac:dyDescent="0.35">
      <c r="A197" s="1513"/>
      <c r="B197" s="1954" t="s">
        <v>2366</v>
      </c>
      <c r="C197" s="208">
        <f>+C54</f>
        <v>234924.02600000001</v>
      </c>
      <c r="D197" s="208">
        <f>+I54</f>
        <v>826638.96799999999</v>
      </c>
      <c r="E197" s="208">
        <f>+C197</f>
        <v>234924.02600000001</v>
      </c>
      <c r="F197" s="1909"/>
      <c r="G197" s="208">
        <f>+E197*2.5</f>
        <v>587310.06500000006</v>
      </c>
      <c r="H197" s="208">
        <f>+E197</f>
        <v>234924.02600000001</v>
      </c>
      <c r="I197" s="208">
        <v>0</v>
      </c>
      <c r="J197" s="208">
        <f>+G197</f>
        <v>587310.06500000006</v>
      </c>
      <c r="K197" s="1899" t="str">
        <f t="shared" si="409"/>
        <v/>
      </c>
      <c r="L197" s="208"/>
      <c r="M197" s="208"/>
      <c r="N197" s="1857"/>
      <c r="O197" s="1856" t="str">
        <f>IF(OR(E197="",G197=""),"Missing input",IF(AND(E197=0,G197=0),"NA",IFERROR(IF(AND(_xlfn.NUMBERVALUE(G197)/_xlfn.NUMBERVALUE(E197)&gt;2.45,_xlfn.NUMBERVALUE(G197)/_xlfn.NUMBERVALUE(E197)&lt;2.55),"Ok","Please check"),"Please check")))</f>
        <v>Ok</v>
      </c>
      <c r="P197" s="1857"/>
      <c r="R197" s="1856" t="str">
        <f>IF(OR('General Info'!$C$19="Yes",'General Info'!$D$19="Yes"),IF(OR(H197="",J197=""),"Missing input",IF(AND(OR('General Info'!$C$19="Yes",'General Info'!$D$19="Yes"),H197=0,J197=0), "NA",IFERROR(IF(AND(_xlfn.NUMBERVALUE(J197)/_xlfn.NUMBERVALUE(H197)&lt;2.55,_xlfn.NUMBERVALUE(J197)/_xlfn.NUMBERVALUE(H197)&gt;2.45),"Ok","Please check"),"Please check"))),"NA")</f>
        <v>NA</v>
      </c>
      <c r="S197" s="1856" t="str">
        <f>IF(OR('General Info'!$C$19="Yes",'General Info'!$D$19="Yes"),IFERROR(IF(AND(_xlfn.NUMBERVALUE(M197)/_xlfn.NUMBERVALUE(J197)&gt;0.7143,_xlfn.NUMBERVALUE(M197)/_xlfn.NUMBERVALUE(J197)&lt;=1),"Ok", "Please check"),"Please check"),"NA")</f>
        <v>NA</v>
      </c>
      <c r="T197" s="1513"/>
      <c r="U197" s="1513"/>
      <c r="V197" s="1513"/>
      <c r="W197" s="1513"/>
      <c r="X197" s="1513"/>
      <c r="Y197" s="1513"/>
      <c r="Z197" s="1513"/>
      <c r="AA197" s="1513"/>
      <c r="AB197" s="1513"/>
      <c r="AD197" s="1513"/>
      <c r="AE197" s="1513"/>
      <c r="AF197" s="1513"/>
      <c r="AG197" s="1513"/>
      <c r="AH197" s="1513"/>
      <c r="AI197" s="1513"/>
      <c r="AJ197" s="1513"/>
      <c r="AK197" s="1513"/>
      <c r="AS197" s="98"/>
      <c r="BD197" s="98"/>
    </row>
    <row r="198" spans="1:56" ht="30" x14ac:dyDescent="0.35">
      <c r="A198" s="1513"/>
      <c r="B198" s="1956" t="s">
        <v>2367</v>
      </c>
      <c r="C198" s="208">
        <v>199830.18000000002</v>
      </c>
      <c r="D198" s="2540">
        <v>738904.353</v>
      </c>
      <c r="E198" s="2540">
        <v>199830.18000000002</v>
      </c>
      <c r="F198" s="1909"/>
      <c r="G198" s="208">
        <v>499575.45000000007</v>
      </c>
      <c r="H198" s="2540">
        <v>199830.18000000002</v>
      </c>
      <c r="I198" s="208">
        <v>0</v>
      </c>
      <c r="J198" s="208">
        <v>552216.21900000004</v>
      </c>
      <c r="K198" s="1899" t="str">
        <f t="shared" si="409"/>
        <v/>
      </c>
      <c r="L198" s="208"/>
      <c r="M198" s="208"/>
      <c r="N198" s="1857"/>
      <c r="O198" s="1857"/>
      <c r="P198" s="1857"/>
      <c r="R198" s="1857"/>
      <c r="S198" s="1857"/>
      <c r="T198" s="1513"/>
      <c r="U198" s="1513"/>
      <c r="V198" s="1513"/>
      <c r="W198" s="1513"/>
      <c r="X198" s="1513"/>
      <c r="Y198" s="1513"/>
      <c r="Z198" s="1513"/>
      <c r="AA198" s="1513"/>
      <c r="AB198" s="1513"/>
      <c r="AD198" s="1513"/>
      <c r="AE198" s="1513"/>
      <c r="AF198" s="1513"/>
      <c r="AG198" s="1513"/>
      <c r="AH198" s="1513"/>
      <c r="AI198" s="1513"/>
      <c r="AJ198" s="1513"/>
      <c r="AK198" s="1513"/>
      <c r="AS198" s="98"/>
      <c r="BD198" s="98"/>
    </row>
    <row r="199" spans="1:56" ht="30" x14ac:dyDescent="0.35">
      <c r="A199" s="1513"/>
      <c r="B199" s="1956" t="s">
        <v>2365</v>
      </c>
      <c r="C199" s="208">
        <v>35093.845999999998</v>
      </c>
      <c r="D199" s="208">
        <v>87734.615000000005</v>
      </c>
      <c r="E199" s="2540">
        <v>35093.845999999998</v>
      </c>
      <c r="F199" s="1909"/>
      <c r="G199" s="2540">
        <v>87734.615000000005</v>
      </c>
      <c r="H199" s="2540">
        <v>35093.845999999998</v>
      </c>
      <c r="I199" s="208">
        <v>0</v>
      </c>
      <c r="J199" s="208">
        <v>35093.845999999998</v>
      </c>
      <c r="K199" s="1899" t="str">
        <f t="shared" si="409"/>
        <v/>
      </c>
      <c r="L199" s="208"/>
      <c r="M199" s="208"/>
      <c r="N199" s="1857"/>
      <c r="O199" s="1857"/>
      <c r="P199" s="1857"/>
      <c r="R199" s="1857"/>
      <c r="S199" s="1857"/>
      <c r="T199" s="1513"/>
      <c r="U199" s="1513"/>
      <c r="V199" s="1513"/>
      <c r="W199" s="1513"/>
      <c r="X199" s="1513"/>
      <c r="Y199" s="1513"/>
      <c r="Z199" s="1513"/>
      <c r="AA199" s="1513"/>
      <c r="AB199" s="1513"/>
      <c r="AD199" s="1513"/>
      <c r="AE199" s="1513"/>
      <c r="AF199" s="1513"/>
      <c r="AG199" s="1513"/>
      <c r="AH199" s="1513"/>
      <c r="AI199" s="1513"/>
      <c r="AJ199" s="1513"/>
      <c r="AK199" s="1513"/>
      <c r="AS199" s="98"/>
      <c r="BD199" s="98"/>
    </row>
    <row r="200" spans="1:56" ht="50.1" customHeight="1" x14ac:dyDescent="0.35">
      <c r="A200" s="1885" t="s">
        <v>2431</v>
      </c>
      <c r="B200" s="1885"/>
      <c r="C200" s="1513"/>
      <c r="D200" s="1513"/>
      <c r="E200" s="1513"/>
      <c r="F200" s="1910"/>
      <c r="G200" s="1850"/>
      <c r="H200" s="1513"/>
      <c r="I200" s="1513"/>
      <c r="J200" s="1513"/>
      <c r="K200" s="1513"/>
      <c r="L200" s="1513"/>
      <c r="M200" s="1513"/>
      <c r="N200" s="1513"/>
      <c r="O200" s="1513"/>
      <c r="P200" s="1513"/>
      <c r="R200" s="1513"/>
      <c r="S200" s="1850"/>
      <c r="T200" s="1513"/>
      <c r="U200" s="1513"/>
      <c r="V200" s="1513"/>
      <c r="W200" s="1513"/>
      <c r="X200" s="1513"/>
      <c r="Y200" s="1513"/>
      <c r="Z200" s="1945"/>
      <c r="AA200" s="1945"/>
      <c r="AB200" s="1513"/>
      <c r="AD200" s="1850"/>
      <c r="AE200" s="1513"/>
      <c r="AF200" s="1513"/>
      <c r="AG200" s="1513"/>
      <c r="AH200" s="1513"/>
      <c r="AI200" s="1513"/>
      <c r="AJ200" s="1513"/>
      <c r="AK200" s="1513"/>
      <c r="AS200" s="98"/>
      <c r="BD200" s="98"/>
    </row>
    <row r="201" spans="1:56" ht="50.1" customHeight="1" x14ac:dyDescent="0.35">
      <c r="A201" s="1957"/>
      <c r="B201" s="2770" t="s">
        <v>2382</v>
      </c>
      <c r="C201" s="2774" t="s">
        <v>2383</v>
      </c>
      <c r="D201" s="2774"/>
      <c r="E201" s="2774"/>
      <c r="F201" s="2774"/>
      <c r="G201" s="2774"/>
      <c r="H201" s="2774"/>
      <c r="I201" s="2774"/>
      <c r="J201" s="2774"/>
      <c r="K201" s="2774"/>
      <c r="L201" s="2774"/>
      <c r="M201" s="2775" t="s">
        <v>2384</v>
      </c>
      <c r="N201" s="2775"/>
      <c r="O201" s="2775"/>
      <c r="P201" s="2775"/>
      <c r="Q201" s="2775"/>
      <c r="R201" s="2775"/>
      <c r="S201" s="2775"/>
      <c r="T201" s="2775"/>
      <c r="U201" s="2775"/>
      <c r="V201" s="2775"/>
      <c r="W201" s="2775"/>
      <c r="X201" s="2787" t="s">
        <v>2432</v>
      </c>
      <c r="Y201" s="2787"/>
      <c r="Z201" s="2787"/>
      <c r="AA201" s="2787"/>
      <c r="AB201" s="2787"/>
      <c r="AC201" s="2787"/>
      <c r="AD201" s="2787"/>
      <c r="AE201" s="2787"/>
      <c r="AF201" s="2787"/>
      <c r="AG201" s="1513"/>
      <c r="AH201" s="1513"/>
      <c r="AI201" s="1513"/>
      <c r="AJ201" s="1513"/>
      <c r="AK201" s="1513"/>
      <c r="AS201" s="98"/>
      <c r="BD201" s="98"/>
    </row>
    <row r="202" spans="1:56" ht="50.1" customHeight="1" x14ac:dyDescent="0.35">
      <c r="A202" s="1957"/>
      <c r="B202" s="2771"/>
      <c r="C202" s="2709" t="s">
        <v>224</v>
      </c>
      <c r="D202" s="2709"/>
      <c r="E202" s="2709"/>
      <c r="F202" s="2709"/>
      <c r="G202" s="2709"/>
      <c r="H202" s="2709"/>
      <c r="I202" s="2709"/>
      <c r="J202" s="2709"/>
      <c r="K202" s="2709"/>
      <c r="L202" s="2709"/>
      <c r="M202" s="2709" t="s">
        <v>224</v>
      </c>
      <c r="N202" s="2709"/>
      <c r="O202" s="2709"/>
      <c r="P202" s="2709"/>
      <c r="Q202" s="2709"/>
      <c r="R202" s="2709"/>
      <c r="S202" s="2709"/>
      <c r="T202" s="2709"/>
      <c r="U202" s="2709"/>
      <c r="V202" s="2709"/>
      <c r="W202" s="2709"/>
      <c r="X202" s="2709" t="s">
        <v>2433</v>
      </c>
      <c r="Y202" s="2709"/>
      <c r="Z202" s="2709"/>
      <c r="AA202" s="2709"/>
      <c r="AB202" s="2709"/>
      <c r="AC202" s="2709"/>
      <c r="AD202" s="2709"/>
      <c r="AE202" s="2709"/>
      <c r="AF202" s="2709"/>
      <c r="AG202" s="1513"/>
      <c r="AH202" s="1513"/>
      <c r="AI202" s="1513"/>
      <c r="AJ202" s="1513"/>
      <c r="AK202" s="1513"/>
      <c r="AS202" s="98"/>
      <c r="BD202" s="98"/>
    </row>
    <row r="203" spans="1:56" ht="50.1" customHeight="1" x14ac:dyDescent="0.35">
      <c r="A203" s="1957"/>
      <c r="B203" s="2771"/>
      <c r="C203" s="2788" t="s">
        <v>2305</v>
      </c>
      <c r="D203" s="2789"/>
      <c r="E203" s="2790"/>
      <c r="F203" s="1911"/>
      <c r="G203" s="2709" t="s">
        <v>226</v>
      </c>
      <c r="H203" s="2796" t="s">
        <v>2390</v>
      </c>
      <c r="I203" s="2637"/>
      <c r="J203" s="2637"/>
      <c r="K203" s="2714"/>
      <c r="L203" s="2709" t="s">
        <v>869</v>
      </c>
      <c r="M203" s="2788" t="s">
        <v>2305</v>
      </c>
      <c r="N203" s="2789"/>
      <c r="O203" s="2790"/>
      <c r="P203" s="2709" t="s">
        <v>226</v>
      </c>
      <c r="Q203" s="1851"/>
      <c r="R203" s="2796" t="s">
        <v>2390</v>
      </c>
      <c r="S203" s="2637"/>
      <c r="T203" s="2637"/>
      <c r="U203" s="2714"/>
      <c r="V203" s="2796" t="s">
        <v>178</v>
      </c>
      <c r="W203" s="2714"/>
      <c r="X203" s="2779" t="s">
        <v>2305</v>
      </c>
      <c r="Y203" s="2779"/>
      <c r="Z203" s="2779"/>
      <c r="AA203" s="2709" t="s">
        <v>226</v>
      </c>
      <c r="AB203" s="2709" t="s">
        <v>2434</v>
      </c>
      <c r="AC203" s="2709"/>
      <c r="AD203" s="2709"/>
      <c r="AE203" s="2709"/>
      <c r="AF203" s="2709"/>
      <c r="AG203" s="1513"/>
      <c r="AH203" s="1513"/>
      <c r="AI203" s="1513"/>
      <c r="AJ203" s="1513"/>
      <c r="AK203" s="1513"/>
      <c r="AS203" s="98"/>
      <c r="BD203" s="98"/>
    </row>
    <row r="204" spans="1:56" ht="50.1" customHeight="1" x14ac:dyDescent="0.35">
      <c r="A204" s="1957"/>
      <c r="B204" s="2771"/>
      <c r="C204" s="2791"/>
      <c r="D204" s="2701"/>
      <c r="E204" s="2792"/>
      <c r="F204" s="1911"/>
      <c r="G204" s="2709"/>
      <c r="H204" s="2797"/>
      <c r="I204" s="2798"/>
      <c r="J204" s="2798"/>
      <c r="K204" s="2715"/>
      <c r="L204" s="2709"/>
      <c r="M204" s="2791"/>
      <c r="N204" s="2701"/>
      <c r="O204" s="2792"/>
      <c r="P204" s="2709"/>
      <c r="Q204" s="1851"/>
      <c r="R204" s="2797"/>
      <c r="S204" s="2798"/>
      <c r="T204" s="2798"/>
      <c r="U204" s="2715"/>
      <c r="V204" s="2797"/>
      <c r="W204" s="2715"/>
      <c r="X204" s="2779"/>
      <c r="Y204" s="2779"/>
      <c r="Z204" s="2779"/>
      <c r="AA204" s="2709"/>
      <c r="AB204" s="2709"/>
      <c r="AC204" s="2709"/>
      <c r="AD204" s="2709"/>
      <c r="AE204" s="2709"/>
      <c r="AF204" s="2709"/>
      <c r="AG204" s="1513"/>
      <c r="AH204" s="1513"/>
      <c r="AI204" s="1513"/>
      <c r="AJ204" s="1513"/>
      <c r="AK204" s="1513"/>
      <c r="AS204" s="98"/>
      <c r="BD204" s="98"/>
    </row>
    <row r="205" spans="1:56" ht="50.1" customHeight="1" x14ac:dyDescent="0.35">
      <c r="A205" s="1957"/>
      <c r="B205" s="2771"/>
      <c r="C205" s="2793"/>
      <c r="D205" s="2794"/>
      <c r="E205" s="2795"/>
      <c r="F205" s="1911"/>
      <c r="G205" s="2709"/>
      <c r="H205" s="2799"/>
      <c r="I205" s="2638"/>
      <c r="J205" s="2638"/>
      <c r="K205" s="2716"/>
      <c r="L205" s="2709"/>
      <c r="M205" s="2793"/>
      <c r="N205" s="2794"/>
      <c r="O205" s="2795"/>
      <c r="P205" s="2709"/>
      <c r="Q205" s="1851"/>
      <c r="R205" s="2799"/>
      <c r="S205" s="2638"/>
      <c r="T205" s="2638"/>
      <c r="U205" s="2716"/>
      <c r="V205" s="2799"/>
      <c r="W205" s="2716"/>
      <c r="X205" s="2779"/>
      <c r="Y205" s="2779"/>
      <c r="Z205" s="2779"/>
      <c r="AA205" s="2709"/>
      <c r="AB205" s="2709"/>
      <c r="AC205" s="2709"/>
      <c r="AD205" s="2709"/>
      <c r="AE205" s="2709"/>
      <c r="AF205" s="2709"/>
      <c r="AG205" s="1513"/>
      <c r="AH205" s="1513"/>
      <c r="AI205" s="1513"/>
      <c r="AJ205" s="1513"/>
      <c r="AK205" s="1513"/>
      <c r="AS205" s="98"/>
      <c r="BD205" s="98"/>
    </row>
    <row r="206" spans="1:56" ht="59.1" customHeight="1" x14ac:dyDescent="0.35">
      <c r="A206" s="1957"/>
      <c r="B206" s="2772"/>
      <c r="C206" s="1958" t="s">
        <v>870</v>
      </c>
      <c r="D206" s="1853" t="s">
        <v>746</v>
      </c>
      <c r="E206" s="1958" t="s">
        <v>749</v>
      </c>
      <c r="F206" s="1911"/>
      <c r="G206" s="2709"/>
      <c r="H206" s="1853" t="s">
        <v>748</v>
      </c>
      <c r="I206" s="1853" t="s">
        <v>746</v>
      </c>
      <c r="J206" s="1853" t="s">
        <v>749</v>
      </c>
      <c r="K206" s="1853" t="s">
        <v>59</v>
      </c>
      <c r="L206" s="2709"/>
      <c r="M206" s="1958" t="s">
        <v>870</v>
      </c>
      <c r="N206" s="1853" t="s">
        <v>746</v>
      </c>
      <c r="O206" s="1958" t="s">
        <v>749</v>
      </c>
      <c r="P206" s="2709"/>
      <c r="Q206" s="1851"/>
      <c r="R206" s="1853" t="s">
        <v>748</v>
      </c>
      <c r="S206" s="1853" t="s">
        <v>746</v>
      </c>
      <c r="T206" s="1853" t="s">
        <v>749</v>
      </c>
      <c r="U206" s="1853" t="s">
        <v>59</v>
      </c>
      <c r="V206" s="1853" t="s">
        <v>59</v>
      </c>
      <c r="W206" s="1853" t="s">
        <v>872</v>
      </c>
      <c r="X206" s="1958" t="s">
        <v>870</v>
      </c>
      <c r="Y206" s="1853" t="s">
        <v>746</v>
      </c>
      <c r="Z206" s="1958" t="s">
        <v>749</v>
      </c>
      <c r="AA206" s="2709"/>
      <c r="AB206" s="1853" t="s">
        <v>748</v>
      </c>
      <c r="AC206" s="1851"/>
      <c r="AD206" s="1853" t="s">
        <v>746</v>
      </c>
      <c r="AE206" s="1853" t="s">
        <v>749</v>
      </c>
      <c r="AF206" s="1853" t="s">
        <v>59</v>
      </c>
      <c r="AG206" s="1513"/>
      <c r="AH206" s="1513"/>
      <c r="AI206" s="1513"/>
      <c r="AJ206" s="1513"/>
      <c r="AK206" s="1513"/>
      <c r="AS206" s="98"/>
      <c r="BD206" s="98"/>
    </row>
    <row r="207" spans="1:56" x14ac:dyDescent="0.35">
      <c r="A207" s="1957"/>
      <c r="B207" s="1921" t="s">
        <v>549</v>
      </c>
      <c r="C207" s="1913">
        <f>IF(ISNUMBER(C39),C39, "")</f>
        <v>0</v>
      </c>
      <c r="D207" s="1913">
        <f>IF(ISNUMBER(D39),D39, "")</f>
        <v>0</v>
      </c>
      <c r="E207" s="1913">
        <f>IF(ISNUMBER(G39),G39, "")</f>
        <v>0</v>
      </c>
      <c r="F207" s="1909"/>
      <c r="G207" s="1913">
        <f t="shared" ref="G207:G214" si="412">IF(AND(ISNUMBER(C207),ISNUMBER(D207), ISNUMBER(E207)),SUM(C207, D207, E207),"")</f>
        <v>0</v>
      </c>
      <c r="H207" s="1913">
        <f>IF(ISNUMBER(I39), I39, "")</f>
        <v>0</v>
      </c>
      <c r="I207" s="1913">
        <f>IF(ISNUMBER(J39), J39, "")</f>
        <v>0</v>
      </c>
      <c r="J207" s="1913">
        <f>IF(ISNUMBER(K39), K39, "")</f>
        <v>0</v>
      </c>
      <c r="K207" s="1913">
        <f t="shared" ref="K207:K214" si="413">IF(AND(ISNUMBER(H207),ISNUMBER(I207), ISNUMBER(J207)),SUM(H207, I207, J207),"")</f>
        <v>0</v>
      </c>
      <c r="L207" s="1913">
        <f>IF(ISNUMBER(M39),M39, "")</f>
        <v>0</v>
      </c>
      <c r="M207" s="1913">
        <f>IF(ISNUMBER(AP39),AP39, "")</f>
        <v>0</v>
      </c>
      <c r="N207" s="1913">
        <f>IF(ISNUMBER(AQ39),AQ39, "")</f>
        <v>0</v>
      </c>
      <c r="O207" s="1913">
        <f>IF(ISNUMBER(AT39),AT39, "")</f>
        <v>0</v>
      </c>
      <c r="P207" s="1913">
        <f t="shared" ref="P207:P214" si="414">IF(AND(ISNUMBER(M207),ISNUMBER(N207), ISNUMBER(O207)),SUM(M207, N207, O207),"")</f>
        <v>0</v>
      </c>
      <c r="R207" s="1913">
        <f>IF(ISNUMBER(AV39), AV39, "")</f>
        <v>0</v>
      </c>
      <c r="S207" s="1913">
        <f>IF(ISNUMBER(AW39), AW39, "")</f>
        <v>0</v>
      </c>
      <c r="T207" s="1913">
        <f>IF(ISNUMBER(AX39), AX39, "")</f>
        <v>0</v>
      </c>
      <c r="U207" s="1913">
        <f t="shared" ref="U207:U214" si="415">IF(AND(ISNUMBER(R207),ISNUMBER(S207), ISNUMBER(T207)),SUM(R207, S207, T207),"")</f>
        <v>0</v>
      </c>
      <c r="V207" s="1913">
        <f>IF(ISNUMBER(AZ39), AZ39, "")</f>
        <v>0</v>
      </c>
      <c r="W207" s="1913" t="str">
        <f>IF(AND(ISNUMBER(BL39),ISNUMBER(BX39)), BL39+BX39, "")</f>
        <v/>
      </c>
      <c r="X207" s="1959">
        <v>0</v>
      </c>
      <c r="Y207" s="1959">
        <v>0</v>
      </c>
      <c r="Z207" s="1959">
        <v>0</v>
      </c>
      <c r="AA207" s="1913">
        <f t="shared" ref="AA207:AA214" si="416">IF(AND(ISNUMBER(X207),ISNUMBER(Y207), ISNUMBER(Z207)),SUM(X207, Y207, Z207),"")</f>
        <v>0</v>
      </c>
      <c r="AB207" s="1959">
        <v>0</v>
      </c>
      <c r="AD207" s="1959">
        <v>0</v>
      </c>
      <c r="AE207" s="1959">
        <v>0</v>
      </c>
      <c r="AF207" s="1913">
        <f>IF(AND(ISNUMBER(AB207),ISNUMBER(AD207), ISNUMBER(AE207)),SUM(AB207, AD207, AE207),"")</f>
        <v>0</v>
      </c>
      <c r="AG207" s="1513"/>
      <c r="AH207" s="1513"/>
      <c r="AI207" s="1513"/>
      <c r="AJ207" s="1513"/>
      <c r="AK207" s="1513"/>
      <c r="AS207" s="98"/>
      <c r="BD207" s="98"/>
    </row>
    <row r="208" spans="1:56" x14ac:dyDescent="0.35">
      <c r="A208" s="1957"/>
      <c r="B208" s="1960" t="s">
        <v>2435</v>
      </c>
      <c r="C208" s="1899">
        <f>IF(AND( ISNUMBER(C209),ISNUMBER(C210)), SUM(C209:C210),"")</f>
        <v>0</v>
      </c>
      <c r="D208" s="1899">
        <f>IF(AND( ISNUMBER(D209),ISNUMBER(D210)), SUM(D209:D210),"")</f>
        <v>0</v>
      </c>
      <c r="E208" s="1899">
        <f>IF(AND( ISNUMBER(E209),ISNUMBER(E210)), SUM(E209:E210),"")</f>
        <v>0</v>
      </c>
      <c r="F208" s="1909"/>
      <c r="G208" s="1899">
        <f t="shared" si="412"/>
        <v>0</v>
      </c>
      <c r="H208" s="1899">
        <f>IF(AND( ISNUMBER(H209),ISNUMBER(H210)), SUM(H209:H210),"")</f>
        <v>0</v>
      </c>
      <c r="I208" s="1899">
        <f>IF(AND( ISNUMBER(I209),ISNUMBER(I210)), SUM(I209:I210),"")</f>
        <v>0</v>
      </c>
      <c r="J208" s="1899">
        <f>IF(AND( ISNUMBER(J209),ISNUMBER(J210)), SUM(J209:J210),"")</f>
        <v>0</v>
      </c>
      <c r="K208" s="1899">
        <f t="shared" si="413"/>
        <v>0</v>
      </c>
      <c r="L208" s="1899">
        <f>IF(AND( ISNUMBER(L209),ISNUMBER(L210)), SUM(L209:L210),"")</f>
        <v>0</v>
      </c>
      <c r="M208" s="1899">
        <f>IF(AND( ISNUMBER(M209),ISNUMBER(M210)), SUM(M209:M210),"")</f>
        <v>0</v>
      </c>
      <c r="N208" s="1899">
        <f>IF(AND( ISNUMBER(N209),ISNUMBER(N210)), SUM(N209:N210),"")</f>
        <v>0</v>
      </c>
      <c r="O208" s="1899">
        <f>IF(AND( ISNUMBER(O209),ISNUMBER(O210)), SUM(O209:O210),"")</f>
        <v>0</v>
      </c>
      <c r="P208" s="1899">
        <f t="shared" si="414"/>
        <v>0</v>
      </c>
      <c r="R208" s="1899">
        <f>IF(AND( ISNUMBER(R209),ISNUMBER(R210)), SUM(R209:R210),"")</f>
        <v>0</v>
      </c>
      <c r="S208" s="1899">
        <f>IF(AND( ISNUMBER(S209),ISNUMBER(S210)), SUM(S209:S210),"")</f>
        <v>0</v>
      </c>
      <c r="T208" s="1899">
        <f>IF(AND( ISNUMBER(T209),ISNUMBER(T210)), SUM(T209:T210),"")</f>
        <v>0</v>
      </c>
      <c r="U208" s="1899">
        <f t="shared" si="415"/>
        <v>0</v>
      </c>
      <c r="V208" s="1899">
        <f>IF(AND( ISNUMBER(V209),ISNUMBER(V210)), SUM(V209:V210),"")</f>
        <v>0</v>
      </c>
      <c r="W208" s="1899">
        <f>IF(AND( ISNUMBER(W209),ISNUMBER(W210)), SUM(W209:W210),"")</f>
        <v>0</v>
      </c>
      <c r="X208" s="1899">
        <f>IF(AND( ISNUMBER(X209),ISNUMBER(X210)), SUM(X209:X210),"")</f>
        <v>0</v>
      </c>
      <c r="Y208" s="1899">
        <f>IF(AND( ISNUMBER(Y209),ISNUMBER(Y210)), SUM(Y209:Y210),"")</f>
        <v>0</v>
      </c>
      <c r="Z208" s="1899">
        <f>IF(AND( ISNUMBER(Z209),ISNUMBER(Z210)), SUM(Z209:Z210),"")</f>
        <v>0</v>
      </c>
      <c r="AA208" s="1899">
        <f t="shared" si="416"/>
        <v>0</v>
      </c>
      <c r="AB208" s="1899">
        <f>IF(AND( ISNUMBER(AB209),ISNUMBER(AB210)), SUM(AB209:AB210),"")</f>
        <v>0</v>
      </c>
      <c r="AD208" s="1899">
        <f>IF(AND( ISNUMBER(AD209),ISNUMBER(AD210)), SUM(AD209:AD210),"")</f>
        <v>0</v>
      </c>
      <c r="AE208" s="1899">
        <f>IF(AND( ISNUMBER(AE209),ISNUMBER(AE210)), SUM(AE209:AE210),"")</f>
        <v>0</v>
      </c>
      <c r="AF208" s="1899">
        <f t="shared" ref="AF208:AF214" si="417">IF(AND(ISNUMBER(AB208),ISNUMBER(AD208), ISNUMBER(AE208)),SUM(AB208, AD208, AE208),"")</f>
        <v>0</v>
      </c>
      <c r="AG208" s="1513"/>
      <c r="AH208" s="1513"/>
      <c r="AI208" s="1513"/>
      <c r="AJ208" s="1513"/>
      <c r="AK208" s="1513"/>
      <c r="AS208" s="98"/>
      <c r="BD208" s="98"/>
    </row>
    <row r="209" spans="1:57" x14ac:dyDescent="0.35">
      <c r="A209" s="1957"/>
      <c r="B209" s="1871" t="s">
        <v>2436</v>
      </c>
      <c r="C209" s="1918">
        <v>0</v>
      </c>
      <c r="D209" s="1918">
        <v>0</v>
      </c>
      <c r="E209" s="1918">
        <v>0</v>
      </c>
      <c r="F209" s="1909"/>
      <c r="G209" s="1899">
        <f t="shared" si="412"/>
        <v>0</v>
      </c>
      <c r="H209" s="1918">
        <v>0</v>
      </c>
      <c r="I209" s="1918">
        <v>0</v>
      </c>
      <c r="J209" s="1918">
        <v>0</v>
      </c>
      <c r="K209" s="1899">
        <f t="shared" si="413"/>
        <v>0</v>
      </c>
      <c r="L209" s="1918">
        <v>0</v>
      </c>
      <c r="M209" s="1918">
        <v>0</v>
      </c>
      <c r="N209" s="1918">
        <v>0</v>
      </c>
      <c r="O209" s="1918">
        <v>0</v>
      </c>
      <c r="P209" s="1899">
        <f t="shared" si="414"/>
        <v>0</v>
      </c>
      <c r="R209" s="1918">
        <v>0</v>
      </c>
      <c r="S209" s="1918">
        <v>0</v>
      </c>
      <c r="T209" s="1918">
        <v>0</v>
      </c>
      <c r="U209" s="1899">
        <f t="shared" si="415"/>
        <v>0</v>
      </c>
      <c r="V209" s="1918">
        <v>0</v>
      </c>
      <c r="W209" s="1918">
        <v>0</v>
      </c>
      <c r="X209" s="1918">
        <v>0</v>
      </c>
      <c r="Y209" s="1918">
        <v>0</v>
      </c>
      <c r="Z209" s="1918">
        <v>0</v>
      </c>
      <c r="AA209" s="1899">
        <f t="shared" si="416"/>
        <v>0</v>
      </c>
      <c r="AB209" s="1918">
        <v>0</v>
      </c>
      <c r="AD209" s="1918">
        <v>0</v>
      </c>
      <c r="AE209" s="1918">
        <v>0</v>
      </c>
      <c r="AF209" s="1899">
        <f t="shared" si="417"/>
        <v>0</v>
      </c>
      <c r="AG209" s="1513"/>
      <c r="AH209" s="1513"/>
      <c r="AI209" s="1513"/>
      <c r="AJ209" s="1513"/>
      <c r="AK209" s="1513"/>
      <c r="AS209" s="98"/>
      <c r="BD209" s="98"/>
    </row>
    <row r="210" spans="1:57" x14ac:dyDescent="0.35">
      <c r="A210" s="1957"/>
      <c r="B210" s="1871" t="s">
        <v>2437</v>
      </c>
      <c r="C210" s="1918">
        <v>0</v>
      </c>
      <c r="D210" s="1918">
        <v>0</v>
      </c>
      <c r="E210" s="1918">
        <v>0</v>
      </c>
      <c r="F210" s="1909"/>
      <c r="G210" s="1899">
        <f t="shared" si="412"/>
        <v>0</v>
      </c>
      <c r="H210" s="1918">
        <v>0</v>
      </c>
      <c r="I210" s="1918">
        <v>0</v>
      </c>
      <c r="J210" s="1918">
        <v>0</v>
      </c>
      <c r="K210" s="1899">
        <f t="shared" si="413"/>
        <v>0</v>
      </c>
      <c r="L210" s="1918">
        <v>0</v>
      </c>
      <c r="M210" s="1918">
        <v>0</v>
      </c>
      <c r="N210" s="1918">
        <v>0</v>
      </c>
      <c r="O210" s="1918">
        <v>0</v>
      </c>
      <c r="P210" s="1899">
        <f t="shared" si="414"/>
        <v>0</v>
      </c>
      <c r="R210" s="1918">
        <v>0</v>
      </c>
      <c r="S210" s="1918">
        <v>0</v>
      </c>
      <c r="T210" s="1918">
        <v>0</v>
      </c>
      <c r="U210" s="1899">
        <f t="shared" si="415"/>
        <v>0</v>
      </c>
      <c r="V210" s="1918">
        <v>0</v>
      </c>
      <c r="W210" s="1918">
        <v>0</v>
      </c>
      <c r="X210" s="1918">
        <v>0</v>
      </c>
      <c r="Y210" s="1918">
        <v>0</v>
      </c>
      <c r="Z210" s="1918">
        <v>0</v>
      </c>
      <c r="AA210" s="1899">
        <f t="shared" si="416"/>
        <v>0</v>
      </c>
      <c r="AB210" s="1918">
        <v>0</v>
      </c>
      <c r="AD210" s="1918">
        <v>0</v>
      </c>
      <c r="AE210" s="1918">
        <v>0</v>
      </c>
      <c r="AF210" s="1899">
        <f t="shared" si="417"/>
        <v>0</v>
      </c>
      <c r="AG210" s="1513"/>
      <c r="AH210" s="1513"/>
      <c r="AI210" s="1513"/>
      <c r="AJ210" s="1513"/>
      <c r="AK210" s="1513"/>
      <c r="AS210" s="98"/>
      <c r="BD210" s="98"/>
    </row>
    <row r="211" spans="1:57" x14ac:dyDescent="0.35">
      <c r="A211" s="1957"/>
      <c r="B211" s="1921" t="s">
        <v>2438</v>
      </c>
      <c r="C211" s="1899">
        <f>IF(ISNUMBER(C38),C38, "")</f>
        <v>0</v>
      </c>
      <c r="D211" s="1899">
        <f>IF(ISNUMBER(D38),D38, "")</f>
        <v>0</v>
      </c>
      <c r="E211" s="1899">
        <f>IF(ISNUMBER(G38),G38, "")</f>
        <v>0</v>
      </c>
      <c r="F211" s="1909"/>
      <c r="G211" s="1899">
        <f t="shared" si="412"/>
        <v>0</v>
      </c>
      <c r="H211" s="1899">
        <f>IF(ISNUMBER(I38), I38, "")</f>
        <v>0</v>
      </c>
      <c r="I211" s="1899">
        <f>IF(ISNUMBER(J38), J38, "")</f>
        <v>0</v>
      </c>
      <c r="J211" s="1899">
        <f>IF(ISNUMBER(K38), K38, "")</f>
        <v>0</v>
      </c>
      <c r="K211" s="1899">
        <f t="shared" si="413"/>
        <v>0</v>
      </c>
      <c r="L211" s="1899">
        <f>IF(ISNUMBER(M38),M38, "")</f>
        <v>0</v>
      </c>
      <c r="M211" s="1899">
        <f>IF(ISNUMBER(AP38),AP38, "")</f>
        <v>0</v>
      </c>
      <c r="N211" s="1899">
        <f>IF(ISNUMBER(AQ38),AQ38, "")</f>
        <v>0</v>
      </c>
      <c r="O211" s="1899">
        <f>IF(ISNUMBER(AT38),AT38, "")</f>
        <v>0</v>
      </c>
      <c r="P211" s="1899">
        <f t="shared" si="414"/>
        <v>0</v>
      </c>
      <c r="R211" s="1899">
        <f>IF(ISNUMBER(AV38), AV38, "")</f>
        <v>0</v>
      </c>
      <c r="S211" s="1899">
        <f>IF(ISNUMBER(AW38), AW38, "")</f>
        <v>0</v>
      </c>
      <c r="T211" s="1899">
        <f>IF(ISNUMBER(AX38), AX38, "")</f>
        <v>0</v>
      </c>
      <c r="U211" s="1899">
        <f t="shared" si="415"/>
        <v>0</v>
      </c>
      <c r="V211" s="1899">
        <f>IF(ISNUMBER(AZ38), AZ38, "")</f>
        <v>0</v>
      </c>
      <c r="W211" s="1899">
        <f>IF(AND(ISNUMBER(BL38),ISNUMBER(BX38)), BL38+BX38, "")</f>
        <v>0</v>
      </c>
      <c r="X211" s="1918">
        <v>0</v>
      </c>
      <c r="Y211" s="1918">
        <v>0</v>
      </c>
      <c r="Z211" s="1918">
        <v>0</v>
      </c>
      <c r="AA211" s="1899">
        <f>IF(AND(ISNUMBER(X211),ISNUMBER(Y211), ISNUMBER(Z211)),SUM(X211, Y211, Z211),"")</f>
        <v>0</v>
      </c>
      <c r="AB211" s="1918">
        <v>0</v>
      </c>
      <c r="AD211" s="1918">
        <v>0</v>
      </c>
      <c r="AE211" s="1918">
        <v>0</v>
      </c>
      <c r="AF211" s="1899">
        <f>IF(AND(ISNUMBER(AB211),ISNUMBER(AD211), ISNUMBER(AE211)),SUM(AB211, AD211, AE211),"")</f>
        <v>0</v>
      </c>
      <c r="AG211" s="1513"/>
      <c r="AH211" s="1513"/>
      <c r="AI211" s="1513"/>
      <c r="AJ211" s="1513"/>
      <c r="AK211" s="1513"/>
      <c r="AS211" s="98"/>
      <c r="BD211" s="98"/>
    </row>
    <row r="212" spans="1:57" x14ac:dyDescent="0.35">
      <c r="A212" s="1957"/>
      <c r="B212" s="1960" t="s">
        <v>2439</v>
      </c>
      <c r="C212" s="1899">
        <f>IF(AND( ISNUMBER(C213),ISNUMBER(C214)), SUM(C213:C214),"")</f>
        <v>0</v>
      </c>
      <c r="D212" s="1899">
        <f>IF(AND( ISNUMBER(D213),ISNUMBER(D214)), SUM(D213:D214),"")</f>
        <v>0</v>
      </c>
      <c r="E212" s="1899">
        <f>IF(AND( ISNUMBER(E213),ISNUMBER(E214)), SUM(E213:E214),"")</f>
        <v>0</v>
      </c>
      <c r="F212" s="1909"/>
      <c r="G212" s="1899">
        <f t="shared" si="412"/>
        <v>0</v>
      </c>
      <c r="H212" s="1899">
        <f>IF(AND( ISNUMBER(H213),ISNUMBER(H214)), SUM(H213:H214),"")</f>
        <v>0</v>
      </c>
      <c r="I212" s="1899">
        <f>IF(AND( ISNUMBER(I213),ISNUMBER(I214)), SUM(I213:I214),"")</f>
        <v>0</v>
      </c>
      <c r="J212" s="1899">
        <f>IF(AND( ISNUMBER(J213),ISNUMBER(J214)), SUM(J213:J214),"")</f>
        <v>0</v>
      </c>
      <c r="K212" s="1899">
        <f t="shared" si="413"/>
        <v>0</v>
      </c>
      <c r="L212" s="1899">
        <f>IF(AND( ISNUMBER(L213),ISNUMBER(L214)), SUM(L213:L214),"")</f>
        <v>0</v>
      </c>
      <c r="M212" s="1899">
        <f>IF(AND( ISNUMBER(M213),ISNUMBER(M214)), SUM(M213:M214),"")</f>
        <v>0</v>
      </c>
      <c r="N212" s="1899">
        <f>IF(AND( ISNUMBER(N213),ISNUMBER(N214)), SUM(N213:N214),"")</f>
        <v>0</v>
      </c>
      <c r="O212" s="1899">
        <f>IF(AND( ISNUMBER(O213),ISNUMBER(O214)), SUM(O213:O214),"")</f>
        <v>0</v>
      </c>
      <c r="P212" s="1899">
        <f t="shared" si="414"/>
        <v>0</v>
      </c>
      <c r="R212" s="1899">
        <f>IF(AND( ISNUMBER(R213),ISNUMBER(R214)), SUM(R213:R214),"")</f>
        <v>0</v>
      </c>
      <c r="S212" s="1899">
        <f>IF(AND( ISNUMBER(S213),ISNUMBER(S214)), SUM(S213:S214),"")</f>
        <v>0</v>
      </c>
      <c r="T212" s="1899">
        <f>IF(AND( ISNUMBER(T213),ISNUMBER(T214)), SUM(T213:T214),"")</f>
        <v>0</v>
      </c>
      <c r="U212" s="1899">
        <f t="shared" si="415"/>
        <v>0</v>
      </c>
      <c r="V212" s="1899">
        <f>IF(AND( ISNUMBER(V213),ISNUMBER(V214)), SUM(V213:V214),"")</f>
        <v>0</v>
      </c>
      <c r="W212" s="1899">
        <f>IF(AND( ISNUMBER(W213),ISNUMBER(W214)), SUM(W213:W214),"")</f>
        <v>0</v>
      </c>
      <c r="X212" s="1899">
        <f>IF(AND( ISNUMBER(X213),ISNUMBER(X214)), SUM(X213:X214),"")</f>
        <v>0</v>
      </c>
      <c r="Y212" s="1899">
        <f>IF(AND( ISNUMBER(Y213),ISNUMBER(Y214)), SUM(Y213:Y214),"")</f>
        <v>0</v>
      </c>
      <c r="Z212" s="1899">
        <f>IF(AND( ISNUMBER(Z213),ISNUMBER(Z214)), SUM(Z213:Z214),"")</f>
        <v>0</v>
      </c>
      <c r="AA212" s="1899">
        <f t="shared" si="416"/>
        <v>0</v>
      </c>
      <c r="AB212" s="1899">
        <f>IF(AND( ISNUMBER(AB213),ISNUMBER(AB214)), SUM(AB213:AB214),"")</f>
        <v>0</v>
      </c>
      <c r="AD212" s="1899">
        <f>IF(AND( ISNUMBER(AD213),ISNUMBER(AD214)), SUM(AD213:AD214),"")</f>
        <v>0</v>
      </c>
      <c r="AE212" s="1899">
        <f>IF(AND( ISNUMBER(AE213),ISNUMBER(AE214)), SUM(AE213:AE214),"")</f>
        <v>0</v>
      </c>
      <c r="AF212" s="1899">
        <f>IF(AND(ISNUMBER(AB212),ISNUMBER(AD212), ISNUMBER(AE212)),SUM(AB212, AD212, AE212),"")</f>
        <v>0</v>
      </c>
      <c r="AG212" s="1513"/>
      <c r="AH212" s="1513"/>
      <c r="AI212" s="1513"/>
      <c r="AJ212" s="1513"/>
      <c r="AK212" s="1513"/>
      <c r="AS212" s="98"/>
      <c r="BD212" s="98"/>
    </row>
    <row r="213" spans="1:57" x14ac:dyDescent="0.35">
      <c r="A213" s="1957"/>
      <c r="B213" s="1871" t="s">
        <v>2436</v>
      </c>
      <c r="C213" s="1918">
        <v>0</v>
      </c>
      <c r="D213" s="1918">
        <v>0</v>
      </c>
      <c r="E213" s="1918">
        <v>0</v>
      </c>
      <c r="F213" s="1909"/>
      <c r="G213" s="1899">
        <f t="shared" si="412"/>
        <v>0</v>
      </c>
      <c r="H213" s="1918">
        <v>0</v>
      </c>
      <c r="I213" s="1918">
        <v>0</v>
      </c>
      <c r="J213" s="1918">
        <v>0</v>
      </c>
      <c r="K213" s="1899">
        <f t="shared" si="413"/>
        <v>0</v>
      </c>
      <c r="L213" s="1918">
        <v>0</v>
      </c>
      <c r="M213" s="1918">
        <v>0</v>
      </c>
      <c r="N213" s="1918">
        <v>0</v>
      </c>
      <c r="O213" s="1918">
        <v>0</v>
      </c>
      <c r="P213" s="1899">
        <f t="shared" si="414"/>
        <v>0</v>
      </c>
      <c r="R213" s="1918">
        <v>0</v>
      </c>
      <c r="S213" s="1918">
        <v>0</v>
      </c>
      <c r="T213" s="1918">
        <v>0</v>
      </c>
      <c r="U213" s="1899">
        <f t="shared" si="415"/>
        <v>0</v>
      </c>
      <c r="V213" s="1918">
        <v>0</v>
      </c>
      <c r="W213" s="1918">
        <v>0</v>
      </c>
      <c r="X213" s="1918">
        <v>0</v>
      </c>
      <c r="Y213" s="1918">
        <v>0</v>
      </c>
      <c r="Z213" s="1918">
        <v>0</v>
      </c>
      <c r="AA213" s="1899">
        <f t="shared" si="416"/>
        <v>0</v>
      </c>
      <c r="AB213" s="1918">
        <v>0</v>
      </c>
      <c r="AD213" s="1918">
        <v>0</v>
      </c>
      <c r="AE213" s="1918">
        <v>0</v>
      </c>
      <c r="AF213" s="1899">
        <f t="shared" si="417"/>
        <v>0</v>
      </c>
      <c r="AG213" s="1513"/>
      <c r="AH213" s="1513"/>
      <c r="AI213" s="1513"/>
      <c r="AJ213" s="1513"/>
      <c r="AK213" s="1513"/>
      <c r="AS213" s="98"/>
      <c r="BD213" s="98"/>
    </row>
    <row r="214" spans="1:57" x14ac:dyDescent="0.35">
      <c r="A214" s="1957"/>
      <c r="B214" s="1961" t="s">
        <v>2437</v>
      </c>
      <c r="C214" s="1918">
        <v>0</v>
      </c>
      <c r="D214" s="1918">
        <v>0</v>
      </c>
      <c r="E214" s="1918">
        <v>0</v>
      </c>
      <c r="F214" s="1909"/>
      <c r="G214" s="1963">
        <f t="shared" si="412"/>
        <v>0</v>
      </c>
      <c r="H214" s="1918">
        <v>0</v>
      </c>
      <c r="I214" s="1918">
        <v>0</v>
      </c>
      <c r="J214" s="1918">
        <v>0</v>
      </c>
      <c r="K214" s="1963">
        <f t="shared" si="413"/>
        <v>0</v>
      </c>
      <c r="L214" s="1918">
        <v>0</v>
      </c>
      <c r="M214" s="1918">
        <v>0</v>
      </c>
      <c r="N214" s="1918">
        <v>0</v>
      </c>
      <c r="O214" s="1962">
        <v>0</v>
      </c>
      <c r="P214" s="1963">
        <f t="shared" si="414"/>
        <v>0</v>
      </c>
      <c r="R214" s="1918">
        <v>0</v>
      </c>
      <c r="S214" s="1918">
        <v>0</v>
      </c>
      <c r="T214" s="1918">
        <v>0</v>
      </c>
      <c r="U214" s="1963">
        <f t="shared" si="415"/>
        <v>0</v>
      </c>
      <c r="V214" s="1962">
        <v>0</v>
      </c>
      <c r="W214" s="1962">
        <v>0</v>
      </c>
      <c r="X214" s="1962">
        <v>0</v>
      </c>
      <c r="Y214" s="1962">
        <v>0</v>
      </c>
      <c r="Z214" s="1962">
        <v>0</v>
      </c>
      <c r="AA214" s="1963">
        <f t="shared" si="416"/>
        <v>0</v>
      </c>
      <c r="AB214" s="1962">
        <v>0</v>
      </c>
      <c r="AD214" s="1962">
        <v>0</v>
      </c>
      <c r="AE214" s="1962">
        <v>0</v>
      </c>
      <c r="AF214" s="1963">
        <f t="shared" si="417"/>
        <v>0</v>
      </c>
      <c r="AG214" s="1513"/>
      <c r="AH214" s="1513"/>
      <c r="AI214" s="1513"/>
      <c r="AJ214" s="1513"/>
      <c r="AK214" s="1513"/>
      <c r="AS214" s="98"/>
      <c r="BD214" s="98"/>
    </row>
    <row r="215" spans="1:57" x14ac:dyDescent="0.35">
      <c r="A215" s="1964"/>
      <c r="B215" s="1965"/>
      <c r="C215" s="1516"/>
      <c r="D215" s="1516"/>
      <c r="E215" s="1516"/>
      <c r="F215" s="1909"/>
      <c r="G215" s="1516"/>
      <c r="H215" s="1516"/>
      <c r="I215" s="1516"/>
      <c r="J215" s="1516"/>
      <c r="K215" s="1516"/>
      <c r="L215" s="1516"/>
      <c r="M215" s="1516"/>
      <c r="N215" s="1516"/>
      <c r="O215" s="1516"/>
      <c r="P215" s="1516"/>
      <c r="R215" s="1516"/>
      <c r="S215" s="1516"/>
      <c r="T215" s="1516"/>
      <c r="U215" s="1516"/>
      <c r="V215" s="1516"/>
      <c r="W215" s="1516"/>
      <c r="X215" s="1516"/>
      <c r="Y215" s="1516"/>
      <c r="Z215" s="1516"/>
      <c r="AA215" s="1516"/>
      <c r="AB215" s="1516"/>
      <c r="AD215" s="1516"/>
      <c r="AE215" s="1516"/>
      <c r="AF215" s="1516"/>
      <c r="AG215" s="1513"/>
      <c r="AH215" s="1513"/>
      <c r="AI215" s="1513"/>
      <c r="AJ215" s="1513"/>
      <c r="AK215" s="1513"/>
      <c r="AS215" s="98"/>
      <c r="BD215" s="98"/>
    </row>
    <row r="216" spans="1:57" ht="50.1" customHeight="1" x14ac:dyDescent="0.35">
      <c r="A216" s="1885" t="s">
        <v>2440</v>
      </c>
      <c r="B216" s="1886"/>
      <c r="C216" s="1886"/>
      <c r="D216" s="1886"/>
      <c r="E216" s="1886"/>
      <c r="F216" s="1886"/>
      <c r="G216" s="1886"/>
      <c r="H216" s="1886"/>
      <c r="I216" s="1886"/>
      <c r="J216" s="1886"/>
      <c r="K216" s="1886"/>
      <c r="L216" s="1886"/>
      <c r="M216" s="1886"/>
      <c r="N216" s="1886"/>
      <c r="O216" s="1886"/>
      <c r="P216" s="1886"/>
      <c r="Q216" s="1886"/>
      <c r="R216" s="1886"/>
      <c r="S216" s="1886"/>
      <c r="T216" s="1886"/>
      <c r="U216" s="1886"/>
      <c r="V216" s="1886"/>
      <c r="W216" s="1886"/>
      <c r="X216" s="1886"/>
      <c r="Y216" s="1886"/>
      <c r="Z216" s="1886"/>
      <c r="AA216" s="1886"/>
      <c r="AB216" s="1886"/>
      <c r="AC216" s="1886"/>
      <c r="AD216" s="1886"/>
      <c r="AE216" s="1886"/>
      <c r="AF216" s="1886"/>
      <c r="AG216" s="1886"/>
      <c r="AH216" s="1886"/>
      <c r="AI216" s="1886"/>
      <c r="AJ216" s="1886"/>
      <c r="AK216" s="1886"/>
      <c r="AL216" s="1886"/>
      <c r="AM216" s="1886"/>
      <c r="AN216" s="1886"/>
      <c r="AO216" s="1886"/>
      <c r="AP216" s="1886"/>
      <c r="AQ216" s="1886"/>
      <c r="AR216" s="1886"/>
      <c r="AS216" s="1886"/>
      <c r="AT216" s="1886"/>
      <c r="AU216" s="1886"/>
      <c r="AV216" s="1886"/>
      <c r="AW216" s="1886"/>
      <c r="AX216" s="1886"/>
      <c r="AY216" s="1886"/>
      <c r="AZ216" s="1886"/>
      <c r="BA216" s="1886"/>
      <c r="BB216" s="1886"/>
      <c r="BC216" s="1886"/>
      <c r="BD216" s="1886"/>
      <c r="BE216" s="1886"/>
    </row>
    <row r="217" spans="1:57" ht="89.1" customHeight="1" x14ac:dyDescent="0.35">
      <c r="A217" s="1513"/>
      <c r="B217" s="2714" t="s">
        <v>2369</v>
      </c>
      <c r="C217" s="2802" t="s">
        <v>735</v>
      </c>
      <c r="D217" s="2803"/>
      <c r="E217" s="2804" t="s">
        <v>2384</v>
      </c>
      <c r="F217" s="2684"/>
      <c r="G217" s="2805"/>
      <c r="H217" s="2734" t="s">
        <v>2441</v>
      </c>
      <c r="I217" s="2734"/>
      <c r="J217" s="2732" t="s">
        <v>221</v>
      </c>
      <c r="K217" s="2732"/>
      <c r="L217" s="2732"/>
      <c r="M217" s="2736" t="s">
        <v>2371</v>
      </c>
      <c r="N217" s="2736"/>
      <c r="O217" s="2736"/>
      <c r="P217" s="1886"/>
      <c r="Q217" s="1886"/>
      <c r="R217" s="1886"/>
      <c r="S217" s="1886"/>
      <c r="T217" s="1886"/>
      <c r="U217" s="1886"/>
      <c r="V217" s="1886"/>
      <c r="W217" s="1886"/>
      <c r="X217" s="1886"/>
      <c r="Y217" s="1886"/>
      <c r="Z217" s="1886"/>
      <c r="AA217" s="1886"/>
      <c r="AB217" s="1886"/>
      <c r="AC217" s="1886"/>
      <c r="AD217" s="1886"/>
      <c r="AE217" s="1886"/>
      <c r="AF217" s="1886"/>
      <c r="AG217" s="1886"/>
      <c r="AH217" s="1886"/>
      <c r="AI217" s="1886"/>
      <c r="AJ217" s="1886"/>
      <c r="AK217" s="1886"/>
      <c r="AL217" s="1886"/>
      <c r="AM217" s="1886"/>
      <c r="AN217" s="1886"/>
      <c r="AO217" s="1886"/>
      <c r="AP217" s="1886"/>
      <c r="AQ217" s="1886"/>
      <c r="AR217" s="1886"/>
      <c r="AS217" s="1886"/>
      <c r="AT217" s="1886"/>
      <c r="AU217" s="1886"/>
      <c r="AV217" s="1886"/>
      <c r="AW217" s="1886"/>
      <c r="AX217" s="1886"/>
      <c r="AY217" s="1886"/>
      <c r="AZ217" s="1886"/>
      <c r="BA217" s="1886"/>
      <c r="BB217" s="1886"/>
      <c r="BC217" s="1886"/>
      <c r="BD217" s="1886"/>
      <c r="BE217" s="1886"/>
    </row>
    <row r="218" spans="1:57" ht="50.1" customHeight="1" x14ac:dyDescent="0.35">
      <c r="A218" s="1513"/>
      <c r="B218" s="2715"/>
      <c r="C218" s="2710" t="s">
        <v>749</v>
      </c>
      <c r="D218" s="2729"/>
      <c r="E218" s="2710" t="s">
        <v>2312</v>
      </c>
      <c r="F218" s="2566"/>
      <c r="G218" s="2729"/>
      <c r="H218" s="2709" t="s">
        <v>2312</v>
      </c>
      <c r="I218" s="2709"/>
      <c r="J218" s="2709" t="s">
        <v>2442</v>
      </c>
      <c r="K218" s="2709"/>
      <c r="L218" s="2709"/>
      <c r="M218" s="2709" t="s">
        <v>2442</v>
      </c>
      <c r="N218" s="2709"/>
      <c r="O218" s="2709"/>
      <c r="P218" s="1886"/>
      <c r="Q218" s="1886"/>
      <c r="R218" s="1886"/>
      <c r="S218" s="1886"/>
      <c r="T218" s="1886"/>
      <c r="U218" s="1886"/>
      <c r="V218" s="1886"/>
      <c r="W218" s="1886"/>
      <c r="X218" s="1886"/>
      <c r="Y218" s="1886"/>
      <c r="Z218" s="1886"/>
      <c r="AA218" s="1886"/>
      <c r="AB218" s="1886"/>
      <c r="AC218" s="1886"/>
      <c r="AD218" s="1886"/>
      <c r="AE218" s="1886"/>
      <c r="AF218" s="1886"/>
      <c r="AG218" s="1886"/>
      <c r="AH218" s="1886"/>
      <c r="AI218" s="1886"/>
      <c r="AJ218" s="1886"/>
      <c r="AK218" s="1886"/>
      <c r="AL218" s="1886"/>
      <c r="AM218" s="1886"/>
      <c r="AN218" s="1886"/>
      <c r="AO218" s="1886"/>
      <c r="AP218" s="1886"/>
      <c r="AQ218" s="1886"/>
      <c r="AR218" s="1886"/>
      <c r="AS218" s="1886"/>
      <c r="AT218" s="1886"/>
      <c r="AU218" s="1886"/>
      <c r="AV218" s="1886"/>
      <c r="AW218" s="1886"/>
      <c r="AX218" s="1886"/>
      <c r="AY218" s="1886"/>
      <c r="AZ218" s="1886"/>
      <c r="BA218" s="1886"/>
      <c r="BB218" s="1886"/>
      <c r="BC218" s="1886"/>
      <c r="BD218" s="1886"/>
      <c r="BE218" s="1886"/>
    </row>
    <row r="219" spans="1:57" ht="50.1" customHeight="1" x14ac:dyDescent="0.35">
      <c r="A219" s="1513"/>
      <c r="B219" s="2715"/>
      <c r="C219" s="2724" t="s">
        <v>2305</v>
      </c>
      <c r="D219" s="2724" t="s">
        <v>2315</v>
      </c>
      <c r="E219" s="2724" t="s">
        <v>2305</v>
      </c>
      <c r="F219" s="1853"/>
      <c r="G219" s="2724" t="s">
        <v>2315</v>
      </c>
      <c r="H219" s="2709"/>
      <c r="I219" s="2709"/>
      <c r="J219" s="2709" t="s">
        <v>2372</v>
      </c>
      <c r="K219" s="2709"/>
      <c r="L219" s="2709" t="s">
        <v>177</v>
      </c>
      <c r="M219" s="2709" t="s">
        <v>2372</v>
      </c>
      <c r="N219" s="2709"/>
      <c r="O219" s="2709" t="s">
        <v>177</v>
      </c>
      <c r="P219" s="1886"/>
      <c r="Q219" s="1886"/>
      <c r="R219" s="1886"/>
      <c r="S219" s="1886"/>
      <c r="T219" s="1886"/>
      <c r="U219" s="1886"/>
      <c r="V219" s="1886"/>
      <c r="W219" s="1886"/>
      <c r="X219" s="1886"/>
      <c r="Y219" s="1886"/>
      <c r="Z219" s="1886"/>
      <c r="AA219" s="1886"/>
      <c r="AB219" s="1886"/>
      <c r="AC219" s="1886"/>
      <c r="AD219" s="1886"/>
      <c r="AE219" s="1886"/>
      <c r="AF219" s="1886"/>
      <c r="AG219" s="1886"/>
      <c r="AH219" s="1886"/>
      <c r="AI219" s="1886"/>
      <c r="AJ219" s="1886"/>
      <c r="AK219" s="1886"/>
      <c r="AL219" s="1886"/>
      <c r="AM219" s="1886"/>
      <c r="AN219" s="1886"/>
      <c r="AO219" s="1886"/>
      <c r="AP219" s="1886"/>
      <c r="AQ219" s="1886"/>
      <c r="AR219" s="1886"/>
      <c r="AS219" s="1886"/>
      <c r="AT219" s="1886"/>
      <c r="AU219" s="1886"/>
      <c r="AV219" s="1886"/>
      <c r="AW219" s="1886"/>
      <c r="AX219" s="1886"/>
      <c r="AY219" s="1886"/>
      <c r="AZ219" s="1886"/>
      <c r="BA219" s="1886"/>
      <c r="BB219" s="1886"/>
      <c r="BC219" s="1886"/>
      <c r="BD219" s="1886"/>
      <c r="BE219" s="1886"/>
    </row>
    <row r="220" spans="1:57" ht="63" customHeight="1" x14ac:dyDescent="0.35">
      <c r="A220" s="1513"/>
      <c r="B220" s="2716"/>
      <c r="C220" s="2725"/>
      <c r="D220" s="2725"/>
      <c r="E220" s="2725"/>
      <c r="F220" s="1851"/>
      <c r="G220" s="2725"/>
      <c r="H220" s="1853" t="s">
        <v>2305</v>
      </c>
      <c r="I220" s="1875" t="s">
        <v>2315</v>
      </c>
      <c r="J220" s="1853" t="s">
        <v>59</v>
      </c>
      <c r="K220" s="1875" t="s">
        <v>756</v>
      </c>
      <c r="L220" s="2709"/>
      <c r="M220" s="1853" t="s">
        <v>59</v>
      </c>
      <c r="N220" s="1875" t="s">
        <v>756</v>
      </c>
      <c r="O220" s="2709"/>
      <c r="P220" s="1886"/>
      <c r="Q220" s="1886"/>
      <c r="R220" s="1886"/>
      <c r="S220" s="1886"/>
      <c r="T220" s="1886"/>
      <c r="U220" s="1886"/>
      <c r="V220" s="1886"/>
      <c r="W220" s="1886"/>
      <c r="X220" s="1886"/>
      <c r="Y220" s="1886"/>
      <c r="Z220" s="1886"/>
      <c r="AA220" s="1886"/>
      <c r="AB220" s="1886"/>
      <c r="AC220" s="1886"/>
      <c r="AD220" s="1886"/>
      <c r="AE220" s="1886"/>
      <c r="AF220" s="1886"/>
      <c r="AG220" s="1886"/>
      <c r="AH220" s="1886"/>
      <c r="AI220" s="1886"/>
      <c r="AJ220" s="1886"/>
      <c r="AK220" s="1886"/>
      <c r="AL220" s="1886"/>
      <c r="AM220" s="1886"/>
      <c r="AN220" s="1886"/>
      <c r="AO220" s="1886"/>
      <c r="AP220" s="1886"/>
      <c r="AQ220" s="1886"/>
      <c r="AR220" s="1886"/>
      <c r="AS220" s="1886"/>
      <c r="AT220" s="1886"/>
      <c r="AU220" s="1886"/>
      <c r="AV220" s="1886"/>
      <c r="AW220" s="1886"/>
      <c r="AX220" s="1886"/>
      <c r="AY220" s="1886"/>
      <c r="AZ220" s="1886"/>
      <c r="BA220" s="1886"/>
      <c r="BB220" s="1886"/>
      <c r="BC220" s="1886"/>
      <c r="BD220" s="1886"/>
      <c r="BE220" s="1886"/>
    </row>
    <row r="221" spans="1:57" x14ac:dyDescent="0.35">
      <c r="A221" s="1513"/>
      <c r="B221" s="1948" t="s">
        <v>2443</v>
      </c>
      <c r="C221" s="212">
        <v>0</v>
      </c>
      <c r="D221" s="212">
        <v>0</v>
      </c>
      <c r="E221" s="212">
        <v>0</v>
      </c>
      <c r="G221" s="212">
        <v>0</v>
      </c>
      <c r="H221" s="212">
        <v>0</v>
      </c>
      <c r="I221" s="212">
        <v>0</v>
      </c>
      <c r="J221" s="212">
        <v>0</v>
      </c>
      <c r="K221" s="212">
        <v>0</v>
      </c>
      <c r="L221" s="212">
        <v>0</v>
      </c>
      <c r="M221" s="212">
        <v>0</v>
      </c>
      <c r="N221" s="212">
        <v>0</v>
      </c>
      <c r="O221" s="212">
        <v>0</v>
      </c>
      <c r="P221" s="1886"/>
      <c r="Q221" s="1886"/>
      <c r="R221" s="1886"/>
      <c r="S221" s="1886"/>
      <c r="T221" s="1886"/>
      <c r="U221" s="1886"/>
      <c r="V221" s="1886"/>
      <c r="W221" s="1886"/>
      <c r="X221" s="1886"/>
      <c r="Y221" s="1886"/>
      <c r="Z221" s="1886"/>
      <c r="AA221" s="1886"/>
      <c r="AB221" s="1886"/>
      <c r="AC221" s="1886"/>
      <c r="AD221" s="1886"/>
      <c r="AE221" s="1886"/>
      <c r="AF221" s="1886"/>
      <c r="AG221" s="1886"/>
      <c r="AH221" s="1886"/>
      <c r="AI221" s="1886"/>
      <c r="AJ221" s="1886"/>
      <c r="AK221" s="1886"/>
      <c r="AL221" s="1886"/>
      <c r="AM221" s="1886"/>
      <c r="AN221" s="1886"/>
      <c r="AO221" s="1886"/>
      <c r="AP221" s="1886"/>
      <c r="AQ221" s="1886"/>
      <c r="AR221" s="1886"/>
      <c r="AS221" s="1886"/>
      <c r="AT221" s="1886"/>
      <c r="AU221" s="1886"/>
      <c r="AV221" s="1886"/>
      <c r="AW221" s="1886"/>
      <c r="AX221" s="1886"/>
      <c r="AY221" s="1886"/>
      <c r="AZ221" s="1886"/>
      <c r="BA221" s="1886"/>
      <c r="BB221" s="1886"/>
      <c r="BC221" s="1886"/>
      <c r="BD221" s="1886"/>
      <c r="BE221" s="1886"/>
    </row>
    <row r="222" spans="1:57" x14ac:dyDescent="0.35">
      <c r="A222" s="1886"/>
      <c r="B222" s="1886"/>
      <c r="C222" s="1886"/>
      <c r="D222" s="1886"/>
      <c r="E222" s="1886"/>
      <c r="F222" s="1886"/>
      <c r="G222" s="1886"/>
      <c r="H222" s="1886"/>
      <c r="I222" s="1886"/>
      <c r="J222" s="1886"/>
      <c r="K222" s="1886"/>
      <c r="L222" s="1886"/>
      <c r="M222" s="1886"/>
      <c r="N222" s="1886"/>
      <c r="O222" s="1886"/>
      <c r="P222" s="1886"/>
      <c r="Q222" s="1886"/>
      <c r="R222" s="1886"/>
      <c r="S222" s="1886"/>
      <c r="T222" s="1886"/>
      <c r="U222" s="1886"/>
      <c r="V222" s="1886"/>
      <c r="W222" s="1886"/>
      <c r="X222" s="1886"/>
      <c r="Y222" s="1886"/>
      <c r="Z222" s="1886"/>
      <c r="AA222" s="1886"/>
      <c r="AB222" s="1886"/>
      <c r="AC222" s="1886"/>
      <c r="AD222" s="1886"/>
      <c r="AE222" s="1886"/>
      <c r="AF222" s="1886"/>
      <c r="AG222" s="1886"/>
      <c r="AH222" s="1886"/>
      <c r="AI222" s="1886"/>
      <c r="AJ222" s="1886"/>
      <c r="AK222" s="1886"/>
      <c r="AL222" s="1886"/>
      <c r="AM222" s="1886"/>
      <c r="AN222" s="1886"/>
      <c r="AO222" s="1886"/>
      <c r="AP222" s="1886"/>
      <c r="AQ222" s="1886"/>
      <c r="AR222" s="1886"/>
      <c r="AS222" s="1886"/>
      <c r="AT222" s="1886"/>
      <c r="AU222" s="1886"/>
      <c r="AV222" s="1886"/>
      <c r="AW222" s="1886"/>
      <c r="AX222" s="1886"/>
      <c r="AY222" s="1886"/>
      <c r="AZ222" s="1886"/>
      <c r="BA222" s="1886"/>
      <c r="BB222" s="1886"/>
      <c r="BC222" s="1886"/>
      <c r="BD222" s="1886"/>
      <c r="BE222" s="1886"/>
    </row>
    <row r="223" spans="1:57" x14ac:dyDescent="0.35">
      <c r="A223" s="1886"/>
      <c r="B223" s="1886"/>
      <c r="C223" s="1886"/>
      <c r="D223" s="1886"/>
      <c r="E223" s="1886"/>
      <c r="F223" s="1886"/>
      <c r="G223" s="1886"/>
      <c r="H223" s="1886"/>
      <c r="I223" s="1886"/>
      <c r="J223" s="1886"/>
      <c r="K223" s="1886"/>
      <c r="L223" s="1886"/>
      <c r="M223" s="1886"/>
      <c r="N223" s="1886"/>
      <c r="O223" s="1886"/>
      <c r="P223" s="1886"/>
      <c r="Q223" s="1886"/>
      <c r="R223" s="1886"/>
      <c r="S223" s="1886"/>
      <c r="T223" s="1886"/>
      <c r="U223" s="1886"/>
      <c r="V223" s="1886"/>
      <c r="W223" s="1886"/>
      <c r="X223" s="1886"/>
      <c r="Y223" s="1886"/>
      <c r="Z223" s="1886"/>
      <c r="AA223" s="1886"/>
      <c r="AB223" s="1886"/>
      <c r="AC223" s="1886"/>
      <c r="AD223" s="1886"/>
      <c r="AE223" s="1886"/>
      <c r="AF223" s="1886"/>
      <c r="AG223" s="1886"/>
      <c r="AH223" s="1886"/>
      <c r="AI223" s="1886"/>
      <c r="AJ223" s="1886"/>
      <c r="AK223" s="1886"/>
      <c r="AL223" s="1886"/>
      <c r="AM223" s="1886"/>
      <c r="AN223" s="1886"/>
      <c r="AO223" s="1886"/>
      <c r="AP223" s="1886"/>
      <c r="AQ223" s="1886"/>
      <c r="AR223" s="1886"/>
      <c r="AS223" s="1886"/>
      <c r="AT223" s="1886"/>
      <c r="AU223" s="1886"/>
      <c r="AV223" s="1886"/>
      <c r="AW223" s="1886"/>
      <c r="AX223" s="1886"/>
      <c r="AY223" s="1886"/>
      <c r="AZ223" s="1886"/>
      <c r="BA223" s="1886"/>
      <c r="BB223" s="1886"/>
      <c r="BC223" s="1886"/>
      <c r="BD223" s="1886"/>
      <c r="BE223" s="1886"/>
    </row>
    <row r="224" spans="1:57" x14ac:dyDescent="0.35">
      <c r="A224" s="1886"/>
      <c r="B224" s="1886"/>
      <c r="C224" s="1886"/>
      <c r="D224" s="1886"/>
      <c r="E224" s="1886"/>
      <c r="F224" s="1886"/>
      <c r="G224" s="1886"/>
      <c r="H224" s="1886"/>
      <c r="I224" s="1886"/>
      <c r="J224" s="1886"/>
      <c r="K224" s="1886"/>
      <c r="L224" s="1886"/>
      <c r="M224" s="1886"/>
      <c r="N224" s="1886"/>
      <c r="O224" s="1886"/>
      <c r="P224" s="1886"/>
      <c r="Q224" s="1886"/>
      <c r="R224" s="1886"/>
      <c r="S224" s="1886"/>
      <c r="T224" s="1886"/>
      <c r="U224" s="1886"/>
      <c r="V224" s="1886"/>
      <c r="W224" s="1886"/>
      <c r="X224" s="1886"/>
      <c r="Y224" s="1886"/>
      <c r="Z224" s="1886"/>
      <c r="AA224" s="1886"/>
      <c r="AB224" s="1886"/>
      <c r="AC224" s="1886"/>
      <c r="AD224" s="1886"/>
      <c r="AE224" s="1886"/>
      <c r="AF224" s="1886"/>
      <c r="AG224" s="1886"/>
      <c r="AH224" s="1886"/>
      <c r="AI224" s="1886"/>
      <c r="AJ224" s="1886"/>
      <c r="AK224" s="1886"/>
      <c r="AL224" s="1886"/>
      <c r="AM224" s="1886"/>
      <c r="AN224" s="1886"/>
      <c r="AO224" s="1886"/>
      <c r="AP224" s="1886"/>
      <c r="AQ224" s="1886"/>
      <c r="AR224" s="1886"/>
      <c r="AS224" s="1886"/>
      <c r="AT224" s="1886"/>
      <c r="AU224" s="1886"/>
      <c r="AV224" s="1886"/>
      <c r="AW224" s="1886"/>
      <c r="AX224" s="1886"/>
      <c r="AY224" s="1886"/>
      <c r="AZ224" s="1886"/>
      <c r="BA224" s="1886"/>
      <c r="BB224" s="1886"/>
      <c r="BC224" s="1886"/>
      <c r="BD224" s="1886"/>
      <c r="BE224" s="1886"/>
    </row>
  </sheetData>
  <sheetProtection algorithmName="SHA-512" hashValue="mE7Ktsj3h14+8aj3sJkGqyJJlB5LfbLOIl7ZYAZcd8bN3Khb8BosgK7+HsADsszbsNA/AIBtCPAYE3YJ2f88HQ==" saltValue="AVHnsfkqVRK2UQhijiPZhw==" spinCount="100000" sheet="1" objects="1" scenarios="1"/>
  <mergeCells count="340">
    <mergeCell ref="AV116:AX116"/>
    <mergeCell ref="AY116:BA116"/>
    <mergeCell ref="BB116:BE116"/>
    <mergeCell ref="V115:W115"/>
    <mergeCell ref="AV151:AX151"/>
    <mergeCell ref="AY151:BA151"/>
    <mergeCell ref="BB151:BE151"/>
    <mergeCell ref="B217:B220"/>
    <mergeCell ref="C217:D217"/>
    <mergeCell ref="E217:G217"/>
    <mergeCell ref="H217:I217"/>
    <mergeCell ref="J217:L217"/>
    <mergeCell ref="M217:O217"/>
    <mergeCell ref="C218:D218"/>
    <mergeCell ref="E218:G218"/>
    <mergeCell ref="H218:I219"/>
    <mergeCell ref="J218:L218"/>
    <mergeCell ref="M218:O218"/>
    <mergeCell ref="C219:C220"/>
    <mergeCell ref="D219:D220"/>
    <mergeCell ref="E219:E220"/>
    <mergeCell ref="G219:G220"/>
    <mergeCell ref="J219:K219"/>
    <mergeCell ref="L219:L220"/>
    <mergeCell ref="M219:N219"/>
    <mergeCell ref="O219:O220"/>
    <mergeCell ref="N187:N188"/>
    <mergeCell ref="O187:O188"/>
    <mergeCell ref="P187:P188"/>
    <mergeCell ref="R187:R188"/>
    <mergeCell ref="S187:S188"/>
    <mergeCell ref="B201:B206"/>
    <mergeCell ref="C201:L201"/>
    <mergeCell ref="M201:W201"/>
    <mergeCell ref="B185:B188"/>
    <mergeCell ref="C185:D185"/>
    <mergeCell ref="E185:G185"/>
    <mergeCell ref="H185:J185"/>
    <mergeCell ref="K185:M185"/>
    <mergeCell ref="C186:C188"/>
    <mergeCell ref="D186:D188"/>
    <mergeCell ref="E186:E188"/>
    <mergeCell ref="G186:G188"/>
    <mergeCell ref="H186:J186"/>
    <mergeCell ref="K186:M186"/>
    <mergeCell ref="H187:I187"/>
    <mergeCell ref="J187:J188"/>
    <mergeCell ref="K187:L187"/>
    <mergeCell ref="X201:AF201"/>
    <mergeCell ref="C202:L202"/>
    <mergeCell ref="M202:W202"/>
    <mergeCell ref="X202:AF202"/>
    <mergeCell ref="C203:E205"/>
    <mergeCell ref="G203:G206"/>
    <mergeCell ref="H203:K205"/>
    <mergeCell ref="L203:L206"/>
    <mergeCell ref="M203:O205"/>
    <mergeCell ref="P203:P206"/>
    <mergeCell ref="R203:U205"/>
    <mergeCell ref="V203:W205"/>
    <mergeCell ref="X203:Z205"/>
    <mergeCell ref="AA203:AA206"/>
    <mergeCell ref="AB203:AF205"/>
    <mergeCell ref="M187:M188"/>
    <mergeCell ref="AO151:AP151"/>
    <mergeCell ref="AQ151:AQ152"/>
    <mergeCell ref="AR151:AT151"/>
    <mergeCell ref="AU151:AU152"/>
    <mergeCell ref="B163:B166"/>
    <mergeCell ref="C163:E163"/>
    <mergeCell ref="G163:I163"/>
    <mergeCell ref="C164:E164"/>
    <mergeCell ref="G164:I164"/>
    <mergeCell ref="C165:D165"/>
    <mergeCell ref="E165:E166"/>
    <mergeCell ref="G165:H165"/>
    <mergeCell ref="I165:I166"/>
    <mergeCell ref="J165:J166"/>
    <mergeCell ref="K165:K166"/>
    <mergeCell ref="L165:L166"/>
    <mergeCell ref="AF151:AF152"/>
    <mergeCell ref="AG151:AG152"/>
    <mergeCell ref="AH151:AH152"/>
    <mergeCell ref="AI151:AI152"/>
    <mergeCell ref="AJ151:AJ152"/>
    <mergeCell ref="AK151:AK152"/>
    <mergeCell ref="AL151:AL152"/>
    <mergeCell ref="AM151:AM152"/>
    <mergeCell ref="AN151:AN152"/>
    <mergeCell ref="C151:C152"/>
    <mergeCell ref="D151:D152"/>
    <mergeCell ref="E151:E152"/>
    <mergeCell ref="H151:H152"/>
    <mergeCell ref="I151:I152"/>
    <mergeCell ref="J151:J152"/>
    <mergeCell ref="M151:M152"/>
    <mergeCell ref="N151:N152"/>
    <mergeCell ref="O151:O152"/>
    <mergeCell ref="K150:K152"/>
    <mergeCell ref="L150:L152"/>
    <mergeCell ref="M150:P150"/>
    <mergeCell ref="R150:U150"/>
    <mergeCell ref="V150:W150"/>
    <mergeCell ref="X150:AA150"/>
    <mergeCell ref="AB150:AF150"/>
    <mergeCell ref="AG150:AJ150"/>
    <mergeCell ref="AK150:AN150"/>
    <mergeCell ref="P151:P152"/>
    <mergeCell ref="R151:R152"/>
    <mergeCell ref="S151:S152"/>
    <mergeCell ref="T151:T152"/>
    <mergeCell ref="AM116:AM117"/>
    <mergeCell ref="AN116:AN117"/>
    <mergeCell ref="AO116:AP116"/>
    <mergeCell ref="AQ116:AQ117"/>
    <mergeCell ref="AR116:AT116"/>
    <mergeCell ref="AU116:AU117"/>
    <mergeCell ref="B148:B152"/>
    <mergeCell ref="C148:L148"/>
    <mergeCell ref="M148:W148"/>
    <mergeCell ref="X148:AF148"/>
    <mergeCell ref="AG148:AJ148"/>
    <mergeCell ref="AK148:AN148"/>
    <mergeCell ref="AO148:AQ148"/>
    <mergeCell ref="AR148:AU148"/>
    <mergeCell ref="C149:L149"/>
    <mergeCell ref="M149:W149"/>
    <mergeCell ref="X149:AF149"/>
    <mergeCell ref="AG149:AJ149"/>
    <mergeCell ref="AK149:AN149"/>
    <mergeCell ref="AO149:AQ150"/>
    <mergeCell ref="AR149:AU150"/>
    <mergeCell ref="C150:E150"/>
    <mergeCell ref="U151:U152"/>
    <mergeCell ref="V151:V152"/>
    <mergeCell ref="G150:G152"/>
    <mergeCell ref="H150:J150"/>
    <mergeCell ref="AD116:AD117"/>
    <mergeCell ref="AE116:AE117"/>
    <mergeCell ref="AF116:AF117"/>
    <mergeCell ref="AG116:AG117"/>
    <mergeCell ref="AH116:AH117"/>
    <mergeCell ref="AI116:AI117"/>
    <mergeCell ref="AJ116:AJ117"/>
    <mergeCell ref="AB116:AB117"/>
    <mergeCell ref="AC116:AC117"/>
    <mergeCell ref="AD151:AD152"/>
    <mergeCell ref="AE151:AE152"/>
    <mergeCell ref="W151:W152"/>
    <mergeCell ref="X151:X152"/>
    <mergeCell ref="Y151:Y152"/>
    <mergeCell ref="Z151:Z152"/>
    <mergeCell ref="AA151:AA152"/>
    <mergeCell ref="AB151:AB152"/>
    <mergeCell ref="AC151:AC152"/>
    <mergeCell ref="AK116:AK117"/>
    <mergeCell ref="AL116:AL117"/>
    <mergeCell ref="AG115:AJ115"/>
    <mergeCell ref="AK115:AN115"/>
    <mergeCell ref="C116:C117"/>
    <mergeCell ref="D116:D117"/>
    <mergeCell ref="E116:E117"/>
    <mergeCell ref="H116:H117"/>
    <mergeCell ref="I116:I117"/>
    <mergeCell ref="J116:J117"/>
    <mergeCell ref="M116:M117"/>
    <mergeCell ref="N116:N117"/>
    <mergeCell ref="O116:O117"/>
    <mergeCell ref="P116:P117"/>
    <mergeCell ref="R116:R117"/>
    <mergeCell ref="S116:S117"/>
    <mergeCell ref="T116:T117"/>
    <mergeCell ref="U116:U117"/>
    <mergeCell ref="V116:V117"/>
    <mergeCell ref="W116:W117"/>
    <mergeCell ref="X116:X117"/>
    <mergeCell ref="Y116:Y117"/>
    <mergeCell ref="Z116:Z117"/>
    <mergeCell ref="AA116:AA117"/>
    <mergeCell ref="B113:B117"/>
    <mergeCell ref="C113:L113"/>
    <mergeCell ref="M113:W113"/>
    <mergeCell ref="X113:AF113"/>
    <mergeCell ref="AG113:AJ113"/>
    <mergeCell ref="AK113:AN113"/>
    <mergeCell ref="AO113:AQ113"/>
    <mergeCell ref="AR113:AU113"/>
    <mergeCell ref="C114:L114"/>
    <mergeCell ref="M114:W114"/>
    <mergeCell ref="X114:AF114"/>
    <mergeCell ref="AG114:AJ114"/>
    <mergeCell ref="AK114:AN114"/>
    <mergeCell ref="AO114:AQ115"/>
    <mergeCell ref="AR114:AU115"/>
    <mergeCell ref="C115:E115"/>
    <mergeCell ref="G115:G117"/>
    <mergeCell ref="H115:J115"/>
    <mergeCell ref="K115:K117"/>
    <mergeCell ref="L115:L117"/>
    <mergeCell ref="M115:P115"/>
    <mergeCell ref="R115:U115"/>
    <mergeCell ref="X115:AA115"/>
    <mergeCell ref="AB115:AF115"/>
    <mergeCell ref="Z12:AK12"/>
    <mergeCell ref="N12:Y12"/>
    <mergeCell ref="V15:V16"/>
    <mergeCell ref="AJ15:AJ16"/>
    <mergeCell ref="B12:B16"/>
    <mergeCell ref="W15:W16"/>
    <mergeCell ref="H14:H16"/>
    <mergeCell ref="M14:M16"/>
    <mergeCell ref="T14:W14"/>
    <mergeCell ref="C12:M12"/>
    <mergeCell ref="T15:T16"/>
    <mergeCell ref="AK15:AK16"/>
    <mergeCell ref="AF14:AI14"/>
    <mergeCell ref="AA15:AB15"/>
    <mergeCell ref="D15:E15"/>
    <mergeCell ref="I14:L14"/>
    <mergeCell ref="CT12:CV12"/>
    <mergeCell ref="CW12:CY12"/>
    <mergeCell ref="C72:J72"/>
    <mergeCell ref="I15:I16"/>
    <mergeCell ref="J15:J16"/>
    <mergeCell ref="L15:L16"/>
    <mergeCell ref="AL67:AO67"/>
    <mergeCell ref="G15:G16"/>
    <mergeCell ref="CT13:CV14"/>
    <mergeCell ref="CW13:CY14"/>
    <mergeCell ref="CT15:CU15"/>
    <mergeCell ref="CV15:CV16"/>
    <mergeCell ref="CW15:CX15"/>
    <mergeCell ref="CY15:CY16"/>
    <mergeCell ref="AL12:AO12"/>
    <mergeCell ref="AL14:AM14"/>
    <mergeCell ref="AO15:AO16"/>
    <mergeCell ref="AN15:AN16"/>
    <mergeCell ref="AP12:AZ12"/>
    <mergeCell ref="AQ15:AR15"/>
    <mergeCell ref="AV15:AV16"/>
    <mergeCell ref="AV14:AY14"/>
    <mergeCell ref="X15:X16"/>
    <mergeCell ref="Y15:Y16"/>
    <mergeCell ref="G75:G76"/>
    <mergeCell ref="AL13:AO13"/>
    <mergeCell ref="D75:D76"/>
    <mergeCell ref="H75:H76"/>
    <mergeCell ref="I74:I76"/>
    <mergeCell ref="J74:J76"/>
    <mergeCell ref="C74:H74"/>
    <mergeCell ref="C75:C76"/>
    <mergeCell ref="C73:J73"/>
    <mergeCell ref="U15:U16"/>
    <mergeCell ref="S14:S16"/>
    <mergeCell ref="C14:G14"/>
    <mergeCell ref="C15:C16"/>
    <mergeCell ref="K15:K16"/>
    <mergeCell ref="C13:M13"/>
    <mergeCell ref="N13:X13"/>
    <mergeCell ref="N14:R14"/>
    <mergeCell ref="N15:N16"/>
    <mergeCell ref="AJ14:AK14"/>
    <mergeCell ref="AF15:AF16"/>
    <mergeCell ref="AG15:AG16"/>
    <mergeCell ref="AH15:AH16"/>
    <mergeCell ref="AI15:AI16"/>
    <mergeCell ref="O15:P15"/>
    <mergeCell ref="AY15:AY16"/>
    <mergeCell ref="AU14:AU16"/>
    <mergeCell ref="R15:R16"/>
    <mergeCell ref="AD15:AD16"/>
    <mergeCell ref="Z13:AK13"/>
    <mergeCell ref="AP13:AZ13"/>
    <mergeCell ref="CJ14:CJ16"/>
    <mergeCell ref="BM14:BQ14"/>
    <mergeCell ref="BJ15:BJ16"/>
    <mergeCell ref="BW15:BW16"/>
    <mergeCell ref="BX15:BX16"/>
    <mergeCell ref="BL15:BL16"/>
    <mergeCell ref="X14:Y14"/>
    <mergeCell ref="Z14:AD14"/>
    <mergeCell ref="Z15:Z16"/>
    <mergeCell ref="AE14:AE16"/>
    <mergeCell ref="BR14:BR16"/>
    <mergeCell ref="BS15:BS16"/>
    <mergeCell ref="BH15:BH16"/>
    <mergeCell ref="CD15:CD16"/>
    <mergeCell ref="BZ15:BZ16"/>
    <mergeCell ref="AP14:AT14"/>
    <mergeCell ref="AT15:AT16"/>
    <mergeCell ref="AL15:AL16"/>
    <mergeCell ref="AM15:AM16"/>
    <mergeCell ref="AN14:AO14"/>
    <mergeCell ref="AP15:AP16"/>
    <mergeCell ref="BY12:CK12"/>
    <mergeCell ref="CK14:CK16"/>
    <mergeCell ref="BA12:BL12"/>
    <mergeCell ref="BM12:BX12"/>
    <mergeCell ref="BM15:BM16"/>
    <mergeCell ref="BY13:CK13"/>
    <mergeCell ref="BY14:CD14"/>
    <mergeCell ref="CA15:CB15"/>
    <mergeCell ref="CE14:CE16"/>
    <mergeCell ref="CF14:CI14"/>
    <mergeCell ref="CF15:CF16"/>
    <mergeCell ref="CG15:CG16"/>
    <mergeCell ref="CH15:CH16"/>
    <mergeCell ref="CI15:CI16"/>
    <mergeCell ref="BW14:BX14"/>
    <mergeCell ref="BI15:BI16"/>
    <mergeCell ref="AZ14:AZ16"/>
    <mergeCell ref="AW15:AW16"/>
    <mergeCell ref="AX15:AX16"/>
    <mergeCell ref="BA13:BL13"/>
    <mergeCell ref="BM13:BX13"/>
    <mergeCell ref="CL12:CN12"/>
    <mergeCell ref="CO12:CS12"/>
    <mergeCell ref="CR13:CS14"/>
    <mergeCell ref="CO13:CQ14"/>
    <mergeCell ref="CL13:CN14"/>
    <mergeCell ref="CL15:CL16"/>
    <mergeCell ref="CM15:CM16"/>
    <mergeCell ref="CN15:CN16"/>
    <mergeCell ref="CO15:CP15"/>
    <mergeCell ref="CQ15:CQ16"/>
    <mergeCell ref="BT15:BT16"/>
    <mergeCell ref="BU15:BU16"/>
    <mergeCell ref="BV15:BV16"/>
    <mergeCell ref="BS14:BV14"/>
    <mergeCell ref="BG15:BG16"/>
    <mergeCell ref="BK14:BL14"/>
    <mergeCell ref="BK15:BK16"/>
    <mergeCell ref="BA14:BE14"/>
    <mergeCell ref="BA15:BA16"/>
    <mergeCell ref="BN15:BO15"/>
    <mergeCell ref="BF14:BF16"/>
    <mergeCell ref="BB15:BC15"/>
    <mergeCell ref="BG14:BJ14"/>
    <mergeCell ref="BE15:BE16"/>
    <mergeCell ref="BQ15:BQ16"/>
  </mergeCells>
  <conditionalFormatting sqref="C77:J79 CM18:CN19 CL42:CN43 CL45:CN46 CL48:CN49 CL61:CM63 CL56:CN56 CL36:CN40 CL57:CM57 C17:CL69 CM21:CQ22 CL24:CQ25 CL27:CQ28 CL30:CQ31 CL33:CQ34 CL59:CQ60 CN61:CQ61 CO17:CQ65">
    <cfRule type="cellIs" dxfId="6501" priority="3907" stopIfTrue="1" operator="lessThan">
      <formula>0</formula>
    </cfRule>
  </conditionalFormatting>
  <conditionalFormatting sqref="A1:CZ10 A71:CZ110 A225:CZ1048576 BF111:CZ224 A11:CS70">
    <cfRule type="cellIs" dxfId="6500" priority="10943" stopIfTrue="1" operator="equal">
      <formula>"Pass"</formula>
    </cfRule>
    <cfRule type="cellIs" dxfId="6499" priority="10944" stopIfTrue="1" operator="equal">
      <formula>"Please check"</formula>
    </cfRule>
    <cfRule type="cellIs" dxfId="6498" priority="10981" stopIfTrue="1" operator="equal">
      <formula>"Fail"</formula>
    </cfRule>
    <cfRule type="cellIs" dxfId="6497" priority="11410" stopIfTrue="1" operator="equal">
      <formula>"Please fill in all mandatory cells AO60:AR60"</formula>
    </cfRule>
  </conditionalFormatting>
  <conditionalFormatting sqref="CT65:CY65">
    <cfRule type="cellIs" dxfId="6496" priority="3188" stopIfTrue="1" operator="lessThan">
      <formula>0</formula>
    </cfRule>
  </conditionalFormatting>
  <conditionalFormatting sqref="CU17:CV63">
    <cfRule type="cellIs" dxfId="6495" priority="3187" stopIfTrue="1" operator="lessThan">
      <formula>0</formula>
    </cfRule>
  </conditionalFormatting>
  <conditionalFormatting sqref="CY17:CY63">
    <cfRule type="cellIs" dxfId="6494" priority="3186" stopIfTrue="1" operator="lessThan">
      <formula>0</formula>
    </cfRule>
  </conditionalFormatting>
  <conditionalFormatting sqref="CT11:CZ70">
    <cfRule type="cellIs" dxfId="6493" priority="3189" stopIfTrue="1" operator="equal">
      <formula>"Pass"</formula>
    </cfRule>
    <cfRule type="cellIs" dxfId="6492" priority="3190" stopIfTrue="1" operator="equal">
      <formula>"Please check"</formula>
    </cfRule>
    <cfRule type="cellIs" dxfId="6491" priority="3191" stopIfTrue="1" operator="equal">
      <formula>"Fail"</formula>
    </cfRule>
    <cfRule type="cellIs" dxfId="6490" priority="3192" stopIfTrue="1" operator="equal">
      <formula>"Please fill in all mandatory cells AO60:AR60"</formula>
    </cfRule>
  </conditionalFormatting>
  <conditionalFormatting sqref="C221:E221 G221:O221">
    <cfRule type="cellIs" dxfId="6489" priority="3181" stopIfTrue="1" operator="lessThan">
      <formula>0</formula>
    </cfRule>
  </conditionalFormatting>
  <conditionalFormatting sqref="F111:F112 Q111:Q112 AC111:AC112 AS111:AS112 F115:F147 Q115:Q147 AC118:AC147 AS117:AS147 F186:F200 F203:F215 Q203:Q215 AC206:AC215 F184 BD111:BD115 AC153:AC200 Q150:Q200 AS152:AS215 BD117:BD150 BD152:BD215 F150:F182">
    <cfRule type="cellIs" dxfId="6488" priority="3182" stopIfTrue="1" operator="equal">
      <formula>"Pass"</formula>
    </cfRule>
    <cfRule type="cellIs" dxfId="6487" priority="3183" stopIfTrue="1" operator="equal">
      <formula>"Please check"</formula>
    </cfRule>
    <cfRule type="cellIs" dxfId="6486" priority="3184" stopIfTrue="1" operator="equal">
      <formula>"Fail"</formula>
    </cfRule>
    <cfRule type="cellIs" dxfId="6485" priority="3185" stopIfTrue="1" operator="equal">
      <formula>"Please fill in all mandatory cells AO60:AR60"</formula>
    </cfRule>
  </conditionalFormatting>
  <conditionalFormatting sqref="A184:A191 G221:O221 C221:E221 C219 A163:A174 M175:P183 R175:AB183 AD175:AR183 AT175:BC183 BE163:BE183">
    <cfRule type="cellIs" dxfId="6484" priority="3178" stopIfTrue="1" operator="equal">
      <formula>"Pass"</formula>
    </cfRule>
    <cfRule type="cellIs" dxfId="6483" priority="3179" stopIfTrue="1" operator="equal">
      <formula>"please check"</formula>
    </cfRule>
  </conditionalFormatting>
  <conditionalFormatting sqref="A215:E215 A201:A214 A197:A199 C186:E186">
    <cfRule type="cellIs" dxfId="6482" priority="3166" stopIfTrue="1" operator="equal">
      <formula>"Pass"</formula>
    </cfRule>
    <cfRule type="cellIs" dxfId="6481" priority="3167" stopIfTrue="1" operator="equal">
      <formula>"please check"</formula>
    </cfRule>
  </conditionalFormatting>
  <conditionalFormatting sqref="B168">
    <cfRule type="cellIs" dxfId="6480" priority="3175" stopIfTrue="1" operator="equal">
      <formula>"Pass"</formula>
    </cfRule>
    <cfRule type="cellIs" dxfId="6479" priority="3176" stopIfTrue="1" operator="equal">
      <formula>"Please check"</formula>
    </cfRule>
    <cfRule type="cellIs" dxfId="6478" priority="3177" stopIfTrue="1" operator="equal">
      <formula>"Fail"</formula>
    </cfRule>
  </conditionalFormatting>
  <conditionalFormatting sqref="B170 C166:D166 B163:C163 C164:C165">
    <cfRule type="cellIs" dxfId="6477" priority="3172" stopIfTrue="1" operator="equal">
      <formula>"Pass"</formula>
    </cfRule>
    <cfRule type="cellIs" dxfId="6476" priority="3173" stopIfTrue="1" operator="equal">
      <formula>"Please check"</formula>
    </cfRule>
    <cfRule type="cellIs" dxfId="6475" priority="3174" stopIfTrue="1" operator="equal">
      <formula>"Fail"</formula>
    </cfRule>
  </conditionalFormatting>
  <conditionalFormatting sqref="C185">
    <cfRule type="cellIs" dxfId="6474" priority="3169" stopIfTrue="1" operator="equal">
      <formula>"Pass"</formula>
    </cfRule>
    <cfRule type="cellIs" dxfId="6473" priority="3170" stopIfTrue="1" operator="equal">
      <formula>"please check"</formula>
    </cfRule>
  </conditionalFormatting>
  <conditionalFormatting sqref="A192:A196">
    <cfRule type="cellIs" dxfId="6472" priority="3163" stopIfTrue="1" operator="equal">
      <formula>"Pass"</formula>
    </cfRule>
    <cfRule type="cellIs" dxfId="6471" priority="3164" stopIfTrue="1" operator="equal">
      <formula>"please check"</formula>
    </cfRule>
  </conditionalFormatting>
  <conditionalFormatting sqref="B111:E111">
    <cfRule type="cellIs" dxfId="6470" priority="3160" stopIfTrue="1" operator="equal">
      <formula>"Pass"</formula>
    </cfRule>
    <cfRule type="cellIs" dxfId="6469" priority="3161" stopIfTrue="1" operator="equal">
      <formula>"please check"</formula>
    </cfRule>
  </conditionalFormatting>
  <conditionalFormatting sqref="B112:E112">
    <cfRule type="cellIs" dxfId="6468" priority="3157" stopIfTrue="1" operator="equal">
      <formula>"Pass"</formula>
    </cfRule>
    <cfRule type="cellIs" dxfId="6467" priority="3158" stopIfTrue="1" operator="equal">
      <formula>"please check"</formula>
    </cfRule>
  </conditionalFormatting>
  <conditionalFormatting sqref="B162">
    <cfRule type="cellIs" dxfId="6466" priority="3154" stopIfTrue="1" operator="equal">
      <formula>"Pass"</formula>
    </cfRule>
    <cfRule type="cellIs" dxfId="6465" priority="3155" stopIfTrue="1" operator="equal">
      <formula>"please check"</formula>
    </cfRule>
  </conditionalFormatting>
  <conditionalFormatting sqref="C162:E162">
    <cfRule type="cellIs" dxfId="6464" priority="3151" stopIfTrue="1" operator="equal">
      <formula>"Pass"</formula>
    </cfRule>
    <cfRule type="cellIs" dxfId="6463" priority="3152" stopIfTrue="1" operator="equal">
      <formula>"please check"</formula>
    </cfRule>
  </conditionalFormatting>
  <conditionalFormatting sqref="A148:A161">
    <cfRule type="cellIs" dxfId="6462" priority="3148" stopIfTrue="1" operator="equal">
      <formula>"Pass"</formula>
    </cfRule>
    <cfRule type="cellIs" dxfId="6461" priority="3149" stopIfTrue="1" operator="equal">
      <formula>"please check"</formula>
    </cfRule>
  </conditionalFormatting>
  <conditionalFormatting sqref="A162">
    <cfRule type="cellIs" dxfId="6460" priority="3145" stopIfTrue="1" operator="equal">
      <formula>"Pass"</formula>
    </cfRule>
    <cfRule type="cellIs" dxfId="6459" priority="3146" stopIfTrue="1" operator="equal">
      <formula>"please check"</formula>
    </cfRule>
  </conditionalFormatting>
  <conditionalFormatting sqref="A147:E147">
    <cfRule type="cellIs" dxfId="6458" priority="3142" stopIfTrue="1" operator="equal">
      <formula>"Pass"</formula>
    </cfRule>
    <cfRule type="cellIs" dxfId="6457" priority="3143" stopIfTrue="1" operator="equal">
      <formula>"please check"</formula>
    </cfRule>
  </conditionalFormatting>
  <conditionalFormatting sqref="A111">
    <cfRule type="cellIs" dxfId="6456" priority="3139" stopIfTrue="1" operator="equal">
      <formula>"Pass"</formula>
    </cfRule>
    <cfRule type="cellIs" dxfId="6455" priority="3140" stopIfTrue="1" operator="equal">
      <formula>"please check"</formula>
    </cfRule>
  </conditionalFormatting>
  <conditionalFormatting sqref="A112">
    <cfRule type="cellIs" dxfId="6454" priority="3136" stopIfTrue="1" operator="equal">
      <formula>"Pass"</formula>
    </cfRule>
    <cfRule type="cellIs" dxfId="6453" priority="3137" stopIfTrue="1" operator="equal">
      <formula>"please check"</formula>
    </cfRule>
  </conditionalFormatting>
  <conditionalFormatting sqref="A113:A146">
    <cfRule type="cellIs" dxfId="6452" priority="3133" stopIfTrue="1" operator="equal">
      <formula>"Pass"</formula>
    </cfRule>
    <cfRule type="cellIs" dxfId="6451" priority="3134" stopIfTrue="1" operator="equal">
      <formula>"please check"</formula>
    </cfRule>
  </conditionalFormatting>
  <conditionalFormatting sqref="E165">
    <cfRule type="cellIs" dxfId="6450" priority="3130" stopIfTrue="1" operator="equal">
      <formula>"Pass"</formula>
    </cfRule>
    <cfRule type="cellIs" dxfId="6449" priority="3131" stopIfTrue="1" operator="equal">
      <formula>"Please check"</formula>
    </cfRule>
    <cfRule type="cellIs" dxfId="6448" priority="3132" stopIfTrue="1" operator="equal">
      <formula>"Fail"</formula>
    </cfRule>
  </conditionalFormatting>
  <conditionalFormatting sqref="A200:E200">
    <cfRule type="cellIs" dxfId="6447" priority="3127" stopIfTrue="1" operator="equal">
      <formula>"Pass"</formula>
    </cfRule>
    <cfRule type="cellIs" dxfId="6446" priority="3128" stopIfTrue="1" operator="equal">
      <formula>"please check"</formula>
    </cfRule>
  </conditionalFormatting>
  <conditionalFormatting sqref="C193">
    <cfRule type="cellIs" dxfId="6445" priority="3108" stopIfTrue="1" operator="lessThan">
      <formula>0</formula>
    </cfRule>
  </conditionalFormatting>
  <conditionalFormatting sqref="C193">
    <cfRule type="cellIs" dxfId="6444" priority="3105" stopIfTrue="1" operator="equal">
      <formula>"Pass"</formula>
    </cfRule>
    <cfRule type="cellIs" dxfId="6443" priority="3106" stopIfTrue="1" operator="equal">
      <formula>"please check"</formula>
    </cfRule>
  </conditionalFormatting>
  <conditionalFormatting sqref="C194">
    <cfRule type="cellIs" dxfId="6442" priority="3104" stopIfTrue="1" operator="lessThan">
      <formula>0</formula>
    </cfRule>
  </conditionalFormatting>
  <conditionalFormatting sqref="C194">
    <cfRule type="cellIs" dxfId="6441" priority="3101" stopIfTrue="1" operator="equal">
      <formula>"Pass"</formula>
    </cfRule>
    <cfRule type="cellIs" dxfId="6440" priority="3102" stopIfTrue="1" operator="equal">
      <formula>"please check"</formula>
    </cfRule>
  </conditionalFormatting>
  <conditionalFormatting sqref="E185">
    <cfRule type="cellIs" dxfId="6439" priority="3124" stopIfTrue="1" operator="equal">
      <formula>"Pass"</formula>
    </cfRule>
    <cfRule type="cellIs" dxfId="6438" priority="3125" stopIfTrue="1" operator="equal">
      <formula>"please check"</formula>
    </cfRule>
  </conditionalFormatting>
  <conditionalFormatting sqref="B185">
    <cfRule type="cellIs" dxfId="6437" priority="3121" stopIfTrue="1" operator="equal">
      <formula>"Pass"</formula>
    </cfRule>
    <cfRule type="cellIs" dxfId="6436" priority="3122" stopIfTrue="1" operator="equal">
      <formula>"Please check"</formula>
    </cfRule>
    <cfRule type="cellIs" dxfId="6435" priority="3123" stopIfTrue="1" operator="equal">
      <formula>"Fail"</formula>
    </cfRule>
  </conditionalFormatting>
  <conditionalFormatting sqref="E197">
    <cfRule type="cellIs" dxfId="6434" priority="3064" stopIfTrue="1" operator="lessThan">
      <formula>0</formula>
    </cfRule>
  </conditionalFormatting>
  <conditionalFormatting sqref="E197">
    <cfRule type="cellIs" dxfId="6433" priority="3061" stopIfTrue="1" operator="equal">
      <formula>"Pass"</formula>
    </cfRule>
    <cfRule type="cellIs" dxfId="6432" priority="3062" stopIfTrue="1" operator="equal">
      <formula>"please check"</formula>
    </cfRule>
  </conditionalFormatting>
  <conditionalFormatting sqref="C198:D198">
    <cfRule type="cellIs" dxfId="6431" priority="3088" stopIfTrue="1" operator="lessThan">
      <formula>0</formula>
    </cfRule>
  </conditionalFormatting>
  <conditionalFormatting sqref="C198:D198">
    <cfRule type="cellIs" dxfId="6430" priority="3085" stopIfTrue="1" operator="equal">
      <formula>"Pass"</formula>
    </cfRule>
    <cfRule type="cellIs" dxfId="6429" priority="3086" stopIfTrue="1" operator="equal">
      <formula>"please check"</formula>
    </cfRule>
  </conditionalFormatting>
  <conditionalFormatting sqref="C195">
    <cfRule type="cellIs" dxfId="6428" priority="3100" stopIfTrue="1" operator="lessThan">
      <formula>0</formula>
    </cfRule>
  </conditionalFormatting>
  <conditionalFormatting sqref="C195">
    <cfRule type="cellIs" dxfId="6427" priority="3097" stopIfTrue="1" operator="equal">
      <formula>"Pass"</formula>
    </cfRule>
    <cfRule type="cellIs" dxfId="6426" priority="3098" stopIfTrue="1" operator="equal">
      <formula>"please check"</formula>
    </cfRule>
  </conditionalFormatting>
  <conditionalFormatting sqref="A184">
    <cfRule type="cellIs" dxfId="6425" priority="3118" stopIfTrue="1" operator="equal">
      <formula>"Pass"</formula>
    </cfRule>
    <cfRule type="cellIs" dxfId="6424" priority="3119" stopIfTrue="1" operator="equal">
      <formula>"please check"</formula>
    </cfRule>
  </conditionalFormatting>
  <conditionalFormatting sqref="B189:B190">
    <cfRule type="cellIs" dxfId="6423" priority="3114" stopIfTrue="1" operator="equal">
      <formula>"Pass"</formula>
    </cfRule>
    <cfRule type="cellIs" dxfId="6422" priority="3115" stopIfTrue="1" operator="equal">
      <formula>"please check"</formula>
    </cfRule>
  </conditionalFormatting>
  <conditionalFormatting sqref="B192">
    <cfRule type="cellIs" dxfId="6421" priority="3112" stopIfTrue="1" operator="equal">
      <formula>"please check"</formula>
    </cfRule>
    <cfRule type="cellIs" dxfId="6420" priority="3113" stopIfTrue="1" operator="equal">
      <formula>"Fail"</formula>
    </cfRule>
    <cfRule type="cellIs" dxfId="6419" priority="3117" stopIfTrue="1" operator="equal">
      <formula>"Pass"</formula>
    </cfRule>
  </conditionalFormatting>
  <conditionalFormatting sqref="B193">
    <cfRule type="cellIs" dxfId="6418" priority="3109" stopIfTrue="1" operator="equal">
      <formula>"Pass"</formula>
    </cfRule>
    <cfRule type="cellIs" dxfId="6417" priority="3110" stopIfTrue="1" operator="equal">
      <formula>"please check"</formula>
    </cfRule>
    <cfRule type="cellIs" dxfId="6416" priority="3111" stopIfTrue="1" operator="equal">
      <formula>"Fail"</formula>
    </cfRule>
  </conditionalFormatting>
  <conditionalFormatting sqref="C196">
    <cfRule type="cellIs" dxfId="6415" priority="3096" stopIfTrue="1" operator="lessThan">
      <formula>0</formula>
    </cfRule>
  </conditionalFormatting>
  <conditionalFormatting sqref="C196">
    <cfRule type="cellIs" dxfId="6414" priority="3093" stopIfTrue="1" operator="equal">
      <formula>"Pass"</formula>
    </cfRule>
    <cfRule type="cellIs" dxfId="6413" priority="3094" stopIfTrue="1" operator="equal">
      <formula>"please check"</formula>
    </cfRule>
  </conditionalFormatting>
  <conditionalFormatting sqref="C197:D197">
    <cfRule type="cellIs" dxfId="6412" priority="3092" stopIfTrue="1" operator="lessThan">
      <formula>0</formula>
    </cfRule>
  </conditionalFormatting>
  <conditionalFormatting sqref="C197:D197">
    <cfRule type="cellIs" dxfId="6411" priority="3089" stopIfTrue="1" operator="equal">
      <formula>"Pass"</formula>
    </cfRule>
    <cfRule type="cellIs" dxfId="6410" priority="3090" stopIfTrue="1" operator="equal">
      <formula>"please check"</formula>
    </cfRule>
  </conditionalFormatting>
  <conditionalFormatting sqref="C199:D199">
    <cfRule type="cellIs" dxfId="6409" priority="3084" stopIfTrue="1" operator="lessThan">
      <formula>0</formula>
    </cfRule>
  </conditionalFormatting>
  <conditionalFormatting sqref="C199:D199">
    <cfRule type="cellIs" dxfId="6408" priority="3081" stopIfTrue="1" operator="equal">
      <formula>"Pass"</formula>
    </cfRule>
    <cfRule type="cellIs" dxfId="6407" priority="3082" stopIfTrue="1" operator="equal">
      <formula>"please check"</formula>
    </cfRule>
  </conditionalFormatting>
  <conditionalFormatting sqref="C118:E119">
    <cfRule type="cellIs" dxfId="6406" priority="3049" stopIfTrue="1" operator="equal">
      <formula>"Pass"</formula>
    </cfRule>
    <cfRule type="cellIs" dxfId="6405" priority="3050" stopIfTrue="1" operator="equal">
      <formula>"Please check"</formula>
    </cfRule>
    <cfRule type="cellIs" dxfId="6404" priority="3051" stopIfTrue="1" operator="equal">
      <formula>"Fail"</formula>
    </cfRule>
    <cfRule type="cellIs" dxfId="6403" priority="3052" stopIfTrue="1" operator="equal">
      <formula>"Please fill in all mandatory cells AO60:AR60"</formula>
    </cfRule>
  </conditionalFormatting>
  <conditionalFormatting sqref="C122:E123">
    <cfRule type="cellIs" dxfId="6402" priority="3045" stopIfTrue="1" operator="equal">
      <formula>"Pass"</formula>
    </cfRule>
    <cfRule type="cellIs" dxfId="6401" priority="3046" stopIfTrue="1" operator="equal">
      <formula>"Please check"</formula>
    </cfRule>
    <cfRule type="cellIs" dxfId="6400" priority="3047" stopIfTrue="1" operator="equal">
      <formula>"Fail"</formula>
    </cfRule>
    <cfRule type="cellIs" dxfId="6399" priority="3048" stopIfTrue="1" operator="equal">
      <formula>"Please fill in all mandatory cells AO60:AR60"</formula>
    </cfRule>
  </conditionalFormatting>
  <conditionalFormatting sqref="C126:E127">
    <cfRule type="cellIs" dxfId="6398" priority="3041" stopIfTrue="1" operator="equal">
      <formula>"Pass"</formula>
    </cfRule>
    <cfRule type="cellIs" dxfId="6397" priority="3042" stopIfTrue="1" operator="equal">
      <formula>"Please check"</formula>
    </cfRule>
    <cfRule type="cellIs" dxfId="6396" priority="3043" stopIfTrue="1" operator="equal">
      <formula>"Fail"</formula>
    </cfRule>
    <cfRule type="cellIs" dxfId="6395" priority="3044" stopIfTrue="1" operator="equal">
      <formula>"Please fill in all mandatory cells AO60:AR60"</formula>
    </cfRule>
  </conditionalFormatting>
  <conditionalFormatting sqref="C130:E131">
    <cfRule type="cellIs" dxfId="6394" priority="3037" stopIfTrue="1" operator="equal">
      <formula>"Pass"</formula>
    </cfRule>
    <cfRule type="cellIs" dxfId="6393" priority="3038" stopIfTrue="1" operator="equal">
      <formula>"Please check"</formula>
    </cfRule>
    <cfRule type="cellIs" dxfId="6392" priority="3039" stopIfTrue="1" operator="equal">
      <formula>"Fail"</formula>
    </cfRule>
    <cfRule type="cellIs" dxfId="6391" priority="3040" stopIfTrue="1" operator="equal">
      <formula>"Please fill in all mandatory cells AO60:AR60"</formula>
    </cfRule>
  </conditionalFormatting>
  <conditionalFormatting sqref="C134:E135">
    <cfRule type="cellIs" dxfId="6390" priority="3033" stopIfTrue="1" operator="equal">
      <formula>"Pass"</formula>
    </cfRule>
    <cfRule type="cellIs" dxfId="6389" priority="3034" stopIfTrue="1" operator="equal">
      <formula>"Please check"</formula>
    </cfRule>
    <cfRule type="cellIs" dxfId="6388" priority="3035" stopIfTrue="1" operator="equal">
      <formula>"Fail"</formula>
    </cfRule>
    <cfRule type="cellIs" dxfId="6387" priority="3036" stopIfTrue="1" operator="equal">
      <formula>"Please fill in all mandatory cells AO60:AR60"</formula>
    </cfRule>
  </conditionalFormatting>
  <conditionalFormatting sqref="C138:E139">
    <cfRule type="cellIs" dxfId="6386" priority="3029" stopIfTrue="1" operator="equal">
      <formula>"Pass"</formula>
    </cfRule>
    <cfRule type="cellIs" dxfId="6385" priority="3030" stopIfTrue="1" operator="equal">
      <formula>"Please check"</formula>
    </cfRule>
    <cfRule type="cellIs" dxfId="6384" priority="3031" stopIfTrue="1" operator="equal">
      <formula>"Fail"</formula>
    </cfRule>
    <cfRule type="cellIs" dxfId="6383" priority="3032" stopIfTrue="1" operator="equal">
      <formula>"Please fill in all mandatory cells AO60:AR60"</formula>
    </cfRule>
  </conditionalFormatting>
  <conditionalFormatting sqref="C142:E143">
    <cfRule type="cellIs" dxfId="6382" priority="3025" stopIfTrue="1" operator="equal">
      <formula>"Pass"</formula>
    </cfRule>
    <cfRule type="cellIs" dxfId="6381" priority="3026" stopIfTrue="1" operator="equal">
      <formula>"Please check"</formula>
    </cfRule>
    <cfRule type="cellIs" dxfId="6380" priority="3027" stopIfTrue="1" operator="equal">
      <formula>"Fail"</formula>
    </cfRule>
    <cfRule type="cellIs" dxfId="6379" priority="3028" stopIfTrue="1" operator="equal">
      <formula>"Please fill in all mandatory cells AO60:AR60"</formula>
    </cfRule>
  </conditionalFormatting>
  <conditionalFormatting sqref="C153:E153">
    <cfRule type="cellIs" dxfId="6378" priority="3021" stopIfTrue="1" operator="equal">
      <formula>"Pass"</formula>
    </cfRule>
    <cfRule type="cellIs" dxfId="6377" priority="3022" stopIfTrue="1" operator="equal">
      <formula>"Please check"</formula>
    </cfRule>
    <cfRule type="cellIs" dxfId="6376" priority="3023" stopIfTrue="1" operator="equal">
      <formula>"Fail"</formula>
    </cfRule>
    <cfRule type="cellIs" dxfId="6375" priority="3024" stopIfTrue="1" operator="equal">
      <formula>"Please fill in all mandatory cells AO60:AR60"</formula>
    </cfRule>
  </conditionalFormatting>
  <conditionalFormatting sqref="C155:E155">
    <cfRule type="cellIs" dxfId="6374" priority="3017" stopIfTrue="1" operator="equal">
      <formula>"Pass"</formula>
    </cfRule>
    <cfRule type="cellIs" dxfId="6373" priority="3018" stopIfTrue="1" operator="equal">
      <formula>"Please check"</formula>
    </cfRule>
    <cfRule type="cellIs" dxfId="6372" priority="3019" stopIfTrue="1" operator="equal">
      <formula>"Fail"</formula>
    </cfRule>
    <cfRule type="cellIs" dxfId="6371" priority="3020" stopIfTrue="1" operator="equal">
      <formula>"Please fill in all mandatory cells AO60:AR60"</formula>
    </cfRule>
  </conditionalFormatting>
  <conditionalFormatting sqref="C157:E157">
    <cfRule type="cellIs" dxfId="6370" priority="3013" stopIfTrue="1" operator="equal">
      <formula>"Pass"</formula>
    </cfRule>
    <cfRule type="cellIs" dxfId="6369" priority="3014" stopIfTrue="1" operator="equal">
      <formula>"Please check"</formula>
    </cfRule>
    <cfRule type="cellIs" dxfId="6368" priority="3015" stopIfTrue="1" operator="equal">
      <formula>"Fail"</formula>
    </cfRule>
    <cfRule type="cellIs" dxfId="6367" priority="3016" stopIfTrue="1" operator="equal">
      <formula>"Please fill in all mandatory cells AO60:AR60"</formula>
    </cfRule>
  </conditionalFormatting>
  <conditionalFormatting sqref="C159:E159">
    <cfRule type="cellIs" dxfId="6366" priority="3009" stopIfTrue="1" operator="equal">
      <formula>"Pass"</formula>
    </cfRule>
    <cfRule type="cellIs" dxfId="6365" priority="3010" stopIfTrue="1" operator="equal">
      <formula>"Please check"</formula>
    </cfRule>
    <cfRule type="cellIs" dxfId="6364" priority="3011" stopIfTrue="1" operator="equal">
      <formula>"Fail"</formula>
    </cfRule>
    <cfRule type="cellIs" dxfId="6363" priority="3012" stopIfTrue="1" operator="equal">
      <formula>"Please fill in all mandatory cells AO60:AR60"</formula>
    </cfRule>
  </conditionalFormatting>
  <conditionalFormatting sqref="C170:E170">
    <cfRule type="cellIs" dxfId="6362" priority="3005" stopIfTrue="1" operator="equal">
      <formula>"Pass"</formula>
    </cfRule>
    <cfRule type="cellIs" dxfId="6361" priority="3006" stopIfTrue="1" operator="equal">
      <formula>"Please check"</formula>
    </cfRule>
    <cfRule type="cellIs" dxfId="6360" priority="3007" stopIfTrue="1" operator="equal">
      <formula>"Fail"</formula>
    </cfRule>
    <cfRule type="cellIs" dxfId="6359" priority="3008" stopIfTrue="1" operator="equal">
      <formula>"Please fill in all mandatory cells AO60:AR60"</formula>
    </cfRule>
  </conditionalFormatting>
  <conditionalFormatting sqref="C189:E192">
    <cfRule type="cellIs" dxfId="6358" priority="3001" stopIfTrue="1" operator="equal">
      <formula>"Pass"</formula>
    </cfRule>
    <cfRule type="cellIs" dxfId="6357" priority="3002" stopIfTrue="1" operator="equal">
      <formula>"Please check"</formula>
    </cfRule>
    <cfRule type="cellIs" dxfId="6356" priority="3003" stopIfTrue="1" operator="equal">
      <formula>"Fail"</formula>
    </cfRule>
    <cfRule type="cellIs" dxfId="6355" priority="3004" stopIfTrue="1" operator="equal">
      <formula>"Please fill in all mandatory cells AO60:AR60"</formula>
    </cfRule>
  </conditionalFormatting>
  <conditionalFormatting sqref="C207:E208">
    <cfRule type="cellIs" dxfId="6354" priority="2997" stopIfTrue="1" operator="equal">
      <formula>"Pass"</formula>
    </cfRule>
    <cfRule type="cellIs" dxfId="6353" priority="2998" stopIfTrue="1" operator="equal">
      <formula>"Please check"</formula>
    </cfRule>
    <cfRule type="cellIs" dxfId="6352" priority="2999" stopIfTrue="1" operator="equal">
      <formula>"Fail"</formula>
    </cfRule>
    <cfRule type="cellIs" dxfId="6351" priority="3000" stopIfTrue="1" operator="equal">
      <formula>"Please fill in all mandatory cells AO60:AR60"</formula>
    </cfRule>
  </conditionalFormatting>
  <conditionalFormatting sqref="C211:E212">
    <cfRule type="cellIs" dxfId="6350" priority="2993" stopIfTrue="1" operator="equal">
      <formula>"Pass"</formula>
    </cfRule>
    <cfRule type="cellIs" dxfId="6349" priority="2994" stopIfTrue="1" operator="equal">
      <formula>"Please check"</formula>
    </cfRule>
    <cfRule type="cellIs" dxfId="6348" priority="2995" stopIfTrue="1" operator="equal">
      <formula>"Fail"</formula>
    </cfRule>
    <cfRule type="cellIs" dxfId="6347" priority="2996" stopIfTrue="1" operator="equal">
      <formula>"Please fill in all mandatory cells AO60:AR60"</formula>
    </cfRule>
  </conditionalFormatting>
  <conditionalFormatting sqref="C167">
    <cfRule type="cellIs" dxfId="6346" priority="2989" stopIfTrue="1" operator="equal">
      <formula>"Pass"</formula>
    </cfRule>
    <cfRule type="cellIs" dxfId="6345" priority="2990" stopIfTrue="1" operator="equal">
      <formula>"Please check"</formula>
    </cfRule>
    <cfRule type="cellIs" dxfId="6344" priority="2991" stopIfTrue="1" operator="equal">
      <formula>"Fail"</formula>
    </cfRule>
    <cfRule type="cellIs" dxfId="6343" priority="2992" stopIfTrue="1" operator="equal">
      <formula>"Please fill in all mandatory cells AO60:AR60"</formula>
    </cfRule>
  </conditionalFormatting>
  <conditionalFormatting sqref="D167">
    <cfRule type="cellIs" dxfId="6342" priority="2985" stopIfTrue="1" operator="equal">
      <formula>"Pass"</formula>
    </cfRule>
    <cfRule type="cellIs" dxfId="6341" priority="2986" stopIfTrue="1" operator="equal">
      <formula>"Please check"</formula>
    </cfRule>
    <cfRule type="cellIs" dxfId="6340" priority="2987" stopIfTrue="1" operator="equal">
      <formula>"Fail"</formula>
    </cfRule>
    <cfRule type="cellIs" dxfId="6339" priority="2988" stopIfTrue="1" operator="equal">
      <formula>"Please fill in all mandatory cells AO60:AR60"</formula>
    </cfRule>
  </conditionalFormatting>
  <conditionalFormatting sqref="E167">
    <cfRule type="cellIs" dxfId="6338" priority="2981" stopIfTrue="1" operator="equal">
      <formula>"Pass"</formula>
    </cfRule>
    <cfRule type="cellIs" dxfId="6337" priority="2982" stopIfTrue="1" operator="equal">
      <formula>"Please check"</formula>
    </cfRule>
    <cfRule type="cellIs" dxfId="6336" priority="2983" stopIfTrue="1" operator="equal">
      <formula>"Fail"</formula>
    </cfRule>
    <cfRule type="cellIs" dxfId="6335" priority="2984" stopIfTrue="1" operator="equal">
      <formula>"Please fill in all mandatory cells AO60:AR60"</formula>
    </cfRule>
  </conditionalFormatting>
  <conditionalFormatting sqref="N186:P186">
    <cfRule type="cellIs" dxfId="6334" priority="2978" stopIfTrue="1" operator="equal">
      <formula>"Pass"</formula>
    </cfRule>
    <cfRule type="cellIs" dxfId="6333" priority="2979" stopIfTrue="1" operator="equal">
      <formula>"please check"</formula>
    </cfRule>
  </conditionalFormatting>
  <conditionalFormatting sqref="G215:P215 P185">
    <cfRule type="cellIs" dxfId="6332" priority="2969" stopIfTrue="1" operator="equal">
      <formula>"Pass"</formula>
    </cfRule>
    <cfRule type="cellIs" dxfId="6331" priority="2970" stopIfTrue="1" operator="equal">
      <formula>"please check"</formula>
    </cfRule>
  </conditionalFormatting>
  <conditionalFormatting sqref="G168:I169">
    <cfRule type="cellIs" dxfId="6330" priority="2975" stopIfTrue="1" operator="equal">
      <formula>"Pass"</formula>
    </cfRule>
    <cfRule type="cellIs" dxfId="6329" priority="2976" stopIfTrue="1" operator="equal">
      <formula>"Please check"</formula>
    </cfRule>
    <cfRule type="cellIs" dxfId="6328" priority="2977" stopIfTrue="1" operator="equal">
      <formula>"Fail"</formula>
    </cfRule>
  </conditionalFormatting>
  <conditionalFormatting sqref="J187 H187">
    <cfRule type="cellIs" dxfId="6327" priority="2972" stopIfTrue="1" operator="equal">
      <formula>"Pass"</formula>
    </cfRule>
    <cfRule type="cellIs" dxfId="6326" priority="2973" stopIfTrue="1" operator="equal">
      <formula>"please check"</formula>
    </cfRule>
  </conditionalFormatting>
  <conditionalFormatting sqref="K188:L188 K187 M187">
    <cfRule type="cellIs" dxfId="6325" priority="2965" stopIfTrue="1" operator="equal">
      <formula>"Pass"</formula>
    </cfRule>
    <cfRule type="cellIs" dxfId="6324" priority="2966" stopIfTrue="1" operator="equal">
      <formula>"Please check"</formula>
    </cfRule>
    <cfRule type="cellIs" dxfId="6323" priority="2967" stopIfTrue="1" operator="equal">
      <formula>"Fail"</formula>
    </cfRule>
    <cfRule type="cellIs" dxfId="6322" priority="2968" stopIfTrue="1" operator="equal">
      <formula>"Please fill in all mandatory cells AO60:AR60"</formula>
    </cfRule>
  </conditionalFormatting>
  <conditionalFormatting sqref="H188:I188">
    <cfRule type="cellIs" dxfId="6321" priority="2961" stopIfTrue="1" operator="equal">
      <formula>"Pass"</formula>
    </cfRule>
    <cfRule type="cellIs" dxfId="6320" priority="2962" stopIfTrue="1" operator="equal">
      <formula>"Please check"</formula>
    </cfRule>
    <cfRule type="cellIs" dxfId="6319" priority="2963" stopIfTrue="1" operator="equal">
      <formula>"Fail"</formula>
    </cfRule>
    <cfRule type="cellIs" dxfId="6318" priority="2964" stopIfTrue="1" operator="equal">
      <formula>"Please fill in all mandatory cells AO60:AR60"</formula>
    </cfRule>
  </conditionalFormatting>
  <conditionalFormatting sqref="G111:P111">
    <cfRule type="cellIs" dxfId="6317" priority="2958" stopIfTrue="1" operator="equal">
      <formula>"Pass"</formula>
    </cfRule>
    <cfRule type="cellIs" dxfId="6316" priority="2959" stopIfTrue="1" operator="equal">
      <formula>"please check"</formula>
    </cfRule>
  </conditionalFormatting>
  <conditionalFormatting sqref="G112:P112">
    <cfRule type="cellIs" dxfId="6315" priority="2955" stopIfTrue="1" operator="equal">
      <formula>"Pass"</formula>
    </cfRule>
    <cfRule type="cellIs" dxfId="6314" priority="2956" stopIfTrue="1" operator="equal">
      <formula>"please check"</formula>
    </cfRule>
  </conditionalFormatting>
  <conditionalFormatting sqref="K164 M164 O164 O185 J163:P163 P166 P168:P169 P171:P172 M173:P174">
    <cfRule type="cellIs" dxfId="6313" priority="2952" stopIfTrue="1" operator="equal">
      <formula>"Pass"</formula>
    </cfRule>
    <cfRule type="cellIs" dxfId="6312" priority="2953" stopIfTrue="1" operator="equal">
      <formula>"please check"</formula>
    </cfRule>
  </conditionalFormatting>
  <conditionalFormatting sqref="J164 L164 N164 N185 P164:P165 P167 P170">
    <cfRule type="cellIs" dxfId="6311" priority="2949" stopIfTrue="1" operator="equal">
      <formula>"Pass"</formula>
    </cfRule>
    <cfRule type="cellIs" dxfId="6310" priority="2950" stopIfTrue="1" operator="equal">
      <formula>"please check"</formula>
    </cfRule>
  </conditionalFormatting>
  <conditionalFormatting sqref="G162:P162">
    <cfRule type="cellIs" dxfId="6309" priority="2946" stopIfTrue="1" operator="equal">
      <formula>"Pass"</formula>
    </cfRule>
    <cfRule type="cellIs" dxfId="6308" priority="2947" stopIfTrue="1" operator="equal">
      <formula>"please check"</formula>
    </cfRule>
  </conditionalFormatting>
  <conditionalFormatting sqref="G147:P147">
    <cfRule type="cellIs" dxfId="6307" priority="2943" stopIfTrue="1" operator="equal">
      <formula>"Pass"</formula>
    </cfRule>
    <cfRule type="cellIs" dxfId="6306" priority="2944" stopIfTrue="1" operator="equal">
      <formula>"please check"</formula>
    </cfRule>
  </conditionalFormatting>
  <conditionalFormatting sqref="H185">
    <cfRule type="cellIs" dxfId="6305" priority="2940" stopIfTrue="1" operator="equal">
      <formula>"Pass"</formula>
    </cfRule>
    <cfRule type="cellIs" dxfId="6304" priority="2941" stopIfTrue="1" operator="equal">
      <formula>"please check"</formula>
    </cfRule>
  </conditionalFormatting>
  <conditionalFormatting sqref="G200:P200">
    <cfRule type="cellIs" dxfId="6303" priority="2937" stopIfTrue="1" operator="equal">
      <formula>"Pass"</formula>
    </cfRule>
    <cfRule type="cellIs" dxfId="6302" priority="2938" stopIfTrue="1" operator="equal">
      <formula>"please check"</formula>
    </cfRule>
  </conditionalFormatting>
  <conditionalFormatting sqref="B183:L183">
    <cfRule type="cellIs" dxfId="6301" priority="2934" stopIfTrue="1" operator="equal">
      <formula>"Pass"</formula>
    </cfRule>
    <cfRule type="cellIs" dxfId="6300" priority="2935" stopIfTrue="1" operator="equal">
      <formula>"please check"</formula>
    </cfRule>
  </conditionalFormatting>
  <conditionalFormatting sqref="G197">
    <cfRule type="cellIs" dxfId="6299" priority="2917" stopIfTrue="1" operator="lessThan">
      <formula>0</formula>
    </cfRule>
  </conditionalFormatting>
  <conditionalFormatting sqref="G197">
    <cfRule type="cellIs" dxfId="6298" priority="2914" stopIfTrue="1" operator="equal">
      <formula>"Pass"</formula>
    </cfRule>
    <cfRule type="cellIs" dxfId="6297" priority="2915" stopIfTrue="1" operator="equal">
      <formula>"please check"</formula>
    </cfRule>
  </conditionalFormatting>
  <conditionalFormatting sqref="G198">
    <cfRule type="cellIs" dxfId="6296" priority="2913" stopIfTrue="1" operator="lessThan">
      <formula>0</formula>
    </cfRule>
  </conditionalFormatting>
  <conditionalFormatting sqref="G198">
    <cfRule type="cellIs" dxfId="6295" priority="2910" stopIfTrue="1" operator="equal">
      <formula>"Pass"</formula>
    </cfRule>
    <cfRule type="cellIs" dxfId="6294" priority="2911" stopIfTrue="1" operator="equal">
      <formula>"please check"</formula>
    </cfRule>
  </conditionalFormatting>
  <conditionalFormatting sqref="H197">
    <cfRule type="cellIs" dxfId="6293" priority="2889" stopIfTrue="1" operator="lessThan">
      <formula>0</formula>
    </cfRule>
  </conditionalFormatting>
  <conditionalFormatting sqref="H197">
    <cfRule type="cellIs" dxfId="6292" priority="2886" stopIfTrue="1" operator="equal">
      <formula>"Pass"</formula>
    </cfRule>
    <cfRule type="cellIs" dxfId="6291" priority="2887" stopIfTrue="1" operator="equal">
      <formula>"please check"</formula>
    </cfRule>
  </conditionalFormatting>
  <conditionalFormatting sqref="I197">
    <cfRule type="cellIs" dxfId="6290" priority="2861" stopIfTrue="1" operator="lessThan">
      <formula>0</formula>
    </cfRule>
  </conditionalFormatting>
  <conditionalFormatting sqref="I197">
    <cfRule type="cellIs" dxfId="6289" priority="2858" stopIfTrue="1" operator="equal">
      <formula>"Pass"</formula>
    </cfRule>
    <cfRule type="cellIs" dxfId="6288" priority="2859" stopIfTrue="1" operator="equal">
      <formula>"please check"</formula>
    </cfRule>
  </conditionalFormatting>
  <conditionalFormatting sqref="I198">
    <cfRule type="cellIs" dxfId="6287" priority="2857" stopIfTrue="1" operator="lessThan">
      <formula>0</formula>
    </cfRule>
  </conditionalFormatting>
  <conditionalFormatting sqref="I198">
    <cfRule type="cellIs" dxfId="6286" priority="2854" stopIfTrue="1" operator="equal">
      <formula>"Pass"</formula>
    </cfRule>
    <cfRule type="cellIs" dxfId="6285" priority="2855" stopIfTrue="1" operator="equal">
      <formula>"please check"</formula>
    </cfRule>
  </conditionalFormatting>
  <conditionalFormatting sqref="I199">
    <cfRule type="cellIs" dxfId="6284" priority="2853" stopIfTrue="1" operator="lessThan">
      <formula>0</formula>
    </cfRule>
  </conditionalFormatting>
  <conditionalFormatting sqref="I199">
    <cfRule type="cellIs" dxfId="6283" priority="2850" stopIfTrue="1" operator="equal">
      <formula>"Pass"</formula>
    </cfRule>
    <cfRule type="cellIs" dxfId="6282" priority="2851" stopIfTrue="1" operator="equal">
      <formula>"please check"</formula>
    </cfRule>
  </conditionalFormatting>
  <conditionalFormatting sqref="J197">
    <cfRule type="cellIs" dxfId="6281" priority="2833" stopIfTrue="1" operator="lessThan">
      <formula>0</formula>
    </cfRule>
  </conditionalFormatting>
  <conditionalFormatting sqref="J197">
    <cfRule type="cellIs" dxfId="6280" priority="2830" stopIfTrue="1" operator="equal">
      <formula>"Pass"</formula>
    </cfRule>
    <cfRule type="cellIs" dxfId="6279" priority="2831" stopIfTrue="1" operator="equal">
      <formula>"please check"</formula>
    </cfRule>
  </conditionalFormatting>
  <conditionalFormatting sqref="J198">
    <cfRule type="cellIs" dxfId="6278" priority="2829" stopIfTrue="1" operator="lessThan">
      <formula>0</formula>
    </cfRule>
  </conditionalFormatting>
  <conditionalFormatting sqref="J198">
    <cfRule type="cellIs" dxfId="6277" priority="2826" stopIfTrue="1" operator="equal">
      <formula>"Pass"</formula>
    </cfRule>
    <cfRule type="cellIs" dxfId="6276" priority="2827" stopIfTrue="1" operator="equal">
      <formula>"please check"</formula>
    </cfRule>
  </conditionalFormatting>
  <conditionalFormatting sqref="J199">
    <cfRule type="cellIs" dxfId="6275" priority="2825" stopIfTrue="1" operator="lessThan">
      <formula>0</formula>
    </cfRule>
  </conditionalFormatting>
  <conditionalFormatting sqref="J199">
    <cfRule type="cellIs" dxfId="6274" priority="2822" stopIfTrue="1" operator="equal">
      <formula>"Pass"</formula>
    </cfRule>
    <cfRule type="cellIs" dxfId="6273" priority="2823" stopIfTrue="1" operator="equal">
      <formula>"please check"</formula>
    </cfRule>
  </conditionalFormatting>
  <conditionalFormatting sqref="L197">
    <cfRule type="cellIs" dxfId="6272" priority="2805" stopIfTrue="1" operator="lessThan">
      <formula>0</formula>
    </cfRule>
  </conditionalFormatting>
  <conditionalFormatting sqref="L197">
    <cfRule type="cellIs" dxfId="6271" priority="2802" stopIfTrue="1" operator="equal">
      <formula>"Pass"</formula>
    </cfRule>
    <cfRule type="cellIs" dxfId="6270" priority="2803" stopIfTrue="1" operator="equal">
      <formula>"please check"</formula>
    </cfRule>
  </conditionalFormatting>
  <conditionalFormatting sqref="L198">
    <cfRule type="cellIs" dxfId="6269" priority="2801" stopIfTrue="1" operator="lessThan">
      <formula>0</formula>
    </cfRule>
  </conditionalFormatting>
  <conditionalFormatting sqref="L198">
    <cfRule type="cellIs" dxfId="6268" priority="2798" stopIfTrue="1" operator="equal">
      <formula>"Pass"</formula>
    </cfRule>
    <cfRule type="cellIs" dxfId="6267" priority="2799" stopIfTrue="1" operator="equal">
      <formula>"please check"</formula>
    </cfRule>
  </conditionalFormatting>
  <conditionalFormatting sqref="L199">
    <cfRule type="cellIs" dxfId="6266" priority="2797" stopIfTrue="1" operator="lessThan">
      <formula>0</formula>
    </cfRule>
  </conditionalFormatting>
  <conditionalFormatting sqref="L199">
    <cfRule type="cellIs" dxfId="6265" priority="2794" stopIfTrue="1" operator="equal">
      <formula>"Pass"</formula>
    </cfRule>
    <cfRule type="cellIs" dxfId="6264" priority="2795" stopIfTrue="1" operator="equal">
      <formula>"please check"</formula>
    </cfRule>
  </conditionalFormatting>
  <conditionalFormatting sqref="M197">
    <cfRule type="cellIs" dxfId="6263" priority="2777" stopIfTrue="1" operator="lessThan">
      <formula>0</formula>
    </cfRule>
  </conditionalFormatting>
  <conditionalFormatting sqref="M197">
    <cfRule type="cellIs" dxfId="6262" priority="2774" stopIfTrue="1" operator="equal">
      <formula>"Pass"</formula>
    </cfRule>
    <cfRule type="cellIs" dxfId="6261" priority="2775" stopIfTrue="1" operator="equal">
      <formula>"please check"</formula>
    </cfRule>
  </conditionalFormatting>
  <conditionalFormatting sqref="M198">
    <cfRule type="cellIs" dxfId="6260" priority="2773" stopIfTrue="1" operator="lessThan">
      <formula>0</formula>
    </cfRule>
  </conditionalFormatting>
  <conditionalFormatting sqref="M198">
    <cfRule type="cellIs" dxfId="6259" priority="2770" stopIfTrue="1" operator="equal">
      <formula>"Pass"</formula>
    </cfRule>
    <cfRule type="cellIs" dxfId="6258" priority="2771" stopIfTrue="1" operator="equal">
      <formula>"please check"</formula>
    </cfRule>
  </conditionalFormatting>
  <conditionalFormatting sqref="M199">
    <cfRule type="cellIs" dxfId="6257" priority="2769" stopIfTrue="1" operator="lessThan">
      <formula>0</formula>
    </cfRule>
  </conditionalFormatting>
  <conditionalFormatting sqref="M199">
    <cfRule type="cellIs" dxfId="6256" priority="2766" stopIfTrue="1" operator="equal">
      <formula>"Pass"</formula>
    </cfRule>
    <cfRule type="cellIs" dxfId="6255" priority="2767" stopIfTrue="1" operator="equal">
      <formula>"please check"</formula>
    </cfRule>
  </conditionalFormatting>
  <conditionalFormatting sqref="H118:J119">
    <cfRule type="cellIs" dxfId="6254" priority="2762" stopIfTrue="1" operator="equal">
      <formula>"Pass"</formula>
    </cfRule>
    <cfRule type="cellIs" dxfId="6253" priority="2763" stopIfTrue="1" operator="equal">
      <formula>"Please check"</formula>
    </cfRule>
    <cfRule type="cellIs" dxfId="6252" priority="2764" stopIfTrue="1" operator="equal">
      <formula>"Fail"</formula>
    </cfRule>
    <cfRule type="cellIs" dxfId="6251" priority="2765" stopIfTrue="1" operator="equal">
      <formula>"Please fill in all mandatory cells AO60:AR60"</formula>
    </cfRule>
  </conditionalFormatting>
  <conditionalFormatting sqref="H122:J123">
    <cfRule type="cellIs" dxfId="6250" priority="2758" stopIfTrue="1" operator="equal">
      <formula>"Pass"</formula>
    </cfRule>
    <cfRule type="cellIs" dxfId="6249" priority="2759" stopIfTrue="1" operator="equal">
      <formula>"Please check"</formula>
    </cfRule>
    <cfRule type="cellIs" dxfId="6248" priority="2760" stopIfTrue="1" operator="equal">
      <formula>"Fail"</formula>
    </cfRule>
    <cfRule type="cellIs" dxfId="6247" priority="2761" stopIfTrue="1" operator="equal">
      <formula>"Please fill in all mandatory cells AO60:AR60"</formula>
    </cfRule>
  </conditionalFormatting>
  <conditionalFormatting sqref="H126:J127">
    <cfRule type="cellIs" dxfId="6246" priority="2754" stopIfTrue="1" operator="equal">
      <formula>"Pass"</formula>
    </cfRule>
    <cfRule type="cellIs" dxfId="6245" priority="2755" stopIfTrue="1" operator="equal">
      <formula>"Please check"</formula>
    </cfRule>
    <cfRule type="cellIs" dxfId="6244" priority="2756" stopIfTrue="1" operator="equal">
      <formula>"Fail"</formula>
    </cfRule>
    <cfRule type="cellIs" dxfId="6243" priority="2757" stopIfTrue="1" operator="equal">
      <formula>"Please fill in all mandatory cells AO60:AR60"</formula>
    </cfRule>
  </conditionalFormatting>
  <conditionalFormatting sqref="H130:J131">
    <cfRule type="cellIs" dxfId="6242" priority="2750" stopIfTrue="1" operator="equal">
      <formula>"Pass"</formula>
    </cfRule>
    <cfRule type="cellIs" dxfId="6241" priority="2751" stopIfTrue="1" operator="equal">
      <formula>"Please check"</formula>
    </cfRule>
    <cfRule type="cellIs" dxfId="6240" priority="2752" stopIfTrue="1" operator="equal">
      <formula>"Fail"</formula>
    </cfRule>
    <cfRule type="cellIs" dxfId="6239" priority="2753" stopIfTrue="1" operator="equal">
      <formula>"Please fill in all mandatory cells AO60:AR60"</formula>
    </cfRule>
  </conditionalFormatting>
  <conditionalFormatting sqref="H134:J135">
    <cfRule type="cellIs" dxfId="6238" priority="2746" stopIfTrue="1" operator="equal">
      <formula>"Pass"</formula>
    </cfRule>
    <cfRule type="cellIs" dxfId="6237" priority="2747" stopIfTrue="1" operator="equal">
      <formula>"Please check"</formula>
    </cfRule>
    <cfRule type="cellIs" dxfId="6236" priority="2748" stopIfTrue="1" operator="equal">
      <formula>"Fail"</formula>
    </cfRule>
    <cfRule type="cellIs" dxfId="6235" priority="2749" stopIfTrue="1" operator="equal">
      <formula>"Please fill in all mandatory cells AO60:AR60"</formula>
    </cfRule>
  </conditionalFormatting>
  <conditionalFormatting sqref="H138:J139">
    <cfRule type="cellIs" dxfId="6234" priority="2742" stopIfTrue="1" operator="equal">
      <formula>"Pass"</formula>
    </cfRule>
    <cfRule type="cellIs" dxfId="6233" priority="2743" stopIfTrue="1" operator="equal">
      <formula>"Please check"</formula>
    </cfRule>
    <cfRule type="cellIs" dxfId="6232" priority="2744" stopIfTrue="1" operator="equal">
      <formula>"Fail"</formula>
    </cfRule>
    <cfRule type="cellIs" dxfId="6231" priority="2745" stopIfTrue="1" operator="equal">
      <formula>"Please fill in all mandatory cells AO60:AR60"</formula>
    </cfRule>
  </conditionalFormatting>
  <conditionalFormatting sqref="H142:J143">
    <cfRule type="cellIs" dxfId="6230" priority="2738" stopIfTrue="1" operator="equal">
      <formula>"Pass"</formula>
    </cfRule>
    <cfRule type="cellIs" dxfId="6229" priority="2739" stopIfTrue="1" operator="equal">
      <formula>"Please check"</formula>
    </cfRule>
    <cfRule type="cellIs" dxfId="6228" priority="2740" stopIfTrue="1" operator="equal">
      <formula>"Fail"</formula>
    </cfRule>
    <cfRule type="cellIs" dxfId="6227" priority="2741" stopIfTrue="1" operator="equal">
      <formula>"Please fill in all mandatory cells AO60:AR60"</formula>
    </cfRule>
  </conditionalFormatting>
  <conditionalFormatting sqref="G118:G145">
    <cfRule type="cellIs" dxfId="6226" priority="2734" stopIfTrue="1" operator="equal">
      <formula>"Pass"</formula>
    </cfRule>
    <cfRule type="cellIs" dxfId="6225" priority="2735" stopIfTrue="1" operator="equal">
      <formula>"Please check"</formula>
    </cfRule>
    <cfRule type="cellIs" dxfId="6224" priority="2736" stopIfTrue="1" operator="equal">
      <formula>"Fail"</formula>
    </cfRule>
    <cfRule type="cellIs" dxfId="6223" priority="2737" stopIfTrue="1" operator="equal">
      <formula>"Please fill in all mandatory cells AO60:AR60"</formula>
    </cfRule>
  </conditionalFormatting>
  <conditionalFormatting sqref="K118:K145">
    <cfRule type="cellIs" dxfId="6222" priority="2730" stopIfTrue="1" operator="equal">
      <formula>"Pass"</formula>
    </cfRule>
    <cfRule type="cellIs" dxfId="6221" priority="2731" stopIfTrue="1" operator="equal">
      <formula>"Please check"</formula>
    </cfRule>
    <cfRule type="cellIs" dxfId="6220" priority="2732" stopIfTrue="1" operator="equal">
      <formula>"Fail"</formula>
    </cfRule>
    <cfRule type="cellIs" dxfId="6219" priority="2733" stopIfTrue="1" operator="equal">
      <formula>"Please fill in all mandatory cells AO60:AR60"</formula>
    </cfRule>
  </conditionalFormatting>
  <conditionalFormatting sqref="L118:O119">
    <cfRule type="cellIs" dxfId="6218" priority="2726" stopIfTrue="1" operator="equal">
      <formula>"Pass"</formula>
    </cfRule>
    <cfRule type="cellIs" dxfId="6217" priority="2727" stopIfTrue="1" operator="equal">
      <formula>"Please check"</formula>
    </cfRule>
    <cfRule type="cellIs" dxfId="6216" priority="2728" stopIfTrue="1" operator="equal">
      <formula>"Fail"</formula>
    </cfRule>
    <cfRule type="cellIs" dxfId="6215" priority="2729" stopIfTrue="1" operator="equal">
      <formula>"Please fill in all mandatory cells AO60:AR60"</formula>
    </cfRule>
  </conditionalFormatting>
  <conditionalFormatting sqref="L122:O123">
    <cfRule type="cellIs" dxfId="6214" priority="2722" stopIfTrue="1" operator="equal">
      <formula>"Pass"</formula>
    </cfRule>
    <cfRule type="cellIs" dxfId="6213" priority="2723" stopIfTrue="1" operator="equal">
      <formula>"Please check"</formula>
    </cfRule>
    <cfRule type="cellIs" dxfId="6212" priority="2724" stopIfTrue="1" operator="equal">
      <formula>"Fail"</formula>
    </cfRule>
    <cfRule type="cellIs" dxfId="6211" priority="2725" stopIfTrue="1" operator="equal">
      <formula>"Please fill in all mandatory cells AO60:AR60"</formula>
    </cfRule>
  </conditionalFormatting>
  <conditionalFormatting sqref="L126:O127">
    <cfRule type="cellIs" dxfId="6210" priority="2718" stopIfTrue="1" operator="equal">
      <formula>"Pass"</formula>
    </cfRule>
    <cfRule type="cellIs" dxfId="6209" priority="2719" stopIfTrue="1" operator="equal">
      <formula>"Please check"</formula>
    </cfRule>
    <cfRule type="cellIs" dxfId="6208" priority="2720" stopIfTrue="1" operator="equal">
      <formula>"Fail"</formula>
    </cfRule>
    <cfRule type="cellIs" dxfId="6207" priority="2721" stopIfTrue="1" operator="equal">
      <formula>"Please fill in all mandatory cells AO60:AR60"</formula>
    </cfRule>
  </conditionalFormatting>
  <conditionalFormatting sqref="L130:O131">
    <cfRule type="cellIs" dxfId="6206" priority="2714" stopIfTrue="1" operator="equal">
      <formula>"Pass"</formula>
    </cfRule>
    <cfRule type="cellIs" dxfId="6205" priority="2715" stopIfTrue="1" operator="equal">
      <formula>"Please check"</formula>
    </cfRule>
    <cfRule type="cellIs" dxfId="6204" priority="2716" stopIfTrue="1" operator="equal">
      <formula>"Fail"</formula>
    </cfRule>
    <cfRule type="cellIs" dxfId="6203" priority="2717" stopIfTrue="1" operator="equal">
      <formula>"Please fill in all mandatory cells AO60:AR60"</formula>
    </cfRule>
  </conditionalFormatting>
  <conditionalFormatting sqref="L134:O135">
    <cfRule type="cellIs" dxfId="6202" priority="2710" stopIfTrue="1" operator="equal">
      <formula>"Pass"</formula>
    </cfRule>
    <cfRule type="cellIs" dxfId="6201" priority="2711" stopIfTrue="1" operator="equal">
      <formula>"Please check"</formula>
    </cfRule>
    <cfRule type="cellIs" dxfId="6200" priority="2712" stopIfTrue="1" operator="equal">
      <formula>"Fail"</formula>
    </cfRule>
    <cfRule type="cellIs" dxfId="6199" priority="2713" stopIfTrue="1" operator="equal">
      <formula>"Please fill in all mandatory cells AO60:AR60"</formula>
    </cfRule>
  </conditionalFormatting>
  <conditionalFormatting sqref="L138:O139">
    <cfRule type="cellIs" dxfId="6198" priority="2706" stopIfTrue="1" operator="equal">
      <formula>"Pass"</formula>
    </cfRule>
    <cfRule type="cellIs" dxfId="6197" priority="2707" stopIfTrue="1" operator="equal">
      <formula>"Please check"</formula>
    </cfRule>
    <cfRule type="cellIs" dxfId="6196" priority="2708" stopIfTrue="1" operator="equal">
      <formula>"Fail"</formula>
    </cfRule>
    <cfRule type="cellIs" dxfId="6195" priority="2709" stopIfTrue="1" operator="equal">
      <formula>"Please fill in all mandatory cells AO60:AR60"</formula>
    </cfRule>
  </conditionalFormatting>
  <conditionalFormatting sqref="L143:O143 L142">
    <cfRule type="cellIs" dxfId="6194" priority="2702" stopIfTrue="1" operator="equal">
      <formula>"Pass"</formula>
    </cfRule>
    <cfRule type="cellIs" dxfId="6193" priority="2703" stopIfTrue="1" operator="equal">
      <formula>"Please check"</formula>
    </cfRule>
    <cfRule type="cellIs" dxfId="6192" priority="2704" stopIfTrue="1" operator="equal">
      <formula>"Fail"</formula>
    </cfRule>
    <cfRule type="cellIs" dxfId="6191" priority="2705" stopIfTrue="1" operator="equal">
      <formula>"Please fill in all mandatory cells AO60:AR60"</formula>
    </cfRule>
  </conditionalFormatting>
  <conditionalFormatting sqref="P118:P141 P143:P145">
    <cfRule type="cellIs" dxfId="6190" priority="2698" stopIfTrue="1" operator="equal">
      <formula>"Pass"</formula>
    </cfRule>
    <cfRule type="cellIs" dxfId="6189" priority="2699" stopIfTrue="1" operator="equal">
      <formula>"Please check"</formula>
    </cfRule>
    <cfRule type="cellIs" dxfId="6188" priority="2700" stopIfTrue="1" operator="equal">
      <formula>"Fail"</formula>
    </cfRule>
    <cfRule type="cellIs" dxfId="6187" priority="2701" stopIfTrue="1" operator="equal">
      <formula>"Please fill in all mandatory cells AO60:AR60"</formula>
    </cfRule>
  </conditionalFormatting>
  <conditionalFormatting sqref="H153:J153">
    <cfRule type="cellIs" dxfId="6186" priority="2694" stopIfTrue="1" operator="equal">
      <formula>"Pass"</formula>
    </cfRule>
    <cfRule type="cellIs" dxfId="6185" priority="2695" stopIfTrue="1" operator="equal">
      <formula>"Please check"</formula>
    </cfRule>
    <cfRule type="cellIs" dxfId="6184" priority="2696" stopIfTrue="1" operator="equal">
      <formula>"Fail"</formula>
    </cfRule>
    <cfRule type="cellIs" dxfId="6183" priority="2697" stopIfTrue="1" operator="equal">
      <formula>"Please fill in all mandatory cells AO60:AR60"</formula>
    </cfRule>
  </conditionalFormatting>
  <conditionalFormatting sqref="H155:J155">
    <cfRule type="cellIs" dxfId="6182" priority="2690" stopIfTrue="1" operator="equal">
      <formula>"Pass"</formula>
    </cfRule>
    <cfRule type="cellIs" dxfId="6181" priority="2691" stopIfTrue="1" operator="equal">
      <formula>"Please check"</formula>
    </cfRule>
    <cfRule type="cellIs" dxfId="6180" priority="2692" stopIfTrue="1" operator="equal">
      <formula>"Fail"</formula>
    </cfRule>
    <cfRule type="cellIs" dxfId="6179" priority="2693" stopIfTrue="1" operator="equal">
      <formula>"Please fill in all mandatory cells AO60:AR60"</formula>
    </cfRule>
  </conditionalFormatting>
  <conditionalFormatting sqref="H157:J157">
    <cfRule type="cellIs" dxfId="6178" priority="2686" stopIfTrue="1" operator="equal">
      <formula>"Pass"</formula>
    </cfRule>
    <cfRule type="cellIs" dxfId="6177" priority="2687" stopIfTrue="1" operator="equal">
      <formula>"Please check"</formula>
    </cfRule>
    <cfRule type="cellIs" dxfId="6176" priority="2688" stopIfTrue="1" operator="equal">
      <formula>"Fail"</formula>
    </cfRule>
    <cfRule type="cellIs" dxfId="6175" priority="2689" stopIfTrue="1" operator="equal">
      <formula>"Please fill in all mandatory cells AO60:AR60"</formula>
    </cfRule>
  </conditionalFormatting>
  <conditionalFormatting sqref="H159:J159">
    <cfRule type="cellIs" dxfId="6174" priority="2682" stopIfTrue="1" operator="equal">
      <formula>"Pass"</formula>
    </cfRule>
    <cfRule type="cellIs" dxfId="6173" priority="2683" stopIfTrue="1" operator="equal">
      <formula>"Please check"</formula>
    </cfRule>
    <cfRule type="cellIs" dxfId="6172" priority="2684" stopIfTrue="1" operator="equal">
      <formula>"Fail"</formula>
    </cfRule>
    <cfRule type="cellIs" dxfId="6171" priority="2685" stopIfTrue="1" operator="equal">
      <formula>"Please fill in all mandatory cells AO60:AR60"</formula>
    </cfRule>
  </conditionalFormatting>
  <conditionalFormatting sqref="G153:G160">
    <cfRule type="cellIs" dxfId="6170" priority="2678" stopIfTrue="1" operator="equal">
      <formula>"Pass"</formula>
    </cfRule>
    <cfRule type="cellIs" dxfId="6169" priority="2679" stopIfTrue="1" operator="equal">
      <formula>"Please check"</formula>
    </cfRule>
    <cfRule type="cellIs" dxfId="6168" priority="2680" stopIfTrue="1" operator="equal">
      <formula>"Fail"</formula>
    </cfRule>
    <cfRule type="cellIs" dxfId="6167" priority="2681" stopIfTrue="1" operator="equal">
      <formula>"Please fill in all mandatory cells AO60:AR60"</formula>
    </cfRule>
  </conditionalFormatting>
  <conditionalFormatting sqref="K153:K160">
    <cfRule type="cellIs" dxfId="6166" priority="2674" stopIfTrue="1" operator="equal">
      <formula>"Pass"</formula>
    </cfRule>
    <cfRule type="cellIs" dxfId="6165" priority="2675" stopIfTrue="1" operator="equal">
      <formula>"Please check"</formula>
    </cfRule>
    <cfRule type="cellIs" dxfId="6164" priority="2676" stopIfTrue="1" operator="equal">
      <formula>"Fail"</formula>
    </cfRule>
    <cfRule type="cellIs" dxfId="6163" priority="2677" stopIfTrue="1" operator="equal">
      <formula>"Please fill in all mandatory cells AO60:AR60"</formula>
    </cfRule>
  </conditionalFormatting>
  <conditionalFormatting sqref="L153:O153">
    <cfRule type="cellIs" dxfId="6162" priority="2670" stopIfTrue="1" operator="equal">
      <formula>"Pass"</formula>
    </cfRule>
    <cfRule type="cellIs" dxfId="6161" priority="2671" stopIfTrue="1" operator="equal">
      <formula>"Please check"</formula>
    </cfRule>
    <cfRule type="cellIs" dxfId="6160" priority="2672" stopIfTrue="1" operator="equal">
      <formula>"Fail"</formula>
    </cfRule>
    <cfRule type="cellIs" dxfId="6159" priority="2673" stopIfTrue="1" operator="equal">
      <formula>"Please fill in all mandatory cells AO60:AR60"</formula>
    </cfRule>
  </conditionalFormatting>
  <conditionalFormatting sqref="L155:O155">
    <cfRule type="cellIs" dxfId="6158" priority="2666" stopIfTrue="1" operator="equal">
      <formula>"Pass"</formula>
    </cfRule>
    <cfRule type="cellIs" dxfId="6157" priority="2667" stopIfTrue="1" operator="equal">
      <formula>"Please check"</formula>
    </cfRule>
    <cfRule type="cellIs" dxfId="6156" priority="2668" stopIfTrue="1" operator="equal">
      <formula>"Fail"</formula>
    </cfRule>
    <cfRule type="cellIs" dxfId="6155" priority="2669" stopIfTrue="1" operator="equal">
      <formula>"Please fill in all mandatory cells AO60:AR60"</formula>
    </cfRule>
  </conditionalFormatting>
  <conditionalFormatting sqref="L157:O157">
    <cfRule type="cellIs" dxfId="6154" priority="2662" stopIfTrue="1" operator="equal">
      <formula>"Pass"</formula>
    </cfRule>
    <cfRule type="cellIs" dxfId="6153" priority="2663" stopIfTrue="1" operator="equal">
      <formula>"Please check"</formula>
    </cfRule>
    <cfRule type="cellIs" dxfId="6152" priority="2664" stopIfTrue="1" operator="equal">
      <formula>"Fail"</formula>
    </cfRule>
    <cfRule type="cellIs" dxfId="6151" priority="2665" stopIfTrue="1" operator="equal">
      <formula>"Please fill in all mandatory cells AO60:AR60"</formula>
    </cfRule>
  </conditionalFormatting>
  <conditionalFormatting sqref="L159">
    <cfRule type="cellIs" dxfId="6150" priority="2658" stopIfTrue="1" operator="equal">
      <formula>"Pass"</formula>
    </cfRule>
    <cfRule type="cellIs" dxfId="6149" priority="2659" stopIfTrue="1" operator="equal">
      <formula>"Please check"</formula>
    </cfRule>
    <cfRule type="cellIs" dxfId="6148" priority="2660" stopIfTrue="1" operator="equal">
      <formula>"Fail"</formula>
    </cfRule>
    <cfRule type="cellIs" dxfId="6147" priority="2661" stopIfTrue="1" operator="equal">
      <formula>"Please fill in all mandatory cells AO60:AR60"</formula>
    </cfRule>
  </conditionalFormatting>
  <conditionalFormatting sqref="P153:P158 P160">
    <cfRule type="cellIs" dxfId="6146" priority="2654" stopIfTrue="1" operator="equal">
      <formula>"Pass"</formula>
    </cfRule>
    <cfRule type="cellIs" dxfId="6145" priority="2655" stopIfTrue="1" operator="equal">
      <formula>"Please check"</formula>
    </cfRule>
    <cfRule type="cellIs" dxfId="6144" priority="2656" stopIfTrue="1" operator="equal">
      <formula>"Fail"</formula>
    </cfRule>
    <cfRule type="cellIs" dxfId="6143" priority="2657" stopIfTrue="1" operator="equal">
      <formula>"Please fill in all mandatory cells AO60:AR60"</formula>
    </cfRule>
  </conditionalFormatting>
  <conditionalFormatting sqref="G170:I170">
    <cfRule type="cellIs" dxfId="6142" priority="2650" stopIfTrue="1" operator="equal">
      <formula>"Pass"</formula>
    </cfRule>
    <cfRule type="cellIs" dxfId="6141" priority="2651" stopIfTrue="1" operator="equal">
      <formula>"Please check"</formula>
    </cfRule>
    <cfRule type="cellIs" dxfId="6140" priority="2652" stopIfTrue="1" operator="equal">
      <formula>"Fail"</formula>
    </cfRule>
    <cfRule type="cellIs" dxfId="6139" priority="2653" stopIfTrue="1" operator="equal">
      <formula>"Please fill in all mandatory cells AO60:AR60"</formula>
    </cfRule>
  </conditionalFormatting>
  <conditionalFormatting sqref="G189:M192">
    <cfRule type="cellIs" dxfId="6138" priority="2646" stopIfTrue="1" operator="equal">
      <formula>"Pass"</formula>
    </cfRule>
    <cfRule type="cellIs" dxfId="6137" priority="2647" stopIfTrue="1" operator="equal">
      <formula>"Please check"</formula>
    </cfRule>
    <cfRule type="cellIs" dxfId="6136" priority="2648" stopIfTrue="1" operator="equal">
      <formula>"Fail"</formula>
    </cfRule>
    <cfRule type="cellIs" dxfId="6135" priority="2649" stopIfTrue="1" operator="equal">
      <formula>"Please fill in all mandatory cells AO60:AR60"</formula>
    </cfRule>
  </conditionalFormatting>
  <conditionalFormatting sqref="K193:K199">
    <cfRule type="cellIs" dxfId="6134" priority="2642" stopIfTrue="1" operator="equal">
      <formula>"Pass"</formula>
    </cfRule>
    <cfRule type="cellIs" dxfId="6133" priority="2643" stopIfTrue="1" operator="equal">
      <formula>"Please check"</formula>
    </cfRule>
    <cfRule type="cellIs" dxfId="6132" priority="2644" stopIfTrue="1" operator="equal">
      <formula>"Fail"</formula>
    </cfRule>
    <cfRule type="cellIs" dxfId="6131" priority="2645" stopIfTrue="1" operator="equal">
      <formula>"Please fill in all mandatory cells AO60:AR60"</formula>
    </cfRule>
  </conditionalFormatting>
  <conditionalFormatting sqref="H207:J208">
    <cfRule type="cellIs" dxfId="6130" priority="2638" stopIfTrue="1" operator="equal">
      <formula>"Pass"</formula>
    </cfRule>
    <cfRule type="cellIs" dxfId="6129" priority="2639" stopIfTrue="1" operator="equal">
      <formula>"Please check"</formula>
    </cfRule>
    <cfRule type="cellIs" dxfId="6128" priority="2640" stopIfTrue="1" operator="equal">
      <formula>"Fail"</formula>
    </cfRule>
    <cfRule type="cellIs" dxfId="6127" priority="2641" stopIfTrue="1" operator="equal">
      <formula>"Please fill in all mandatory cells AO60:AR60"</formula>
    </cfRule>
  </conditionalFormatting>
  <conditionalFormatting sqref="H211:J212">
    <cfRule type="cellIs" dxfId="6126" priority="2634" stopIfTrue="1" operator="equal">
      <formula>"Pass"</formula>
    </cfRule>
    <cfRule type="cellIs" dxfId="6125" priority="2635" stopIfTrue="1" operator="equal">
      <formula>"Please check"</formula>
    </cfRule>
    <cfRule type="cellIs" dxfId="6124" priority="2636" stopIfTrue="1" operator="equal">
      <formula>"Fail"</formula>
    </cfRule>
    <cfRule type="cellIs" dxfId="6123" priority="2637" stopIfTrue="1" operator="equal">
      <formula>"Please fill in all mandatory cells AO60:AR60"</formula>
    </cfRule>
  </conditionalFormatting>
  <conditionalFormatting sqref="G207:G214">
    <cfRule type="cellIs" dxfId="6122" priority="2630" stopIfTrue="1" operator="equal">
      <formula>"Pass"</formula>
    </cfRule>
    <cfRule type="cellIs" dxfId="6121" priority="2631" stopIfTrue="1" operator="equal">
      <formula>"Please check"</formula>
    </cfRule>
    <cfRule type="cellIs" dxfId="6120" priority="2632" stopIfTrue="1" operator="equal">
      <formula>"Fail"</formula>
    </cfRule>
    <cfRule type="cellIs" dxfId="6119" priority="2633" stopIfTrue="1" operator="equal">
      <formula>"Please fill in all mandatory cells AO60:AR60"</formula>
    </cfRule>
  </conditionalFormatting>
  <conditionalFormatting sqref="K207:K214">
    <cfRule type="cellIs" dxfId="6118" priority="2626" stopIfTrue="1" operator="equal">
      <formula>"Pass"</formula>
    </cfRule>
    <cfRule type="cellIs" dxfId="6117" priority="2627" stopIfTrue="1" operator="equal">
      <formula>"Please check"</formula>
    </cfRule>
    <cfRule type="cellIs" dxfId="6116" priority="2628" stopIfTrue="1" operator="equal">
      <formula>"Fail"</formula>
    </cfRule>
    <cfRule type="cellIs" dxfId="6115" priority="2629" stopIfTrue="1" operator="equal">
      <formula>"Please fill in all mandatory cells AO60:AR60"</formula>
    </cfRule>
  </conditionalFormatting>
  <conditionalFormatting sqref="L207:O208">
    <cfRule type="cellIs" dxfId="6114" priority="2622" stopIfTrue="1" operator="equal">
      <formula>"Pass"</formula>
    </cfRule>
    <cfRule type="cellIs" dxfId="6113" priority="2623" stopIfTrue="1" operator="equal">
      <formula>"Please check"</formula>
    </cfRule>
    <cfRule type="cellIs" dxfId="6112" priority="2624" stopIfTrue="1" operator="equal">
      <formula>"Fail"</formula>
    </cfRule>
    <cfRule type="cellIs" dxfId="6111" priority="2625" stopIfTrue="1" operator="equal">
      <formula>"Please fill in all mandatory cells AO60:AR60"</formula>
    </cfRule>
  </conditionalFormatting>
  <conditionalFormatting sqref="L211:O212">
    <cfRule type="cellIs" dxfId="6110" priority="2618" stopIfTrue="1" operator="equal">
      <formula>"Pass"</formula>
    </cfRule>
    <cfRule type="cellIs" dxfId="6109" priority="2619" stopIfTrue="1" operator="equal">
      <formula>"Please check"</formula>
    </cfRule>
    <cfRule type="cellIs" dxfId="6108" priority="2620" stopIfTrue="1" operator="equal">
      <formula>"Fail"</formula>
    </cfRule>
    <cfRule type="cellIs" dxfId="6107" priority="2621" stopIfTrue="1" operator="equal">
      <formula>"Please fill in all mandatory cells AO60:AR60"</formula>
    </cfRule>
  </conditionalFormatting>
  <conditionalFormatting sqref="P207:P214">
    <cfRule type="cellIs" dxfId="6106" priority="2614" stopIfTrue="1" operator="equal">
      <formula>"Pass"</formula>
    </cfRule>
    <cfRule type="cellIs" dxfId="6105" priority="2615" stopIfTrue="1" operator="equal">
      <formula>"Please check"</formula>
    </cfRule>
    <cfRule type="cellIs" dxfId="6104" priority="2616" stopIfTrue="1" operator="equal">
      <formula>"Fail"</formula>
    </cfRule>
    <cfRule type="cellIs" dxfId="6103" priority="2617" stopIfTrue="1" operator="equal">
      <formula>"Please fill in all mandatory cells AO60:AR60"</formula>
    </cfRule>
  </conditionalFormatting>
  <conditionalFormatting sqref="J176:J182 L182 K171:K174 J168:J174">
    <cfRule type="cellIs" dxfId="6102" priority="2611" stopIfTrue="1" operator="equal">
      <formula>"No"</formula>
    </cfRule>
    <cfRule type="cellIs" dxfId="6101" priority="2612" stopIfTrue="1" operator="equal">
      <formula>"Fail"</formula>
    </cfRule>
    <cfRule type="cellIs" dxfId="6100" priority="2613" stopIfTrue="1" operator="equal">
      <formula>"please check"</formula>
    </cfRule>
  </conditionalFormatting>
  <conditionalFormatting sqref="J176:J182 L182 K171:K174 J168:J174">
    <cfRule type="cellIs" dxfId="6099" priority="2610" stopIfTrue="1" operator="equal">
      <formula>"Pass"</formula>
    </cfRule>
  </conditionalFormatting>
  <conditionalFormatting sqref="K171:K174">
    <cfRule type="containsText" dxfId="6098" priority="2607" operator="containsText" text="Please check">
      <formula>NOT(ISERROR(SEARCH("Please check",K171)))</formula>
    </cfRule>
    <cfRule type="containsText" dxfId="6097" priority="2608" operator="containsText" text="Missing inputs">
      <formula>NOT(ISERROR(SEARCH("Missing inputs",K171)))</formula>
    </cfRule>
    <cfRule type="containsText" dxfId="6096" priority="2609" operator="containsText" text="OK">
      <formula>NOT(ISERROR(SEARCH("OK",K171)))</formula>
    </cfRule>
  </conditionalFormatting>
  <conditionalFormatting sqref="K167">
    <cfRule type="cellIs" dxfId="6095" priority="2604" stopIfTrue="1" operator="equal">
      <formula>"No"</formula>
    </cfRule>
    <cfRule type="cellIs" dxfId="6094" priority="2605" stopIfTrue="1" operator="equal">
      <formula>"Fail"</formula>
    </cfRule>
    <cfRule type="cellIs" dxfId="6093" priority="2606" stopIfTrue="1" operator="equal">
      <formula>"please check"</formula>
    </cfRule>
  </conditionalFormatting>
  <conditionalFormatting sqref="K167">
    <cfRule type="cellIs" dxfId="6092" priority="2603" stopIfTrue="1" operator="equal">
      <formula>"Pass"</formula>
    </cfRule>
  </conditionalFormatting>
  <conditionalFormatting sqref="K168:K169">
    <cfRule type="cellIs" dxfId="6091" priority="2600" stopIfTrue="1" operator="equal">
      <formula>"No"</formula>
    </cfRule>
    <cfRule type="cellIs" dxfId="6090" priority="2601" stopIfTrue="1" operator="equal">
      <formula>"Fail"</formula>
    </cfRule>
    <cfRule type="cellIs" dxfId="6089" priority="2602" stopIfTrue="1" operator="equal">
      <formula>"please check"</formula>
    </cfRule>
  </conditionalFormatting>
  <conditionalFormatting sqref="K168:K169">
    <cfRule type="cellIs" dxfId="6088" priority="2599" stopIfTrue="1" operator="equal">
      <formula>"Pass"</formula>
    </cfRule>
  </conditionalFormatting>
  <conditionalFormatting sqref="K170">
    <cfRule type="cellIs" dxfId="6087" priority="2596" stopIfTrue="1" operator="equal">
      <formula>"No"</formula>
    </cfRule>
    <cfRule type="cellIs" dxfId="6086" priority="2597" stopIfTrue="1" operator="equal">
      <formula>"Fail"</formula>
    </cfRule>
    <cfRule type="cellIs" dxfId="6085" priority="2598" stopIfTrue="1" operator="equal">
      <formula>"please check"</formula>
    </cfRule>
  </conditionalFormatting>
  <conditionalFormatting sqref="K170">
    <cfRule type="cellIs" dxfId="6084" priority="2595" stopIfTrue="1" operator="equal">
      <formula>"Pass"</formula>
    </cfRule>
  </conditionalFormatting>
  <conditionalFormatting sqref="M165:M166 O165:O166">
    <cfRule type="cellIs" dxfId="6083" priority="2592" stopIfTrue="1" operator="equal">
      <formula>"Pass"</formula>
    </cfRule>
    <cfRule type="cellIs" dxfId="6082" priority="2593" stopIfTrue="1" operator="equal">
      <formula>"please check"</formula>
    </cfRule>
  </conditionalFormatting>
  <conditionalFormatting sqref="N165:N166">
    <cfRule type="cellIs" dxfId="6081" priority="2589" stopIfTrue="1" operator="equal">
      <formula>"Pass"</formula>
    </cfRule>
    <cfRule type="cellIs" dxfId="6080" priority="2590" stopIfTrue="1" operator="equal">
      <formula>"please check"</formula>
    </cfRule>
  </conditionalFormatting>
  <conditionalFormatting sqref="M167:M172 O167:O172">
    <cfRule type="cellIs" dxfId="6079" priority="2586" stopIfTrue="1" operator="equal">
      <formula>"Pass"</formula>
    </cfRule>
    <cfRule type="cellIs" dxfId="6078" priority="2587" stopIfTrue="1" operator="equal">
      <formula>"please check"</formula>
    </cfRule>
  </conditionalFormatting>
  <conditionalFormatting sqref="N167:N172">
    <cfRule type="cellIs" dxfId="6077" priority="2583" stopIfTrue="1" operator="equal">
      <formula>"Pass"</formula>
    </cfRule>
    <cfRule type="cellIs" dxfId="6076" priority="2584" stopIfTrue="1" operator="equal">
      <formula>"please check"</formula>
    </cfRule>
  </conditionalFormatting>
  <conditionalFormatting sqref="J165:L165">
    <cfRule type="cellIs" dxfId="6075" priority="2577" stopIfTrue="1" operator="equal">
      <formula>"Pass"</formula>
    </cfRule>
    <cfRule type="cellIs" dxfId="6074" priority="2578" stopIfTrue="1" operator="equal">
      <formula>"please check"</formula>
    </cfRule>
  </conditionalFormatting>
  <conditionalFormatting sqref="J165:L165">
    <cfRule type="cellIs" dxfId="6073" priority="2580" stopIfTrue="1" operator="equal">
      <formula>"Pass"</formula>
    </cfRule>
    <cfRule type="cellIs" dxfId="6072" priority="2581" stopIfTrue="1" operator="equal">
      <formula>"please check"</formula>
    </cfRule>
  </conditionalFormatting>
  <conditionalFormatting sqref="J167">
    <cfRule type="cellIs" dxfId="6071" priority="2574" stopIfTrue="1" operator="equal">
      <formula>"No"</formula>
    </cfRule>
    <cfRule type="cellIs" dxfId="6070" priority="2575" stopIfTrue="1" operator="equal">
      <formula>"Fail"</formula>
    </cfRule>
    <cfRule type="cellIs" dxfId="6069" priority="2576" stopIfTrue="1" operator="equal">
      <formula>"please check"</formula>
    </cfRule>
  </conditionalFormatting>
  <conditionalFormatting sqref="J167">
    <cfRule type="cellIs" dxfId="6068" priority="2573" stopIfTrue="1" operator="equal">
      <formula>"Pass"</formula>
    </cfRule>
  </conditionalFormatting>
  <conditionalFormatting sqref="J167">
    <cfRule type="containsText" dxfId="6067" priority="2570" operator="containsText" text="Please check">
      <formula>NOT(ISERROR(SEARCH("Please check",J167)))</formula>
    </cfRule>
    <cfRule type="containsText" dxfId="6066" priority="2571" operator="containsText" text="Missing inputs">
      <formula>NOT(ISERROR(SEARCH("Missing inputs",J167)))</formula>
    </cfRule>
    <cfRule type="containsText" dxfId="6065" priority="2572" operator="containsText" text="OK">
      <formula>NOT(ISERROR(SEARCH("OK",J167)))</formula>
    </cfRule>
  </conditionalFormatting>
  <conditionalFormatting sqref="G167">
    <cfRule type="cellIs" dxfId="6064" priority="2566" stopIfTrue="1" operator="equal">
      <formula>"Pass"</formula>
    </cfRule>
    <cfRule type="cellIs" dxfId="6063" priority="2567" stopIfTrue="1" operator="equal">
      <formula>"Please check"</formula>
    </cfRule>
    <cfRule type="cellIs" dxfId="6062" priority="2568" stopIfTrue="1" operator="equal">
      <formula>"Fail"</formula>
    </cfRule>
    <cfRule type="cellIs" dxfId="6061" priority="2569" stopIfTrue="1" operator="equal">
      <formula>"Please fill in all mandatory cells AO60:AR60"</formula>
    </cfRule>
  </conditionalFormatting>
  <conditionalFormatting sqref="H167">
    <cfRule type="cellIs" dxfId="6060" priority="2562" stopIfTrue="1" operator="equal">
      <formula>"Pass"</formula>
    </cfRule>
    <cfRule type="cellIs" dxfId="6059" priority="2563" stopIfTrue="1" operator="equal">
      <formula>"Please check"</formula>
    </cfRule>
    <cfRule type="cellIs" dxfId="6058" priority="2564" stopIfTrue="1" operator="equal">
      <formula>"Fail"</formula>
    </cfRule>
    <cfRule type="cellIs" dxfId="6057" priority="2565" stopIfTrue="1" operator="equal">
      <formula>"Please fill in all mandatory cells AO60:AR60"</formula>
    </cfRule>
  </conditionalFormatting>
  <conditionalFormatting sqref="I167">
    <cfRule type="cellIs" dxfId="6056" priority="2558" stopIfTrue="1" operator="equal">
      <formula>"Pass"</formula>
    </cfRule>
    <cfRule type="cellIs" dxfId="6055" priority="2559" stopIfTrue="1" operator="equal">
      <formula>"Please check"</formula>
    </cfRule>
    <cfRule type="cellIs" dxfId="6054" priority="2560" stopIfTrue="1" operator="equal">
      <formula>"Fail"</formula>
    </cfRule>
    <cfRule type="cellIs" dxfId="6053" priority="2561" stopIfTrue="1" operator="equal">
      <formula>"Please fill in all mandatory cells AO60:AR60"</formula>
    </cfRule>
  </conditionalFormatting>
  <conditionalFormatting sqref="L167:L170">
    <cfRule type="cellIs" dxfId="6052" priority="2555" stopIfTrue="1" operator="equal">
      <formula>"Pass"</formula>
    </cfRule>
    <cfRule type="cellIs" dxfId="6051" priority="2556" stopIfTrue="1" operator="equal">
      <formula>"please check"</formula>
    </cfRule>
  </conditionalFormatting>
  <conditionalFormatting sqref="L168:L169">
    <cfRule type="cellIs" dxfId="6050" priority="2544" stopIfTrue="1" operator="equal">
      <formula>"No"</formula>
    </cfRule>
    <cfRule type="cellIs" dxfId="6049" priority="2545" stopIfTrue="1" operator="equal">
      <formula>"Fail"</formula>
    </cfRule>
    <cfRule type="cellIs" dxfId="6048" priority="2546" stopIfTrue="1" operator="equal">
      <formula>"please check"</formula>
    </cfRule>
  </conditionalFormatting>
  <conditionalFormatting sqref="L168:L169">
    <cfRule type="cellIs" dxfId="6047" priority="2543" stopIfTrue="1" operator="equal">
      <formula>"Pass"</formula>
    </cfRule>
  </conditionalFormatting>
  <conditionalFormatting sqref="L167">
    <cfRule type="cellIs" dxfId="6046" priority="2552" stopIfTrue="1" operator="equal">
      <formula>"No"</formula>
    </cfRule>
    <cfRule type="cellIs" dxfId="6045" priority="2553" stopIfTrue="1" operator="equal">
      <formula>"Fail"</formula>
    </cfRule>
    <cfRule type="cellIs" dxfId="6044" priority="2554" stopIfTrue="1" operator="equal">
      <formula>"please check"</formula>
    </cfRule>
  </conditionalFormatting>
  <conditionalFormatting sqref="L167">
    <cfRule type="cellIs" dxfId="6043" priority="2551" stopIfTrue="1" operator="equal">
      <formula>"Pass"</formula>
    </cfRule>
  </conditionalFormatting>
  <conditionalFormatting sqref="L170">
    <cfRule type="cellIs" dxfId="6042" priority="2548" stopIfTrue="1" operator="equal">
      <formula>"No"</formula>
    </cfRule>
    <cfRule type="cellIs" dxfId="6041" priority="2549" stopIfTrue="1" operator="equal">
      <formula>"Fail"</formula>
    </cfRule>
    <cfRule type="cellIs" dxfId="6040" priority="2550" stopIfTrue="1" operator="equal">
      <formula>"please check"</formula>
    </cfRule>
  </conditionalFormatting>
  <conditionalFormatting sqref="L170">
    <cfRule type="cellIs" dxfId="6039" priority="2547" stopIfTrue="1" operator="equal">
      <formula>"Pass"</formula>
    </cfRule>
  </conditionalFormatting>
  <conditionalFormatting sqref="L171:L174">
    <cfRule type="cellIs" dxfId="6038" priority="2542" stopIfTrue="1" operator="equal">
      <formula>"Pass"</formula>
    </cfRule>
  </conditionalFormatting>
  <conditionalFormatting sqref="L171:L174">
    <cfRule type="cellIs" dxfId="6037" priority="2539" stopIfTrue="1" operator="equal">
      <formula>"No"</formula>
    </cfRule>
    <cfRule type="cellIs" dxfId="6036" priority="2540" stopIfTrue="1" operator="equal">
      <formula>"Fail"</formula>
    </cfRule>
    <cfRule type="cellIs" dxfId="6035" priority="2541" stopIfTrue="1" operator="equal">
      <formula>"please check"</formula>
    </cfRule>
  </conditionalFormatting>
  <conditionalFormatting sqref="L171:L174">
    <cfRule type="containsText" dxfId="6034" priority="2536" operator="containsText" text="Please check">
      <formula>NOT(ISERROR(SEARCH("Please check",L171)))</formula>
    </cfRule>
    <cfRule type="containsText" dxfId="6033" priority="2537" operator="containsText" text="Missing inputs">
      <formula>NOT(ISERROR(SEARCH("Missing inputs",L171)))</formula>
    </cfRule>
    <cfRule type="containsText" dxfId="6032" priority="2538" operator="containsText" text="OK">
      <formula>NOT(ISERROR(SEARCH("OK",L171)))</formula>
    </cfRule>
  </conditionalFormatting>
  <conditionalFormatting sqref="O190">
    <cfRule type="cellIs" dxfId="6031" priority="2504" stopIfTrue="1" operator="equal">
      <formula>"No"</formula>
    </cfRule>
    <cfRule type="cellIs" dxfId="6030" priority="2505" stopIfTrue="1" operator="equal">
      <formula>"Fail"</formula>
    </cfRule>
    <cfRule type="cellIs" dxfId="6029" priority="2506" stopIfTrue="1" operator="equal">
      <formula>"please check"</formula>
    </cfRule>
  </conditionalFormatting>
  <conditionalFormatting sqref="O190">
    <cfRule type="cellIs" dxfId="6028" priority="2503" stopIfTrue="1" operator="equal">
      <formula>"Pass"</formula>
    </cfRule>
  </conditionalFormatting>
  <conditionalFormatting sqref="O189">
    <cfRule type="cellIs" dxfId="6027" priority="2533" stopIfTrue="1" operator="equal">
      <formula>"No"</formula>
    </cfRule>
    <cfRule type="cellIs" dxfId="6026" priority="2534" stopIfTrue="1" operator="equal">
      <formula>"Fail"</formula>
    </cfRule>
    <cfRule type="cellIs" dxfId="6025" priority="2535" stopIfTrue="1" operator="equal">
      <formula>"please check"</formula>
    </cfRule>
  </conditionalFormatting>
  <conditionalFormatting sqref="O189">
    <cfRule type="cellIs" dxfId="6024" priority="2532" stopIfTrue="1" operator="equal">
      <formula>"Pass"</formula>
    </cfRule>
  </conditionalFormatting>
  <conditionalFormatting sqref="O191">
    <cfRule type="cellIs" dxfId="6023" priority="2529" stopIfTrue="1" operator="equal">
      <formula>"No"</formula>
    </cfRule>
    <cfRule type="cellIs" dxfId="6022" priority="2530" stopIfTrue="1" operator="equal">
      <formula>"Fail"</formula>
    </cfRule>
    <cfRule type="cellIs" dxfId="6021" priority="2531" stopIfTrue="1" operator="equal">
      <formula>"please check"</formula>
    </cfRule>
  </conditionalFormatting>
  <conditionalFormatting sqref="O191">
    <cfRule type="cellIs" dxfId="6020" priority="2528" stopIfTrue="1" operator="equal">
      <formula>"Pass"</formula>
    </cfRule>
  </conditionalFormatting>
  <conditionalFormatting sqref="O193">
    <cfRule type="cellIs" dxfId="6019" priority="2525" stopIfTrue="1" operator="equal">
      <formula>"No"</formula>
    </cfRule>
    <cfRule type="cellIs" dxfId="6018" priority="2526" stopIfTrue="1" operator="equal">
      <formula>"Fail"</formula>
    </cfRule>
    <cfRule type="cellIs" dxfId="6017" priority="2527" stopIfTrue="1" operator="equal">
      <formula>"please check"</formula>
    </cfRule>
  </conditionalFormatting>
  <conditionalFormatting sqref="O193">
    <cfRule type="cellIs" dxfId="6016" priority="2524" stopIfTrue="1" operator="equal">
      <formula>"Pass"</formula>
    </cfRule>
  </conditionalFormatting>
  <conditionalFormatting sqref="O193">
    <cfRule type="containsText" dxfId="6015" priority="2521" operator="containsText" text="Please check">
      <formula>NOT(ISERROR(SEARCH("Please check",O193)))</formula>
    </cfRule>
    <cfRule type="containsText" dxfId="6014" priority="2522" operator="containsText" text="Missing inputs">
      <formula>NOT(ISERROR(SEARCH("Missing inputs",O193)))</formula>
    </cfRule>
    <cfRule type="containsText" dxfId="6013" priority="2523" operator="containsText" text="OK">
      <formula>NOT(ISERROR(SEARCH("OK",O193)))</formula>
    </cfRule>
  </conditionalFormatting>
  <conditionalFormatting sqref="O197">
    <cfRule type="cellIs" dxfId="6012" priority="2518" stopIfTrue="1" operator="equal">
      <formula>"No"</formula>
    </cfRule>
    <cfRule type="cellIs" dxfId="6011" priority="2519" stopIfTrue="1" operator="equal">
      <formula>"Fail"</formula>
    </cfRule>
    <cfRule type="cellIs" dxfId="6010" priority="2520" stopIfTrue="1" operator="equal">
      <formula>"please check"</formula>
    </cfRule>
  </conditionalFormatting>
  <conditionalFormatting sqref="O197">
    <cfRule type="cellIs" dxfId="6009" priority="2517" stopIfTrue="1" operator="equal">
      <formula>"Pass"</formula>
    </cfRule>
  </conditionalFormatting>
  <conditionalFormatting sqref="O197">
    <cfRule type="containsText" dxfId="6008" priority="2514" operator="containsText" text="Please check">
      <formula>NOT(ISERROR(SEARCH("Please check",O197)))</formula>
    </cfRule>
    <cfRule type="containsText" dxfId="6007" priority="2515" operator="containsText" text="Missing inputs">
      <formula>NOT(ISERROR(SEARCH("Missing inputs",O197)))</formula>
    </cfRule>
    <cfRule type="containsText" dxfId="6006" priority="2516" operator="containsText" text="OK">
      <formula>NOT(ISERROR(SEARCH("OK",O197)))</formula>
    </cfRule>
  </conditionalFormatting>
  <conditionalFormatting sqref="O192">
    <cfRule type="cellIs" dxfId="6005" priority="2511" stopIfTrue="1" operator="equal">
      <formula>"No"</formula>
    </cfRule>
    <cfRule type="cellIs" dxfId="6004" priority="2512" stopIfTrue="1" operator="equal">
      <formula>"Fail"</formula>
    </cfRule>
    <cfRule type="cellIs" dxfId="6003" priority="2513" stopIfTrue="1" operator="equal">
      <formula>"please check"</formula>
    </cfRule>
  </conditionalFormatting>
  <conditionalFormatting sqref="O192">
    <cfRule type="cellIs" dxfId="6002" priority="2510" stopIfTrue="1" operator="equal">
      <formula>"Pass"</formula>
    </cfRule>
  </conditionalFormatting>
  <conditionalFormatting sqref="O192">
    <cfRule type="containsText" dxfId="6001" priority="2507" operator="containsText" text="Please check">
      <formula>NOT(ISERROR(SEARCH("Please check",O192)))</formula>
    </cfRule>
    <cfRule type="containsText" dxfId="6000" priority="2508" operator="containsText" text="Missing inputs">
      <formula>NOT(ISERROR(SEARCH("Missing inputs",O192)))</formula>
    </cfRule>
    <cfRule type="containsText" dxfId="5999" priority="2509" operator="containsText" text="OK">
      <formula>NOT(ISERROR(SEARCH("OK",O192)))</formula>
    </cfRule>
  </conditionalFormatting>
  <conditionalFormatting sqref="O195:O196">
    <cfRule type="cellIs" dxfId="5998" priority="2500" stopIfTrue="1" operator="equal">
      <formula>"No"</formula>
    </cfRule>
    <cfRule type="cellIs" dxfId="5997" priority="2501" stopIfTrue="1" operator="equal">
      <formula>"Fail"</formula>
    </cfRule>
    <cfRule type="cellIs" dxfId="5996" priority="2502" stopIfTrue="1" operator="equal">
      <formula>"please check"</formula>
    </cfRule>
  </conditionalFormatting>
  <conditionalFormatting sqref="O195:O196">
    <cfRule type="cellIs" dxfId="5995" priority="2499" stopIfTrue="1" operator="equal">
      <formula>"Pass"</formula>
    </cfRule>
  </conditionalFormatting>
  <conditionalFormatting sqref="O198:O199">
    <cfRule type="cellIs" dxfId="5994" priority="2496" stopIfTrue="1" operator="equal">
      <formula>"No"</formula>
    </cfRule>
    <cfRule type="cellIs" dxfId="5993" priority="2497" stopIfTrue="1" operator="equal">
      <formula>"Fail"</formula>
    </cfRule>
    <cfRule type="cellIs" dxfId="5992" priority="2498" stopIfTrue="1" operator="equal">
      <formula>"please check"</formula>
    </cfRule>
  </conditionalFormatting>
  <conditionalFormatting sqref="O198:O199">
    <cfRule type="cellIs" dxfId="5991" priority="2495" stopIfTrue="1" operator="equal">
      <formula>"Pass"</formula>
    </cfRule>
  </conditionalFormatting>
  <conditionalFormatting sqref="N187:P187">
    <cfRule type="cellIs" dxfId="5990" priority="2489" stopIfTrue="1" operator="equal">
      <formula>"Pass"</formula>
    </cfRule>
    <cfRule type="cellIs" dxfId="5989" priority="2490" stopIfTrue="1" operator="equal">
      <formula>"please check"</formula>
    </cfRule>
  </conditionalFormatting>
  <conditionalFormatting sqref="N187:P187">
    <cfRule type="cellIs" dxfId="5988" priority="2492" stopIfTrue="1" operator="equal">
      <formula>"Pass"</formula>
    </cfRule>
    <cfRule type="cellIs" dxfId="5987" priority="2493" stopIfTrue="1" operator="equal">
      <formula>"please check"</formula>
    </cfRule>
  </conditionalFormatting>
  <conditionalFormatting sqref="N192">
    <cfRule type="cellIs" dxfId="5986" priority="2486" stopIfTrue="1" operator="equal">
      <formula>"No"</formula>
    </cfRule>
    <cfRule type="cellIs" dxfId="5985" priority="2487" stopIfTrue="1" operator="equal">
      <formula>"Fail"</formula>
    </cfRule>
    <cfRule type="cellIs" dxfId="5984" priority="2488" stopIfTrue="1" operator="equal">
      <formula>"please check"</formula>
    </cfRule>
  </conditionalFormatting>
  <conditionalFormatting sqref="N192">
    <cfRule type="cellIs" dxfId="5983" priority="2485" stopIfTrue="1" operator="equal">
      <formula>"Pass"</formula>
    </cfRule>
  </conditionalFormatting>
  <conditionalFormatting sqref="N192">
    <cfRule type="containsText" dxfId="5982" priority="2482" operator="containsText" text="Please check">
      <formula>NOT(ISERROR(SEARCH("Please check",N192)))</formula>
    </cfRule>
    <cfRule type="containsText" dxfId="5981" priority="2483" operator="containsText" text="Missing inputs">
      <formula>NOT(ISERROR(SEARCH("Missing inputs",N192)))</formula>
    </cfRule>
    <cfRule type="containsText" dxfId="5980" priority="2484" operator="containsText" text="OK">
      <formula>NOT(ISERROR(SEARCH("OK",N192)))</formula>
    </cfRule>
  </conditionalFormatting>
  <conditionalFormatting sqref="N190">
    <cfRule type="cellIs" dxfId="5979" priority="2471" stopIfTrue="1" operator="equal">
      <formula>"No"</formula>
    </cfRule>
    <cfRule type="cellIs" dxfId="5978" priority="2472" stopIfTrue="1" operator="equal">
      <formula>"Fail"</formula>
    </cfRule>
    <cfRule type="cellIs" dxfId="5977" priority="2473" stopIfTrue="1" operator="equal">
      <formula>"please check"</formula>
    </cfRule>
  </conditionalFormatting>
  <conditionalFormatting sqref="N190">
    <cfRule type="cellIs" dxfId="5976" priority="2470" stopIfTrue="1" operator="equal">
      <formula>"Pass"</formula>
    </cfRule>
  </conditionalFormatting>
  <conditionalFormatting sqref="N189">
    <cfRule type="cellIs" dxfId="5975" priority="2479" stopIfTrue="1" operator="equal">
      <formula>"No"</formula>
    </cfRule>
    <cfRule type="cellIs" dxfId="5974" priority="2480" stopIfTrue="1" operator="equal">
      <formula>"Fail"</formula>
    </cfRule>
    <cfRule type="cellIs" dxfId="5973" priority="2481" stopIfTrue="1" operator="equal">
      <formula>"please check"</formula>
    </cfRule>
  </conditionalFormatting>
  <conditionalFormatting sqref="N189">
    <cfRule type="cellIs" dxfId="5972" priority="2478" stopIfTrue="1" operator="equal">
      <formula>"Pass"</formula>
    </cfRule>
  </conditionalFormatting>
  <conditionalFormatting sqref="N191">
    <cfRule type="cellIs" dxfId="5971" priority="2475" stopIfTrue="1" operator="equal">
      <formula>"No"</formula>
    </cfRule>
    <cfRule type="cellIs" dxfId="5970" priority="2476" stopIfTrue="1" operator="equal">
      <formula>"Fail"</formula>
    </cfRule>
    <cfRule type="cellIs" dxfId="5969" priority="2477" stopIfTrue="1" operator="equal">
      <formula>"please check"</formula>
    </cfRule>
  </conditionalFormatting>
  <conditionalFormatting sqref="N191">
    <cfRule type="cellIs" dxfId="5968" priority="2474" stopIfTrue="1" operator="equal">
      <formula>"Pass"</formula>
    </cfRule>
  </conditionalFormatting>
  <conditionalFormatting sqref="N193">
    <cfRule type="cellIs" dxfId="5967" priority="2467" stopIfTrue="1" operator="equal">
      <formula>"No"</formula>
    </cfRule>
    <cfRule type="cellIs" dxfId="5966" priority="2468" stopIfTrue="1" operator="equal">
      <formula>"Fail"</formula>
    </cfRule>
    <cfRule type="cellIs" dxfId="5965" priority="2469" stopIfTrue="1" operator="equal">
      <formula>"please check"</formula>
    </cfRule>
  </conditionalFormatting>
  <conditionalFormatting sqref="N193">
    <cfRule type="cellIs" dxfId="5964" priority="2466" stopIfTrue="1" operator="equal">
      <formula>"Pass"</formula>
    </cfRule>
  </conditionalFormatting>
  <conditionalFormatting sqref="N194:N195">
    <cfRule type="cellIs" dxfId="5963" priority="2463" stopIfTrue="1" operator="equal">
      <formula>"No"</formula>
    </cfRule>
    <cfRule type="cellIs" dxfId="5962" priority="2464" stopIfTrue="1" operator="equal">
      <formula>"Fail"</formula>
    </cfRule>
    <cfRule type="cellIs" dxfId="5961" priority="2465" stopIfTrue="1" operator="equal">
      <formula>"please check"</formula>
    </cfRule>
  </conditionalFormatting>
  <conditionalFormatting sqref="N194:N195">
    <cfRule type="cellIs" dxfId="5960" priority="2462" stopIfTrue="1" operator="equal">
      <formula>"Pass"</formula>
    </cfRule>
  </conditionalFormatting>
  <conditionalFormatting sqref="N196:N199">
    <cfRule type="cellIs" dxfId="5959" priority="2459" stopIfTrue="1" operator="equal">
      <formula>"No"</formula>
    </cfRule>
    <cfRule type="cellIs" dxfId="5958" priority="2460" stopIfTrue="1" operator="equal">
      <formula>"Fail"</formula>
    </cfRule>
    <cfRule type="cellIs" dxfId="5957" priority="2461" stopIfTrue="1" operator="equal">
      <formula>"please check"</formula>
    </cfRule>
  </conditionalFormatting>
  <conditionalFormatting sqref="N196:N199">
    <cfRule type="cellIs" dxfId="5956" priority="2458" stopIfTrue="1" operator="equal">
      <formula>"Pass"</formula>
    </cfRule>
  </conditionalFormatting>
  <conditionalFormatting sqref="O194">
    <cfRule type="cellIs" dxfId="5955" priority="2455" stopIfTrue="1" operator="equal">
      <formula>"No"</formula>
    </cfRule>
    <cfRule type="cellIs" dxfId="5954" priority="2456" stopIfTrue="1" operator="equal">
      <formula>"Fail"</formula>
    </cfRule>
    <cfRule type="cellIs" dxfId="5953" priority="2457" stopIfTrue="1" operator="equal">
      <formula>"please check"</formula>
    </cfRule>
  </conditionalFormatting>
  <conditionalFormatting sqref="O194">
    <cfRule type="cellIs" dxfId="5952" priority="2454" stopIfTrue="1" operator="equal">
      <formula>"Pass"</formula>
    </cfRule>
  </conditionalFormatting>
  <conditionalFormatting sqref="O194">
    <cfRule type="containsText" dxfId="5951" priority="2451" operator="containsText" text="Please check">
      <formula>NOT(ISERROR(SEARCH("Please check",O194)))</formula>
    </cfRule>
    <cfRule type="containsText" dxfId="5950" priority="2452" operator="containsText" text="Missing inputs">
      <formula>NOT(ISERROR(SEARCH("Missing inputs",O194)))</formula>
    </cfRule>
    <cfRule type="containsText" dxfId="5949" priority="2453" operator="containsText" text="OK">
      <formula>NOT(ISERROR(SEARCH("OK",O194)))</formula>
    </cfRule>
  </conditionalFormatting>
  <conditionalFormatting sqref="P192">
    <cfRule type="cellIs" dxfId="5948" priority="2448" stopIfTrue="1" operator="equal">
      <formula>"No"</formula>
    </cfRule>
    <cfRule type="cellIs" dxfId="5947" priority="2449" stopIfTrue="1" operator="equal">
      <formula>"Fail"</formula>
    </cfRule>
    <cfRule type="cellIs" dxfId="5946" priority="2450" stopIfTrue="1" operator="equal">
      <formula>"please check"</formula>
    </cfRule>
  </conditionalFormatting>
  <conditionalFormatting sqref="P192">
    <cfRule type="cellIs" dxfId="5945" priority="2447" stopIfTrue="1" operator="equal">
      <formula>"Pass"</formula>
    </cfRule>
  </conditionalFormatting>
  <conditionalFormatting sqref="P192">
    <cfRule type="containsText" dxfId="5944" priority="2444" operator="containsText" text="Please check">
      <formula>NOT(ISERROR(SEARCH("Please check",P192)))</formula>
    </cfRule>
    <cfRule type="containsText" dxfId="5943" priority="2445" operator="containsText" text="Missing inputs">
      <formula>NOT(ISERROR(SEARCH("Missing inputs",P192)))</formula>
    </cfRule>
    <cfRule type="containsText" dxfId="5942" priority="2446" operator="containsText" text="OK">
      <formula>NOT(ISERROR(SEARCH("OK",P192)))</formula>
    </cfRule>
  </conditionalFormatting>
  <conditionalFormatting sqref="P190">
    <cfRule type="cellIs" dxfId="5941" priority="2433" stopIfTrue="1" operator="equal">
      <formula>"No"</formula>
    </cfRule>
    <cfRule type="cellIs" dxfId="5940" priority="2434" stopIfTrue="1" operator="equal">
      <formula>"Fail"</formula>
    </cfRule>
    <cfRule type="cellIs" dxfId="5939" priority="2435" stopIfTrue="1" operator="equal">
      <formula>"please check"</formula>
    </cfRule>
  </conditionalFormatting>
  <conditionalFormatting sqref="P190">
    <cfRule type="cellIs" dxfId="5938" priority="2432" stopIfTrue="1" operator="equal">
      <formula>"Pass"</formula>
    </cfRule>
  </conditionalFormatting>
  <conditionalFormatting sqref="P189">
    <cfRule type="cellIs" dxfId="5937" priority="2441" stopIfTrue="1" operator="equal">
      <formula>"No"</formula>
    </cfRule>
    <cfRule type="cellIs" dxfId="5936" priority="2442" stopIfTrue="1" operator="equal">
      <formula>"Fail"</formula>
    </cfRule>
    <cfRule type="cellIs" dxfId="5935" priority="2443" stopIfTrue="1" operator="equal">
      <formula>"please check"</formula>
    </cfRule>
  </conditionalFormatting>
  <conditionalFormatting sqref="P189">
    <cfRule type="cellIs" dxfId="5934" priority="2440" stopIfTrue="1" operator="equal">
      <formula>"Pass"</formula>
    </cfRule>
  </conditionalFormatting>
  <conditionalFormatting sqref="P191">
    <cfRule type="cellIs" dxfId="5933" priority="2437" stopIfTrue="1" operator="equal">
      <formula>"No"</formula>
    </cfRule>
    <cfRule type="cellIs" dxfId="5932" priority="2438" stopIfTrue="1" operator="equal">
      <formula>"Fail"</formula>
    </cfRule>
    <cfRule type="cellIs" dxfId="5931" priority="2439" stopIfTrue="1" operator="equal">
      <formula>"please check"</formula>
    </cfRule>
  </conditionalFormatting>
  <conditionalFormatting sqref="P191">
    <cfRule type="cellIs" dxfId="5930" priority="2436" stopIfTrue="1" operator="equal">
      <formula>"Pass"</formula>
    </cfRule>
  </conditionalFormatting>
  <conditionalFormatting sqref="P193">
    <cfRule type="cellIs" dxfId="5929" priority="2429" stopIfTrue="1" operator="equal">
      <formula>"No"</formula>
    </cfRule>
    <cfRule type="cellIs" dxfId="5928" priority="2430" stopIfTrue="1" operator="equal">
      <formula>"Fail"</formula>
    </cfRule>
    <cfRule type="cellIs" dxfId="5927" priority="2431" stopIfTrue="1" operator="equal">
      <formula>"please check"</formula>
    </cfRule>
  </conditionalFormatting>
  <conditionalFormatting sqref="P193">
    <cfRule type="cellIs" dxfId="5926" priority="2428" stopIfTrue="1" operator="equal">
      <formula>"Pass"</formula>
    </cfRule>
  </conditionalFormatting>
  <conditionalFormatting sqref="P194:P195">
    <cfRule type="cellIs" dxfId="5925" priority="2425" stopIfTrue="1" operator="equal">
      <formula>"No"</formula>
    </cfRule>
    <cfRule type="cellIs" dxfId="5924" priority="2426" stopIfTrue="1" operator="equal">
      <formula>"Fail"</formula>
    </cfRule>
    <cfRule type="cellIs" dxfId="5923" priority="2427" stopIfTrue="1" operator="equal">
      <formula>"please check"</formula>
    </cfRule>
  </conditionalFormatting>
  <conditionalFormatting sqref="P194:P195">
    <cfRule type="cellIs" dxfId="5922" priority="2424" stopIfTrue="1" operator="equal">
      <formula>"Pass"</formula>
    </cfRule>
  </conditionalFormatting>
  <conditionalFormatting sqref="P196:P199">
    <cfRule type="cellIs" dxfId="5921" priority="2421" stopIfTrue="1" operator="equal">
      <formula>"No"</formula>
    </cfRule>
    <cfRule type="cellIs" dxfId="5920" priority="2422" stopIfTrue="1" operator="equal">
      <formula>"Fail"</formula>
    </cfRule>
    <cfRule type="cellIs" dxfId="5919" priority="2423" stopIfTrue="1" operator="equal">
      <formula>"please check"</formula>
    </cfRule>
  </conditionalFormatting>
  <conditionalFormatting sqref="P196:P199">
    <cfRule type="cellIs" dxfId="5918" priority="2420" stopIfTrue="1" operator="equal">
      <formula>"Pass"</formula>
    </cfRule>
  </conditionalFormatting>
  <conditionalFormatting sqref="M142:O142">
    <cfRule type="cellIs" dxfId="5917" priority="2416" stopIfTrue="1" operator="equal">
      <formula>"Pass"</formula>
    </cfRule>
    <cfRule type="cellIs" dxfId="5916" priority="2417" stopIfTrue="1" operator="equal">
      <formula>"Please check"</formula>
    </cfRule>
    <cfRule type="cellIs" dxfId="5915" priority="2418" stopIfTrue="1" operator="equal">
      <formula>"Fail"</formula>
    </cfRule>
    <cfRule type="cellIs" dxfId="5914" priority="2419" stopIfTrue="1" operator="equal">
      <formula>"Please fill in all mandatory cells AO60:AR60"</formula>
    </cfRule>
  </conditionalFormatting>
  <conditionalFormatting sqref="P142">
    <cfRule type="cellIs" dxfId="5913" priority="2412" stopIfTrue="1" operator="equal">
      <formula>"Pass"</formula>
    </cfRule>
    <cfRule type="cellIs" dxfId="5912" priority="2413" stopIfTrue="1" operator="equal">
      <formula>"Please check"</formula>
    </cfRule>
    <cfRule type="cellIs" dxfId="5911" priority="2414" stopIfTrue="1" operator="equal">
      <formula>"Fail"</formula>
    </cfRule>
    <cfRule type="cellIs" dxfId="5910" priority="2415" stopIfTrue="1" operator="equal">
      <formula>"Please fill in all mandatory cells AO60:AR60"</formula>
    </cfRule>
  </conditionalFormatting>
  <conditionalFormatting sqref="M159:O159">
    <cfRule type="cellIs" dxfId="5909" priority="2408" stopIfTrue="1" operator="equal">
      <formula>"Pass"</formula>
    </cfRule>
    <cfRule type="cellIs" dxfId="5908" priority="2409" stopIfTrue="1" operator="equal">
      <formula>"Please check"</formula>
    </cfRule>
    <cfRule type="cellIs" dxfId="5907" priority="2410" stopIfTrue="1" operator="equal">
      <formula>"Fail"</formula>
    </cfRule>
    <cfRule type="cellIs" dxfId="5906" priority="2411" stopIfTrue="1" operator="equal">
      <formula>"Please fill in all mandatory cells AO60:AR60"</formula>
    </cfRule>
  </conditionalFormatting>
  <conditionalFormatting sqref="P159">
    <cfRule type="cellIs" dxfId="5905" priority="2404" stopIfTrue="1" operator="equal">
      <formula>"Pass"</formula>
    </cfRule>
    <cfRule type="cellIs" dxfId="5904" priority="2405" stopIfTrue="1" operator="equal">
      <formula>"Please check"</formula>
    </cfRule>
    <cfRule type="cellIs" dxfId="5903" priority="2406" stopIfTrue="1" operator="equal">
      <formula>"Fail"</formula>
    </cfRule>
    <cfRule type="cellIs" dxfId="5902" priority="2407" stopIfTrue="1" operator="equal">
      <formula>"Please fill in all mandatory cells AO60:AR60"</formula>
    </cfRule>
  </conditionalFormatting>
  <conditionalFormatting sqref="T199:AB199 W190:AB198 X189:AB189 W186:AB188 T190:T198 T188 T184:AB185 R185:S186">
    <cfRule type="cellIs" dxfId="5901" priority="2401" stopIfTrue="1" operator="equal">
      <formula>"Pass"</formula>
    </cfRule>
    <cfRule type="cellIs" dxfId="5900" priority="2402" stopIfTrue="1" operator="equal">
      <formula>"please check"</formula>
    </cfRule>
  </conditionalFormatting>
  <conditionalFormatting sqref="R200:AB200">
    <cfRule type="cellIs" dxfId="5899" priority="2377" stopIfTrue="1" operator="equal">
      <formula>"Pass"</formula>
    </cfRule>
    <cfRule type="cellIs" dxfId="5898" priority="2378" stopIfTrue="1" operator="equal">
      <formula>"please check"</formula>
    </cfRule>
  </conditionalFormatting>
  <conditionalFormatting sqref="R215:AB215">
    <cfRule type="cellIs" dxfId="5897" priority="2398" stopIfTrue="1" operator="equal">
      <formula>"Pass"</formula>
    </cfRule>
    <cfRule type="cellIs" dxfId="5896" priority="2399" stopIfTrue="1" operator="equal">
      <formula>"please check"</formula>
    </cfRule>
  </conditionalFormatting>
  <conditionalFormatting sqref="R111:AB111">
    <cfRule type="cellIs" dxfId="5895" priority="2395" stopIfTrue="1" operator="equal">
      <formula>"Pass"</formula>
    </cfRule>
    <cfRule type="cellIs" dxfId="5894" priority="2396" stopIfTrue="1" operator="equal">
      <formula>"please check"</formula>
    </cfRule>
  </conditionalFormatting>
  <conditionalFormatting sqref="R112:AB112">
    <cfRule type="cellIs" dxfId="5893" priority="2392" stopIfTrue="1" operator="equal">
      <formula>"Pass"</formula>
    </cfRule>
    <cfRule type="cellIs" dxfId="5892" priority="2393" stopIfTrue="1" operator="equal">
      <formula>"please check"</formula>
    </cfRule>
  </conditionalFormatting>
  <conditionalFormatting sqref="R163:AB163 R166:AB166 R168:AB169 S164:S165 U164:U165 W164:W165 Y164:Y165 AA164:AA165 S167 U167 W167 Y167 AA167 S170 U170 W170 Y170 AA170 R171:AB174">
    <cfRule type="cellIs" dxfId="5891" priority="2389" stopIfTrue="1" operator="equal">
      <formula>"Pass"</formula>
    </cfRule>
    <cfRule type="cellIs" dxfId="5890" priority="2390" stopIfTrue="1" operator="equal">
      <formula>"please check"</formula>
    </cfRule>
  </conditionalFormatting>
  <conditionalFormatting sqref="R164:R165 T164:T165 V164:V165 X164:X165 Z164:Z165 AB164:AB165 R167 T167 V167 X167 Z167 AB167 R170 T170 V170 X170 Z170 AB170">
    <cfRule type="cellIs" dxfId="5889" priority="2386" stopIfTrue="1" operator="equal">
      <formula>"Pass"</formula>
    </cfRule>
    <cfRule type="cellIs" dxfId="5888" priority="2387" stopIfTrue="1" operator="equal">
      <formula>"please check"</formula>
    </cfRule>
  </conditionalFormatting>
  <conditionalFormatting sqref="R162:AB162">
    <cfRule type="cellIs" dxfId="5887" priority="2383" stopIfTrue="1" operator="equal">
      <formula>"Pass"</formula>
    </cfRule>
    <cfRule type="cellIs" dxfId="5886" priority="2384" stopIfTrue="1" operator="equal">
      <formula>"please check"</formula>
    </cfRule>
  </conditionalFormatting>
  <conditionalFormatting sqref="R147:AB147">
    <cfRule type="cellIs" dxfId="5885" priority="2380" stopIfTrue="1" operator="equal">
      <formula>"Pass"</formula>
    </cfRule>
    <cfRule type="cellIs" dxfId="5884" priority="2381" stopIfTrue="1" operator="equal">
      <formula>"please check"</formula>
    </cfRule>
  </conditionalFormatting>
  <conditionalFormatting sqref="R118:T119">
    <cfRule type="cellIs" dxfId="5883" priority="2373" stopIfTrue="1" operator="equal">
      <formula>"Pass"</formula>
    </cfRule>
    <cfRule type="cellIs" dxfId="5882" priority="2374" stopIfTrue="1" operator="equal">
      <formula>"Please check"</formula>
    </cfRule>
    <cfRule type="cellIs" dxfId="5881" priority="2375" stopIfTrue="1" operator="equal">
      <formula>"Fail"</formula>
    </cfRule>
    <cfRule type="cellIs" dxfId="5880" priority="2376" stopIfTrue="1" operator="equal">
      <formula>"Please fill in all mandatory cells AO60:AR60"</formula>
    </cfRule>
  </conditionalFormatting>
  <conditionalFormatting sqref="R122:T123">
    <cfRule type="cellIs" dxfId="5879" priority="2369" stopIfTrue="1" operator="equal">
      <formula>"Pass"</formula>
    </cfRule>
    <cfRule type="cellIs" dxfId="5878" priority="2370" stopIfTrue="1" operator="equal">
      <formula>"Please check"</formula>
    </cfRule>
    <cfRule type="cellIs" dxfId="5877" priority="2371" stopIfTrue="1" operator="equal">
      <formula>"Fail"</formula>
    </cfRule>
    <cfRule type="cellIs" dxfId="5876" priority="2372" stopIfTrue="1" operator="equal">
      <formula>"Please fill in all mandatory cells AO60:AR60"</formula>
    </cfRule>
  </conditionalFormatting>
  <conditionalFormatting sqref="R126:T127">
    <cfRule type="cellIs" dxfId="5875" priority="2365" stopIfTrue="1" operator="equal">
      <formula>"Pass"</formula>
    </cfRule>
    <cfRule type="cellIs" dxfId="5874" priority="2366" stopIfTrue="1" operator="equal">
      <formula>"Please check"</formula>
    </cfRule>
    <cfRule type="cellIs" dxfId="5873" priority="2367" stopIfTrue="1" operator="equal">
      <formula>"Fail"</formula>
    </cfRule>
    <cfRule type="cellIs" dxfId="5872" priority="2368" stopIfTrue="1" operator="equal">
      <formula>"Please fill in all mandatory cells AO60:AR60"</formula>
    </cfRule>
  </conditionalFormatting>
  <conditionalFormatting sqref="R130:T131">
    <cfRule type="cellIs" dxfId="5871" priority="2361" stopIfTrue="1" operator="equal">
      <formula>"Pass"</formula>
    </cfRule>
    <cfRule type="cellIs" dxfId="5870" priority="2362" stopIfTrue="1" operator="equal">
      <formula>"Please check"</formula>
    </cfRule>
    <cfRule type="cellIs" dxfId="5869" priority="2363" stopIfTrue="1" operator="equal">
      <formula>"Fail"</formula>
    </cfRule>
    <cfRule type="cellIs" dxfId="5868" priority="2364" stopIfTrue="1" operator="equal">
      <formula>"Please fill in all mandatory cells AO60:AR60"</formula>
    </cfRule>
  </conditionalFormatting>
  <conditionalFormatting sqref="R134:T135">
    <cfRule type="cellIs" dxfId="5867" priority="2357" stopIfTrue="1" operator="equal">
      <formula>"Pass"</formula>
    </cfRule>
    <cfRule type="cellIs" dxfId="5866" priority="2358" stopIfTrue="1" operator="equal">
      <formula>"Please check"</formula>
    </cfRule>
    <cfRule type="cellIs" dxfId="5865" priority="2359" stopIfTrue="1" operator="equal">
      <formula>"Fail"</formula>
    </cfRule>
    <cfRule type="cellIs" dxfId="5864" priority="2360" stopIfTrue="1" operator="equal">
      <formula>"Please fill in all mandatory cells AO60:AR60"</formula>
    </cfRule>
  </conditionalFormatting>
  <conditionalFormatting sqref="R138:T139">
    <cfRule type="cellIs" dxfId="5863" priority="2353" stopIfTrue="1" operator="equal">
      <formula>"Pass"</formula>
    </cfRule>
    <cfRule type="cellIs" dxfId="5862" priority="2354" stopIfTrue="1" operator="equal">
      <formula>"Please check"</formula>
    </cfRule>
    <cfRule type="cellIs" dxfId="5861" priority="2355" stopIfTrue="1" operator="equal">
      <formula>"Fail"</formula>
    </cfRule>
    <cfRule type="cellIs" dxfId="5860" priority="2356" stopIfTrue="1" operator="equal">
      <formula>"Please fill in all mandatory cells AO60:AR60"</formula>
    </cfRule>
  </conditionalFormatting>
  <conditionalFormatting sqref="R143:T143">
    <cfRule type="cellIs" dxfId="5859" priority="2349" stopIfTrue="1" operator="equal">
      <formula>"Pass"</formula>
    </cfRule>
    <cfRule type="cellIs" dxfId="5858" priority="2350" stopIfTrue="1" operator="equal">
      <formula>"Please check"</formula>
    </cfRule>
    <cfRule type="cellIs" dxfId="5857" priority="2351" stopIfTrue="1" operator="equal">
      <formula>"Fail"</formula>
    </cfRule>
    <cfRule type="cellIs" dxfId="5856" priority="2352" stopIfTrue="1" operator="equal">
      <formula>"Please fill in all mandatory cells AO60:AR60"</formula>
    </cfRule>
  </conditionalFormatting>
  <conditionalFormatting sqref="U118:U141 U143:U145">
    <cfRule type="cellIs" dxfId="5855" priority="2345" stopIfTrue="1" operator="equal">
      <formula>"Pass"</formula>
    </cfRule>
    <cfRule type="cellIs" dxfId="5854" priority="2346" stopIfTrue="1" operator="equal">
      <formula>"Please check"</formula>
    </cfRule>
    <cfRule type="cellIs" dxfId="5853" priority="2347" stopIfTrue="1" operator="equal">
      <formula>"Fail"</formula>
    </cfRule>
    <cfRule type="cellIs" dxfId="5852" priority="2348" stopIfTrue="1" operator="equal">
      <formula>"Please fill in all mandatory cells AO60:AR60"</formula>
    </cfRule>
  </conditionalFormatting>
  <conditionalFormatting sqref="V118:Z119">
    <cfRule type="cellIs" dxfId="5851" priority="2341" stopIfTrue="1" operator="equal">
      <formula>"Pass"</formula>
    </cfRule>
    <cfRule type="cellIs" dxfId="5850" priority="2342" stopIfTrue="1" operator="equal">
      <formula>"Please check"</formula>
    </cfRule>
    <cfRule type="cellIs" dxfId="5849" priority="2343" stopIfTrue="1" operator="equal">
      <formula>"Fail"</formula>
    </cfRule>
    <cfRule type="cellIs" dxfId="5848" priority="2344" stopIfTrue="1" operator="equal">
      <formula>"Please fill in all mandatory cells AO60:AR60"</formula>
    </cfRule>
  </conditionalFormatting>
  <conditionalFormatting sqref="V122:Z123">
    <cfRule type="cellIs" dxfId="5847" priority="2337" stopIfTrue="1" operator="equal">
      <formula>"Pass"</formula>
    </cfRule>
    <cfRule type="cellIs" dxfId="5846" priority="2338" stopIfTrue="1" operator="equal">
      <formula>"Please check"</formula>
    </cfRule>
    <cfRule type="cellIs" dxfId="5845" priority="2339" stopIfTrue="1" operator="equal">
      <formula>"Fail"</formula>
    </cfRule>
    <cfRule type="cellIs" dxfId="5844" priority="2340" stopIfTrue="1" operator="equal">
      <formula>"Please fill in all mandatory cells AO60:AR60"</formula>
    </cfRule>
  </conditionalFormatting>
  <conditionalFormatting sqref="V126:Z127">
    <cfRule type="cellIs" dxfId="5843" priority="2333" stopIfTrue="1" operator="equal">
      <formula>"Pass"</formula>
    </cfRule>
    <cfRule type="cellIs" dxfId="5842" priority="2334" stopIfTrue="1" operator="equal">
      <formula>"Please check"</formula>
    </cfRule>
    <cfRule type="cellIs" dxfId="5841" priority="2335" stopIfTrue="1" operator="equal">
      <formula>"Fail"</formula>
    </cfRule>
    <cfRule type="cellIs" dxfId="5840" priority="2336" stopIfTrue="1" operator="equal">
      <formula>"Please fill in all mandatory cells AO60:AR60"</formula>
    </cfRule>
  </conditionalFormatting>
  <conditionalFormatting sqref="V130:Z131">
    <cfRule type="cellIs" dxfId="5839" priority="2329" stopIfTrue="1" operator="equal">
      <formula>"Pass"</formula>
    </cfRule>
    <cfRule type="cellIs" dxfId="5838" priority="2330" stopIfTrue="1" operator="equal">
      <formula>"Please check"</formula>
    </cfRule>
    <cfRule type="cellIs" dxfId="5837" priority="2331" stopIfTrue="1" operator="equal">
      <formula>"Fail"</formula>
    </cfRule>
    <cfRule type="cellIs" dxfId="5836" priority="2332" stopIfTrue="1" operator="equal">
      <formula>"Please fill in all mandatory cells AO60:AR60"</formula>
    </cfRule>
  </conditionalFormatting>
  <conditionalFormatting sqref="V134:Z135">
    <cfRule type="cellIs" dxfId="5835" priority="2325" stopIfTrue="1" operator="equal">
      <formula>"Pass"</formula>
    </cfRule>
    <cfRule type="cellIs" dxfId="5834" priority="2326" stopIfTrue="1" operator="equal">
      <formula>"Please check"</formula>
    </cfRule>
    <cfRule type="cellIs" dxfId="5833" priority="2327" stopIfTrue="1" operator="equal">
      <formula>"Fail"</formula>
    </cfRule>
    <cfRule type="cellIs" dxfId="5832" priority="2328" stopIfTrue="1" operator="equal">
      <formula>"Please fill in all mandatory cells AO60:AR60"</formula>
    </cfRule>
  </conditionalFormatting>
  <conditionalFormatting sqref="V138:Z139">
    <cfRule type="cellIs" dxfId="5831" priority="2321" stopIfTrue="1" operator="equal">
      <formula>"Pass"</formula>
    </cfRule>
    <cfRule type="cellIs" dxfId="5830" priority="2322" stopIfTrue="1" operator="equal">
      <formula>"Please check"</formula>
    </cfRule>
    <cfRule type="cellIs" dxfId="5829" priority="2323" stopIfTrue="1" operator="equal">
      <formula>"Fail"</formula>
    </cfRule>
    <cfRule type="cellIs" dxfId="5828" priority="2324" stopIfTrue="1" operator="equal">
      <formula>"Please fill in all mandatory cells AO60:AR60"</formula>
    </cfRule>
  </conditionalFormatting>
  <conditionalFormatting sqref="V143:Z143">
    <cfRule type="cellIs" dxfId="5827" priority="2317" stopIfTrue="1" operator="equal">
      <formula>"Pass"</formula>
    </cfRule>
    <cfRule type="cellIs" dxfId="5826" priority="2318" stopIfTrue="1" operator="equal">
      <formula>"Please check"</formula>
    </cfRule>
    <cfRule type="cellIs" dxfId="5825" priority="2319" stopIfTrue="1" operator="equal">
      <formula>"Fail"</formula>
    </cfRule>
    <cfRule type="cellIs" dxfId="5824" priority="2320" stopIfTrue="1" operator="equal">
      <formula>"Please fill in all mandatory cells AO60:AR60"</formula>
    </cfRule>
  </conditionalFormatting>
  <conditionalFormatting sqref="AA118:AA141 AA143:AA145">
    <cfRule type="cellIs" dxfId="5823" priority="2313" stopIfTrue="1" operator="equal">
      <formula>"Pass"</formula>
    </cfRule>
    <cfRule type="cellIs" dxfId="5822" priority="2314" stopIfTrue="1" operator="equal">
      <formula>"Please check"</formula>
    </cfRule>
    <cfRule type="cellIs" dxfId="5821" priority="2315" stopIfTrue="1" operator="equal">
      <formula>"Fail"</formula>
    </cfRule>
    <cfRule type="cellIs" dxfId="5820" priority="2316" stopIfTrue="1" operator="equal">
      <formula>"Please fill in all mandatory cells AO60:AR60"</formula>
    </cfRule>
  </conditionalFormatting>
  <conditionalFormatting sqref="AB118:AB119">
    <cfRule type="cellIs" dxfId="5819" priority="2309" stopIfTrue="1" operator="equal">
      <formula>"Pass"</formula>
    </cfRule>
    <cfRule type="cellIs" dxfId="5818" priority="2310" stopIfTrue="1" operator="equal">
      <formula>"Please check"</formula>
    </cfRule>
    <cfRule type="cellIs" dxfId="5817" priority="2311" stopIfTrue="1" operator="equal">
      <formula>"Fail"</formula>
    </cfRule>
    <cfRule type="cellIs" dxfId="5816" priority="2312" stopIfTrue="1" operator="equal">
      <formula>"Please fill in all mandatory cells AO60:AR60"</formula>
    </cfRule>
  </conditionalFormatting>
  <conditionalFormatting sqref="AB122:AB123">
    <cfRule type="cellIs" dxfId="5815" priority="2305" stopIfTrue="1" operator="equal">
      <formula>"Pass"</formula>
    </cfRule>
    <cfRule type="cellIs" dxfId="5814" priority="2306" stopIfTrue="1" operator="equal">
      <formula>"Please check"</formula>
    </cfRule>
    <cfRule type="cellIs" dxfId="5813" priority="2307" stopIfTrue="1" operator="equal">
      <formula>"Fail"</formula>
    </cfRule>
    <cfRule type="cellIs" dxfId="5812" priority="2308" stopIfTrue="1" operator="equal">
      <formula>"Please fill in all mandatory cells AO60:AR60"</formula>
    </cfRule>
  </conditionalFormatting>
  <conditionalFormatting sqref="AB126:AB127">
    <cfRule type="cellIs" dxfId="5811" priority="2301" stopIfTrue="1" operator="equal">
      <formula>"Pass"</formula>
    </cfRule>
    <cfRule type="cellIs" dxfId="5810" priority="2302" stopIfTrue="1" operator="equal">
      <formula>"Please check"</formula>
    </cfRule>
    <cfRule type="cellIs" dxfId="5809" priority="2303" stopIfTrue="1" operator="equal">
      <formula>"Fail"</formula>
    </cfRule>
    <cfRule type="cellIs" dxfId="5808" priority="2304" stopIfTrue="1" operator="equal">
      <formula>"Please fill in all mandatory cells AO60:AR60"</formula>
    </cfRule>
  </conditionalFormatting>
  <conditionalFormatting sqref="AB130:AB131">
    <cfRule type="cellIs" dxfId="5807" priority="2297" stopIfTrue="1" operator="equal">
      <formula>"Pass"</formula>
    </cfRule>
    <cfRule type="cellIs" dxfId="5806" priority="2298" stopIfTrue="1" operator="equal">
      <formula>"Please check"</formula>
    </cfRule>
    <cfRule type="cellIs" dxfId="5805" priority="2299" stopIfTrue="1" operator="equal">
      <formula>"Fail"</formula>
    </cfRule>
    <cfRule type="cellIs" dxfId="5804" priority="2300" stopIfTrue="1" operator="equal">
      <formula>"Please fill in all mandatory cells AO60:AR60"</formula>
    </cfRule>
  </conditionalFormatting>
  <conditionalFormatting sqref="AB134:AB135">
    <cfRule type="cellIs" dxfId="5803" priority="2293" stopIfTrue="1" operator="equal">
      <formula>"Pass"</formula>
    </cfRule>
    <cfRule type="cellIs" dxfId="5802" priority="2294" stopIfTrue="1" operator="equal">
      <formula>"Please check"</formula>
    </cfRule>
    <cfRule type="cellIs" dxfId="5801" priority="2295" stopIfTrue="1" operator="equal">
      <formula>"Fail"</formula>
    </cfRule>
    <cfRule type="cellIs" dxfId="5800" priority="2296" stopIfTrue="1" operator="equal">
      <formula>"Please fill in all mandatory cells AO60:AR60"</formula>
    </cfRule>
  </conditionalFormatting>
  <conditionalFormatting sqref="AB138:AB139">
    <cfRule type="cellIs" dxfId="5799" priority="2289" stopIfTrue="1" operator="equal">
      <formula>"Pass"</formula>
    </cfRule>
    <cfRule type="cellIs" dxfId="5798" priority="2290" stopIfTrue="1" operator="equal">
      <formula>"Please check"</formula>
    </cfRule>
    <cfRule type="cellIs" dxfId="5797" priority="2291" stopIfTrue="1" operator="equal">
      <formula>"Fail"</formula>
    </cfRule>
    <cfRule type="cellIs" dxfId="5796" priority="2292" stopIfTrue="1" operator="equal">
      <formula>"Please fill in all mandatory cells AO60:AR60"</formula>
    </cfRule>
  </conditionalFormatting>
  <conditionalFormatting sqref="AB143">
    <cfRule type="cellIs" dxfId="5795" priority="2285" stopIfTrue="1" operator="equal">
      <formula>"Pass"</formula>
    </cfRule>
    <cfRule type="cellIs" dxfId="5794" priority="2286" stopIfTrue="1" operator="equal">
      <formula>"Please check"</formula>
    </cfRule>
    <cfRule type="cellIs" dxfId="5793" priority="2287" stopIfTrue="1" operator="equal">
      <formula>"Fail"</formula>
    </cfRule>
    <cfRule type="cellIs" dxfId="5792" priority="2288" stopIfTrue="1" operator="equal">
      <formula>"Please fill in all mandatory cells AO60:AR60"</formula>
    </cfRule>
  </conditionalFormatting>
  <conditionalFormatting sqref="R153:T153">
    <cfRule type="cellIs" dxfId="5791" priority="2281" stopIfTrue="1" operator="equal">
      <formula>"Pass"</formula>
    </cfRule>
    <cfRule type="cellIs" dxfId="5790" priority="2282" stopIfTrue="1" operator="equal">
      <formula>"Please check"</formula>
    </cfRule>
    <cfRule type="cellIs" dxfId="5789" priority="2283" stopIfTrue="1" operator="equal">
      <formula>"Fail"</formula>
    </cfRule>
    <cfRule type="cellIs" dxfId="5788" priority="2284" stopIfTrue="1" operator="equal">
      <formula>"Please fill in all mandatory cells AO60:AR60"</formula>
    </cfRule>
  </conditionalFormatting>
  <conditionalFormatting sqref="R155:T155">
    <cfRule type="cellIs" dxfId="5787" priority="2277" stopIfTrue="1" operator="equal">
      <formula>"Pass"</formula>
    </cfRule>
    <cfRule type="cellIs" dxfId="5786" priority="2278" stopIfTrue="1" operator="equal">
      <formula>"Please check"</formula>
    </cfRule>
    <cfRule type="cellIs" dxfId="5785" priority="2279" stopIfTrue="1" operator="equal">
      <formula>"Fail"</formula>
    </cfRule>
    <cfRule type="cellIs" dxfId="5784" priority="2280" stopIfTrue="1" operator="equal">
      <formula>"Please fill in all mandatory cells AO60:AR60"</formula>
    </cfRule>
  </conditionalFormatting>
  <conditionalFormatting sqref="R157:T157">
    <cfRule type="cellIs" dxfId="5783" priority="2273" stopIfTrue="1" operator="equal">
      <formula>"Pass"</formula>
    </cfRule>
    <cfRule type="cellIs" dxfId="5782" priority="2274" stopIfTrue="1" operator="equal">
      <formula>"Please check"</formula>
    </cfRule>
    <cfRule type="cellIs" dxfId="5781" priority="2275" stopIfTrue="1" operator="equal">
      <formula>"Fail"</formula>
    </cfRule>
    <cfRule type="cellIs" dxfId="5780" priority="2276" stopIfTrue="1" operator="equal">
      <formula>"Please fill in all mandatory cells AO60:AR60"</formula>
    </cfRule>
  </conditionalFormatting>
  <conditionalFormatting sqref="U153:U158 U160">
    <cfRule type="cellIs" dxfId="5779" priority="2269" stopIfTrue="1" operator="equal">
      <formula>"Pass"</formula>
    </cfRule>
    <cfRule type="cellIs" dxfId="5778" priority="2270" stopIfTrue="1" operator="equal">
      <formula>"Please check"</formula>
    </cfRule>
    <cfRule type="cellIs" dxfId="5777" priority="2271" stopIfTrue="1" operator="equal">
      <formula>"Fail"</formula>
    </cfRule>
    <cfRule type="cellIs" dxfId="5776" priority="2272" stopIfTrue="1" operator="equal">
      <formula>"Please fill in all mandatory cells AO60:AR60"</formula>
    </cfRule>
  </conditionalFormatting>
  <conditionalFormatting sqref="V153:Z153 AB153">
    <cfRule type="cellIs" dxfId="5775" priority="2265" stopIfTrue="1" operator="equal">
      <formula>"Pass"</formula>
    </cfRule>
    <cfRule type="cellIs" dxfId="5774" priority="2266" stopIfTrue="1" operator="equal">
      <formula>"Please check"</formula>
    </cfRule>
    <cfRule type="cellIs" dxfId="5773" priority="2267" stopIfTrue="1" operator="equal">
      <formula>"Fail"</formula>
    </cfRule>
    <cfRule type="cellIs" dxfId="5772" priority="2268" stopIfTrue="1" operator="equal">
      <formula>"Please fill in all mandatory cells AO60:AR60"</formula>
    </cfRule>
  </conditionalFormatting>
  <conditionalFormatting sqref="V155:Z155 AB155">
    <cfRule type="cellIs" dxfId="5771" priority="2261" stopIfTrue="1" operator="equal">
      <formula>"Pass"</formula>
    </cfRule>
    <cfRule type="cellIs" dxfId="5770" priority="2262" stopIfTrue="1" operator="equal">
      <formula>"Please check"</formula>
    </cfRule>
    <cfRule type="cellIs" dxfId="5769" priority="2263" stopIfTrue="1" operator="equal">
      <formula>"Fail"</formula>
    </cfRule>
    <cfRule type="cellIs" dxfId="5768" priority="2264" stopIfTrue="1" operator="equal">
      <formula>"Please fill in all mandatory cells AO60:AR60"</formula>
    </cfRule>
  </conditionalFormatting>
  <conditionalFormatting sqref="V157:Z157 AB157">
    <cfRule type="cellIs" dxfId="5767" priority="2257" stopIfTrue="1" operator="equal">
      <formula>"Pass"</formula>
    </cfRule>
    <cfRule type="cellIs" dxfId="5766" priority="2258" stopIfTrue="1" operator="equal">
      <formula>"Please check"</formula>
    </cfRule>
    <cfRule type="cellIs" dxfId="5765" priority="2259" stopIfTrue="1" operator="equal">
      <formula>"Fail"</formula>
    </cfRule>
    <cfRule type="cellIs" dxfId="5764" priority="2260" stopIfTrue="1" operator="equal">
      <formula>"Please fill in all mandatory cells AO60:AR60"</formula>
    </cfRule>
  </conditionalFormatting>
  <conditionalFormatting sqref="AA153:AA158 AA160">
    <cfRule type="cellIs" dxfId="5763" priority="2253" stopIfTrue="1" operator="equal">
      <formula>"Pass"</formula>
    </cfRule>
    <cfRule type="cellIs" dxfId="5762" priority="2254" stopIfTrue="1" operator="equal">
      <formula>"Please check"</formula>
    </cfRule>
    <cfRule type="cellIs" dxfId="5761" priority="2255" stopIfTrue="1" operator="equal">
      <formula>"Fail"</formula>
    </cfRule>
    <cfRule type="cellIs" dxfId="5760" priority="2256" stopIfTrue="1" operator="equal">
      <formula>"Please fill in all mandatory cells AO60:AR60"</formula>
    </cfRule>
  </conditionalFormatting>
  <conditionalFormatting sqref="R207:T208">
    <cfRule type="cellIs" dxfId="5759" priority="2249" stopIfTrue="1" operator="equal">
      <formula>"Pass"</formula>
    </cfRule>
    <cfRule type="cellIs" dxfId="5758" priority="2250" stopIfTrue="1" operator="equal">
      <formula>"Please check"</formula>
    </cfRule>
    <cfRule type="cellIs" dxfId="5757" priority="2251" stopIfTrue="1" operator="equal">
      <formula>"Fail"</formula>
    </cfRule>
    <cfRule type="cellIs" dxfId="5756" priority="2252" stopIfTrue="1" operator="equal">
      <formula>"Please fill in all mandatory cells AO60:AR60"</formula>
    </cfRule>
  </conditionalFormatting>
  <conditionalFormatting sqref="R211:T212">
    <cfRule type="cellIs" dxfId="5755" priority="2245" stopIfTrue="1" operator="equal">
      <formula>"Pass"</formula>
    </cfRule>
    <cfRule type="cellIs" dxfId="5754" priority="2246" stopIfTrue="1" operator="equal">
      <formula>"Please check"</formula>
    </cfRule>
    <cfRule type="cellIs" dxfId="5753" priority="2247" stopIfTrue="1" operator="equal">
      <formula>"Fail"</formula>
    </cfRule>
    <cfRule type="cellIs" dxfId="5752" priority="2248" stopIfTrue="1" operator="equal">
      <formula>"Please fill in all mandatory cells AO60:AR60"</formula>
    </cfRule>
  </conditionalFormatting>
  <conditionalFormatting sqref="U207:U214">
    <cfRule type="cellIs" dxfId="5751" priority="2241" stopIfTrue="1" operator="equal">
      <formula>"Pass"</formula>
    </cfRule>
    <cfRule type="cellIs" dxfId="5750" priority="2242" stopIfTrue="1" operator="equal">
      <formula>"Please check"</formula>
    </cfRule>
    <cfRule type="cellIs" dxfId="5749" priority="2243" stopIfTrue="1" operator="equal">
      <formula>"Fail"</formula>
    </cfRule>
    <cfRule type="cellIs" dxfId="5748" priority="2244" stopIfTrue="1" operator="equal">
      <formula>"Please fill in all mandatory cells AO60:AR60"</formula>
    </cfRule>
  </conditionalFormatting>
  <conditionalFormatting sqref="V207:W208">
    <cfRule type="cellIs" dxfId="5747" priority="2237" stopIfTrue="1" operator="equal">
      <formula>"Pass"</formula>
    </cfRule>
    <cfRule type="cellIs" dxfId="5746" priority="2238" stopIfTrue="1" operator="equal">
      <formula>"Please check"</formula>
    </cfRule>
    <cfRule type="cellIs" dxfId="5745" priority="2239" stopIfTrue="1" operator="equal">
      <formula>"Fail"</formula>
    </cfRule>
    <cfRule type="cellIs" dxfId="5744" priority="2240" stopIfTrue="1" operator="equal">
      <formula>"Please fill in all mandatory cells AO60:AR60"</formula>
    </cfRule>
  </conditionalFormatting>
  <conditionalFormatting sqref="V211:W212">
    <cfRule type="cellIs" dxfId="5743" priority="2233" stopIfTrue="1" operator="equal">
      <formula>"Pass"</formula>
    </cfRule>
    <cfRule type="cellIs" dxfId="5742" priority="2234" stopIfTrue="1" operator="equal">
      <formula>"Please check"</formula>
    </cfRule>
    <cfRule type="cellIs" dxfId="5741" priority="2235" stopIfTrue="1" operator="equal">
      <formula>"Fail"</formula>
    </cfRule>
    <cfRule type="cellIs" dxfId="5740" priority="2236" stopIfTrue="1" operator="equal">
      <formula>"Please fill in all mandatory cells AO60:AR60"</formula>
    </cfRule>
  </conditionalFormatting>
  <conditionalFormatting sqref="X208:Z208">
    <cfRule type="cellIs" dxfId="5739" priority="2229" stopIfTrue="1" operator="equal">
      <formula>"Pass"</formula>
    </cfRule>
    <cfRule type="cellIs" dxfId="5738" priority="2230" stopIfTrue="1" operator="equal">
      <formula>"Please check"</formula>
    </cfRule>
    <cfRule type="cellIs" dxfId="5737" priority="2231" stopIfTrue="1" operator="equal">
      <formula>"Fail"</formula>
    </cfRule>
    <cfRule type="cellIs" dxfId="5736" priority="2232" stopIfTrue="1" operator="equal">
      <formula>"Please fill in all mandatory cells AO60:AR60"</formula>
    </cfRule>
  </conditionalFormatting>
  <conditionalFormatting sqref="X212:Z212">
    <cfRule type="cellIs" dxfId="5735" priority="2225" stopIfTrue="1" operator="equal">
      <formula>"Pass"</formula>
    </cfRule>
    <cfRule type="cellIs" dxfId="5734" priority="2226" stopIfTrue="1" operator="equal">
      <formula>"Please check"</formula>
    </cfRule>
    <cfRule type="cellIs" dxfId="5733" priority="2227" stopIfTrue="1" operator="equal">
      <formula>"Fail"</formula>
    </cfRule>
    <cfRule type="cellIs" dxfId="5732" priority="2228" stopIfTrue="1" operator="equal">
      <formula>"Please fill in all mandatory cells AO60:AR60"</formula>
    </cfRule>
  </conditionalFormatting>
  <conditionalFormatting sqref="AA207:AA214">
    <cfRule type="cellIs" dxfId="5731" priority="2221" stopIfTrue="1" operator="equal">
      <formula>"Pass"</formula>
    </cfRule>
    <cfRule type="cellIs" dxfId="5730" priority="2222" stopIfTrue="1" operator="equal">
      <formula>"Please check"</formula>
    </cfRule>
    <cfRule type="cellIs" dxfId="5729" priority="2223" stopIfTrue="1" operator="equal">
      <formula>"Fail"</formula>
    </cfRule>
    <cfRule type="cellIs" dxfId="5728" priority="2224" stopIfTrue="1" operator="equal">
      <formula>"Please fill in all mandatory cells AO60:AR60"</formula>
    </cfRule>
  </conditionalFormatting>
  <conditionalFormatting sqref="AB208">
    <cfRule type="cellIs" dxfId="5727" priority="2217" stopIfTrue="1" operator="equal">
      <formula>"Pass"</formula>
    </cfRule>
    <cfRule type="cellIs" dxfId="5726" priority="2218" stopIfTrue="1" operator="equal">
      <formula>"Please check"</formula>
    </cfRule>
    <cfRule type="cellIs" dxfId="5725" priority="2219" stopIfTrue="1" operator="equal">
      <formula>"Fail"</formula>
    </cfRule>
    <cfRule type="cellIs" dxfId="5724" priority="2220" stopIfTrue="1" operator="equal">
      <formula>"Please fill in all mandatory cells AO60:AR60"</formula>
    </cfRule>
  </conditionalFormatting>
  <conditionalFormatting sqref="AB212">
    <cfRule type="cellIs" dxfId="5723" priority="2213" stopIfTrue="1" operator="equal">
      <formula>"Pass"</formula>
    </cfRule>
    <cfRule type="cellIs" dxfId="5722" priority="2214" stopIfTrue="1" operator="equal">
      <formula>"Please check"</formula>
    </cfRule>
    <cfRule type="cellIs" dxfId="5721" priority="2215" stopIfTrue="1" operator="equal">
      <formula>"Fail"</formula>
    </cfRule>
    <cfRule type="cellIs" dxfId="5720" priority="2216" stopIfTrue="1" operator="equal">
      <formula>"Please fill in all mandatory cells AO60:AR60"</formula>
    </cfRule>
  </conditionalFormatting>
  <conditionalFormatting sqref="S196 S198:S199 S189:S191">
    <cfRule type="cellIs" dxfId="5719" priority="2210" stopIfTrue="1" operator="equal">
      <formula>"Pass"</formula>
    </cfRule>
    <cfRule type="cellIs" dxfId="5718" priority="2211" stopIfTrue="1" operator="equal">
      <formula>"please check"</formula>
    </cfRule>
  </conditionalFormatting>
  <conditionalFormatting sqref="S190">
    <cfRule type="cellIs" dxfId="5717" priority="2172" stopIfTrue="1" operator="equal">
      <formula>"No"</formula>
    </cfRule>
    <cfRule type="cellIs" dxfId="5716" priority="2173" stopIfTrue="1" operator="equal">
      <formula>"Fail"</formula>
    </cfRule>
    <cfRule type="cellIs" dxfId="5715" priority="2174" stopIfTrue="1" operator="equal">
      <formula>"please check"</formula>
    </cfRule>
  </conditionalFormatting>
  <conditionalFormatting sqref="S190">
    <cfRule type="cellIs" dxfId="5714" priority="2171" stopIfTrue="1" operator="equal">
      <formula>"Pass"</formula>
    </cfRule>
  </conditionalFormatting>
  <conditionalFormatting sqref="R189">
    <cfRule type="cellIs" dxfId="5713" priority="2207" stopIfTrue="1" operator="equal">
      <formula>"No"</formula>
    </cfRule>
    <cfRule type="cellIs" dxfId="5712" priority="2208" stopIfTrue="1" operator="equal">
      <formula>"Fail"</formula>
    </cfRule>
    <cfRule type="cellIs" dxfId="5711" priority="2209" stopIfTrue="1" operator="equal">
      <formula>"please check"</formula>
    </cfRule>
  </conditionalFormatting>
  <conditionalFormatting sqref="R189">
    <cfRule type="cellIs" dxfId="5710" priority="2206" stopIfTrue="1" operator="equal">
      <formula>"Pass"</formula>
    </cfRule>
  </conditionalFormatting>
  <conditionalFormatting sqref="R191">
    <cfRule type="cellIs" dxfId="5709" priority="2203" stopIfTrue="1" operator="equal">
      <formula>"No"</formula>
    </cfRule>
    <cfRule type="cellIs" dxfId="5708" priority="2204" stopIfTrue="1" operator="equal">
      <formula>"Fail"</formula>
    </cfRule>
    <cfRule type="cellIs" dxfId="5707" priority="2205" stopIfTrue="1" operator="equal">
      <formula>"please check"</formula>
    </cfRule>
  </conditionalFormatting>
  <conditionalFormatting sqref="R191">
    <cfRule type="cellIs" dxfId="5706" priority="2202" stopIfTrue="1" operator="equal">
      <formula>"Pass"</formula>
    </cfRule>
  </conditionalFormatting>
  <conditionalFormatting sqref="R192">
    <cfRule type="cellIs" dxfId="5705" priority="2199" stopIfTrue="1" operator="equal">
      <formula>"No"</formula>
    </cfRule>
    <cfRule type="cellIs" dxfId="5704" priority="2200" stopIfTrue="1" operator="equal">
      <formula>"Fail"</formula>
    </cfRule>
    <cfRule type="cellIs" dxfId="5703" priority="2201" stopIfTrue="1" operator="equal">
      <formula>"please check"</formula>
    </cfRule>
  </conditionalFormatting>
  <conditionalFormatting sqref="R192">
    <cfRule type="cellIs" dxfId="5702" priority="2198" stopIfTrue="1" operator="equal">
      <formula>"Pass"</formula>
    </cfRule>
  </conditionalFormatting>
  <conditionalFormatting sqref="R192">
    <cfRule type="containsText" dxfId="5701" priority="2195" operator="containsText" text="Please check">
      <formula>NOT(ISERROR(SEARCH("Please check",R192)))</formula>
    </cfRule>
    <cfRule type="containsText" dxfId="5700" priority="2196" operator="containsText" text="Missing inputs">
      <formula>NOT(ISERROR(SEARCH("Missing inputs",R192)))</formula>
    </cfRule>
    <cfRule type="containsText" dxfId="5699" priority="2197" operator="containsText" text="OK">
      <formula>NOT(ISERROR(SEARCH("OK",R192)))</formula>
    </cfRule>
  </conditionalFormatting>
  <conditionalFormatting sqref="R190">
    <cfRule type="cellIs" dxfId="5698" priority="2192" stopIfTrue="1" operator="equal">
      <formula>"No"</formula>
    </cfRule>
    <cfRule type="cellIs" dxfId="5697" priority="2193" stopIfTrue="1" operator="equal">
      <formula>"Fail"</formula>
    </cfRule>
    <cfRule type="cellIs" dxfId="5696" priority="2194" stopIfTrue="1" operator="equal">
      <formula>"please check"</formula>
    </cfRule>
  </conditionalFormatting>
  <conditionalFormatting sqref="R190">
    <cfRule type="cellIs" dxfId="5695" priority="2191" stopIfTrue="1" operator="equal">
      <formula>"Pass"</formula>
    </cfRule>
  </conditionalFormatting>
  <conditionalFormatting sqref="R195:R196">
    <cfRule type="cellIs" dxfId="5694" priority="2188" stopIfTrue="1" operator="equal">
      <formula>"No"</formula>
    </cfRule>
    <cfRule type="cellIs" dxfId="5693" priority="2189" stopIfTrue="1" operator="equal">
      <formula>"Fail"</formula>
    </cfRule>
    <cfRule type="cellIs" dxfId="5692" priority="2190" stopIfTrue="1" operator="equal">
      <formula>"please check"</formula>
    </cfRule>
  </conditionalFormatting>
  <conditionalFormatting sqref="R195:R196">
    <cfRule type="cellIs" dxfId="5691" priority="2187" stopIfTrue="1" operator="equal">
      <formula>"Pass"</formula>
    </cfRule>
  </conditionalFormatting>
  <conditionalFormatting sqref="R198:R199">
    <cfRule type="cellIs" dxfId="5690" priority="2184" stopIfTrue="1" operator="equal">
      <formula>"No"</formula>
    </cfRule>
    <cfRule type="cellIs" dxfId="5689" priority="2185" stopIfTrue="1" operator="equal">
      <formula>"Fail"</formula>
    </cfRule>
    <cfRule type="cellIs" dxfId="5688" priority="2186" stopIfTrue="1" operator="equal">
      <formula>"please check"</formula>
    </cfRule>
  </conditionalFormatting>
  <conditionalFormatting sqref="R198:R199">
    <cfRule type="cellIs" dxfId="5687" priority="2183" stopIfTrue="1" operator="equal">
      <formula>"Pass"</formula>
    </cfRule>
  </conditionalFormatting>
  <conditionalFormatting sqref="S189">
    <cfRule type="cellIs" dxfId="5686" priority="2180" stopIfTrue="1" operator="equal">
      <formula>"No"</formula>
    </cfRule>
    <cfRule type="cellIs" dxfId="5685" priority="2181" stopIfTrue="1" operator="equal">
      <formula>"Fail"</formula>
    </cfRule>
    <cfRule type="cellIs" dxfId="5684" priority="2182" stopIfTrue="1" operator="equal">
      <formula>"please check"</formula>
    </cfRule>
  </conditionalFormatting>
  <conditionalFormatting sqref="S189">
    <cfRule type="cellIs" dxfId="5683" priority="2179" stopIfTrue="1" operator="equal">
      <formula>"Pass"</formula>
    </cfRule>
  </conditionalFormatting>
  <conditionalFormatting sqref="S191">
    <cfRule type="cellIs" dxfId="5682" priority="2176" stopIfTrue="1" operator="equal">
      <formula>"No"</formula>
    </cfRule>
    <cfRule type="cellIs" dxfId="5681" priority="2177" stopIfTrue="1" operator="equal">
      <formula>"Fail"</formula>
    </cfRule>
    <cfRule type="cellIs" dxfId="5680" priority="2178" stopIfTrue="1" operator="equal">
      <formula>"please check"</formula>
    </cfRule>
  </conditionalFormatting>
  <conditionalFormatting sqref="S191">
    <cfRule type="cellIs" dxfId="5679" priority="2175" stopIfTrue="1" operator="equal">
      <formula>"Pass"</formula>
    </cfRule>
  </conditionalFormatting>
  <conditionalFormatting sqref="S196">
    <cfRule type="cellIs" dxfId="5678" priority="2168" stopIfTrue="1" operator="equal">
      <formula>"No"</formula>
    </cfRule>
    <cfRule type="cellIs" dxfId="5677" priority="2169" stopIfTrue="1" operator="equal">
      <formula>"Fail"</formula>
    </cfRule>
    <cfRule type="cellIs" dxfId="5676" priority="2170" stopIfTrue="1" operator="equal">
      <formula>"please check"</formula>
    </cfRule>
  </conditionalFormatting>
  <conditionalFormatting sqref="S196">
    <cfRule type="cellIs" dxfId="5675" priority="2167" stopIfTrue="1" operator="equal">
      <formula>"Pass"</formula>
    </cfRule>
  </conditionalFormatting>
  <conditionalFormatting sqref="S198:S199">
    <cfRule type="cellIs" dxfId="5674" priority="2164" stopIfTrue="1" operator="equal">
      <formula>"No"</formula>
    </cfRule>
    <cfRule type="cellIs" dxfId="5673" priority="2165" stopIfTrue="1" operator="equal">
      <formula>"Fail"</formula>
    </cfRule>
    <cfRule type="cellIs" dxfId="5672" priority="2166" stopIfTrue="1" operator="equal">
      <formula>"please check"</formula>
    </cfRule>
  </conditionalFormatting>
  <conditionalFormatting sqref="S198:S199">
    <cfRule type="cellIs" dxfId="5671" priority="2163" stopIfTrue="1" operator="equal">
      <formula>"Pass"</formula>
    </cfRule>
  </conditionalFormatting>
  <conditionalFormatting sqref="R193">
    <cfRule type="cellIs" dxfId="5670" priority="2160" stopIfTrue="1" operator="equal">
      <formula>"No"</formula>
    </cfRule>
    <cfRule type="cellIs" dxfId="5669" priority="2161" stopIfTrue="1" operator="equal">
      <formula>"Fail"</formula>
    </cfRule>
    <cfRule type="cellIs" dxfId="5668" priority="2162" stopIfTrue="1" operator="equal">
      <formula>"please check"</formula>
    </cfRule>
  </conditionalFormatting>
  <conditionalFormatting sqref="R193">
    <cfRule type="cellIs" dxfId="5667" priority="2159" stopIfTrue="1" operator="equal">
      <formula>"Pass"</formula>
    </cfRule>
  </conditionalFormatting>
  <conditionalFormatting sqref="R193">
    <cfRule type="containsText" dxfId="5666" priority="2156" operator="containsText" text="Please check">
      <formula>NOT(ISERROR(SEARCH("Please check",R193)))</formula>
    </cfRule>
    <cfRule type="containsText" dxfId="5665" priority="2157" operator="containsText" text="Missing inputs">
      <formula>NOT(ISERROR(SEARCH("Missing inputs",R193)))</formula>
    </cfRule>
    <cfRule type="containsText" dxfId="5664" priority="2158" operator="containsText" text="OK">
      <formula>NOT(ISERROR(SEARCH("OK",R193)))</formula>
    </cfRule>
  </conditionalFormatting>
  <conditionalFormatting sqref="S192">
    <cfRule type="cellIs" dxfId="5663" priority="2155" stopIfTrue="1" operator="equal">
      <formula>"Pass"</formula>
    </cfRule>
  </conditionalFormatting>
  <conditionalFormatting sqref="S192">
    <cfRule type="cellIs" dxfId="5662" priority="2152" stopIfTrue="1" operator="equal">
      <formula>"No"</formula>
    </cfRule>
    <cfRule type="cellIs" dxfId="5661" priority="2153" stopIfTrue="1" operator="equal">
      <formula>"Fail"</formula>
    </cfRule>
    <cfRule type="cellIs" dxfId="5660" priority="2154" stopIfTrue="1" operator="equal">
      <formula>"please check"</formula>
    </cfRule>
  </conditionalFormatting>
  <conditionalFormatting sqref="S192">
    <cfRule type="containsText" dxfId="5659" priority="2149" operator="containsText" text="Please check">
      <formula>NOT(ISERROR(SEARCH("Please check",S192)))</formula>
    </cfRule>
    <cfRule type="containsText" dxfId="5658" priority="2150" operator="containsText" text="Missing inputs">
      <formula>NOT(ISERROR(SEARCH("Missing inputs",S192)))</formula>
    </cfRule>
    <cfRule type="containsText" dxfId="5657" priority="2151" operator="containsText" text="OK">
      <formula>NOT(ISERROR(SEARCH("OK",S192)))</formula>
    </cfRule>
  </conditionalFormatting>
  <conditionalFormatting sqref="R197">
    <cfRule type="cellIs" dxfId="5656" priority="2146" stopIfTrue="1" operator="equal">
      <formula>"No"</formula>
    </cfRule>
    <cfRule type="cellIs" dxfId="5655" priority="2147" stopIfTrue="1" operator="equal">
      <formula>"Fail"</formula>
    </cfRule>
    <cfRule type="cellIs" dxfId="5654" priority="2148" stopIfTrue="1" operator="equal">
      <formula>"please check"</formula>
    </cfRule>
  </conditionalFormatting>
  <conditionalFormatting sqref="R197">
    <cfRule type="cellIs" dxfId="5653" priority="2145" stopIfTrue="1" operator="equal">
      <formula>"Pass"</formula>
    </cfRule>
  </conditionalFormatting>
  <conditionalFormatting sqref="R197">
    <cfRule type="containsText" dxfId="5652" priority="2142" operator="containsText" text="Please check">
      <formula>NOT(ISERROR(SEARCH("Please check",R197)))</formula>
    </cfRule>
    <cfRule type="containsText" dxfId="5651" priority="2143" operator="containsText" text="Missing inputs">
      <formula>NOT(ISERROR(SEARCH("Missing inputs",R197)))</formula>
    </cfRule>
    <cfRule type="containsText" dxfId="5650" priority="2144" operator="containsText" text="OK">
      <formula>NOT(ISERROR(SEARCH("OK",R197)))</formula>
    </cfRule>
  </conditionalFormatting>
  <conditionalFormatting sqref="R194">
    <cfRule type="cellIs" dxfId="5649" priority="2139" stopIfTrue="1" operator="equal">
      <formula>"No"</formula>
    </cfRule>
    <cfRule type="cellIs" dxfId="5648" priority="2140" stopIfTrue="1" operator="equal">
      <formula>"Fail"</formula>
    </cfRule>
    <cfRule type="cellIs" dxfId="5647" priority="2141" stopIfTrue="1" operator="equal">
      <formula>"please check"</formula>
    </cfRule>
  </conditionalFormatting>
  <conditionalFormatting sqref="R194">
    <cfRule type="cellIs" dxfId="5646" priority="2138" stopIfTrue="1" operator="equal">
      <formula>"Pass"</formula>
    </cfRule>
  </conditionalFormatting>
  <conditionalFormatting sqref="R194">
    <cfRule type="containsText" dxfId="5645" priority="2135" operator="containsText" text="Please check">
      <formula>NOT(ISERROR(SEARCH("Please check",R194)))</formula>
    </cfRule>
    <cfRule type="containsText" dxfId="5644" priority="2136" operator="containsText" text="Missing inputs">
      <formula>NOT(ISERROR(SEARCH("Missing inputs",R194)))</formula>
    </cfRule>
    <cfRule type="containsText" dxfId="5643" priority="2137" operator="containsText" text="OK">
      <formula>NOT(ISERROR(SEARCH("OK",R194)))</formula>
    </cfRule>
  </conditionalFormatting>
  <conditionalFormatting sqref="S193">
    <cfRule type="cellIs" dxfId="5642" priority="2134" stopIfTrue="1" operator="equal">
      <formula>"Pass"</formula>
    </cfRule>
  </conditionalFormatting>
  <conditionalFormatting sqref="S193">
    <cfRule type="cellIs" dxfId="5641" priority="2131" stopIfTrue="1" operator="equal">
      <formula>"No"</formula>
    </cfRule>
    <cfRule type="cellIs" dxfId="5640" priority="2132" stopIfTrue="1" operator="equal">
      <formula>"Fail"</formula>
    </cfRule>
    <cfRule type="cellIs" dxfId="5639" priority="2133" stopIfTrue="1" operator="equal">
      <formula>"please check"</formula>
    </cfRule>
  </conditionalFormatting>
  <conditionalFormatting sqref="S193">
    <cfRule type="containsText" dxfId="5638" priority="2128" operator="containsText" text="Please check">
      <formula>NOT(ISERROR(SEARCH("Please check",S193)))</formula>
    </cfRule>
    <cfRule type="containsText" dxfId="5637" priority="2129" operator="containsText" text="Missing inputs">
      <formula>NOT(ISERROR(SEARCH("Missing inputs",S193)))</formula>
    </cfRule>
    <cfRule type="containsText" dxfId="5636" priority="2130" operator="containsText" text="OK">
      <formula>NOT(ISERROR(SEARCH("OK",S193)))</formula>
    </cfRule>
  </conditionalFormatting>
  <conditionalFormatting sqref="S194">
    <cfRule type="cellIs" dxfId="5635" priority="2127" stopIfTrue="1" operator="equal">
      <formula>"Pass"</formula>
    </cfRule>
  </conditionalFormatting>
  <conditionalFormatting sqref="S194">
    <cfRule type="cellIs" dxfId="5634" priority="2124" stopIfTrue="1" operator="equal">
      <formula>"No"</formula>
    </cfRule>
    <cfRule type="cellIs" dxfId="5633" priority="2125" stopIfTrue="1" operator="equal">
      <formula>"Fail"</formula>
    </cfRule>
    <cfRule type="cellIs" dxfId="5632" priority="2126" stopIfTrue="1" operator="equal">
      <formula>"please check"</formula>
    </cfRule>
  </conditionalFormatting>
  <conditionalFormatting sqref="S194">
    <cfRule type="containsText" dxfId="5631" priority="2121" operator="containsText" text="Please check">
      <formula>NOT(ISERROR(SEARCH("Please check",S194)))</formula>
    </cfRule>
    <cfRule type="containsText" dxfId="5630" priority="2122" operator="containsText" text="Missing inputs">
      <formula>NOT(ISERROR(SEARCH("Missing inputs",S194)))</formula>
    </cfRule>
    <cfRule type="containsText" dxfId="5629" priority="2123" operator="containsText" text="OK">
      <formula>NOT(ISERROR(SEARCH("OK",S194)))</formula>
    </cfRule>
  </conditionalFormatting>
  <conditionalFormatting sqref="S195">
    <cfRule type="cellIs" dxfId="5628" priority="2120" stopIfTrue="1" operator="equal">
      <formula>"Pass"</formula>
    </cfRule>
  </conditionalFormatting>
  <conditionalFormatting sqref="S195">
    <cfRule type="cellIs" dxfId="5627" priority="2117" stopIfTrue="1" operator="equal">
      <formula>"No"</formula>
    </cfRule>
    <cfRule type="cellIs" dxfId="5626" priority="2118" stopIfTrue="1" operator="equal">
      <formula>"Fail"</formula>
    </cfRule>
    <cfRule type="cellIs" dxfId="5625" priority="2119" stopIfTrue="1" operator="equal">
      <formula>"please check"</formula>
    </cfRule>
  </conditionalFormatting>
  <conditionalFormatting sqref="S195">
    <cfRule type="containsText" dxfId="5624" priority="2114" operator="containsText" text="Please check">
      <formula>NOT(ISERROR(SEARCH("Please check",S195)))</formula>
    </cfRule>
    <cfRule type="containsText" dxfId="5623" priority="2115" operator="containsText" text="Missing inputs">
      <formula>NOT(ISERROR(SEARCH("Missing inputs",S195)))</formula>
    </cfRule>
    <cfRule type="containsText" dxfId="5622" priority="2116" operator="containsText" text="OK">
      <formula>NOT(ISERROR(SEARCH("OK",S195)))</formula>
    </cfRule>
  </conditionalFormatting>
  <conditionalFormatting sqref="S197">
    <cfRule type="cellIs" dxfId="5621" priority="2113" stopIfTrue="1" operator="equal">
      <formula>"Pass"</formula>
    </cfRule>
  </conditionalFormatting>
  <conditionalFormatting sqref="S197">
    <cfRule type="cellIs" dxfId="5620" priority="2110" stopIfTrue="1" operator="equal">
      <formula>"No"</formula>
    </cfRule>
    <cfRule type="cellIs" dxfId="5619" priority="2111" stopIfTrue="1" operator="equal">
      <formula>"Fail"</formula>
    </cfRule>
    <cfRule type="cellIs" dxfId="5618" priority="2112" stopIfTrue="1" operator="equal">
      <formula>"please check"</formula>
    </cfRule>
  </conditionalFormatting>
  <conditionalFormatting sqref="S197">
    <cfRule type="containsText" dxfId="5617" priority="2107" operator="containsText" text="Please check">
      <formula>NOT(ISERROR(SEARCH("Please check",S197)))</formula>
    </cfRule>
    <cfRule type="containsText" dxfId="5616" priority="2108" operator="containsText" text="Missing inputs">
      <formula>NOT(ISERROR(SEARCH("Missing inputs",S197)))</formula>
    </cfRule>
    <cfRule type="containsText" dxfId="5615" priority="2109" operator="containsText" text="OK">
      <formula>NOT(ISERROR(SEARCH("OK",S197)))</formula>
    </cfRule>
  </conditionalFormatting>
  <conditionalFormatting sqref="R142:T142">
    <cfRule type="cellIs" dxfId="5614" priority="2103" stopIfTrue="1" operator="equal">
      <formula>"Pass"</formula>
    </cfRule>
    <cfRule type="cellIs" dxfId="5613" priority="2104" stopIfTrue="1" operator="equal">
      <formula>"Please check"</formula>
    </cfRule>
    <cfRule type="cellIs" dxfId="5612" priority="2105" stopIfTrue="1" operator="equal">
      <formula>"Fail"</formula>
    </cfRule>
    <cfRule type="cellIs" dxfId="5611" priority="2106" stopIfTrue="1" operator="equal">
      <formula>"Please fill in all mandatory cells AO60:AR60"</formula>
    </cfRule>
  </conditionalFormatting>
  <conditionalFormatting sqref="U142">
    <cfRule type="cellIs" dxfId="5610" priority="2099" stopIfTrue="1" operator="equal">
      <formula>"Pass"</formula>
    </cfRule>
    <cfRule type="cellIs" dxfId="5609" priority="2100" stopIfTrue="1" operator="equal">
      <formula>"Please check"</formula>
    </cfRule>
    <cfRule type="cellIs" dxfId="5608" priority="2101" stopIfTrue="1" operator="equal">
      <formula>"Fail"</formula>
    </cfRule>
    <cfRule type="cellIs" dxfId="5607" priority="2102" stopIfTrue="1" operator="equal">
      <formula>"Please fill in all mandatory cells AO60:AR60"</formula>
    </cfRule>
  </conditionalFormatting>
  <conditionalFormatting sqref="V142:Z142">
    <cfRule type="cellIs" dxfId="5606" priority="2095" stopIfTrue="1" operator="equal">
      <formula>"Pass"</formula>
    </cfRule>
    <cfRule type="cellIs" dxfId="5605" priority="2096" stopIfTrue="1" operator="equal">
      <formula>"Please check"</formula>
    </cfRule>
    <cfRule type="cellIs" dxfId="5604" priority="2097" stopIfTrue="1" operator="equal">
      <formula>"Fail"</formula>
    </cfRule>
    <cfRule type="cellIs" dxfId="5603" priority="2098" stopIfTrue="1" operator="equal">
      <formula>"Please fill in all mandatory cells AO60:AR60"</formula>
    </cfRule>
  </conditionalFormatting>
  <conditionalFormatting sqref="AA142">
    <cfRule type="cellIs" dxfId="5602" priority="2091" stopIfTrue="1" operator="equal">
      <formula>"Pass"</formula>
    </cfRule>
    <cfRule type="cellIs" dxfId="5601" priority="2092" stopIfTrue="1" operator="equal">
      <formula>"Please check"</formula>
    </cfRule>
    <cfRule type="cellIs" dxfId="5600" priority="2093" stopIfTrue="1" operator="equal">
      <formula>"Fail"</formula>
    </cfRule>
    <cfRule type="cellIs" dxfId="5599" priority="2094" stopIfTrue="1" operator="equal">
      <formula>"Please fill in all mandatory cells AO60:AR60"</formula>
    </cfRule>
  </conditionalFormatting>
  <conditionalFormatting sqref="AB142">
    <cfRule type="cellIs" dxfId="5598" priority="2087" stopIfTrue="1" operator="equal">
      <formula>"Pass"</formula>
    </cfRule>
    <cfRule type="cellIs" dxfId="5597" priority="2088" stopIfTrue="1" operator="equal">
      <formula>"Please check"</formula>
    </cfRule>
    <cfRule type="cellIs" dxfId="5596" priority="2089" stopIfTrue="1" operator="equal">
      <formula>"Fail"</formula>
    </cfRule>
    <cfRule type="cellIs" dxfId="5595" priority="2090" stopIfTrue="1" operator="equal">
      <formula>"Please fill in all mandatory cells AO60:AR60"</formula>
    </cfRule>
  </conditionalFormatting>
  <conditionalFormatting sqref="R159:T159">
    <cfRule type="cellIs" dxfId="5594" priority="2083" stopIfTrue="1" operator="equal">
      <formula>"Pass"</formula>
    </cfRule>
    <cfRule type="cellIs" dxfId="5593" priority="2084" stopIfTrue="1" operator="equal">
      <formula>"Please check"</formula>
    </cfRule>
    <cfRule type="cellIs" dxfId="5592" priority="2085" stopIfTrue="1" operator="equal">
      <formula>"Fail"</formula>
    </cfRule>
    <cfRule type="cellIs" dxfId="5591" priority="2086" stopIfTrue="1" operator="equal">
      <formula>"Please fill in all mandatory cells AO60:AR60"</formula>
    </cfRule>
  </conditionalFormatting>
  <conditionalFormatting sqref="U159">
    <cfRule type="cellIs" dxfId="5590" priority="2079" stopIfTrue="1" operator="equal">
      <formula>"Pass"</formula>
    </cfRule>
    <cfRule type="cellIs" dxfId="5589" priority="2080" stopIfTrue="1" operator="equal">
      <formula>"Please check"</formula>
    </cfRule>
    <cfRule type="cellIs" dxfId="5588" priority="2081" stopIfTrue="1" operator="equal">
      <formula>"Fail"</formula>
    </cfRule>
    <cfRule type="cellIs" dxfId="5587" priority="2082" stopIfTrue="1" operator="equal">
      <formula>"Please fill in all mandatory cells AO60:AR60"</formula>
    </cfRule>
  </conditionalFormatting>
  <conditionalFormatting sqref="V159:Z159 AB159">
    <cfRule type="cellIs" dxfId="5586" priority="2075" stopIfTrue="1" operator="equal">
      <formula>"Pass"</formula>
    </cfRule>
    <cfRule type="cellIs" dxfId="5585" priority="2076" stopIfTrue="1" operator="equal">
      <formula>"Please check"</formula>
    </cfRule>
    <cfRule type="cellIs" dxfId="5584" priority="2077" stopIfTrue="1" operator="equal">
      <formula>"Fail"</formula>
    </cfRule>
    <cfRule type="cellIs" dxfId="5583" priority="2078" stopIfTrue="1" operator="equal">
      <formula>"Please fill in all mandatory cells AO60:AR60"</formula>
    </cfRule>
  </conditionalFormatting>
  <conditionalFormatting sqref="AA159">
    <cfRule type="cellIs" dxfId="5582" priority="2071" stopIfTrue="1" operator="equal">
      <formula>"Pass"</formula>
    </cfRule>
    <cfRule type="cellIs" dxfId="5581" priority="2072" stopIfTrue="1" operator="equal">
      <formula>"Please check"</formula>
    </cfRule>
    <cfRule type="cellIs" dxfId="5580" priority="2073" stopIfTrue="1" operator="equal">
      <formula>"Fail"</formula>
    </cfRule>
    <cfRule type="cellIs" dxfId="5579" priority="2074" stopIfTrue="1" operator="equal">
      <formula>"Please fill in all mandatory cells AO60:AR60"</formula>
    </cfRule>
  </conditionalFormatting>
  <conditionalFormatting sqref="AD184:AR188 AD189:AN196 AO189:AR215">
    <cfRule type="cellIs" dxfId="5578" priority="2068" stopIfTrue="1" operator="equal">
      <formula>"Pass"</formula>
    </cfRule>
    <cfRule type="cellIs" dxfId="5577" priority="2069" stopIfTrue="1" operator="equal">
      <formula>"please check"</formula>
    </cfRule>
  </conditionalFormatting>
  <conditionalFormatting sqref="AD112:AR112">
    <cfRule type="cellIs" dxfId="5576" priority="2035" stopIfTrue="1" operator="equal">
      <formula>"Pass"</formula>
    </cfRule>
    <cfRule type="cellIs" dxfId="5575" priority="2036" stopIfTrue="1" operator="equal">
      <formula>"please check"</formula>
    </cfRule>
  </conditionalFormatting>
  <conditionalFormatting sqref="AD111:AR111">
    <cfRule type="cellIs" dxfId="5574" priority="2038" stopIfTrue="1" operator="equal">
      <formula>"Pass"</formula>
    </cfRule>
    <cfRule type="cellIs" dxfId="5573" priority="2039" stopIfTrue="1" operator="equal">
      <formula>"please check"</formula>
    </cfRule>
  </conditionalFormatting>
  <conditionalFormatting sqref="AD163:AR163 AD166:AR166 AD168:AR169 AE164:AE165 AG164:AG165 AI164:AI165 AK164:AK165 AM164:AM165 AO164:AO165 AQ164:AQ165 AE167 AG167 AI167 AK167 AM167 AO167 AQ167 AE170 AG170 AI170 AK170 AM170 AO170 AQ170 AD171:AR174">
    <cfRule type="cellIs" dxfId="5572" priority="2032" stopIfTrue="1" operator="equal">
      <formula>"Pass"</formula>
    </cfRule>
    <cfRule type="cellIs" dxfId="5571" priority="2033" stopIfTrue="1" operator="equal">
      <formula>"please check"</formula>
    </cfRule>
  </conditionalFormatting>
  <conditionalFormatting sqref="AD164:AD165 AF164:AF165 AH164:AH165 AJ164:AJ165 AL164:AL165 AN164:AN165 AP164:AP165 AR164:AR165 AD167 AF167 AH167 AJ167 AL167 AN167 AP167 AR167 AD170 AF170 AH170 AJ170 AL170 AN170 AP170 AR170">
    <cfRule type="cellIs" dxfId="5570" priority="2029" stopIfTrue="1" operator="equal">
      <formula>"Pass"</formula>
    </cfRule>
    <cfRule type="cellIs" dxfId="5569" priority="2030" stopIfTrue="1" operator="equal">
      <formula>"please check"</formula>
    </cfRule>
  </conditionalFormatting>
  <conditionalFormatting sqref="AD162:AR162">
    <cfRule type="cellIs" dxfId="5568" priority="2026" stopIfTrue="1" operator="equal">
      <formula>"Pass"</formula>
    </cfRule>
    <cfRule type="cellIs" dxfId="5567" priority="2027" stopIfTrue="1" operator="equal">
      <formula>"please check"</formula>
    </cfRule>
  </conditionalFormatting>
  <conditionalFormatting sqref="AD147:AR147">
    <cfRule type="cellIs" dxfId="5566" priority="2023" stopIfTrue="1" operator="equal">
      <formula>"Pass"</formula>
    </cfRule>
    <cfRule type="cellIs" dxfId="5565" priority="2024" stopIfTrue="1" operator="equal">
      <formula>"please check"</formula>
    </cfRule>
  </conditionalFormatting>
  <conditionalFormatting sqref="AD200:AF200">
    <cfRule type="cellIs" dxfId="5564" priority="2020" stopIfTrue="1" operator="equal">
      <formula>"Pass"</formula>
    </cfRule>
    <cfRule type="cellIs" dxfId="5563" priority="2021" stopIfTrue="1" operator="equal">
      <formula>"please check"</formula>
    </cfRule>
  </conditionalFormatting>
  <conditionalFormatting sqref="AO116:AO117">
    <cfRule type="cellIs" dxfId="5562" priority="2064" stopIfTrue="1" operator="equal">
      <formula>"Pass"</formula>
    </cfRule>
    <cfRule type="cellIs" dxfId="5561" priority="2065" stopIfTrue="1" operator="equal">
      <formula>"Please check"</formula>
    </cfRule>
    <cfRule type="cellIs" dxfId="5560" priority="2066" stopIfTrue="1" operator="equal">
      <formula>"Fail"</formula>
    </cfRule>
    <cfRule type="cellIs" dxfId="5559" priority="2067" stopIfTrue="1" operator="equal">
      <formula>"Please fill in all mandatory cells AO60:AR60"</formula>
    </cfRule>
  </conditionalFormatting>
  <conditionalFormatting sqref="AD215:AF215 AD197:AF199 AM203:AN205 AG197:AN202">
    <cfRule type="cellIs" dxfId="5558" priority="2049" stopIfTrue="1" operator="equal">
      <formula>"Pass"</formula>
    </cfRule>
    <cfRule type="cellIs" dxfId="5557" priority="2050" stopIfTrue="1" operator="equal">
      <formula>"please check"</formula>
    </cfRule>
  </conditionalFormatting>
  <conditionalFormatting sqref="AM214:AN214">
    <cfRule type="cellIs" dxfId="5556" priority="2061" stopIfTrue="1" operator="equal">
      <formula>"Pass"</formula>
    </cfRule>
    <cfRule type="cellIs" dxfId="5555" priority="2062" stopIfTrue="1" operator="equal">
      <formula>"please check"</formula>
    </cfRule>
  </conditionalFormatting>
  <conditionalFormatting sqref="AO114">
    <cfRule type="cellIs" dxfId="5554" priority="2058" stopIfTrue="1" operator="equal">
      <formula>"Pass"</formula>
    </cfRule>
    <cfRule type="cellIs" dxfId="5553" priority="2059" stopIfTrue="1" operator="equal">
      <formula>"Please check"</formula>
    </cfRule>
    <cfRule type="cellIs" dxfId="5552" priority="2060" stopIfTrue="1" operator="equal">
      <formula>"Fail"</formula>
    </cfRule>
  </conditionalFormatting>
  <conditionalFormatting sqref="AM206:AN208 AM210:AN212">
    <cfRule type="cellIs" dxfId="5551" priority="2052" stopIfTrue="1" operator="equal">
      <formula>"Pass"</formula>
    </cfRule>
    <cfRule type="cellIs" dxfId="5550" priority="2053" stopIfTrue="1" operator="equal">
      <formula>"please check"</formula>
    </cfRule>
  </conditionalFormatting>
  <conditionalFormatting sqref="AM209:AN209 AM213:AN213">
    <cfRule type="cellIs" dxfId="5549" priority="2055" stopIfTrue="1" operator="equal">
      <formula>"Pass"</formula>
    </cfRule>
    <cfRule type="cellIs" dxfId="5548" priority="2056" stopIfTrue="1" operator="equal">
      <formula>"please check"</formula>
    </cfRule>
  </conditionalFormatting>
  <conditionalFormatting sqref="AP117">
    <cfRule type="cellIs" dxfId="5547" priority="2045" stopIfTrue="1" operator="equal">
      <formula>"Pass"</formula>
    </cfRule>
    <cfRule type="cellIs" dxfId="5546" priority="2046" stopIfTrue="1" operator="equal">
      <formula>"Please check"</formula>
    </cfRule>
    <cfRule type="cellIs" dxfId="5545" priority="2047" stopIfTrue="1" operator="equal">
      <formula>"Fail"</formula>
    </cfRule>
    <cfRule type="cellIs" dxfId="5544" priority="2048" stopIfTrue="1" operator="equal">
      <formula>"Please fill in all mandatory cells AO60:AR60"</formula>
    </cfRule>
  </conditionalFormatting>
  <conditionalFormatting sqref="AR116:AR117">
    <cfRule type="cellIs" dxfId="5543" priority="2041" stopIfTrue="1" operator="equal">
      <formula>"Pass"</formula>
    </cfRule>
    <cfRule type="cellIs" dxfId="5542" priority="2042" stopIfTrue="1" operator="equal">
      <formula>"Please check"</formula>
    </cfRule>
    <cfRule type="cellIs" dxfId="5541" priority="2043" stopIfTrue="1" operator="equal">
      <formula>"Fail"</formula>
    </cfRule>
    <cfRule type="cellIs" dxfId="5540" priority="2044" stopIfTrue="1" operator="equal">
      <formula>"Please fill in all mandatory cells AO60:AR60"</formula>
    </cfRule>
  </conditionalFormatting>
  <conditionalFormatting sqref="AD118:AE119">
    <cfRule type="cellIs" dxfId="5539" priority="2016" stopIfTrue="1" operator="equal">
      <formula>"Pass"</formula>
    </cfRule>
    <cfRule type="cellIs" dxfId="5538" priority="2017" stopIfTrue="1" operator="equal">
      <formula>"Please check"</formula>
    </cfRule>
    <cfRule type="cellIs" dxfId="5537" priority="2018" stopIfTrue="1" operator="equal">
      <formula>"Fail"</formula>
    </cfRule>
    <cfRule type="cellIs" dxfId="5536" priority="2019" stopIfTrue="1" operator="equal">
      <formula>"Please fill in all mandatory cells AO60:AR60"</formula>
    </cfRule>
  </conditionalFormatting>
  <conditionalFormatting sqref="AD122:AE123">
    <cfRule type="cellIs" dxfId="5535" priority="2012" stopIfTrue="1" operator="equal">
      <formula>"Pass"</formula>
    </cfRule>
    <cfRule type="cellIs" dxfId="5534" priority="2013" stopIfTrue="1" operator="equal">
      <formula>"Please check"</formula>
    </cfRule>
    <cfRule type="cellIs" dxfId="5533" priority="2014" stopIfTrue="1" operator="equal">
      <formula>"Fail"</formula>
    </cfRule>
    <cfRule type="cellIs" dxfId="5532" priority="2015" stopIfTrue="1" operator="equal">
      <formula>"Please fill in all mandatory cells AO60:AR60"</formula>
    </cfRule>
  </conditionalFormatting>
  <conditionalFormatting sqref="AD126:AE127">
    <cfRule type="cellIs" dxfId="5531" priority="2008" stopIfTrue="1" operator="equal">
      <formula>"Pass"</formula>
    </cfRule>
    <cfRule type="cellIs" dxfId="5530" priority="2009" stopIfTrue="1" operator="equal">
      <formula>"Please check"</formula>
    </cfRule>
    <cfRule type="cellIs" dxfId="5529" priority="2010" stopIfTrue="1" operator="equal">
      <formula>"Fail"</formula>
    </cfRule>
    <cfRule type="cellIs" dxfId="5528" priority="2011" stopIfTrue="1" operator="equal">
      <formula>"Please fill in all mandatory cells AO60:AR60"</formula>
    </cfRule>
  </conditionalFormatting>
  <conditionalFormatting sqref="AD130:AE131">
    <cfRule type="cellIs" dxfId="5527" priority="2004" stopIfTrue="1" operator="equal">
      <formula>"Pass"</formula>
    </cfRule>
    <cfRule type="cellIs" dxfId="5526" priority="2005" stopIfTrue="1" operator="equal">
      <formula>"Please check"</formula>
    </cfRule>
    <cfRule type="cellIs" dxfId="5525" priority="2006" stopIfTrue="1" operator="equal">
      <formula>"Fail"</formula>
    </cfRule>
    <cfRule type="cellIs" dxfId="5524" priority="2007" stopIfTrue="1" operator="equal">
      <formula>"Please fill in all mandatory cells AO60:AR60"</formula>
    </cfRule>
  </conditionalFormatting>
  <conditionalFormatting sqref="AD134:AE135">
    <cfRule type="cellIs" dxfId="5523" priority="2000" stopIfTrue="1" operator="equal">
      <formula>"Pass"</formula>
    </cfRule>
    <cfRule type="cellIs" dxfId="5522" priority="2001" stopIfTrue="1" operator="equal">
      <formula>"Please check"</formula>
    </cfRule>
    <cfRule type="cellIs" dxfId="5521" priority="2002" stopIfTrue="1" operator="equal">
      <formula>"Fail"</formula>
    </cfRule>
    <cfRule type="cellIs" dxfId="5520" priority="2003" stopIfTrue="1" operator="equal">
      <formula>"Please fill in all mandatory cells AO60:AR60"</formula>
    </cfRule>
  </conditionalFormatting>
  <conditionalFormatting sqref="AD138:AE139">
    <cfRule type="cellIs" dxfId="5519" priority="1996" stopIfTrue="1" operator="equal">
      <formula>"Pass"</formula>
    </cfRule>
    <cfRule type="cellIs" dxfId="5518" priority="1997" stopIfTrue="1" operator="equal">
      <formula>"Please check"</formula>
    </cfRule>
    <cfRule type="cellIs" dxfId="5517" priority="1998" stopIfTrue="1" operator="equal">
      <formula>"Fail"</formula>
    </cfRule>
    <cfRule type="cellIs" dxfId="5516" priority="1999" stopIfTrue="1" operator="equal">
      <formula>"Please fill in all mandatory cells AO60:AR60"</formula>
    </cfRule>
  </conditionalFormatting>
  <conditionalFormatting sqref="AD143:AE143">
    <cfRule type="cellIs" dxfId="5515" priority="1992" stopIfTrue="1" operator="equal">
      <formula>"Pass"</formula>
    </cfRule>
    <cfRule type="cellIs" dxfId="5514" priority="1993" stopIfTrue="1" operator="equal">
      <formula>"Please check"</formula>
    </cfRule>
    <cfRule type="cellIs" dxfId="5513" priority="1994" stopIfTrue="1" operator="equal">
      <formula>"Fail"</formula>
    </cfRule>
    <cfRule type="cellIs" dxfId="5512" priority="1995" stopIfTrue="1" operator="equal">
      <formula>"Please fill in all mandatory cells AO60:AR60"</formula>
    </cfRule>
  </conditionalFormatting>
  <conditionalFormatting sqref="AF118:AF141 AF143:AF145">
    <cfRule type="cellIs" dxfId="5511" priority="1988" stopIfTrue="1" operator="equal">
      <formula>"Pass"</formula>
    </cfRule>
    <cfRule type="cellIs" dxfId="5510" priority="1989" stopIfTrue="1" operator="equal">
      <formula>"Please check"</formula>
    </cfRule>
    <cfRule type="cellIs" dxfId="5509" priority="1990" stopIfTrue="1" operator="equal">
      <formula>"Fail"</formula>
    </cfRule>
    <cfRule type="cellIs" dxfId="5508" priority="1991" stopIfTrue="1" operator="equal">
      <formula>"Please fill in all mandatory cells AO60:AR60"</formula>
    </cfRule>
  </conditionalFormatting>
  <conditionalFormatting sqref="AG119:AI119">
    <cfRule type="cellIs" dxfId="5507" priority="1984" stopIfTrue="1" operator="equal">
      <formula>"Pass"</formula>
    </cfRule>
    <cfRule type="cellIs" dxfId="5506" priority="1985" stopIfTrue="1" operator="equal">
      <formula>"Please check"</formula>
    </cfRule>
    <cfRule type="cellIs" dxfId="5505" priority="1986" stopIfTrue="1" operator="equal">
      <formula>"Fail"</formula>
    </cfRule>
    <cfRule type="cellIs" dxfId="5504" priority="1987" stopIfTrue="1" operator="equal">
      <formula>"Please fill in all mandatory cells AO60:AR60"</formula>
    </cfRule>
  </conditionalFormatting>
  <conditionalFormatting sqref="AG123:AI123">
    <cfRule type="cellIs" dxfId="5503" priority="1980" stopIfTrue="1" operator="equal">
      <formula>"Pass"</formula>
    </cfRule>
    <cfRule type="cellIs" dxfId="5502" priority="1981" stopIfTrue="1" operator="equal">
      <formula>"Please check"</formula>
    </cfRule>
    <cfRule type="cellIs" dxfId="5501" priority="1982" stopIfTrue="1" operator="equal">
      <formula>"Fail"</formula>
    </cfRule>
    <cfRule type="cellIs" dxfId="5500" priority="1983" stopIfTrue="1" operator="equal">
      <formula>"Please fill in all mandatory cells AO60:AR60"</formula>
    </cfRule>
  </conditionalFormatting>
  <conditionalFormatting sqref="AG127:AI127">
    <cfRule type="cellIs" dxfId="5499" priority="1976" stopIfTrue="1" operator="equal">
      <formula>"Pass"</formula>
    </cfRule>
    <cfRule type="cellIs" dxfId="5498" priority="1977" stopIfTrue="1" operator="equal">
      <formula>"Please check"</formula>
    </cfRule>
    <cfRule type="cellIs" dxfId="5497" priority="1978" stopIfTrue="1" operator="equal">
      <formula>"Fail"</formula>
    </cfRule>
    <cfRule type="cellIs" dxfId="5496" priority="1979" stopIfTrue="1" operator="equal">
      <formula>"Please fill in all mandatory cells AO60:AR60"</formula>
    </cfRule>
  </conditionalFormatting>
  <conditionalFormatting sqref="AG131:AI131">
    <cfRule type="cellIs" dxfId="5495" priority="1972" stopIfTrue="1" operator="equal">
      <formula>"Pass"</formula>
    </cfRule>
    <cfRule type="cellIs" dxfId="5494" priority="1973" stopIfTrue="1" operator="equal">
      <formula>"Please check"</formula>
    </cfRule>
    <cfRule type="cellIs" dxfId="5493" priority="1974" stopIfTrue="1" operator="equal">
      <formula>"Fail"</formula>
    </cfRule>
    <cfRule type="cellIs" dxfId="5492" priority="1975" stopIfTrue="1" operator="equal">
      <formula>"Please fill in all mandatory cells AO60:AR60"</formula>
    </cfRule>
  </conditionalFormatting>
  <conditionalFormatting sqref="AG135:AI135">
    <cfRule type="cellIs" dxfId="5491" priority="1968" stopIfTrue="1" operator="equal">
      <formula>"Pass"</formula>
    </cfRule>
    <cfRule type="cellIs" dxfId="5490" priority="1969" stopIfTrue="1" operator="equal">
      <formula>"Please check"</formula>
    </cfRule>
    <cfRule type="cellIs" dxfId="5489" priority="1970" stopIfTrue="1" operator="equal">
      <formula>"Fail"</formula>
    </cfRule>
    <cfRule type="cellIs" dxfId="5488" priority="1971" stopIfTrue="1" operator="equal">
      <formula>"Please fill in all mandatory cells AO60:AR60"</formula>
    </cfRule>
  </conditionalFormatting>
  <conditionalFormatting sqref="AG139:AI139">
    <cfRule type="cellIs" dxfId="5487" priority="1964" stopIfTrue="1" operator="equal">
      <formula>"Pass"</formula>
    </cfRule>
    <cfRule type="cellIs" dxfId="5486" priority="1965" stopIfTrue="1" operator="equal">
      <formula>"Please check"</formula>
    </cfRule>
    <cfRule type="cellIs" dxfId="5485" priority="1966" stopIfTrue="1" operator="equal">
      <formula>"Fail"</formula>
    </cfRule>
    <cfRule type="cellIs" dxfId="5484" priority="1967" stopIfTrue="1" operator="equal">
      <formula>"Please fill in all mandatory cells AO60:AR60"</formula>
    </cfRule>
  </conditionalFormatting>
  <conditionalFormatting sqref="AG143:AI143">
    <cfRule type="cellIs" dxfId="5483" priority="1960" stopIfTrue="1" operator="equal">
      <formula>"Pass"</formula>
    </cfRule>
    <cfRule type="cellIs" dxfId="5482" priority="1961" stopIfTrue="1" operator="equal">
      <formula>"Please check"</formula>
    </cfRule>
    <cfRule type="cellIs" dxfId="5481" priority="1962" stopIfTrue="1" operator="equal">
      <formula>"Fail"</formula>
    </cfRule>
    <cfRule type="cellIs" dxfId="5480" priority="1963" stopIfTrue="1" operator="equal">
      <formula>"Please fill in all mandatory cells AO60:AR60"</formula>
    </cfRule>
  </conditionalFormatting>
  <conditionalFormatting sqref="AJ118:AJ145">
    <cfRule type="cellIs" dxfId="5479" priority="1956" stopIfTrue="1" operator="equal">
      <formula>"Pass"</formula>
    </cfRule>
    <cfRule type="cellIs" dxfId="5478" priority="1957" stopIfTrue="1" operator="equal">
      <formula>"Please check"</formula>
    </cfRule>
    <cfRule type="cellIs" dxfId="5477" priority="1958" stopIfTrue="1" operator="equal">
      <formula>"Fail"</formula>
    </cfRule>
    <cfRule type="cellIs" dxfId="5476" priority="1959" stopIfTrue="1" operator="equal">
      <formula>"Please fill in all mandatory cells AO60:AR60"</formula>
    </cfRule>
  </conditionalFormatting>
  <conditionalFormatting sqref="AK119:AM119">
    <cfRule type="cellIs" dxfId="5475" priority="1952" stopIfTrue="1" operator="equal">
      <formula>"Pass"</formula>
    </cfRule>
    <cfRule type="cellIs" dxfId="5474" priority="1953" stopIfTrue="1" operator="equal">
      <formula>"Please check"</formula>
    </cfRule>
    <cfRule type="cellIs" dxfId="5473" priority="1954" stopIfTrue="1" operator="equal">
      <formula>"Fail"</formula>
    </cfRule>
    <cfRule type="cellIs" dxfId="5472" priority="1955" stopIfTrue="1" operator="equal">
      <formula>"Please fill in all mandatory cells AO60:AR60"</formula>
    </cfRule>
  </conditionalFormatting>
  <conditionalFormatting sqref="AK123:AM123">
    <cfRule type="cellIs" dxfId="5471" priority="1948" stopIfTrue="1" operator="equal">
      <formula>"Pass"</formula>
    </cfRule>
    <cfRule type="cellIs" dxfId="5470" priority="1949" stopIfTrue="1" operator="equal">
      <formula>"Please check"</formula>
    </cfRule>
    <cfRule type="cellIs" dxfId="5469" priority="1950" stopIfTrue="1" operator="equal">
      <formula>"Fail"</formula>
    </cfRule>
    <cfRule type="cellIs" dxfId="5468" priority="1951" stopIfTrue="1" operator="equal">
      <formula>"Please fill in all mandatory cells AO60:AR60"</formula>
    </cfRule>
  </conditionalFormatting>
  <conditionalFormatting sqref="AK127:AM127">
    <cfRule type="cellIs" dxfId="5467" priority="1944" stopIfTrue="1" operator="equal">
      <formula>"Pass"</formula>
    </cfRule>
    <cfRule type="cellIs" dxfId="5466" priority="1945" stopIfTrue="1" operator="equal">
      <formula>"Please check"</formula>
    </cfRule>
    <cfRule type="cellIs" dxfId="5465" priority="1946" stopIfTrue="1" operator="equal">
      <formula>"Fail"</formula>
    </cfRule>
    <cfRule type="cellIs" dxfId="5464" priority="1947" stopIfTrue="1" operator="equal">
      <formula>"Please fill in all mandatory cells AO60:AR60"</formula>
    </cfRule>
  </conditionalFormatting>
  <conditionalFormatting sqref="AK131:AM131">
    <cfRule type="cellIs" dxfId="5463" priority="1940" stopIfTrue="1" operator="equal">
      <formula>"Pass"</formula>
    </cfRule>
    <cfRule type="cellIs" dxfId="5462" priority="1941" stopIfTrue="1" operator="equal">
      <formula>"Please check"</formula>
    </cfRule>
    <cfRule type="cellIs" dxfId="5461" priority="1942" stopIfTrue="1" operator="equal">
      <formula>"Fail"</formula>
    </cfRule>
    <cfRule type="cellIs" dxfId="5460" priority="1943" stopIfTrue="1" operator="equal">
      <formula>"Please fill in all mandatory cells AO60:AR60"</formula>
    </cfRule>
  </conditionalFormatting>
  <conditionalFormatting sqref="AK135:AM135">
    <cfRule type="cellIs" dxfId="5459" priority="1936" stopIfTrue="1" operator="equal">
      <formula>"Pass"</formula>
    </cfRule>
    <cfRule type="cellIs" dxfId="5458" priority="1937" stopIfTrue="1" operator="equal">
      <formula>"Please check"</formula>
    </cfRule>
    <cfRule type="cellIs" dxfId="5457" priority="1938" stopIfTrue="1" operator="equal">
      <formula>"Fail"</formula>
    </cfRule>
    <cfRule type="cellIs" dxfId="5456" priority="1939" stopIfTrue="1" operator="equal">
      <formula>"Please fill in all mandatory cells AO60:AR60"</formula>
    </cfRule>
  </conditionalFormatting>
  <conditionalFormatting sqref="AK139:AM139">
    <cfRule type="cellIs" dxfId="5455" priority="1932" stopIfTrue="1" operator="equal">
      <formula>"Pass"</formula>
    </cfRule>
    <cfRule type="cellIs" dxfId="5454" priority="1933" stopIfTrue="1" operator="equal">
      <formula>"Please check"</formula>
    </cfRule>
    <cfRule type="cellIs" dxfId="5453" priority="1934" stopIfTrue="1" operator="equal">
      <formula>"Fail"</formula>
    </cfRule>
    <cfRule type="cellIs" dxfId="5452" priority="1935" stopIfTrue="1" operator="equal">
      <formula>"Please fill in all mandatory cells AO60:AR60"</formula>
    </cfRule>
  </conditionalFormatting>
  <conditionalFormatting sqref="AK143:AM143">
    <cfRule type="cellIs" dxfId="5451" priority="1928" stopIfTrue="1" operator="equal">
      <formula>"Pass"</formula>
    </cfRule>
    <cfRule type="cellIs" dxfId="5450" priority="1929" stopIfTrue="1" operator="equal">
      <formula>"Please check"</formula>
    </cfRule>
    <cfRule type="cellIs" dxfId="5449" priority="1930" stopIfTrue="1" operator="equal">
      <formula>"Fail"</formula>
    </cfRule>
    <cfRule type="cellIs" dxfId="5448" priority="1931" stopIfTrue="1" operator="equal">
      <formula>"Please fill in all mandatory cells AO60:AR60"</formula>
    </cfRule>
  </conditionalFormatting>
  <conditionalFormatting sqref="AN118:AN145">
    <cfRule type="cellIs" dxfId="5447" priority="1924" stopIfTrue="1" operator="equal">
      <formula>"Pass"</formula>
    </cfRule>
    <cfRule type="cellIs" dxfId="5446" priority="1925" stopIfTrue="1" operator="equal">
      <formula>"Please check"</formula>
    </cfRule>
    <cfRule type="cellIs" dxfId="5445" priority="1926" stopIfTrue="1" operator="equal">
      <formula>"Fail"</formula>
    </cfRule>
    <cfRule type="cellIs" dxfId="5444" priority="1927" stopIfTrue="1" operator="equal">
      <formula>"Please fill in all mandatory cells AO60:AR60"</formula>
    </cfRule>
  </conditionalFormatting>
  <conditionalFormatting sqref="AO119:AQ119">
    <cfRule type="cellIs" dxfId="5443" priority="1920" stopIfTrue="1" operator="equal">
      <formula>"Pass"</formula>
    </cfRule>
    <cfRule type="cellIs" dxfId="5442" priority="1921" stopIfTrue="1" operator="equal">
      <formula>"Please check"</formula>
    </cfRule>
    <cfRule type="cellIs" dxfId="5441" priority="1922" stopIfTrue="1" operator="equal">
      <formula>"Fail"</formula>
    </cfRule>
    <cfRule type="cellIs" dxfId="5440" priority="1923" stopIfTrue="1" operator="equal">
      <formula>"Please fill in all mandatory cells AO60:AR60"</formula>
    </cfRule>
  </conditionalFormatting>
  <conditionalFormatting sqref="AO123:AQ123">
    <cfRule type="cellIs" dxfId="5439" priority="1916" stopIfTrue="1" operator="equal">
      <formula>"Pass"</formula>
    </cfRule>
    <cfRule type="cellIs" dxfId="5438" priority="1917" stopIfTrue="1" operator="equal">
      <formula>"Please check"</formula>
    </cfRule>
    <cfRule type="cellIs" dxfId="5437" priority="1918" stopIfTrue="1" operator="equal">
      <formula>"Fail"</formula>
    </cfRule>
    <cfRule type="cellIs" dxfId="5436" priority="1919" stopIfTrue="1" operator="equal">
      <formula>"Please fill in all mandatory cells AO60:AR60"</formula>
    </cfRule>
  </conditionalFormatting>
  <conditionalFormatting sqref="AO127:AQ127">
    <cfRule type="cellIs" dxfId="5435" priority="1912" stopIfTrue="1" operator="equal">
      <formula>"Pass"</formula>
    </cfRule>
    <cfRule type="cellIs" dxfId="5434" priority="1913" stopIfTrue="1" operator="equal">
      <formula>"Please check"</formula>
    </cfRule>
    <cfRule type="cellIs" dxfId="5433" priority="1914" stopIfTrue="1" operator="equal">
      <formula>"Fail"</formula>
    </cfRule>
    <cfRule type="cellIs" dxfId="5432" priority="1915" stopIfTrue="1" operator="equal">
      <formula>"Please fill in all mandatory cells AO60:AR60"</formula>
    </cfRule>
  </conditionalFormatting>
  <conditionalFormatting sqref="AO131:AQ131">
    <cfRule type="cellIs" dxfId="5431" priority="1908" stopIfTrue="1" operator="equal">
      <formula>"Pass"</formula>
    </cfRule>
    <cfRule type="cellIs" dxfId="5430" priority="1909" stopIfTrue="1" operator="equal">
      <formula>"Please check"</formula>
    </cfRule>
    <cfRule type="cellIs" dxfId="5429" priority="1910" stopIfTrue="1" operator="equal">
      <formula>"Fail"</formula>
    </cfRule>
    <cfRule type="cellIs" dxfId="5428" priority="1911" stopIfTrue="1" operator="equal">
      <formula>"Please fill in all mandatory cells AO60:AR60"</formula>
    </cfRule>
  </conditionalFormatting>
  <conditionalFormatting sqref="AO135:AQ135">
    <cfRule type="cellIs" dxfId="5427" priority="1904" stopIfTrue="1" operator="equal">
      <formula>"Pass"</formula>
    </cfRule>
    <cfRule type="cellIs" dxfId="5426" priority="1905" stopIfTrue="1" operator="equal">
      <formula>"Please check"</formula>
    </cfRule>
    <cfRule type="cellIs" dxfId="5425" priority="1906" stopIfTrue="1" operator="equal">
      <formula>"Fail"</formula>
    </cfRule>
    <cfRule type="cellIs" dxfId="5424" priority="1907" stopIfTrue="1" operator="equal">
      <formula>"Please fill in all mandatory cells AO60:AR60"</formula>
    </cfRule>
  </conditionalFormatting>
  <conditionalFormatting sqref="AO139:AQ139">
    <cfRule type="cellIs" dxfId="5423" priority="1900" stopIfTrue="1" operator="equal">
      <formula>"Pass"</formula>
    </cfRule>
    <cfRule type="cellIs" dxfId="5422" priority="1901" stopIfTrue="1" operator="equal">
      <formula>"Please check"</formula>
    </cfRule>
    <cfRule type="cellIs" dxfId="5421" priority="1902" stopIfTrue="1" operator="equal">
      <formula>"Fail"</formula>
    </cfRule>
    <cfRule type="cellIs" dxfId="5420" priority="1903" stopIfTrue="1" operator="equal">
      <formula>"Please fill in all mandatory cells AO60:AR60"</formula>
    </cfRule>
  </conditionalFormatting>
  <conditionalFormatting sqref="AO143:AQ143">
    <cfRule type="cellIs" dxfId="5419" priority="1896" stopIfTrue="1" operator="equal">
      <formula>"Pass"</formula>
    </cfRule>
    <cfRule type="cellIs" dxfId="5418" priority="1897" stopIfTrue="1" operator="equal">
      <formula>"Please check"</formula>
    </cfRule>
    <cfRule type="cellIs" dxfId="5417" priority="1898" stopIfTrue="1" operator="equal">
      <formula>"Fail"</formula>
    </cfRule>
    <cfRule type="cellIs" dxfId="5416" priority="1899" stopIfTrue="1" operator="equal">
      <formula>"Please fill in all mandatory cells AO60:AR60"</formula>
    </cfRule>
  </conditionalFormatting>
  <conditionalFormatting sqref="AR118:AR145">
    <cfRule type="cellIs" dxfId="5415" priority="1892" stopIfTrue="1" operator="equal">
      <formula>"Pass"</formula>
    </cfRule>
    <cfRule type="cellIs" dxfId="5414" priority="1893" stopIfTrue="1" operator="equal">
      <formula>"Please check"</formula>
    </cfRule>
    <cfRule type="cellIs" dxfId="5413" priority="1894" stopIfTrue="1" operator="equal">
      <formula>"Fail"</formula>
    </cfRule>
    <cfRule type="cellIs" dxfId="5412" priority="1895" stopIfTrue="1" operator="equal">
      <formula>"Please fill in all mandatory cells AO60:AR60"</formula>
    </cfRule>
  </conditionalFormatting>
  <conditionalFormatting sqref="AD153:AE153">
    <cfRule type="cellIs" dxfId="5411" priority="1888" stopIfTrue="1" operator="equal">
      <formula>"Pass"</formula>
    </cfRule>
    <cfRule type="cellIs" dxfId="5410" priority="1889" stopIfTrue="1" operator="equal">
      <formula>"Please check"</formula>
    </cfRule>
    <cfRule type="cellIs" dxfId="5409" priority="1890" stopIfTrue="1" operator="equal">
      <formula>"Fail"</formula>
    </cfRule>
    <cfRule type="cellIs" dxfId="5408" priority="1891" stopIfTrue="1" operator="equal">
      <formula>"Please fill in all mandatory cells AO60:AR60"</formula>
    </cfRule>
  </conditionalFormatting>
  <conditionalFormatting sqref="AD155:AE155">
    <cfRule type="cellIs" dxfId="5407" priority="1884" stopIfTrue="1" operator="equal">
      <formula>"Pass"</formula>
    </cfRule>
    <cfRule type="cellIs" dxfId="5406" priority="1885" stopIfTrue="1" operator="equal">
      <formula>"Please check"</formula>
    </cfRule>
    <cfRule type="cellIs" dxfId="5405" priority="1886" stopIfTrue="1" operator="equal">
      <formula>"Fail"</formula>
    </cfRule>
    <cfRule type="cellIs" dxfId="5404" priority="1887" stopIfTrue="1" operator="equal">
      <formula>"Please fill in all mandatory cells AO60:AR60"</formula>
    </cfRule>
  </conditionalFormatting>
  <conditionalFormatting sqref="AD157:AE157">
    <cfRule type="cellIs" dxfId="5403" priority="1880" stopIfTrue="1" operator="equal">
      <formula>"Pass"</formula>
    </cfRule>
    <cfRule type="cellIs" dxfId="5402" priority="1881" stopIfTrue="1" operator="equal">
      <formula>"Please check"</formula>
    </cfRule>
    <cfRule type="cellIs" dxfId="5401" priority="1882" stopIfTrue="1" operator="equal">
      <formula>"Fail"</formula>
    </cfRule>
    <cfRule type="cellIs" dxfId="5400" priority="1883" stopIfTrue="1" operator="equal">
      <formula>"Please fill in all mandatory cells AO60:AR60"</formula>
    </cfRule>
  </conditionalFormatting>
  <conditionalFormatting sqref="AF153:AF158 AF160">
    <cfRule type="cellIs" dxfId="5399" priority="1876" stopIfTrue="1" operator="equal">
      <formula>"Pass"</formula>
    </cfRule>
    <cfRule type="cellIs" dxfId="5398" priority="1877" stopIfTrue="1" operator="equal">
      <formula>"Please check"</formula>
    </cfRule>
    <cfRule type="cellIs" dxfId="5397" priority="1878" stopIfTrue="1" operator="equal">
      <formula>"Fail"</formula>
    </cfRule>
    <cfRule type="cellIs" dxfId="5396" priority="1879" stopIfTrue="1" operator="equal">
      <formula>"Please fill in all mandatory cells AO60:AR60"</formula>
    </cfRule>
  </conditionalFormatting>
  <conditionalFormatting sqref="AJ153:AJ160">
    <cfRule type="cellIs" dxfId="5395" priority="1872" stopIfTrue="1" operator="equal">
      <formula>"Pass"</formula>
    </cfRule>
    <cfRule type="cellIs" dxfId="5394" priority="1873" stopIfTrue="1" operator="equal">
      <formula>"Please check"</formula>
    </cfRule>
    <cfRule type="cellIs" dxfId="5393" priority="1874" stopIfTrue="1" operator="equal">
      <formula>"Fail"</formula>
    </cfRule>
    <cfRule type="cellIs" dxfId="5392" priority="1875" stopIfTrue="1" operator="equal">
      <formula>"Please fill in all mandatory cells AO60:AR60"</formula>
    </cfRule>
  </conditionalFormatting>
  <conditionalFormatting sqref="AN153:AN160">
    <cfRule type="cellIs" dxfId="5391" priority="1868" stopIfTrue="1" operator="equal">
      <formula>"Pass"</formula>
    </cfRule>
    <cfRule type="cellIs" dxfId="5390" priority="1869" stopIfTrue="1" operator="equal">
      <formula>"Please check"</formula>
    </cfRule>
    <cfRule type="cellIs" dxfId="5389" priority="1870" stopIfTrue="1" operator="equal">
      <formula>"Fail"</formula>
    </cfRule>
    <cfRule type="cellIs" dxfId="5388" priority="1871" stopIfTrue="1" operator="equal">
      <formula>"Please fill in all mandatory cells AO60:AR60"</formula>
    </cfRule>
  </conditionalFormatting>
  <conditionalFormatting sqref="AR153:AR160">
    <cfRule type="cellIs" dxfId="5387" priority="1864" stopIfTrue="1" operator="equal">
      <formula>"Pass"</formula>
    </cfRule>
    <cfRule type="cellIs" dxfId="5386" priority="1865" stopIfTrue="1" operator="equal">
      <formula>"Please check"</formula>
    </cfRule>
    <cfRule type="cellIs" dxfId="5385" priority="1866" stopIfTrue="1" operator="equal">
      <formula>"Fail"</formula>
    </cfRule>
    <cfRule type="cellIs" dxfId="5384" priority="1867" stopIfTrue="1" operator="equal">
      <formula>"Please fill in all mandatory cells AO60:AR60"</formula>
    </cfRule>
  </conditionalFormatting>
  <conditionalFormatting sqref="AD208:AE208">
    <cfRule type="cellIs" dxfId="5383" priority="1860" stopIfTrue="1" operator="equal">
      <formula>"Pass"</formula>
    </cfRule>
    <cfRule type="cellIs" dxfId="5382" priority="1861" stopIfTrue="1" operator="equal">
      <formula>"Please check"</formula>
    </cfRule>
    <cfRule type="cellIs" dxfId="5381" priority="1862" stopIfTrue="1" operator="equal">
      <formula>"Fail"</formula>
    </cfRule>
    <cfRule type="cellIs" dxfId="5380" priority="1863" stopIfTrue="1" operator="equal">
      <formula>"Please fill in all mandatory cells AO60:AR60"</formula>
    </cfRule>
  </conditionalFormatting>
  <conditionalFormatting sqref="AD212:AE212">
    <cfRule type="cellIs" dxfId="5379" priority="1856" stopIfTrue="1" operator="equal">
      <formula>"Pass"</formula>
    </cfRule>
    <cfRule type="cellIs" dxfId="5378" priority="1857" stopIfTrue="1" operator="equal">
      <formula>"Please check"</formula>
    </cfRule>
    <cfRule type="cellIs" dxfId="5377" priority="1858" stopIfTrue="1" operator="equal">
      <formula>"Fail"</formula>
    </cfRule>
    <cfRule type="cellIs" dxfId="5376" priority="1859" stopIfTrue="1" operator="equal">
      <formula>"Please fill in all mandatory cells AO60:AR60"</formula>
    </cfRule>
  </conditionalFormatting>
  <conditionalFormatting sqref="AF207:AF214">
    <cfRule type="cellIs" dxfId="5375" priority="1852" stopIfTrue="1" operator="equal">
      <formula>"Pass"</formula>
    </cfRule>
    <cfRule type="cellIs" dxfId="5374" priority="1853" stopIfTrue="1" operator="equal">
      <formula>"Please check"</formula>
    </cfRule>
    <cfRule type="cellIs" dxfId="5373" priority="1854" stopIfTrue="1" operator="equal">
      <formula>"Fail"</formula>
    </cfRule>
    <cfRule type="cellIs" dxfId="5372" priority="1855" stopIfTrue="1" operator="equal">
      <formula>"Please fill in all mandatory cells AO60:AR60"</formula>
    </cfRule>
  </conditionalFormatting>
  <conditionalFormatting sqref="AK215">
    <cfRule type="cellIs" dxfId="5371" priority="1843" stopIfTrue="1" operator="equal">
      <formula>"Pass"</formula>
    </cfRule>
    <cfRule type="cellIs" dxfId="5370" priority="1844" stopIfTrue="1" operator="equal">
      <formula>"please check"</formula>
    </cfRule>
  </conditionalFormatting>
  <conditionalFormatting sqref="AG203:AL214">
    <cfRule type="cellIs" dxfId="5369" priority="1840" stopIfTrue="1" operator="equal">
      <formula>"Pass"</formula>
    </cfRule>
    <cfRule type="cellIs" dxfId="5368" priority="1841" stopIfTrue="1" operator="equal">
      <formula>"please check"</formula>
    </cfRule>
  </conditionalFormatting>
  <conditionalFormatting sqref="AG215:AJ215">
    <cfRule type="cellIs" dxfId="5367" priority="1849" stopIfTrue="1" operator="equal">
      <formula>"Pass"</formula>
    </cfRule>
    <cfRule type="cellIs" dxfId="5366" priority="1850" stopIfTrue="1" operator="equal">
      <formula>"please check"</formula>
    </cfRule>
  </conditionalFormatting>
  <conditionalFormatting sqref="AL215:AN215">
    <cfRule type="cellIs" dxfId="5365" priority="1846" stopIfTrue="1" operator="equal">
      <formula>"Pass"</formula>
    </cfRule>
    <cfRule type="cellIs" dxfId="5364" priority="1847" stopIfTrue="1" operator="equal">
      <formula>"please check"</formula>
    </cfRule>
  </conditionalFormatting>
  <conditionalFormatting sqref="AD142:AE142">
    <cfRule type="cellIs" dxfId="5363" priority="1836" stopIfTrue="1" operator="equal">
      <formula>"Pass"</formula>
    </cfRule>
    <cfRule type="cellIs" dxfId="5362" priority="1837" stopIfTrue="1" operator="equal">
      <formula>"Please check"</formula>
    </cfRule>
    <cfRule type="cellIs" dxfId="5361" priority="1838" stopIfTrue="1" operator="equal">
      <formula>"Fail"</formula>
    </cfRule>
    <cfRule type="cellIs" dxfId="5360" priority="1839" stopIfTrue="1" operator="equal">
      <formula>"Please fill in all mandatory cells AO60:AR60"</formula>
    </cfRule>
  </conditionalFormatting>
  <conditionalFormatting sqref="AF142">
    <cfRule type="cellIs" dxfId="5359" priority="1832" stopIfTrue="1" operator="equal">
      <formula>"Pass"</formula>
    </cfRule>
    <cfRule type="cellIs" dxfId="5358" priority="1833" stopIfTrue="1" operator="equal">
      <formula>"Please check"</formula>
    </cfRule>
    <cfRule type="cellIs" dxfId="5357" priority="1834" stopIfTrue="1" operator="equal">
      <formula>"Fail"</formula>
    </cfRule>
    <cfRule type="cellIs" dxfId="5356" priority="1835" stopIfTrue="1" operator="equal">
      <formula>"Please fill in all mandatory cells AO60:AR60"</formula>
    </cfRule>
  </conditionalFormatting>
  <conditionalFormatting sqref="AD159:AE159">
    <cfRule type="cellIs" dxfId="5355" priority="1828" stopIfTrue="1" operator="equal">
      <formula>"Pass"</formula>
    </cfRule>
    <cfRule type="cellIs" dxfId="5354" priority="1829" stopIfTrue="1" operator="equal">
      <formula>"Please check"</formula>
    </cfRule>
    <cfRule type="cellIs" dxfId="5353" priority="1830" stopIfTrue="1" operator="equal">
      <formula>"Fail"</formula>
    </cfRule>
    <cfRule type="cellIs" dxfId="5352" priority="1831" stopIfTrue="1" operator="equal">
      <formula>"Please fill in all mandatory cells AO60:AR60"</formula>
    </cfRule>
  </conditionalFormatting>
  <conditionalFormatting sqref="AF159">
    <cfRule type="cellIs" dxfId="5351" priority="1824" stopIfTrue="1" operator="equal">
      <formula>"Pass"</formula>
    </cfRule>
    <cfRule type="cellIs" dxfId="5350" priority="1825" stopIfTrue="1" operator="equal">
      <formula>"Please check"</formula>
    </cfRule>
    <cfRule type="cellIs" dxfId="5349" priority="1826" stopIfTrue="1" operator="equal">
      <formula>"Fail"</formula>
    </cfRule>
    <cfRule type="cellIs" dxfId="5348" priority="1827" stopIfTrue="1" operator="equal">
      <formula>"Please fill in all mandatory cells AO60:AR60"</formula>
    </cfRule>
  </conditionalFormatting>
  <conditionalFormatting sqref="AT184:BC215 AX117 BB117">
    <cfRule type="cellIs" dxfId="5347" priority="1821" stopIfTrue="1" operator="equal">
      <formula>"Pass"</formula>
    </cfRule>
    <cfRule type="cellIs" dxfId="5346" priority="1822" stopIfTrue="1" operator="equal">
      <formula>"please check"</formula>
    </cfRule>
  </conditionalFormatting>
  <conditionalFormatting sqref="AT164:AT165 AV164:AV165 AX164:AX165 AZ164:AZ165 BB164:BB165 AT167 AV167 AX167 AZ167 BB167 AT170 AV170 AX170 AZ170 BB170">
    <cfRule type="cellIs" dxfId="5345" priority="1802" stopIfTrue="1" operator="equal">
      <formula>"Pass"</formula>
    </cfRule>
    <cfRule type="cellIs" dxfId="5344" priority="1803" stopIfTrue="1" operator="equal">
      <formula>"please check"</formula>
    </cfRule>
  </conditionalFormatting>
  <conditionalFormatting sqref="AT162:AU162">
    <cfRule type="cellIs" dxfId="5343" priority="1799" stopIfTrue="1" operator="equal">
      <formula>"Pass"</formula>
    </cfRule>
    <cfRule type="cellIs" dxfId="5342" priority="1800" stopIfTrue="1" operator="equal">
      <formula>"please check"</formula>
    </cfRule>
  </conditionalFormatting>
  <conditionalFormatting sqref="AT147:AV147">
    <cfRule type="cellIs" dxfId="5341" priority="1796" stopIfTrue="1" operator="equal">
      <formula>"Pass"</formula>
    </cfRule>
    <cfRule type="cellIs" dxfId="5340" priority="1797" stopIfTrue="1" operator="equal">
      <formula>"please check"</formula>
    </cfRule>
  </conditionalFormatting>
  <conditionalFormatting sqref="AU153:AU161 AU118 AU120:AU122 AU124:AU126 AU128:AU130 AU132:AU134 AU136:AU138 AU140:AU142 AU144:AU145">
    <cfRule type="cellIs" dxfId="5339" priority="1818" stopIfTrue="1" operator="equal">
      <formula>"Pass"</formula>
    </cfRule>
    <cfRule type="cellIs" dxfId="5338" priority="1819" stopIfTrue="1" operator="equal">
      <formula>"Please check"</formula>
    </cfRule>
    <cfRule type="cellIs" dxfId="5337" priority="1820" stopIfTrue="1" operator="equal">
      <formula>"Fail"</formula>
    </cfRule>
  </conditionalFormatting>
  <conditionalFormatting sqref="AT117">
    <cfRule type="cellIs" dxfId="5336" priority="1814" stopIfTrue="1" operator="equal">
      <formula>"Pass"</formula>
    </cfRule>
    <cfRule type="cellIs" dxfId="5335" priority="1815" stopIfTrue="1" operator="equal">
      <formula>"Please check"</formula>
    </cfRule>
    <cfRule type="cellIs" dxfId="5334" priority="1816" stopIfTrue="1" operator="equal">
      <formula>"Fail"</formula>
    </cfRule>
    <cfRule type="cellIs" dxfId="5333" priority="1817" stopIfTrue="1" operator="equal">
      <formula>"Please fill in all mandatory cells AO60:AR60"</formula>
    </cfRule>
  </conditionalFormatting>
  <conditionalFormatting sqref="AT111:BC111">
    <cfRule type="cellIs" dxfId="5332" priority="1811" stopIfTrue="1" operator="equal">
      <formula>"Pass"</formula>
    </cfRule>
    <cfRule type="cellIs" dxfId="5331" priority="1812" stopIfTrue="1" operator="equal">
      <formula>"please check"</formula>
    </cfRule>
  </conditionalFormatting>
  <conditionalFormatting sqref="AT112:BC112 AV113:BC115 AW147:BC147 BC117:BC146 AV148:BC150 AV162:BC162 AY157:AY158 AY160:AY161">
    <cfRule type="cellIs" dxfId="5330" priority="1808" stopIfTrue="1" operator="equal">
      <formula>"Pass"</formula>
    </cfRule>
    <cfRule type="cellIs" dxfId="5329" priority="1809" stopIfTrue="1" operator="equal">
      <formula>"please check"</formula>
    </cfRule>
  </conditionalFormatting>
  <conditionalFormatting sqref="AU164:AU165 AW164:AW165 AY164:AY165 BA164:BA165 AU167 AW167 AY167 BA167 AU170 AW170 AY170 BA170 AT163:BC163 AT166:BC166 AT168:BC169 BC164:BC165 BC167 BC170 AT171:BC174">
    <cfRule type="cellIs" dxfId="5328" priority="1805" stopIfTrue="1" operator="equal">
      <formula>"Pass"</formula>
    </cfRule>
    <cfRule type="cellIs" dxfId="5327" priority="1806" stopIfTrue="1" operator="equal">
      <formula>"please check"</formula>
    </cfRule>
  </conditionalFormatting>
  <conditionalFormatting sqref="AT119:AU119">
    <cfRule type="cellIs" dxfId="5326" priority="1792" stopIfTrue="1" operator="equal">
      <formula>"Pass"</formula>
    </cfRule>
    <cfRule type="cellIs" dxfId="5325" priority="1793" stopIfTrue="1" operator="equal">
      <formula>"Please check"</formula>
    </cfRule>
    <cfRule type="cellIs" dxfId="5324" priority="1794" stopIfTrue="1" operator="equal">
      <formula>"Fail"</formula>
    </cfRule>
    <cfRule type="cellIs" dxfId="5323" priority="1795" stopIfTrue="1" operator="equal">
      <formula>"Please fill in all mandatory cells AO60:AR60"</formula>
    </cfRule>
  </conditionalFormatting>
  <conditionalFormatting sqref="AT123:AU123">
    <cfRule type="cellIs" dxfId="5322" priority="1788" stopIfTrue="1" operator="equal">
      <formula>"Pass"</formula>
    </cfRule>
    <cfRule type="cellIs" dxfId="5321" priority="1789" stopIfTrue="1" operator="equal">
      <formula>"Please check"</formula>
    </cfRule>
    <cfRule type="cellIs" dxfId="5320" priority="1790" stopIfTrue="1" operator="equal">
      <formula>"Fail"</formula>
    </cfRule>
    <cfRule type="cellIs" dxfId="5319" priority="1791" stopIfTrue="1" operator="equal">
      <formula>"Please fill in all mandatory cells AO60:AR60"</formula>
    </cfRule>
  </conditionalFormatting>
  <conditionalFormatting sqref="AT127:AU127">
    <cfRule type="cellIs" dxfId="5318" priority="1784" stopIfTrue="1" operator="equal">
      <formula>"Pass"</formula>
    </cfRule>
    <cfRule type="cellIs" dxfId="5317" priority="1785" stopIfTrue="1" operator="equal">
      <formula>"Please check"</formula>
    </cfRule>
    <cfRule type="cellIs" dxfId="5316" priority="1786" stopIfTrue="1" operator="equal">
      <formula>"Fail"</formula>
    </cfRule>
    <cfRule type="cellIs" dxfId="5315" priority="1787" stopIfTrue="1" operator="equal">
      <formula>"Please fill in all mandatory cells AO60:AR60"</formula>
    </cfRule>
  </conditionalFormatting>
  <conditionalFormatting sqref="AT131:AU131">
    <cfRule type="cellIs" dxfId="5314" priority="1780" stopIfTrue="1" operator="equal">
      <formula>"Pass"</formula>
    </cfRule>
    <cfRule type="cellIs" dxfId="5313" priority="1781" stopIfTrue="1" operator="equal">
      <formula>"Please check"</formula>
    </cfRule>
    <cfRule type="cellIs" dxfId="5312" priority="1782" stopIfTrue="1" operator="equal">
      <formula>"Fail"</formula>
    </cfRule>
    <cfRule type="cellIs" dxfId="5311" priority="1783" stopIfTrue="1" operator="equal">
      <formula>"Please fill in all mandatory cells AO60:AR60"</formula>
    </cfRule>
  </conditionalFormatting>
  <conditionalFormatting sqref="AT135:AU135">
    <cfRule type="cellIs" dxfId="5310" priority="1776" stopIfTrue="1" operator="equal">
      <formula>"Pass"</formula>
    </cfRule>
    <cfRule type="cellIs" dxfId="5309" priority="1777" stopIfTrue="1" operator="equal">
      <formula>"Please check"</formula>
    </cfRule>
    <cfRule type="cellIs" dxfId="5308" priority="1778" stopIfTrue="1" operator="equal">
      <formula>"Fail"</formula>
    </cfRule>
    <cfRule type="cellIs" dxfId="5307" priority="1779" stopIfTrue="1" operator="equal">
      <formula>"Please fill in all mandatory cells AO60:AR60"</formula>
    </cfRule>
  </conditionalFormatting>
  <conditionalFormatting sqref="AT139:AU139">
    <cfRule type="cellIs" dxfId="5306" priority="1772" stopIfTrue="1" operator="equal">
      <formula>"Pass"</formula>
    </cfRule>
    <cfRule type="cellIs" dxfId="5305" priority="1773" stopIfTrue="1" operator="equal">
      <formula>"Please check"</formula>
    </cfRule>
    <cfRule type="cellIs" dxfId="5304" priority="1774" stopIfTrue="1" operator="equal">
      <formula>"Fail"</formula>
    </cfRule>
    <cfRule type="cellIs" dxfId="5303" priority="1775" stopIfTrue="1" operator="equal">
      <formula>"Please fill in all mandatory cells AO60:AR60"</formula>
    </cfRule>
  </conditionalFormatting>
  <conditionalFormatting sqref="AT143:AU143">
    <cfRule type="cellIs" dxfId="5302" priority="1768" stopIfTrue="1" operator="equal">
      <formula>"Pass"</formula>
    </cfRule>
    <cfRule type="cellIs" dxfId="5301" priority="1769" stopIfTrue="1" operator="equal">
      <formula>"Please check"</formula>
    </cfRule>
    <cfRule type="cellIs" dxfId="5300" priority="1770" stopIfTrue="1" operator="equal">
      <formula>"Fail"</formula>
    </cfRule>
    <cfRule type="cellIs" dxfId="5299" priority="1771" stopIfTrue="1" operator="equal">
      <formula>"Please fill in all mandatory cells AO60:AR60"</formula>
    </cfRule>
  </conditionalFormatting>
  <conditionalFormatting sqref="AX119:AX121 BB119:BB121">
    <cfRule type="cellIs" dxfId="5298" priority="1765" stopIfTrue="1" operator="equal">
      <formula>"No"</formula>
    </cfRule>
    <cfRule type="cellIs" dxfId="5297" priority="1766" stopIfTrue="1" operator="equal">
      <formula>"Fail"</formula>
    </cfRule>
    <cfRule type="cellIs" dxfId="5296" priority="1767" stopIfTrue="1" operator="equal">
      <formula>"please check"</formula>
    </cfRule>
  </conditionalFormatting>
  <conditionalFormatting sqref="AX119:AX121 BB119:BB121">
    <cfRule type="cellIs" dxfId="5295" priority="1764" stopIfTrue="1" operator="equal">
      <formula>"Pass"</formula>
    </cfRule>
  </conditionalFormatting>
  <conditionalFormatting sqref="AV117">
    <cfRule type="cellIs" dxfId="5294" priority="1758" stopIfTrue="1" operator="equal">
      <formula>"Pass"</formula>
    </cfRule>
    <cfRule type="cellIs" dxfId="5293" priority="1759" stopIfTrue="1" operator="equal">
      <formula>"please check"</formula>
    </cfRule>
  </conditionalFormatting>
  <conditionalFormatting sqref="AV117">
    <cfRule type="cellIs" dxfId="5292" priority="1761" stopIfTrue="1" operator="equal">
      <formula>"Pass"</formula>
    </cfRule>
    <cfRule type="cellIs" dxfId="5291" priority="1762" stopIfTrue="1" operator="equal">
      <formula>"please check"</formula>
    </cfRule>
  </conditionalFormatting>
  <conditionalFormatting sqref="AV118:AV121">
    <cfRule type="cellIs" dxfId="5290" priority="1699" operator="equal">
      <formula>"""Missing Input"""</formula>
    </cfRule>
    <cfRule type="cellIs" dxfId="5289" priority="1755" stopIfTrue="1" operator="equal">
      <formula>"No"</formula>
    </cfRule>
    <cfRule type="cellIs" dxfId="5288" priority="1756" stopIfTrue="1" operator="equal">
      <formula>"Fail"</formula>
    </cfRule>
    <cfRule type="cellIs" dxfId="5287" priority="1757" stopIfTrue="1" operator="equal">
      <formula>"please check"</formula>
    </cfRule>
  </conditionalFormatting>
  <conditionalFormatting sqref="AV118:AV121 BB118">
    <cfRule type="cellIs" dxfId="5286" priority="1754" stopIfTrue="1" operator="equal">
      <formula>"Pass"</formula>
    </cfRule>
  </conditionalFormatting>
  <conditionalFormatting sqref="AV118:AV121">
    <cfRule type="containsText" dxfId="5285" priority="1751" operator="containsText" text="Please check">
      <formula>NOT(ISERROR(SEARCH("Please check",AV118)))</formula>
    </cfRule>
    <cfRule type="containsText" dxfId="5284" priority="1752" operator="containsText" text="Missing inputs">
      <formula>NOT(ISERROR(SEARCH("Missing inputs",AV118)))</formula>
    </cfRule>
    <cfRule type="containsText" dxfId="5283" priority="1753" operator="containsText" text="OK">
      <formula>NOT(ISERROR(SEARCH("OK",AV118)))</formula>
    </cfRule>
  </conditionalFormatting>
  <conditionalFormatting sqref="AW117">
    <cfRule type="cellIs" dxfId="5282" priority="1745" stopIfTrue="1" operator="equal">
      <formula>"Pass"</formula>
    </cfRule>
    <cfRule type="cellIs" dxfId="5281" priority="1746" stopIfTrue="1" operator="equal">
      <formula>"please check"</formula>
    </cfRule>
  </conditionalFormatting>
  <conditionalFormatting sqref="AW117">
    <cfRule type="cellIs" dxfId="5280" priority="1748" stopIfTrue="1" operator="equal">
      <formula>"Pass"</formula>
    </cfRule>
    <cfRule type="cellIs" dxfId="5279" priority="1749" stopIfTrue="1" operator="equal">
      <formula>"please check"</formula>
    </cfRule>
  </conditionalFormatting>
  <conditionalFormatting sqref="AW120 BB118">
    <cfRule type="cellIs" dxfId="5278" priority="1742" stopIfTrue="1" operator="equal">
      <formula>"No"</formula>
    </cfRule>
    <cfRule type="cellIs" dxfId="5277" priority="1743" stopIfTrue="1" operator="equal">
      <formula>"Fail"</formula>
    </cfRule>
    <cfRule type="cellIs" dxfId="5276" priority="1744" stopIfTrue="1" operator="equal">
      <formula>"please check"</formula>
    </cfRule>
  </conditionalFormatting>
  <conditionalFormatting sqref="AW120">
    <cfRule type="cellIs" dxfId="5275" priority="1741" stopIfTrue="1" operator="equal">
      <formula>"Pass"</formula>
    </cfRule>
  </conditionalFormatting>
  <conditionalFormatting sqref="BB118 AW120">
    <cfRule type="containsText" dxfId="5274" priority="1738" operator="containsText" text="Please check">
      <formula>NOT(ISERROR(SEARCH("Please check",AW118)))</formula>
    </cfRule>
    <cfRule type="containsText" dxfId="5273" priority="1739" operator="containsText" text="Missing inputs">
      <formula>NOT(ISERROR(SEARCH("Missing inputs",AW118)))</formula>
    </cfRule>
    <cfRule type="containsText" dxfId="5272" priority="1740" operator="containsText" text="OK">
      <formula>NOT(ISERROR(SEARCH("OK",AW118)))</formula>
    </cfRule>
  </conditionalFormatting>
  <conditionalFormatting sqref="AW118:AW119">
    <cfRule type="cellIs" dxfId="5271" priority="1735" stopIfTrue="1" operator="equal">
      <formula>"No"</formula>
    </cfRule>
    <cfRule type="cellIs" dxfId="5270" priority="1736" stopIfTrue="1" operator="equal">
      <formula>"Fail"</formula>
    </cfRule>
    <cfRule type="cellIs" dxfId="5269" priority="1737" stopIfTrue="1" operator="equal">
      <formula>"please check"</formula>
    </cfRule>
  </conditionalFormatting>
  <conditionalFormatting sqref="AW118:AW119">
    <cfRule type="cellIs" dxfId="5268" priority="1734" stopIfTrue="1" operator="equal">
      <formula>"Pass"</formula>
    </cfRule>
  </conditionalFormatting>
  <conditionalFormatting sqref="BB117">
    <cfRule type="cellIs" dxfId="5267" priority="1728" stopIfTrue="1" operator="equal">
      <formula>"Pass"</formula>
    </cfRule>
    <cfRule type="cellIs" dxfId="5266" priority="1729" stopIfTrue="1" operator="equal">
      <formula>"please check"</formula>
    </cfRule>
  </conditionalFormatting>
  <conditionalFormatting sqref="BB117">
    <cfRule type="cellIs" dxfId="5265" priority="1731" stopIfTrue="1" operator="equal">
      <formula>"Pass"</formula>
    </cfRule>
    <cfRule type="cellIs" dxfId="5264" priority="1732" stopIfTrue="1" operator="equal">
      <formula>"please check"</formula>
    </cfRule>
  </conditionalFormatting>
  <conditionalFormatting sqref="BB118">
    <cfRule type="cellIs" dxfId="5263" priority="1725" stopIfTrue="1" operator="equal">
      <formula>"No"</formula>
    </cfRule>
    <cfRule type="cellIs" dxfId="5262" priority="1726" stopIfTrue="1" operator="equal">
      <formula>"Fail"</formula>
    </cfRule>
    <cfRule type="cellIs" dxfId="5261" priority="1727" stopIfTrue="1" operator="equal">
      <formula>"please check"</formula>
    </cfRule>
  </conditionalFormatting>
  <conditionalFormatting sqref="BB118">
    <cfRule type="cellIs" dxfId="5260" priority="1724" stopIfTrue="1" operator="equal">
      <formula>"Pass"</formula>
    </cfRule>
  </conditionalFormatting>
  <conditionalFormatting sqref="BB118">
    <cfRule type="containsText" dxfId="5259" priority="1721" operator="containsText" text="Please check">
      <formula>NOT(ISERROR(SEARCH("Please check",BB118)))</formula>
    </cfRule>
    <cfRule type="containsText" dxfId="5258" priority="1722" operator="containsText" text="Missing inputs">
      <formula>NOT(ISERROR(SEARCH("Missing inputs",BB118)))</formula>
    </cfRule>
    <cfRule type="containsText" dxfId="5257" priority="1723" operator="containsText" text="OK">
      <formula>NOT(ISERROR(SEARCH("OK",BB118)))</formula>
    </cfRule>
  </conditionalFormatting>
  <conditionalFormatting sqref="BB119:BB121">
    <cfRule type="cellIs" dxfId="5256" priority="1718" stopIfTrue="1" operator="equal">
      <formula>"No"</formula>
    </cfRule>
    <cfRule type="cellIs" dxfId="5255" priority="1719" stopIfTrue="1" operator="equal">
      <formula>"Fail"</formula>
    </cfRule>
    <cfRule type="cellIs" dxfId="5254" priority="1720" stopIfTrue="1" operator="equal">
      <formula>"please check"</formula>
    </cfRule>
  </conditionalFormatting>
  <conditionalFormatting sqref="BB119:BB121">
    <cfRule type="cellIs" dxfId="5253" priority="1717" stopIfTrue="1" operator="equal">
      <formula>"Pass"</formula>
    </cfRule>
  </conditionalFormatting>
  <conditionalFormatting sqref="BC117">
    <cfRule type="cellIs" dxfId="5252" priority="1711" stopIfTrue="1" operator="equal">
      <formula>"Pass"</formula>
    </cfRule>
    <cfRule type="cellIs" dxfId="5251" priority="1712" stopIfTrue="1" operator="equal">
      <formula>"please check"</formula>
    </cfRule>
  </conditionalFormatting>
  <conditionalFormatting sqref="BC117">
    <cfRule type="cellIs" dxfId="5250" priority="1714" stopIfTrue="1" operator="equal">
      <formula>"Pass"</formula>
    </cfRule>
    <cfRule type="cellIs" dxfId="5249" priority="1715" stopIfTrue="1" operator="equal">
      <formula>"please check"</formula>
    </cfRule>
  </conditionalFormatting>
  <conditionalFormatting sqref="BC118">
    <cfRule type="cellIs" dxfId="5248" priority="1708" stopIfTrue="1" operator="equal">
      <formula>"No"</formula>
    </cfRule>
    <cfRule type="cellIs" dxfId="5247" priority="1709" stopIfTrue="1" operator="equal">
      <formula>"Fail"</formula>
    </cfRule>
    <cfRule type="cellIs" dxfId="5246" priority="1710" stopIfTrue="1" operator="equal">
      <formula>"please check"</formula>
    </cfRule>
  </conditionalFormatting>
  <conditionalFormatting sqref="BC118">
    <cfRule type="cellIs" dxfId="5245" priority="1707" stopIfTrue="1" operator="equal">
      <formula>"Pass"</formula>
    </cfRule>
  </conditionalFormatting>
  <conditionalFormatting sqref="BC118">
    <cfRule type="containsText" dxfId="5244" priority="1704" operator="containsText" text="Please check">
      <formula>NOT(ISERROR(SEARCH("Please check",BC118)))</formula>
    </cfRule>
    <cfRule type="containsText" dxfId="5243" priority="1705" operator="containsText" text="Missing inputs">
      <formula>NOT(ISERROR(SEARCH("Missing inputs",BC118)))</formula>
    </cfRule>
    <cfRule type="containsText" dxfId="5242" priority="1706" operator="containsText" text="OK">
      <formula>NOT(ISERROR(SEARCH("OK",BC118)))</formula>
    </cfRule>
  </conditionalFormatting>
  <conditionalFormatting sqref="BC119:BC121">
    <cfRule type="cellIs" dxfId="5241" priority="1701" stopIfTrue="1" operator="equal">
      <formula>"No"</formula>
    </cfRule>
    <cfRule type="cellIs" dxfId="5240" priority="1702" stopIfTrue="1" operator="equal">
      <formula>"Fail"</formula>
    </cfRule>
    <cfRule type="cellIs" dxfId="5239" priority="1703" stopIfTrue="1" operator="equal">
      <formula>"please check"</formula>
    </cfRule>
  </conditionalFormatting>
  <conditionalFormatting sqref="BC119:BC121">
    <cfRule type="cellIs" dxfId="5238" priority="1700" stopIfTrue="1" operator="equal">
      <formula>"Pass"</formula>
    </cfRule>
  </conditionalFormatting>
  <conditionalFormatting sqref="AV122:AV125">
    <cfRule type="cellIs" dxfId="5237" priority="1691" operator="equal">
      <formula>"""Missing Input"""</formula>
    </cfRule>
    <cfRule type="cellIs" dxfId="5236" priority="1696" stopIfTrue="1" operator="equal">
      <formula>"No"</formula>
    </cfRule>
    <cfRule type="cellIs" dxfId="5235" priority="1697" stopIfTrue="1" operator="equal">
      <formula>"Fail"</formula>
    </cfRule>
    <cfRule type="cellIs" dxfId="5234" priority="1698" stopIfTrue="1" operator="equal">
      <formula>"please check"</formula>
    </cfRule>
  </conditionalFormatting>
  <conditionalFormatting sqref="AV122:AV125">
    <cfRule type="cellIs" dxfId="5233" priority="1695" stopIfTrue="1" operator="equal">
      <formula>"Pass"</formula>
    </cfRule>
  </conditionalFormatting>
  <conditionalFormatting sqref="AV122:AV125">
    <cfRule type="containsText" dxfId="5232" priority="1692" operator="containsText" text="Please check">
      <formula>NOT(ISERROR(SEARCH("Please check",AV122)))</formula>
    </cfRule>
    <cfRule type="containsText" dxfId="5231" priority="1693" operator="containsText" text="Missing inputs">
      <formula>NOT(ISERROR(SEARCH("Missing inputs",AV122)))</formula>
    </cfRule>
    <cfRule type="containsText" dxfId="5230" priority="1694" operator="containsText" text="OK">
      <formula>NOT(ISERROR(SEARCH("OK",AV122)))</formula>
    </cfRule>
  </conditionalFormatting>
  <conditionalFormatting sqref="AV126:AV129">
    <cfRule type="cellIs" dxfId="5229" priority="1683" operator="equal">
      <formula>"""Missing Input"""</formula>
    </cfRule>
    <cfRule type="cellIs" dxfId="5228" priority="1688" stopIfTrue="1" operator="equal">
      <formula>"No"</formula>
    </cfRule>
    <cfRule type="cellIs" dxfId="5227" priority="1689" stopIfTrue="1" operator="equal">
      <formula>"Fail"</formula>
    </cfRule>
    <cfRule type="cellIs" dxfId="5226" priority="1690" stopIfTrue="1" operator="equal">
      <formula>"please check"</formula>
    </cfRule>
  </conditionalFormatting>
  <conditionalFormatting sqref="AV126:AV129">
    <cfRule type="cellIs" dxfId="5225" priority="1687" stopIfTrue="1" operator="equal">
      <formula>"Pass"</formula>
    </cfRule>
  </conditionalFormatting>
  <conditionalFormatting sqref="AV126:AV129">
    <cfRule type="containsText" dxfId="5224" priority="1684" operator="containsText" text="Please check">
      <formula>NOT(ISERROR(SEARCH("Please check",AV126)))</formula>
    </cfRule>
    <cfRule type="containsText" dxfId="5223" priority="1685" operator="containsText" text="Missing inputs">
      <formula>NOT(ISERROR(SEARCH("Missing inputs",AV126)))</formula>
    </cfRule>
    <cfRule type="containsText" dxfId="5222" priority="1686" operator="containsText" text="OK">
      <formula>NOT(ISERROR(SEARCH("OK",AV126)))</formula>
    </cfRule>
  </conditionalFormatting>
  <conditionalFormatting sqref="AV130:AV133">
    <cfRule type="cellIs" dxfId="5221" priority="1675" operator="equal">
      <formula>"""Missing Input"""</formula>
    </cfRule>
    <cfRule type="cellIs" dxfId="5220" priority="1680" stopIfTrue="1" operator="equal">
      <formula>"No"</formula>
    </cfRule>
    <cfRule type="cellIs" dxfId="5219" priority="1681" stopIfTrue="1" operator="equal">
      <formula>"Fail"</formula>
    </cfRule>
    <cfRule type="cellIs" dxfId="5218" priority="1682" stopIfTrue="1" operator="equal">
      <formula>"please check"</formula>
    </cfRule>
  </conditionalFormatting>
  <conditionalFormatting sqref="AV130:AV133">
    <cfRule type="cellIs" dxfId="5217" priority="1679" stopIfTrue="1" operator="equal">
      <formula>"Pass"</formula>
    </cfRule>
  </conditionalFormatting>
  <conditionalFormatting sqref="AV130:AV133">
    <cfRule type="containsText" dxfId="5216" priority="1676" operator="containsText" text="Please check">
      <formula>NOT(ISERROR(SEARCH("Please check",AV130)))</formula>
    </cfRule>
    <cfRule type="containsText" dxfId="5215" priority="1677" operator="containsText" text="Missing inputs">
      <formula>NOT(ISERROR(SEARCH("Missing inputs",AV130)))</formula>
    </cfRule>
    <cfRule type="containsText" dxfId="5214" priority="1678" operator="containsText" text="OK">
      <formula>NOT(ISERROR(SEARCH("OK",AV130)))</formula>
    </cfRule>
  </conditionalFormatting>
  <conditionalFormatting sqref="AV134:AV137">
    <cfRule type="cellIs" dxfId="5213" priority="1667" operator="equal">
      <formula>"""Missing Input"""</formula>
    </cfRule>
    <cfRule type="cellIs" dxfId="5212" priority="1672" stopIfTrue="1" operator="equal">
      <formula>"No"</formula>
    </cfRule>
    <cfRule type="cellIs" dxfId="5211" priority="1673" stopIfTrue="1" operator="equal">
      <formula>"Fail"</formula>
    </cfRule>
    <cfRule type="cellIs" dxfId="5210" priority="1674" stopIfTrue="1" operator="equal">
      <formula>"please check"</formula>
    </cfRule>
  </conditionalFormatting>
  <conditionalFormatting sqref="AV134:AV137">
    <cfRule type="cellIs" dxfId="5209" priority="1671" stopIfTrue="1" operator="equal">
      <formula>"Pass"</formula>
    </cfRule>
  </conditionalFormatting>
  <conditionalFormatting sqref="AV134:AV137">
    <cfRule type="containsText" dxfId="5208" priority="1668" operator="containsText" text="Please check">
      <formula>NOT(ISERROR(SEARCH("Please check",AV134)))</formula>
    </cfRule>
    <cfRule type="containsText" dxfId="5207" priority="1669" operator="containsText" text="Missing inputs">
      <formula>NOT(ISERROR(SEARCH("Missing inputs",AV134)))</formula>
    </cfRule>
    <cfRule type="containsText" dxfId="5206" priority="1670" operator="containsText" text="OK">
      <formula>NOT(ISERROR(SEARCH("OK",AV134)))</formula>
    </cfRule>
  </conditionalFormatting>
  <conditionalFormatting sqref="AV138:AV141">
    <cfRule type="cellIs" dxfId="5205" priority="1659" operator="equal">
      <formula>"""Missing Input"""</formula>
    </cfRule>
    <cfRule type="cellIs" dxfId="5204" priority="1664" stopIfTrue="1" operator="equal">
      <formula>"No"</formula>
    </cfRule>
    <cfRule type="cellIs" dxfId="5203" priority="1665" stopIfTrue="1" operator="equal">
      <formula>"Fail"</formula>
    </cfRule>
    <cfRule type="cellIs" dxfId="5202" priority="1666" stopIfTrue="1" operator="equal">
      <formula>"please check"</formula>
    </cfRule>
  </conditionalFormatting>
  <conditionalFormatting sqref="AV138:AV141">
    <cfRule type="cellIs" dxfId="5201" priority="1663" stopIfTrue="1" operator="equal">
      <formula>"Pass"</formula>
    </cfRule>
  </conditionalFormatting>
  <conditionalFormatting sqref="AV138:AV141">
    <cfRule type="containsText" dxfId="5200" priority="1660" operator="containsText" text="Please check">
      <formula>NOT(ISERROR(SEARCH("Please check",AV138)))</formula>
    </cfRule>
    <cfRule type="containsText" dxfId="5199" priority="1661" operator="containsText" text="Missing inputs">
      <formula>NOT(ISERROR(SEARCH("Missing inputs",AV138)))</formula>
    </cfRule>
    <cfRule type="containsText" dxfId="5198" priority="1662" operator="containsText" text="OK">
      <formula>NOT(ISERROR(SEARCH("OK",AV138)))</formula>
    </cfRule>
  </conditionalFormatting>
  <conditionalFormatting sqref="AV143:AV145">
    <cfRule type="cellIs" dxfId="5197" priority="1651" operator="equal">
      <formula>"""Missing Input"""</formula>
    </cfRule>
    <cfRule type="cellIs" dxfId="5196" priority="1656" stopIfTrue="1" operator="equal">
      <formula>"No"</formula>
    </cfRule>
    <cfRule type="cellIs" dxfId="5195" priority="1657" stopIfTrue="1" operator="equal">
      <formula>"Fail"</formula>
    </cfRule>
    <cfRule type="cellIs" dxfId="5194" priority="1658" stopIfTrue="1" operator="equal">
      <formula>"please check"</formula>
    </cfRule>
  </conditionalFormatting>
  <conditionalFormatting sqref="AV143:AV145">
    <cfRule type="cellIs" dxfId="5193" priority="1655" stopIfTrue="1" operator="equal">
      <formula>"Pass"</formula>
    </cfRule>
  </conditionalFormatting>
  <conditionalFormatting sqref="AV143:AV145">
    <cfRule type="containsText" dxfId="5192" priority="1652" operator="containsText" text="Please check">
      <formula>NOT(ISERROR(SEARCH("Please check",AV143)))</formula>
    </cfRule>
    <cfRule type="containsText" dxfId="5191" priority="1653" operator="containsText" text="Missing inputs">
      <formula>NOT(ISERROR(SEARCH("Missing inputs",AV143)))</formula>
    </cfRule>
    <cfRule type="containsText" dxfId="5190" priority="1654" operator="containsText" text="OK">
      <formula>NOT(ISERROR(SEARCH("OK",AV143)))</formula>
    </cfRule>
  </conditionalFormatting>
  <conditionalFormatting sqref="AV146">
    <cfRule type="cellIs" dxfId="5189" priority="1643" operator="equal">
      <formula>"""Missing Input"""</formula>
    </cfRule>
    <cfRule type="cellIs" dxfId="5188" priority="1648" stopIfTrue="1" operator="equal">
      <formula>"No"</formula>
    </cfRule>
    <cfRule type="cellIs" dxfId="5187" priority="1649" stopIfTrue="1" operator="equal">
      <formula>"Fail"</formula>
    </cfRule>
    <cfRule type="cellIs" dxfId="5186" priority="1650" stopIfTrue="1" operator="equal">
      <formula>"please check"</formula>
    </cfRule>
  </conditionalFormatting>
  <conditionalFormatting sqref="AV146">
    <cfRule type="cellIs" dxfId="5185" priority="1647" stopIfTrue="1" operator="equal">
      <formula>"Pass"</formula>
    </cfRule>
  </conditionalFormatting>
  <conditionalFormatting sqref="AV146">
    <cfRule type="containsText" dxfId="5184" priority="1644" operator="containsText" text="Please check">
      <formula>NOT(ISERROR(SEARCH("Please check",AV146)))</formula>
    </cfRule>
    <cfRule type="containsText" dxfId="5183" priority="1645" operator="containsText" text="Missing inputs">
      <formula>NOT(ISERROR(SEARCH("Missing inputs",AV146)))</formula>
    </cfRule>
    <cfRule type="containsText" dxfId="5182" priority="1646" operator="containsText" text="OK">
      <formula>NOT(ISERROR(SEARCH("OK",AV146)))</formula>
    </cfRule>
  </conditionalFormatting>
  <conditionalFormatting sqref="AW121">
    <cfRule type="cellIs" dxfId="5181" priority="1640" stopIfTrue="1" operator="equal">
      <formula>"No"</formula>
    </cfRule>
    <cfRule type="cellIs" dxfId="5180" priority="1641" stopIfTrue="1" operator="equal">
      <formula>"Fail"</formula>
    </cfRule>
    <cfRule type="cellIs" dxfId="5179" priority="1642" stopIfTrue="1" operator="equal">
      <formula>"please check"</formula>
    </cfRule>
  </conditionalFormatting>
  <conditionalFormatting sqref="AW121">
    <cfRule type="cellIs" dxfId="5178" priority="1639" stopIfTrue="1" operator="equal">
      <formula>"Pass"</formula>
    </cfRule>
  </conditionalFormatting>
  <conditionalFormatting sqref="AW121">
    <cfRule type="containsText" dxfId="5177" priority="1636" operator="containsText" text="Please check">
      <formula>NOT(ISERROR(SEARCH("Please check",AW121)))</formula>
    </cfRule>
    <cfRule type="containsText" dxfId="5176" priority="1637" operator="containsText" text="Missing inputs">
      <formula>NOT(ISERROR(SEARCH("Missing inputs",AW121)))</formula>
    </cfRule>
    <cfRule type="containsText" dxfId="5175" priority="1638" operator="containsText" text="OK">
      <formula>NOT(ISERROR(SEARCH("OK",AW121)))</formula>
    </cfRule>
  </conditionalFormatting>
  <conditionalFormatting sqref="AW122:AW123 AW126:AW127 AW130:AW131 AW134:AW135 AW138:AW139 AW142:AW143 AW146 AX142:BC142">
    <cfRule type="cellIs" dxfId="5174" priority="1633" stopIfTrue="1" operator="equal">
      <formula>"No"</formula>
    </cfRule>
    <cfRule type="cellIs" dxfId="5173" priority="1634" stopIfTrue="1" operator="equal">
      <formula>"Fail"</formula>
    </cfRule>
    <cfRule type="cellIs" dxfId="5172" priority="1635" stopIfTrue="1" operator="equal">
      <formula>"please check"</formula>
    </cfRule>
  </conditionalFormatting>
  <conditionalFormatting sqref="AW122:AW123 AW126:AW127 AW130:AW131 AW134:AW135 AW138:AW139 AW142:AW143 AW146 AX142:BC142">
    <cfRule type="cellIs" dxfId="5171" priority="1632" stopIfTrue="1" operator="equal">
      <formula>"Pass"</formula>
    </cfRule>
  </conditionalFormatting>
  <conditionalFormatting sqref="AW124">
    <cfRule type="cellIs" dxfId="5170" priority="1629" stopIfTrue="1" operator="equal">
      <formula>"No"</formula>
    </cfRule>
    <cfRule type="cellIs" dxfId="5169" priority="1630" stopIfTrue="1" operator="equal">
      <formula>"Fail"</formula>
    </cfRule>
    <cfRule type="cellIs" dxfId="5168" priority="1631" stopIfTrue="1" operator="equal">
      <formula>"please check"</formula>
    </cfRule>
  </conditionalFormatting>
  <conditionalFormatting sqref="AW124">
    <cfRule type="cellIs" dxfId="5167" priority="1628" stopIfTrue="1" operator="equal">
      <formula>"Pass"</formula>
    </cfRule>
  </conditionalFormatting>
  <conditionalFormatting sqref="AW124">
    <cfRule type="containsText" dxfId="5166" priority="1625" operator="containsText" text="Please check">
      <formula>NOT(ISERROR(SEARCH("Please check",AW124)))</formula>
    </cfRule>
    <cfRule type="containsText" dxfId="5165" priority="1626" operator="containsText" text="Missing inputs">
      <formula>NOT(ISERROR(SEARCH("Missing inputs",AW124)))</formula>
    </cfRule>
    <cfRule type="containsText" dxfId="5164" priority="1627" operator="containsText" text="OK">
      <formula>NOT(ISERROR(SEARCH("OK",AW124)))</formula>
    </cfRule>
  </conditionalFormatting>
  <conditionalFormatting sqref="AW125">
    <cfRule type="cellIs" dxfId="5163" priority="1622" stopIfTrue="1" operator="equal">
      <formula>"No"</formula>
    </cfRule>
    <cfRule type="cellIs" dxfId="5162" priority="1623" stopIfTrue="1" operator="equal">
      <formula>"Fail"</formula>
    </cfRule>
    <cfRule type="cellIs" dxfId="5161" priority="1624" stopIfTrue="1" operator="equal">
      <formula>"please check"</formula>
    </cfRule>
  </conditionalFormatting>
  <conditionalFormatting sqref="AW125">
    <cfRule type="cellIs" dxfId="5160" priority="1621" stopIfTrue="1" operator="equal">
      <formula>"Pass"</formula>
    </cfRule>
  </conditionalFormatting>
  <conditionalFormatting sqref="AW125">
    <cfRule type="containsText" dxfId="5159" priority="1618" operator="containsText" text="Please check">
      <formula>NOT(ISERROR(SEARCH("Please check",AW125)))</formula>
    </cfRule>
    <cfRule type="containsText" dxfId="5158" priority="1619" operator="containsText" text="Missing inputs">
      <formula>NOT(ISERROR(SEARCH("Missing inputs",AW125)))</formula>
    </cfRule>
    <cfRule type="containsText" dxfId="5157" priority="1620" operator="containsText" text="OK">
      <formula>NOT(ISERROR(SEARCH("OK",AW125)))</formula>
    </cfRule>
  </conditionalFormatting>
  <conditionalFormatting sqref="AW128">
    <cfRule type="cellIs" dxfId="5156" priority="1615" stopIfTrue="1" operator="equal">
      <formula>"No"</formula>
    </cfRule>
    <cfRule type="cellIs" dxfId="5155" priority="1616" stopIfTrue="1" operator="equal">
      <formula>"Fail"</formula>
    </cfRule>
    <cfRule type="cellIs" dxfId="5154" priority="1617" stopIfTrue="1" operator="equal">
      <formula>"please check"</formula>
    </cfRule>
  </conditionalFormatting>
  <conditionalFormatting sqref="AW128">
    <cfRule type="cellIs" dxfId="5153" priority="1614" stopIfTrue="1" operator="equal">
      <formula>"Pass"</formula>
    </cfRule>
  </conditionalFormatting>
  <conditionalFormatting sqref="AW128">
    <cfRule type="containsText" dxfId="5152" priority="1611" operator="containsText" text="Please check">
      <formula>NOT(ISERROR(SEARCH("Please check",AW128)))</formula>
    </cfRule>
    <cfRule type="containsText" dxfId="5151" priority="1612" operator="containsText" text="Missing inputs">
      <formula>NOT(ISERROR(SEARCH("Missing inputs",AW128)))</formula>
    </cfRule>
    <cfRule type="containsText" dxfId="5150" priority="1613" operator="containsText" text="OK">
      <formula>NOT(ISERROR(SEARCH("OK",AW128)))</formula>
    </cfRule>
  </conditionalFormatting>
  <conditionalFormatting sqref="AW129">
    <cfRule type="cellIs" dxfId="5149" priority="1608" stopIfTrue="1" operator="equal">
      <formula>"No"</formula>
    </cfRule>
    <cfRule type="cellIs" dxfId="5148" priority="1609" stopIfTrue="1" operator="equal">
      <formula>"Fail"</formula>
    </cfRule>
    <cfRule type="cellIs" dxfId="5147" priority="1610" stopIfTrue="1" operator="equal">
      <formula>"please check"</formula>
    </cfRule>
  </conditionalFormatting>
  <conditionalFormatting sqref="AW129">
    <cfRule type="cellIs" dxfId="5146" priority="1607" stopIfTrue="1" operator="equal">
      <formula>"Pass"</formula>
    </cfRule>
  </conditionalFormatting>
  <conditionalFormatting sqref="AW129">
    <cfRule type="containsText" dxfId="5145" priority="1604" operator="containsText" text="Please check">
      <formula>NOT(ISERROR(SEARCH("Please check",AW129)))</formula>
    </cfRule>
    <cfRule type="containsText" dxfId="5144" priority="1605" operator="containsText" text="Missing inputs">
      <formula>NOT(ISERROR(SEARCH("Missing inputs",AW129)))</formula>
    </cfRule>
    <cfRule type="containsText" dxfId="5143" priority="1606" operator="containsText" text="OK">
      <formula>NOT(ISERROR(SEARCH("OK",AW129)))</formula>
    </cfRule>
  </conditionalFormatting>
  <conditionalFormatting sqref="AW132">
    <cfRule type="cellIs" dxfId="5142" priority="1601" stopIfTrue="1" operator="equal">
      <formula>"No"</formula>
    </cfRule>
    <cfRule type="cellIs" dxfId="5141" priority="1602" stopIfTrue="1" operator="equal">
      <formula>"Fail"</formula>
    </cfRule>
    <cfRule type="cellIs" dxfId="5140" priority="1603" stopIfTrue="1" operator="equal">
      <formula>"please check"</formula>
    </cfRule>
  </conditionalFormatting>
  <conditionalFormatting sqref="AW132">
    <cfRule type="cellIs" dxfId="5139" priority="1600" stopIfTrue="1" operator="equal">
      <formula>"Pass"</formula>
    </cfRule>
  </conditionalFormatting>
  <conditionalFormatting sqref="AW132">
    <cfRule type="containsText" dxfId="5138" priority="1597" operator="containsText" text="Please check">
      <formula>NOT(ISERROR(SEARCH("Please check",AW132)))</formula>
    </cfRule>
    <cfRule type="containsText" dxfId="5137" priority="1598" operator="containsText" text="Missing inputs">
      <formula>NOT(ISERROR(SEARCH("Missing inputs",AW132)))</formula>
    </cfRule>
    <cfRule type="containsText" dxfId="5136" priority="1599" operator="containsText" text="OK">
      <formula>NOT(ISERROR(SEARCH("OK",AW132)))</formula>
    </cfRule>
  </conditionalFormatting>
  <conditionalFormatting sqref="AW133">
    <cfRule type="cellIs" dxfId="5135" priority="1594" stopIfTrue="1" operator="equal">
      <formula>"No"</formula>
    </cfRule>
    <cfRule type="cellIs" dxfId="5134" priority="1595" stopIfTrue="1" operator="equal">
      <formula>"Fail"</formula>
    </cfRule>
    <cfRule type="cellIs" dxfId="5133" priority="1596" stopIfTrue="1" operator="equal">
      <formula>"please check"</formula>
    </cfRule>
  </conditionalFormatting>
  <conditionalFormatting sqref="AW133">
    <cfRule type="cellIs" dxfId="5132" priority="1593" stopIfTrue="1" operator="equal">
      <formula>"Pass"</formula>
    </cfRule>
  </conditionalFormatting>
  <conditionalFormatting sqref="AW133">
    <cfRule type="containsText" dxfId="5131" priority="1590" operator="containsText" text="Please check">
      <formula>NOT(ISERROR(SEARCH("Please check",AW133)))</formula>
    </cfRule>
    <cfRule type="containsText" dxfId="5130" priority="1591" operator="containsText" text="Missing inputs">
      <formula>NOT(ISERROR(SEARCH("Missing inputs",AW133)))</formula>
    </cfRule>
    <cfRule type="containsText" dxfId="5129" priority="1592" operator="containsText" text="OK">
      <formula>NOT(ISERROR(SEARCH("OK",AW133)))</formula>
    </cfRule>
  </conditionalFormatting>
  <conditionalFormatting sqref="AW136">
    <cfRule type="cellIs" dxfId="5128" priority="1587" stopIfTrue="1" operator="equal">
      <formula>"No"</formula>
    </cfRule>
    <cfRule type="cellIs" dxfId="5127" priority="1588" stopIfTrue="1" operator="equal">
      <formula>"Fail"</formula>
    </cfRule>
    <cfRule type="cellIs" dxfId="5126" priority="1589" stopIfTrue="1" operator="equal">
      <formula>"please check"</formula>
    </cfRule>
  </conditionalFormatting>
  <conditionalFormatting sqref="AW136">
    <cfRule type="cellIs" dxfId="5125" priority="1586" stopIfTrue="1" operator="equal">
      <formula>"Pass"</formula>
    </cfRule>
  </conditionalFormatting>
  <conditionalFormatting sqref="AW136">
    <cfRule type="containsText" dxfId="5124" priority="1583" operator="containsText" text="Please check">
      <formula>NOT(ISERROR(SEARCH("Please check",AW136)))</formula>
    </cfRule>
    <cfRule type="containsText" dxfId="5123" priority="1584" operator="containsText" text="Missing inputs">
      <formula>NOT(ISERROR(SEARCH("Missing inputs",AW136)))</formula>
    </cfRule>
    <cfRule type="containsText" dxfId="5122" priority="1585" operator="containsText" text="OK">
      <formula>NOT(ISERROR(SEARCH("OK",AW136)))</formula>
    </cfRule>
  </conditionalFormatting>
  <conditionalFormatting sqref="AW137">
    <cfRule type="cellIs" dxfId="5121" priority="1580" stopIfTrue="1" operator="equal">
      <formula>"No"</formula>
    </cfRule>
    <cfRule type="cellIs" dxfId="5120" priority="1581" stopIfTrue="1" operator="equal">
      <formula>"Fail"</formula>
    </cfRule>
    <cfRule type="cellIs" dxfId="5119" priority="1582" stopIfTrue="1" operator="equal">
      <formula>"please check"</formula>
    </cfRule>
  </conditionalFormatting>
  <conditionalFormatting sqref="AW137">
    <cfRule type="cellIs" dxfId="5118" priority="1579" stopIfTrue="1" operator="equal">
      <formula>"Pass"</formula>
    </cfRule>
  </conditionalFormatting>
  <conditionalFormatting sqref="AW137">
    <cfRule type="containsText" dxfId="5117" priority="1576" operator="containsText" text="Please check">
      <formula>NOT(ISERROR(SEARCH("Please check",AW137)))</formula>
    </cfRule>
    <cfRule type="containsText" dxfId="5116" priority="1577" operator="containsText" text="Missing inputs">
      <formula>NOT(ISERROR(SEARCH("Missing inputs",AW137)))</formula>
    </cfRule>
    <cfRule type="containsText" dxfId="5115" priority="1578" operator="containsText" text="OK">
      <formula>NOT(ISERROR(SEARCH("OK",AW137)))</formula>
    </cfRule>
  </conditionalFormatting>
  <conditionalFormatting sqref="AW140">
    <cfRule type="cellIs" dxfId="5114" priority="1573" stopIfTrue="1" operator="equal">
      <formula>"No"</formula>
    </cfRule>
    <cfRule type="cellIs" dxfId="5113" priority="1574" stopIfTrue="1" operator="equal">
      <formula>"Fail"</formula>
    </cfRule>
    <cfRule type="cellIs" dxfId="5112" priority="1575" stopIfTrue="1" operator="equal">
      <formula>"please check"</formula>
    </cfRule>
  </conditionalFormatting>
  <conditionalFormatting sqref="AW140">
    <cfRule type="cellIs" dxfId="5111" priority="1572" stopIfTrue="1" operator="equal">
      <formula>"Pass"</formula>
    </cfRule>
  </conditionalFormatting>
  <conditionalFormatting sqref="AW140">
    <cfRule type="containsText" dxfId="5110" priority="1569" operator="containsText" text="Please check">
      <formula>NOT(ISERROR(SEARCH("Please check",AW140)))</formula>
    </cfRule>
    <cfRule type="containsText" dxfId="5109" priority="1570" operator="containsText" text="Missing inputs">
      <formula>NOT(ISERROR(SEARCH("Missing inputs",AW140)))</formula>
    </cfRule>
    <cfRule type="containsText" dxfId="5108" priority="1571" operator="containsText" text="OK">
      <formula>NOT(ISERROR(SEARCH("OK",AW140)))</formula>
    </cfRule>
  </conditionalFormatting>
  <conditionalFormatting sqref="AW141">
    <cfRule type="cellIs" dxfId="5107" priority="1566" stopIfTrue="1" operator="equal">
      <formula>"No"</formula>
    </cfRule>
    <cfRule type="cellIs" dxfId="5106" priority="1567" stopIfTrue="1" operator="equal">
      <formula>"Fail"</formula>
    </cfRule>
    <cfRule type="cellIs" dxfId="5105" priority="1568" stopIfTrue="1" operator="equal">
      <formula>"please check"</formula>
    </cfRule>
  </conditionalFormatting>
  <conditionalFormatting sqref="AW141">
    <cfRule type="cellIs" dxfId="5104" priority="1565" stopIfTrue="1" operator="equal">
      <formula>"Pass"</formula>
    </cfRule>
  </conditionalFormatting>
  <conditionalFormatting sqref="AW141">
    <cfRule type="containsText" dxfId="5103" priority="1562" operator="containsText" text="Please check">
      <formula>NOT(ISERROR(SEARCH("Please check",AW141)))</formula>
    </cfRule>
    <cfRule type="containsText" dxfId="5102" priority="1563" operator="containsText" text="Missing inputs">
      <formula>NOT(ISERROR(SEARCH("Missing inputs",AW141)))</formula>
    </cfRule>
    <cfRule type="containsText" dxfId="5101" priority="1564" operator="containsText" text="OK">
      <formula>NOT(ISERROR(SEARCH("OK",AW141)))</formula>
    </cfRule>
  </conditionalFormatting>
  <conditionalFormatting sqref="AW144">
    <cfRule type="cellIs" dxfId="5100" priority="1559" stopIfTrue="1" operator="equal">
      <formula>"No"</formula>
    </cfRule>
    <cfRule type="cellIs" dxfId="5099" priority="1560" stopIfTrue="1" operator="equal">
      <formula>"Fail"</formula>
    </cfRule>
    <cfRule type="cellIs" dxfId="5098" priority="1561" stopIfTrue="1" operator="equal">
      <formula>"please check"</formula>
    </cfRule>
  </conditionalFormatting>
  <conditionalFormatting sqref="AW144">
    <cfRule type="cellIs" dxfId="5097" priority="1558" stopIfTrue="1" operator="equal">
      <formula>"Pass"</formula>
    </cfRule>
  </conditionalFormatting>
  <conditionalFormatting sqref="AW144">
    <cfRule type="containsText" dxfId="5096" priority="1555" operator="containsText" text="Please check">
      <formula>NOT(ISERROR(SEARCH("Please check",AW144)))</formula>
    </cfRule>
    <cfRule type="containsText" dxfId="5095" priority="1556" operator="containsText" text="Missing inputs">
      <formula>NOT(ISERROR(SEARCH("Missing inputs",AW144)))</formula>
    </cfRule>
    <cfRule type="containsText" dxfId="5094" priority="1557" operator="containsText" text="OK">
      <formula>NOT(ISERROR(SEARCH("OK",AW144)))</formula>
    </cfRule>
  </conditionalFormatting>
  <conditionalFormatting sqref="AW145">
    <cfRule type="cellIs" dxfId="5093" priority="1552" stopIfTrue="1" operator="equal">
      <formula>"No"</formula>
    </cfRule>
    <cfRule type="cellIs" dxfId="5092" priority="1553" stopIfTrue="1" operator="equal">
      <formula>"Fail"</formula>
    </cfRule>
    <cfRule type="cellIs" dxfId="5091" priority="1554" stopIfTrue="1" operator="equal">
      <formula>"please check"</formula>
    </cfRule>
  </conditionalFormatting>
  <conditionalFormatting sqref="AW145">
    <cfRule type="cellIs" dxfId="5090" priority="1551" stopIfTrue="1" operator="equal">
      <formula>"Pass"</formula>
    </cfRule>
  </conditionalFormatting>
  <conditionalFormatting sqref="AW145">
    <cfRule type="containsText" dxfId="5089" priority="1548" operator="containsText" text="Please check">
      <formula>NOT(ISERROR(SEARCH("Please check",AW145)))</formula>
    </cfRule>
    <cfRule type="containsText" dxfId="5088" priority="1549" operator="containsText" text="Missing inputs">
      <formula>NOT(ISERROR(SEARCH("Missing inputs",AW145)))</formula>
    </cfRule>
    <cfRule type="containsText" dxfId="5087" priority="1550" operator="containsText" text="OK">
      <formula>NOT(ISERROR(SEARCH("OK",AW145)))</formula>
    </cfRule>
  </conditionalFormatting>
  <conditionalFormatting sqref="AX118">
    <cfRule type="cellIs" dxfId="5086" priority="1547" stopIfTrue="1" operator="equal">
      <formula>"Pass"</formula>
    </cfRule>
  </conditionalFormatting>
  <conditionalFormatting sqref="AX118">
    <cfRule type="cellIs" dxfId="5085" priority="1544" stopIfTrue="1" operator="equal">
      <formula>"No"</formula>
    </cfRule>
    <cfRule type="cellIs" dxfId="5084" priority="1545" stopIfTrue="1" operator="equal">
      <formula>"Fail"</formula>
    </cfRule>
    <cfRule type="cellIs" dxfId="5083" priority="1546" stopIfTrue="1" operator="equal">
      <formula>"please check"</formula>
    </cfRule>
  </conditionalFormatting>
  <conditionalFormatting sqref="AX118">
    <cfRule type="containsText" dxfId="5082" priority="1541" operator="containsText" text="Please check">
      <formula>NOT(ISERROR(SEARCH("Please check",AX118)))</formula>
    </cfRule>
    <cfRule type="containsText" dxfId="5081" priority="1542" operator="containsText" text="Missing inputs">
      <formula>NOT(ISERROR(SEARCH("Missing inputs",AX118)))</formula>
    </cfRule>
    <cfRule type="containsText" dxfId="5080" priority="1543" operator="containsText" text="OK">
      <formula>NOT(ISERROR(SEARCH("OK",AX118)))</formula>
    </cfRule>
  </conditionalFormatting>
  <conditionalFormatting sqref="AX122">
    <cfRule type="cellIs" dxfId="5079" priority="1540" stopIfTrue="1" operator="equal">
      <formula>"Pass"</formula>
    </cfRule>
  </conditionalFormatting>
  <conditionalFormatting sqref="AX122">
    <cfRule type="cellIs" dxfId="5078" priority="1537" stopIfTrue="1" operator="equal">
      <formula>"No"</formula>
    </cfRule>
    <cfRule type="cellIs" dxfId="5077" priority="1538" stopIfTrue="1" operator="equal">
      <formula>"Fail"</formula>
    </cfRule>
    <cfRule type="cellIs" dxfId="5076" priority="1539" stopIfTrue="1" operator="equal">
      <formula>"please check"</formula>
    </cfRule>
  </conditionalFormatting>
  <conditionalFormatting sqref="AX122">
    <cfRule type="containsText" dxfId="5075" priority="1534" operator="containsText" text="Please check">
      <formula>NOT(ISERROR(SEARCH("Please check",AX122)))</formula>
    </cfRule>
    <cfRule type="containsText" dxfId="5074" priority="1535" operator="containsText" text="Missing inputs">
      <formula>NOT(ISERROR(SEARCH("Missing inputs",AX122)))</formula>
    </cfRule>
    <cfRule type="containsText" dxfId="5073" priority="1536" operator="containsText" text="OK">
      <formula>NOT(ISERROR(SEARCH("OK",AX122)))</formula>
    </cfRule>
  </conditionalFormatting>
  <conditionalFormatting sqref="AX126">
    <cfRule type="cellIs" dxfId="5072" priority="1533" stopIfTrue="1" operator="equal">
      <formula>"Pass"</formula>
    </cfRule>
  </conditionalFormatting>
  <conditionalFormatting sqref="AX126">
    <cfRule type="cellIs" dxfId="5071" priority="1530" stopIfTrue="1" operator="equal">
      <formula>"No"</formula>
    </cfRule>
    <cfRule type="cellIs" dxfId="5070" priority="1531" stopIfTrue="1" operator="equal">
      <formula>"Fail"</formula>
    </cfRule>
    <cfRule type="cellIs" dxfId="5069" priority="1532" stopIfTrue="1" operator="equal">
      <formula>"please check"</formula>
    </cfRule>
  </conditionalFormatting>
  <conditionalFormatting sqref="AX126">
    <cfRule type="containsText" dxfId="5068" priority="1527" operator="containsText" text="Please check">
      <formula>NOT(ISERROR(SEARCH("Please check",AX126)))</formula>
    </cfRule>
    <cfRule type="containsText" dxfId="5067" priority="1528" operator="containsText" text="Missing inputs">
      <formula>NOT(ISERROR(SEARCH("Missing inputs",AX126)))</formula>
    </cfRule>
    <cfRule type="containsText" dxfId="5066" priority="1529" operator="containsText" text="OK">
      <formula>NOT(ISERROR(SEARCH("OK",AX126)))</formula>
    </cfRule>
  </conditionalFormatting>
  <conditionalFormatting sqref="AX130">
    <cfRule type="cellIs" dxfId="5065" priority="1526" stopIfTrue="1" operator="equal">
      <formula>"Pass"</formula>
    </cfRule>
  </conditionalFormatting>
  <conditionalFormatting sqref="AX130">
    <cfRule type="cellIs" dxfId="5064" priority="1523" stopIfTrue="1" operator="equal">
      <formula>"No"</formula>
    </cfRule>
    <cfRule type="cellIs" dxfId="5063" priority="1524" stopIfTrue="1" operator="equal">
      <formula>"Fail"</formula>
    </cfRule>
    <cfRule type="cellIs" dxfId="5062" priority="1525" stopIfTrue="1" operator="equal">
      <formula>"please check"</formula>
    </cfRule>
  </conditionalFormatting>
  <conditionalFormatting sqref="AX130">
    <cfRule type="containsText" dxfId="5061" priority="1520" operator="containsText" text="Please check">
      <formula>NOT(ISERROR(SEARCH("Please check",AX130)))</formula>
    </cfRule>
    <cfRule type="containsText" dxfId="5060" priority="1521" operator="containsText" text="Missing inputs">
      <formula>NOT(ISERROR(SEARCH("Missing inputs",AX130)))</formula>
    </cfRule>
    <cfRule type="containsText" dxfId="5059" priority="1522" operator="containsText" text="OK">
      <formula>NOT(ISERROR(SEARCH("OK",AX130)))</formula>
    </cfRule>
  </conditionalFormatting>
  <conditionalFormatting sqref="AX134">
    <cfRule type="cellIs" dxfId="5058" priority="1519" stopIfTrue="1" operator="equal">
      <formula>"Pass"</formula>
    </cfRule>
  </conditionalFormatting>
  <conditionalFormatting sqref="AX134">
    <cfRule type="cellIs" dxfId="5057" priority="1516" stopIfTrue="1" operator="equal">
      <formula>"No"</formula>
    </cfRule>
    <cfRule type="cellIs" dxfId="5056" priority="1517" stopIfTrue="1" operator="equal">
      <formula>"Fail"</formula>
    </cfRule>
    <cfRule type="cellIs" dxfId="5055" priority="1518" stopIfTrue="1" operator="equal">
      <formula>"please check"</formula>
    </cfRule>
  </conditionalFormatting>
  <conditionalFormatting sqref="AX134">
    <cfRule type="containsText" dxfId="5054" priority="1513" operator="containsText" text="Please check">
      <formula>NOT(ISERROR(SEARCH("Please check",AX134)))</formula>
    </cfRule>
    <cfRule type="containsText" dxfId="5053" priority="1514" operator="containsText" text="Missing inputs">
      <formula>NOT(ISERROR(SEARCH("Missing inputs",AX134)))</formula>
    </cfRule>
    <cfRule type="containsText" dxfId="5052" priority="1515" operator="containsText" text="OK">
      <formula>NOT(ISERROR(SEARCH("OK",AX134)))</formula>
    </cfRule>
  </conditionalFormatting>
  <conditionalFormatting sqref="AX138">
    <cfRule type="cellIs" dxfId="5051" priority="1512" stopIfTrue="1" operator="equal">
      <formula>"Pass"</formula>
    </cfRule>
  </conditionalFormatting>
  <conditionalFormatting sqref="AX138">
    <cfRule type="cellIs" dxfId="5050" priority="1509" stopIfTrue="1" operator="equal">
      <formula>"No"</formula>
    </cfRule>
    <cfRule type="cellIs" dxfId="5049" priority="1510" stopIfTrue="1" operator="equal">
      <formula>"Fail"</formula>
    </cfRule>
    <cfRule type="cellIs" dxfId="5048" priority="1511" stopIfTrue="1" operator="equal">
      <formula>"please check"</formula>
    </cfRule>
  </conditionalFormatting>
  <conditionalFormatting sqref="AX138">
    <cfRule type="containsText" dxfId="5047" priority="1506" operator="containsText" text="Please check">
      <formula>NOT(ISERROR(SEARCH("Please check",AX138)))</formula>
    </cfRule>
    <cfRule type="containsText" dxfId="5046" priority="1507" operator="containsText" text="Missing inputs">
      <formula>NOT(ISERROR(SEARCH("Missing inputs",AX138)))</formula>
    </cfRule>
    <cfRule type="containsText" dxfId="5045" priority="1508" operator="containsText" text="OK">
      <formula>NOT(ISERROR(SEARCH("OK",AX138)))</formula>
    </cfRule>
  </conditionalFormatting>
  <conditionalFormatting sqref="AX142">
    <cfRule type="cellIs" dxfId="5044" priority="1505" stopIfTrue="1" operator="equal">
      <formula>"Pass"</formula>
    </cfRule>
  </conditionalFormatting>
  <conditionalFormatting sqref="AX142">
    <cfRule type="cellIs" dxfId="5043" priority="1502" stopIfTrue="1" operator="equal">
      <formula>"No"</formula>
    </cfRule>
    <cfRule type="cellIs" dxfId="5042" priority="1503" stopIfTrue="1" operator="equal">
      <formula>"Fail"</formula>
    </cfRule>
    <cfRule type="cellIs" dxfId="5041" priority="1504" stopIfTrue="1" operator="equal">
      <formula>"please check"</formula>
    </cfRule>
  </conditionalFormatting>
  <conditionalFormatting sqref="AX142">
    <cfRule type="containsText" dxfId="5040" priority="1499" operator="containsText" text="Please check">
      <formula>NOT(ISERROR(SEARCH("Please check",AX142)))</formula>
    </cfRule>
    <cfRule type="containsText" dxfId="5039" priority="1500" operator="containsText" text="Missing inputs">
      <formula>NOT(ISERROR(SEARCH("Missing inputs",AX142)))</formula>
    </cfRule>
    <cfRule type="containsText" dxfId="5038" priority="1501" operator="containsText" text="OK">
      <formula>NOT(ISERROR(SEARCH("OK",AX142)))</formula>
    </cfRule>
  </conditionalFormatting>
  <conditionalFormatting sqref="AX123:AX125">
    <cfRule type="cellIs" dxfId="5037" priority="1498" stopIfTrue="1" operator="equal">
      <formula>"Pass"</formula>
    </cfRule>
  </conditionalFormatting>
  <conditionalFormatting sqref="AX123:AX125">
    <cfRule type="cellIs" dxfId="5036" priority="1495" stopIfTrue="1" operator="equal">
      <formula>"No"</formula>
    </cfRule>
    <cfRule type="cellIs" dxfId="5035" priority="1496" stopIfTrue="1" operator="equal">
      <formula>"Fail"</formula>
    </cfRule>
    <cfRule type="cellIs" dxfId="5034" priority="1497" stopIfTrue="1" operator="equal">
      <formula>"please check"</formula>
    </cfRule>
  </conditionalFormatting>
  <conditionalFormatting sqref="AX127:AX129">
    <cfRule type="cellIs" dxfId="5033" priority="1494" stopIfTrue="1" operator="equal">
      <formula>"Pass"</formula>
    </cfRule>
  </conditionalFormatting>
  <conditionalFormatting sqref="AX127:AX129">
    <cfRule type="cellIs" dxfId="5032" priority="1491" stopIfTrue="1" operator="equal">
      <formula>"No"</formula>
    </cfRule>
    <cfRule type="cellIs" dxfId="5031" priority="1492" stopIfTrue="1" operator="equal">
      <formula>"Fail"</formula>
    </cfRule>
    <cfRule type="cellIs" dxfId="5030" priority="1493" stopIfTrue="1" operator="equal">
      <formula>"please check"</formula>
    </cfRule>
  </conditionalFormatting>
  <conditionalFormatting sqref="AX131:AX133">
    <cfRule type="cellIs" dxfId="5029" priority="1490" stopIfTrue="1" operator="equal">
      <formula>"Pass"</formula>
    </cfRule>
  </conditionalFormatting>
  <conditionalFormatting sqref="AX131:AX133">
    <cfRule type="cellIs" dxfId="5028" priority="1487" stopIfTrue="1" operator="equal">
      <formula>"No"</formula>
    </cfRule>
    <cfRule type="cellIs" dxfId="5027" priority="1488" stopIfTrue="1" operator="equal">
      <formula>"Fail"</formula>
    </cfRule>
    <cfRule type="cellIs" dxfId="5026" priority="1489" stopIfTrue="1" operator="equal">
      <formula>"please check"</formula>
    </cfRule>
  </conditionalFormatting>
  <conditionalFormatting sqref="AX135:AX137">
    <cfRule type="cellIs" dxfId="5025" priority="1486" stopIfTrue="1" operator="equal">
      <formula>"Pass"</formula>
    </cfRule>
  </conditionalFormatting>
  <conditionalFormatting sqref="AX135:AX137">
    <cfRule type="cellIs" dxfId="5024" priority="1483" stopIfTrue="1" operator="equal">
      <formula>"No"</formula>
    </cfRule>
    <cfRule type="cellIs" dxfId="5023" priority="1484" stopIfTrue="1" operator="equal">
      <formula>"Fail"</formula>
    </cfRule>
    <cfRule type="cellIs" dxfId="5022" priority="1485" stopIfTrue="1" operator="equal">
      <formula>"please check"</formula>
    </cfRule>
  </conditionalFormatting>
  <conditionalFormatting sqref="AX139:AX141">
    <cfRule type="cellIs" dxfId="5021" priority="1482" stopIfTrue="1" operator="equal">
      <formula>"Pass"</formula>
    </cfRule>
  </conditionalFormatting>
  <conditionalFormatting sqref="AX139:AX141">
    <cfRule type="cellIs" dxfId="5020" priority="1479" stopIfTrue="1" operator="equal">
      <formula>"No"</formula>
    </cfRule>
    <cfRule type="cellIs" dxfId="5019" priority="1480" stopIfTrue="1" operator="equal">
      <formula>"Fail"</formula>
    </cfRule>
    <cfRule type="cellIs" dxfId="5018" priority="1481" stopIfTrue="1" operator="equal">
      <formula>"please check"</formula>
    </cfRule>
  </conditionalFormatting>
  <conditionalFormatting sqref="AX143:AX146">
    <cfRule type="cellIs" dxfId="5017" priority="1478" stopIfTrue="1" operator="equal">
      <formula>"Pass"</formula>
    </cfRule>
  </conditionalFormatting>
  <conditionalFormatting sqref="AX143:AX146">
    <cfRule type="cellIs" dxfId="5016" priority="1475" stopIfTrue="1" operator="equal">
      <formula>"No"</formula>
    </cfRule>
    <cfRule type="cellIs" dxfId="5015" priority="1476" stopIfTrue="1" operator="equal">
      <formula>"Fail"</formula>
    </cfRule>
    <cfRule type="cellIs" dxfId="5014" priority="1477" stopIfTrue="1" operator="equal">
      <formula>"please check"</formula>
    </cfRule>
  </conditionalFormatting>
  <conditionalFormatting sqref="BB122">
    <cfRule type="cellIs" dxfId="5013" priority="1474" stopIfTrue="1" operator="equal">
      <formula>"Pass"</formula>
    </cfRule>
  </conditionalFormatting>
  <conditionalFormatting sqref="BB122">
    <cfRule type="cellIs" dxfId="5012" priority="1471" stopIfTrue="1" operator="equal">
      <formula>"No"</formula>
    </cfRule>
    <cfRule type="cellIs" dxfId="5011" priority="1472" stopIfTrue="1" operator="equal">
      <formula>"Fail"</formula>
    </cfRule>
    <cfRule type="cellIs" dxfId="5010" priority="1473" stopIfTrue="1" operator="equal">
      <formula>"please check"</formula>
    </cfRule>
  </conditionalFormatting>
  <conditionalFormatting sqref="BB122">
    <cfRule type="containsText" dxfId="5009" priority="1468" operator="containsText" text="Please check">
      <formula>NOT(ISERROR(SEARCH("Please check",BB122)))</formula>
    </cfRule>
    <cfRule type="containsText" dxfId="5008" priority="1469" operator="containsText" text="Missing inputs">
      <formula>NOT(ISERROR(SEARCH("Missing inputs",BB122)))</formula>
    </cfRule>
    <cfRule type="containsText" dxfId="5007" priority="1470" operator="containsText" text="OK">
      <formula>NOT(ISERROR(SEARCH("OK",BB122)))</formula>
    </cfRule>
  </conditionalFormatting>
  <conditionalFormatting sqref="BB122">
    <cfRule type="cellIs" dxfId="5006" priority="1465" stopIfTrue="1" operator="equal">
      <formula>"No"</formula>
    </cfRule>
    <cfRule type="cellIs" dxfId="5005" priority="1466" stopIfTrue="1" operator="equal">
      <formula>"Fail"</formula>
    </cfRule>
    <cfRule type="cellIs" dxfId="5004" priority="1467" stopIfTrue="1" operator="equal">
      <formula>"please check"</formula>
    </cfRule>
  </conditionalFormatting>
  <conditionalFormatting sqref="BB122">
    <cfRule type="cellIs" dxfId="5003" priority="1464" stopIfTrue="1" operator="equal">
      <formula>"Pass"</formula>
    </cfRule>
  </conditionalFormatting>
  <conditionalFormatting sqref="BB122">
    <cfRule type="containsText" dxfId="5002" priority="1461" operator="containsText" text="Please check">
      <formula>NOT(ISERROR(SEARCH("Please check",BB122)))</formula>
    </cfRule>
    <cfRule type="containsText" dxfId="5001" priority="1462" operator="containsText" text="Missing inputs">
      <formula>NOT(ISERROR(SEARCH("Missing inputs",BB122)))</formula>
    </cfRule>
    <cfRule type="containsText" dxfId="5000" priority="1463" operator="containsText" text="OK">
      <formula>NOT(ISERROR(SEARCH("OK",BB122)))</formula>
    </cfRule>
  </conditionalFormatting>
  <conditionalFormatting sqref="BB126">
    <cfRule type="cellIs" dxfId="4999" priority="1460" stopIfTrue="1" operator="equal">
      <formula>"Pass"</formula>
    </cfRule>
  </conditionalFormatting>
  <conditionalFormatting sqref="BB126">
    <cfRule type="cellIs" dxfId="4998" priority="1457" stopIfTrue="1" operator="equal">
      <formula>"No"</formula>
    </cfRule>
    <cfRule type="cellIs" dxfId="4997" priority="1458" stopIfTrue="1" operator="equal">
      <formula>"Fail"</formula>
    </cfRule>
    <cfRule type="cellIs" dxfId="4996" priority="1459" stopIfTrue="1" operator="equal">
      <formula>"please check"</formula>
    </cfRule>
  </conditionalFormatting>
  <conditionalFormatting sqref="BB126">
    <cfRule type="containsText" dxfId="4995" priority="1454" operator="containsText" text="Please check">
      <formula>NOT(ISERROR(SEARCH("Please check",BB126)))</formula>
    </cfRule>
    <cfRule type="containsText" dxfId="4994" priority="1455" operator="containsText" text="Missing inputs">
      <formula>NOT(ISERROR(SEARCH("Missing inputs",BB126)))</formula>
    </cfRule>
    <cfRule type="containsText" dxfId="4993" priority="1456" operator="containsText" text="OK">
      <formula>NOT(ISERROR(SEARCH("OK",BB126)))</formula>
    </cfRule>
  </conditionalFormatting>
  <conditionalFormatting sqref="BB126">
    <cfRule type="cellIs" dxfId="4992" priority="1451" stopIfTrue="1" operator="equal">
      <formula>"No"</formula>
    </cfRule>
    <cfRule type="cellIs" dxfId="4991" priority="1452" stopIfTrue="1" operator="equal">
      <formula>"Fail"</formula>
    </cfRule>
    <cfRule type="cellIs" dxfId="4990" priority="1453" stopIfTrue="1" operator="equal">
      <formula>"please check"</formula>
    </cfRule>
  </conditionalFormatting>
  <conditionalFormatting sqref="BB126">
    <cfRule type="cellIs" dxfId="4989" priority="1450" stopIfTrue="1" operator="equal">
      <formula>"Pass"</formula>
    </cfRule>
  </conditionalFormatting>
  <conditionalFormatting sqref="BB126">
    <cfRule type="containsText" dxfId="4988" priority="1447" operator="containsText" text="Please check">
      <formula>NOT(ISERROR(SEARCH("Please check",BB126)))</formula>
    </cfRule>
    <cfRule type="containsText" dxfId="4987" priority="1448" operator="containsText" text="Missing inputs">
      <formula>NOT(ISERROR(SEARCH("Missing inputs",BB126)))</formula>
    </cfRule>
    <cfRule type="containsText" dxfId="4986" priority="1449" operator="containsText" text="OK">
      <formula>NOT(ISERROR(SEARCH("OK",BB126)))</formula>
    </cfRule>
  </conditionalFormatting>
  <conditionalFormatting sqref="BB130">
    <cfRule type="cellIs" dxfId="4985" priority="1446" stopIfTrue="1" operator="equal">
      <formula>"Pass"</formula>
    </cfRule>
  </conditionalFormatting>
  <conditionalFormatting sqref="BB130">
    <cfRule type="cellIs" dxfId="4984" priority="1443" stopIfTrue="1" operator="equal">
      <formula>"No"</formula>
    </cfRule>
    <cfRule type="cellIs" dxfId="4983" priority="1444" stopIfTrue="1" operator="equal">
      <formula>"Fail"</formula>
    </cfRule>
    <cfRule type="cellIs" dxfId="4982" priority="1445" stopIfTrue="1" operator="equal">
      <formula>"please check"</formula>
    </cfRule>
  </conditionalFormatting>
  <conditionalFormatting sqref="BB130">
    <cfRule type="containsText" dxfId="4981" priority="1440" operator="containsText" text="Please check">
      <formula>NOT(ISERROR(SEARCH("Please check",BB130)))</formula>
    </cfRule>
    <cfRule type="containsText" dxfId="4980" priority="1441" operator="containsText" text="Missing inputs">
      <formula>NOT(ISERROR(SEARCH("Missing inputs",BB130)))</formula>
    </cfRule>
    <cfRule type="containsText" dxfId="4979" priority="1442" operator="containsText" text="OK">
      <formula>NOT(ISERROR(SEARCH("OK",BB130)))</formula>
    </cfRule>
  </conditionalFormatting>
  <conditionalFormatting sqref="BB130">
    <cfRule type="cellIs" dxfId="4978" priority="1437" stopIfTrue="1" operator="equal">
      <formula>"No"</formula>
    </cfRule>
    <cfRule type="cellIs" dxfId="4977" priority="1438" stopIfTrue="1" operator="equal">
      <formula>"Fail"</formula>
    </cfRule>
    <cfRule type="cellIs" dxfId="4976" priority="1439" stopIfTrue="1" operator="equal">
      <formula>"please check"</formula>
    </cfRule>
  </conditionalFormatting>
  <conditionalFormatting sqref="BB130">
    <cfRule type="cellIs" dxfId="4975" priority="1436" stopIfTrue="1" operator="equal">
      <formula>"Pass"</formula>
    </cfRule>
  </conditionalFormatting>
  <conditionalFormatting sqref="BB130">
    <cfRule type="containsText" dxfId="4974" priority="1433" operator="containsText" text="Please check">
      <formula>NOT(ISERROR(SEARCH("Please check",BB130)))</formula>
    </cfRule>
    <cfRule type="containsText" dxfId="4973" priority="1434" operator="containsText" text="Missing inputs">
      <formula>NOT(ISERROR(SEARCH("Missing inputs",BB130)))</formula>
    </cfRule>
    <cfRule type="containsText" dxfId="4972" priority="1435" operator="containsText" text="OK">
      <formula>NOT(ISERROR(SEARCH("OK",BB130)))</formula>
    </cfRule>
  </conditionalFormatting>
  <conditionalFormatting sqref="BB134">
    <cfRule type="cellIs" dxfId="4971" priority="1432" stopIfTrue="1" operator="equal">
      <formula>"Pass"</formula>
    </cfRule>
  </conditionalFormatting>
  <conditionalFormatting sqref="BB134">
    <cfRule type="cellIs" dxfId="4970" priority="1429" stopIfTrue="1" operator="equal">
      <formula>"No"</formula>
    </cfRule>
    <cfRule type="cellIs" dxfId="4969" priority="1430" stopIfTrue="1" operator="equal">
      <formula>"Fail"</formula>
    </cfRule>
    <cfRule type="cellIs" dxfId="4968" priority="1431" stopIfTrue="1" operator="equal">
      <formula>"please check"</formula>
    </cfRule>
  </conditionalFormatting>
  <conditionalFormatting sqref="BB134">
    <cfRule type="containsText" dxfId="4967" priority="1426" operator="containsText" text="Please check">
      <formula>NOT(ISERROR(SEARCH("Please check",BB134)))</formula>
    </cfRule>
    <cfRule type="containsText" dxfId="4966" priority="1427" operator="containsText" text="Missing inputs">
      <formula>NOT(ISERROR(SEARCH("Missing inputs",BB134)))</formula>
    </cfRule>
    <cfRule type="containsText" dxfId="4965" priority="1428" operator="containsText" text="OK">
      <formula>NOT(ISERROR(SEARCH("OK",BB134)))</formula>
    </cfRule>
  </conditionalFormatting>
  <conditionalFormatting sqref="BB134">
    <cfRule type="cellIs" dxfId="4964" priority="1423" stopIfTrue="1" operator="equal">
      <formula>"No"</formula>
    </cfRule>
    <cfRule type="cellIs" dxfId="4963" priority="1424" stopIfTrue="1" operator="equal">
      <formula>"Fail"</formula>
    </cfRule>
    <cfRule type="cellIs" dxfId="4962" priority="1425" stopIfTrue="1" operator="equal">
      <formula>"please check"</formula>
    </cfRule>
  </conditionalFormatting>
  <conditionalFormatting sqref="BB134">
    <cfRule type="cellIs" dxfId="4961" priority="1422" stopIfTrue="1" operator="equal">
      <formula>"Pass"</formula>
    </cfRule>
  </conditionalFormatting>
  <conditionalFormatting sqref="BB134">
    <cfRule type="containsText" dxfId="4960" priority="1419" operator="containsText" text="Please check">
      <formula>NOT(ISERROR(SEARCH("Please check",BB134)))</formula>
    </cfRule>
    <cfRule type="containsText" dxfId="4959" priority="1420" operator="containsText" text="Missing inputs">
      <formula>NOT(ISERROR(SEARCH("Missing inputs",BB134)))</formula>
    </cfRule>
    <cfRule type="containsText" dxfId="4958" priority="1421" operator="containsText" text="OK">
      <formula>NOT(ISERROR(SEARCH("OK",BB134)))</formula>
    </cfRule>
  </conditionalFormatting>
  <conditionalFormatting sqref="BB138">
    <cfRule type="cellIs" dxfId="4957" priority="1418" stopIfTrue="1" operator="equal">
      <formula>"Pass"</formula>
    </cfRule>
  </conditionalFormatting>
  <conditionalFormatting sqref="BB138">
    <cfRule type="cellIs" dxfId="4956" priority="1415" stopIfTrue="1" operator="equal">
      <formula>"No"</formula>
    </cfRule>
    <cfRule type="cellIs" dxfId="4955" priority="1416" stopIfTrue="1" operator="equal">
      <formula>"Fail"</formula>
    </cfRule>
    <cfRule type="cellIs" dxfId="4954" priority="1417" stopIfTrue="1" operator="equal">
      <formula>"please check"</formula>
    </cfRule>
  </conditionalFormatting>
  <conditionalFormatting sqref="BB138">
    <cfRule type="containsText" dxfId="4953" priority="1412" operator="containsText" text="Please check">
      <formula>NOT(ISERROR(SEARCH("Please check",BB138)))</formula>
    </cfRule>
    <cfRule type="containsText" dxfId="4952" priority="1413" operator="containsText" text="Missing inputs">
      <formula>NOT(ISERROR(SEARCH("Missing inputs",BB138)))</formula>
    </cfRule>
    <cfRule type="containsText" dxfId="4951" priority="1414" operator="containsText" text="OK">
      <formula>NOT(ISERROR(SEARCH("OK",BB138)))</formula>
    </cfRule>
  </conditionalFormatting>
  <conditionalFormatting sqref="BB138">
    <cfRule type="cellIs" dxfId="4950" priority="1409" stopIfTrue="1" operator="equal">
      <formula>"No"</formula>
    </cfRule>
    <cfRule type="cellIs" dxfId="4949" priority="1410" stopIfTrue="1" operator="equal">
      <formula>"Fail"</formula>
    </cfRule>
    <cfRule type="cellIs" dxfId="4948" priority="1411" stopIfTrue="1" operator="equal">
      <formula>"please check"</formula>
    </cfRule>
  </conditionalFormatting>
  <conditionalFormatting sqref="BB138">
    <cfRule type="cellIs" dxfId="4947" priority="1408" stopIfTrue="1" operator="equal">
      <formula>"Pass"</formula>
    </cfRule>
  </conditionalFormatting>
  <conditionalFormatting sqref="BB138">
    <cfRule type="containsText" dxfId="4946" priority="1405" operator="containsText" text="Please check">
      <formula>NOT(ISERROR(SEARCH("Please check",BB138)))</formula>
    </cfRule>
    <cfRule type="containsText" dxfId="4945" priority="1406" operator="containsText" text="Missing inputs">
      <formula>NOT(ISERROR(SEARCH("Missing inputs",BB138)))</formula>
    </cfRule>
    <cfRule type="containsText" dxfId="4944" priority="1407" operator="containsText" text="OK">
      <formula>NOT(ISERROR(SEARCH("OK",BB138)))</formula>
    </cfRule>
  </conditionalFormatting>
  <conditionalFormatting sqref="BB146">
    <cfRule type="cellIs" dxfId="4943" priority="1404" stopIfTrue="1" operator="equal">
      <formula>"Pass"</formula>
    </cfRule>
  </conditionalFormatting>
  <conditionalFormatting sqref="BB146">
    <cfRule type="cellIs" dxfId="4942" priority="1401" stopIfTrue="1" operator="equal">
      <formula>"No"</formula>
    </cfRule>
    <cfRule type="cellIs" dxfId="4941" priority="1402" stopIfTrue="1" operator="equal">
      <formula>"Fail"</formula>
    </cfRule>
    <cfRule type="cellIs" dxfId="4940" priority="1403" stopIfTrue="1" operator="equal">
      <formula>"please check"</formula>
    </cfRule>
  </conditionalFormatting>
  <conditionalFormatting sqref="BB146">
    <cfRule type="containsText" dxfId="4939" priority="1398" operator="containsText" text="Please check">
      <formula>NOT(ISERROR(SEARCH("Please check",BB146)))</formula>
    </cfRule>
    <cfRule type="containsText" dxfId="4938" priority="1399" operator="containsText" text="Missing inputs">
      <formula>NOT(ISERROR(SEARCH("Missing inputs",BB146)))</formula>
    </cfRule>
    <cfRule type="containsText" dxfId="4937" priority="1400" operator="containsText" text="OK">
      <formula>NOT(ISERROR(SEARCH("OK",BB146)))</formula>
    </cfRule>
  </conditionalFormatting>
  <conditionalFormatting sqref="BB146">
    <cfRule type="cellIs" dxfId="4936" priority="1395" stopIfTrue="1" operator="equal">
      <formula>"No"</formula>
    </cfRule>
    <cfRule type="cellIs" dxfId="4935" priority="1396" stopIfTrue="1" operator="equal">
      <formula>"Fail"</formula>
    </cfRule>
    <cfRule type="cellIs" dxfId="4934" priority="1397" stopIfTrue="1" operator="equal">
      <formula>"please check"</formula>
    </cfRule>
  </conditionalFormatting>
  <conditionalFormatting sqref="BB146">
    <cfRule type="cellIs" dxfId="4933" priority="1394" stopIfTrue="1" operator="equal">
      <formula>"Pass"</formula>
    </cfRule>
  </conditionalFormatting>
  <conditionalFormatting sqref="BB146">
    <cfRule type="containsText" dxfId="4932" priority="1391" operator="containsText" text="Please check">
      <formula>NOT(ISERROR(SEARCH("Please check",BB146)))</formula>
    </cfRule>
    <cfRule type="containsText" dxfId="4931" priority="1392" operator="containsText" text="Missing inputs">
      <formula>NOT(ISERROR(SEARCH("Missing inputs",BB146)))</formula>
    </cfRule>
    <cfRule type="containsText" dxfId="4930" priority="1393" operator="containsText" text="OK">
      <formula>NOT(ISERROR(SEARCH("OK",BB146)))</formula>
    </cfRule>
  </conditionalFormatting>
  <conditionalFormatting sqref="BB142">
    <cfRule type="cellIs" dxfId="4929" priority="1390" stopIfTrue="1" operator="equal">
      <formula>"Pass"</formula>
    </cfRule>
  </conditionalFormatting>
  <conditionalFormatting sqref="BB142">
    <cfRule type="cellIs" dxfId="4928" priority="1387" stopIfTrue="1" operator="equal">
      <formula>"No"</formula>
    </cfRule>
    <cfRule type="cellIs" dxfId="4927" priority="1388" stopIfTrue="1" operator="equal">
      <formula>"Fail"</formula>
    </cfRule>
    <cfRule type="cellIs" dxfId="4926" priority="1389" stopIfTrue="1" operator="equal">
      <formula>"please check"</formula>
    </cfRule>
  </conditionalFormatting>
  <conditionalFormatting sqref="BB142">
    <cfRule type="containsText" dxfId="4925" priority="1384" operator="containsText" text="Please check">
      <formula>NOT(ISERROR(SEARCH("Please check",BB142)))</formula>
    </cfRule>
    <cfRule type="containsText" dxfId="4924" priority="1385" operator="containsText" text="Missing inputs">
      <formula>NOT(ISERROR(SEARCH("Missing inputs",BB142)))</formula>
    </cfRule>
    <cfRule type="containsText" dxfId="4923" priority="1386" operator="containsText" text="OK">
      <formula>NOT(ISERROR(SEARCH("OK",BB142)))</formula>
    </cfRule>
  </conditionalFormatting>
  <conditionalFormatting sqref="BB142">
    <cfRule type="cellIs" dxfId="4922" priority="1381" stopIfTrue="1" operator="equal">
      <formula>"No"</formula>
    </cfRule>
    <cfRule type="cellIs" dxfId="4921" priority="1382" stopIfTrue="1" operator="equal">
      <formula>"Fail"</formula>
    </cfRule>
    <cfRule type="cellIs" dxfId="4920" priority="1383" stopIfTrue="1" operator="equal">
      <formula>"please check"</formula>
    </cfRule>
  </conditionalFormatting>
  <conditionalFormatting sqref="BB142">
    <cfRule type="cellIs" dxfId="4919" priority="1380" stopIfTrue="1" operator="equal">
      <formula>"Pass"</formula>
    </cfRule>
  </conditionalFormatting>
  <conditionalFormatting sqref="BB142">
    <cfRule type="containsText" dxfId="4918" priority="1377" operator="containsText" text="Please check">
      <formula>NOT(ISERROR(SEARCH("Please check",BB142)))</formula>
    </cfRule>
    <cfRule type="containsText" dxfId="4917" priority="1378" operator="containsText" text="Missing inputs">
      <formula>NOT(ISERROR(SEARCH("Missing inputs",BB142)))</formula>
    </cfRule>
    <cfRule type="containsText" dxfId="4916" priority="1379" operator="containsText" text="OK">
      <formula>NOT(ISERROR(SEARCH("OK",BB142)))</formula>
    </cfRule>
  </conditionalFormatting>
  <conditionalFormatting sqref="BB123:BB125">
    <cfRule type="cellIs" dxfId="4915" priority="1376" stopIfTrue="1" operator="equal">
      <formula>"Pass"</formula>
    </cfRule>
  </conditionalFormatting>
  <conditionalFormatting sqref="BB123:BB125">
    <cfRule type="cellIs" dxfId="4914" priority="1373" stopIfTrue="1" operator="equal">
      <formula>"No"</formula>
    </cfRule>
    <cfRule type="cellIs" dxfId="4913" priority="1374" stopIfTrue="1" operator="equal">
      <formula>"Fail"</formula>
    </cfRule>
    <cfRule type="cellIs" dxfId="4912" priority="1375" stopIfTrue="1" operator="equal">
      <formula>"please check"</formula>
    </cfRule>
  </conditionalFormatting>
  <conditionalFormatting sqref="BB123:BB125">
    <cfRule type="cellIs" dxfId="4911" priority="1370" stopIfTrue="1" operator="equal">
      <formula>"No"</formula>
    </cfRule>
    <cfRule type="cellIs" dxfId="4910" priority="1371" stopIfTrue="1" operator="equal">
      <formula>"Fail"</formula>
    </cfRule>
    <cfRule type="cellIs" dxfId="4909" priority="1372" stopIfTrue="1" operator="equal">
      <formula>"please check"</formula>
    </cfRule>
  </conditionalFormatting>
  <conditionalFormatting sqref="BB123:BB125">
    <cfRule type="cellIs" dxfId="4908" priority="1369" stopIfTrue="1" operator="equal">
      <formula>"Pass"</formula>
    </cfRule>
  </conditionalFormatting>
  <conditionalFormatting sqref="BB127:BB129">
    <cfRule type="cellIs" dxfId="4907" priority="1368" stopIfTrue="1" operator="equal">
      <formula>"Pass"</formula>
    </cfRule>
  </conditionalFormatting>
  <conditionalFormatting sqref="BB127:BB129">
    <cfRule type="cellIs" dxfId="4906" priority="1365" stopIfTrue="1" operator="equal">
      <formula>"No"</formula>
    </cfRule>
    <cfRule type="cellIs" dxfId="4905" priority="1366" stopIfTrue="1" operator="equal">
      <formula>"Fail"</formula>
    </cfRule>
    <cfRule type="cellIs" dxfId="4904" priority="1367" stopIfTrue="1" operator="equal">
      <formula>"please check"</formula>
    </cfRule>
  </conditionalFormatting>
  <conditionalFormatting sqref="BB127:BB129">
    <cfRule type="cellIs" dxfId="4903" priority="1362" stopIfTrue="1" operator="equal">
      <formula>"No"</formula>
    </cfRule>
    <cfRule type="cellIs" dxfId="4902" priority="1363" stopIfTrue="1" operator="equal">
      <formula>"Fail"</formula>
    </cfRule>
    <cfRule type="cellIs" dxfId="4901" priority="1364" stopIfTrue="1" operator="equal">
      <formula>"please check"</formula>
    </cfRule>
  </conditionalFormatting>
  <conditionalFormatting sqref="BB127:BB129">
    <cfRule type="cellIs" dxfId="4900" priority="1361" stopIfTrue="1" operator="equal">
      <formula>"Pass"</formula>
    </cfRule>
  </conditionalFormatting>
  <conditionalFormatting sqref="BB131:BB133">
    <cfRule type="cellIs" dxfId="4899" priority="1360" stopIfTrue="1" operator="equal">
      <formula>"Pass"</formula>
    </cfRule>
  </conditionalFormatting>
  <conditionalFormatting sqref="BB131:BB133">
    <cfRule type="cellIs" dxfId="4898" priority="1357" stopIfTrue="1" operator="equal">
      <formula>"No"</formula>
    </cfRule>
    <cfRule type="cellIs" dxfId="4897" priority="1358" stopIfTrue="1" operator="equal">
      <formula>"Fail"</formula>
    </cfRule>
    <cfRule type="cellIs" dxfId="4896" priority="1359" stopIfTrue="1" operator="equal">
      <formula>"please check"</formula>
    </cfRule>
  </conditionalFormatting>
  <conditionalFormatting sqref="BB131:BB133">
    <cfRule type="cellIs" dxfId="4895" priority="1354" stopIfTrue="1" operator="equal">
      <formula>"No"</formula>
    </cfRule>
    <cfRule type="cellIs" dxfId="4894" priority="1355" stopIfTrue="1" operator="equal">
      <formula>"Fail"</formula>
    </cfRule>
    <cfRule type="cellIs" dxfId="4893" priority="1356" stopIfTrue="1" operator="equal">
      <formula>"please check"</formula>
    </cfRule>
  </conditionalFormatting>
  <conditionalFormatting sqref="BB131:BB133">
    <cfRule type="cellIs" dxfId="4892" priority="1353" stopIfTrue="1" operator="equal">
      <formula>"Pass"</formula>
    </cfRule>
  </conditionalFormatting>
  <conditionalFormatting sqref="BB135:BB137">
    <cfRule type="cellIs" dxfId="4891" priority="1352" stopIfTrue="1" operator="equal">
      <formula>"Pass"</formula>
    </cfRule>
  </conditionalFormatting>
  <conditionalFormatting sqref="BB135:BB137">
    <cfRule type="cellIs" dxfId="4890" priority="1349" stopIfTrue="1" operator="equal">
      <formula>"No"</formula>
    </cfRule>
    <cfRule type="cellIs" dxfId="4889" priority="1350" stopIfTrue="1" operator="equal">
      <formula>"Fail"</formula>
    </cfRule>
    <cfRule type="cellIs" dxfId="4888" priority="1351" stopIfTrue="1" operator="equal">
      <formula>"please check"</formula>
    </cfRule>
  </conditionalFormatting>
  <conditionalFormatting sqref="BB135:BB137">
    <cfRule type="cellIs" dxfId="4887" priority="1346" stopIfTrue="1" operator="equal">
      <formula>"No"</formula>
    </cfRule>
    <cfRule type="cellIs" dxfId="4886" priority="1347" stopIfTrue="1" operator="equal">
      <formula>"Fail"</formula>
    </cfRule>
    <cfRule type="cellIs" dxfId="4885" priority="1348" stopIfTrue="1" operator="equal">
      <formula>"please check"</formula>
    </cfRule>
  </conditionalFormatting>
  <conditionalFormatting sqref="BB135:BB137">
    <cfRule type="cellIs" dxfId="4884" priority="1345" stopIfTrue="1" operator="equal">
      <formula>"Pass"</formula>
    </cfRule>
  </conditionalFormatting>
  <conditionalFormatting sqref="BB139:BB141">
    <cfRule type="cellIs" dxfId="4883" priority="1344" stopIfTrue="1" operator="equal">
      <formula>"Pass"</formula>
    </cfRule>
  </conditionalFormatting>
  <conditionalFormatting sqref="BB139:BB141">
    <cfRule type="cellIs" dxfId="4882" priority="1341" stopIfTrue="1" operator="equal">
      <formula>"No"</formula>
    </cfRule>
    <cfRule type="cellIs" dxfId="4881" priority="1342" stopIfTrue="1" operator="equal">
      <formula>"Fail"</formula>
    </cfRule>
    <cfRule type="cellIs" dxfId="4880" priority="1343" stopIfTrue="1" operator="equal">
      <formula>"please check"</formula>
    </cfRule>
  </conditionalFormatting>
  <conditionalFormatting sqref="BB139:BB141">
    <cfRule type="cellIs" dxfId="4879" priority="1338" stopIfTrue="1" operator="equal">
      <formula>"No"</formula>
    </cfRule>
    <cfRule type="cellIs" dxfId="4878" priority="1339" stopIfTrue="1" operator="equal">
      <formula>"Fail"</formula>
    </cfRule>
    <cfRule type="cellIs" dxfId="4877" priority="1340" stopIfTrue="1" operator="equal">
      <formula>"please check"</formula>
    </cfRule>
  </conditionalFormatting>
  <conditionalFormatting sqref="BB139:BB141">
    <cfRule type="cellIs" dxfId="4876" priority="1337" stopIfTrue="1" operator="equal">
      <formula>"Pass"</formula>
    </cfRule>
  </conditionalFormatting>
  <conditionalFormatting sqref="BB143:BB145">
    <cfRule type="cellIs" dxfId="4875" priority="1336" stopIfTrue="1" operator="equal">
      <formula>"Pass"</formula>
    </cfRule>
  </conditionalFormatting>
  <conditionalFormatting sqref="BB143:BB145">
    <cfRule type="cellIs" dxfId="4874" priority="1333" stopIfTrue="1" operator="equal">
      <formula>"No"</formula>
    </cfRule>
    <cfRule type="cellIs" dxfId="4873" priority="1334" stopIfTrue="1" operator="equal">
      <formula>"Fail"</formula>
    </cfRule>
    <cfRule type="cellIs" dxfId="4872" priority="1335" stopIfTrue="1" operator="equal">
      <formula>"please check"</formula>
    </cfRule>
  </conditionalFormatting>
  <conditionalFormatting sqref="BB143:BB145">
    <cfRule type="cellIs" dxfId="4871" priority="1330" stopIfTrue="1" operator="equal">
      <formula>"No"</formula>
    </cfRule>
    <cfRule type="cellIs" dxfId="4870" priority="1331" stopIfTrue="1" operator="equal">
      <formula>"Fail"</formula>
    </cfRule>
    <cfRule type="cellIs" dxfId="4869" priority="1332" stopIfTrue="1" operator="equal">
      <formula>"please check"</formula>
    </cfRule>
  </conditionalFormatting>
  <conditionalFormatting sqref="BB143:BB145">
    <cfRule type="cellIs" dxfId="4868" priority="1329" stopIfTrue="1" operator="equal">
      <formula>"Pass"</formula>
    </cfRule>
  </conditionalFormatting>
  <conditionalFormatting sqref="BC122">
    <cfRule type="cellIs" dxfId="4867" priority="1326" stopIfTrue="1" operator="equal">
      <formula>"No"</formula>
    </cfRule>
    <cfRule type="cellIs" dxfId="4866" priority="1327" stopIfTrue="1" operator="equal">
      <formula>"Fail"</formula>
    </cfRule>
    <cfRule type="cellIs" dxfId="4865" priority="1328" stopIfTrue="1" operator="equal">
      <formula>"please check"</formula>
    </cfRule>
  </conditionalFormatting>
  <conditionalFormatting sqref="BC122">
    <cfRule type="cellIs" dxfId="4864" priority="1325" stopIfTrue="1" operator="equal">
      <formula>"Pass"</formula>
    </cfRule>
  </conditionalFormatting>
  <conditionalFormatting sqref="BC122">
    <cfRule type="containsText" dxfId="4863" priority="1322" operator="containsText" text="Please check">
      <formula>NOT(ISERROR(SEARCH("Please check",BC122)))</formula>
    </cfRule>
    <cfRule type="containsText" dxfId="4862" priority="1323" operator="containsText" text="Missing inputs">
      <formula>NOT(ISERROR(SEARCH("Missing inputs",BC122)))</formula>
    </cfRule>
    <cfRule type="containsText" dxfId="4861" priority="1324" operator="containsText" text="OK">
      <formula>NOT(ISERROR(SEARCH("OK",BC122)))</formula>
    </cfRule>
  </conditionalFormatting>
  <conditionalFormatting sqref="BC126">
    <cfRule type="cellIs" dxfId="4860" priority="1319" stopIfTrue="1" operator="equal">
      <formula>"No"</formula>
    </cfRule>
    <cfRule type="cellIs" dxfId="4859" priority="1320" stopIfTrue="1" operator="equal">
      <formula>"Fail"</formula>
    </cfRule>
    <cfRule type="cellIs" dxfId="4858" priority="1321" stopIfTrue="1" operator="equal">
      <formula>"please check"</formula>
    </cfRule>
  </conditionalFormatting>
  <conditionalFormatting sqref="BC126">
    <cfRule type="cellIs" dxfId="4857" priority="1318" stopIfTrue="1" operator="equal">
      <formula>"Pass"</formula>
    </cfRule>
  </conditionalFormatting>
  <conditionalFormatting sqref="BC126">
    <cfRule type="containsText" dxfId="4856" priority="1315" operator="containsText" text="Please check">
      <formula>NOT(ISERROR(SEARCH("Please check",BC126)))</formula>
    </cfRule>
    <cfRule type="containsText" dxfId="4855" priority="1316" operator="containsText" text="Missing inputs">
      <formula>NOT(ISERROR(SEARCH("Missing inputs",BC126)))</formula>
    </cfRule>
    <cfRule type="containsText" dxfId="4854" priority="1317" operator="containsText" text="OK">
      <formula>NOT(ISERROR(SEARCH("OK",BC126)))</formula>
    </cfRule>
  </conditionalFormatting>
  <conditionalFormatting sqref="BC130">
    <cfRule type="cellIs" dxfId="4853" priority="1312" stopIfTrue="1" operator="equal">
      <formula>"No"</formula>
    </cfRule>
    <cfRule type="cellIs" dxfId="4852" priority="1313" stopIfTrue="1" operator="equal">
      <formula>"Fail"</formula>
    </cfRule>
    <cfRule type="cellIs" dxfId="4851" priority="1314" stopIfTrue="1" operator="equal">
      <formula>"please check"</formula>
    </cfRule>
  </conditionalFormatting>
  <conditionalFormatting sqref="BC130">
    <cfRule type="cellIs" dxfId="4850" priority="1311" stopIfTrue="1" operator="equal">
      <formula>"Pass"</formula>
    </cfRule>
  </conditionalFormatting>
  <conditionalFormatting sqref="BC130">
    <cfRule type="containsText" dxfId="4849" priority="1308" operator="containsText" text="Please check">
      <formula>NOT(ISERROR(SEARCH("Please check",BC130)))</formula>
    </cfRule>
    <cfRule type="containsText" dxfId="4848" priority="1309" operator="containsText" text="Missing inputs">
      <formula>NOT(ISERROR(SEARCH("Missing inputs",BC130)))</formula>
    </cfRule>
    <cfRule type="containsText" dxfId="4847" priority="1310" operator="containsText" text="OK">
      <formula>NOT(ISERROR(SEARCH("OK",BC130)))</formula>
    </cfRule>
  </conditionalFormatting>
  <conditionalFormatting sqref="BC134">
    <cfRule type="cellIs" dxfId="4846" priority="1305" stopIfTrue="1" operator="equal">
      <formula>"No"</formula>
    </cfRule>
    <cfRule type="cellIs" dxfId="4845" priority="1306" stopIfTrue="1" operator="equal">
      <formula>"Fail"</formula>
    </cfRule>
    <cfRule type="cellIs" dxfId="4844" priority="1307" stopIfTrue="1" operator="equal">
      <formula>"please check"</formula>
    </cfRule>
  </conditionalFormatting>
  <conditionalFormatting sqref="BC134">
    <cfRule type="cellIs" dxfId="4843" priority="1304" stopIfTrue="1" operator="equal">
      <formula>"Pass"</formula>
    </cfRule>
  </conditionalFormatting>
  <conditionalFormatting sqref="BC134">
    <cfRule type="containsText" dxfId="4842" priority="1301" operator="containsText" text="Please check">
      <formula>NOT(ISERROR(SEARCH("Please check",BC134)))</formula>
    </cfRule>
    <cfRule type="containsText" dxfId="4841" priority="1302" operator="containsText" text="Missing inputs">
      <formula>NOT(ISERROR(SEARCH("Missing inputs",BC134)))</formula>
    </cfRule>
    <cfRule type="containsText" dxfId="4840" priority="1303" operator="containsText" text="OK">
      <formula>NOT(ISERROR(SEARCH("OK",BC134)))</formula>
    </cfRule>
  </conditionalFormatting>
  <conditionalFormatting sqref="BC138">
    <cfRule type="cellIs" dxfId="4839" priority="1298" stopIfTrue="1" operator="equal">
      <formula>"No"</formula>
    </cfRule>
    <cfRule type="cellIs" dxfId="4838" priority="1299" stopIfTrue="1" operator="equal">
      <formula>"Fail"</formula>
    </cfRule>
    <cfRule type="cellIs" dxfId="4837" priority="1300" stopIfTrue="1" operator="equal">
      <formula>"please check"</formula>
    </cfRule>
  </conditionalFormatting>
  <conditionalFormatting sqref="BC138">
    <cfRule type="cellIs" dxfId="4836" priority="1297" stopIfTrue="1" operator="equal">
      <formula>"Pass"</formula>
    </cfRule>
  </conditionalFormatting>
  <conditionalFormatting sqref="BC138">
    <cfRule type="containsText" dxfId="4835" priority="1294" operator="containsText" text="Please check">
      <formula>NOT(ISERROR(SEARCH("Please check",BC138)))</formula>
    </cfRule>
    <cfRule type="containsText" dxfId="4834" priority="1295" operator="containsText" text="Missing inputs">
      <formula>NOT(ISERROR(SEARCH("Missing inputs",BC138)))</formula>
    </cfRule>
    <cfRule type="containsText" dxfId="4833" priority="1296" operator="containsText" text="OK">
      <formula>NOT(ISERROR(SEARCH("OK",BC138)))</formula>
    </cfRule>
  </conditionalFormatting>
  <conditionalFormatting sqref="BC146">
    <cfRule type="cellIs" dxfId="4832" priority="1291" stopIfTrue="1" operator="equal">
      <formula>"No"</formula>
    </cfRule>
    <cfRule type="cellIs" dxfId="4831" priority="1292" stopIfTrue="1" operator="equal">
      <formula>"Fail"</formula>
    </cfRule>
    <cfRule type="cellIs" dxfId="4830" priority="1293" stopIfTrue="1" operator="equal">
      <formula>"please check"</formula>
    </cfRule>
  </conditionalFormatting>
  <conditionalFormatting sqref="BC146">
    <cfRule type="cellIs" dxfId="4829" priority="1290" stopIfTrue="1" operator="equal">
      <formula>"Pass"</formula>
    </cfRule>
  </conditionalFormatting>
  <conditionalFormatting sqref="BC146">
    <cfRule type="containsText" dxfId="4828" priority="1287" operator="containsText" text="Please check">
      <formula>NOT(ISERROR(SEARCH("Please check",BC146)))</formula>
    </cfRule>
    <cfRule type="containsText" dxfId="4827" priority="1288" operator="containsText" text="Missing inputs">
      <formula>NOT(ISERROR(SEARCH("Missing inputs",BC146)))</formula>
    </cfRule>
    <cfRule type="containsText" dxfId="4826" priority="1289" operator="containsText" text="OK">
      <formula>NOT(ISERROR(SEARCH("OK",BC146)))</formula>
    </cfRule>
  </conditionalFormatting>
  <conditionalFormatting sqref="BC142">
    <cfRule type="cellIs" dxfId="4825" priority="1284" stopIfTrue="1" operator="equal">
      <formula>"No"</formula>
    </cfRule>
    <cfRule type="cellIs" dxfId="4824" priority="1285" stopIfTrue="1" operator="equal">
      <formula>"Fail"</formula>
    </cfRule>
    <cfRule type="cellIs" dxfId="4823" priority="1286" stopIfTrue="1" operator="equal">
      <formula>"please check"</formula>
    </cfRule>
  </conditionalFormatting>
  <conditionalFormatting sqref="BC142">
    <cfRule type="cellIs" dxfId="4822" priority="1283" stopIfTrue="1" operator="equal">
      <formula>"Pass"</formula>
    </cfRule>
  </conditionalFormatting>
  <conditionalFormatting sqref="BC142">
    <cfRule type="containsText" dxfId="4821" priority="1280" operator="containsText" text="Please check">
      <formula>NOT(ISERROR(SEARCH("Please check",BC142)))</formula>
    </cfRule>
    <cfRule type="containsText" dxfId="4820" priority="1281" operator="containsText" text="Missing inputs">
      <formula>NOT(ISERROR(SEARCH("Missing inputs",BC142)))</formula>
    </cfRule>
    <cfRule type="containsText" dxfId="4819" priority="1282" operator="containsText" text="OK">
      <formula>NOT(ISERROR(SEARCH("OK",BC142)))</formula>
    </cfRule>
  </conditionalFormatting>
  <conditionalFormatting sqref="BC123:BC125">
    <cfRule type="cellIs" dxfId="4818" priority="1277" stopIfTrue="1" operator="equal">
      <formula>"No"</formula>
    </cfRule>
    <cfRule type="cellIs" dxfId="4817" priority="1278" stopIfTrue="1" operator="equal">
      <formula>"Fail"</formula>
    </cfRule>
    <cfRule type="cellIs" dxfId="4816" priority="1279" stopIfTrue="1" operator="equal">
      <formula>"please check"</formula>
    </cfRule>
  </conditionalFormatting>
  <conditionalFormatting sqref="BC123:BC125">
    <cfRule type="cellIs" dxfId="4815" priority="1276" stopIfTrue="1" operator="equal">
      <formula>"Pass"</formula>
    </cfRule>
  </conditionalFormatting>
  <conditionalFormatting sqref="BC127:BC129">
    <cfRule type="cellIs" dxfId="4814" priority="1273" stopIfTrue="1" operator="equal">
      <formula>"No"</formula>
    </cfRule>
    <cfRule type="cellIs" dxfId="4813" priority="1274" stopIfTrue="1" operator="equal">
      <formula>"Fail"</formula>
    </cfRule>
    <cfRule type="cellIs" dxfId="4812" priority="1275" stopIfTrue="1" operator="equal">
      <formula>"please check"</formula>
    </cfRule>
  </conditionalFormatting>
  <conditionalFormatting sqref="BC127:BC129">
    <cfRule type="cellIs" dxfId="4811" priority="1272" stopIfTrue="1" operator="equal">
      <formula>"Pass"</formula>
    </cfRule>
  </conditionalFormatting>
  <conditionalFormatting sqref="BC131:BC133">
    <cfRule type="cellIs" dxfId="4810" priority="1269" stopIfTrue="1" operator="equal">
      <formula>"No"</formula>
    </cfRule>
    <cfRule type="cellIs" dxfId="4809" priority="1270" stopIfTrue="1" operator="equal">
      <formula>"Fail"</formula>
    </cfRule>
    <cfRule type="cellIs" dxfId="4808" priority="1271" stopIfTrue="1" operator="equal">
      <formula>"please check"</formula>
    </cfRule>
  </conditionalFormatting>
  <conditionalFormatting sqref="BC131:BC133">
    <cfRule type="cellIs" dxfId="4807" priority="1268" stopIfTrue="1" operator="equal">
      <formula>"Pass"</formula>
    </cfRule>
  </conditionalFormatting>
  <conditionalFormatting sqref="BC135:BC137">
    <cfRule type="cellIs" dxfId="4806" priority="1265" stopIfTrue="1" operator="equal">
      <formula>"No"</formula>
    </cfRule>
    <cfRule type="cellIs" dxfId="4805" priority="1266" stopIfTrue="1" operator="equal">
      <formula>"Fail"</formula>
    </cfRule>
    <cfRule type="cellIs" dxfId="4804" priority="1267" stopIfTrue="1" operator="equal">
      <formula>"please check"</formula>
    </cfRule>
  </conditionalFormatting>
  <conditionalFormatting sqref="BC135:BC137">
    <cfRule type="cellIs" dxfId="4803" priority="1264" stopIfTrue="1" operator="equal">
      <formula>"Pass"</formula>
    </cfRule>
  </conditionalFormatting>
  <conditionalFormatting sqref="BC139:BC141">
    <cfRule type="cellIs" dxfId="4802" priority="1261" stopIfTrue="1" operator="equal">
      <formula>"No"</formula>
    </cfRule>
    <cfRule type="cellIs" dxfId="4801" priority="1262" stopIfTrue="1" operator="equal">
      <formula>"Fail"</formula>
    </cfRule>
    <cfRule type="cellIs" dxfId="4800" priority="1263" stopIfTrue="1" operator="equal">
      <formula>"please check"</formula>
    </cfRule>
  </conditionalFormatting>
  <conditionalFormatting sqref="BC139:BC141">
    <cfRule type="cellIs" dxfId="4799" priority="1260" stopIfTrue="1" operator="equal">
      <formula>"Pass"</formula>
    </cfRule>
  </conditionalFormatting>
  <conditionalFormatting sqref="BC143:BC145">
    <cfRule type="cellIs" dxfId="4798" priority="1257" stopIfTrue="1" operator="equal">
      <formula>"No"</formula>
    </cfRule>
    <cfRule type="cellIs" dxfId="4797" priority="1258" stopIfTrue="1" operator="equal">
      <formula>"Fail"</formula>
    </cfRule>
    <cfRule type="cellIs" dxfId="4796" priority="1259" stopIfTrue="1" operator="equal">
      <formula>"please check"</formula>
    </cfRule>
  </conditionalFormatting>
  <conditionalFormatting sqref="BC143:BC145">
    <cfRule type="cellIs" dxfId="4795" priority="1256" stopIfTrue="1" operator="equal">
      <formula>"Pass"</formula>
    </cfRule>
  </conditionalFormatting>
  <conditionalFormatting sqref="BA117">
    <cfRule type="cellIs" dxfId="4794" priority="1253" stopIfTrue="1" operator="equal">
      <formula>"Pass"</formula>
    </cfRule>
    <cfRule type="cellIs" dxfId="4793" priority="1254" stopIfTrue="1" operator="equal">
      <formula>"please check"</formula>
    </cfRule>
  </conditionalFormatting>
  <conditionalFormatting sqref="AY117">
    <cfRule type="cellIs" dxfId="4792" priority="1247" stopIfTrue="1" operator="equal">
      <formula>"Pass"</formula>
    </cfRule>
    <cfRule type="cellIs" dxfId="4791" priority="1248" stopIfTrue="1" operator="equal">
      <formula>"please check"</formula>
    </cfRule>
  </conditionalFormatting>
  <conditionalFormatting sqref="AY117">
    <cfRule type="cellIs" dxfId="4790" priority="1250" stopIfTrue="1" operator="equal">
      <formula>"Pass"</formula>
    </cfRule>
    <cfRule type="cellIs" dxfId="4789" priority="1251" stopIfTrue="1" operator="equal">
      <formula>"please check"</formula>
    </cfRule>
  </conditionalFormatting>
  <conditionalFormatting sqref="AZ117">
    <cfRule type="cellIs" dxfId="4788" priority="1241" stopIfTrue="1" operator="equal">
      <formula>"Pass"</formula>
    </cfRule>
    <cfRule type="cellIs" dxfId="4787" priority="1242" stopIfTrue="1" operator="equal">
      <formula>"please check"</formula>
    </cfRule>
  </conditionalFormatting>
  <conditionalFormatting sqref="AZ117">
    <cfRule type="cellIs" dxfId="4786" priority="1244" stopIfTrue="1" operator="equal">
      <formula>"Pass"</formula>
    </cfRule>
    <cfRule type="cellIs" dxfId="4785" priority="1245" stopIfTrue="1" operator="equal">
      <formula>"please check"</formula>
    </cfRule>
  </conditionalFormatting>
  <conditionalFormatting sqref="AY118:AY121">
    <cfRule type="cellIs" dxfId="4784" priority="1233" operator="equal">
      <formula>"""Missing Input"""</formula>
    </cfRule>
    <cfRule type="cellIs" dxfId="4783" priority="1238" stopIfTrue="1" operator="equal">
      <formula>"No"</formula>
    </cfRule>
    <cfRule type="cellIs" dxfId="4782" priority="1239" stopIfTrue="1" operator="equal">
      <formula>"Fail"</formula>
    </cfRule>
    <cfRule type="cellIs" dxfId="4781" priority="1240" stopIfTrue="1" operator="equal">
      <formula>"please check"</formula>
    </cfRule>
  </conditionalFormatting>
  <conditionalFormatting sqref="AY118:AY121">
    <cfRule type="cellIs" dxfId="4780" priority="1237" stopIfTrue="1" operator="equal">
      <formula>"Pass"</formula>
    </cfRule>
  </conditionalFormatting>
  <conditionalFormatting sqref="AY118:AY121">
    <cfRule type="containsText" dxfId="4779" priority="1234" operator="containsText" text="Please check">
      <formula>NOT(ISERROR(SEARCH("Please check",AY118)))</formula>
    </cfRule>
    <cfRule type="containsText" dxfId="4778" priority="1235" operator="containsText" text="Missing inputs">
      <formula>NOT(ISERROR(SEARCH("Missing inputs",AY118)))</formula>
    </cfRule>
    <cfRule type="containsText" dxfId="4777" priority="1236" operator="containsText" text="OK">
      <formula>NOT(ISERROR(SEARCH("OK",AY118)))</formula>
    </cfRule>
  </conditionalFormatting>
  <conditionalFormatting sqref="AY122:AY125">
    <cfRule type="cellIs" dxfId="4776" priority="1225" operator="equal">
      <formula>"""Missing Input"""</formula>
    </cfRule>
    <cfRule type="cellIs" dxfId="4775" priority="1230" stopIfTrue="1" operator="equal">
      <formula>"No"</formula>
    </cfRule>
    <cfRule type="cellIs" dxfId="4774" priority="1231" stopIfTrue="1" operator="equal">
      <formula>"Fail"</formula>
    </cfRule>
    <cfRule type="cellIs" dxfId="4773" priority="1232" stopIfTrue="1" operator="equal">
      <formula>"please check"</formula>
    </cfRule>
  </conditionalFormatting>
  <conditionalFormatting sqref="AY122:AY125">
    <cfRule type="cellIs" dxfId="4772" priority="1229" stopIfTrue="1" operator="equal">
      <formula>"Pass"</formula>
    </cfRule>
  </conditionalFormatting>
  <conditionalFormatting sqref="AY122:AY125">
    <cfRule type="containsText" dxfId="4771" priority="1226" operator="containsText" text="Please check">
      <formula>NOT(ISERROR(SEARCH("Please check",AY122)))</formula>
    </cfRule>
    <cfRule type="containsText" dxfId="4770" priority="1227" operator="containsText" text="Missing inputs">
      <formula>NOT(ISERROR(SEARCH("Missing inputs",AY122)))</formula>
    </cfRule>
    <cfRule type="containsText" dxfId="4769" priority="1228" operator="containsText" text="OK">
      <formula>NOT(ISERROR(SEARCH("OK",AY122)))</formula>
    </cfRule>
  </conditionalFormatting>
  <conditionalFormatting sqref="AY126:AY129">
    <cfRule type="cellIs" dxfId="4768" priority="1217" operator="equal">
      <formula>"""Missing Input"""</formula>
    </cfRule>
    <cfRule type="cellIs" dxfId="4767" priority="1222" stopIfTrue="1" operator="equal">
      <formula>"No"</formula>
    </cfRule>
    <cfRule type="cellIs" dxfId="4766" priority="1223" stopIfTrue="1" operator="equal">
      <formula>"Fail"</formula>
    </cfRule>
    <cfRule type="cellIs" dxfId="4765" priority="1224" stopIfTrue="1" operator="equal">
      <formula>"please check"</formula>
    </cfRule>
  </conditionalFormatting>
  <conditionalFormatting sqref="AY126:AY129">
    <cfRule type="cellIs" dxfId="4764" priority="1221" stopIfTrue="1" operator="equal">
      <formula>"Pass"</formula>
    </cfRule>
  </conditionalFormatting>
  <conditionalFormatting sqref="AY126:AY129">
    <cfRule type="containsText" dxfId="4763" priority="1218" operator="containsText" text="Please check">
      <formula>NOT(ISERROR(SEARCH("Please check",AY126)))</formula>
    </cfRule>
    <cfRule type="containsText" dxfId="4762" priority="1219" operator="containsText" text="Missing inputs">
      <formula>NOT(ISERROR(SEARCH("Missing inputs",AY126)))</formula>
    </cfRule>
    <cfRule type="containsText" dxfId="4761" priority="1220" operator="containsText" text="OK">
      <formula>NOT(ISERROR(SEARCH("OK",AY126)))</formula>
    </cfRule>
  </conditionalFormatting>
  <conditionalFormatting sqref="AY130:AY133">
    <cfRule type="cellIs" dxfId="4760" priority="1209" operator="equal">
      <formula>"""Missing Input"""</formula>
    </cfRule>
    <cfRule type="cellIs" dxfId="4759" priority="1214" stopIfTrue="1" operator="equal">
      <formula>"No"</formula>
    </cfRule>
    <cfRule type="cellIs" dxfId="4758" priority="1215" stopIfTrue="1" operator="equal">
      <formula>"Fail"</formula>
    </cfRule>
    <cfRule type="cellIs" dxfId="4757" priority="1216" stopIfTrue="1" operator="equal">
      <formula>"please check"</formula>
    </cfRule>
  </conditionalFormatting>
  <conditionalFormatting sqref="AY130:AY133">
    <cfRule type="cellIs" dxfId="4756" priority="1213" stopIfTrue="1" operator="equal">
      <formula>"Pass"</formula>
    </cfRule>
  </conditionalFormatting>
  <conditionalFormatting sqref="AY130:AY133">
    <cfRule type="containsText" dxfId="4755" priority="1210" operator="containsText" text="Please check">
      <formula>NOT(ISERROR(SEARCH("Please check",AY130)))</formula>
    </cfRule>
    <cfRule type="containsText" dxfId="4754" priority="1211" operator="containsText" text="Missing inputs">
      <formula>NOT(ISERROR(SEARCH("Missing inputs",AY130)))</formula>
    </cfRule>
    <cfRule type="containsText" dxfId="4753" priority="1212" operator="containsText" text="OK">
      <formula>NOT(ISERROR(SEARCH("OK",AY130)))</formula>
    </cfRule>
  </conditionalFormatting>
  <conditionalFormatting sqref="AY134:AY137">
    <cfRule type="cellIs" dxfId="4752" priority="1201" operator="equal">
      <formula>"""Missing Input"""</formula>
    </cfRule>
    <cfRule type="cellIs" dxfId="4751" priority="1206" stopIfTrue="1" operator="equal">
      <formula>"No"</formula>
    </cfRule>
    <cfRule type="cellIs" dxfId="4750" priority="1207" stopIfTrue="1" operator="equal">
      <formula>"Fail"</formula>
    </cfRule>
    <cfRule type="cellIs" dxfId="4749" priority="1208" stopIfTrue="1" operator="equal">
      <formula>"please check"</formula>
    </cfRule>
  </conditionalFormatting>
  <conditionalFormatting sqref="AY134:AY137">
    <cfRule type="cellIs" dxfId="4748" priority="1205" stopIfTrue="1" operator="equal">
      <formula>"Pass"</formula>
    </cfRule>
  </conditionalFormatting>
  <conditionalFormatting sqref="AY134:AY137">
    <cfRule type="containsText" dxfId="4747" priority="1202" operator="containsText" text="Please check">
      <formula>NOT(ISERROR(SEARCH("Please check",AY134)))</formula>
    </cfRule>
    <cfRule type="containsText" dxfId="4746" priority="1203" operator="containsText" text="Missing inputs">
      <formula>NOT(ISERROR(SEARCH("Missing inputs",AY134)))</formula>
    </cfRule>
    <cfRule type="containsText" dxfId="4745" priority="1204" operator="containsText" text="OK">
      <formula>NOT(ISERROR(SEARCH("OK",AY134)))</formula>
    </cfRule>
  </conditionalFormatting>
  <conditionalFormatting sqref="AY138:AY141">
    <cfRule type="cellIs" dxfId="4744" priority="1193" operator="equal">
      <formula>"""Missing Input"""</formula>
    </cfRule>
    <cfRule type="cellIs" dxfId="4743" priority="1198" stopIfTrue="1" operator="equal">
      <formula>"No"</formula>
    </cfRule>
    <cfRule type="cellIs" dxfId="4742" priority="1199" stopIfTrue="1" operator="equal">
      <formula>"Fail"</formula>
    </cfRule>
    <cfRule type="cellIs" dxfId="4741" priority="1200" stopIfTrue="1" operator="equal">
      <formula>"please check"</formula>
    </cfRule>
  </conditionalFormatting>
  <conditionalFormatting sqref="AY138:AY141">
    <cfRule type="cellIs" dxfId="4740" priority="1197" stopIfTrue="1" operator="equal">
      <formula>"Pass"</formula>
    </cfRule>
  </conditionalFormatting>
  <conditionalFormatting sqref="AY138:AY141">
    <cfRule type="containsText" dxfId="4739" priority="1194" operator="containsText" text="Please check">
      <formula>NOT(ISERROR(SEARCH("Please check",AY138)))</formula>
    </cfRule>
    <cfRule type="containsText" dxfId="4738" priority="1195" operator="containsText" text="Missing inputs">
      <formula>NOT(ISERROR(SEARCH("Missing inputs",AY138)))</formula>
    </cfRule>
    <cfRule type="containsText" dxfId="4737" priority="1196" operator="containsText" text="OK">
      <formula>NOT(ISERROR(SEARCH("OK",AY138)))</formula>
    </cfRule>
  </conditionalFormatting>
  <conditionalFormatting sqref="AY142:AY145">
    <cfRule type="cellIs" dxfId="4736" priority="1185" operator="equal">
      <formula>"""Missing Input"""</formula>
    </cfRule>
    <cfRule type="cellIs" dxfId="4735" priority="1190" stopIfTrue="1" operator="equal">
      <formula>"No"</formula>
    </cfRule>
    <cfRule type="cellIs" dxfId="4734" priority="1191" stopIfTrue="1" operator="equal">
      <formula>"Fail"</formula>
    </cfRule>
    <cfRule type="cellIs" dxfId="4733" priority="1192" stopIfTrue="1" operator="equal">
      <formula>"please check"</formula>
    </cfRule>
  </conditionalFormatting>
  <conditionalFormatting sqref="AY142:AY145">
    <cfRule type="cellIs" dxfId="4732" priority="1189" stopIfTrue="1" operator="equal">
      <formula>"Pass"</formula>
    </cfRule>
  </conditionalFormatting>
  <conditionalFormatting sqref="AY142:AY145">
    <cfRule type="containsText" dxfId="4731" priority="1186" operator="containsText" text="Please check">
      <formula>NOT(ISERROR(SEARCH("Please check",AY142)))</formula>
    </cfRule>
    <cfRule type="containsText" dxfId="4730" priority="1187" operator="containsText" text="Missing inputs">
      <formula>NOT(ISERROR(SEARCH("Missing inputs",AY142)))</formula>
    </cfRule>
    <cfRule type="containsText" dxfId="4729" priority="1188" operator="containsText" text="OK">
      <formula>NOT(ISERROR(SEARCH("OK",AY142)))</formula>
    </cfRule>
  </conditionalFormatting>
  <conditionalFormatting sqref="AY146">
    <cfRule type="cellIs" dxfId="4728" priority="1177" operator="equal">
      <formula>"""Missing Input"""</formula>
    </cfRule>
    <cfRule type="cellIs" dxfId="4727" priority="1182" stopIfTrue="1" operator="equal">
      <formula>"No"</formula>
    </cfRule>
    <cfRule type="cellIs" dxfId="4726" priority="1183" stopIfTrue="1" operator="equal">
      <formula>"Fail"</formula>
    </cfRule>
    <cfRule type="cellIs" dxfId="4725" priority="1184" stopIfTrue="1" operator="equal">
      <formula>"please check"</formula>
    </cfRule>
  </conditionalFormatting>
  <conditionalFormatting sqref="AY146">
    <cfRule type="cellIs" dxfId="4724" priority="1181" stopIfTrue="1" operator="equal">
      <formula>"Pass"</formula>
    </cfRule>
  </conditionalFormatting>
  <conditionalFormatting sqref="AY146">
    <cfRule type="containsText" dxfId="4723" priority="1178" operator="containsText" text="Please check">
      <formula>NOT(ISERROR(SEARCH("Please check",AY146)))</formula>
    </cfRule>
    <cfRule type="containsText" dxfId="4722" priority="1179" operator="containsText" text="Missing inputs">
      <formula>NOT(ISERROR(SEARCH("Missing inputs",AY146)))</formula>
    </cfRule>
    <cfRule type="containsText" dxfId="4721" priority="1180" operator="containsText" text="OK">
      <formula>NOT(ISERROR(SEARCH("OK",AY146)))</formula>
    </cfRule>
  </conditionalFormatting>
  <conditionalFormatting sqref="BA119:BA121">
    <cfRule type="cellIs" dxfId="4720" priority="1174" stopIfTrue="1" operator="equal">
      <formula>"No"</formula>
    </cfRule>
    <cfRule type="cellIs" dxfId="4719" priority="1175" stopIfTrue="1" operator="equal">
      <formula>"Fail"</formula>
    </cfRule>
    <cfRule type="cellIs" dxfId="4718" priority="1176" stopIfTrue="1" operator="equal">
      <formula>"please check"</formula>
    </cfRule>
  </conditionalFormatting>
  <conditionalFormatting sqref="BA119:BA121">
    <cfRule type="cellIs" dxfId="4717" priority="1173" stopIfTrue="1" operator="equal">
      <formula>"Pass"</formula>
    </cfRule>
  </conditionalFormatting>
  <conditionalFormatting sqref="AZ120">
    <cfRule type="cellIs" dxfId="4716" priority="1170" stopIfTrue="1" operator="equal">
      <formula>"No"</formula>
    </cfRule>
    <cfRule type="cellIs" dxfId="4715" priority="1171" stopIfTrue="1" operator="equal">
      <formula>"Fail"</formula>
    </cfRule>
    <cfRule type="cellIs" dxfId="4714" priority="1172" stopIfTrue="1" operator="equal">
      <formula>"please check"</formula>
    </cfRule>
  </conditionalFormatting>
  <conditionalFormatting sqref="AZ120">
    <cfRule type="cellIs" dxfId="4713" priority="1169" stopIfTrue="1" operator="equal">
      <formula>"Pass"</formula>
    </cfRule>
  </conditionalFormatting>
  <conditionalFormatting sqref="AZ120">
    <cfRule type="containsText" dxfId="4712" priority="1166" operator="containsText" text="Please check">
      <formula>NOT(ISERROR(SEARCH("Please check",AZ120)))</formula>
    </cfRule>
    <cfRule type="containsText" dxfId="4711" priority="1167" operator="containsText" text="Missing inputs">
      <formula>NOT(ISERROR(SEARCH("Missing inputs",AZ120)))</formula>
    </cfRule>
    <cfRule type="containsText" dxfId="4710" priority="1168" operator="containsText" text="OK">
      <formula>NOT(ISERROR(SEARCH("OK",AZ120)))</formula>
    </cfRule>
  </conditionalFormatting>
  <conditionalFormatting sqref="AZ118:AZ119">
    <cfRule type="cellIs" dxfId="4709" priority="1163" stopIfTrue="1" operator="equal">
      <formula>"No"</formula>
    </cfRule>
    <cfRule type="cellIs" dxfId="4708" priority="1164" stopIfTrue="1" operator="equal">
      <formula>"Fail"</formula>
    </cfRule>
    <cfRule type="cellIs" dxfId="4707" priority="1165" stopIfTrue="1" operator="equal">
      <formula>"please check"</formula>
    </cfRule>
  </conditionalFormatting>
  <conditionalFormatting sqref="AZ118:AZ119">
    <cfRule type="cellIs" dxfId="4706" priority="1162" stopIfTrue="1" operator="equal">
      <formula>"Pass"</formula>
    </cfRule>
  </conditionalFormatting>
  <conditionalFormatting sqref="AZ122:AZ123 AZ126:AZ127 AZ130:AZ131 AZ134:AZ135 AZ138:AZ139 AZ142:AZ143 AZ146">
    <cfRule type="cellIs" dxfId="4705" priority="1159" stopIfTrue="1" operator="equal">
      <formula>"No"</formula>
    </cfRule>
    <cfRule type="cellIs" dxfId="4704" priority="1160" stopIfTrue="1" operator="equal">
      <formula>"Fail"</formula>
    </cfRule>
    <cfRule type="cellIs" dxfId="4703" priority="1161" stopIfTrue="1" operator="equal">
      <formula>"please check"</formula>
    </cfRule>
  </conditionalFormatting>
  <conditionalFormatting sqref="AZ122:AZ123 AZ126:AZ127 AZ130:AZ131 AZ134:AZ135 AZ138:AZ139 AZ142:AZ143 AZ146">
    <cfRule type="cellIs" dxfId="4702" priority="1158" stopIfTrue="1" operator="equal">
      <formula>"Pass"</formula>
    </cfRule>
  </conditionalFormatting>
  <conditionalFormatting sqref="BA118">
    <cfRule type="cellIs" dxfId="4701" priority="1157" stopIfTrue="1" operator="equal">
      <formula>"Pass"</formula>
    </cfRule>
  </conditionalFormatting>
  <conditionalFormatting sqref="BA118">
    <cfRule type="cellIs" dxfId="4700" priority="1154" stopIfTrue="1" operator="equal">
      <formula>"No"</formula>
    </cfRule>
    <cfRule type="cellIs" dxfId="4699" priority="1155" stopIfTrue="1" operator="equal">
      <formula>"Fail"</formula>
    </cfRule>
    <cfRule type="cellIs" dxfId="4698" priority="1156" stopIfTrue="1" operator="equal">
      <formula>"please check"</formula>
    </cfRule>
  </conditionalFormatting>
  <conditionalFormatting sqref="BA118">
    <cfRule type="containsText" dxfId="4697" priority="1151" operator="containsText" text="Please check">
      <formula>NOT(ISERROR(SEARCH("Please check",BA118)))</formula>
    </cfRule>
    <cfRule type="containsText" dxfId="4696" priority="1152" operator="containsText" text="Missing inputs">
      <formula>NOT(ISERROR(SEARCH("Missing inputs",BA118)))</formula>
    </cfRule>
    <cfRule type="containsText" dxfId="4695" priority="1153" operator="containsText" text="OK">
      <formula>NOT(ISERROR(SEARCH("OK",BA118)))</formula>
    </cfRule>
  </conditionalFormatting>
  <conditionalFormatting sqref="BA123:BA125">
    <cfRule type="cellIs" dxfId="4694" priority="1150" stopIfTrue="1" operator="equal">
      <formula>"Pass"</formula>
    </cfRule>
  </conditionalFormatting>
  <conditionalFormatting sqref="BA123:BA125">
    <cfRule type="cellIs" dxfId="4693" priority="1147" stopIfTrue="1" operator="equal">
      <formula>"No"</formula>
    </cfRule>
    <cfRule type="cellIs" dxfId="4692" priority="1148" stopIfTrue="1" operator="equal">
      <formula>"Fail"</formula>
    </cfRule>
    <cfRule type="cellIs" dxfId="4691" priority="1149" stopIfTrue="1" operator="equal">
      <formula>"please check"</formula>
    </cfRule>
  </conditionalFormatting>
  <conditionalFormatting sqref="BA127:BA129">
    <cfRule type="cellIs" dxfId="4690" priority="1146" stopIfTrue="1" operator="equal">
      <formula>"Pass"</formula>
    </cfRule>
  </conditionalFormatting>
  <conditionalFormatting sqref="BA127:BA129">
    <cfRule type="cellIs" dxfId="4689" priority="1143" stopIfTrue="1" operator="equal">
      <formula>"No"</formula>
    </cfRule>
    <cfRule type="cellIs" dxfId="4688" priority="1144" stopIfTrue="1" operator="equal">
      <formula>"Fail"</formula>
    </cfRule>
    <cfRule type="cellIs" dxfId="4687" priority="1145" stopIfTrue="1" operator="equal">
      <formula>"please check"</formula>
    </cfRule>
  </conditionalFormatting>
  <conditionalFormatting sqref="BA131:BA133">
    <cfRule type="cellIs" dxfId="4686" priority="1142" stopIfTrue="1" operator="equal">
      <formula>"Pass"</formula>
    </cfRule>
  </conditionalFormatting>
  <conditionalFormatting sqref="BA131:BA133">
    <cfRule type="cellIs" dxfId="4685" priority="1139" stopIfTrue="1" operator="equal">
      <formula>"No"</formula>
    </cfRule>
    <cfRule type="cellIs" dxfId="4684" priority="1140" stopIfTrue="1" operator="equal">
      <formula>"Fail"</formula>
    </cfRule>
    <cfRule type="cellIs" dxfId="4683" priority="1141" stopIfTrue="1" operator="equal">
      <formula>"please check"</formula>
    </cfRule>
  </conditionalFormatting>
  <conditionalFormatting sqref="BA135:BA137">
    <cfRule type="cellIs" dxfId="4682" priority="1138" stopIfTrue="1" operator="equal">
      <formula>"Pass"</formula>
    </cfRule>
  </conditionalFormatting>
  <conditionalFormatting sqref="BA135:BA137">
    <cfRule type="cellIs" dxfId="4681" priority="1135" stopIfTrue="1" operator="equal">
      <formula>"No"</formula>
    </cfRule>
    <cfRule type="cellIs" dxfId="4680" priority="1136" stopIfTrue="1" operator="equal">
      <formula>"Fail"</formula>
    </cfRule>
    <cfRule type="cellIs" dxfId="4679" priority="1137" stopIfTrue="1" operator="equal">
      <formula>"please check"</formula>
    </cfRule>
  </conditionalFormatting>
  <conditionalFormatting sqref="BA139:BA141">
    <cfRule type="cellIs" dxfId="4678" priority="1134" stopIfTrue="1" operator="equal">
      <formula>"Pass"</formula>
    </cfRule>
  </conditionalFormatting>
  <conditionalFormatting sqref="BA139:BA141">
    <cfRule type="cellIs" dxfId="4677" priority="1131" stopIfTrue="1" operator="equal">
      <formula>"No"</formula>
    </cfRule>
    <cfRule type="cellIs" dxfId="4676" priority="1132" stopIfTrue="1" operator="equal">
      <formula>"Fail"</formula>
    </cfRule>
    <cfRule type="cellIs" dxfId="4675" priority="1133" stopIfTrue="1" operator="equal">
      <formula>"please check"</formula>
    </cfRule>
  </conditionalFormatting>
  <conditionalFormatting sqref="BA143:BA146">
    <cfRule type="cellIs" dxfId="4674" priority="1130" stopIfTrue="1" operator="equal">
      <formula>"Pass"</formula>
    </cfRule>
  </conditionalFormatting>
  <conditionalFormatting sqref="BA143:BA146">
    <cfRule type="cellIs" dxfId="4673" priority="1127" stopIfTrue="1" operator="equal">
      <formula>"No"</formula>
    </cfRule>
    <cfRule type="cellIs" dxfId="4672" priority="1128" stopIfTrue="1" operator="equal">
      <formula>"Fail"</formula>
    </cfRule>
    <cfRule type="cellIs" dxfId="4671" priority="1129" stopIfTrue="1" operator="equal">
      <formula>"please check"</formula>
    </cfRule>
  </conditionalFormatting>
  <conditionalFormatting sqref="AZ121">
    <cfRule type="cellIs" dxfId="4670" priority="1124" stopIfTrue="1" operator="equal">
      <formula>"No"</formula>
    </cfRule>
    <cfRule type="cellIs" dxfId="4669" priority="1125" stopIfTrue="1" operator="equal">
      <formula>"Fail"</formula>
    </cfRule>
    <cfRule type="cellIs" dxfId="4668" priority="1126" stopIfTrue="1" operator="equal">
      <formula>"please check"</formula>
    </cfRule>
  </conditionalFormatting>
  <conditionalFormatting sqref="AZ121">
    <cfRule type="cellIs" dxfId="4667" priority="1123" stopIfTrue="1" operator="equal">
      <formula>"Pass"</formula>
    </cfRule>
  </conditionalFormatting>
  <conditionalFormatting sqref="AZ121">
    <cfRule type="containsText" dxfId="4666" priority="1120" operator="containsText" text="Please check">
      <formula>NOT(ISERROR(SEARCH("Please check",AZ121)))</formula>
    </cfRule>
    <cfRule type="containsText" dxfId="4665" priority="1121" operator="containsText" text="Missing inputs">
      <formula>NOT(ISERROR(SEARCH("Missing inputs",AZ121)))</formula>
    </cfRule>
    <cfRule type="containsText" dxfId="4664" priority="1122" operator="containsText" text="OK">
      <formula>NOT(ISERROR(SEARCH("OK",AZ121)))</formula>
    </cfRule>
  </conditionalFormatting>
  <conditionalFormatting sqref="AZ124">
    <cfRule type="cellIs" dxfId="4663" priority="1117" stopIfTrue="1" operator="equal">
      <formula>"No"</formula>
    </cfRule>
    <cfRule type="cellIs" dxfId="4662" priority="1118" stopIfTrue="1" operator="equal">
      <formula>"Fail"</formula>
    </cfRule>
    <cfRule type="cellIs" dxfId="4661" priority="1119" stopIfTrue="1" operator="equal">
      <formula>"please check"</formula>
    </cfRule>
  </conditionalFormatting>
  <conditionalFormatting sqref="AZ124">
    <cfRule type="cellIs" dxfId="4660" priority="1116" stopIfTrue="1" operator="equal">
      <formula>"Pass"</formula>
    </cfRule>
  </conditionalFormatting>
  <conditionalFormatting sqref="AZ124">
    <cfRule type="containsText" dxfId="4659" priority="1113" operator="containsText" text="Please check">
      <formula>NOT(ISERROR(SEARCH("Please check",AZ124)))</formula>
    </cfRule>
    <cfRule type="containsText" dxfId="4658" priority="1114" operator="containsText" text="Missing inputs">
      <formula>NOT(ISERROR(SEARCH("Missing inputs",AZ124)))</formula>
    </cfRule>
    <cfRule type="containsText" dxfId="4657" priority="1115" operator="containsText" text="OK">
      <formula>NOT(ISERROR(SEARCH("OK",AZ124)))</formula>
    </cfRule>
  </conditionalFormatting>
  <conditionalFormatting sqref="AZ125">
    <cfRule type="cellIs" dxfId="4656" priority="1110" stopIfTrue="1" operator="equal">
      <formula>"No"</formula>
    </cfRule>
    <cfRule type="cellIs" dxfId="4655" priority="1111" stopIfTrue="1" operator="equal">
      <formula>"Fail"</formula>
    </cfRule>
    <cfRule type="cellIs" dxfId="4654" priority="1112" stopIfTrue="1" operator="equal">
      <formula>"please check"</formula>
    </cfRule>
  </conditionalFormatting>
  <conditionalFormatting sqref="AZ125">
    <cfRule type="cellIs" dxfId="4653" priority="1109" stopIfTrue="1" operator="equal">
      <formula>"Pass"</formula>
    </cfRule>
  </conditionalFormatting>
  <conditionalFormatting sqref="AZ125">
    <cfRule type="containsText" dxfId="4652" priority="1106" operator="containsText" text="Please check">
      <formula>NOT(ISERROR(SEARCH("Please check",AZ125)))</formula>
    </cfRule>
    <cfRule type="containsText" dxfId="4651" priority="1107" operator="containsText" text="Missing inputs">
      <formula>NOT(ISERROR(SEARCH("Missing inputs",AZ125)))</formula>
    </cfRule>
    <cfRule type="containsText" dxfId="4650" priority="1108" operator="containsText" text="OK">
      <formula>NOT(ISERROR(SEARCH("OK",AZ125)))</formula>
    </cfRule>
  </conditionalFormatting>
  <conditionalFormatting sqref="AZ128">
    <cfRule type="cellIs" dxfId="4649" priority="1103" stopIfTrue="1" operator="equal">
      <formula>"No"</formula>
    </cfRule>
    <cfRule type="cellIs" dxfId="4648" priority="1104" stopIfTrue="1" operator="equal">
      <formula>"Fail"</formula>
    </cfRule>
    <cfRule type="cellIs" dxfId="4647" priority="1105" stopIfTrue="1" operator="equal">
      <formula>"please check"</formula>
    </cfRule>
  </conditionalFormatting>
  <conditionalFormatting sqref="AZ128">
    <cfRule type="cellIs" dxfId="4646" priority="1102" stopIfTrue="1" operator="equal">
      <formula>"Pass"</formula>
    </cfRule>
  </conditionalFormatting>
  <conditionalFormatting sqref="AZ128">
    <cfRule type="containsText" dxfId="4645" priority="1099" operator="containsText" text="Please check">
      <formula>NOT(ISERROR(SEARCH("Please check",AZ128)))</formula>
    </cfRule>
    <cfRule type="containsText" dxfId="4644" priority="1100" operator="containsText" text="Missing inputs">
      <formula>NOT(ISERROR(SEARCH("Missing inputs",AZ128)))</formula>
    </cfRule>
    <cfRule type="containsText" dxfId="4643" priority="1101" operator="containsText" text="OK">
      <formula>NOT(ISERROR(SEARCH("OK",AZ128)))</formula>
    </cfRule>
  </conditionalFormatting>
  <conditionalFormatting sqref="AZ129">
    <cfRule type="cellIs" dxfId="4642" priority="1096" stopIfTrue="1" operator="equal">
      <formula>"No"</formula>
    </cfRule>
    <cfRule type="cellIs" dxfId="4641" priority="1097" stopIfTrue="1" operator="equal">
      <formula>"Fail"</formula>
    </cfRule>
    <cfRule type="cellIs" dxfId="4640" priority="1098" stopIfTrue="1" operator="equal">
      <formula>"please check"</formula>
    </cfRule>
  </conditionalFormatting>
  <conditionalFormatting sqref="AZ129">
    <cfRule type="cellIs" dxfId="4639" priority="1095" stopIfTrue="1" operator="equal">
      <formula>"Pass"</formula>
    </cfRule>
  </conditionalFormatting>
  <conditionalFormatting sqref="AZ129">
    <cfRule type="containsText" dxfId="4638" priority="1092" operator="containsText" text="Please check">
      <formula>NOT(ISERROR(SEARCH("Please check",AZ129)))</formula>
    </cfRule>
    <cfRule type="containsText" dxfId="4637" priority="1093" operator="containsText" text="Missing inputs">
      <formula>NOT(ISERROR(SEARCH("Missing inputs",AZ129)))</formula>
    </cfRule>
    <cfRule type="containsText" dxfId="4636" priority="1094" operator="containsText" text="OK">
      <formula>NOT(ISERROR(SEARCH("OK",AZ129)))</formula>
    </cfRule>
  </conditionalFormatting>
  <conditionalFormatting sqref="AZ132">
    <cfRule type="cellIs" dxfId="4635" priority="1089" stopIfTrue="1" operator="equal">
      <formula>"No"</formula>
    </cfRule>
    <cfRule type="cellIs" dxfId="4634" priority="1090" stopIfTrue="1" operator="equal">
      <formula>"Fail"</formula>
    </cfRule>
    <cfRule type="cellIs" dxfId="4633" priority="1091" stopIfTrue="1" operator="equal">
      <formula>"please check"</formula>
    </cfRule>
  </conditionalFormatting>
  <conditionalFormatting sqref="AZ132">
    <cfRule type="cellIs" dxfId="4632" priority="1088" stopIfTrue="1" operator="equal">
      <formula>"Pass"</formula>
    </cfRule>
  </conditionalFormatting>
  <conditionalFormatting sqref="AZ132">
    <cfRule type="containsText" dxfId="4631" priority="1085" operator="containsText" text="Please check">
      <formula>NOT(ISERROR(SEARCH("Please check",AZ132)))</formula>
    </cfRule>
    <cfRule type="containsText" dxfId="4630" priority="1086" operator="containsText" text="Missing inputs">
      <formula>NOT(ISERROR(SEARCH("Missing inputs",AZ132)))</formula>
    </cfRule>
    <cfRule type="containsText" dxfId="4629" priority="1087" operator="containsText" text="OK">
      <formula>NOT(ISERROR(SEARCH("OK",AZ132)))</formula>
    </cfRule>
  </conditionalFormatting>
  <conditionalFormatting sqref="AZ133">
    <cfRule type="cellIs" dxfId="4628" priority="1082" stopIfTrue="1" operator="equal">
      <formula>"No"</formula>
    </cfRule>
    <cfRule type="cellIs" dxfId="4627" priority="1083" stopIfTrue="1" operator="equal">
      <formula>"Fail"</formula>
    </cfRule>
    <cfRule type="cellIs" dxfId="4626" priority="1084" stopIfTrue="1" operator="equal">
      <formula>"please check"</formula>
    </cfRule>
  </conditionalFormatting>
  <conditionalFormatting sqref="AZ133">
    <cfRule type="cellIs" dxfId="4625" priority="1081" stopIfTrue="1" operator="equal">
      <formula>"Pass"</formula>
    </cfRule>
  </conditionalFormatting>
  <conditionalFormatting sqref="AZ133">
    <cfRule type="containsText" dxfId="4624" priority="1078" operator="containsText" text="Please check">
      <formula>NOT(ISERROR(SEARCH("Please check",AZ133)))</formula>
    </cfRule>
    <cfRule type="containsText" dxfId="4623" priority="1079" operator="containsText" text="Missing inputs">
      <formula>NOT(ISERROR(SEARCH("Missing inputs",AZ133)))</formula>
    </cfRule>
    <cfRule type="containsText" dxfId="4622" priority="1080" operator="containsText" text="OK">
      <formula>NOT(ISERROR(SEARCH("OK",AZ133)))</formula>
    </cfRule>
  </conditionalFormatting>
  <conditionalFormatting sqref="AZ136">
    <cfRule type="cellIs" dxfId="4621" priority="1075" stopIfTrue="1" operator="equal">
      <formula>"No"</formula>
    </cfRule>
    <cfRule type="cellIs" dxfId="4620" priority="1076" stopIfTrue="1" operator="equal">
      <formula>"Fail"</formula>
    </cfRule>
    <cfRule type="cellIs" dxfId="4619" priority="1077" stopIfTrue="1" operator="equal">
      <formula>"please check"</formula>
    </cfRule>
  </conditionalFormatting>
  <conditionalFormatting sqref="AZ136">
    <cfRule type="cellIs" dxfId="4618" priority="1074" stopIfTrue="1" operator="equal">
      <formula>"Pass"</formula>
    </cfRule>
  </conditionalFormatting>
  <conditionalFormatting sqref="AZ136">
    <cfRule type="containsText" dxfId="4617" priority="1071" operator="containsText" text="Please check">
      <formula>NOT(ISERROR(SEARCH("Please check",AZ136)))</formula>
    </cfRule>
    <cfRule type="containsText" dxfId="4616" priority="1072" operator="containsText" text="Missing inputs">
      <formula>NOT(ISERROR(SEARCH("Missing inputs",AZ136)))</formula>
    </cfRule>
    <cfRule type="containsText" dxfId="4615" priority="1073" operator="containsText" text="OK">
      <formula>NOT(ISERROR(SEARCH("OK",AZ136)))</formula>
    </cfRule>
  </conditionalFormatting>
  <conditionalFormatting sqref="AZ137">
    <cfRule type="cellIs" dxfId="4614" priority="1068" stopIfTrue="1" operator="equal">
      <formula>"No"</formula>
    </cfRule>
    <cfRule type="cellIs" dxfId="4613" priority="1069" stopIfTrue="1" operator="equal">
      <formula>"Fail"</formula>
    </cfRule>
    <cfRule type="cellIs" dxfId="4612" priority="1070" stopIfTrue="1" operator="equal">
      <formula>"please check"</formula>
    </cfRule>
  </conditionalFormatting>
  <conditionalFormatting sqref="AZ137">
    <cfRule type="cellIs" dxfId="4611" priority="1067" stopIfTrue="1" operator="equal">
      <formula>"Pass"</formula>
    </cfRule>
  </conditionalFormatting>
  <conditionalFormatting sqref="AZ137">
    <cfRule type="containsText" dxfId="4610" priority="1064" operator="containsText" text="Please check">
      <formula>NOT(ISERROR(SEARCH("Please check",AZ137)))</formula>
    </cfRule>
    <cfRule type="containsText" dxfId="4609" priority="1065" operator="containsText" text="Missing inputs">
      <formula>NOT(ISERROR(SEARCH("Missing inputs",AZ137)))</formula>
    </cfRule>
    <cfRule type="containsText" dxfId="4608" priority="1066" operator="containsText" text="OK">
      <formula>NOT(ISERROR(SEARCH("OK",AZ137)))</formula>
    </cfRule>
  </conditionalFormatting>
  <conditionalFormatting sqref="AZ140">
    <cfRule type="cellIs" dxfId="4607" priority="1061" stopIfTrue="1" operator="equal">
      <formula>"No"</formula>
    </cfRule>
    <cfRule type="cellIs" dxfId="4606" priority="1062" stopIfTrue="1" operator="equal">
      <formula>"Fail"</formula>
    </cfRule>
    <cfRule type="cellIs" dxfId="4605" priority="1063" stopIfTrue="1" operator="equal">
      <formula>"please check"</formula>
    </cfRule>
  </conditionalFormatting>
  <conditionalFormatting sqref="AZ140">
    <cfRule type="cellIs" dxfId="4604" priority="1060" stopIfTrue="1" operator="equal">
      <formula>"Pass"</formula>
    </cfRule>
  </conditionalFormatting>
  <conditionalFormatting sqref="AZ140">
    <cfRule type="containsText" dxfId="4603" priority="1057" operator="containsText" text="Please check">
      <formula>NOT(ISERROR(SEARCH("Please check",AZ140)))</formula>
    </cfRule>
    <cfRule type="containsText" dxfId="4602" priority="1058" operator="containsText" text="Missing inputs">
      <formula>NOT(ISERROR(SEARCH("Missing inputs",AZ140)))</formula>
    </cfRule>
    <cfRule type="containsText" dxfId="4601" priority="1059" operator="containsText" text="OK">
      <formula>NOT(ISERROR(SEARCH("OK",AZ140)))</formula>
    </cfRule>
  </conditionalFormatting>
  <conditionalFormatting sqref="AZ141">
    <cfRule type="cellIs" dxfId="4600" priority="1054" stopIfTrue="1" operator="equal">
      <formula>"No"</formula>
    </cfRule>
    <cfRule type="cellIs" dxfId="4599" priority="1055" stopIfTrue="1" operator="equal">
      <formula>"Fail"</formula>
    </cfRule>
    <cfRule type="cellIs" dxfId="4598" priority="1056" stopIfTrue="1" operator="equal">
      <formula>"please check"</formula>
    </cfRule>
  </conditionalFormatting>
  <conditionalFormatting sqref="AZ141">
    <cfRule type="cellIs" dxfId="4597" priority="1053" stopIfTrue="1" operator="equal">
      <formula>"Pass"</formula>
    </cfRule>
  </conditionalFormatting>
  <conditionalFormatting sqref="AZ141">
    <cfRule type="containsText" dxfId="4596" priority="1050" operator="containsText" text="Please check">
      <formula>NOT(ISERROR(SEARCH("Please check",AZ141)))</formula>
    </cfRule>
    <cfRule type="containsText" dxfId="4595" priority="1051" operator="containsText" text="Missing inputs">
      <formula>NOT(ISERROR(SEARCH("Missing inputs",AZ141)))</formula>
    </cfRule>
    <cfRule type="containsText" dxfId="4594" priority="1052" operator="containsText" text="OK">
      <formula>NOT(ISERROR(SEARCH("OK",AZ141)))</formula>
    </cfRule>
  </conditionalFormatting>
  <conditionalFormatting sqref="AZ144">
    <cfRule type="cellIs" dxfId="4593" priority="1047" stopIfTrue="1" operator="equal">
      <formula>"No"</formula>
    </cfRule>
    <cfRule type="cellIs" dxfId="4592" priority="1048" stopIfTrue="1" operator="equal">
      <formula>"Fail"</formula>
    </cfRule>
    <cfRule type="cellIs" dxfId="4591" priority="1049" stopIfTrue="1" operator="equal">
      <formula>"please check"</formula>
    </cfRule>
  </conditionalFormatting>
  <conditionalFormatting sqref="AZ144">
    <cfRule type="cellIs" dxfId="4590" priority="1046" stopIfTrue="1" operator="equal">
      <formula>"Pass"</formula>
    </cfRule>
  </conditionalFormatting>
  <conditionalFormatting sqref="AZ144">
    <cfRule type="containsText" dxfId="4589" priority="1043" operator="containsText" text="Please check">
      <formula>NOT(ISERROR(SEARCH("Please check",AZ144)))</formula>
    </cfRule>
    <cfRule type="containsText" dxfId="4588" priority="1044" operator="containsText" text="Missing inputs">
      <formula>NOT(ISERROR(SEARCH("Missing inputs",AZ144)))</formula>
    </cfRule>
    <cfRule type="containsText" dxfId="4587" priority="1045" operator="containsText" text="OK">
      <formula>NOT(ISERROR(SEARCH("OK",AZ144)))</formula>
    </cfRule>
  </conditionalFormatting>
  <conditionalFormatting sqref="AZ145">
    <cfRule type="cellIs" dxfId="4586" priority="1040" stopIfTrue="1" operator="equal">
      <formula>"No"</formula>
    </cfRule>
    <cfRule type="cellIs" dxfId="4585" priority="1041" stopIfTrue="1" operator="equal">
      <formula>"Fail"</formula>
    </cfRule>
    <cfRule type="cellIs" dxfId="4584" priority="1042" stopIfTrue="1" operator="equal">
      <formula>"please check"</formula>
    </cfRule>
  </conditionalFormatting>
  <conditionalFormatting sqref="AZ145">
    <cfRule type="cellIs" dxfId="4583" priority="1039" stopIfTrue="1" operator="equal">
      <formula>"Pass"</formula>
    </cfRule>
  </conditionalFormatting>
  <conditionalFormatting sqref="AZ145">
    <cfRule type="containsText" dxfId="4582" priority="1036" operator="containsText" text="Please check">
      <formula>NOT(ISERROR(SEARCH("Please check",AZ145)))</formula>
    </cfRule>
    <cfRule type="containsText" dxfId="4581" priority="1037" operator="containsText" text="Missing inputs">
      <formula>NOT(ISERROR(SEARCH("Missing inputs",AZ145)))</formula>
    </cfRule>
    <cfRule type="containsText" dxfId="4580" priority="1038" operator="containsText" text="OK">
      <formula>NOT(ISERROR(SEARCH("OK",AZ145)))</formula>
    </cfRule>
  </conditionalFormatting>
  <conditionalFormatting sqref="BA122">
    <cfRule type="cellIs" dxfId="4579" priority="1035" stopIfTrue="1" operator="equal">
      <formula>"Pass"</formula>
    </cfRule>
  </conditionalFormatting>
  <conditionalFormatting sqref="BA122">
    <cfRule type="cellIs" dxfId="4578" priority="1032" stopIfTrue="1" operator="equal">
      <formula>"No"</formula>
    </cfRule>
    <cfRule type="cellIs" dxfId="4577" priority="1033" stopIfTrue="1" operator="equal">
      <formula>"Fail"</formula>
    </cfRule>
    <cfRule type="cellIs" dxfId="4576" priority="1034" stopIfTrue="1" operator="equal">
      <formula>"please check"</formula>
    </cfRule>
  </conditionalFormatting>
  <conditionalFormatting sqref="BA122">
    <cfRule type="containsText" dxfId="4575" priority="1029" operator="containsText" text="Please check">
      <formula>NOT(ISERROR(SEARCH("Please check",BA122)))</formula>
    </cfRule>
    <cfRule type="containsText" dxfId="4574" priority="1030" operator="containsText" text="Missing inputs">
      <formula>NOT(ISERROR(SEARCH("Missing inputs",BA122)))</formula>
    </cfRule>
    <cfRule type="containsText" dxfId="4573" priority="1031" operator="containsText" text="OK">
      <formula>NOT(ISERROR(SEARCH("OK",BA122)))</formula>
    </cfRule>
  </conditionalFormatting>
  <conditionalFormatting sqref="BA126">
    <cfRule type="cellIs" dxfId="4572" priority="1028" stopIfTrue="1" operator="equal">
      <formula>"Pass"</formula>
    </cfRule>
  </conditionalFormatting>
  <conditionalFormatting sqref="BA126">
    <cfRule type="cellIs" dxfId="4571" priority="1025" stopIfTrue="1" operator="equal">
      <formula>"No"</formula>
    </cfRule>
    <cfRule type="cellIs" dxfId="4570" priority="1026" stopIfTrue="1" operator="equal">
      <formula>"Fail"</formula>
    </cfRule>
    <cfRule type="cellIs" dxfId="4569" priority="1027" stopIfTrue="1" operator="equal">
      <formula>"please check"</formula>
    </cfRule>
  </conditionalFormatting>
  <conditionalFormatting sqref="BA126">
    <cfRule type="containsText" dxfId="4568" priority="1022" operator="containsText" text="Please check">
      <formula>NOT(ISERROR(SEARCH("Please check",BA126)))</formula>
    </cfRule>
    <cfRule type="containsText" dxfId="4567" priority="1023" operator="containsText" text="Missing inputs">
      <formula>NOT(ISERROR(SEARCH("Missing inputs",BA126)))</formula>
    </cfRule>
    <cfRule type="containsText" dxfId="4566" priority="1024" operator="containsText" text="OK">
      <formula>NOT(ISERROR(SEARCH("OK",BA126)))</formula>
    </cfRule>
  </conditionalFormatting>
  <conditionalFormatting sqref="BA130">
    <cfRule type="cellIs" dxfId="4565" priority="1021" stopIfTrue="1" operator="equal">
      <formula>"Pass"</formula>
    </cfRule>
  </conditionalFormatting>
  <conditionalFormatting sqref="BA130">
    <cfRule type="cellIs" dxfId="4564" priority="1018" stopIfTrue="1" operator="equal">
      <formula>"No"</formula>
    </cfRule>
    <cfRule type="cellIs" dxfId="4563" priority="1019" stopIfTrue="1" operator="equal">
      <formula>"Fail"</formula>
    </cfRule>
    <cfRule type="cellIs" dxfId="4562" priority="1020" stopIfTrue="1" operator="equal">
      <formula>"please check"</formula>
    </cfRule>
  </conditionalFormatting>
  <conditionalFormatting sqref="BA130">
    <cfRule type="containsText" dxfId="4561" priority="1015" operator="containsText" text="Please check">
      <formula>NOT(ISERROR(SEARCH("Please check",BA130)))</formula>
    </cfRule>
    <cfRule type="containsText" dxfId="4560" priority="1016" operator="containsText" text="Missing inputs">
      <formula>NOT(ISERROR(SEARCH("Missing inputs",BA130)))</formula>
    </cfRule>
    <cfRule type="containsText" dxfId="4559" priority="1017" operator="containsText" text="OK">
      <formula>NOT(ISERROR(SEARCH("OK",BA130)))</formula>
    </cfRule>
  </conditionalFormatting>
  <conditionalFormatting sqref="BA134">
    <cfRule type="cellIs" dxfId="4558" priority="1014" stopIfTrue="1" operator="equal">
      <formula>"Pass"</formula>
    </cfRule>
  </conditionalFormatting>
  <conditionalFormatting sqref="BA134">
    <cfRule type="cellIs" dxfId="4557" priority="1011" stopIfTrue="1" operator="equal">
      <formula>"No"</formula>
    </cfRule>
    <cfRule type="cellIs" dxfId="4556" priority="1012" stopIfTrue="1" operator="equal">
      <formula>"Fail"</formula>
    </cfRule>
    <cfRule type="cellIs" dxfId="4555" priority="1013" stopIfTrue="1" operator="equal">
      <formula>"please check"</formula>
    </cfRule>
  </conditionalFormatting>
  <conditionalFormatting sqref="BA134">
    <cfRule type="containsText" dxfId="4554" priority="1008" operator="containsText" text="Please check">
      <formula>NOT(ISERROR(SEARCH("Please check",BA134)))</formula>
    </cfRule>
    <cfRule type="containsText" dxfId="4553" priority="1009" operator="containsText" text="Missing inputs">
      <formula>NOT(ISERROR(SEARCH("Missing inputs",BA134)))</formula>
    </cfRule>
    <cfRule type="containsText" dxfId="4552" priority="1010" operator="containsText" text="OK">
      <formula>NOT(ISERROR(SEARCH("OK",BA134)))</formula>
    </cfRule>
  </conditionalFormatting>
  <conditionalFormatting sqref="BA138">
    <cfRule type="cellIs" dxfId="4551" priority="1007" stopIfTrue="1" operator="equal">
      <formula>"Pass"</formula>
    </cfRule>
  </conditionalFormatting>
  <conditionalFormatting sqref="BA138">
    <cfRule type="cellIs" dxfId="4550" priority="1004" stopIfTrue="1" operator="equal">
      <formula>"No"</formula>
    </cfRule>
    <cfRule type="cellIs" dxfId="4549" priority="1005" stopIfTrue="1" operator="equal">
      <formula>"Fail"</formula>
    </cfRule>
    <cfRule type="cellIs" dxfId="4548" priority="1006" stopIfTrue="1" operator="equal">
      <formula>"please check"</formula>
    </cfRule>
  </conditionalFormatting>
  <conditionalFormatting sqref="BA138">
    <cfRule type="containsText" dxfId="4547" priority="1001" operator="containsText" text="Please check">
      <formula>NOT(ISERROR(SEARCH("Please check",BA138)))</formula>
    </cfRule>
    <cfRule type="containsText" dxfId="4546" priority="1002" operator="containsText" text="Missing inputs">
      <formula>NOT(ISERROR(SEARCH("Missing inputs",BA138)))</formula>
    </cfRule>
    <cfRule type="containsText" dxfId="4545" priority="1003" operator="containsText" text="OK">
      <formula>NOT(ISERROR(SEARCH("OK",BA138)))</formula>
    </cfRule>
  </conditionalFormatting>
  <conditionalFormatting sqref="BA142">
    <cfRule type="cellIs" dxfId="4544" priority="1000" stopIfTrue="1" operator="equal">
      <formula>"Pass"</formula>
    </cfRule>
  </conditionalFormatting>
  <conditionalFormatting sqref="BA142">
    <cfRule type="cellIs" dxfId="4543" priority="997" stopIfTrue="1" operator="equal">
      <formula>"No"</formula>
    </cfRule>
    <cfRule type="cellIs" dxfId="4542" priority="998" stopIfTrue="1" operator="equal">
      <formula>"Fail"</formula>
    </cfRule>
    <cfRule type="cellIs" dxfId="4541" priority="999" stopIfTrue="1" operator="equal">
      <formula>"please check"</formula>
    </cfRule>
  </conditionalFormatting>
  <conditionalFormatting sqref="BA142">
    <cfRule type="containsText" dxfId="4540" priority="994" operator="containsText" text="Please check">
      <formula>NOT(ISERROR(SEARCH("Please check",BA142)))</formula>
    </cfRule>
    <cfRule type="containsText" dxfId="4539" priority="995" operator="containsText" text="Missing inputs">
      <formula>NOT(ISERROR(SEARCH("Missing inputs",BA142)))</formula>
    </cfRule>
    <cfRule type="containsText" dxfId="4538" priority="996" operator="containsText" text="OK">
      <formula>NOT(ISERROR(SEARCH("OK",BA142)))</formula>
    </cfRule>
  </conditionalFormatting>
  <conditionalFormatting sqref="AX152">
    <cfRule type="cellIs" dxfId="4537" priority="991" stopIfTrue="1" operator="equal">
      <formula>"Pass"</formula>
    </cfRule>
    <cfRule type="cellIs" dxfId="4536" priority="992" stopIfTrue="1" operator="equal">
      <formula>"please check"</formula>
    </cfRule>
  </conditionalFormatting>
  <conditionalFormatting sqref="BC152 BC154 BC156">
    <cfRule type="cellIs" dxfId="4535" priority="988" stopIfTrue="1" operator="equal">
      <formula>"Pass"</formula>
    </cfRule>
    <cfRule type="cellIs" dxfId="4534" priority="989" stopIfTrue="1" operator="equal">
      <formula>"please check"</formula>
    </cfRule>
  </conditionalFormatting>
  <conditionalFormatting sqref="AX154 BB154 AX156 BB156">
    <cfRule type="cellIs" dxfId="4533" priority="985" stopIfTrue="1" operator="equal">
      <formula>"No"</formula>
    </cfRule>
    <cfRule type="cellIs" dxfId="4532" priority="986" stopIfTrue="1" operator="equal">
      <formula>"Fail"</formula>
    </cfRule>
    <cfRule type="cellIs" dxfId="4531" priority="987" stopIfTrue="1" operator="equal">
      <formula>"please check"</formula>
    </cfRule>
  </conditionalFormatting>
  <conditionalFormatting sqref="AX154 BB154 AX156 BB156">
    <cfRule type="cellIs" dxfId="4530" priority="984" stopIfTrue="1" operator="equal">
      <formula>"Pass"</formula>
    </cfRule>
  </conditionalFormatting>
  <conditionalFormatting sqref="AV153">
    <cfRule type="cellIs" dxfId="4529" priority="940" operator="equal">
      <formula>"""Missing Input"""</formula>
    </cfRule>
    <cfRule type="cellIs" dxfId="4528" priority="975" stopIfTrue="1" operator="equal">
      <formula>"No"</formula>
    </cfRule>
    <cfRule type="cellIs" dxfId="4527" priority="976" stopIfTrue="1" operator="equal">
      <formula>"Fail"</formula>
    </cfRule>
    <cfRule type="cellIs" dxfId="4526" priority="977" stopIfTrue="1" operator="equal">
      <formula>"please check"</formula>
    </cfRule>
  </conditionalFormatting>
  <conditionalFormatting sqref="AV153">
    <cfRule type="cellIs" dxfId="4525" priority="974" stopIfTrue="1" operator="equal">
      <formula>"Pass"</formula>
    </cfRule>
  </conditionalFormatting>
  <conditionalFormatting sqref="AV153">
    <cfRule type="containsText" dxfId="4524" priority="971" operator="containsText" text="Please check">
      <formula>NOT(ISERROR(SEARCH("Please check",AV153)))</formula>
    </cfRule>
    <cfRule type="containsText" dxfId="4523" priority="972" operator="containsText" text="Missing inputs">
      <formula>NOT(ISERROR(SEARCH("Missing inputs",AV153)))</formula>
    </cfRule>
    <cfRule type="containsText" dxfId="4522" priority="973" operator="containsText" text="OK">
      <formula>NOT(ISERROR(SEARCH("OK",AV153)))</formula>
    </cfRule>
  </conditionalFormatting>
  <conditionalFormatting sqref="AW152">
    <cfRule type="cellIs" dxfId="4521" priority="965" stopIfTrue="1" operator="equal">
      <formula>"Pass"</formula>
    </cfRule>
    <cfRule type="cellIs" dxfId="4520" priority="966" stopIfTrue="1" operator="equal">
      <formula>"please check"</formula>
    </cfRule>
  </conditionalFormatting>
  <conditionalFormatting sqref="AW152">
    <cfRule type="cellIs" dxfId="4519" priority="968" stopIfTrue="1" operator="equal">
      <formula>"Pass"</formula>
    </cfRule>
    <cfRule type="cellIs" dxfId="4518" priority="969" stopIfTrue="1" operator="equal">
      <formula>"please check"</formula>
    </cfRule>
  </conditionalFormatting>
  <conditionalFormatting sqref="AW153">
    <cfRule type="cellIs" dxfId="4517" priority="962" stopIfTrue="1" operator="equal">
      <formula>"No"</formula>
    </cfRule>
    <cfRule type="cellIs" dxfId="4516" priority="963" stopIfTrue="1" operator="equal">
      <formula>"Fail"</formula>
    </cfRule>
    <cfRule type="cellIs" dxfId="4515" priority="964" stopIfTrue="1" operator="equal">
      <formula>"please check"</formula>
    </cfRule>
  </conditionalFormatting>
  <conditionalFormatting sqref="AW153">
    <cfRule type="cellIs" dxfId="4514" priority="961" stopIfTrue="1" operator="equal">
      <formula>"Pass"</formula>
    </cfRule>
  </conditionalFormatting>
  <conditionalFormatting sqref="BB154 BB156">
    <cfRule type="cellIs" dxfId="4513" priority="952" stopIfTrue="1" operator="equal">
      <formula>"No"</formula>
    </cfRule>
    <cfRule type="cellIs" dxfId="4512" priority="953" stopIfTrue="1" operator="equal">
      <formula>"Fail"</formula>
    </cfRule>
    <cfRule type="cellIs" dxfId="4511" priority="954" stopIfTrue="1" operator="equal">
      <formula>"please check"</formula>
    </cfRule>
  </conditionalFormatting>
  <conditionalFormatting sqref="BB154 BB156">
    <cfRule type="cellIs" dxfId="4510" priority="951" stopIfTrue="1" operator="equal">
      <formula>"Pass"</formula>
    </cfRule>
  </conditionalFormatting>
  <conditionalFormatting sqref="BC152">
    <cfRule type="cellIs" dxfId="4509" priority="945" stopIfTrue="1" operator="equal">
      <formula>"Pass"</formula>
    </cfRule>
    <cfRule type="cellIs" dxfId="4508" priority="946" stopIfTrue="1" operator="equal">
      <formula>"please check"</formula>
    </cfRule>
  </conditionalFormatting>
  <conditionalFormatting sqref="BC152">
    <cfRule type="cellIs" dxfId="4507" priority="948" stopIfTrue="1" operator="equal">
      <formula>"Pass"</formula>
    </cfRule>
    <cfRule type="cellIs" dxfId="4506" priority="949" stopIfTrue="1" operator="equal">
      <formula>"please check"</formula>
    </cfRule>
  </conditionalFormatting>
  <conditionalFormatting sqref="BC154 BC156">
    <cfRule type="cellIs" dxfId="4505" priority="942" stopIfTrue="1" operator="equal">
      <formula>"No"</formula>
    </cfRule>
    <cfRule type="cellIs" dxfId="4504" priority="943" stopIfTrue="1" operator="equal">
      <formula>"Fail"</formula>
    </cfRule>
    <cfRule type="cellIs" dxfId="4503" priority="944" stopIfTrue="1" operator="equal">
      <formula>"please check"</formula>
    </cfRule>
  </conditionalFormatting>
  <conditionalFormatting sqref="BC154 BC156">
    <cfRule type="cellIs" dxfId="4502" priority="941" stopIfTrue="1" operator="equal">
      <formula>"Pass"</formula>
    </cfRule>
  </conditionalFormatting>
  <conditionalFormatting sqref="BA152">
    <cfRule type="cellIs" dxfId="4501" priority="937" stopIfTrue="1" operator="equal">
      <formula>"Pass"</formula>
    </cfRule>
    <cfRule type="cellIs" dxfId="4500" priority="938" stopIfTrue="1" operator="equal">
      <formula>"please check"</formula>
    </cfRule>
  </conditionalFormatting>
  <conditionalFormatting sqref="AZ152">
    <cfRule type="cellIs" dxfId="4499" priority="925" stopIfTrue="1" operator="equal">
      <formula>"Pass"</formula>
    </cfRule>
    <cfRule type="cellIs" dxfId="4498" priority="926" stopIfTrue="1" operator="equal">
      <formula>"please check"</formula>
    </cfRule>
  </conditionalFormatting>
  <conditionalFormatting sqref="AZ152">
    <cfRule type="cellIs" dxfId="4497" priority="928" stopIfTrue="1" operator="equal">
      <formula>"Pass"</formula>
    </cfRule>
    <cfRule type="cellIs" dxfId="4496" priority="929" stopIfTrue="1" operator="equal">
      <formula>"please check"</formula>
    </cfRule>
  </conditionalFormatting>
  <conditionalFormatting sqref="AY153:AY158 AY160:AY161">
    <cfRule type="cellIs" dxfId="4495" priority="917" operator="equal">
      <formula>"""Missing Input"""</formula>
    </cfRule>
    <cfRule type="cellIs" dxfId="4494" priority="922" stopIfTrue="1" operator="equal">
      <formula>"No"</formula>
    </cfRule>
    <cfRule type="cellIs" dxfId="4493" priority="923" stopIfTrue="1" operator="equal">
      <formula>"Fail"</formula>
    </cfRule>
    <cfRule type="cellIs" dxfId="4492" priority="924" stopIfTrue="1" operator="equal">
      <formula>"please check"</formula>
    </cfRule>
  </conditionalFormatting>
  <conditionalFormatting sqref="AY153:AY158 AY160:AY161">
    <cfRule type="cellIs" dxfId="4491" priority="921" stopIfTrue="1" operator="equal">
      <formula>"Pass"</formula>
    </cfRule>
  </conditionalFormatting>
  <conditionalFormatting sqref="AY153:AY158 AY160:AY161">
    <cfRule type="containsText" dxfId="4490" priority="918" operator="containsText" text="Please check">
      <formula>NOT(ISERROR(SEARCH("Please check",AY153)))</formula>
    </cfRule>
    <cfRule type="containsText" dxfId="4489" priority="919" operator="containsText" text="Missing inputs">
      <formula>NOT(ISERROR(SEARCH("Missing inputs",AY153)))</formula>
    </cfRule>
    <cfRule type="containsText" dxfId="4488" priority="920" operator="containsText" text="OK">
      <formula>NOT(ISERROR(SEARCH("OK",AY153)))</formula>
    </cfRule>
  </conditionalFormatting>
  <conditionalFormatting sqref="BA154 BA156">
    <cfRule type="cellIs" dxfId="4487" priority="914" stopIfTrue="1" operator="equal">
      <formula>"No"</formula>
    </cfRule>
    <cfRule type="cellIs" dxfId="4486" priority="915" stopIfTrue="1" operator="equal">
      <formula>"Fail"</formula>
    </cfRule>
    <cfRule type="cellIs" dxfId="4485" priority="916" stopIfTrue="1" operator="equal">
      <formula>"please check"</formula>
    </cfRule>
  </conditionalFormatting>
  <conditionalFormatting sqref="BA154 BA156">
    <cfRule type="cellIs" dxfId="4484" priority="913" stopIfTrue="1" operator="equal">
      <formula>"Pass"</formula>
    </cfRule>
  </conditionalFormatting>
  <conditionalFormatting sqref="AZ153">
    <cfRule type="cellIs" dxfId="4483" priority="910" stopIfTrue="1" operator="equal">
      <formula>"No"</formula>
    </cfRule>
    <cfRule type="cellIs" dxfId="4482" priority="911" stopIfTrue="1" operator="equal">
      <formula>"Fail"</formula>
    </cfRule>
    <cfRule type="cellIs" dxfId="4481" priority="912" stopIfTrue="1" operator="equal">
      <formula>"please check"</formula>
    </cfRule>
  </conditionalFormatting>
  <conditionalFormatting sqref="AZ153">
    <cfRule type="cellIs" dxfId="4480" priority="909" stopIfTrue="1" operator="equal">
      <formula>"Pass"</formula>
    </cfRule>
  </conditionalFormatting>
  <conditionalFormatting sqref="AV154">
    <cfRule type="cellIs" dxfId="4479" priority="901" operator="equal">
      <formula>"""Missing Input"""</formula>
    </cfRule>
    <cfRule type="cellIs" dxfId="4478" priority="906" stopIfTrue="1" operator="equal">
      <formula>"No"</formula>
    </cfRule>
    <cfRule type="cellIs" dxfId="4477" priority="907" stopIfTrue="1" operator="equal">
      <formula>"Fail"</formula>
    </cfRule>
    <cfRule type="cellIs" dxfId="4476" priority="908" stopIfTrue="1" operator="equal">
      <formula>"please check"</formula>
    </cfRule>
  </conditionalFormatting>
  <conditionalFormatting sqref="AV154">
    <cfRule type="cellIs" dxfId="4475" priority="905" stopIfTrue="1" operator="equal">
      <formula>"Pass"</formula>
    </cfRule>
  </conditionalFormatting>
  <conditionalFormatting sqref="AV154">
    <cfRule type="containsText" dxfId="4474" priority="902" operator="containsText" text="Please check">
      <formula>NOT(ISERROR(SEARCH("Please check",AV154)))</formula>
    </cfRule>
    <cfRule type="containsText" dxfId="4473" priority="903" operator="containsText" text="Missing inputs">
      <formula>NOT(ISERROR(SEARCH("Missing inputs",AV154)))</formula>
    </cfRule>
    <cfRule type="containsText" dxfId="4472" priority="904" operator="containsText" text="OK">
      <formula>NOT(ISERROR(SEARCH("OK",AV154)))</formula>
    </cfRule>
  </conditionalFormatting>
  <conditionalFormatting sqref="AV155">
    <cfRule type="cellIs" dxfId="4471" priority="893" operator="equal">
      <formula>"""Missing Input"""</formula>
    </cfRule>
    <cfRule type="cellIs" dxfId="4470" priority="898" stopIfTrue="1" operator="equal">
      <formula>"No"</formula>
    </cfRule>
    <cfRule type="cellIs" dxfId="4469" priority="899" stopIfTrue="1" operator="equal">
      <formula>"Fail"</formula>
    </cfRule>
    <cfRule type="cellIs" dxfId="4468" priority="900" stopIfTrue="1" operator="equal">
      <formula>"please check"</formula>
    </cfRule>
  </conditionalFormatting>
  <conditionalFormatting sqref="AV155">
    <cfRule type="cellIs" dxfId="4467" priority="897" stopIfTrue="1" operator="equal">
      <formula>"Pass"</formula>
    </cfRule>
  </conditionalFormatting>
  <conditionalFormatting sqref="AV155">
    <cfRule type="containsText" dxfId="4466" priority="894" operator="containsText" text="Please check">
      <formula>NOT(ISERROR(SEARCH("Please check",AV155)))</formula>
    </cfRule>
    <cfRule type="containsText" dxfId="4465" priority="895" operator="containsText" text="Missing inputs">
      <formula>NOT(ISERROR(SEARCH("Missing inputs",AV155)))</formula>
    </cfRule>
    <cfRule type="containsText" dxfId="4464" priority="896" operator="containsText" text="OK">
      <formula>NOT(ISERROR(SEARCH("OK",AV155)))</formula>
    </cfRule>
  </conditionalFormatting>
  <conditionalFormatting sqref="AV156">
    <cfRule type="cellIs" dxfId="4463" priority="885" operator="equal">
      <formula>"""Missing Input"""</formula>
    </cfRule>
    <cfRule type="cellIs" dxfId="4462" priority="890" stopIfTrue="1" operator="equal">
      <formula>"No"</formula>
    </cfRule>
    <cfRule type="cellIs" dxfId="4461" priority="891" stopIfTrue="1" operator="equal">
      <formula>"Fail"</formula>
    </cfRule>
    <cfRule type="cellIs" dxfId="4460" priority="892" stopIfTrue="1" operator="equal">
      <formula>"please check"</formula>
    </cfRule>
  </conditionalFormatting>
  <conditionalFormatting sqref="AV156">
    <cfRule type="cellIs" dxfId="4459" priority="889" stopIfTrue="1" operator="equal">
      <formula>"Pass"</formula>
    </cfRule>
  </conditionalFormatting>
  <conditionalFormatting sqref="AV156">
    <cfRule type="containsText" dxfId="4458" priority="886" operator="containsText" text="Please check">
      <formula>NOT(ISERROR(SEARCH("Please check",AV156)))</formula>
    </cfRule>
    <cfRule type="containsText" dxfId="4457" priority="887" operator="containsText" text="Missing inputs">
      <formula>NOT(ISERROR(SEARCH("Missing inputs",AV156)))</formula>
    </cfRule>
    <cfRule type="containsText" dxfId="4456" priority="888" operator="containsText" text="OK">
      <formula>NOT(ISERROR(SEARCH("OK",AV156)))</formula>
    </cfRule>
  </conditionalFormatting>
  <conditionalFormatting sqref="AV157">
    <cfRule type="cellIs" dxfId="4455" priority="877" operator="equal">
      <formula>"""Missing Input"""</formula>
    </cfRule>
    <cfRule type="cellIs" dxfId="4454" priority="882" stopIfTrue="1" operator="equal">
      <formula>"No"</formula>
    </cfRule>
    <cfRule type="cellIs" dxfId="4453" priority="883" stopIfTrue="1" operator="equal">
      <formula>"Fail"</formula>
    </cfRule>
    <cfRule type="cellIs" dxfId="4452" priority="884" stopIfTrue="1" operator="equal">
      <formula>"please check"</formula>
    </cfRule>
  </conditionalFormatting>
  <conditionalFormatting sqref="AV157">
    <cfRule type="cellIs" dxfId="4451" priority="881" stopIfTrue="1" operator="equal">
      <formula>"Pass"</formula>
    </cfRule>
  </conditionalFormatting>
  <conditionalFormatting sqref="AV157">
    <cfRule type="containsText" dxfId="4450" priority="878" operator="containsText" text="Please check">
      <formula>NOT(ISERROR(SEARCH("Please check",AV157)))</formula>
    </cfRule>
    <cfRule type="containsText" dxfId="4449" priority="879" operator="containsText" text="Missing inputs">
      <formula>NOT(ISERROR(SEARCH("Missing inputs",AV157)))</formula>
    </cfRule>
    <cfRule type="containsText" dxfId="4448" priority="880" operator="containsText" text="OK">
      <formula>NOT(ISERROR(SEARCH("OK",AV157)))</formula>
    </cfRule>
  </conditionalFormatting>
  <conditionalFormatting sqref="AV158">
    <cfRule type="cellIs" dxfId="4447" priority="869" operator="equal">
      <formula>"""Missing Input"""</formula>
    </cfRule>
    <cfRule type="cellIs" dxfId="4446" priority="874" stopIfTrue="1" operator="equal">
      <formula>"No"</formula>
    </cfRule>
    <cfRule type="cellIs" dxfId="4445" priority="875" stopIfTrue="1" operator="equal">
      <formula>"Fail"</formula>
    </cfRule>
    <cfRule type="cellIs" dxfId="4444" priority="876" stopIfTrue="1" operator="equal">
      <formula>"please check"</formula>
    </cfRule>
  </conditionalFormatting>
  <conditionalFormatting sqref="AV158">
    <cfRule type="cellIs" dxfId="4443" priority="873" stopIfTrue="1" operator="equal">
      <formula>"Pass"</formula>
    </cfRule>
  </conditionalFormatting>
  <conditionalFormatting sqref="AV158">
    <cfRule type="containsText" dxfId="4442" priority="870" operator="containsText" text="Please check">
      <formula>NOT(ISERROR(SEARCH("Please check",AV158)))</formula>
    </cfRule>
    <cfRule type="containsText" dxfId="4441" priority="871" operator="containsText" text="Missing inputs">
      <formula>NOT(ISERROR(SEARCH("Missing inputs",AV158)))</formula>
    </cfRule>
    <cfRule type="containsText" dxfId="4440" priority="872" operator="containsText" text="OK">
      <formula>NOT(ISERROR(SEARCH("OK",AV158)))</formula>
    </cfRule>
  </conditionalFormatting>
  <conditionalFormatting sqref="AV160">
    <cfRule type="cellIs" dxfId="4439" priority="861" operator="equal">
      <formula>"""Missing Input"""</formula>
    </cfRule>
    <cfRule type="cellIs" dxfId="4438" priority="866" stopIfTrue="1" operator="equal">
      <formula>"No"</formula>
    </cfRule>
    <cfRule type="cellIs" dxfId="4437" priority="867" stopIfTrue="1" operator="equal">
      <formula>"Fail"</formula>
    </cfRule>
    <cfRule type="cellIs" dxfId="4436" priority="868" stopIfTrue="1" operator="equal">
      <formula>"please check"</formula>
    </cfRule>
  </conditionalFormatting>
  <conditionalFormatting sqref="AV160">
    <cfRule type="cellIs" dxfId="4435" priority="865" stopIfTrue="1" operator="equal">
      <formula>"Pass"</formula>
    </cfRule>
  </conditionalFormatting>
  <conditionalFormatting sqref="AV160">
    <cfRule type="containsText" dxfId="4434" priority="862" operator="containsText" text="Please check">
      <formula>NOT(ISERROR(SEARCH("Please check",AV160)))</formula>
    </cfRule>
    <cfRule type="containsText" dxfId="4433" priority="863" operator="containsText" text="Missing inputs">
      <formula>NOT(ISERROR(SEARCH("Missing inputs",AV160)))</formula>
    </cfRule>
    <cfRule type="containsText" dxfId="4432" priority="864" operator="containsText" text="OK">
      <formula>NOT(ISERROR(SEARCH("OK",AV160)))</formula>
    </cfRule>
  </conditionalFormatting>
  <conditionalFormatting sqref="AV161">
    <cfRule type="cellIs" dxfId="4431" priority="853" operator="equal">
      <formula>"""Missing Input"""</formula>
    </cfRule>
    <cfRule type="cellIs" dxfId="4430" priority="858" stopIfTrue="1" operator="equal">
      <formula>"No"</formula>
    </cfRule>
    <cfRule type="cellIs" dxfId="4429" priority="859" stopIfTrue="1" operator="equal">
      <formula>"Fail"</formula>
    </cfRule>
    <cfRule type="cellIs" dxfId="4428" priority="860" stopIfTrue="1" operator="equal">
      <formula>"please check"</formula>
    </cfRule>
  </conditionalFormatting>
  <conditionalFormatting sqref="AV161">
    <cfRule type="cellIs" dxfId="4427" priority="857" stopIfTrue="1" operator="equal">
      <formula>"Pass"</formula>
    </cfRule>
  </conditionalFormatting>
  <conditionalFormatting sqref="AV161">
    <cfRule type="containsText" dxfId="4426" priority="854" operator="containsText" text="Please check">
      <formula>NOT(ISERROR(SEARCH("Please check",AV161)))</formula>
    </cfRule>
    <cfRule type="containsText" dxfId="4425" priority="855" operator="containsText" text="Missing inputs">
      <formula>NOT(ISERROR(SEARCH("Missing inputs",AV161)))</formula>
    </cfRule>
    <cfRule type="containsText" dxfId="4424" priority="856" operator="containsText" text="OK">
      <formula>NOT(ISERROR(SEARCH("OK",AV161)))</formula>
    </cfRule>
  </conditionalFormatting>
  <conditionalFormatting sqref="AW154">
    <cfRule type="cellIs" dxfId="4423" priority="850" stopIfTrue="1" operator="equal">
      <formula>"No"</formula>
    </cfRule>
    <cfRule type="cellIs" dxfId="4422" priority="851" stopIfTrue="1" operator="equal">
      <formula>"Fail"</formula>
    </cfRule>
    <cfRule type="cellIs" dxfId="4421" priority="852" stopIfTrue="1" operator="equal">
      <formula>"please check"</formula>
    </cfRule>
  </conditionalFormatting>
  <conditionalFormatting sqref="AW154">
    <cfRule type="cellIs" dxfId="4420" priority="849" stopIfTrue="1" operator="equal">
      <formula>"Pass"</formula>
    </cfRule>
  </conditionalFormatting>
  <conditionalFormatting sqref="AW154">
    <cfRule type="containsText" dxfId="4419" priority="846" operator="containsText" text="Please check">
      <formula>NOT(ISERROR(SEARCH("Please check",AW154)))</formula>
    </cfRule>
    <cfRule type="containsText" dxfId="4418" priority="847" operator="containsText" text="Missing inputs">
      <formula>NOT(ISERROR(SEARCH("Missing inputs",AW154)))</formula>
    </cfRule>
    <cfRule type="containsText" dxfId="4417" priority="848" operator="containsText" text="OK">
      <formula>NOT(ISERROR(SEARCH("OK",AW154)))</formula>
    </cfRule>
  </conditionalFormatting>
  <conditionalFormatting sqref="AW156">
    <cfRule type="cellIs" dxfId="4416" priority="843" stopIfTrue="1" operator="equal">
      <formula>"No"</formula>
    </cfRule>
    <cfRule type="cellIs" dxfId="4415" priority="844" stopIfTrue="1" operator="equal">
      <formula>"Fail"</formula>
    </cfRule>
    <cfRule type="cellIs" dxfId="4414" priority="845" stopIfTrue="1" operator="equal">
      <formula>"please check"</formula>
    </cfRule>
  </conditionalFormatting>
  <conditionalFormatting sqref="AW156">
    <cfRule type="cellIs" dxfId="4413" priority="842" stopIfTrue="1" operator="equal">
      <formula>"Pass"</formula>
    </cfRule>
  </conditionalFormatting>
  <conditionalFormatting sqref="AW156">
    <cfRule type="containsText" dxfId="4412" priority="839" operator="containsText" text="Please check">
      <formula>NOT(ISERROR(SEARCH("Please check",AW156)))</formula>
    </cfRule>
    <cfRule type="containsText" dxfId="4411" priority="840" operator="containsText" text="Missing inputs">
      <formula>NOT(ISERROR(SEARCH("Missing inputs",AW156)))</formula>
    </cfRule>
    <cfRule type="containsText" dxfId="4410" priority="841" operator="containsText" text="OK">
      <formula>NOT(ISERROR(SEARCH("OK",AW156)))</formula>
    </cfRule>
  </conditionalFormatting>
  <conditionalFormatting sqref="AW158">
    <cfRule type="cellIs" dxfId="4409" priority="836" stopIfTrue="1" operator="equal">
      <formula>"No"</formula>
    </cfRule>
    <cfRule type="cellIs" dxfId="4408" priority="837" stopIfTrue="1" operator="equal">
      <formula>"Fail"</formula>
    </cfRule>
    <cfRule type="cellIs" dxfId="4407" priority="838" stopIfTrue="1" operator="equal">
      <formula>"please check"</formula>
    </cfRule>
  </conditionalFormatting>
  <conditionalFormatting sqref="AW158">
    <cfRule type="cellIs" dxfId="4406" priority="835" stopIfTrue="1" operator="equal">
      <formula>"Pass"</formula>
    </cfRule>
  </conditionalFormatting>
  <conditionalFormatting sqref="AW158">
    <cfRule type="containsText" dxfId="4405" priority="832" operator="containsText" text="Please check">
      <formula>NOT(ISERROR(SEARCH("Please check",AW158)))</formula>
    </cfRule>
    <cfRule type="containsText" dxfId="4404" priority="833" operator="containsText" text="Missing inputs">
      <formula>NOT(ISERROR(SEARCH("Missing inputs",AW158)))</formula>
    </cfRule>
    <cfRule type="containsText" dxfId="4403" priority="834" operator="containsText" text="OK">
      <formula>NOT(ISERROR(SEARCH("OK",AW158)))</formula>
    </cfRule>
  </conditionalFormatting>
  <conditionalFormatting sqref="AW160">
    <cfRule type="cellIs" dxfId="4402" priority="829" stopIfTrue="1" operator="equal">
      <formula>"No"</formula>
    </cfRule>
    <cfRule type="cellIs" dxfId="4401" priority="830" stopIfTrue="1" operator="equal">
      <formula>"Fail"</formula>
    </cfRule>
    <cfRule type="cellIs" dxfId="4400" priority="831" stopIfTrue="1" operator="equal">
      <formula>"please check"</formula>
    </cfRule>
  </conditionalFormatting>
  <conditionalFormatting sqref="AW160">
    <cfRule type="cellIs" dxfId="4399" priority="828" stopIfTrue="1" operator="equal">
      <formula>"Pass"</formula>
    </cfRule>
  </conditionalFormatting>
  <conditionalFormatting sqref="AW160">
    <cfRule type="containsText" dxfId="4398" priority="825" operator="containsText" text="Please check">
      <formula>NOT(ISERROR(SEARCH("Please check",AW160)))</formula>
    </cfRule>
    <cfRule type="containsText" dxfId="4397" priority="826" operator="containsText" text="Missing inputs">
      <formula>NOT(ISERROR(SEARCH("Missing inputs",AW160)))</formula>
    </cfRule>
    <cfRule type="containsText" dxfId="4396" priority="827" operator="containsText" text="OK">
      <formula>NOT(ISERROR(SEARCH("OK",AW160)))</formula>
    </cfRule>
  </conditionalFormatting>
  <conditionalFormatting sqref="AW155">
    <cfRule type="cellIs" dxfId="4395" priority="822" stopIfTrue="1" operator="equal">
      <formula>"No"</formula>
    </cfRule>
    <cfRule type="cellIs" dxfId="4394" priority="823" stopIfTrue="1" operator="equal">
      <formula>"Fail"</formula>
    </cfRule>
    <cfRule type="cellIs" dxfId="4393" priority="824" stopIfTrue="1" operator="equal">
      <formula>"please check"</formula>
    </cfRule>
  </conditionalFormatting>
  <conditionalFormatting sqref="AW155">
    <cfRule type="cellIs" dxfId="4392" priority="821" stopIfTrue="1" operator="equal">
      <formula>"Pass"</formula>
    </cfRule>
  </conditionalFormatting>
  <conditionalFormatting sqref="AW157">
    <cfRule type="cellIs" dxfId="4391" priority="818" stopIfTrue="1" operator="equal">
      <formula>"No"</formula>
    </cfRule>
    <cfRule type="cellIs" dxfId="4390" priority="819" stopIfTrue="1" operator="equal">
      <formula>"Fail"</formula>
    </cfRule>
    <cfRule type="cellIs" dxfId="4389" priority="820" stopIfTrue="1" operator="equal">
      <formula>"please check"</formula>
    </cfRule>
  </conditionalFormatting>
  <conditionalFormatting sqref="AW157">
    <cfRule type="cellIs" dxfId="4388" priority="817" stopIfTrue="1" operator="equal">
      <formula>"Pass"</formula>
    </cfRule>
  </conditionalFormatting>
  <conditionalFormatting sqref="AW161">
    <cfRule type="cellIs" dxfId="4387" priority="814" stopIfTrue="1" operator="equal">
      <formula>"No"</formula>
    </cfRule>
    <cfRule type="cellIs" dxfId="4386" priority="815" stopIfTrue="1" operator="equal">
      <formula>"Fail"</formula>
    </cfRule>
    <cfRule type="cellIs" dxfId="4385" priority="816" stopIfTrue="1" operator="equal">
      <formula>"please check"</formula>
    </cfRule>
  </conditionalFormatting>
  <conditionalFormatting sqref="AW161">
    <cfRule type="cellIs" dxfId="4384" priority="813" stopIfTrue="1" operator="equal">
      <formula>"Pass"</formula>
    </cfRule>
  </conditionalFormatting>
  <conditionalFormatting sqref="BA153">
    <cfRule type="cellIs" dxfId="4383" priority="812" stopIfTrue="1" operator="equal">
      <formula>"Pass"</formula>
    </cfRule>
  </conditionalFormatting>
  <conditionalFormatting sqref="BA153">
    <cfRule type="cellIs" dxfId="4382" priority="809" stopIfTrue="1" operator="equal">
      <formula>"No"</formula>
    </cfRule>
    <cfRule type="cellIs" dxfId="4381" priority="810" stopIfTrue="1" operator="equal">
      <formula>"Fail"</formula>
    </cfRule>
    <cfRule type="cellIs" dxfId="4380" priority="811" stopIfTrue="1" operator="equal">
      <formula>"please check"</formula>
    </cfRule>
  </conditionalFormatting>
  <conditionalFormatting sqref="BA153">
    <cfRule type="containsText" dxfId="4379" priority="806" operator="containsText" text="Please check">
      <formula>NOT(ISERROR(SEARCH("Please check",BA153)))</formula>
    </cfRule>
    <cfRule type="containsText" dxfId="4378" priority="807" operator="containsText" text="Missing inputs">
      <formula>NOT(ISERROR(SEARCH("Missing inputs",BA153)))</formula>
    </cfRule>
    <cfRule type="containsText" dxfId="4377" priority="808" operator="containsText" text="OK">
      <formula>NOT(ISERROR(SEARCH("OK",BA153)))</formula>
    </cfRule>
  </conditionalFormatting>
  <conditionalFormatting sqref="AX153">
    <cfRule type="cellIs" dxfId="4376" priority="805" stopIfTrue="1" operator="equal">
      <formula>"Pass"</formula>
    </cfRule>
  </conditionalFormatting>
  <conditionalFormatting sqref="AX153">
    <cfRule type="cellIs" dxfId="4375" priority="802" stopIfTrue="1" operator="equal">
      <formula>"No"</formula>
    </cfRule>
    <cfRule type="cellIs" dxfId="4374" priority="803" stopIfTrue="1" operator="equal">
      <formula>"Fail"</formula>
    </cfRule>
    <cfRule type="cellIs" dxfId="4373" priority="804" stopIfTrue="1" operator="equal">
      <formula>"please check"</formula>
    </cfRule>
  </conditionalFormatting>
  <conditionalFormatting sqref="AX153">
    <cfRule type="containsText" dxfId="4372" priority="799" operator="containsText" text="Please check">
      <formula>NOT(ISERROR(SEARCH("Please check",AX153)))</formula>
    </cfRule>
    <cfRule type="containsText" dxfId="4371" priority="800" operator="containsText" text="Missing inputs">
      <formula>NOT(ISERROR(SEARCH("Missing inputs",AX153)))</formula>
    </cfRule>
    <cfRule type="containsText" dxfId="4370" priority="801" operator="containsText" text="OK">
      <formula>NOT(ISERROR(SEARCH("OK",AX153)))</formula>
    </cfRule>
  </conditionalFormatting>
  <conditionalFormatting sqref="AX155">
    <cfRule type="cellIs" dxfId="4369" priority="798" stopIfTrue="1" operator="equal">
      <formula>"Pass"</formula>
    </cfRule>
  </conditionalFormatting>
  <conditionalFormatting sqref="AX155">
    <cfRule type="cellIs" dxfId="4368" priority="795" stopIfTrue="1" operator="equal">
      <formula>"No"</formula>
    </cfRule>
    <cfRule type="cellIs" dxfId="4367" priority="796" stopIfTrue="1" operator="equal">
      <formula>"Fail"</formula>
    </cfRule>
    <cfRule type="cellIs" dxfId="4366" priority="797" stopIfTrue="1" operator="equal">
      <formula>"please check"</formula>
    </cfRule>
  </conditionalFormatting>
  <conditionalFormatting sqref="AX155">
    <cfRule type="containsText" dxfId="4365" priority="792" operator="containsText" text="Please check">
      <formula>NOT(ISERROR(SEARCH("Please check",AX155)))</formula>
    </cfRule>
    <cfRule type="containsText" dxfId="4364" priority="793" operator="containsText" text="Missing inputs">
      <formula>NOT(ISERROR(SEARCH("Missing inputs",AX155)))</formula>
    </cfRule>
    <cfRule type="containsText" dxfId="4363" priority="794" operator="containsText" text="OK">
      <formula>NOT(ISERROR(SEARCH("OK",AX155)))</formula>
    </cfRule>
  </conditionalFormatting>
  <conditionalFormatting sqref="AX157">
    <cfRule type="cellIs" dxfId="4362" priority="791" stopIfTrue="1" operator="equal">
      <formula>"Pass"</formula>
    </cfRule>
  </conditionalFormatting>
  <conditionalFormatting sqref="AX157">
    <cfRule type="cellIs" dxfId="4361" priority="788" stopIfTrue="1" operator="equal">
      <formula>"No"</formula>
    </cfRule>
    <cfRule type="cellIs" dxfId="4360" priority="789" stopIfTrue="1" operator="equal">
      <formula>"Fail"</formula>
    </cfRule>
    <cfRule type="cellIs" dxfId="4359" priority="790" stopIfTrue="1" operator="equal">
      <formula>"please check"</formula>
    </cfRule>
  </conditionalFormatting>
  <conditionalFormatting sqref="AX157">
    <cfRule type="containsText" dxfId="4358" priority="785" operator="containsText" text="Please check">
      <formula>NOT(ISERROR(SEARCH("Please check",AX157)))</formula>
    </cfRule>
    <cfRule type="containsText" dxfId="4357" priority="786" operator="containsText" text="Missing inputs">
      <formula>NOT(ISERROR(SEARCH("Missing inputs",AX157)))</formula>
    </cfRule>
    <cfRule type="containsText" dxfId="4356" priority="787" operator="containsText" text="OK">
      <formula>NOT(ISERROR(SEARCH("OK",AX157)))</formula>
    </cfRule>
  </conditionalFormatting>
  <conditionalFormatting sqref="AX158">
    <cfRule type="cellIs" dxfId="4355" priority="782" stopIfTrue="1" operator="equal">
      <formula>"No"</formula>
    </cfRule>
    <cfRule type="cellIs" dxfId="4354" priority="783" stopIfTrue="1" operator="equal">
      <formula>"Fail"</formula>
    </cfRule>
    <cfRule type="cellIs" dxfId="4353" priority="784" stopIfTrue="1" operator="equal">
      <formula>"please check"</formula>
    </cfRule>
  </conditionalFormatting>
  <conditionalFormatting sqref="AX158">
    <cfRule type="cellIs" dxfId="4352" priority="781" stopIfTrue="1" operator="equal">
      <formula>"Pass"</formula>
    </cfRule>
  </conditionalFormatting>
  <conditionalFormatting sqref="AX160">
    <cfRule type="cellIs" dxfId="4351" priority="778" stopIfTrue="1" operator="equal">
      <formula>"No"</formula>
    </cfRule>
    <cfRule type="cellIs" dxfId="4350" priority="779" stopIfTrue="1" operator="equal">
      <formula>"Fail"</formula>
    </cfRule>
    <cfRule type="cellIs" dxfId="4349" priority="780" stopIfTrue="1" operator="equal">
      <formula>"please check"</formula>
    </cfRule>
  </conditionalFormatting>
  <conditionalFormatting sqref="AX160">
    <cfRule type="cellIs" dxfId="4348" priority="777" stopIfTrue="1" operator="equal">
      <formula>"Pass"</formula>
    </cfRule>
  </conditionalFormatting>
  <conditionalFormatting sqref="AX161">
    <cfRule type="cellIs" dxfId="4347" priority="774" stopIfTrue="1" operator="equal">
      <formula>"No"</formula>
    </cfRule>
    <cfRule type="cellIs" dxfId="4346" priority="775" stopIfTrue="1" operator="equal">
      <formula>"Fail"</formula>
    </cfRule>
    <cfRule type="cellIs" dxfId="4345" priority="776" stopIfTrue="1" operator="equal">
      <formula>"please check"</formula>
    </cfRule>
  </conditionalFormatting>
  <conditionalFormatting sqref="AX161">
    <cfRule type="cellIs" dxfId="4344" priority="773" stopIfTrue="1" operator="equal">
      <formula>"Pass"</formula>
    </cfRule>
  </conditionalFormatting>
  <conditionalFormatting sqref="AZ154">
    <cfRule type="cellIs" dxfId="4343" priority="770" stopIfTrue="1" operator="equal">
      <formula>"No"</formula>
    </cfRule>
    <cfRule type="cellIs" dxfId="4342" priority="771" stopIfTrue="1" operator="equal">
      <formula>"Fail"</formula>
    </cfRule>
    <cfRule type="cellIs" dxfId="4341" priority="772" stopIfTrue="1" operator="equal">
      <formula>"please check"</formula>
    </cfRule>
  </conditionalFormatting>
  <conditionalFormatting sqref="AZ154">
    <cfRule type="cellIs" dxfId="4340" priority="769" stopIfTrue="1" operator="equal">
      <formula>"Pass"</formula>
    </cfRule>
  </conditionalFormatting>
  <conditionalFormatting sqref="AZ154">
    <cfRule type="containsText" dxfId="4339" priority="766" operator="containsText" text="Please check">
      <formula>NOT(ISERROR(SEARCH("Please check",AZ154)))</formula>
    </cfRule>
    <cfRule type="containsText" dxfId="4338" priority="767" operator="containsText" text="Missing inputs">
      <formula>NOT(ISERROR(SEARCH("Missing inputs",AZ154)))</formula>
    </cfRule>
    <cfRule type="containsText" dxfId="4337" priority="768" operator="containsText" text="OK">
      <formula>NOT(ISERROR(SEARCH("OK",AZ154)))</formula>
    </cfRule>
  </conditionalFormatting>
  <conditionalFormatting sqref="AZ155">
    <cfRule type="cellIs" dxfId="4336" priority="763" stopIfTrue="1" operator="equal">
      <formula>"No"</formula>
    </cfRule>
    <cfRule type="cellIs" dxfId="4335" priority="764" stopIfTrue="1" operator="equal">
      <formula>"Fail"</formula>
    </cfRule>
    <cfRule type="cellIs" dxfId="4334" priority="765" stopIfTrue="1" operator="equal">
      <formula>"please check"</formula>
    </cfRule>
  </conditionalFormatting>
  <conditionalFormatting sqref="AZ155">
    <cfRule type="cellIs" dxfId="4333" priority="762" stopIfTrue="1" operator="equal">
      <formula>"Pass"</formula>
    </cfRule>
  </conditionalFormatting>
  <conditionalFormatting sqref="AZ156">
    <cfRule type="cellIs" dxfId="4332" priority="759" stopIfTrue="1" operator="equal">
      <formula>"No"</formula>
    </cfRule>
    <cfRule type="cellIs" dxfId="4331" priority="760" stopIfTrue="1" operator="equal">
      <formula>"Fail"</formula>
    </cfRule>
    <cfRule type="cellIs" dxfId="4330" priority="761" stopIfTrue="1" operator="equal">
      <formula>"please check"</formula>
    </cfRule>
  </conditionalFormatting>
  <conditionalFormatting sqref="AZ156">
    <cfRule type="cellIs" dxfId="4329" priority="758" stopIfTrue="1" operator="equal">
      <formula>"Pass"</formula>
    </cfRule>
  </conditionalFormatting>
  <conditionalFormatting sqref="AZ156">
    <cfRule type="containsText" dxfId="4328" priority="755" operator="containsText" text="Please check">
      <formula>NOT(ISERROR(SEARCH("Please check",AZ156)))</formula>
    </cfRule>
    <cfRule type="containsText" dxfId="4327" priority="756" operator="containsText" text="Missing inputs">
      <formula>NOT(ISERROR(SEARCH("Missing inputs",AZ156)))</formula>
    </cfRule>
    <cfRule type="containsText" dxfId="4326" priority="757" operator="containsText" text="OK">
      <formula>NOT(ISERROR(SEARCH("OK",AZ156)))</formula>
    </cfRule>
  </conditionalFormatting>
  <conditionalFormatting sqref="AZ158">
    <cfRule type="cellIs" dxfId="4325" priority="752" stopIfTrue="1" operator="equal">
      <formula>"No"</formula>
    </cfRule>
    <cfRule type="cellIs" dxfId="4324" priority="753" stopIfTrue="1" operator="equal">
      <formula>"Fail"</formula>
    </cfRule>
    <cfRule type="cellIs" dxfId="4323" priority="754" stopIfTrue="1" operator="equal">
      <formula>"please check"</formula>
    </cfRule>
  </conditionalFormatting>
  <conditionalFormatting sqref="AZ158">
    <cfRule type="cellIs" dxfId="4322" priority="751" stopIfTrue="1" operator="equal">
      <formula>"Pass"</formula>
    </cfRule>
  </conditionalFormatting>
  <conditionalFormatting sqref="AZ158">
    <cfRule type="containsText" dxfId="4321" priority="748" operator="containsText" text="Please check">
      <formula>NOT(ISERROR(SEARCH("Please check",AZ158)))</formula>
    </cfRule>
    <cfRule type="containsText" dxfId="4320" priority="749" operator="containsText" text="Missing inputs">
      <formula>NOT(ISERROR(SEARCH("Missing inputs",AZ158)))</formula>
    </cfRule>
    <cfRule type="containsText" dxfId="4319" priority="750" operator="containsText" text="OK">
      <formula>NOT(ISERROR(SEARCH("OK",AZ158)))</formula>
    </cfRule>
  </conditionalFormatting>
  <conditionalFormatting sqref="AZ160">
    <cfRule type="cellIs" dxfId="4318" priority="745" stopIfTrue="1" operator="equal">
      <formula>"No"</formula>
    </cfRule>
    <cfRule type="cellIs" dxfId="4317" priority="746" stopIfTrue="1" operator="equal">
      <formula>"Fail"</formula>
    </cfRule>
    <cfRule type="cellIs" dxfId="4316" priority="747" stopIfTrue="1" operator="equal">
      <formula>"please check"</formula>
    </cfRule>
  </conditionalFormatting>
  <conditionalFormatting sqref="AZ160">
    <cfRule type="cellIs" dxfId="4315" priority="744" stopIfTrue="1" operator="equal">
      <formula>"Pass"</formula>
    </cfRule>
  </conditionalFormatting>
  <conditionalFormatting sqref="AZ160">
    <cfRule type="containsText" dxfId="4314" priority="741" operator="containsText" text="Please check">
      <formula>NOT(ISERROR(SEARCH("Please check",AZ160)))</formula>
    </cfRule>
    <cfRule type="containsText" dxfId="4313" priority="742" operator="containsText" text="Missing inputs">
      <formula>NOT(ISERROR(SEARCH("Missing inputs",AZ160)))</formula>
    </cfRule>
    <cfRule type="containsText" dxfId="4312" priority="743" operator="containsText" text="OK">
      <formula>NOT(ISERROR(SEARCH("OK",AZ160)))</formula>
    </cfRule>
  </conditionalFormatting>
  <conditionalFormatting sqref="AZ157">
    <cfRule type="cellIs" dxfId="4311" priority="738" stopIfTrue="1" operator="equal">
      <formula>"No"</formula>
    </cfRule>
    <cfRule type="cellIs" dxfId="4310" priority="739" stopIfTrue="1" operator="equal">
      <formula>"Fail"</formula>
    </cfRule>
    <cfRule type="cellIs" dxfId="4309" priority="740" stopIfTrue="1" operator="equal">
      <formula>"please check"</formula>
    </cfRule>
  </conditionalFormatting>
  <conditionalFormatting sqref="AZ157">
    <cfRule type="cellIs" dxfId="4308" priority="737" stopIfTrue="1" operator="equal">
      <formula>"Pass"</formula>
    </cfRule>
  </conditionalFormatting>
  <conditionalFormatting sqref="AZ161">
    <cfRule type="cellIs" dxfId="4307" priority="734" stopIfTrue="1" operator="equal">
      <formula>"No"</formula>
    </cfRule>
    <cfRule type="cellIs" dxfId="4306" priority="735" stopIfTrue="1" operator="equal">
      <formula>"Fail"</formula>
    </cfRule>
    <cfRule type="cellIs" dxfId="4305" priority="736" stopIfTrue="1" operator="equal">
      <formula>"please check"</formula>
    </cfRule>
  </conditionalFormatting>
  <conditionalFormatting sqref="AZ161">
    <cfRule type="cellIs" dxfId="4304" priority="733" stopIfTrue="1" operator="equal">
      <formula>"Pass"</formula>
    </cfRule>
  </conditionalFormatting>
  <conditionalFormatting sqref="BA155">
    <cfRule type="cellIs" dxfId="4303" priority="732" stopIfTrue="1" operator="equal">
      <formula>"Pass"</formula>
    </cfRule>
  </conditionalFormatting>
  <conditionalFormatting sqref="BA155">
    <cfRule type="cellIs" dxfId="4302" priority="729" stopIfTrue="1" operator="equal">
      <formula>"No"</formula>
    </cfRule>
    <cfRule type="cellIs" dxfId="4301" priority="730" stopIfTrue="1" operator="equal">
      <formula>"Fail"</formula>
    </cfRule>
    <cfRule type="cellIs" dxfId="4300" priority="731" stopIfTrue="1" operator="equal">
      <formula>"please check"</formula>
    </cfRule>
  </conditionalFormatting>
  <conditionalFormatting sqref="BA155">
    <cfRule type="containsText" dxfId="4299" priority="726" operator="containsText" text="Please check">
      <formula>NOT(ISERROR(SEARCH("Please check",BA155)))</formula>
    </cfRule>
    <cfRule type="containsText" dxfId="4298" priority="727" operator="containsText" text="Missing inputs">
      <formula>NOT(ISERROR(SEARCH("Missing inputs",BA155)))</formula>
    </cfRule>
    <cfRule type="containsText" dxfId="4297" priority="728" operator="containsText" text="OK">
      <formula>NOT(ISERROR(SEARCH("OK",BA155)))</formula>
    </cfRule>
  </conditionalFormatting>
  <conditionalFormatting sqref="BA157">
    <cfRule type="cellIs" dxfId="4296" priority="725" stopIfTrue="1" operator="equal">
      <formula>"Pass"</formula>
    </cfRule>
  </conditionalFormatting>
  <conditionalFormatting sqref="BA157">
    <cfRule type="cellIs" dxfId="4295" priority="722" stopIfTrue="1" operator="equal">
      <formula>"No"</formula>
    </cfRule>
    <cfRule type="cellIs" dxfId="4294" priority="723" stopIfTrue="1" operator="equal">
      <formula>"Fail"</formula>
    </cfRule>
    <cfRule type="cellIs" dxfId="4293" priority="724" stopIfTrue="1" operator="equal">
      <formula>"please check"</formula>
    </cfRule>
  </conditionalFormatting>
  <conditionalFormatting sqref="BA157">
    <cfRule type="containsText" dxfId="4292" priority="719" operator="containsText" text="Please check">
      <formula>NOT(ISERROR(SEARCH("Please check",BA157)))</formula>
    </cfRule>
    <cfRule type="containsText" dxfId="4291" priority="720" operator="containsText" text="Missing inputs">
      <formula>NOT(ISERROR(SEARCH("Missing inputs",BA157)))</formula>
    </cfRule>
    <cfRule type="containsText" dxfId="4290" priority="721" operator="containsText" text="OK">
      <formula>NOT(ISERROR(SEARCH("OK",BA157)))</formula>
    </cfRule>
  </conditionalFormatting>
  <conditionalFormatting sqref="BA158">
    <cfRule type="cellIs" dxfId="4289" priority="716" stopIfTrue="1" operator="equal">
      <formula>"No"</formula>
    </cfRule>
    <cfRule type="cellIs" dxfId="4288" priority="717" stopIfTrue="1" operator="equal">
      <formula>"Fail"</formula>
    </cfRule>
    <cfRule type="cellIs" dxfId="4287" priority="718" stopIfTrue="1" operator="equal">
      <formula>"please check"</formula>
    </cfRule>
  </conditionalFormatting>
  <conditionalFormatting sqref="BA158">
    <cfRule type="cellIs" dxfId="4286" priority="715" stopIfTrue="1" operator="equal">
      <formula>"Pass"</formula>
    </cfRule>
  </conditionalFormatting>
  <conditionalFormatting sqref="BA160">
    <cfRule type="cellIs" dxfId="4285" priority="712" stopIfTrue="1" operator="equal">
      <formula>"No"</formula>
    </cfRule>
    <cfRule type="cellIs" dxfId="4284" priority="713" stopIfTrue="1" operator="equal">
      <formula>"Fail"</formula>
    </cfRule>
    <cfRule type="cellIs" dxfId="4283" priority="714" stopIfTrue="1" operator="equal">
      <formula>"please check"</formula>
    </cfRule>
  </conditionalFormatting>
  <conditionalFormatting sqref="BA160">
    <cfRule type="cellIs" dxfId="4282" priority="711" stopIfTrue="1" operator="equal">
      <formula>"Pass"</formula>
    </cfRule>
  </conditionalFormatting>
  <conditionalFormatting sqref="BA161">
    <cfRule type="cellIs" dxfId="4281" priority="708" stopIfTrue="1" operator="equal">
      <formula>"No"</formula>
    </cfRule>
    <cfRule type="cellIs" dxfId="4280" priority="709" stopIfTrue="1" operator="equal">
      <formula>"Fail"</formula>
    </cfRule>
    <cfRule type="cellIs" dxfId="4279" priority="710" stopIfTrue="1" operator="equal">
      <formula>"please check"</formula>
    </cfRule>
  </conditionalFormatting>
  <conditionalFormatting sqref="BA161">
    <cfRule type="cellIs" dxfId="4278" priority="707" stopIfTrue="1" operator="equal">
      <formula>"Pass"</formula>
    </cfRule>
  </conditionalFormatting>
  <conditionalFormatting sqref="BC153">
    <cfRule type="cellIs" dxfId="4277" priority="704" stopIfTrue="1" operator="equal">
      <formula>"Pass"</formula>
    </cfRule>
    <cfRule type="cellIs" dxfId="4276" priority="705" stopIfTrue="1" operator="equal">
      <formula>"please check"</formula>
    </cfRule>
  </conditionalFormatting>
  <conditionalFormatting sqref="BB153">
    <cfRule type="cellIs" dxfId="4275" priority="703" stopIfTrue="1" operator="equal">
      <formula>"Pass"</formula>
    </cfRule>
  </conditionalFormatting>
  <conditionalFormatting sqref="BB153">
    <cfRule type="cellIs" dxfId="4274" priority="700" stopIfTrue="1" operator="equal">
      <formula>"No"</formula>
    </cfRule>
    <cfRule type="cellIs" dxfId="4273" priority="701" stopIfTrue="1" operator="equal">
      <formula>"Fail"</formula>
    </cfRule>
    <cfRule type="cellIs" dxfId="4272" priority="702" stopIfTrue="1" operator="equal">
      <formula>"please check"</formula>
    </cfRule>
  </conditionalFormatting>
  <conditionalFormatting sqref="BB153">
    <cfRule type="containsText" dxfId="4271" priority="697" operator="containsText" text="Please check">
      <formula>NOT(ISERROR(SEARCH("Please check",BB153)))</formula>
    </cfRule>
    <cfRule type="containsText" dxfId="4270" priority="698" operator="containsText" text="Missing inputs">
      <formula>NOT(ISERROR(SEARCH("Missing inputs",BB153)))</formula>
    </cfRule>
    <cfRule type="containsText" dxfId="4269" priority="699" operator="containsText" text="OK">
      <formula>NOT(ISERROR(SEARCH("OK",BB153)))</formula>
    </cfRule>
  </conditionalFormatting>
  <conditionalFormatting sqref="BB153">
    <cfRule type="cellIs" dxfId="4268" priority="694" stopIfTrue="1" operator="equal">
      <formula>"No"</formula>
    </cfRule>
    <cfRule type="cellIs" dxfId="4267" priority="695" stopIfTrue="1" operator="equal">
      <formula>"Fail"</formula>
    </cfRule>
    <cfRule type="cellIs" dxfId="4266" priority="696" stopIfTrue="1" operator="equal">
      <formula>"please check"</formula>
    </cfRule>
  </conditionalFormatting>
  <conditionalFormatting sqref="BB153">
    <cfRule type="cellIs" dxfId="4265" priority="693" stopIfTrue="1" operator="equal">
      <formula>"Pass"</formula>
    </cfRule>
  </conditionalFormatting>
  <conditionalFormatting sqref="BB153">
    <cfRule type="containsText" dxfId="4264" priority="690" operator="containsText" text="Please check">
      <formula>NOT(ISERROR(SEARCH("Please check",BB153)))</formula>
    </cfRule>
    <cfRule type="containsText" dxfId="4263" priority="691" operator="containsText" text="Missing inputs">
      <formula>NOT(ISERROR(SEARCH("Missing inputs",BB153)))</formula>
    </cfRule>
    <cfRule type="containsText" dxfId="4262" priority="692" operator="containsText" text="OK">
      <formula>NOT(ISERROR(SEARCH("OK",BB153)))</formula>
    </cfRule>
  </conditionalFormatting>
  <conditionalFormatting sqref="BC153">
    <cfRule type="cellIs" dxfId="4261" priority="687" stopIfTrue="1" operator="equal">
      <formula>"No"</formula>
    </cfRule>
    <cfRule type="cellIs" dxfId="4260" priority="688" stopIfTrue="1" operator="equal">
      <formula>"Fail"</formula>
    </cfRule>
    <cfRule type="cellIs" dxfId="4259" priority="689" stopIfTrue="1" operator="equal">
      <formula>"please check"</formula>
    </cfRule>
  </conditionalFormatting>
  <conditionalFormatting sqref="BC153">
    <cfRule type="cellIs" dxfId="4258" priority="686" stopIfTrue="1" operator="equal">
      <formula>"Pass"</formula>
    </cfRule>
  </conditionalFormatting>
  <conditionalFormatting sqref="BC153">
    <cfRule type="containsText" dxfId="4257" priority="683" operator="containsText" text="Please check">
      <formula>NOT(ISERROR(SEARCH("Please check",BC153)))</formula>
    </cfRule>
    <cfRule type="containsText" dxfId="4256" priority="684" operator="containsText" text="Missing inputs">
      <formula>NOT(ISERROR(SEARCH("Missing inputs",BC153)))</formula>
    </cfRule>
    <cfRule type="containsText" dxfId="4255" priority="685" operator="containsText" text="OK">
      <formula>NOT(ISERROR(SEARCH("OK",BC153)))</formula>
    </cfRule>
  </conditionalFormatting>
  <conditionalFormatting sqref="BC155">
    <cfRule type="cellIs" dxfId="4254" priority="680" stopIfTrue="1" operator="equal">
      <formula>"Pass"</formula>
    </cfRule>
    <cfRule type="cellIs" dxfId="4253" priority="681" stopIfTrue="1" operator="equal">
      <formula>"please check"</formula>
    </cfRule>
  </conditionalFormatting>
  <conditionalFormatting sqref="BB155">
    <cfRule type="cellIs" dxfId="4252" priority="679" stopIfTrue="1" operator="equal">
      <formula>"Pass"</formula>
    </cfRule>
  </conditionalFormatting>
  <conditionalFormatting sqref="BB155">
    <cfRule type="cellIs" dxfId="4251" priority="676" stopIfTrue="1" operator="equal">
      <formula>"No"</formula>
    </cfRule>
    <cfRule type="cellIs" dxfId="4250" priority="677" stopIfTrue="1" operator="equal">
      <formula>"Fail"</formula>
    </cfRule>
    <cfRule type="cellIs" dxfId="4249" priority="678" stopIfTrue="1" operator="equal">
      <formula>"please check"</formula>
    </cfRule>
  </conditionalFormatting>
  <conditionalFormatting sqref="BB155">
    <cfRule type="containsText" dxfId="4248" priority="673" operator="containsText" text="Please check">
      <formula>NOT(ISERROR(SEARCH("Please check",BB155)))</formula>
    </cfRule>
    <cfRule type="containsText" dxfId="4247" priority="674" operator="containsText" text="Missing inputs">
      <formula>NOT(ISERROR(SEARCH("Missing inputs",BB155)))</formula>
    </cfRule>
    <cfRule type="containsText" dxfId="4246" priority="675" operator="containsText" text="OK">
      <formula>NOT(ISERROR(SEARCH("OK",BB155)))</formula>
    </cfRule>
  </conditionalFormatting>
  <conditionalFormatting sqref="BB155">
    <cfRule type="cellIs" dxfId="4245" priority="670" stopIfTrue="1" operator="equal">
      <formula>"No"</formula>
    </cfRule>
    <cfRule type="cellIs" dxfId="4244" priority="671" stopIfTrue="1" operator="equal">
      <formula>"Fail"</formula>
    </cfRule>
    <cfRule type="cellIs" dxfId="4243" priority="672" stopIfTrue="1" operator="equal">
      <formula>"please check"</formula>
    </cfRule>
  </conditionalFormatting>
  <conditionalFormatting sqref="BB155">
    <cfRule type="cellIs" dxfId="4242" priority="669" stopIfTrue="1" operator="equal">
      <formula>"Pass"</formula>
    </cfRule>
  </conditionalFormatting>
  <conditionalFormatting sqref="BB155">
    <cfRule type="containsText" dxfId="4241" priority="666" operator="containsText" text="Please check">
      <formula>NOT(ISERROR(SEARCH("Please check",BB155)))</formula>
    </cfRule>
    <cfRule type="containsText" dxfId="4240" priority="667" operator="containsText" text="Missing inputs">
      <formula>NOT(ISERROR(SEARCH("Missing inputs",BB155)))</formula>
    </cfRule>
    <cfRule type="containsText" dxfId="4239" priority="668" operator="containsText" text="OK">
      <formula>NOT(ISERROR(SEARCH("OK",BB155)))</formula>
    </cfRule>
  </conditionalFormatting>
  <conditionalFormatting sqref="BC155">
    <cfRule type="cellIs" dxfId="4238" priority="663" stopIfTrue="1" operator="equal">
      <formula>"No"</formula>
    </cfRule>
    <cfRule type="cellIs" dxfId="4237" priority="664" stopIfTrue="1" operator="equal">
      <formula>"Fail"</formula>
    </cfRule>
    <cfRule type="cellIs" dxfId="4236" priority="665" stopIfTrue="1" operator="equal">
      <formula>"please check"</formula>
    </cfRule>
  </conditionalFormatting>
  <conditionalFormatting sqref="BC155">
    <cfRule type="cellIs" dxfId="4235" priority="662" stopIfTrue="1" operator="equal">
      <formula>"Pass"</formula>
    </cfRule>
  </conditionalFormatting>
  <conditionalFormatting sqref="BC155">
    <cfRule type="containsText" dxfId="4234" priority="659" operator="containsText" text="Please check">
      <formula>NOT(ISERROR(SEARCH("Please check",BC155)))</formula>
    </cfRule>
    <cfRule type="containsText" dxfId="4233" priority="660" operator="containsText" text="Missing inputs">
      <formula>NOT(ISERROR(SEARCH("Missing inputs",BC155)))</formula>
    </cfRule>
    <cfRule type="containsText" dxfId="4232" priority="661" operator="containsText" text="OK">
      <formula>NOT(ISERROR(SEARCH("OK",BC155)))</formula>
    </cfRule>
  </conditionalFormatting>
  <conditionalFormatting sqref="BC157">
    <cfRule type="cellIs" dxfId="4231" priority="656" stopIfTrue="1" operator="equal">
      <formula>"Pass"</formula>
    </cfRule>
    <cfRule type="cellIs" dxfId="4230" priority="657" stopIfTrue="1" operator="equal">
      <formula>"please check"</formula>
    </cfRule>
  </conditionalFormatting>
  <conditionalFormatting sqref="BB157">
    <cfRule type="cellIs" dxfId="4229" priority="655" stopIfTrue="1" operator="equal">
      <formula>"Pass"</formula>
    </cfRule>
  </conditionalFormatting>
  <conditionalFormatting sqref="BB157">
    <cfRule type="cellIs" dxfId="4228" priority="652" stopIfTrue="1" operator="equal">
      <formula>"No"</formula>
    </cfRule>
    <cfRule type="cellIs" dxfId="4227" priority="653" stopIfTrue="1" operator="equal">
      <formula>"Fail"</formula>
    </cfRule>
    <cfRule type="cellIs" dxfId="4226" priority="654" stopIfTrue="1" operator="equal">
      <formula>"please check"</formula>
    </cfRule>
  </conditionalFormatting>
  <conditionalFormatting sqref="BB157">
    <cfRule type="containsText" dxfId="4225" priority="649" operator="containsText" text="Please check">
      <formula>NOT(ISERROR(SEARCH("Please check",BB157)))</formula>
    </cfRule>
    <cfRule type="containsText" dxfId="4224" priority="650" operator="containsText" text="Missing inputs">
      <formula>NOT(ISERROR(SEARCH("Missing inputs",BB157)))</formula>
    </cfRule>
    <cfRule type="containsText" dxfId="4223" priority="651" operator="containsText" text="OK">
      <formula>NOT(ISERROR(SEARCH("OK",BB157)))</formula>
    </cfRule>
  </conditionalFormatting>
  <conditionalFormatting sqref="BB157">
    <cfRule type="cellIs" dxfId="4222" priority="646" stopIfTrue="1" operator="equal">
      <formula>"No"</formula>
    </cfRule>
    <cfRule type="cellIs" dxfId="4221" priority="647" stopIfTrue="1" operator="equal">
      <formula>"Fail"</formula>
    </cfRule>
    <cfRule type="cellIs" dxfId="4220" priority="648" stopIfTrue="1" operator="equal">
      <formula>"please check"</formula>
    </cfRule>
  </conditionalFormatting>
  <conditionalFormatting sqref="BB157">
    <cfRule type="cellIs" dxfId="4219" priority="645" stopIfTrue="1" operator="equal">
      <formula>"Pass"</formula>
    </cfRule>
  </conditionalFormatting>
  <conditionalFormatting sqref="BB157">
    <cfRule type="containsText" dxfId="4218" priority="642" operator="containsText" text="Please check">
      <formula>NOT(ISERROR(SEARCH("Please check",BB157)))</formula>
    </cfRule>
    <cfRule type="containsText" dxfId="4217" priority="643" operator="containsText" text="Missing inputs">
      <formula>NOT(ISERROR(SEARCH("Missing inputs",BB157)))</formula>
    </cfRule>
    <cfRule type="containsText" dxfId="4216" priority="644" operator="containsText" text="OK">
      <formula>NOT(ISERROR(SEARCH("OK",BB157)))</formula>
    </cfRule>
  </conditionalFormatting>
  <conditionalFormatting sqref="BC157">
    <cfRule type="cellIs" dxfId="4215" priority="639" stopIfTrue="1" operator="equal">
      <formula>"No"</formula>
    </cfRule>
    <cfRule type="cellIs" dxfId="4214" priority="640" stopIfTrue="1" operator="equal">
      <formula>"Fail"</formula>
    </cfRule>
    <cfRule type="cellIs" dxfId="4213" priority="641" stopIfTrue="1" operator="equal">
      <formula>"please check"</formula>
    </cfRule>
  </conditionalFormatting>
  <conditionalFormatting sqref="BC157">
    <cfRule type="cellIs" dxfId="4212" priority="638" stopIfTrue="1" operator="equal">
      <formula>"Pass"</formula>
    </cfRule>
  </conditionalFormatting>
  <conditionalFormatting sqref="BC157">
    <cfRule type="containsText" dxfId="4211" priority="635" operator="containsText" text="Please check">
      <formula>NOT(ISERROR(SEARCH("Please check",BC157)))</formula>
    </cfRule>
    <cfRule type="containsText" dxfId="4210" priority="636" operator="containsText" text="Missing inputs">
      <formula>NOT(ISERROR(SEARCH("Missing inputs",BC157)))</formula>
    </cfRule>
    <cfRule type="containsText" dxfId="4209" priority="637" operator="containsText" text="OK">
      <formula>NOT(ISERROR(SEARCH("OK",BC157)))</formula>
    </cfRule>
  </conditionalFormatting>
  <conditionalFormatting sqref="BC161">
    <cfRule type="cellIs" dxfId="4208" priority="632" stopIfTrue="1" operator="equal">
      <formula>"Pass"</formula>
    </cfRule>
    <cfRule type="cellIs" dxfId="4207" priority="633" stopIfTrue="1" operator="equal">
      <formula>"please check"</formula>
    </cfRule>
  </conditionalFormatting>
  <conditionalFormatting sqref="BB161">
    <cfRule type="cellIs" dxfId="4206" priority="631" stopIfTrue="1" operator="equal">
      <formula>"Pass"</formula>
    </cfRule>
  </conditionalFormatting>
  <conditionalFormatting sqref="BB161">
    <cfRule type="cellIs" dxfId="4205" priority="628" stopIfTrue="1" operator="equal">
      <formula>"No"</formula>
    </cfRule>
    <cfRule type="cellIs" dxfId="4204" priority="629" stopIfTrue="1" operator="equal">
      <formula>"Fail"</formula>
    </cfRule>
    <cfRule type="cellIs" dxfId="4203" priority="630" stopIfTrue="1" operator="equal">
      <formula>"please check"</formula>
    </cfRule>
  </conditionalFormatting>
  <conditionalFormatting sqref="BB161">
    <cfRule type="containsText" dxfId="4202" priority="625" operator="containsText" text="Please check">
      <formula>NOT(ISERROR(SEARCH("Please check",BB161)))</formula>
    </cfRule>
    <cfRule type="containsText" dxfId="4201" priority="626" operator="containsText" text="Missing inputs">
      <formula>NOT(ISERROR(SEARCH("Missing inputs",BB161)))</formula>
    </cfRule>
    <cfRule type="containsText" dxfId="4200" priority="627" operator="containsText" text="OK">
      <formula>NOT(ISERROR(SEARCH("OK",BB161)))</formula>
    </cfRule>
  </conditionalFormatting>
  <conditionalFormatting sqref="BB161">
    <cfRule type="cellIs" dxfId="4199" priority="622" stopIfTrue="1" operator="equal">
      <formula>"No"</formula>
    </cfRule>
    <cfRule type="cellIs" dxfId="4198" priority="623" stopIfTrue="1" operator="equal">
      <formula>"Fail"</formula>
    </cfRule>
    <cfRule type="cellIs" dxfId="4197" priority="624" stopIfTrue="1" operator="equal">
      <formula>"please check"</formula>
    </cfRule>
  </conditionalFormatting>
  <conditionalFormatting sqref="BB161">
    <cfRule type="cellIs" dxfId="4196" priority="621" stopIfTrue="1" operator="equal">
      <formula>"Pass"</formula>
    </cfRule>
  </conditionalFormatting>
  <conditionalFormatting sqref="BB161">
    <cfRule type="containsText" dxfId="4195" priority="618" operator="containsText" text="Please check">
      <formula>NOT(ISERROR(SEARCH("Please check",BB161)))</formula>
    </cfRule>
    <cfRule type="containsText" dxfId="4194" priority="619" operator="containsText" text="Missing inputs">
      <formula>NOT(ISERROR(SEARCH("Missing inputs",BB161)))</formula>
    </cfRule>
    <cfRule type="containsText" dxfId="4193" priority="620" operator="containsText" text="OK">
      <formula>NOT(ISERROR(SEARCH("OK",BB161)))</formula>
    </cfRule>
  </conditionalFormatting>
  <conditionalFormatting sqref="BC161">
    <cfRule type="cellIs" dxfId="4192" priority="615" stopIfTrue="1" operator="equal">
      <formula>"No"</formula>
    </cfRule>
    <cfRule type="cellIs" dxfId="4191" priority="616" stopIfTrue="1" operator="equal">
      <formula>"Fail"</formula>
    </cfRule>
    <cfRule type="cellIs" dxfId="4190" priority="617" stopIfTrue="1" operator="equal">
      <formula>"please check"</formula>
    </cfRule>
  </conditionalFormatting>
  <conditionalFormatting sqref="BC161">
    <cfRule type="cellIs" dxfId="4189" priority="614" stopIfTrue="1" operator="equal">
      <formula>"Pass"</formula>
    </cfRule>
  </conditionalFormatting>
  <conditionalFormatting sqref="BC161">
    <cfRule type="containsText" dxfId="4188" priority="611" operator="containsText" text="Please check">
      <formula>NOT(ISERROR(SEARCH("Please check",BC161)))</formula>
    </cfRule>
    <cfRule type="containsText" dxfId="4187" priority="612" operator="containsText" text="Missing inputs">
      <formula>NOT(ISERROR(SEARCH("Missing inputs",BC161)))</formula>
    </cfRule>
    <cfRule type="containsText" dxfId="4186" priority="613" operator="containsText" text="OK">
      <formula>NOT(ISERROR(SEARCH("OK",BC161)))</formula>
    </cfRule>
  </conditionalFormatting>
  <conditionalFormatting sqref="BB158:BC158">
    <cfRule type="cellIs" dxfId="4185" priority="608" stopIfTrue="1" operator="equal">
      <formula>"No"</formula>
    </cfRule>
    <cfRule type="cellIs" dxfId="4184" priority="609" stopIfTrue="1" operator="equal">
      <formula>"Fail"</formula>
    </cfRule>
    <cfRule type="cellIs" dxfId="4183" priority="610" stopIfTrue="1" operator="equal">
      <formula>"please check"</formula>
    </cfRule>
  </conditionalFormatting>
  <conditionalFormatting sqref="BB158:BC158">
    <cfRule type="cellIs" dxfId="4182" priority="607" stopIfTrue="1" operator="equal">
      <formula>"Pass"</formula>
    </cfRule>
  </conditionalFormatting>
  <conditionalFormatting sqref="BB158:BC158">
    <cfRule type="cellIs" dxfId="4181" priority="604" stopIfTrue="1" operator="equal">
      <formula>"No"</formula>
    </cfRule>
    <cfRule type="cellIs" dxfId="4180" priority="605" stopIfTrue="1" operator="equal">
      <formula>"Fail"</formula>
    </cfRule>
    <cfRule type="cellIs" dxfId="4179" priority="606" stopIfTrue="1" operator="equal">
      <formula>"please check"</formula>
    </cfRule>
  </conditionalFormatting>
  <conditionalFormatting sqref="BB158:BC158">
    <cfRule type="cellIs" dxfId="4178" priority="603" stopIfTrue="1" operator="equal">
      <formula>"Pass"</formula>
    </cfRule>
  </conditionalFormatting>
  <conditionalFormatting sqref="BB160:BC160">
    <cfRule type="cellIs" dxfId="4177" priority="600" stopIfTrue="1" operator="equal">
      <formula>"No"</formula>
    </cfRule>
    <cfRule type="cellIs" dxfId="4176" priority="601" stopIfTrue="1" operator="equal">
      <formula>"Fail"</formula>
    </cfRule>
    <cfRule type="cellIs" dxfId="4175" priority="602" stopIfTrue="1" operator="equal">
      <formula>"please check"</formula>
    </cfRule>
  </conditionalFormatting>
  <conditionalFormatting sqref="BB160:BC160">
    <cfRule type="cellIs" dxfId="4174" priority="599" stopIfTrue="1" operator="equal">
      <formula>"Pass"</formula>
    </cfRule>
  </conditionalFormatting>
  <conditionalFormatting sqref="BB160:BC160">
    <cfRule type="cellIs" dxfId="4173" priority="596" stopIfTrue="1" operator="equal">
      <formula>"No"</formula>
    </cfRule>
    <cfRule type="cellIs" dxfId="4172" priority="597" stopIfTrue="1" operator="equal">
      <formula>"Fail"</formula>
    </cfRule>
    <cfRule type="cellIs" dxfId="4171" priority="598" stopIfTrue="1" operator="equal">
      <formula>"please check"</formula>
    </cfRule>
  </conditionalFormatting>
  <conditionalFormatting sqref="BB160:BC160">
    <cfRule type="cellIs" dxfId="4170" priority="595" stopIfTrue="1" operator="equal">
      <formula>"Pass"</formula>
    </cfRule>
  </conditionalFormatting>
  <conditionalFormatting sqref="AV142">
    <cfRule type="cellIs" dxfId="4169" priority="592" stopIfTrue="1" operator="equal">
      <formula>"No"</formula>
    </cfRule>
    <cfRule type="cellIs" dxfId="4168" priority="593" stopIfTrue="1" operator="equal">
      <formula>"Fail"</formula>
    </cfRule>
    <cfRule type="cellIs" dxfId="4167" priority="594" stopIfTrue="1" operator="equal">
      <formula>"please check"</formula>
    </cfRule>
  </conditionalFormatting>
  <conditionalFormatting sqref="AV142">
    <cfRule type="cellIs" dxfId="4166" priority="591" stopIfTrue="1" operator="equal">
      <formula>"Pass"</formula>
    </cfRule>
  </conditionalFormatting>
  <conditionalFormatting sqref="AV159">
    <cfRule type="cellIs" dxfId="4165" priority="588" stopIfTrue="1" operator="equal">
      <formula>"No"</formula>
    </cfRule>
    <cfRule type="cellIs" dxfId="4164" priority="589" stopIfTrue="1" operator="equal">
      <formula>"Fail"</formula>
    </cfRule>
    <cfRule type="cellIs" dxfId="4163" priority="590" stopIfTrue="1" operator="equal">
      <formula>"please check"</formula>
    </cfRule>
  </conditionalFormatting>
  <conditionalFormatting sqref="AV159">
    <cfRule type="cellIs" dxfId="4162" priority="587" stopIfTrue="1" operator="equal">
      <formula>"Pass"</formula>
    </cfRule>
  </conditionalFormatting>
  <conditionalFormatting sqref="AW159:BC159">
    <cfRule type="cellIs" dxfId="4161" priority="584" stopIfTrue="1" operator="equal">
      <formula>"No"</formula>
    </cfRule>
    <cfRule type="cellIs" dxfId="4160" priority="585" stopIfTrue="1" operator="equal">
      <formula>"Fail"</formula>
    </cfRule>
    <cfRule type="cellIs" dxfId="4159" priority="586" stopIfTrue="1" operator="equal">
      <formula>"please check"</formula>
    </cfRule>
  </conditionalFormatting>
  <conditionalFormatting sqref="AW159:BC159">
    <cfRule type="cellIs" dxfId="4158" priority="583" stopIfTrue="1" operator="equal">
      <formula>"Pass"</formula>
    </cfRule>
  </conditionalFormatting>
  <conditionalFormatting sqref="BE184:BE215">
    <cfRule type="cellIs" dxfId="4157" priority="580" stopIfTrue="1" operator="equal">
      <formula>"Pass"</formula>
    </cfRule>
    <cfRule type="cellIs" dxfId="4156" priority="581" stopIfTrue="1" operator="equal">
      <formula>"please check"</formula>
    </cfRule>
  </conditionalFormatting>
  <conditionalFormatting sqref="BE111">
    <cfRule type="cellIs" dxfId="4155" priority="577" stopIfTrue="1" operator="equal">
      <formula>"Pass"</formula>
    </cfRule>
    <cfRule type="cellIs" dxfId="4154" priority="578" stopIfTrue="1" operator="equal">
      <formula>"please check"</formula>
    </cfRule>
  </conditionalFormatting>
  <conditionalFormatting sqref="BE112:BE115 BE117:BE150 BE162">
    <cfRule type="cellIs" dxfId="4153" priority="574" stopIfTrue="1" operator="equal">
      <formula>"Pass"</formula>
    </cfRule>
    <cfRule type="cellIs" dxfId="4152" priority="575" stopIfTrue="1" operator="equal">
      <formula>"please check"</formula>
    </cfRule>
  </conditionalFormatting>
  <conditionalFormatting sqref="BE117">
    <cfRule type="cellIs" dxfId="4151" priority="571" stopIfTrue="1" operator="equal">
      <formula>"Pass"</formula>
    </cfRule>
    <cfRule type="cellIs" dxfId="4150" priority="572" stopIfTrue="1" operator="equal">
      <formula>"please check"</formula>
    </cfRule>
  </conditionalFormatting>
  <conditionalFormatting sqref="BE119:BE121">
    <cfRule type="cellIs" dxfId="4149" priority="570" stopIfTrue="1" operator="equal">
      <formula>"Pass"</formula>
    </cfRule>
  </conditionalFormatting>
  <conditionalFormatting sqref="BE119:BE121">
    <cfRule type="cellIs" dxfId="4148" priority="567" stopIfTrue="1" operator="equal">
      <formula>"No"</formula>
    </cfRule>
    <cfRule type="cellIs" dxfId="4147" priority="568" stopIfTrue="1" operator="equal">
      <formula>"Fail"</formula>
    </cfRule>
    <cfRule type="cellIs" dxfId="4146" priority="569" stopIfTrue="1" operator="equal">
      <formula>"please check"</formula>
    </cfRule>
  </conditionalFormatting>
  <conditionalFormatting sqref="BE142">
    <cfRule type="cellIs" dxfId="4145" priority="564" stopIfTrue="1" operator="equal">
      <formula>"No"</formula>
    </cfRule>
    <cfRule type="cellIs" dxfId="4144" priority="565" stopIfTrue="1" operator="equal">
      <formula>"Fail"</formula>
    </cfRule>
    <cfRule type="cellIs" dxfId="4143" priority="566" stopIfTrue="1" operator="equal">
      <formula>"please check"</formula>
    </cfRule>
  </conditionalFormatting>
  <conditionalFormatting sqref="BE142">
    <cfRule type="cellIs" dxfId="4142" priority="563" stopIfTrue="1" operator="equal">
      <formula>"Pass"</formula>
    </cfRule>
  </conditionalFormatting>
  <conditionalFormatting sqref="BE118">
    <cfRule type="cellIs" dxfId="4141" priority="562" stopIfTrue="1" operator="equal">
      <formula>"Pass"</formula>
    </cfRule>
  </conditionalFormatting>
  <conditionalFormatting sqref="BE118">
    <cfRule type="cellIs" dxfId="4140" priority="559" stopIfTrue="1" operator="equal">
      <formula>"No"</formula>
    </cfRule>
    <cfRule type="cellIs" dxfId="4139" priority="560" stopIfTrue="1" operator="equal">
      <formula>"Fail"</formula>
    </cfRule>
    <cfRule type="cellIs" dxfId="4138" priority="561" stopIfTrue="1" operator="equal">
      <formula>"please check"</formula>
    </cfRule>
  </conditionalFormatting>
  <conditionalFormatting sqref="BE118">
    <cfRule type="containsText" dxfId="4137" priority="556" operator="containsText" text="Please check">
      <formula>NOT(ISERROR(SEARCH("Please check",BE118)))</formula>
    </cfRule>
    <cfRule type="containsText" dxfId="4136" priority="557" operator="containsText" text="Missing inputs">
      <formula>NOT(ISERROR(SEARCH("Missing inputs",BE118)))</formula>
    </cfRule>
    <cfRule type="containsText" dxfId="4135" priority="558" operator="containsText" text="OK">
      <formula>NOT(ISERROR(SEARCH("OK",BE118)))</formula>
    </cfRule>
  </conditionalFormatting>
  <conditionalFormatting sqref="BE122">
    <cfRule type="cellIs" dxfId="4134" priority="555" stopIfTrue="1" operator="equal">
      <formula>"Pass"</formula>
    </cfRule>
  </conditionalFormatting>
  <conditionalFormatting sqref="BE122">
    <cfRule type="cellIs" dxfId="4133" priority="552" stopIfTrue="1" operator="equal">
      <formula>"No"</formula>
    </cfRule>
    <cfRule type="cellIs" dxfId="4132" priority="553" stopIfTrue="1" operator="equal">
      <formula>"Fail"</formula>
    </cfRule>
    <cfRule type="cellIs" dxfId="4131" priority="554" stopIfTrue="1" operator="equal">
      <formula>"please check"</formula>
    </cfRule>
  </conditionalFormatting>
  <conditionalFormatting sqref="BE122">
    <cfRule type="containsText" dxfId="4130" priority="549" operator="containsText" text="Please check">
      <formula>NOT(ISERROR(SEARCH("Please check",BE122)))</formula>
    </cfRule>
    <cfRule type="containsText" dxfId="4129" priority="550" operator="containsText" text="Missing inputs">
      <formula>NOT(ISERROR(SEARCH("Missing inputs",BE122)))</formula>
    </cfRule>
    <cfRule type="containsText" dxfId="4128" priority="551" operator="containsText" text="OK">
      <formula>NOT(ISERROR(SEARCH("OK",BE122)))</formula>
    </cfRule>
  </conditionalFormatting>
  <conditionalFormatting sqref="BE126">
    <cfRule type="cellIs" dxfId="4127" priority="548" stopIfTrue="1" operator="equal">
      <formula>"Pass"</formula>
    </cfRule>
  </conditionalFormatting>
  <conditionalFormatting sqref="BE126">
    <cfRule type="cellIs" dxfId="4126" priority="545" stopIfTrue="1" operator="equal">
      <formula>"No"</formula>
    </cfRule>
    <cfRule type="cellIs" dxfId="4125" priority="546" stopIfTrue="1" operator="equal">
      <formula>"Fail"</formula>
    </cfRule>
    <cfRule type="cellIs" dxfId="4124" priority="547" stopIfTrue="1" operator="equal">
      <formula>"please check"</formula>
    </cfRule>
  </conditionalFormatting>
  <conditionalFormatting sqref="BE126">
    <cfRule type="containsText" dxfId="4123" priority="542" operator="containsText" text="Please check">
      <formula>NOT(ISERROR(SEARCH("Please check",BE126)))</formula>
    </cfRule>
    <cfRule type="containsText" dxfId="4122" priority="543" operator="containsText" text="Missing inputs">
      <formula>NOT(ISERROR(SEARCH("Missing inputs",BE126)))</formula>
    </cfRule>
    <cfRule type="containsText" dxfId="4121" priority="544" operator="containsText" text="OK">
      <formula>NOT(ISERROR(SEARCH("OK",BE126)))</formula>
    </cfRule>
  </conditionalFormatting>
  <conditionalFormatting sqref="BE130">
    <cfRule type="cellIs" dxfId="4120" priority="541" stopIfTrue="1" operator="equal">
      <formula>"Pass"</formula>
    </cfRule>
  </conditionalFormatting>
  <conditionalFormatting sqref="BE130">
    <cfRule type="cellIs" dxfId="4119" priority="538" stopIfTrue="1" operator="equal">
      <formula>"No"</formula>
    </cfRule>
    <cfRule type="cellIs" dxfId="4118" priority="539" stopIfTrue="1" operator="equal">
      <formula>"Fail"</formula>
    </cfRule>
    <cfRule type="cellIs" dxfId="4117" priority="540" stopIfTrue="1" operator="equal">
      <formula>"please check"</formula>
    </cfRule>
  </conditionalFormatting>
  <conditionalFormatting sqref="BE130">
    <cfRule type="containsText" dxfId="4116" priority="535" operator="containsText" text="Please check">
      <formula>NOT(ISERROR(SEARCH("Please check",BE130)))</formula>
    </cfRule>
    <cfRule type="containsText" dxfId="4115" priority="536" operator="containsText" text="Missing inputs">
      <formula>NOT(ISERROR(SEARCH("Missing inputs",BE130)))</formula>
    </cfRule>
    <cfRule type="containsText" dxfId="4114" priority="537" operator="containsText" text="OK">
      <formula>NOT(ISERROR(SEARCH("OK",BE130)))</formula>
    </cfRule>
  </conditionalFormatting>
  <conditionalFormatting sqref="BE134">
    <cfRule type="cellIs" dxfId="4113" priority="534" stopIfTrue="1" operator="equal">
      <formula>"Pass"</formula>
    </cfRule>
  </conditionalFormatting>
  <conditionalFormatting sqref="BE134">
    <cfRule type="cellIs" dxfId="4112" priority="531" stopIfTrue="1" operator="equal">
      <formula>"No"</formula>
    </cfRule>
    <cfRule type="cellIs" dxfId="4111" priority="532" stopIfTrue="1" operator="equal">
      <formula>"Fail"</formula>
    </cfRule>
    <cfRule type="cellIs" dxfId="4110" priority="533" stopIfTrue="1" operator="equal">
      <formula>"please check"</formula>
    </cfRule>
  </conditionalFormatting>
  <conditionalFormatting sqref="BE134">
    <cfRule type="containsText" dxfId="4109" priority="528" operator="containsText" text="Please check">
      <formula>NOT(ISERROR(SEARCH("Please check",BE134)))</formula>
    </cfRule>
    <cfRule type="containsText" dxfId="4108" priority="529" operator="containsText" text="Missing inputs">
      <formula>NOT(ISERROR(SEARCH("Missing inputs",BE134)))</formula>
    </cfRule>
    <cfRule type="containsText" dxfId="4107" priority="530" operator="containsText" text="OK">
      <formula>NOT(ISERROR(SEARCH("OK",BE134)))</formula>
    </cfRule>
  </conditionalFormatting>
  <conditionalFormatting sqref="BE138">
    <cfRule type="cellIs" dxfId="4106" priority="527" stopIfTrue="1" operator="equal">
      <formula>"Pass"</formula>
    </cfRule>
  </conditionalFormatting>
  <conditionalFormatting sqref="BE138">
    <cfRule type="cellIs" dxfId="4105" priority="524" stopIfTrue="1" operator="equal">
      <formula>"No"</formula>
    </cfRule>
    <cfRule type="cellIs" dxfId="4104" priority="525" stopIfTrue="1" operator="equal">
      <formula>"Fail"</formula>
    </cfRule>
    <cfRule type="cellIs" dxfId="4103" priority="526" stopIfTrue="1" operator="equal">
      <formula>"please check"</formula>
    </cfRule>
  </conditionalFormatting>
  <conditionalFormatting sqref="BE138">
    <cfRule type="containsText" dxfId="4102" priority="521" operator="containsText" text="Please check">
      <formula>NOT(ISERROR(SEARCH("Please check",BE138)))</formula>
    </cfRule>
    <cfRule type="containsText" dxfId="4101" priority="522" operator="containsText" text="Missing inputs">
      <formula>NOT(ISERROR(SEARCH("Missing inputs",BE138)))</formula>
    </cfRule>
    <cfRule type="containsText" dxfId="4100" priority="523" operator="containsText" text="OK">
      <formula>NOT(ISERROR(SEARCH("OK",BE138)))</formula>
    </cfRule>
  </conditionalFormatting>
  <conditionalFormatting sqref="BE142">
    <cfRule type="cellIs" dxfId="4099" priority="520" stopIfTrue="1" operator="equal">
      <formula>"Pass"</formula>
    </cfRule>
  </conditionalFormatting>
  <conditionalFormatting sqref="BE142">
    <cfRule type="cellIs" dxfId="4098" priority="517" stopIfTrue="1" operator="equal">
      <formula>"No"</formula>
    </cfRule>
    <cfRule type="cellIs" dxfId="4097" priority="518" stopIfTrue="1" operator="equal">
      <formula>"Fail"</formula>
    </cfRule>
    <cfRule type="cellIs" dxfId="4096" priority="519" stopIfTrue="1" operator="equal">
      <formula>"please check"</formula>
    </cfRule>
  </conditionalFormatting>
  <conditionalFormatting sqref="BE142">
    <cfRule type="containsText" dxfId="4095" priority="514" operator="containsText" text="Please check">
      <formula>NOT(ISERROR(SEARCH("Please check",BE142)))</formula>
    </cfRule>
    <cfRule type="containsText" dxfId="4094" priority="515" operator="containsText" text="Missing inputs">
      <formula>NOT(ISERROR(SEARCH("Missing inputs",BE142)))</formula>
    </cfRule>
    <cfRule type="containsText" dxfId="4093" priority="516" operator="containsText" text="OK">
      <formula>NOT(ISERROR(SEARCH("OK",BE142)))</formula>
    </cfRule>
  </conditionalFormatting>
  <conditionalFormatting sqref="BE146">
    <cfRule type="cellIs" dxfId="4092" priority="513" stopIfTrue="1" operator="equal">
      <formula>"Pass"</formula>
    </cfRule>
  </conditionalFormatting>
  <conditionalFormatting sqref="BE146">
    <cfRule type="cellIs" dxfId="4091" priority="510" stopIfTrue="1" operator="equal">
      <formula>"No"</formula>
    </cfRule>
    <cfRule type="cellIs" dxfId="4090" priority="511" stopIfTrue="1" operator="equal">
      <formula>"Fail"</formula>
    </cfRule>
    <cfRule type="cellIs" dxfId="4089" priority="512" stopIfTrue="1" operator="equal">
      <formula>"please check"</formula>
    </cfRule>
  </conditionalFormatting>
  <conditionalFormatting sqref="BE146">
    <cfRule type="containsText" dxfId="4088" priority="507" operator="containsText" text="Please check">
      <formula>NOT(ISERROR(SEARCH("Please check",BE146)))</formula>
    </cfRule>
    <cfRule type="containsText" dxfId="4087" priority="508" operator="containsText" text="Missing inputs">
      <formula>NOT(ISERROR(SEARCH("Missing inputs",BE146)))</formula>
    </cfRule>
    <cfRule type="containsText" dxfId="4086" priority="509" operator="containsText" text="OK">
      <formula>NOT(ISERROR(SEARCH("OK",BE146)))</formula>
    </cfRule>
  </conditionalFormatting>
  <conditionalFormatting sqref="BE123:BE125">
    <cfRule type="cellIs" dxfId="4085" priority="506" stopIfTrue="1" operator="equal">
      <formula>"Pass"</formula>
    </cfRule>
  </conditionalFormatting>
  <conditionalFormatting sqref="BE123:BE125">
    <cfRule type="cellIs" dxfId="4084" priority="503" stopIfTrue="1" operator="equal">
      <formula>"No"</formula>
    </cfRule>
    <cfRule type="cellIs" dxfId="4083" priority="504" stopIfTrue="1" operator="equal">
      <formula>"Fail"</formula>
    </cfRule>
    <cfRule type="cellIs" dxfId="4082" priority="505" stopIfTrue="1" operator="equal">
      <formula>"please check"</formula>
    </cfRule>
  </conditionalFormatting>
  <conditionalFormatting sqref="BE127:BE129">
    <cfRule type="cellIs" dxfId="4081" priority="502" stopIfTrue="1" operator="equal">
      <formula>"Pass"</formula>
    </cfRule>
  </conditionalFormatting>
  <conditionalFormatting sqref="BE127:BE129">
    <cfRule type="cellIs" dxfId="4080" priority="499" stopIfTrue="1" operator="equal">
      <formula>"No"</formula>
    </cfRule>
    <cfRule type="cellIs" dxfId="4079" priority="500" stopIfTrue="1" operator="equal">
      <formula>"Fail"</formula>
    </cfRule>
    <cfRule type="cellIs" dxfId="4078" priority="501" stopIfTrue="1" operator="equal">
      <formula>"please check"</formula>
    </cfRule>
  </conditionalFormatting>
  <conditionalFormatting sqref="BE131:BE133">
    <cfRule type="cellIs" dxfId="4077" priority="498" stopIfTrue="1" operator="equal">
      <formula>"Pass"</formula>
    </cfRule>
  </conditionalFormatting>
  <conditionalFormatting sqref="BE131:BE133">
    <cfRule type="cellIs" dxfId="4076" priority="495" stopIfTrue="1" operator="equal">
      <formula>"No"</formula>
    </cfRule>
    <cfRule type="cellIs" dxfId="4075" priority="496" stopIfTrue="1" operator="equal">
      <formula>"Fail"</formula>
    </cfRule>
    <cfRule type="cellIs" dxfId="4074" priority="497" stopIfTrue="1" operator="equal">
      <formula>"please check"</formula>
    </cfRule>
  </conditionalFormatting>
  <conditionalFormatting sqref="BE135:BE137">
    <cfRule type="cellIs" dxfId="4073" priority="494" stopIfTrue="1" operator="equal">
      <formula>"Pass"</formula>
    </cfRule>
  </conditionalFormatting>
  <conditionalFormatting sqref="BE135:BE137">
    <cfRule type="cellIs" dxfId="4072" priority="491" stopIfTrue="1" operator="equal">
      <formula>"No"</formula>
    </cfRule>
    <cfRule type="cellIs" dxfId="4071" priority="492" stopIfTrue="1" operator="equal">
      <formula>"Fail"</formula>
    </cfRule>
    <cfRule type="cellIs" dxfId="4070" priority="493" stopIfTrue="1" operator="equal">
      <formula>"please check"</formula>
    </cfRule>
  </conditionalFormatting>
  <conditionalFormatting sqref="BE139:BE141">
    <cfRule type="cellIs" dxfId="4069" priority="490" stopIfTrue="1" operator="equal">
      <formula>"Pass"</formula>
    </cfRule>
  </conditionalFormatting>
  <conditionalFormatting sqref="BE139:BE141">
    <cfRule type="cellIs" dxfId="4068" priority="487" stopIfTrue="1" operator="equal">
      <formula>"No"</formula>
    </cfRule>
    <cfRule type="cellIs" dxfId="4067" priority="488" stopIfTrue="1" operator="equal">
      <formula>"Fail"</formula>
    </cfRule>
    <cfRule type="cellIs" dxfId="4066" priority="489" stopIfTrue="1" operator="equal">
      <formula>"please check"</formula>
    </cfRule>
  </conditionalFormatting>
  <conditionalFormatting sqref="BE143:BE145">
    <cfRule type="cellIs" dxfId="4065" priority="486" stopIfTrue="1" operator="equal">
      <formula>"Pass"</formula>
    </cfRule>
  </conditionalFormatting>
  <conditionalFormatting sqref="BE143:BE145">
    <cfRule type="cellIs" dxfId="4064" priority="483" stopIfTrue="1" operator="equal">
      <formula>"No"</formula>
    </cfRule>
    <cfRule type="cellIs" dxfId="4063" priority="484" stopIfTrue="1" operator="equal">
      <formula>"Fail"</formula>
    </cfRule>
    <cfRule type="cellIs" dxfId="4062" priority="485" stopIfTrue="1" operator="equal">
      <formula>"please check"</formula>
    </cfRule>
  </conditionalFormatting>
  <conditionalFormatting sqref="BE152 BE154 BE156">
    <cfRule type="cellIs" dxfId="4061" priority="480" stopIfTrue="1" operator="equal">
      <formula>"Pass"</formula>
    </cfRule>
    <cfRule type="cellIs" dxfId="4060" priority="481" stopIfTrue="1" operator="equal">
      <formula>"please check"</formula>
    </cfRule>
  </conditionalFormatting>
  <conditionalFormatting sqref="BE152">
    <cfRule type="cellIs" dxfId="4059" priority="477" stopIfTrue="1" operator="equal">
      <formula>"Pass"</formula>
    </cfRule>
    <cfRule type="cellIs" dxfId="4058" priority="478" stopIfTrue="1" operator="equal">
      <formula>"please check"</formula>
    </cfRule>
  </conditionalFormatting>
  <conditionalFormatting sqref="BE154 BE156">
    <cfRule type="cellIs" dxfId="4057" priority="476" stopIfTrue="1" operator="equal">
      <formula>"Pass"</formula>
    </cfRule>
  </conditionalFormatting>
  <conditionalFormatting sqref="BE154 BE156">
    <cfRule type="cellIs" dxfId="4056" priority="473" stopIfTrue="1" operator="equal">
      <formula>"No"</formula>
    </cfRule>
    <cfRule type="cellIs" dxfId="4055" priority="474" stopIfTrue="1" operator="equal">
      <formula>"Fail"</formula>
    </cfRule>
    <cfRule type="cellIs" dxfId="4054" priority="475" stopIfTrue="1" operator="equal">
      <formula>"please check"</formula>
    </cfRule>
  </conditionalFormatting>
  <conditionalFormatting sqref="BE153">
    <cfRule type="cellIs" dxfId="4053" priority="470" stopIfTrue="1" operator="equal">
      <formula>"Pass"</formula>
    </cfRule>
    <cfRule type="cellIs" dxfId="4052" priority="471" stopIfTrue="1" operator="equal">
      <formula>"please check"</formula>
    </cfRule>
  </conditionalFormatting>
  <conditionalFormatting sqref="BE153">
    <cfRule type="cellIs" dxfId="4051" priority="469" stopIfTrue="1" operator="equal">
      <formula>"Pass"</formula>
    </cfRule>
  </conditionalFormatting>
  <conditionalFormatting sqref="BE153">
    <cfRule type="cellIs" dxfId="4050" priority="466" stopIfTrue="1" operator="equal">
      <formula>"No"</formula>
    </cfRule>
    <cfRule type="cellIs" dxfId="4049" priority="467" stopIfTrue="1" operator="equal">
      <formula>"Fail"</formula>
    </cfRule>
    <cfRule type="cellIs" dxfId="4048" priority="468" stopIfTrue="1" operator="equal">
      <formula>"please check"</formula>
    </cfRule>
  </conditionalFormatting>
  <conditionalFormatting sqref="BE153">
    <cfRule type="containsText" dxfId="4047" priority="463" operator="containsText" text="Please check">
      <formula>NOT(ISERROR(SEARCH("Please check",BE153)))</formula>
    </cfRule>
    <cfRule type="containsText" dxfId="4046" priority="464" operator="containsText" text="Missing inputs">
      <formula>NOT(ISERROR(SEARCH("Missing inputs",BE153)))</formula>
    </cfRule>
    <cfRule type="containsText" dxfId="4045" priority="465" operator="containsText" text="OK">
      <formula>NOT(ISERROR(SEARCH("OK",BE153)))</formula>
    </cfRule>
  </conditionalFormatting>
  <conditionalFormatting sqref="BE155">
    <cfRule type="cellIs" dxfId="4044" priority="460" stopIfTrue="1" operator="equal">
      <formula>"Pass"</formula>
    </cfRule>
    <cfRule type="cellIs" dxfId="4043" priority="461" stopIfTrue="1" operator="equal">
      <formula>"please check"</formula>
    </cfRule>
  </conditionalFormatting>
  <conditionalFormatting sqref="BE155">
    <cfRule type="cellIs" dxfId="4042" priority="459" stopIfTrue="1" operator="equal">
      <formula>"Pass"</formula>
    </cfRule>
  </conditionalFormatting>
  <conditionalFormatting sqref="BE155">
    <cfRule type="cellIs" dxfId="4041" priority="456" stopIfTrue="1" operator="equal">
      <formula>"No"</formula>
    </cfRule>
    <cfRule type="cellIs" dxfId="4040" priority="457" stopIfTrue="1" operator="equal">
      <formula>"Fail"</formula>
    </cfRule>
    <cfRule type="cellIs" dxfId="4039" priority="458" stopIfTrue="1" operator="equal">
      <formula>"please check"</formula>
    </cfRule>
  </conditionalFormatting>
  <conditionalFormatting sqref="BE155">
    <cfRule type="containsText" dxfId="4038" priority="453" operator="containsText" text="Please check">
      <formula>NOT(ISERROR(SEARCH("Please check",BE155)))</formula>
    </cfRule>
    <cfRule type="containsText" dxfId="4037" priority="454" operator="containsText" text="Missing inputs">
      <formula>NOT(ISERROR(SEARCH("Missing inputs",BE155)))</formula>
    </cfRule>
    <cfRule type="containsText" dxfId="4036" priority="455" operator="containsText" text="OK">
      <formula>NOT(ISERROR(SEARCH("OK",BE155)))</formula>
    </cfRule>
  </conditionalFormatting>
  <conditionalFormatting sqref="BE157">
    <cfRule type="cellIs" dxfId="4035" priority="450" stopIfTrue="1" operator="equal">
      <formula>"Pass"</formula>
    </cfRule>
    <cfRule type="cellIs" dxfId="4034" priority="451" stopIfTrue="1" operator="equal">
      <formula>"please check"</formula>
    </cfRule>
  </conditionalFormatting>
  <conditionalFormatting sqref="BE157">
    <cfRule type="cellIs" dxfId="4033" priority="449" stopIfTrue="1" operator="equal">
      <formula>"Pass"</formula>
    </cfRule>
  </conditionalFormatting>
  <conditionalFormatting sqref="BE157">
    <cfRule type="cellIs" dxfId="4032" priority="446" stopIfTrue="1" operator="equal">
      <formula>"No"</formula>
    </cfRule>
    <cfRule type="cellIs" dxfId="4031" priority="447" stopIfTrue="1" operator="equal">
      <formula>"Fail"</formula>
    </cfRule>
    <cfRule type="cellIs" dxfId="4030" priority="448" stopIfTrue="1" operator="equal">
      <formula>"please check"</formula>
    </cfRule>
  </conditionalFormatting>
  <conditionalFormatting sqref="BE157">
    <cfRule type="containsText" dxfId="4029" priority="443" operator="containsText" text="Please check">
      <formula>NOT(ISERROR(SEARCH("Please check",BE157)))</formula>
    </cfRule>
    <cfRule type="containsText" dxfId="4028" priority="444" operator="containsText" text="Missing inputs">
      <formula>NOT(ISERROR(SEARCH("Missing inputs",BE157)))</formula>
    </cfRule>
    <cfRule type="containsText" dxfId="4027" priority="445" operator="containsText" text="OK">
      <formula>NOT(ISERROR(SEARCH("OK",BE157)))</formula>
    </cfRule>
  </conditionalFormatting>
  <conditionalFormatting sqref="BE161">
    <cfRule type="cellIs" dxfId="4026" priority="440" stopIfTrue="1" operator="equal">
      <formula>"Pass"</formula>
    </cfRule>
    <cfRule type="cellIs" dxfId="4025" priority="441" stopIfTrue="1" operator="equal">
      <formula>"please check"</formula>
    </cfRule>
  </conditionalFormatting>
  <conditionalFormatting sqref="BE161">
    <cfRule type="cellIs" dxfId="4024" priority="439" stopIfTrue="1" operator="equal">
      <formula>"Pass"</formula>
    </cfRule>
  </conditionalFormatting>
  <conditionalFormatting sqref="BE161">
    <cfRule type="cellIs" dxfId="4023" priority="436" stopIfTrue="1" operator="equal">
      <formula>"No"</formula>
    </cfRule>
    <cfRule type="cellIs" dxfId="4022" priority="437" stopIfTrue="1" operator="equal">
      <formula>"Fail"</formula>
    </cfRule>
    <cfRule type="cellIs" dxfId="4021" priority="438" stopIfTrue="1" operator="equal">
      <formula>"please check"</formula>
    </cfRule>
  </conditionalFormatting>
  <conditionalFormatting sqref="BE161">
    <cfRule type="containsText" dxfId="4020" priority="433" operator="containsText" text="Please check">
      <formula>NOT(ISERROR(SEARCH("Please check",BE161)))</formula>
    </cfRule>
    <cfRule type="containsText" dxfId="4019" priority="434" operator="containsText" text="Missing inputs">
      <formula>NOT(ISERROR(SEARCH("Missing inputs",BE161)))</formula>
    </cfRule>
    <cfRule type="containsText" dxfId="4018" priority="435" operator="containsText" text="OK">
      <formula>NOT(ISERROR(SEARCH("OK",BE161)))</formula>
    </cfRule>
  </conditionalFormatting>
  <conditionalFormatting sqref="BE158">
    <cfRule type="cellIs" dxfId="4017" priority="430" stopIfTrue="1" operator="equal">
      <formula>"No"</formula>
    </cfRule>
    <cfRule type="cellIs" dxfId="4016" priority="431" stopIfTrue="1" operator="equal">
      <formula>"Fail"</formula>
    </cfRule>
    <cfRule type="cellIs" dxfId="4015" priority="432" stopIfTrue="1" operator="equal">
      <formula>"please check"</formula>
    </cfRule>
  </conditionalFormatting>
  <conditionalFormatting sqref="BE158">
    <cfRule type="cellIs" dxfId="4014" priority="429" stopIfTrue="1" operator="equal">
      <formula>"Pass"</formula>
    </cfRule>
  </conditionalFormatting>
  <conditionalFormatting sqref="BE158">
    <cfRule type="cellIs" dxfId="4013" priority="426" stopIfTrue="1" operator="equal">
      <formula>"No"</formula>
    </cfRule>
    <cfRule type="cellIs" dxfId="4012" priority="427" stopIfTrue="1" operator="equal">
      <formula>"Fail"</formula>
    </cfRule>
    <cfRule type="cellIs" dxfId="4011" priority="428" stopIfTrue="1" operator="equal">
      <formula>"please check"</formula>
    </cfRule>
  </conditionalFormatting>
  <conditionalFormatting sqref="BE158">
    <cfRule type="cellIs" dxfId="4010" priority="425" stopIfTrue="1" operator="equal">
      <formula>"Pass"</formula>
    </cfRule>
  </conditionalFormatting>
  <conditionalFormatting sqref="BE160">
    <cfRule type="cellIs" dxfId="4009" priority="422" stopIfTrue="1" operator="equal">
      <formula>"No"</formula>
    </cfRule>
    <cfRule type="cellIs" dxfId="4008" priority="423" stopIfTrue="1" operator="equal">
      <formula>"Fail"</formula>
    </cfRule>
    <cfRule type="cellIs" dxfId="4007" priority="424" stopIfTrue="1" operator="equal">
      <formula>"please check"</formula>
    </cfRule>
  </conditionalFormatting>
  <conditionalFormatting sqref="BE160">
    <cfRule type="cellIs" dxfId="4006" priority="421" stopIfTrue="1" operator="equal">
      <formula>"Pass"</formula>
    </cfRule>
  </conditionalFormatting>
  <conditionalFormatting sqref="BE160">
    <cfRule type="cellIs" dxfId="4005" priority="418" stopIfTrue="1" operator="equal">
      <formula>"No"</formula>
    </cfRule>
    <cfRule type="cellIs" dxfId="4004" priority="419" stopIfTrue="1" operator="equal">
      <formula>"Fail"</formula>
    </cfRule>
    <cfRule type="cellIs" dxfId="4003" priority="420" stopIfTrue="1" operator="equal">
      <formula>"please check"</formula>
    </cfRule>
  </conditionalFormatting>
  <conditionalFormatting sqref="BE160">
    <cfRule type="cellIs" dxfId="4002" priority="417" stopIfTrue="1" operator="equal">
      <formula>"Pass"</formula>
    </cfRule>
  </conditionalFormatting>
  <conditionalFormatting sqref="BE159">
    <cfRule type="cellIs" dxfId="4001" priority="414" stopIfTrue="1" operator="equal">
      <formula>"No"</formula>
    </cfRule>
    <cfRule type="cellIs" dxfId="4000" priority="415" stopIfTrue="1" operator="equal">
      <formula>"Fail"</formula>
    </cfRule>
    <cfRule type="cellIs" dxfId="3999" priority="416" stopIfTrue="1" operator="equal">
      <formula>"please check"</formula>
    </cfRule>
  </conditionalFormatting>
  <conditionalFormatting sqref="BE159">
    <cfRule type="cellIs" dxfId="3998" priority="413" stopIfTrue="1" operator="equal">
      <formula>"Pass"</formula>
    </cfRule>
  </conditionalFormatting>
  <conditionalFormatting sqref="AO151:AO152">
    <cfRule type="cellIs" dxfId="3997" priority="409" stopIfTrue="1" operator="equal">
      <formula>"Pass"</formula>
    </cfRule>
    <cfRule type="cellIs" dxfId="3996" priority="410" stopIfTrue="1" operator="equal">
      <formula>"Please check"</formula>
    </cfRule>
    <cfRule type="cellIs" dxfId="3995" priority="411" stopIfTrue="1" operator="equal">
      <formula>"Fail"</formula>
    </cfRule>
    <cfRule type="cellIs" dxfId="3994" priority="412" stopIfTrue="1" operator="equal">
      <formula>"Please fill in all mandatory cells AO60:AR60"</formula>
    </cfRule>
  </conditionalFormatting>
  <conditionalFormatting sqref="AO149">
    <cfRule type="cellIs" dxfId="3993" priority="406" stopIfTrue="1" operator="equal">
      <formula>"Pass"</formula>
    </cfRule>
    <cfRule type="cellIs" dxfId="3992" priority="407" stopIfTrue="1" operator="equal">
      <formula>"Please check"</formula>
    </cfRule>
    <cfRule type="cellIs" dxfId="3991" priority="408" stopIfTrue="1" operator="equal">
      <formula>"Fail"</formula>
    </cfRule>
  </conditionalFormatting>
  <conditionalFormatting sqref="AP152">
    <cfRule type="cellIs" dxfId="3990" priority="402" stopIfTrue="1" operator="equal">
      <formula>"Pass"</formula>
    </cfRule>
    <cfRule type="cellIs" dxfId="3989" priority="403" stopIfTrue="1" operator="equal">
      <formula>"Please check"</formula>
    </cfRule>
    <cfRule type="cellIs" dxfId="3988" priority="404" stopIfTrue="1" operator="equal">
      <formula>"Fail"</formula>
    </cfRule>
    <cfRule type="cellIs" dxfId="3987" priority="405" stopIfTrue="1" operator="equal">
      <formula>"Please fill in all mandatory cells AO60:AR60"</formula>
    </cfRule>
  </conditionalFormatting>
  <conditionalFormatting sqref="AR151:AR152">
    <cfRule type="cellIs" dxfId="3986" priority="398" stopIfTrue="1" operator="equal">
      <formula>"Pass"</formula>
    </cfRule>
    <cfRule type="cellIs" dxfId="3985" priority="399" stopIfTrue="1" operator="equal">
      <formula>"Please check"</formula>
    </cfRule>
    <cfRule type="cellIs" dxfId="3984" priority="400" stopIfTrue="1" operator="equal">
      <formula>"Fail"</formula>
    </cfRule>
    <cfRule type="cellIs" dxfId="3983" priority="401" stopIfTrue="1" operator="equal">
      <formula>"Please fill in all mandatory cells AO60:AR60"</formula>
    </cfRule>
  </conditionalFormatting>
  <conditionalFormatting sqref="AT152">
    <cfRule type="cellIs" dxfId="3982" priority="394" stopIfTrue="1" operator="equal">
      <formula>"Pass"</formula>
    </cfRule>
    <cfRule type="cellIs" dxfId="3981" priority="395" stopIfTrue="1" operator="equal">
      <formula>"Please check"</formula>
    </cfRule>
    <cfRule type="cellIs" dxfId="3980" priority="396" stopIfTrue="1" operator="equal">
      <formula>"Fail"</formula>
    </cfRule>
    <cfRule type="cellIs" dxfId="3979" priority="397" stopIfTrue="1" operator="equal">
      <formula>"Please fill in all mandatory cells AO60:AR60"</formula>
    </cfRule>
  </conditionalFormatting>
  <conditionalFormatting sqref="G166:H166 G164:G165">
    <cfRule type="cellIs" dxfId="3978" priority="391" stopIfTrue="1" operator="equal">
      <formula>"Pass"</formula>
    </cfRule>
    <cfRule type="cellIs" dxfId="3977" priority="392" stopIfTrue="1" operator="equal">
      <formula>"Please check"</formula>
    </cfRule>
    <cfRule type="cellIs" dxfId="3976" priority="393" stopIfTrue="1" operator="equal">
      <formula>"Fail"</formula>
    </cfRule>
  </conditionalFormatting>
  <conditionalFormatting sqref="I165">
    <cfRule type="cellIs" dxfId="3975" priority="388" stopIfTrue="1" operator="equal">
      <formula>"Pass"</formula>
    </cfRule>
    <cfRule type="cellIs" dxfId="3974" priority="389" stopIfTrue="1" operator="equal">
      <formula>"Please check"</formula>
    </cfRule>
    <cfRule type="cellIs" dxfId="3973" priority="390" stopIfTrue="1" operator="equal">
      <formula>"Fail"</formula>
    </cfRule>
  </conditionalFormatting>
  <conditionalFormatting sqref="G186">
    <cfRule type="cellIs" dxfId="3972" priority="385" stopIfTrue="1" operator="equal">
      <formula>"Pass"</formula>
    </cfRule>
    <cfRule type="cellIs" dxfId="3971" priority="386" stopIfTrue="1" operator="equal">
      <formula>"please check"</formula>
    </cfRule>
  </conditionalFormatting>
  <conditionalFormatting sqref="R187">
    <cfRule type="cellIs" dxfId="3970" priority="379" stopIfTrue="1" operator="equal">
      <formula>"Pass"</formula>
    </cfRule>
    <cfRule type="cellIs" dxfId="3969" priority="380" stopIfTrue="1" operator="equal">
      <formula>"please check"</formula>
    </cfRule>
  </conditionalFormatting>
  <conditionalFormatting sqref="R187">
    <cfRule type="cellIs" dxfId="3968" priority="382" stopIfTrue="1" operator="equal">
      <formula>"Pass"</formula>
    </cfRule>
    <cfRule type="cellIs" dxfId="3967" priority="383" stopIfTrue="1" operator="equal">
      <formula>"please check"</formula>
    </cfRule>
  </conditionalFormatting>
  <conditionalFormatting sqref="S187">
    <cfRule type="cellIs" dxfId="3966" priority="373" stopIfTrue="1" operator="equal">
      <formula>"Pass"</formula>
    </cfRule>
    <cfRule type="cellIs" dxfId="3965" priority="374" stopIfTrue="1" operator="equal">
      <formula>"please check"</formula>
    </cfRule>
  </conditionalFormatting>
  <conditionalFormatting sqref="S187">
    <cfRule type="cellIs" dxfId="3964" priority="376" stopIfTrue="1" operator="equal">
      <formula>"Pass"</formula>
    </cfRule>
    <cfRule type="cellIs" dxfId="3963" priority="377" stopIfTrue="1" operator="equal">
      <formula>"please check"</formula>
    </cfRule>
  </conditionalFormatting>
  <conditionalFormatting sqref="C217:C218 F220:F221">
    <cfRule type="cellIs" dxfId="3962" priority="370" stopIfTrue="1" operator="equal">
      <formula>"Pass"</formula>
    </cfRule>
    <cfRule type="cellIs" dxfId="3961" priority="371" stopIfTrue="1" operator="equal">
      <formula>"please check"</formula>
    </cfRule>
  </conditionalFormatting>
  <conditionalFormatting sqref="A221">
    <cfRule type="cellIs" dxfId="3960" priority="367" stopIfTrue="1" operator="equal">
      <formula>"Pass"</formula>
    </cfRule>
    <cfRule type="cellIs" dxfId="3959" priority="368" stopIfTrue="1" operator="equal">
      <formula>"please check"</formula>
    </cfRule>
  </conditionalFormatting>
  <conditionalFormatting sqref="B216 A217:A220">
    <cfRule type="cellIs" dxfId="3958" priority="364" stopIfTrue="1" operator="equal">
      <formula>"Pass"</formula>
    </cfRule>
    <cfRule type="cellIs" dxfId="3957" priority="365" stopIfTrue="1" operator="equal">
      <formula>"please check"</formula>
    </cfRule>
  </conditionalFormatting>
  <conditionalFormatting sqref="A216">
    <cfRule type="cellIs" dxfId="3956" priority="361" stopIfTrue="1" operator="equal">
      <formula>"Pass"</formula>
    </cfRule>
    <cfRule type="cellIs" dxfId="3955" priority="362" stopIfTrue="1" operator="equal">
      <formula>"please check"</formula>
    </cfRule>
  </conditionalFormatting>
  <conditionalFormatting sqref="B221">
    <cfRule type="cellIs" dxfId="3954" priority="358" stopIfTrue="1" operator="equal">
      <formula>"Pass"</formula>
    </cfRule>
    <cfRule type="cellIs" dxfId="3953" priority="359" stopIfTrue="1" operator="equal">
      <formula>"please check"</formula>
    </cfRule>
  </conditionalFormatting>
  <conditionalFormatting sqref="C218">
    <cfRule type="cellIs" dxfId="3952" priority="355" stopIfTrue="1" operator="equal">
      <formula>"Pass"</formula>
    </cfRule>
    <cfRule type="cellIs" dxfId="3951" priority="356" stopIfTrue="1" operator="equal">
      <formula>"please check"</formula>
    </cfRule>
  </conditionalFormatting>
  <conditionalFormatting sqref="C216:BE216">
    <cfRule type="cellIs" dxfId="3950" priority="352" stopIfTrue="1" operator="equal">
      <formula>"Pass"</formula>
    </cfRule>
    <cfRule type="cellIs" dxfId="3949" priority="353" stopIfTrue="1" operator="equal">
      <formula>"please check"</formula>
    </cfRule>
  </conditionalFormatting>
  <conditionalFormatting sqref="H218">
    <cfRule type="cellIs" dxfId="3948" priority="349" stopIfTrue="1" operator="equal">
      <formula>"Pass"</formula>
    </cfRule>
    <cfRule type="cellIs" dxfId="3947" priority="350" stopIfTrue="1" operator="equal">
      <formula>"please check"</formula>
    </cfRule>
  </conditionalFormatting>
  <conditionalFormatting sqref="J218:J219 L219">
    <cfRule type="cellIs" dxfId="3946" priority="346" stopIfTrue="1" operator="equal">
      <formula>"Pass"</formula>
    </cfRule>
    <cfRule type="cellIs" dxfId="3945" priority="347" stopIfTrue="1" operator="equal">
      <formula>"please check"</formula>
    </cfRule>
  </conditionalFormatting>
  <conditionalFormatting sqref="J220:K220">
    <cfRule type="cellIs" dxfId="3944" priority="343" stopIfTrue="1" operator="equal">
      <formula>"Pass"</formula>
    </cfRule>
    <cfRule type="cellIs" dxfId="3943" priority="344" stopIfTrue="1" operator="equal">
      <formula>"please check"</formula>
    </cfRule>
  </conditionalFormatting>
  <conditionalFormatting sqref="J217">
    <cfRule type="cellIs" dxfId="3942" priority="340" stopIfTrue="1" operator="equal">
      <formula>"Pass"</formula>
    </cfRule>
    <cfRule type="cellIs" dxfId="3941" priority="341" stopIfTrue="1" operator="equal">
      <formula>"please check"</formula>
    </cfRule>
  </conditionalFormatting>
  <conditionalFormatting sqref="M218:M219 O219">
    <cfRule type="cellIs" dxfId="3940" priority="337" stopIfTrue="1" operator="equal">
      <formula>"Pass"</formula>
    </cfRule>
    <cfRule type="cellIs" dxfId="3939" priority="338" stopIfTrue="1" operator="equal">
      <formula>"please check"</formula>
    </cfRule>
  </conditionalFormatting>
  <conditionalFormatting sqref="M220:N220">
    <cfRule type="cellIs" dxfId="3938" priority="334" stopIfTrue="1" operator="equal">
      <formula>"Pass"</formula>
    </cfRule>
    <cfRule type="cellIs" dxfId="3937" priority="335" stopIfTrue="1" operator="equal">
      <formula>"please check"</formula>
    </cfRule>
  </conditionalFormatting>
  <conditionalFormatting sqref="M217">
    <cfRule type="cellIs" dxfId="3936" priority="331" stopIfTrue="1" operator="equal">
      <formula>"Pass"</formula>
    </cfRule>
    <cfRule type="cellIs" dxfId="3935" priority="332" stopIfTrue="1" operator="equal">
      <formula>"please check"</formula>
    </cfRule>
  </conditionalFormatting>
  <conditionalFormatting sqref="C217">
    <cfRule type="cellIs" dxfId="3934" priority="328" stopIfTrue="1" operator="equal">
      <formula>"Pass"</formula>
    </cfRule>
    <cfRule type="cellIs" dxfId="3933" priority="329" stopIfTrue="1" operator="equal">
      <formula>"please check"</formula>
    </cfRule>
  </conditionalFormatting>
  <conditionalFormatting sqref="E218">
    <cfRule type="cellIs" dxfId="3932" priority="325" stopIfTrue="1" operator="equal">
      <formula>"Pass"</formula>
    </cfRule>
    <cfRule type="cellIs" dxfId="3931" priority="326" stopIfTrue="1" operator="equal">
      <formula>"please check"</formula>
    </cfRule>
  </conditionalFormatting>
  <conditionalFormatting sqref="A222:O224">
    <cfRule type="cellIs" dxfId="3930" priority="322" stopIfTrue="1" operator="equal">
      <formula>"Pass"</formula>
    </cfRule>
    <cfRule type="cellIs" dxfId="3929" priority="323" stopIfTrue="1" operator="equal">
      <formula>"please check"</formula>
    </cfRule>
  </conditionalFormatting>
  <conditionalFormatting sqref="P217:BE224">
    <cfRule type="cellIs" dxfId="3928" priority="319" stopIfTrue="1" operator="equal">
      <formula>"Pass"</formula>
    </cfRule>
    <cfRule type="cellIs" dxfId="3927" priority="320" stopIfTrue="1" operator="equal">
      <formula>"please check"</formula>
    </cfRule>
  </conditionalFormatting>
  <conditionalFormatting sqref="B175">
    <cfRule type="cellIs" dxfId="3926" priority="316" stopIfTrue="1" operator="equal">
      <formula>"Pass"</formula>
    </cfRule>
    <cfRule type="cellIs" dxfId="3925" priority="317" stopIfTrue="1" operator="equal">
      <formula>"please check"</formula>
    </cfRule>
  </conditionalFormatting>
  <conditionalFormatting sqref="B167">
    <cfRule type="cellIs" dxfId="3924" priority="313" stopIfTrue="1" operator="equal">
      <formula>"Pass"</formula>
    </cfRule>
    <cfRule type="cellIs" dxfId="3923" priority="314" stopIfTrue="1" operator="equal">
      <formula>"please check"</formula>
    </cfRule>
  </conditionalFormatting>
  <conditionalFormatting sqref="B176:B177">
    <cfRule type="cellIs" dxfId="3922" priority="310" stopIfTrue="1" operator="equal">
      <formula>"Pass"</formula>
    </cfRule>
    <cfRule type="cellIs" dxfId="3921" priority="311" stopIfTrue="1" operator="equal">
      <formula>"Please check"</formula>
    </cfRule>
    <cfRule type="cellIs" dxfId="3920" priority="312" stopIfTrue="1" operator="equal">
      <formula>"Fail"</formula>
    </cfRule>
  </conditionalFormatting>
  <conditionalFormatting sqref="B178">
    <cfRule type="cellIs" dxfId="3919" priority="307" stopIfTrue="1" operator="equal">
      <formula>"Pass"</formula>
    </cfRule>
    <cfRule type="cellIs" dxfId="3918" priority="308" stopIfTrue="1" operator="equal">
      <formula>"Please check"</formula>
    </cfRule>
    <cfRule type="cellIs" dxfId="3917" priority="309" stopIfTrue="1" operator="equal">
      <formula>"Fail"</formula>
    </cfRule>
  </conditionalFormatting>
  <conditionalFormatting sqref="C178:E178">
    <cfRule type="cellIs" dxfId="3916" priority="303" stopIfTrue="1" operator="equal">
      <formula>"Pass"</formula>
    </cfRule>
    <cfRule type="cellIs" dxfId="3915" priority="304" stopIfTrue="1" operator="equal">
      <formula>"Please check"</formula>
    </cfRule>
    <cfRule type="cellIs" dxfId="3914" priority="305" stopIfTrue="1" operator="equal">
      <formula>"Fail"</formula>
    </cfRule>
    <cfRule type="cellIs" dxfId="3913" priority="306" stopIfTrue="1" operator="equal">
      <formula>"Please fill in all mandatory cells AO60:AR60"</formula>
    </cfRule>
  </conditionalFormatting>
  <conditionalFormatting sqref="G176:I177">
    <cfRule type="cellIs" dxfId="3912" priority="300" stopIfTrue="1" operator="equal">
      <formula>"Pass"</formula>
    </cfRule>
    <cfRule type="cellIs" dxfId="3911" priority="301" stopIfTrue="1" operator="equal">
      <formula>"Please check"</formula>
    </cfRule>
    <cfRule type="cellIs" dxfId="3910" priority="302" stopIfTrue="1" operator="equal">
      <formula>"Fail"</formula>
    </cfRule>
  </conditionalFormatting>
  <conditionalFormatting sqref="G178:I178">
    <cfRule type="cellIs" dxfId="3909" priority="296" stopIfTrue="1" operator="equal">
      <formula>"Pass"</formula>
    </cfRule>
    <cfRule type="cellIs" dxfId="3908" priority="297" stopIfTrue="1" operator="equal">
      <formula>"Please check"</formula>
    </cfRule>
    <cfRule type="cellIs" dxfId="3907" priority="298" stopIfTrue="1" operator="equal">
      <formula>"Fail"</formula>
    </cfRule>
    <cfRule type="cellIs" dxfId="3906" priority="299" stopIfTrue="1" operator="equal">
      <formula>"Please fill in all mandatory cells AO60:AR60"</formula>
    </cfRule>
  </conditionalFormatting>
  <conditionalFormatting sqref="K179:K180">
    <cfRule type="cellIs" dxfId="3905" priority="293" stopIfTrue="1" operator="equal">
      <formula>"No"</formula>
    </cfRule>
    <cfRule type="cellIs" dxfId="3904" priority="294" stopIfTrue="1" operator="equal">
      <formula>"Fail"</formula>
    </cfRule>
    <cfRule type="cellIs" dxfId="3903" priority="295" stopIfTrue="1" operator="equal">
      <formula>"please check"</formula>
    </cfRule>
  </conditionalFormatting>
  <conditionalFormatting sqref="K179:K180">
    <cfRule type="cellIs" dxfId="3902" priority="292" stopIfTrue="1" operator="equal">
      <formula>"Pass"</formula>
    </cfRule>
  </conditionalFormatting>
  <conditionalFormatting sqref="K179:K180">
    <cfRule type="containsText" dxfId="3901" priority="289" operator="containsText" text="Please check">
      <formula>NOT(ISERROR(SEARCH("Please check",K179)))</formula>
    </cfRule>
    <cfRule type="containsText" dxfId="3900" priority="290" operator="containsText" text="Missing inputs">
      <formula>NOT(ISERROR(SEARCH("Missing inputs",K179)))</formula>
    </cfRule>
    <cfRule type="containsText" dxfId="3899" priority="291" operator="containsText" text="OK">
      <formula>NOT(ISERROR(SEARCH("OK",K179)))</formula>
    </cfRule>
  </conditionalFormatting>
  <conditionalFormatting sqref="K176:K177">
    <cfRule type="cellIs" dxfId="3898" priority="286" stopIfTrue="1" operator="equal">
      <formula>"No"</formula>
    </cfRule>
    <cfRule type="cellIs" dxfId="3897" priority="287" stopIfTrue="1" operator="equal">
      <formula>"Fail"</formula>
    </cfRule>
    <cfRule type="cellIs" dxfId="3896" priority="288" stopIfTrue="1" operator="equal">
      <formula>"please check"</formula>
    </cfRule>
  </conditionalFormatting>
  <conditionalFormatting sqref="K176:K177">
    <cfRule type="cellIs" dxfId="3895" priority="285" stopIfTrue="1" operator="equal">
      <formula>"Pass"</formula>
    </cfRule>
  </conditionalFormatting>
  <conditionalFormatting sqref="K178">
    <cfRule type="cellIs" dxfId="3894" priority="282" stopIfTrue="1" operator="equal">
      <formula>"No"</formula>
    </cfRule>
    <cfRule type="cellIs" dxfId="3893" priority="283" stopIfTrue="1" operator="equal">
      <formula>"Fail"</formula>
    </cfRule>
    <cfRule type="cellIs" dxfId="3892" priority="284" stopIfTrue="1" operator="equal">
      <formula>"please check"</formula>
    </cfRule>
  </conditionalFormatting>
  <conditionalFormatting sqref="K178">
    <cfRule type="cellIs" dxfId="3891" priority="281" stopIfTrue="1" operator="equal">
      <formula>"Pass"</formula>
    </cfRule>
  </conditionalFormatting>
  <conditionalFormatting sqref="K181:K182">
    <cfRule type="cellIs" dxfId="3890" priority="278" stopIfTrue="1" operator="equal">
      <formula>"No"</formula>
    </cfRule>
    <cfRule type="cellIs" dxfId="3889" priority="279" stopIfTrue="1" operator="equal">
      <formula>"Fail"</formula>
    </cfRule>
    <cfRule type="cellIs" dxfId="3888" priority="280" stopIfTrue="1" operator="equal">
      <formula>"please check"</formula>
    </cfRule>
  </conditionalFormatting>
  <conditionalFormatting sqref="K181:K182">
    <cfRule type="cellIs" dxfId="3887" priority="277" stopIfTrue="1" operator="equal">
      <formula>"Pass"</formula>
    </cfRule>
  </conditionalFormatting>
  <conditionalFormatting sqref="K181:K182">
    <cfRule type="containsText" dxfId="3886" priority="274" operator="containsText" text="Please check">
      <formula>NOT(ISERROR(SEARCH("Please check",K181)))</formula>
    </cfRule>
    <cfRule type="containsText" dxfId="3885" priority="275" operator="containsText" text="Missing inputs">
      <formula>NOT(ISERROR(SEARCH("Missing inputs",K181)))</formula>
    </cfRule>
    <cfRule type="containsText" dxfId="3884" priority="276" operator="containsText" text="OK">
      <formula>NOT(ISERROR(SEARCH("OK",K181)))</formula>
    </cfRule>
  </conditionalFormatting>
  <conditionalFormatting sqref="L176:L178">
    <cfRule type="cellIs" dxfId="3883" priority="271" stopIfTrue="1" operator="equal">
      <formula>"Pass"</formula>
    </cfRule>
    <cfRule type="cellIs" dxfId="3882" priority="272" stopIfTrue="1" operator="equal">
      <formula>"please check"</formula>
    </cfRule>
  </conditionalFormatting>
  <conditionalFormatting sqref="L176:L177">
    <cfRule type="cellIs" dxfId="3881" priority="264" stopIfTrue="1" operator="equal">
      <formula>"No"</formula>
    </cfRule>
    <cfRule type="cellIs" dxfId="3880" priority="265" stopIfTrue="1" operator="equal">
      <formula>"Fail"</formula>
    </cfRule>
    <cfRule type="cellIs" dxfId="3879" priority="266" stopIfTrue="1" operator="equal">
      <formula>"please check"</formula>
    </cfRule>
  </conditionalFormatting>
  <conditionalFormatting sqref="L176:L177">
    <cfRule type="cellIs" dxfId="3878" priority="263" stopIfTrue="1" operator="equal">
      <formula>"Pass"</formula>
    </cfRule>
  </conditionalFormatting>
  <conditionalFormatting sqref="L178">
    <cfRule type="cellIs" dxfId="3877" priority="268" stopIfTrue="1" operator="equal">
      <formula>"No"</formula>
    </cfRule>
    <cfRule type="cellIs" dxfId="3876" priority="269" stopIfTrue="1" operator="equal">
      <formula>"Fail"</formula>
    </cfRule>
    <cfRule type="cellIs" dxfId="3875" priority="270" stopIfTrue="1" operator="equal">
      <formula>"please check"</formula>
    </cfRule>
  </conditionalFormatting>
  <conditionalFormatting sqref="L178">
    <cfRule type="cellIs" dxfId="3874" priority="267" stopIfTrue="1" operator="equal">
      <formula>"Pass"</formula>
    </cfRule>
  </conditionalFormatting>
  <conditionalFormatting sqref="L179">
    <cfRule type="cellIs" dxfId="3873" priority="262" stopIfTrue="1" operator="equal">
      <formula>"Pass"</formula>
    </cfRule>
  </conditionalFormatting>
  <conditionalFormatting sqref="L179">
    <cfRule type="cellIs" dxfId="3872" priority="259" stopIfTrue="1" operator="equal">
      <formula>"No"</formula>
    </cfRule>
    <cfRule type="cellIs" dxfId="3871" priority="260" stopIfTrue="1" operator="equal">
      <formula>"Fail"</formula>
    </cfRule>
    <cfRule type="cellIs" dxfId="3870" priority="261" stopIfTrue="1" operator="equal">
      <formula>"please check"</formula>
    </cfRule>
  </conditionalFormatting>
  <conditionalFormatting sqref="L179">
    <cfRule type="containsText" dxfId="3869" priority="256" operator="containsText" text="Please check">
      <formula>NOT(ISERROR(SEARCH("Please check",L179)))</formula>
    </cfRule>
    <cfRule type="containsText" dxfId="3868" priority="257" operator="containsText" text="Missing inputs">
      <formula>NOT(ISERROR(SEARCH("Missing inputs",L179)))</formula>
    </cfRule>
    <cfRule type="containsText" dxfId="3867" priority="258" operator="containsText" text="OK">
      <formula>NOT(ISERROR(SEARCH("OK",L179)))</formula>
    </cfRule>
  </conditionalFormatting>
  <conditionalFormatting sqref="L181">
    <cfRule type="cellIs" dxfId="3866" priority="255" stopIfTrue="1" operator="equal">
      <formula>"Pass"</formula>
    </cfRule>
  </conditionalFormatting>
  <conditionalFormatting sqref="L181">
    <cfRule type="cellIs" dxfId="3865" priority="252" stopIfTrue="1" operator="equal">
      <formula>"No"</formula>
    </cfRule>
    <cfRule type="cellIs" dxfId="3864" priority="253" stopIfTrue="1" operator="equal">
      <formula>"Fail"</formula>
    </cfRule>
    <cfRule type="cellIs" dxfId="3863" priority="254" stopIfTrue="1" operator="equal">
      <formula>"please check"</formula>
    </cfRule>
  </conditionalFormatting>
  <conditionalFormatting sqref="L181">
    <cfRule type="containsText" dxfId="3862" priority="249" operator="containsText" text="Please check">
      <formula>NOT(ISERROR(SEARCH("Please check",L181)))</formula>
    </cfRule>
    <cfRule type="containsText" dxfId="3861" priority="250" operator="containsText" text="Missing inputs">
      <formula>NOT(ISERROR(SEARCH("Missing inputs",L181)))</formula>
    </cfRule>
    <cfRule type="containsText" dxfId="3860" priority="251" operator="containsText" text="OK">
      <formula>NOT(ISERROR(SEARCH("OK",L181)))</formula>
    </cfRule>
  </conditionalFormatting>
  <conditionalFormatting sqref="C175">
    <cfRule type="cellIs" dxfId="3859" priority="245" stopIfTrue="1" operator="equal">
      <formula>"Pass"</formula>
    </cfRule>
    <cfRule type="cellIs" dxfId="3858" priority="246" stopIfTrue="1" operator="equal">
      <formula>"Please check"</formula>
    </cfRule>
    <cfRule type="cellIs" dxfId="3857" priority="247" stopIfTrue="1" operator="equal">
      <formula>"Fail"</formula>
    </cfRule>
    <cfRule type="cellIs" dxfId="3856" priority="248" stopIfTrue="1" operator="equal">
      <formula>"Please fill in all mandatory cells AO60:AR60"</formula>
    </cfRule>
  </conditionalFormatting>
  <conditionalFormatting sqref="D175">
    <cfRule type="cellIs" dxfId="3855" priority="241" stopIfTrue="1" operator="equal">
      <formula>"Pass"</formula>
    </cfRule>
    <cfRule type="cellIs" dxfId="3854" priority="242" stopIfTrue="1" operator="equal">
      <formula>"Please check"</formula>
    </cfRule>
    <cfRule type="cellIs" dxfId="3853" priority="243" stopIfTrue="1" operator="equal">
      <formula>"Fail"</formula>
    </cfRule>
    <cfRule type="cellIs" dxfId="3852" priority="244" stopIfTrue="1" operator="equal">
      <formula>"Please fill in all mandatory cells AO60:AR60"</formula>
    </cfRule>
  </conditionalFormatting>
  <conditionalFormatting sqref="E175">
    <cfRule type="cellIs" dxfId="3851" priority="237" stopIfTrue="1" operator="equal">
      <formula>"Pass"</formula>
    </cfRule>
    <cfRule type="cellIs" dxfId="3850" priority="238" stopIfTrue="1" operator="equal">
      <formula>"Please check"</formula>
    </cfRule>
    <cfRule type="cellIs" dxfId="3849" priority="239" stopIfTrue="1" operator="equal">
      <formula>"Fail"</formula>
    </cfRule>
    <cfRule type="cellIs" dxfId="3848" priority="240" stopIfTrue="1" operator="equal">
      <formula>"Please fill in all mandatory cells AO60:AR60"</formula>
    </cfRule>
  </conditionalFormatting>
  <conditionalFormatting sqref="K175">
    <cfRule type="cellIs" dxfId="3847" priority="234" stopIfTrue="1" operator="equal">
      <formula>"No"</formula>
    </cfRule>
    <cfRule type="cellIs" dxfId="3846" priority="235" stopIfTrue="1" operator="equal">
      <formula>"Fail"</formula>
    </cfRule>
    <cfRule type="cellIs" dxfId="3845" priority="236" stopIfTrue="1" operator="equal">
      <formula>"please check"</formula>
    </cfRule>
  </conditionalFormatting>
  <conditionalFormatting sqref="K175">
    <cfRule type="cellIs" dxfId="3844" priority="233" stopIfTrue="1" operator="equal">
      <formula>"Pass"</formula>
    </cfRule>
  </conditionalFormatting>
  <conditionalFormatting sqref="J175">
    <cfRule type="cellIs" dxfId="3843" priority="230" stopIfTrue="1" operator="equal">
      <formula>"No"</formula>
    </cfRule>
    <cfRule type="cellIs" dxfId="3842" priority="231" stopIfTrue="1" operator="equal">
      <formula>"Fail"</formula>
    </cfRule>
    <cfRule type="cellIs" dxfId="3841" priority="232" stopIfTrue="1" operator="equal">
      <formula>"please check"</formula>
    </cfRule>
  </conditionalFormatting>
  <conditionalFormatting sqref="J175">
    <cfRule type="cellIs" dxfId="3840" priority="229" stopIfTrue="1" operator="equal">
      <formula>"Pass"</formula>
    </cfRule>
  </conditionalFormatting>
  <conditionalFormatting sqref="J175">
    <cfRule type="containsText" dxfId="3839" priority="226" operator="containsText" text="Please check">
      <formula>NOT(ISERROR(SEARCH("Please check",J175)))</formula>
    </cfRule>
    <cfRule type="containsText" dxfId="3838" priority="227" operator="containsText" text="Missing inputs">
      <formula>NOT(ISERROR(SEARCH("Missing inputs",J175)))</formula>
    </cfRule>
    <cfRule type="containsText" dxfId="3837" priority="228" operator="containsText" text="OK">
      <formula>NOT(ISERROR(SEARCH("OK",J175)))</formula>
    </cfRule>
  </conditionalFormatting>
  <conditionalFormatting sqref="G175">
    <cfRule type="cellIs" dxfId="3836" priority="222" stopIfTrue="1" operator="equal">
      <formula>"Pass"</formula>
    </cfRule>
    <cfRule type="cellIs" dxfId="3835" priority="223" stopIfTrue="1" operator="equal">
      <formula>"Please check"</formula>
    </cfRule>
    <cfRule type="cellIs" dxfId="3834" priority="224" stopIfTrue="1" operator="equal">
      <formula>"Fail"</formula>
    </cfRule>
    <cfRule type="cellIs" dxfId="3833" priority="225" stopIfTrue="1" operator="equal">
      <formula>"Please fill in all mandatory cells AO60:AR60"</formula>
    </cfRule>
  </conditionalFormatting>
  <conditionalFormatting sqref="H175">
    <cfRule type="cellIs" dxfId="3832" priority="218" stopIfTrue="1" operator="equal">
      <formula>"Pass"</formula>
    </cfRule>
    <cfRule type="cellIs" dxfId="3831" priority="219" stopIfTrue="1" operator="equal">
      <formula>"Please check"</formula>
    </cfRule>
    <cfRule type="cellIs" dxfId="3830" priority="220" stopIfTrue="1" operator="equal">
      <formula>"Fail"</formula>
    </cfRule>
    <cfRule type="cellIs" dxfId="3829" priority="221" stopIfTrue="1" operator="equal">
      <formula>"Please fill in all mandatory cells AO60:AR60"</formula>
    </cfRule>
  </conditionalFormatting>
  <conditionalFormatting sqref="I175">
    <cfRule type="cellIs" dxfId="3828" priority="214" stopIfTrue="1" operator="equal">
      <formula>"Pass"</formula>
    </cfRule>
    <cfRule type="cellIs" dxfId="3827" priority="215" stopIfTrue="1" operator="equal">
      <formula>"Please check"</formula>
    </cfRule>
    <cfRule type="cellIs" dxfId="3826" priority="216" stopIfTrue="1" operator="equal">
      <formula>"Fail"</formula>
    </cfRule>
    <cfRule type="cellIs" dxfId="3825" priority="217" stopIfTrue="1" operator="equal">
      <formula>"Please fill in all mandatory cells AO60:AR60"</formula>
    </cfRule>
  </conditionalFormatting>
  <conditionalFormatting sqref="L175">
    <cfRule type="cellIs" dxfId="3824" priority="211" stopIfTrue="1" operator="equal">
      <formula>"Pass"</formula>
    </cfRule>
    <cfRule type="cellIs" dxfId="3823" priority="212" stopIfTrue="1" operator="equal">
      <formula>"please check"</formula>
    </cfRule>
  </conditionalFormatting>
  <conditionalFormatting sqref="L175">
    <cfRule type="cellIs" dxfId="3822" priority="208" stopIfTrue="1" operator="equal">
      <formula>"No"</formula>
    </cfRule>
    <cfRule type="cellIs" dxfId="3821" priority="209" stopIfTrue="1" operator="equal">
      <formula>"Fail"</formula>
    </cfRule>
    <cfRule type="cellIs" dxfId="3820" priority="210" stopIfTrue="1" operator="equal">
      <formula>"please check"</formula>
    </cfRule>
  </conditionalFormatting>
  <conditionalFormatting sqref="L175">
    <cfRule type="cellIs" dxfId="3819" priority="207" stopIfTrue="1" operator="equal">
      <formula>"Pass"</formula>
    </cfRule>
  </conditionalFormatting>
  <conditionalFormatting sqref="G171:I172">
    <cfRule type="cellIs" dxfId="3818" priority="204" stopIfTrue="1" operator="equal">
      <formula>"Pass"</formula>
    </cfRule>
    <cfRule type="cellIs" dxfId="3817" priority="205" stopIfTrue="1" operator="equal">
      <formula>"Please check"</formula>
    </cfRule>
    <cfRule type="cellIs" dxfId="3816" priority="206" stopIfTrue="1" operator="equal">
      <formula>"Fail"</formula>
    </cfRule>
  </conditionalFormatting>
  <conditionalFormatting sqref="G173:I174">
    <cfRule type="cellIs" dxfId="3815" priority="201" stopIfTrue="1" operator="equal">
      <formula>"Pass"</formula>
    </cfRule>
    <cfRule type="cellIs" dxfId="3814" priority="202" stopIfTrue="1" operator="equal">
      <formula>"Please check"</formula>
    </cfRule>
    <cfRule type="cellIs" dxfId="3813" priority="203" stopIfTrue="1" operator="equal">
      <formula>"Fail"</formula>
    </cfRule>
  </conditionalFormatting>
  <conditionalFormatting sqref="G179:I182">
    <cfRule type="cellIs" dxfId="3812" priority="198" stopIfTrue="1" operator="equal">
      <formula>"Pass"</formula>
    </cfRule>
    <cfRule type="cellIs" dxfId="3811" priority="199" stopIfTrue="1" operator="equal">
      <formula>"Please check"</formula>
    </cfRule>
    <cfRule type="cellIs" dxfId="3810" priority="200" stopIfTrue="1" operator="equal">
      <formula>"Fail"</formula>
    </cfRule>
  </conditionalFormatting>
  <conditionalFormatting sqref="B180">
    <cfRule type="cellIs" dxfId="3809" priority="195" stopIfTrue="1" operator="equal">
      <formula>"Pass"</formula>
    </cfRule>
    <cfRule type="cellIs" dxfId="3808" priority="196" stopIfTrue="1" operator="equal">
      <formula>"Please check"</formula>
    </cfRule>
    <cfRule type="cellIs" dxfId="3807" priority="197" stopIfTrue="1" operator="equal">
      <formula>"Fail"</formula>
    </cfRule>
  </conditionalFormatting>
  <conditionalFormatting sqref="B182">
    <cfRule type="cellIs" dxfId="3806" priority="192" stopIfTrue="1" operator="equal">
      <formula>"Pass"</formula>
    </cfRule>
    <cfRule type="cellIs" dxfId="3805" priority="193" stopIfTrue="1" operator="equal">
      <formula>"Please check"</formula>
    </cfRule>
    <cfRule type="cellIs" dxfId="3804" priority="194" stopIfTrue="1" operator="equal">
      <formula>"Fail"</formula>
    </cfRule>
  </conditionalFormatting>
  <conditionalFormatting sqref="L180">
    <cfRule type="cellIs" dxfId="3803" priority="189" stopIfTrue="1" operator="equal">
      <formula>"Pass"</formula>
    </cfRule>
    <cfRule type="cellIs" dxfId="3802" priority="190" stopIfTrue="1" operator="equal">
      <formula>"please check"</formula>
    </cfRule>
  </conditionalFormatting>
  <conditionalFormatting sqref="L180">
    <cfRule type="cellIs" dxfId="3801" priority="186" stopIfTrue="1" operator="equal">
      <formula>"No"</formula>
    </cfRule>
    <cfRule type="cellIs" dxfId="3800" priority="187" stopIfTrue="1" operator="equal">
      <formula>"Fail"</formula>
    </cfRule>
    <cfRule type="cellIs" dxfId="3799" priority="188" stopIfTrue="1" operator="equal">
      <formula>"please check"</formula>
    </cfRule>
  </conditionalFormatting>
  <conditionalFormatting sqref="L180">
    <cfRule type="cellIs" dxfId="3798" priority="185" stopIfTrue="1" operator="equal">
      <formula>"Pass"</formula>
    </cfRule>
  </conditionalFormatting>
  <conditionalFormatting sqref="AV152">
    <cfRule type="cellIs" dxfId="3797" priority="179" stopIfTrue="1" operator="equal">
      <formula>"Pass"</formula>
    </cfRule>
    <cfRule type="cellIs" dxfId="3796" priority="180" stopIfTrue="1" operator="equal">
      <formula>"please check"</formula>
    </cfRule>
  </conditionalFormatting>
  <conditionalFormatting sqref="AV152">
    <cfRule type="cellIs" dxfId="3795" priority="182" stopIfTrue="1" operator="equal">
      <formula>"Pass"</formula>
    </cfRule>
    <cfRule type="cellIs" dxfId="3794" priority="183" stopIfTrue="1" operator="equal">
      <formula>"please check"</formula>
    </cfRule>
  </conditionalFormatting>
  <conditionalFormatting sqref="AY152">
    <cfRule type="cellIs" dxfId="3793" priority="173" stopIfTrue="1" operator="equal">
      <formula>"Pass"</formula>
    </cfRule>
    <cfRule type="cellIs" dxfId="3792" priority="174" stopIfTrue="1" operator="equal">
      <formula>"please check"</formula>
    </cfRule>
  </conditionalFormatting>
  <conditionalFormatting sqref="AY152">
    <cfRule type="cellIs" dxfId="3791" priority="176" stopIfTrue="1" operator="equal">
      <formula>"Pass"</formula>
    </cfRule>
    <cfRule type="cellIs" dxfId="3790" priority="177" stopIfTrue="1" operator="equal">
      <formula>"please check"</formula>
    </cfRule>
  </conditionalFormatting>
  <conditionalFormatting sqref="BB152">
    <cfRule type="cellIs" dxfId="3789" priority="170" stopIfTrue="1" operator="equal">
      <formula>"Pass"</formula>
    </cfRule>
    <cfRule type="cellIs" dxfId="3788" priority="171" stopIfTrue="1" operator="equal">
      <formula>"please check"</formula>
    </cfRule>
  </conditionalFormatting>
  <conditionalFormatting sqref="BB152">
    <cfRule type="cellIs" dxfId="3787" priority="164" stopIfTrue="1" operator="equal">
      <formula>"Pass"</formula>
    </cfRule>
    <cfRule type="cellIs" dxfId="3786" priority="165" stopIfTrue="1" operator="equal">
      <formula>"please check"</formula>
    </cfRule>
  </conditionalFormatting>
  <conditionalFormatting sqref="BB152">
    <cfRule type="cellIs" dxfId="3785" priority="167" stopIfTrue="1" operator="equal">
      <formula>"Pass"</formula>
    </cfRule>
    <cfRule type="cellIs" dxfId="3784" priority="168" stopIfTrue="1" operator="equal">
      <formula>"please check"</formula>
    </cfRule>
  </conditionalFormatting>
  <conditionalFormatting sqref="D193">
    <cfRule type="cellIs" dxfId="3783" priority="163" stopIfTrue="1" operator="lessThan">
      <formula>0</formula>
    </cfRule>
  </conditionalFormatting>
  <conditionalFormatting sqref="D193">
    <cfRule type="cellIs" dxfId="3782" priority="160" stopIfTrue="1" operator="equal">
      <formula>"Pass"</formula>
    </cfRule>
    <cfRule type="cellIs" dxfId="3781" priority="161" stopIfTrue="1" operator="equal">
      <formula>"please check"</formula>
    </cfRule>
  </conditionalFormatting>
  <conditionalFormatting sqref="D194">
    <cfRule type="cellIs" dxfId="3780" priority="159" stopIfTrue="1" operator="lessThan">
      <formula>0</formula>
    </cfRule>
  </conditionalFormatting>
  <conditionalFormatting sqref="D194">
    <cfRule type="cellIs" dxfId="3779" priority="156" stopIfTrue="1" operator="equal">
      <formula>"Pass"</formula>
    </cfRule>
    <cfRule type="cellIs" dxfId="3778" priority="157" stopIfTrue="1" operator="equal">
      <formula>"please check"</formula>
    </cfRule>
  </conditionalFormatting>
  <conditionalFormatting sqref="D195">
    <cfRule type="cellIs" dxfId="3777" priority="155" stopIfTrue="1" operator="lessThan">
      <formula>0</formula>
    </cfRule>
  </conditionalFormatting>
  <conditionalFormatting sqref="D195">
    <cfRule type="cellIs" dxfId="3776" priority="152" stopIfTrue="1" operator="equal">
      <formula>"Pass"</formula>
    </cfRule>
    <cfRule type="cellIs" dxfId="3775" priority="153" stopIfTrue="1" operator="equal">
      <formula>"please check"</formula>
    </cfRule>
  </conditionalFormatting>
  <conditionalFormatting sqref="D196">
    <cfRule type="cellIs" dxfId="3774" priority="151" stopIfTrue="1" operator="lessThan">
      <formula>0</formula>
    </cfRule>
  </conditionalFormatting>
  <conditionalFormatting sqref="D196">
    <cfRule type="cellIs" dxfId="3773" priority="148" stopIfTrue="1" operator="equal">
      <formula>"Pass"</formula>
    </cfRule>
    <cfRule type="cellIs" dxfId="3772" priority="149" stopIfTrue="1" operator="equal">
      <formula>"please check"</formula>
    </cfRule>
  </conditionalFormatting>
  <conditionalFormatting sqref="E193">
    <cfRule type="cellIs" dxfId="3771" priority="147" stopIfTrue="1" operator="lessThan">
      <formula>0</formula>
    </cfRule>
  </conditionalFormatting>
  <conditionalFormatting sqref="E193">
    <cfRule type="cellIs" dxfId="3770" priority="144" stopIfTrue="1" operator="equal">
      <formula>"Pass"</formula>
    </cfRule>
    <cfRule type="cellIs" dxfId="3769" priority="145" stopIfTrue="1" operator="equal">
      <formula>"please check"</formula>
    </cfRule>
  </conditionalFormatting>
  <conditionalFormatting sqref="E194">
    <cfRule type="cellIs" dxfId="3768" priority="143" stopIfTrue="1" operator="lessThan">
      <formula>0</formula>
    </cfRule>
  </conditionalFormatting>
  <conditionalFormatting sqref="E194">
    <cfRule type="cellIs" dxfId="3767" priority="140" stopIfTrue="1" operator="equal">
      <formula>"Pass"</formula>
    </cfRule>
    <cfRule type="cellIs" dxfId="3766" priority="141" stopIfTrue="1" operator="equal">
      <formula>"please check"</formula>
    </cfRule>
  </conditionalFormatting>
  <conditionalFormatting sqref="E195">
    <cfRule type="cellIs" dxfId="3765" priority="139" stopIfTrue="1" operator="lessThan">
      <formula>0</formula>
    </cfRule>
  </conditionalFormatting>
  <conditionalFormatting sqref="E195">
    <cfRule type="cellIs" dxfId="3764" priority="136" stopIfTrue="1" operator="equal">
      <formula>"Pass"</formula>
    </cfRule>
    <cfRule type="cellIs" dxfId="3763" priority="137" stopIfTrue="1" operator="equal">
      <formula>"please check"</formula>
    </cfRule>
  </conditionalFormatting>
  <conditionalFormatting sqref="E196">
    <cfRule type="cellIs" dxfId="3762" priority="135" stopIfTrue="1" operator="lessThan">
      <formula>0</formula>
    </cfRule>
  </conditionalFormatting>
  <conditionalFormatting sqref="E196">
    <cfRule type="cellIs" dxfId="3761" priority="132" stopIfTrue="1" operator="equal">
      <formula>"Pass"</formula>
    </cfRule>
    <cfRule type="cellIs" dxfId="3760" priority="133" stopIfTrue="1" operator="equal">
      <formula>"please check"</formula>
    </cfRule>
  </conditionalFormatting>
  <conditionalFormatting sqref="G193">
    <cfRule type="cellIs" dxfId="3759" priority="131" stopIfTrue="1" operator="lessThan">
      <formula>0</formula>
    </cfRule>
  </conditionalFormatting>
  <conditionalFormatting sqref="G193">
    <cfRule type="cellIs" dxfId="3758" priority="128" stopIfTrue="1" operator="equal">
      <formula>"Pass"</formula>
    </cfRule>
    <cfRule type="cellIs" dxfId="3757" priority="129" stopIfTrue="1" operator="equal">
      <formula>"please check"</formula>
    </cfRule>
  </conditionalFormatting>
  <conditionalFormatting sqref="G194">
    <cfRule type="cellIs" dxfId="3756" priority="127" stopIfTrue="1" operator="lessThan">
      <formula>0</formula>
    </cfRule>
  </conditionalFormatting>
  <conditionalFormatting sqref="G194">
    <cfRule type="cellIs" dxfId="3755" priority="124" stopIfTrue="1" operator="equal">
      <formula>"Pass"</formula>
    </cfRule>
    <cfRule type="cellIs" dxfId="3754" priority="125" stopIfTrue="1" operator="equal">
      <formula>"please check"</formula>
    </cfRule>
  </conditionalFormatting>
  <conditionalFormatting sqref="G195">
    <cfRule type="cellIs" dxfId="3753" priority="123" stopIfTrue="1" operator="lessThan">
      <formula>0</formula>
    </cfRule>
  </conditionalFormatting>
  <conditionalFormatting sqref="G195">
    <cfRule type="cellIs" dxfId="3752" priority="120" stopIfTrue="1" operator="equal">
      <formula>"Pass"</formula>
    </cfRule>
    <cfRule type="cellIs" dxfId="3751" priority="121" stopIfTrue="1" operator="equal">
      <formula>"please check"</formula>
    </cfRule>
  </conditionalFormatting>
  <conditionalFormatting sqref="G196">
    <cfRule type="cellIs" dxfId="3750" priority="119" stopIfTrue="1" operator="lessThan">
      <formula>0</formula>
    </cfRule>
  </conditionalFormatting>
  <conditionalFormatting sqref="G196">
    <cfRule type="cellIs" dxfId="3749" priority="116" stopIfTrue="1" operator="equal">
      <formula>"Pass"</formula>
    </cfRule>
    <cfRule type="cellIs" dxfId="3748" priority="117" stopIfTrue="1" operator="equal">
      <formula>"please check"</formula>
    </cfRule>
  </conditionalFormatting>
  <conditionalFormatting sqref="H193">
    <cfRule type="cellIs" dxfId="3747" priority="115" stopIfTrue="1" operator="lessThan">
      <formula>0</formula>
    </cfRule>
  </conditionalFormatting>
  <conditionalFormatting sqref="H193">
    <cfRule type="cellIs" dxfId="3746" priority="112" stopIfTrue="1" operator="equal">
      <formula>"Pass"</formula>
    </cfRule>
    <cfRule type="cellIs" dxfId="3745" priority="113" stopIfTrue="1" operator="equal">
      <formula>"please check"</formula>
    </cfRule>
  </conditionalFormatting>
  <conditionalFormatting sqref="H194">
    <cfRule type="cellIs" dxfId="3744" priority="111" stopIfTrue="1" operator="lessThan">
      <formula>0</formula>
    </cfRule>
  </conditionalFormatting>
  <conditionalFormatting sqref="H194">
    <cfRule type="cellIs" dxfId="3743" priority="108" stopIfTrue="1" operator="equal">
      <formula>"Pass"</formula>
    </cfRule>
    <cfRule type="cellIs" dxfId="3742" priority="109" stopIfTrue="1" operator="equal">
      <formula>"please check"</formula>
    </cfRule>
  </conditionalFormatting>
  <conditionalFormatting sqref="H195">
    <cfRule type="cellIs" dxfId="3741" priority="107" stopIfTrue="1" operator="lessThan">
      <formula>0</formula>
    </cfRule>
  </conditionalFormatting>
  <conditionalFormatting sqref="H195">
    <cfRule type="cellIs" dxfId="3740" priority="104" stopIfTrue="1" operator="equal">
      <formula>"Pass"</formula>
    </cfRule>
    <cfRule type="cellIs" dxfId="3739" priority="105" stopIfTrue="1" operator="equal">
      <formula>"please check"</formula>
    </cfRule>
  </conditionalFormatting>
  <conditionalFormatting sqref="H196">
    <cfRule type="cellIs" dxfId="3738" priority="103" stopIfTrue="1" operator="lessThan">
      <formula>0</formula>
    </cfRule>
  </conditionalFormatting>
  <conditionalFormatting sqref="H196">
    <cfRule type="cellIs" dxfId="3737" priority="100" stopIfTrue="1" operator="equal">
      <formula>"Pass"</formula>
    </cfRule>
    <cfRule type="cellIs" dxfId="3736" priority="101" stopIfTrue="1" operator="equal">
      <formula>"please check"</formula>
    </cfRule>
  </conditionalFormatting>
  <conditionalFormatting sqref="I193">
    <cfRule type="cellIs" dxfId="3735" priority="99" stopIfTrue="1" operator="lessThan">
      <formula>0</formula>
    </cfRule>
  </conditionalFormatting>
  <conditionalFormatting sqref="I193">
    <cfRule type="cellIs" dxfId="3734" priority="96" stopIfTrue="1" operator="equal">
      <formula>"Pass"</formula>
    </cfRule>
    <cfRule type="cellIs" dxfId="3733" priority="97" stopIfTrue="1" operator="equal">
      <formula>"please check"</formula>
    </cfRule>
  </conditionalFormatting>
  <conditionalFormatting sqref="I194">
    <cfRule type="cellIs" dxfId="3732" priority="95" stopIfTrue="1" operator="lessThan">
      <formula>0</formula>
    </cfRule>
  </conditionalFormatting>
  <conditionalFormatting sqref="I194">
    <cfRule type="cellIs" dxfId="3731" priority="92" stopIfTrue="1" operator="equal">
      <formula>"Pass"</formula>
    </cfRule>
    <cfRule type="cellIs" dxfId="3730" priority="93" stopIfTrue="1" operator="equal">
      <formula>"please check"</formula>
    </cfRule>
  </conditionalFormatting>
  <conditionalFormatting sqref="I195">
    <cfRule type="cellIs" dxfId="3729" priority="91" stopIfTrue="1" operator="lessThan">
      <formula>0</formula>
    </cfRule>
  </conditionalFormatting>
  <conditionalFormatting sqref="I195">
    <cfRule type="cellIs" dxfId="3728" priority="88" stopIfTrue="1" operator="equal">
      <formula>"Pass"</formula>
    </cfRule>
    <cfRule type="cellIs" dxfId="3727" priority="89" stopIfTrue="1" operator="equal">
      <formula>"please check"</formula>
    </cfRule>
  </conditionalFormatting>
  <conditionalFormatting sqref="I196">
    <cfRule type="cellIs" dxfId="3726" priority="87" stopIfTrue="1" operator="lessThan">
      <formula>0</formula>
    </cfRule>
  </conditionalFormatting>
  <conditionalFormatting sqref="I196">
    <cfRule type="cellIs" dxfId="3725" priority="84" stopIfTrue="1" operator="equal">
      <formula>"Pass"</formula>
    </cfRule>
    <cfRule type="cellIs" dxfId="3724" priority="85" stopIfTrue="1" operator="equal">
      <formula>"please check"</formula>
    </cfRule>
  </conditionalFormatting>
  <conditionalFormatting sqref="J193">
    <cfRule type="cellIs" dxfId="3723" priority="83" stopIfTrue="1" operator="lessThan">
      <formula>0</formula>
    </cfRule>
  </conditionalFormatting>
  <conditionalFormatting sqref="J193">
    <cfRule type="cellIs" dxfId="3722" priority="80" stopIfTrue="1" operator="equal">
      <formula>"Pass"</formula>
    </cfRule>
    <cfRule type="cellIs" dxfId="3721" priority="81" stopIfTrue="1" operator="equal">
      <formula>"please check"</formula>
    </cfRule>
  </conditionalFormatting>
  <conditionalFormatting sqref="J194">
    <cfRule type="cellIs" dxfId="3720" priority="79" stopIfTrue="1" operator="lessThan">
      <formula>0</formula>
    </cfRule>
  </conditionalFormatting>
  <conditionalFormatting sqref="J194">
    <cfRule type="cellIs" dxfId="3719" priority="76" stopIfTrue="1" operator="equal">
      <formula>"Pass"</formula>
    </cfRule>
    <cfRule type="cellIs" dxfId="3718" priority="77" stopIfTrue="1" operator="equal">
      <formula>"please check"</formula>
    </cfRule>
  </conditionalFormatting>
  <conditionalFormatting sqref="J195">
    <cfRule type="cellIs" dxfId="3717" priority="75" stopIfTrue="1" operator="lessThan">
      <formula>0</formula>
    </cfRule>
  </conditionalFormatting>
  <conditionalFormatting sqref="J195">
    <cfRule type="cellIs" dxfId="3716" priority="72" stopIfTrue="1" operator="equal">
      <formula>"Pass"</formula>
    </cfRule>
    <cfRule type="cellIs" dxfId="3715" priority="73" stopIfTrue="1" operator="equal">
      <formula>"please check"</formula>
    </cfRule>
  </conditionalFormatting>
  <conditionalFormatting sqref="J196">
    <cfRule type="cellIs" dxfId="3714" priority="71" stopIfTrue="1" operator="lessThan">
      <formula>0</formula>
    </cfRule>
  </conditionalFormatting>
  <conditionalFormatting sqref="J196">
    <cfRule type="cellIs" dxfId="3713" priority="68" stopIfTrue="1" operator="equal">
      <formula>"Pass"</formula>
    </cfRule>
    <cfRule type="cellIs" dxfId="3712" priority="69" stopIfTrue="1" operator="equal">
      <formula>"please check"</formula>
    </cfRule>
  </conditionalFormatting>
  <conditionalFormatting sqref="L193">
    <cfRule type="cellIs" dxfId="3711" priority="67" stopIfTrue="1" operator="lessThan">
      <formula>0</formula>
    </cfRule>
  </conditionalFormatting>
  <conditionalFormatting sqref="L193">
    <cfRule type="cellIs" dxfId="3710" priority="64" stopIfTrue="1" operator="equal">
      <formula>"Pass"</formula>
    </cfRule>
    <cfRule type="cellIs" dxfId="3709" priority="65" stopIfTrue="1" operator="equal">
      <formula>"please check"</formula>
    </cfRule>
  </conditionalFormatting>
  <conditionalFormatting sqref="L194">
    <cfRule type="cellIs" dxfId="3708" priority="63" stopIfTrue="1" operator="lessThan">
      <formula>0</formula>
    </cfRule>
  </conditionalFormatting>
  <conditionalFormatting sqref="L194">
    <cfRule type="cellIs" dxfId="3707" priority="60" stopIfTrue="1" operator="equal">
      <formula>"Pass"</formula>
    </cfRule>
    <cfRule type="cellIs" dxfId="3706" priority="61" stopIfTrue="1" operator="equal">
      <formula>"please check"</formula>
    </cfRule>
  </conditionalFormatting>
  <conditionalFormatting sqref="L195">
    <cfRule type="cellIs" dxfId="3705" priority="59" stopIfTrue="1" operator="lessThan">
      <formula>0</formula>
    </cfRule>
  </conditionalFormatting>
  <conditionalFormatting sqref="L195">
    <cfRule type="cellIs" dxfId="3704" priority="56" stopIfTrue="1" operator="equal">
      <formula>"Pass"</formula>
    </cfRule>
    <cfRule type="cellIs" dxfId="3703" priority="57" stopIfTrue="1" operator="equal">
      <formula>"please check"</formula>
    </cfRule>
  </conditionalFormatting>
  <conditionalFormatting sqref="L196">
    <cfRule type="cellIs" dxfId="3702" priority="55" stopIfTrue="1" operator="lessThan">
      <formula>0</formula>
    </cfRule>
  </conditionalFormatting>
  <conditionalFormatting sqref="L196">
    <cfRule type="cellIs" dxfId="3701" priority="52" stopIfTrue="1" operator="equal">
      <formula>"Pass"</formula>
    </cfRule>
    <cfRule type="cellIs" dxfId="3700" priority="53" stopIfTrue="1" operator="equal">
      <formula>"please check"</formula>
    </cfRule>
  </conditionalFormatting>
  <conditionalFormatting sqref="M193">
    <cfRule type="cellIs" dxfId="3699" priority="51" stopIfTrue="1" operator="lessThan">
      <formula>0</formula>
    </cfRule>
  </conditionalFormatting>
  <conditionalFormatting sqref="M193">
    <cfRule type="cellIs" dxfId="3698" priority="48" stopIfTrue="1" operator="equal">
      <formula>"Pass"</formula>
    </cfRule>
    <cfRule type="cellIs" dxfId="3697" priority="49" stopIfTrue="1" operator="equal">
      <formula>"please check"</formula>
    </cfRule>
  </conditionalFormatting>
  <conditionalFormatting sqref="M194">
    <cfRule type="cellIs" dxfId="3696" priority="47" stopIfTrue="1" operator="lessThan">
      <formula>0</formula>
    </cfRule>
  </conditionalFormatting>
  <conditionalFormatting sqref="M194">
    <cfRule type="cellIs" dxfId="3695" priority="44" stopIfTrue="1" operator="equal">
      <formula>"Pass"</formula>
    </cfRule>
    <cfRule type="cellIs" dxfId="3694" priority="45" stopIfTrue="1" operator="equal">
      <formula>"please check"</formula>
    </cfRule>
  </conditionalFormatting>
  <conditionalFormatting sqref="M195">
    <cfRule type="cellIs" dxfId="3693" priority="43" stopIfTrue="1" operator="lessThan">
      <formula>0</formula>
    </cfRule>
  </conditionalFormatting>
  <conditionalFormatting sqref="M195">
    <cfRule type="cellIs" dxfId="3692" priority="40" stopIfTrue="1" operator="equal">
      <formula>"Pass"</formula>
    </cfRule>
    <cfRule type="cellIs" dxfId="3691" priority="41" stopIfTrue="1" operator="equal">
      <formula>"please check"</formula>
    </cfRule>
  </conditionalFormatting>
  <conditionalFormatting sqref="M196">
    <cfRule type="cellIs" dxfId="3690" priority="39" stopIfTrue="1" operator="lessThan">
      <formula>0</formula>
    </cfRule>
  </conditionalFormatting>
  <conditionalFormatting sqref="M196">
    <cfRule type="cellIs" dxfId="3689" priority="36" stopIfTrue="1" operator="equal">
      <formula>"Pass"</formula>
    </cfRule>
    <cfRule type="cellIs" dxfId="3688" priority="37" stopIfTrue="1" operator="equal">
      <formula>"please check"</formula>
    </cfRule>
  </conditionalFormatting>
  <conditionalFormatting sqref="C179:E182">
    <cfRule type="cellIs" dxfId="3687" priority="33" stopIfTrue="1" operator="equal">
      <formula>"Pass"</formula>
    </cfRule>
    <cfRule type="cellIs" dxfId="3686" priority="34" stopIfTrue="1" operator="equal">
      <formula>"Please check"</formula>
    </cfRule>
    <cfRule type="cellIs" dxfId="3685" priority="35" stopIfTrue="1" operator="equal">
      <formula>"Fail"</formula>
    </cfRule>
  </conditionalFormatting>
  <conditionalFormatting sqref="C177:E177">
    <cfRule type="cellIs" dxfId="3684" priority="30" stopIfTrue="1" operator="equal">
      <formula>"Pass"</formula>
    </cfRule>
    <cfRule type="cellIs" dxfId="3683" priority="31" stopIfTrue="1" operator="equal">
      <formula>"Please check"</formula>
    </cfRule>
    <cfRule type="cellIs" dxfId="3682" priority="32" stopIfTrue="1" operator="equal">
      <formula>"Fail"</formula>
    </cfRule>
  </conditionalFormatting>
  <conditionalFormatting sqref="C176:E176">
    <cfRule type="cellIs" dxfId="3681" priority="27" stopIfTrue="1" operator="equal">
      <formula>"Pass"</formula>
    </cfRule>
    <cfRule type="cellIs" dxfId="3680" priority="28" stopIfTrue="1" operator="equal">
      <formula>"Please check"</formula>
    </cfRule>
    <cfRule type="cellIs" dxfId="3679" priority="29" stopIfTrue="1" operator="equal">
      <formula>"Fail"</formula>
    </cfRule>
  </conditionalFormatting>
  <conditionalFormatting sqref="C171:E174">
    <cfRule type="cellIs" dxfId="3678" priority="24" stopIfTrue="1" operator="equal">
      <formula>"Pass"</formula>
    </cfRule>
    <cfRule type="cellIs" dxfId="3677" priority="25" stopIfTrue="1" operator="equal">
      <formula>"Please check"</formula>
    </cfRule>
    <cfRule type="cellIs" dxfId="3676" priority="26" stopIfTrue="1" operator="equal">
      <formula>"Fail"</formula>
    </cfRule>
  </conditionalFormatting>
  <conditionalFormatting sqref="C168:E169">
    <cfRule type="cellIs" dxfId="3675" priority="21" stopIfTrue="1" operator="equal">
      <formula>"Pass"</formula>
    </cfRule>
    <cfRule type="cellIs" dxfId="3674" priority="22" stopIfTrue="1" operator="equal">
      <formula>"Please check"</formula>
    </cfRule>
    <cfRule type="cellIs" dxfId="3673" priority="23" stopIfTrue="1" operator="equal">
      <formula>"Fail"</formula>
    </cfRule>
  </conditionalFormatting>
  <conditionalFormatting sqref="E199">
    <cfRule type="cellIs" dxfId="3672" priority="20" stopIfTrue="1" operator="lessThan">
      <formula>0</formula>
    </cfRule>
  </conditionalFormatting>
  <conditionalFormatting sqref="E199">
    <cfRule type="cellIs" dxfId="3671" priority="17" stopIfTrue="1" operator="equal">
      <formula>"Pass"</formula>
    </cfRule>
    <cfRule type="cellIs" dxfId="3670" priority="18" stopIfTrue="1" operator="equal">
      <formula>"please check"</formula>
    </cfRule>
  </conditionalFormatting>
  <conditionalFormatting sqref="H199">
    <cfRule type="cellIs" dxfId="3669" priority="16" stopIfTrue="1" operator="lessThan">
      <formula>0</formula>
    </cfRule>
  </conditionalFormatting>
  <conditionalFormatting sqref="H199">
    <cfRule type="cellIs" dxfId="3668" priority="13" stopIfTrue="1" operator="equal">
      <formula>"Pass"</formula>
    </cfRule>
    <cfRule type="cellIs" dxfId="3667" priority="14" stopIfTrue="1" operator="equal">
      <formula>"please check"</formula>
    </cfRule>
  </conditionalFormatting>
  <conditionalFormatting sqref="G199">
    <cfRule type="cellIs" dxfId="3666" priority="12" stopIfTrue="1" operator="lessThan">
      <formula>0</formula>
    </cfRule>
  </conditionalFormatting>
  <conditionalFormatting sqref="G199">
    <cfRule type="cellIs" dxfId="3665" priority="9" stopIfTrue="1" operator="equal">
      <formula>"Pass"</formula>
    </cfRule>
    <cfRule type="cellIs" dxfId="3664" priority="10" stopIfTrue="1" operator="equal">
      <formula>"please check"</formula>
    </cfRule>
  </conditionalFormatting>
  <conditionalFormatting sqref="E198">
    <cfRule type="cellIs" dxfId="3663" priority="8" stopIfTrue="1" operator="lessThan">
      <formula>0</formula>
    </cfRule>
  </conditionalFormatting>
  <conditionalFormatting sqref="E198">
    <cfRule type="cellIs" dxfId="3662" priority="5" stopIfTrue="1" operator="equal">
      <formula>"Pass"</formula>
    </cfRule>
    <cfRule type="cellIs" dxfId="3661" priority="6" stopIfTrue="1" operator="equal">
      <formula>"please check"</formula>
    </cfRule>
  </conditionalFormatting>
  <conditionalFormatting sqref="H198">
    <cfRule type="cellIs" dxfId="3660" priority="4" stopIfTrue="1" operator="lessThan">
      <formula>0</formula>
    </cfRule>
  </conditionalFormatting>
  <conditionalFormatting sqref="H198">
    <cfRule type="cellIs" dxfId="3659" priority="1" stopIfTrue="1" operator="equal">
      <formula>"Pass"</formula>
    </cfRule>
    <cfRule type="cellIs" dxfId="3658" priority="2"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0" max="103" man="1"/>
  </rowBreaks>
  <colBreaks count="9" manualBreakCount="9">
    <brk id="13" max="69" man="1"/>
    <brk id="25" max="69" man="1"/>
    <brk id="37" max="69" man="1"/>
    <brk id="41" max="69" man="1"/>
    <brk id="52" max="69" man="1"/>
    <brk id="64" max="69" man="1"/>
    <brk id="76" max="82" man="1"/>
    <brk id="89" max="69" man="1"/>
    <brk id="97" max="69" man="1"/>
  </colBreaks>
  <ignoredErrors>
    <ignoredError sqref="H18:H41 C20:G20 L20:M20 H42:H44 C41:G41 L41:M41 C44:G44 L44:M44 P41:S41 S20:S40 S42:S46 AB17 AE20 AU20 AP20:AT20 AP37:AT39 AU47 BF20 AU23 AU26 AU29 AU32 AU35 AU37 AU55 AU58 BF22:BF23 BF25:BF26 BF28:BF29 BF31:BF32 BF34:BF35 BF37 BF39 BF41 BF44 AU50:AU51 H45:H50 H57:H60" formula="1"/>
  </ignoredErrors>
  <extLst>
    <ext xmlns:x14="http://schemas.microsoft.com/office/spreadsheetml/2009/9/main" uri="{78C0D931-6437-407d-A8EE-F0AAD7539E65}">
      <x14:conditionalFormattings>
        <x14:conditionalFormatting xmlns:xm="http://schemas.microsoft.com/office/excel/2006/main">
          <x14:cfRule type="beginsWith" priority="3180" stopIfTrue="1" operator="beginsWith" id="{680AA95F-A294-4354-AA08-2C338C289957}">
            <xm:f>LEFT(A163,LEN("Fail"))="Fail"</xm:f>
            <xm:f>"Fail"</xm:f>
            <x14:dxf>
              <font>
                <b/>
                <i val="0"/>
                <strike val="0"/>
                <color rgb="FFAA322F"/>
              </font>
              <fill>
                <patternFill patternType="solid">
                  <bgColor theme="0"/>
                </patternFill>
              </fill>
            </x14:dxf>
          </x14:cfRule>
          <xm:sqref>A184:A191 G221:O221 C221:E221 C219 A163:A174 M175:P183 R175:AB183 AD175:AR183 AT175:BC183 BE163:BE183</xm:sqref>
        </x14:conditionalFormatting>
        <x14:conditionalFormatting xmlns:xm="http://schemas.microsoft.com/office/excel/2006/main">
          <x14:cfRule type="beginsWith" priority="3168" stopIfTrue="1" operator="beginsWith" id="{A6FA8C1D-9819-496F-AAFA-CD01B16AEDBF}">
            <xm:f>LEFT(A186,LEN("Fail"))="Fail"</xm:f>
            <xm:f>"Fail"</xm:f>
            <x14:dxf>
              <font>
                <b/>
                <i val="0"/>
                <strike val="0"/>
                <color rgb="FFAA322F"/>
              </font>
              <fill>
                <patternFill patternType="solid">
                  <bgColor theme="0"/>
                </patternFill>
              </fill>
            </x14:dxf>
          </x14:cfRule>
          <xm:sqref>A215:E215 A201:A214 A197:A199 C186:E186</xm:sqref>
        </x14:conditionalFormatting>
        <x14:conditionalFormatting xmlns:xm="http://schemas.microsoft.com/office/excel/2006/main">
          <x14:cfRule type="beginsWith" priority="3171" stopIfTrue="1" operator="beginsWith" id="{56E9CEB3-81DF-4C7C-9A1D-9651B0B418E2}">
            <xm:f>LEFT(C185,LEN("Fail"))="Fail"</xm:f>
            <xm:f>"Fail"</xm:f>
            <x14:dxf>
              <font>
                <b/>
                <i val="0"/>
                <strike val="0"/>
                <color rgb="FFAA322F"/>
              </font>
              <fill>
                <patternFill patternType="solid">
                  <bgColor theme="0"/>
                </patternFill>
              </fill>
            </x14:dxf>
          </x14:cfRule>
          <xm:sqref>C185</xm:sqref>
        </x14:conditionalFormatting>
        <x14:conditionalFormatting xmlns:xm="http://schemas.microsoft.com/office/excel/2006/main">
          <x14:cfRule type="beginsWith" priority="3165" stopIfTrue="1" operator="beginsWith" id="{4B59AEBC-2920-4193-BE35-6020BF9A866D}">
            <xm:f>LEFT(A192,LEN("Fail"))="Fail"</xm:f>
            <xm:f>"Fail"</xm:f>
            <x14:dxf>
              <font>
                <b/>
                <i val="0"/>
                <strike val="0"/>
                <color rgb="FFAA322F"/>
              </font>
              <fill>
                <patternFill patternType="solid">
                  <bgColor theme="0"/>
                </patternFill>
              </fill>
            </x14:dxf>
          </x14:cfRule>
          <xm:sqref>A192:A196</xm:sqref>
        </x14:conditionalFormatting>
        <x14:conditionalFormatting xmlns:xm="http://schemas.microsoft.com/office/excel/2006/main">
          <x14:cfRule type="beginsWith" priority="3162" stopIfTrue="1" operator="beginsWith" id="{492E026F-CD3E-4D3F-9DB2-607C9884BD62}">
            <xm:f>LEFT(B111,LEN("Fail"))="Fail"</xm:f>
            <xm:f>"Fail"</xm:f>
            <x14:dxf>
              <font>
                <b/>
                <i val="0"/>
                <strike val="0"/>
                <color rgb="FFAA322F"/>
              </font>
              <fill>
                <patternFill patternType="solid">
                  <bgColor theme="0"/>
                </patternFill>
              </fill>
            </x14:dxf>
          </x14:cfRule>
          <xm:sqref>B111:E111</xm:sqref>
        </x14:conditionalFormatting>
        <x14:conditionalFormatting xmlns:xm="http://schemas.microsoft.com/office/excel/2006/main">
          <x14:cfRule type="beginsWith" priority="3159" stopIfTrue="1" operator="beginsWith" id="{3B34DF44-D362-4D24-9EE6-8677B5CFFA03}">
            <xm:f>LEFT(B112,LEN("Fail"))="Fail"</xm:f>
            <xm:f>"Fail"</xm:f>
            <x14:dxf>
              <font>
                <b/>
                <i val="0"/>
                <strike val="0"/>
                <color rgb="FFAA322F"/>
              </font>
              <fill>
                <patternFill patternType="solid">
                  <bgColor theme="0"/>
                </patternFill>
              </fill>
            </x14:dxf>
          </x14:cfRule>
          <xm:sqref>B112:E112</xm:sqref>
        </x14:conditionalFormatting>
        <x14:conditionalFormatting xmlns:xm="http://schemas.microsoft.com/office/excel/2006/main">
          <x14:cfRule type="beginsWith" priority="3156" stopIfTrue="1" operator="beginsWith" id="{47EC6D3F-8393-4A84-BC64-8614E83AC79F}">
            <xm:f>LEFT(B162,LEN("Fail"))="Fail"</xm:f>
            <xm:f>"Fail"</xm:f>
            <x14:dxf>
              <font>
                <b/>
                <i val="0"/>
                <strike val="0"/>
                <color rgb="FFAA322F"/>
              </font>
              <fill>
                <patternFill patternType="solid">
                  <bgColor theme="0"/>
                </patternFill>
              </fill>
            </x14:dxf>
          </x14:cfRule>
          <xm:sqref>B162</xm:sqref>
        </x14:conditionalFormatting>
        <x14:conditionalFormatting xmlns:xm="http://schemas.microsoft.com/office/excel/2006/main">
          <x14:cfRule type="beginsWith" priority="3153" stopIfTrue="1" operator="beginsWith" id="{131FC9AD-FA49-437E-BF0D-24CB214D699B}">
            <xm:f>LEFT(C162,LEN("Fail"))="Fail"</xm:f>
            <xm:f>"Fail"</xm:f>
            <x14:dxf>
              <font>
                <b/>
                <i val="0"/>
                <strike val="0"/>
                <color rgb="FFAA322F"/>
              </font>
              <fill>
                <patternFill patternType="solid">
                  <bgColor theme="0"/>
                </patternFill>
              </fill>
            </x14:dxf>
          </x14:cfRule>
          <xm:sqref>C162:E162</xm:sqref>
        </x14:conditionalFormatting>
        <x14:conditionalFormatting xmlns:xm="http://schemas.microsoft.com/office/excel/2006/main">
          <x14:cfRule type="beginsWith" priority="3150" stopIfTrue="1" operator="beginsWith" id="{D38B7605-C71D-4FF0-BADB-F1E5487E89D3}">
            <xm:f>LEFT(A148,LEN("Fail"))="Fail"</xm:f>
            <xm:f>"Fail"</xm:f>
            <x14:dxf>
              <font>
                <b/>
                <i val="0"/>
                <strike val="0"/>
                <color rgb="FFAA322F"/>
              </font>
              <fill>
                <patternFill patternType="solid">
                  <bgColor theme="0"/>
                </patternFill>
              </fill>
            </x14:dxf>
          </x14:cfRule>
          <xm:sqref>A148:A161</xm:sqref>
        </x14:conditionalFormatting>
        <x14:conditionalFormatting xmlns:xm="http://schemas.microsoft.com/office/excel/2006/main">
          <x14:cfRule type="beginsWith" priority="3147" stopIfTrue="1" operator="beginsWith" id="{C80E1B33-4704-44EC-A087-4B93A3CF9B45}">
            <xm:f>LEFT(A162,LEN("Fail"))="Fail"</xm:f>
            <xm:f>"Fail"</xm:f>
            <x14:dxf>
              <font>
                <b/>
                <i val="0"/>
                <strike val="0"/>
                <color rgb="FFAA322F"/>
              </font>
              <fill>
                <patternFill patternType="solid">
                  <bgColor theme="0"/>
                </patternFill>
              </fill>
            </x14:dxf>
          </x14:cfRule>
          <xm:sqref>A162</xm:sqref>
        </x14:conditionalFormatting>
        <x14:conditionalFormatting xmlns:xm="http://schemas.microsoft.com/office/excel/2006/main">
          <x14:cfRule type="beginsWith" priority="3144" stopIfTrue="1" operator="beginsWith" id="{8EC99873-D39A-49FA-82DA-32A6BAF749E9}">
            <xm:f>LEFT(A147,LEN("Fail"))="Fail"</xm:f>
            <xm:f>"Fail"</xm:f>
            <x14:dxf>
              <font>
                <b/>
                <i val="0"/>
                <strike val="0"/>
                <color rgb="FFAA322F"/>
              </font>
              <fill>
                <patternFill patternType="solid">
                  <bgColor theme="0"/>
                </patternFill>
              </fill>
            </x14:dxf>
          </x14:cfRule>
          <xm:sqref>A147:E147</xm:sqref>
        </x14:conditionalFormatting>
        <x14:conditionalFormatting xmlns:xm="http://schemas.microsoft.com/office/excel/2006/main">
          <x14:cfRule type="beginsWith" priority="3141" stopIfTrue="1" operator="beginsWith" id="{814FF166-4E61-4440-9F6C-7B4DBA5D8F12}">
            <xm:f>LEFT(A111,LEN("Fail"))="Fail"</xm:f>
            <xm:f>"Fail"</xm:f>
            <x14:dxf>
              <font>
                <b/>
                <i val="0"/>
                <strike val="0"/>
                <color rgb="FFAA322F"/>
              </font>
              <fill>
                <patternFill patternType="solid">
                  <bgColor theme="0"/>
                </patternFill>
              </fill>
            </x14:dxf>
          </x14:cfRule>
          <xm:sqref>A111</xm:sqref>
        </x14:conditionalFormatting>
        <x14:conditionalFormatting xmlns:xm="http://schemas.microsoft.com/office/excel/2006/main">
          <x14:cfRule type="beginsWith" priority="3138" stopIfTrue="1" operator="beginsWith" id="{761A4CF1-47E1-4E7B-B13E-BB7368043630}">
            <xm:f>LEFT(A112,LEN("Fail"))="Fail"</xm:f>
            <xm:f>"Fail"</xm:f>
            <x14:dxf>
              <font>
                <b/>
                <i val="0"/>
                <strike val="0"/>
                <color rgb="FFAA322F"/>
              </font>
              <fill>
                <patternFill patternType="solid">
                  <bgColor theme="0"/>
                </patternFill>
              </fill>
            </x14:dxf>
          </x14:cfRule>
          <xm:sqref>A112</xm:sqref>
        </x14:conditionalFormatting>
        <x14:conditionalFormatting xmlns:xm="http://schemas.microsoft.com/office/excel/2006/main">
          <x14:cfRule type="beginsWith" priority="3135" stopIfTrue="1" operator="beginsWith" id="{ACC013EC-4830-4E80-B9CB-B55991AE76DC}">
            <xm:f>LEFT(A113,LEN("Fail"))="Fail"</xm:f>
            <xm:f>"Fail"</xm:f>
            <x14:dxf>
              <font>
                <b/>
                <i val="0"/>
                <strike val="0"/>
                <color rgb="FFAA322F"/>
              </font>
              <fill>
                <patternFill patternType="solid">
                  <bgColor theme="0"/>
                </patternFill>
              </fill>
            </x14:dxf>
          </x14:cfRule>
          <xm:sqref>A113:A146</xm:sqref>
        </x14:conditionalFormatting>
        <x14:conditionalFormatting xmlns:xm="http://schemas.microsoft.com/office/excel/2006/main">
          <x14:cfRule type="beginsWith" priority="3129" stopIfTrue="1" operator="beginsWith" id="{A96D37E7-C82B-4DA8-9AEF-CA0C086CE59D}">
            <xm:f>LEFT(A200,LEN("Fail"))="Fail"</xm:f>
            <xm:f>"Fail"</xm:f>
            <x14:dxf>
              <font>
                <b/>
                <i val="0"/>
                <strike val="0"/>
                <color rgb="FFAA322F"/>
              </font>
              <fill>
                <patternFill patternType="solid">
                  <bgColor theme="0"/>
                </patternFill>
              </fill>
            </x14:dxf>
          </x14:cfRule>
          <xm:sqref>A200:E200</xm:sqref>
        </x14:conditionalFormatting>
        <x14:conditionalFormatting xmlns:xm="http://schemas.microsoft.com/office/excel/2006/main">
          <x14:cfRule type="beginsWith" priority="3107" stopIfTrue="1" operator="beginsWith" id="{78D1BE65-C40C-473E-8415-B5D85ECC4329}">
            <xm:f>LEFT(C193,LEN("Fail"))="Fail"</xm:f>
            <xm:f>"Fail"</xm:f>
            <x14:dxf>
              <font>
                <b/>
                <i val="0"/>
                <strike val="0"/>
                <color rgb="FFAA322F"/>
              </font>
              <fill>
                <patternFill patternType="solid">
                  <bgColor theme="0"/>
                </patternFill>
              </fill>
            </x14:dxf>
          </x14:cfRule>
          <xm:sqref>C193</xm:sqref>
        </x14:conditionalFormatting>
        <x14:conditionalFormatting xmlns:xm="http://schemas.microsoft.com/office/excel/2006/main">
          <x14:cfRule type="beginsWith" priority="3103" stopIfTrue="1" operator="beginsWith" id="{0819F188-686A-4946-A82F-0E7FDC2B42D7}">
            <xm:f>LEFT(C194,LEN("Fail"))="Fail"</xm:f>
            <xm:f>"Fail"</xm:f>
            <x14:dxf>
              <font>
                <b/>
                <i val="0"/>
                <strike val="0"/>
                <color rgb="FFAA322F"/>
              </font>
              <fill>
                <patternFill patternType="solid">
                  <bgColor theme="0"/>
                </patternFill>
              </fill>
            </x14:dxf>
          </x14:cfRule>
          <xm:sqref>C194</xm:sqref>
        </x14:conditionalFormatting>
        <x14:conditionalFormatting xmlns:xm="http://schemas.microsoft.com/office/excel/2006/main">
          <x14:cfRule type="beginsWith" priority="3126" stopIfTrue="1" operator="beginsWith" id="{A4B9FBC5-9C15-4BAD-B7F0-A8B594ECAF46}">
            <xm:f>LEFT(E185,LEN("Fail"))="Fail"</xm:f>
            <xm:f>"Fail"</xm:f>
            <x14:dxf>
              <font>
                <b/>
                <i val="0"/>
                <strike val="0"/>
                <color rgb="FFAA322F"/>
              </font>
              <fill>
                <patternFill patternType="solid">
                  <bgColor theme="0"/>
                </patternFill>
              </fill>
            </x14:dxf>
          </x14:cfRule>
          <xm:sqref>E185</xm:sqref>
        </x14:conditionalFormatting>
        <x14:conditionalFormatting xmlns:xm="http://schemas.microsoft.com/office/excel/2006/main">
          <x14:cfRule type="beginsWith" priority="3063" stopIfTrue="1" operator="beginsWith" id="{21A231FA-6372-43C6-BD9B-EF941888B146}">
            <xm:f>LEFT(E197,LEN("Fail"))="Fail"</xm:f>
            <xm:f>"Fail"</xm:f>
            <x14:dxf>
              <font>
                <b/>
                <i val="0"/>
                <strike val="0"/>
                <color rgb="FFAA322F"/>
              </font>
              <fill>
                <patternFill patternType="solid">
                  <bgColor theme="0"/>
                </patternFill>
              </fill>
            </x14:dxf>
          </x14:cfRule>
          <xm:sqref>E197</xm:sqref>
        </x14:conditionalFormatting>
        <x14:conditionalFormatting xmlns:xm="http://schemas.microsoft.com/office/excel/2006/main">
          <x14:cfRule type="beginsWith" priority="3087" stopIfTrue="1" operator="beginsWith" id="{C3A0CD4A-5ECF-4C3B-84E1-F3A6A2A003B7}">
            <xm:f>LEFT(C198,LEN("Fail"))="Fail"</xm:f>
            <xm:f>"Fail"</xm:f>
            <x14:dxf>
              <font>
                <b/>
                <i val="0"/>
                <strike val="0"/>
                <color rgb="FFAA322F"/>
              </font>
              <fill>
                <patternFill patternType="solid">
                  <bgColor theme="0"/>
                </patternFill>
              </fill>
            </x14:dxf>
          </x14:cfRule>
          <xm:sqref>C198:D198</xm:sqref>
        </x14:conditionalFormatting>
        <x14:conditionalFormatting xmlns:xm="http://schemas.microsoft.com/office/excel/2006/main">
          <x14:cfRule type="beginsWith" priority="3099" stopIfTrue="1" operator="beginsWith" id="{F7EEE00E-AF17-4963-92BC-5725DC3E3A25}">
            <xm:f>LEFT(C195,LEN("Fail"))="Fail"</xm:f>
            <xm:f>"Fail"</xm:f>
            <x14:dxf>
              <font>
                <b/>
                <i val="0"/>
                <strike val="0"/>
                <color rgb="FFAA322F"/>
              </font>
              <fill>
                <patternFill patternType="solid">
                  <bgColor theme="0"/>
                </patternFill>
              </fill>
            </x14:dxf>
          </x14:cfRule>
          <xm:sqref>C195</xm:sqref>
        </x14:conditionalFormatting>
        <x14:conditionalFormatting xmlns:xm="http://schemas.microsoft.com/office/excel/2006/main">
          <x14:cfRule type="beginsWith" priority="3120" stopIfTrue="1" operator="beginsWith" id="{DBBD44E3-791D-42EC-99AD-610B49B060AA}">
            <xm:f>LEFT(A184,LEN("Fail"))="Fail"</xm:f>
            <xm:f>"Fail"</xm:f>
            <x14:dxf>
              <font>
                <b/>
                <i val="0"/>
                <strike val="0"/>
                <color rgb="FFAA322F"/>
              </font>
              <fill>
                <patternFill patternType="solid">
                  <bgColor theme="0"/>
                </patternFill>
              </fill>
            </x14:dxf>
          </x14:cfRule>
          <xm:sqref>A184</xm:sqref>
        </x14:conditionalFormatting>
        <x14:conditionalFormatting xmlns:xm="http://schemas.microsoft.com/office/excel/2006/main">
          <x14:cfRule type="beginsWith" priority="3116" stopIfTrue="1" operator="beginsWith" id="{2450FF08-0BF4-4E22-9C1C-576AAA933997}">
            <xm:f>LEFT(B189,LEN("Fail"))="Fail"</xm:f>
            <xm:f>"Fail"</xm:f>
            <x14:dxf>
              <font>
                <b/>
                <i val="0"/>
                <strike val="0"/>
                <color rgb="FFAA322F"/>
              </font>
              <fill>
                <patternFill patternType="solid">
                  <bgColor theme="0"/>
                </patternFill>
              </fill>
            </x14:dxf>
          </x14:cfRule>
          <xm:sqref>B189:B190</xm:sqref>
        </x14:conditionalFormatting>
        <x14:conditionalFormatting xmlns:xm="http://schemas.microsoft.com/office/excel/2006/main">
          <x14:cfRule type="beginsWith" priority="3095" stopIfTrue="1" operator="beginsWith" id="{A17BCAFF-CCCA-4AB1-B995-2AFB6DA8CB1C}">
            <xm:f>LEFT(C196,LEN("Fail"))="Fail"</xm:f>
            <xm:f>"Fail"</xm:f>
            <x14:dxf>
              <font>
                <b/>
                <i val="0"/>
                <strike val="0"/>
                <color rgb="FFAA322F"/>
              </font>
              <fill>
                <patternFill patternType="solid">
                  <bgColor theme="0"/>
                </patternFill>
              </fill>
            </x14:dxf>
          </x14:cfRule>
          <xm:sqref>C196</xm:sqref>
        </x14:conditionalFormatting>
        <x14:conditionalFormatting xmlns:xm="http://schemas.microsoft.com/office/excel/2006/main">
          <x14:cfRule type="beginsWith" priority="3091" stopIfTrue="1" operator="beginsWith" id="{FA18B884-25F8-4F45-8049-99C4DF556B9B}">
            <xm:f>LEFT(C197,LEN("Fail"))="Fail"</xm:f>
            <xm:f>"Fail"</xm:f>
            <x14:dxf>
              <font>
                <b/>
                <i val="0"/>
                <strike val="0"/>
                <color rgb="FFAA322F"/>
              </font>
              <fill>
                <patternFill patternType="solid">
                  <bgColor theme="0"/>
                </patternFill>
              </fill>
            </x14:dxf>
          </x14:cfRule>
          <xm:sqref>C197:D197</xm:sqref>
        </x14:conditionalFormatting>
        <x14:conditionalFormatting xmlns:xm="http://schemas.microsoft.com/office/excel/2006/main">
          <x14:cfRule type="beginsWith" priority="3083" stopIfTrue="1" operator="beginsWith" id="{80E4BBFE-20B7-4498-AADB-4367AD097459}">
            <xm:f>LEFT(C199,LEN("Fail"))="Fail"</xm:f>
            <xm:f>"Fail"</xm:f>
            <x14:dxf>
              <font>
                <b/>
                <i val="0"/>
                <strike val="0"/>
                <color rgb="FFAA322F"/>
              </font>
              <fill>
                <patternFill patternType="solid">
                  <bgColor theme="0"/>
                </patternFill>
              </fill>
            </x14:dxf>
          </x14:cfRule>
          <xm:sqref>C199:D199</xm:sqref>
        </x14:conditionalFormatting>
        <x14:conditionalFormatting xmlns:xm="http://schemas.microsoft.com/office/excel/2006/main">
          <x14:cfRule type="beginsWith" priority="2980" stopIfTrue="1" operator="beginsWith" id="{9DC2BA0A-91A5-4BA0-9AC5-451B2324D028}">
            <xm:f>LEFT(N186,LEN("Fail"))="Fail"</xm:f>
            <xm:f>"Fail"</xm:f>
            <x14:dxf>
              <font>
                <b/>
                <i val="0"/>
                <strike val="0"/>
                <color rgb="FFAA322F"/>
              </font>
              <fill>
                <patternFill patternType="solid">
                  <bgColor theme="0"/>
                </patternFill>
              </fill>
            </x14:dxf>
          </x14:cfRule>
          <xm:sqref>N186:P186</xm:sqref>
        </x14:conditionalFormatting>
        <x14:conditionalFormatting xmlns:xm="http://schemas.microsoft.com/office/excel/2006/main">
          <x14:cfRule type="beginsWith" priority="2971" stopIfTrue="1" operator="beginsWith" id="{6C9FC002-0EEB-4510-9781-EAB0EEF01D90}">
            <xm:f>LEFT(G185,LEN("Fail"))="Fail"</xm:f>
            <xm:f>"Fail"</xm:f>
            <x14:dxf>
              <font>
                <b/>
                <i val="0"/>
                <strike val="0"/>
                <color rgb="FFAA322F"/>
              </font>
              <fill>
                <patternFill patternType="solid">
                  <bgColor theme="0"/>
                </patternFill>
              </fill>
            </x14:dxf>
          </x14:cfRule>
          <xm:sqref>G215:P215 P185</xm:sqref>
        </x14:conditionalFormatting>
        <x14:conditionalFormatting xmlns:xm="http://schemas.microsoft.com/office/excel/2006/main">
          <x14:cfRule type="beginsWith" priority="2974" stopIfTrue="1" operator="beginsWith" id="{4D495304-5A06-45CF-8F3C-614A3962DA24}">
            <xm:f>LEFT(H187,LEN("Fail"))="Fail"</xm:f>
            <xm:f>"Fail"</xm:f>
            <x14:dxf>
              <font>
                <b/>
                <i val="0"/>
                <strike val="0"/>
                <color rgb="FFAA322F"/>
              </font>
              <fill>
                <patternFill patternType="solid">
                  <bgColor theme="0"/>
                </patternFill>
              </fill>
            </x14:dxf>
          </x14:cfRule>
          <xm:sqref>J187 H187</xm:sqref>
        </x14:conditionalFormatting>
        <x14:conditionalFormatting xmlns:xm="http://schemas.microsoft.com/office/excel/2006/main">
          <x14:cfRule type="beginsWith" priority="2960" stopIfTrue="1" operator="beginsWith" id="{738C0C00-271D-4F72-A3A9-579DF87E6432}">
            <xm:f>LEFT(G111,LEN("Fail"))="Fail"</xm:f>
            <xm:f>"Fail"</xm:f>
            <x14:dxf>
              <font>
                <b/>
                <i val="0"/>
                <strike val="0"/>
                <color rgb="FFAA322F"/>
              </font>
              <fill>
                <patternFill patternType="solid">
                  <bgColor theme="0"/>
                </patternFill>
              </fill>
            </x14:dxf>
          </x14:cfRule>
          <xm:sqref>G111:P111</xm:sqref>
        </x14:conditionalFormatting>
        <x14:conditionalFormatting xmlns:xm="http://schemas.microsoft.com/office/excel/2006/main">
          <x14:cfRule type="beginsWith" priority="2957" stopIfTrue="1" operator="beginsWith" id="{706425CF-49CD-4EBE-9CDF-F5AAE8912749}">
            <xm:f>LEFT(G112,LEN("Fail"))="Fail"</xm:f>
            <xm:f>"Fail"</xm:f>
            <x14:dxf>
              <font>
                <b/>
                <i val="0"/>
                <strike val="0"/>
                <color rgb="FFAA322F"/>
              </font>
              <fill>
                <patternFill patternType="solid">
                  <bgColor theme="0"/>
                </patternFill>
              </fill>
            </x14:dxf>
          </x14:cfRule>
          <xm:sqref>G112:P112</xm:sqref>
        </x14:conditionalFormatting>
        <x14:conditionalFormatting xmlns:xm="http://schemas.microsoft.com/office/excel/2006/main">
          <x14:cfRule type="beginsWith" priority="2954" stopIfTrue="1" operator="beginsWith" id="{83FCB114-BE43-4039-A3C2-3D74BB61055B}">
            <xm:f>LEFT(J163,LEN("Fail"))="Fail"</xm:f>
            <xm:f>"Fail"</xm:f>
            <x14:dxf>
              <font>
                <b/>
                <i val="0"/>
                <strike val="0"/>
                <color rgb="FFAA322F"/>
              </font>
              <fill>
                <patternFill patternType="solid">
                  <bgColor theme="0"/>
                </patternFill>
              </fill>
            </x14:dxf>
          </x14:cfRule>
          <xm:sqref>K164 M164 O164 O185 J163:P163 P166 P168:P169 P171:P172 M173:P174</xm:sqref>
        </x14:conditionalFormatting>
        <x14:conditionalFormatting xmlns:xm="http://schemas.microsoft.com/office/excel/2006/main">
          <x14:cfRule type="beginsWith" priority="2951" stopIfTrue="1" operator="beginsWith" id="{E8107490-2321-416C-BE50-3499579D33A3}">
            <xm:f>LEFT(J164,LEN("Fail"))="Fail"</xm:f>
            <xm:f>"Fail"</xm:f>
            <x14:dxf>
              <font>
                <b/>
                <i val="0"/>
                <strike val="0"/>
                <color rgb="FFAA322F"/>
              </font>
              <fill>
                <patternFill patternType="solid">
                  <bgColor theme="0"/>
                </patternFill>
              </fill>
            </x14:dxf>
          </x14:cfRule>
          <xm:sqref>J164 L164 N164 N185 P164:P165 P167 P170</xm:sqref>
        </x14:conditionalFormatting>
        <x14:conditionalFormatting xmlns:xm="http://schemas.microsoft.com/office/excel/2006/main">
          <x14:cfRule type="beginsWith" priority="2948" stopIfTrue="1" operator="beginsWith" id="{31E1FD61-5C9A-4357-86E6-BD353CAC61B5}">
            <xm:f>LEFT(G162,LEN("Fail"))="Fail"</xm:f>
            <xm:f>"Fail"</xm:f>
            <x14:dxf>
              <font>
                <b/>
                <i val="0"/>
                <strike val="0"/>
                <color rgb="FFAA322F"/>
              </font>
              <fill>
                <patternFill patternType="solid">
                  <bgColor theme="0"/>
                </patternFill>
              </fill>
            </x14:dxf>
          </x14:cfRule>
          <xm:sqref>G162:P162</xm:sqref>
        </x14:conditionalFormatting>
        <x14:conditionalFormatting xmlns:xm="http://schemas.microsoft.com/office/excel/2006/main">
          <x14:cfRule type="beginsWith" priority="2945" stopIfTrue="1" operator="beginsWith" id="{D5223ADB-3084-4145-B06C-E4EFA3D89822}">
            <xm:f>LEFT(G147,LEN("Fail"))="Fail"</xm:f>
            <xm:f>"Fail"</xm:f>
            <x14:dxf>
              <font>
                <b/>
                <i val="0"/>
                <strike val="0"/>
                <color rgb="FFAA322F"/>
              </font>
              <fill>
                <patternFill patternType="solid">
                  <bgColor theme="0"/>
                </patternFill>
              </fill>
            </x14:dxf>
          </x14:cfRule>
          <xm:sqref>G147:P147</xm:sqref>
        </x14:conditionalFormatting>
        <x14:conditionalFormatting xmlns:xm="http://schemas.microsoft.com/office/excel/2006/main">
          <x14:cfRule type="beginsWith" priority="2942" stopIfTrue="1" operator="beginsWith" id="{F9FEF9DE-75A1-4FFD-943C-C2BF471075AE}">
            <xm:f>LEFT(H185,LEN("Fail"))="Fail"</xm:f>
            <xm:f>"Fail"</xm:f>
            <x14:dxf>
              <font>
                <b/>
                <i val="0"/>
                <strike val="0"/>
                <color rgb="FFAA322F"/>
              </font>
              <fill>
                <patternFill patternType="solid">
                  <bgColor theme="0"/>
                </patternFill>
              </fill>
            </x14:dxf>
          </x14:cfRule>
          <xm:sqref>H185</xm:sqref>
        </x14:conditionalFormatting>
        <x14:conditionalFormatting xmlns:xm="http://schemas.microsoft.com/office/excel/2006/main">
          <x14:cfRule type="beginsWith" priority="2939" stopIfTrue="1" operator="beginsWith" id="{5FCFAEFF-95C6-4D7A-9E9F-CBF170FCEEE0}">
            <xm:f>LEFT(G200,LEN("Fail"))="Fail"</xm:f>
            <xm:f>"Fail"</xm:f>
            <x14:dxf>
              <font>
                <b/>
                <i val="0"/>
                <strike val="0"/>
                <color rgb="FFAA322F"/>
              </font>
              <fill>
                <patternFill patternType="solid">
                  <bgColor theme="0"/>
                </patternFill>
              </fill>
            </x14:dxf>
          </x14:cfRule>
          <xm:sqref>G200:P200</xm:sqref>
        </x14:conditionalFormatting>
        <x14:conditionalFormatting xmlns:xm="http://schemas.microsoft.com/office/excel/2006/main">
          <x14:cfRule type="beginsWith" priority="2936" stopIfTrue="1" operator="beginsWith" id="{029CC4B6-3BE9-410D-963C-A12DCDC6A1F7}">
            <xm:f>LEFT(B183,LEN("Fail"))="Fail"</xm:f>
            <xm:f>"Fail"</xm:f>
            <x14:dxf>
              <font>
                <b/>
                <i val="0"/>
                <strike val="0"/>
                <color rgb="FFAA322F"/>
              </font>
              <fill>
                <patternFill patternType="solid">
                  <bgColor theme="0"/>
                </patternFill>
              </fill>
            </x14:dxf>
          </x14:cfRule>
          <xm:sqref>B183:L183</xm:sqref>
        </x14:conditionalFormatting>
        <x14:conditionalFormatting xmlns:xm="http://schemas.microsoft.com/office/excel/2006/main">
          <x14:cfRule type="beginsWith" priority="2916" stopIfTrue="1" operator="beginsWith" id="{268AA574-6E13-4626-8034-1224CBC2926D}">
            <xm:f>LEFT(G197,LEN("Fail"))="Fail"</xm:f>
            <xm:f>"Fail"</xm:f>
            <x14:dxf>
              <font>
                <b/>
                <i val="0"/>
                <strike val="0"/>
                <color rgb="FFAA322F"/>
              </font>
              <fill>
                <patternFill patternType="solid">
                  <bgColor theme="0"/>
                </patternFill>
              </fill>
            </x14:dxf>
          </x14:cfRule>
          <xm:sqref>G197</xm:sqref>
        </x14:conditionalFormatting>
        <x14:conditionalFormatting xmlns:xm="http://schemas.microsoft.com/office/excel/2006/main">
          <x14:cfRule type="beginsWith" priority="2912" stopIfTrue="1" operator="beginsWith" id="{BDA23CBA-C4D1-407A-B911-E2D17D617A5A}">
            <xm:f>LEFT(G198,LEN("Fail"))="Fail"</xm:f>
            <xm:f>"Fail"</xm:f>
            <x14:dxf>
              <font>
                <b/>
                <i val="0"/>
                <strike val="0"/>
                <color rgb="FFAA322F"/>
              </font>
              <fill>
                <patternFill patternType="solid">
                  <bgColor theme="0"/>
                </patternFill>
              </fill>
            </x14:dxf>
          </x14:cfRule>
          <xm:sqref>G198</xm:sqref>
        </x14:conditionalFormatting>
        <x14:conditionalFormatting xmlns:xm="http://schemas.microsoft.com/office/excel/2006/main">
          <x14:cfRule type="beginsWith" priority="2888" stopIfTrue="1" operator="beginsWith" id="{76D58727-858D-4427-AADF-355C6B694435}">
            <xm:f>LEFT(H197,LEN("Fail"))="Fail"</xm:f>
            <xm:f>"Fail"</xm:f>
            <x14:dxf>
              <font>
                <b/>
                <i val="0"/>
                <strike val="0"/>
                <color rgb="FFAA322F"/>
              </font>
              <fill>
                <patternFill patternType="solid">
                  <bgColor theme="0"/>
                </patternFill>
              </fill>
            </x14:dxf>
          </x14:cfRule>
          <xm:sqref>H197</xm:sqref>
        </x14:conditionalFormatting>
        <x14:conditionalFormatting xmlns:xm="http://schemas.microsoft.com/office/excel/2006/main">
          <x14:cfRule type="beginsWith" priority="2860" stopIfTrue="1" operator="beginsWith" id="{C729FADC-8DF0-4715-963F-7B57A56CBC51}">
            <xm:f>LEFT(I197,LEN("Fail"))="Fail"</xm:f>
            <xm:f>"Fail"</xm:f>
            <x14:dxf>
              <font>
                <b/>
                <i val="0"/>
                <strike val="0"/>
                <color rgb="FFAA322F"/>
              </font>
              <fill>
                <patternFill patternType="solid">
                  <bgColor theme="0"/>
                </patternFill>
              </fill>
            </x14:dxf>
          </x14:cfRule>
          <xm:sqref>I197</xm:sqref>
        </x14:conditionalFormatting>
        <x14:conditionalFormatting xmlns:xm="http://schemas.microsoft.com/office/excel/2006/main">
          <x14:cfRule type="beginsWith" priority="2856" stopIfTrue="1" operator="beginsWith" id="{EC30F9C6-1C35-41E9-BC8F-BC2BCD84997A}">
            <xm:f>LEFT(I198,LEN("Fail"))="Fail"</xm:f>
            <xm:f>"Fail"</xm:f>
            <x14:dxf>
              <font>
                <b/>
                <i val="0"/>
                <strike val="0"/>
                <color rgb="FFAA322F"/>
              </font>
              <fill>
                <patternFill patternType="solid">
                  <bgColor theme="0"/>
                </patternFill>
              </fill>
            </x14:dxf>
          </x14:cfRule>
          <xm:sqref>I198</xm:sqref>
        </x14:conditionalFormatting>
        <x14:conditionalFormatting xmlns:xm="http://schemas.microsoft.com/office/excel/2006/main">
          <x14:cfRule type="beginsWith" priority="2852" stopIfTrue="1" operator="beginsWith" id="{37E40E4C-13D0-4A47-AD49-C30248952C01}">
            <xm:f>LEFT(I199,LEN("Fail"))="Fail"</xm:f>
            <xm:f>"Fail"</xm:f>
            <x14:dxf>
              <font>
                <b/>
                <i val="0"/>
                <strike val="0"/>
                <color rgb="FFAA322F"/>
              </font>
              <fill>
                <patternFill patternType="solid">
                  <bgColor theme="0"/>
                </patternFill>
              </fill>
            </x14:dxf>
          </x14:cfRule>
          <xm:sqref>I199</xm:sqref>
        </x14:conditionalFormatting>
        <x14:conditionalFormatting xmlns:xm="http://schemas.microsoft.com/office/excel/2006/main">
          <x14:cfRule type="beginsWith" priority="2832" stopIfTrue="1" operator="beginsWith" id="{71D15ACC-C827-4B39-B106-B46EF3E57BF4}">
            <xm:f>LEFT(J197,LEN("Fail"))="Fail"</xm:f>
            <xm:f>"Fail"</xm:f>
            <x14:dxf>
              <font>
                <b/>
                <i val="0"/>
                <strike val="0"/>
                <color rgb="FFAA322F"/>
              </font>
              <fill>
                <patternFill patternType="solid">
                  <bgColor theme="0"/>
                </patternFill>
              </fill>
            </x14:dxf>
          </x14:cfRule>
          <xm:sqref>J197</xm:sqref>
        </x14:conditionalFormatting>
        <x14:conditionalFormatting xmlns:xm="http://schemas.microsoft.com/office/excel/2006/main">
          <x14:cfRule type="beginsWith" priority="2828" stopIfTrue="1" operator="beginsWith" id="{E6D342D2-1400-40FF-8F9B-D11747B744C2}">
            <xm:f>LEFT(J198,LEN("Fail"))="Fail"</xm:f>
            <xm:f>"Fail"</xm:f>
            <x14:dxf>
              <font>
                <b/>
                <i val="0"/>
                <strike val="0"/>
                <color rgb="FFAA322F"/>
              </font>
              <fill>
                <patternFill patternType="solid">
                  <bgColor theme="0"/>
                </patternFill>
              </fill>
            </x14:dxf>
          </x14:cfRule>
          <xm:sqref>J198</xm:sqref>
        </x14:conditionalFormatting>
        <x14:conditionalFormatting xmlns:xm="http://schemas.microsoft.com/office/excel/2006/main">
          <x14:cfRule type="beginsWith" priority="2824" stopIfTrue="1" operator="beginsWith" id="{10863901-2658-4666-8C0E-67E78065BC64}">
            <xm:f>LEFT(J199,LEN("Fail"))="Fail"</xm:f>
            <xm:f>"Fail"</xm:f>
            <x14:dxf>
              <font>
                <b/>
                <i val="0"/>
                <strike val="0"/>
                <color rgb="FFAA322F"/>
              </font>
              <fill>
                <patternFill patternType="solid">
                  <bgColor theme="0"/>
                </patternFill>
              </fill>
            </x14:dxf>
          </x14:cfRule>
          <xm:sqref>J199</xm:sqref>
        </x14:conditionalFormatting>
        <x14:conditionalFormatting xmlns:xm="http://schemas.microsoft.com/office/excel/2006/main">
          <x14:cfRule type="beginsWith" priority="2804" stopIfTrue="1" operator="beginsWith" id="{AF347F30-7C08-4D1D-BBF7-C3316398B1D8}">
            <xm:f>LEFT(L197,LEN("Fail"))="Fail"</xm:f>
            <xm:f>"Fail"</xm:f>
            <x14:dxf>
              <font>
                <b/>
                <i val="0"/>
                <strike val="0"/>
                <color rgb="FFAA322F"/>
              </font>
              <fill>
                <patternFill patternType="solid">
                  <bgColor theme="0"/>
                </patternFill>
              </fill>
            </x14:dxf>
          </x14:cfRule>
          <xm:sqref>L197</xm:sqref>
        </x14:conditionalFormatting>
        <x14:conditionalFormatting xmlns:xm="http://schemas.microsoft.com/office/excel/2006/main">
          <x14:cfRule type="beginsWith" priority="2800" stopIfTrue="1" operator="beginsWith" id="{ADDA85E1-57D7-484E-9B38-F10E178073D2}">
            <xm:f>LEFT(L198,LEN("Fail"))="Fail"</xm:f>
            <xm:f>"Fail"</xm:f>
            <x14:dxf>
              <font>
                <b/>
                <i val="0"/>
                <strike val="0"/>
                <color rgb="FFAA322F"/>
              </font>
              <fill>
                <patternFill patternType="solid">
                  <bgColor theme="0"/>
                </patternFill>
              </fill>
            </x14:dxf>
          </x14:cfRule>
          <xm:sqref>L198</xm:sqref>
        </x14:conditionalFormatting>
        <x14:conditionalFormatting xmlns:xm="http://schemas.microsoft.com/office/excel/2006/main">
          <x14:cfRule type="beginsWith" priority="2796" stopIfTrue="1" operator="beginsWith" id="{1D98901E-3C43-40E5-A96A-5CA52EA6BE1B}">
            <xm:f>LEFT(L199,LEN("Fail"))="Fail"</xm:f>
            <xm:f>"Fail"</xm:f>
            <x14:dxf>
              <font>
                <b/>
                <i val="0"/>
                <strike val="0"/>
                <color rgb="FFAA322F"/>
              </font>
              <fill>
                <patternFill patternType="solid">
                  <bgColor theme="0"/>
                </patternFill>
              </fill>
            </x14:dxf>
          </x14:cfRule>
          <xm:sqref>L199</xm:sqref>
        </x14:conditionalFormatting>
        <x14:conditionalFormatting xmlns:xm="http://schemas.microsoft.com/office/excel/2006/main">
          <x14:cfRule type="beginsWith" priority="2776" stopIfTrue="1" operator="beginsWith" id="{442B3B32-C220-42DA-87DD-52CE8BF8E704}">
            <xm:f>LEFT(M197,LEN("Fail"))="Fail"</xm:f>
            <xm:f>"Fail"</xm:f>
            <x14:dxf>
              <font>
                <b/>
                <i val="0"/>
                <strike val="0"/>
                <color rgb="FFAA322F"/>
              </font>
              <fill>
                <patternFill patternType="solid">
                  <bgColor theme="0"/>
                </patternFill>
              </fill>
            </x14:dxf>
          </x14:cfRule>
          <xm:sqref>M197</xm:sqref>
        </x14:conditionalFormatting>
        <x14:conditionalFormatting xmlns:xm="http://schemas.microsoft.com/office/excel/2006/main">
          <x14:cfRule type="beginsWith" priority="2772" stopIfTrue="1" operator="beginsWith" id="{1ACDD629-2595-45AE-97C5-96EC9DE8D174}">
            <xm:f>LEFT(M198,LEN("Fail"))="Fail"</xm:f>
            <xm:f>"Fail"</xm:f>
            <x14:dxf>
              <font>
                <b/>
                <i val="0"/>
                <strike val="0"/>
                <color rgb="FFAA322F"/>
              </font>
              <fill>
                <patternFill patternType="solid">
                  <bgColor theme="0"/>
                </patternFill>
              </fill>
            </x14:dxf>
          </x14:cfRule>
          <xm:sqref>M198</xm:sqref>
        </x14:conditionalFormatting>
        <x14:conditionalFormatting xmlns:xm="http://schemas.microsoft.com/office/excel/2006/main">
          <x14:cfRule type="beginsWith" priority="2768" stopIfTrue="1" operator="beginsWith" id="{6F4B8737-EBD6-4CCD-855A-FBD77EA1CA18}">
            <xm:f>LEFT(M199,LEN("Fail"))="Fail"</xm:f>
            <xm:f>"Fail"</xm:f>
            <x14:dxf>
              <font>
                <b/>
                <i val="0"/>
                <strike val="0"/>
                <color rgb="FFAA322F"/>
              </font>
              <fill>
                <patternFill patternType="solid">
                  <bgColor theme="0"/>
                </patternFill>
              </fill>
            </x14:dxf>
          </x14:cfRule>
          <xm:sqref>M199</xm:sqref>
        </x14:conditionalFormatting>
        <x14:conditionalFormatting xmlns:xm="http://schemas.microsoft.com/office/excel/2006/main">
          <x14:cfRule type="beginsWith" priority="2594" stopIfTrue="1" operator="beginsWith" id="{B662CD0C-1D8A-4278-B953-9BB031E1A36D}">
            <xm:f>LEFT(M165,LEN("Fail"))="Fail"</xm:f>
            <xm:f>"Fail"</xm:f>
            <x14:dxf>
              <font>
                <b/>
                <i val="0"/>
                <strike val="0"/>
                <color rgb="FFAA322F"/>
              </font>
              <fill>
                <patternFill patternType="solid">
                  <bgColor theme="0"/>
                </patternFill>
              </fill>
            </x14:dxf>
          </x14:cfRule>
          <xm:sqref>M165:M166 O165:O166</xm:sqref>
        </x14:conditionalFormatting>
        <x14:conditionalFormatting xmlns:xm="http://schemas.microsoft.com/office/excel/2006/main">
          <x14:cfRule type="beginsWith" priority="2591" stopIfTrue="1" operator="beginsWith" id="{1129058F-BAEB-4475-80C0-31BDCEB0AE8F}">
            <xm:f>LEFT(N165,LEN("Fail"))="Fail"</xm:f>
            <xm:f>"Fail"</xm:f>
            <x14:dxf>
              <font>
                <b/>
                <i val="0"/>
                <strike val="0"/>
                <color rgb="FFAA322F"/>
              </font>
              <fill>
                <patternFill patternType="solid">
                  <bgColor theme="0"/>
                </patternFill>
              </fill>
            </x14:dxf>
          </x14:cfRule>
          <xm:sqref>N165:N166</xm:sqref>
        </x14:conditionalFormatting>
        <x14:conditionalFormatting xmlns:xm="http://schemas.microsoft.com/office/excel/2006/main">
          <x14:cfRule type="beginsWith" priority="2588" stopIfTrue="1" operator="beginsWith" id="{83F77CA6-A711-4CA4-A623-D80FD3080937}">
            <xm:f>LEFT(M167,LEN("Fail"))="Fail"</xm:f>
            <xm:f>"Fail"</xm:f>
            <x14:dxf>
              <font>
                <b/>
                <i val="0"/>
                <strike val="0"/>
                <color rgb="FFAA322F"/>
              </font>
              <fill>
                <patternFill patternType="solid">
                  <bgColor theme="0"/>
                </patternFill>
              </fill>
            </x14:dxf>
          </x14:cfRule>
          <xm:sqref>M167:M172 O167:O172</xm:sqref>
        </x14:conditionalFormatting>
        <x14:conditionalFormatting xmlns:xm="http://schemas.microsoft.com/office/excel/2006/main">
          <x14:cfRule type="beginsWith" priority="2585" stopIfTrue="1" operator="beginsWith" id="{114C2EFD-00B9-4D5D-8A81-F8116976274A}">
            <xm:f>LEFT(N167,LEN("Fail"))="Fail"</xm:f>
            <xm:f>"Fail"</xm:f>
            <x14:dxf>
              <font>
                <b/>
                <i val="0"/>
                <strike val="0"/>
                <color rgb="FFAA322F"/>
              </font>
              <fill>
                <patternFill patternType="solid">
                  <bgColor theme="0"/>
                </patternFill>
              </fill>
            </x14:dxf>
          </x14:cfRule>
          <xm:sqref>N167:N172</xm:sqref>
        </x14:conditionalFormatting>
        <x14:conditionalFormatting xmlns:xm="http://schemas.microsoft.com/office/excel/2006/main">
          <x14:cfRule type="beginsWith" priority="2579" stopIfTrue="1" operator="beginsWith" id="{C06C7081-2777-489E-9480-AC22A945DA03}">
            <xm:f>LEFT(J165,LEN("Fail"))="Fail"</xm:f>
            <xm:f>"Fail"</xm:f>
            <x14:dxf>
              <font>
                <b/>
                <i val="0"/>
                <strike val="0"/>
                <color rgb="FFAA322F"/>
              </font>
              <fill>
                <patternFill patternType="solid">
                  <bgColor theme="0"/>
                </patternFill>
              </fill>
            </x14:dxf>
          </x14:cfRule>
          <xm:sqref>J165:L165</xm:sqref>
        </x14:conditionalFormatting>
        <x14:conditionalFormatting xmlns:xm="http://schemas.microsoft.com/office/excel/2006/main">
          <x14:cfRule type="beginsWith" priority="2582" stopIfTrue="1" operator="beginsWith" id="{7A276C6A-7B7A-4F67-B137-E52F9BB4961D}">
            <xm:f>LEFT(J165,LEN("Fail"))="Fail"</xm:f>
            <xm:f>"Fail"</xm:f>
            <x14:dxf>
              <font>
                <b/>
                <i val="0"/>
                <strike val="0"/>
                <color rgb="FFAA322F"/>
              </font>
              <fill>
                <patternFill patternType="solid">
                  <bgColor theme="0"/>
                </patternFill>
              </fill>
            </x14:dxf>
          </x14:cfRule>
          <xm:sqref>J165:L165</xm:sqref>
        </x14:conditionalFormatting>
        <x14:conditionalFormatting xmlns:xm="http://schemas.microsoft.com/office/excel/2006/main">
          <x14:cfRule type="beginsWith" priority="2557" stopIfTrue="1" operator="beginsWith" id="{E0CCBC71-2CF7-4D9A-B4D9-2386CCA6B68C}">
            <xm:f>LEFT(L167,LEN("Fail"))="Fail"</xm:f>
            <xm:f>"Fail"</xm:f>
            <x14:dxf>
              <font>
                <b/>
                <i val="0"/>
                <strike val="0"/>
                <color rgb="FFAA322F"/>
              </font>
              <fill>
                <patternFill patternType="solid">
                  <bgColor theme="0"/>
                </patternFill>
              </fill>
            </x14:dxf>
          </x14:cfRule>
          <xm:sqref>L167:L170</xm:sqref>
        </x14:conditionalFormatting>
        <x14:conditionalFormatting xmlns:xm="http://schemas.microsoft.com/office/excel/2006/main">
          <x14:cfRule type="beginsWith" priority="2491" stopIfTrue="1" operator="beginsWith" id="{9BAA27FE-E2BE-43F5-8DC4-DD063442001A}">
            <xm:f>LEFT(N187,LEN("Fail"))="Fail"</xm:f>
            <xm:f>"Fail"</xm:f>
            <x14:dxf>
              <font>
                <b/>
                <i val="0"/>
                <strike val="0"/>
                <color rgb="FFAA322F"/>
              </font>
              <fill>
                <patternFill patternType="solid">
                  <bgColor theme="0"/>
                </patternFill>
              </fill>
            </x14:dxf>
          </x14:cfRule>
          <xm:sqref>N187:P187</xm:sqref>
        </x14:conditionalFormatting>
        <x14:conditionalFormatting xmlns:xm="http://schemas.microsoft.com/office/excel/2006/main">
          <x14:cfRule type="beginsWith" priority="2494" stopIfTrue="1" operator="beginsWith" id="{714A0F50-2D89-478B-B34E-86DF82197B51}">
            <xm:f>LEFT(N187,LEN("Fail"))="Fail"</xm:f>
            <xm:f>"Fail"</xm:f>
            <x14:dxf>
              <font>
                <b/>
                <i val="0"/>
                <strike val="0"/>
                <color rgb="FFAA322F"/>
              </font>
              <fill>
                <patternFill patternType="solid">
                  <bgColor theme="0"/>
                </patternFill>
              </fill>
            </x14:dxf>
          </x14:cfRule>
          <xm:sqref>N187:P187</xm:sqref>
        </x14:conditionalFormatting>
        <x14:conditionalFormatting xmlns:xm="http://schemas.microsoft.com/office/excel/2006/main">
          <x14:cfRule type="beginsWith" priority="2403" stopIfTrue="1" operator="beginsWith" id="{906AF268-D7BB-40EF-A085-5E19B0EBC20F}">
            <xm:f>LEFT(R184,LEN("Fail"))="Fail"</xm:f>
            <xm:f>"Fail"</xm:f>
            <x14:dxf>
              <font>
                <b/>
                <i val="0"/>
                <strike val="0"/>
                <color rgb="FFAA322F"/>
              </font>
              <fill>
                <patternFill patternType="solid">
                  <bgColor theme="0"/>
                </patternFill>
              </fill>
            </x14:dxf>
          </x14:cfRule>
          <xm:sqref>T199:AB199 W190:AB198 X189:AB189 W186:AB188 T190:T198 T188 T184:AB185 R185:S186</xm:sqref>
        </x14:conditionalFormatting>
        <x14:conditionalFormatting xmlns:xm="http://schemas.microsoft.com/office/excel/2006/main">
          <x14:cfRule type="beginsWith" priority="2379" stopIfTrue="1" operator="beginsWith" id="{ED5ED4E1-66DC-49DC-9D88-785877996B28}">
            <xm:f>LEFT(R200,LEN("Fail"))="Fail"</xm:f>
            <xm:f>"Fail"</xm:f>
            <x14:dxf>
              <font>
                <b/>
                <i val="0"/>
                <strike val="0"/>
                <color rgb="FFAA322F"/>
              </font>
              <fill>
                <patternFill patternType="solid">
                  <bgColor theme="0"/>
                </patternFill>
              </fill>
            </x14:dxf>
          </x14:cfRule>
          <xm:sqref>R200:AB200</xm:sqref>
        </x14:conditionalFormatting>
        <x14:conditionalFormatting xmlns:xm="http://schemas.microsoft.com/office/excel/2006/main">
          <x14:cfRule type="beginsWith" priority="2400" stopIfTrue="1" operator="beginsWith" id="{BA58E70B-FD52-489A-8E6D-3189F8FD2674}">
            <xm:f>LEFT(R215,LEN("Fail"))="Fail"</xm:f>
            <xm:f>"Fail"</xm:f>
            <x14:dxf>
              <font>
                <b/>
                <i val="0"/>
                <strike val="0"/>
                <color rgb="FFAA322F"/>
              </font>
              <fill>
                <patternFill patternType="solid">
                  <bgColor theme="0"/>
                </patternFill>
              </fill>
            </x14:dxf>
          </x14:cfRule>
          <xm:sqref>R215:AB215</xm:sqref>
        </x14:conditionalFormatting>
        <x14:conditionalFormatting xmlns:xm="http://schemas.microsoft.com/office/excel/2006/main">
          <x14:cfRule type="beginsWith" priority="2397" stopIfTrue="1" operator="beginsWith" id="{EC4E516C-E07C-47AE-8DD7-B15FCF4CFCB3}">
            <xm:f>LEFT(R111,LEN("Fail"))="Fail"</xm:f>
            <xm:f>"Fail"</xm:f>
            <x14:dxf>
              <font>
                <b/>
                <i val="0"/>
                <strike val="0"/>
                <color rgb="FFAA322F"/>
              </font>
              <fill>
                <patternFill patternType="solid">
                  <bgColor theme="0"/>
                </patternFill>
              </fill>
            </x14:dxf>
          </x14:cfRule>
          <xm:sqref>R111:AB111</xm:sqref>
        </x14:conditionalFormatting>
        <x14:conditionalFormatting xmlns:xm="http://schemas.microsoft.com/office/excel/2006/main">
          <x14:cfRule type="beginsWith" priority="2394" stopIfTrue="1" operator="beginsWith" id="{9D5DA80C-4B6F-4218-88B8-5696735E6BE5}">
            <xm:f>LEFT(R112,LEN("Fail"))="Fail"</xm:f>
            <xm:f>"Fail"</xm:f>
            <x14:dxf>
              <font>
                <b/>
                <i val="0"/>
                <strike val="0"/>
                <color rgb="FFAA322F"/>
              </font>
              <fill>
                <patternFill patternType="solid">
                  <bgColor theme="0"/>
                </patternFill>
              </fill>
            </x14:dxf>
          </x14:cfRule>
          <xm:sqref>R112:AB112</xm:sqref>
        </x14:conditionalFormatting>
        <x14:conditionalFormatting xmlns:xm="http://schemas.microsoft.com/office/excel/2006/main">
          <x14:cfRule type="beginsWith" priority="2391" stopIfTrue="1" operator="beginsWith" id="{347D28FF-17DB-4C23-BF51-C5A9949DB391}">
            <xm:f>LEFT(R163,LEN("Fail"))="Fail"</xm:f>
            <xm:f>"Fail"</xm:f>
            <x14:dxf>
              <font>
                <b/>
                <i val="0"/>
                <strike val="0"/>
                <color rgb="FFAA322F"/>
              </font>
              <fill>
                <patternFill patternType="solid">
                  <bgColor theme="0"/>
                </patternFill>
              </fill>
            </x14:dxf>
          </x14:cfRule>
          <xm:sqref>R163:AB163 R166:AB166 R168:AB169 S164:S165 U164:U165 W164:W165 Y164:Y165 AA164:AA165 S167 U167 W167 Y167 AA167 S170 U170 W170 Y170 AA170 R171:AB174</xm:sqref>
        </x14:conditionalFormatting>
        <x14:conditionalFormatting xmlns:xm="http://schemas.microsoft.com/office/excel/2006/main">
          <x14:cfRule type="beginsWith" priority="2388" stopIfTrue="1" operator="beginsWith" id="{3CB3566F-DD88-45EB-BB52-63E9CBF0066E}">
            <xm:f>LEFT(R164,LEN("Fail"))="Fail"</xm:f>
            <xm:f>"Fail"</xm:f>
            <x14:dxf>
              <font>
                <b/>
                <i val="0"/>
                <strike val="0"/>
                <color rgb="FFAA322F"/>
              </font>
              <fill>
                <patternFill patternType="solid">
                  <bgColor theme="0"/>
                </patternFill>
              </fill>
            </x14:dxf>
          </x14:cfRule>
          <xm:sqref>R164:R165 T164:T165 V164:V165 X164:X165 Z164:Z165 AB164:AB165 R167 T167 V167 X167 Z167 AB167 R170 T170 V170 X170 Z170 AB170</xm:sqref>
        </x14:conditionalFormatting>
        <x14:conditionalFormatting xmlns:xm="http://schemas.microsoft.com/office/excel/2006/main">
          <x14:cfRule type="beginsWith" priority="2385" stopIfTrue="1" operator="beginsWith" id="{DC455AC1-6685-4248-9036-62C9C7F9AB2C}">
            <xm:f>LEFT(R162,LEN("Fail"))="Fail"</xm:f>
            <xm:f>"Fail"</xm:f>
            <x14:dxf>
              <font>
                <b/>
                <i val="0"/>
                <strike val="0"/>
                <color rgb="FFAA322F"/>
              </font>
              <fill>
                <patternFill patternType="solid">
                  <bgColor theme="0"/>
                </patternFill>
              </fill>
            </x14:dxf>
          </x14:cfRule>
          <xm:sqref>R162:AB162</xm:sqref>
        </x14:conditionalFormatting>
        <x14:conditionalFormatting xmlns:xm="http://schemas.microsoft.com/office/excel/2006/main">
          <x14:cfRule type="beginsWith" priority="2382" stopIfTrue="1" operator="beginsWith" id="{A1B39CE1-A6E6-4C8B-B614-C8EE97EAD259}">
            <xm:f>LEFT(R147,LEN("Fail"))="Fail"</xm:f>
            <xm:f>"Fail"</xm:f>
            <x14:dxf>
              <font>
                <b/>
                <i val="0"/>
                <strike val="0"/>
                <color rgb="FFAA322F"/>
              </font>
              <fill>
                <patternFill patternType="solid">
                  <bgColor theme="0"/>
                </patternFill>
              </fill>
            </x14:dxf>
          </x14:cfRule>
          <xm:sqref>R147:AB147</xm:sqref>
        </x14:conditionalFormatting>
        <x14:conditionalFormatting xmlns:xm="http://schemas.microsoft.com/office/excel/2006/main">
          <x14:cfRule type="beginsWith" priority="2212" stopIfTrue="1" operator="beginsWith" id="{CF4BF71E-D1B9-4FC5-AF42-FABFD0B35000}">
            <xm:f>LEFT(S189,LEN("Fail"))="Fail"</xm:f>
            <xm:f>"Fail"</xm:f>
            <x14:dxf>
              <font>
                <b/>
                <i val="0"/>
                <strike val="0"/>
                <color rgb="FFAA322F"/>
              </font>
              <fill>
                <patternFill patternType="solid">
                  <bgColor theme="0"/>
                </patternFill>
              </fill>
            </x14:dxf>
          </x14:cfRule>
          <xm:sqref>S196 S198:S199 S189:S191</xm:sqref>
        </x14:conditionalFormatting>
        <x14:conditionalFormatting xmlns:xm="http://schemas.microsoft.com/office/excel/2006/main">
          <x14:cfRule type="beginsWith" priority="2070" stopIfTrue="1" operator="beginsWith" id="{327B14F3-C1A9-42D5-931D-6A25A006CF5C}">
            <xm:f>LEFT(AD184,LEN("Fail"))="Fail"</xm:f>
            <xm:f>"Fail"</xm:f>
            <x14:dxf>
              <font>
                <b/>
                <i val="0"/>
                <strike val="0"/>
                <color rgb="FFAA322F"/>
              </font>
              <fill>
                <patternFill patternType="solid">
                  <bgColor theme="0"/>
                </patternFill>
              </fill>
            </x14:dxf>
          </x14:cfRule>
          <xm:sqref>AD184:AR188 AD189:AN196 AO189:AR215</xm:sqref>
        </x14:conditionalFormatting>
        <x14:conditionalFormatting xmlns:xm="http://schemas.microsoft.com/office/excel/2006/main">
          <x14:cfRule type="beginsWith" priority="2037" stopIfTrue="1" operator="beginsWith" id="{E1A6EFDD-3ED7-49CD-9EC0-78B314F638A5}">
            <xm:f>LEFT(AD112,LEN("Fail"))="Fail"</xm:f>
            <xm:f>"Fail"</xm:f>
            <x14:dxf>
              <font>
                <b/>
                <i val="0"/>
                <strike val="0"/>
                <color rgb="FFAA322F"/>
              </font>
              <fill>
                <patternFill patternType="solid">
                  <bgColor theme="0"/>
                </patternFill>
              </fill>
            </x14:dxf>
          </x14:cfRule>
          <xm:sqref>AD112:AR112</xm:sqref>
        </x14:conditionalFormatting>
        <x14:conditionalFormatting xmlns:xm="http://schemas.microsoft.com/office/excel/2006/main">
          <x14:cfRule type="beginsWith" priority="2040" stopIfTrue="1" operator="beginsWith" id="{9F5187CF-5FB5-4897-9C7C-D851B58C8B78}">
            <xm:f>LEFT(AD111,LEN("Fail"))="Fail"</xm:f>
            <xm:f>"Fail"</xm:f>
            <x14:dxf>
              <font>
                <b/>
                <i val="0"/>
                <strike val="0"/>
                <color rgb="FFAA322F"/>
              </font>
              <fill>
                <patternFill patternType="solid">
                  <bgColor theme="0"/>
                </patternFill>
              </fill>
            </x14:dxf>
          </x14:cfRule>
          <xm:sqref>AD111:AR111</xm:sqref>
        </x14:conditionalFormatting>
        <x14:conditionalFormatting xmlns:xm="http://schemas.microsoft.com/office/excel/2006/main">
          <x14:cfRule type="beginsWith" priority="2034" stopIfTrue="1" operator="beginsWith" id="{46AB3EE6-C90F-4873-B050-BC94D745C537}">
            <xm:f>LEFT(AD163,LEN("Fail"))="Fail"</xm:f>
            <xm:f>"Fail"</xm:f>
            <x14:dxf>
              <font>
                <b/>
                <i val="0"/>
                <strike val="0"/>
                <color rgb="FFAA322F"/>
              </font>
              <fill>
                <patternFill patternType="solid">
                  <bgColor theme="0"/>
                </patternFill>
              </fill>
            </x14:dxf>
          </x14:cfRule>
          <xm:sqref>AD163:AR163 AD166:AR166 AD168:AR169 AE164:AE165 AG164:AG165 AI164:AI165 AK164:AK165 AM164:AM165 AO164:AO165 AQ164:AQ165 AE167 AG167 AI167 AK167 AM167 AO167 AQ167 AE170 AG170 AI170 AK170 AM170 AO170 AQ170 AD171:AR174</xm:sqref>
        </x14:conditionalFormatting>
        <x14:conditionalFormatting xmlns:xm="http://schemas.microsoft.com/office/excel/2006/main">
          <x14:cfRule type="beginsWith" priority="2031" stopIfTrue="1" operator="beginsWith" id="{91FA0AC1-97BB-48F7-A680-32CF2C069BE0}">
            <xm:f>LEFT(AD164,LEN("Fail"))="Fail"</xm:f>
            <xm:f>"Fail"</xm:f>
            <x14:dxf>
              <font>
                <b/>
                <i val="0"/>
                <strike val="0"/>
                <color rgb="FFAA322F"/>
              </font>
              <fill>
                <patternFill patternType="solid">
                  <bgColor theme="0"/>
                </patternFill>
              </fill>
            </x14:dxf>
          </x14:cfRule>
          <xm:sqref>AD164:AD165 AF164:AF165 AH164:AH165 AJ164:AJ165 AL164:AL165 AN164:AN165 AP164:AP165 AR164:AR165 AD167 AF167 AH167 AJ167 AL167 AN167 AP167 AR167 AD170 AF170 AH170 AJ170 AL170 AN170 AP170 AR170</xm:sqref>
        </x14:conditionalFormatting>
        <x14:conditionalFormatting xmlns:xm="http://schemas.microsoft.com/office/excel/2006/main">
          <x14:cfRule type="beginsWith" priority="2028" stopIfTrue="1" operator="beginsWith" id="{D8FCA0D4-06B2-4F89-BB4B-99C638B62462}">
            <xm:f>LEFT(AD162,LEN("Fail"))="Fail"</xm:f>
            <xm:f>"Fail"</xm:f>
            <x14:dxf>
              <font>
                <b/>
                <i val="0"/>
                <strike val="0"/>
                <color rgb="FFAA322F"/>
              </font>
              <fill>
                <patternFill patternType="solid">
                  <bgColor theme="0"/>
                </patternFill>
              </fill>
            </x14:dxf>
          </x14:cfRule>
          <xm:sqref>AD162:AR162</xm:sqref>
        </x14:conditionalFormatting>
        <x14:conditionalFormatting xmlns:xm="http://schemas.microsoft.com/office/excel/2006/main">
          <x14:cfRule type="beginsWith" priority="2025" stopIfTrue="1" operator="beginsWith" id="{F2D4A198-86DB-41C5-A8D7-F468F0DE8850}">
            <xm:f>LEFT(AD147,LEN("Fail"))="Fail"</xm:f>
            <xm:f>"Fail"</xm:f>
            <x14:dxf>
              <font>
                <b/>
                <i val="0"/>
                <strike val="0"/>
                <color rgb="FFAA322F"/>
              </font>
              <fill>
                <patternFill patternType="solid">
                  <bgColor theme="0"/>
                </patternFill>
              </fill>
            </x14:dxf>
          </x14:cfRule>
          <xm:sqref>AD147:AR147</xm:sqref>
        </x14:conditionalFormatting>
        <x14:conditionalFormatting xmlns:xm="http://schemas.microsoft.com/office/excel/2006/main">
          <x14:cfRule type="beginsWith" priority="2022" stopIfTrue="1" operator="beginsWith" id="{D06A5BD3-79C2-4867-9581-CF25AB81FF51}">
            <xm:f>LEFT(AD200,LEN("Fail"))="Fail"</xm:f>
            <xm:f>"Fail"</xm:f>
            <x14:dxf>
              <font>
                <b/>
                <i val="0"/>
                <strike val="0"/>
                <color rgb="FFAA322F"/>
              </font>
              <fill>
                <patternFill patternType="solid">
                  <bgColor theme="0"/>
                </patternFill>
              </fill>
            </x14:dxf>
          </x14:cfRule>
          <xm:sqref>AD200:AF200</xm:sqref>
        </x14:conditionalFormatting>
        <x14:conditionalFormatting xmlns:xm="http://schemas.microsoft.com/office/excel/2006/main">
          <x14:cfRule type="beginsWith" priority="2051" stopIfTrue="1" operator="beginsWith" id="{EF936CF1-6795-4E95-859B-5F6B94294388}">
            <xm:f>LEFT(AD197,LEN("Fail"))="Fail"</xm:f>
            <xm:f>"Fail"</xm:f>
            <x14:dxf>
              <font>
                <b/>
                <i val="0"/>
                <strike val="0"/>
                <color rgb="FFAA322F"/>
              </font>
              <fill>
                <patternFill patternType="solid">
                  <bgColor theme="0"/>
                </patternFill>
              </fill>
            </x14:dxf>
          </x14:cfRule>
          <xm:sqref>AD215:AF215 AD197:AF199 AM203:AN205 AG197:AN202</xm:sqref>
        </x14:conditionalFormatting>
        <x14:conditionalFormatting xmlns:xm="http://schemas.microsoft.com/office/excel/2006/main">
          <x14:cfRule type="beginsWith" priority="2063" stopIfTrue="1" operator="beginsWith" id="{8F0F21F5-BBC6-49EC-BE6C-FF85F75F1E4F}">
            <xm:f>LEFT(AM214,LEN("Fail"))="Fail"</xm:f>
            <xm:f>"Fail"</xm:f>
            <x14:dxf>
              <font>
                <b/>
                <i val="0"/>
                <strike val="0"/>
                <color rgb="FFAA322F"/>
              </font>
              <fill>
                <patternFill patternType="solid">
                  <bgColor theme="0"/>
                </patternFill>
              </fill>
            </x14:dxf>
          </x14:cfRule>
          <xm:sqref>AM214:AN214</xm:sqref>
        </x14:conditionalFormatting>
        <x14:conditionalFormatting xmlns:xm="http://schemas.microsoft.com/office/excel/2006/main">
          <x14:cfRule type="beginsWith" priority="2057" stopIfTrue="1" operator="beginsWith" id="{2E23A2DA-C3BA-4ACC-A7A1-0BD59C39C06E}">
            <xm:f>LEFT(AM209,LEN("Fail"))="Fail"</xm:f>
            <xm:f>"Fail"</xm:f>
            <x14:dxf>
              <font>
                <b/>
                <i val="0"/>
                <strike val="0"/>
                <color rgb="FFAA322F"/>
              </font>
              <fill>
                <patternFill patternType="solid">
                  <bgColor theme="0"/>
                </patternFill>
              </fill>
            </x14:dxf>
          </x14:cfRule>
          <xm:sqref>AM209:AN209 AM213:AN213</xm:sqref>
        </x14:conditionalFormatting>
        <x14:conditionalFormatting xmlns:xm="http://schemas.microsoft.com/office/excel/2006/main">
          <x14:cfRule type="beginsWith" priority="2054" stopIfTrue="1" operator="beginsWith" id="{C3A7DFC3-4C6F-466D-A3C5-3DB75228ECAC}">
            <xm:f>LEFT(AM206,LEN("Fail"))="Fail"</xm:f>
            <xm:f>"Fail"</xm:f>
            <x14:dxf>
              <font>
                <b/>
                <i val="0"/>
                <strike val="0"/>
                <color rgb="FFAA322F"/>
              </font>
              <fill>
                <patternFill patternType="solid">
                  <bgColor theme="0"/>
                </patternFill>
              </fill>
            </x14:dxf>
          </x14:cfRule>
          <xm:sqref>AM206:AN208 AM210:AN212</xm:sqref>
        </x14:conditionalFormatting>
        <x14:conditionalFormatting xmlns:xm="http://schemas.microsoft.com/office/excel/2006/main">
          <x14:cfRule type="beginsWith" priority="1851" stopIfTrue="1" operator="beginsWith" id="{D9CC3F12-5F1C-490D-82AC-D0DEF654B930}">
            <xm:f>LEFT(AG215,LEN("Fail"))="Fail"</xm:f>
            <xm:f>"Fail"</xm:f>
            <x14:dxf>
              <font>
                <b/>
                <i val="0"/>
                <strike val="0"/>
                <color rgb="FFAA322F"/>
              </font>
              <fill>
                <patternFill patternType="solid">
                  <bgColor theme="0"/>
                </patternFill>
              </fill>
            </x14:dxf>
          </x14:cfRule>
          <xm:sqref>AG215:AJ215</xm:sqref>
        </x14:conditionalFormatting>
        <x14:conditionalFormatting xmlns:xm="http://schemas.microsoft.com/office/excel/2006/main">
          <x14:cfRule type="beginsWith" priority="1848" stopIfTrue="1" operator="beginsWith" id="{52BA46C7-CD1E-4786-AE25-DCF232C9F670}">
            <xm:f>LEFT(AL215,LEN("Fail"))="Fail"</xm:f>
            <xm:f>"Fail"</xm:f>
            <x14:dxf>
              <font>
                <b/>
                <i val="0"/>
                <strike val="0"/>
                <color rgb="FFAA322F"/>
              </font>
              <fill>
                <patternFill patternType="solid">
                  <bgColor theme="0"/>
                </patternFill>
              </fill>
            </x14:dxf>
          </x14:cfRule>
          <xm:sqref>AL215:AN215</xm:sqref>
        </x14:conditionalFormatting>
        <x14:conditionalFormatting xmlns:xm="http://schemas.microsoft.com/office/excel/2006/main">
          <x14:cfRule type="beginsWith" priority="1845" stopIfTrue="1" operator="beginsWith" id="{7460F488-AC0A-49B9-97CC-B9B3894BDE78}">
            <xm:f>LEFT(AK215,LEN("Fail"))="Fail"</xm:f>
            <xm:f>"Fail"</xm:f>
            <x14:dxf>
              <font>
                <b/>
                <i val="0"/>
                <strike val="0"/>
                <color rgb="FFAA322F"/>
              </font>
              <fill>
                <patternFill patternType="solid">
                  <bgColor theme="0"/>
                </patternFill>
              </fill>
            </x14:dxf>
          </x14:cfRule>
          <xm:sqref>AK215</xm:sqref>
        </x14:conditionalFormatting>
        <x14:conditionalFormatting xmlns:xm="http://schemas.microsoft.com/office/excel/2006/main">
          <x14:cfRule type="beginsWith" priority="1842" stopIfTrue="1" operator="beginsWith" id="{B151E451-12B7-417A-9A0A-B5C684C4F82D}">
            <xm:f>LEFT(AG203,LEN("Fail"))="Fail"</xm:f>
            <xm:f>"Fail"</xm:f>
            <x14:dxf>
              <font>
                <b/>
                <i val="0"/>
                <strike val="0"/>
                <color rgb="FFAA322F"/>
              </font>
              <fill>
                <patternFill patternType="solid">
                  <bgColor theme="0"/>
                </patternFill>
              </fill>
            </x14:dxf>
          </x14:cfRule>
          <xm:sqref>AG203:AL214</xm:sqref>
        </x14:conditionalFormatting>
        <x14:conditionalFormatting xmlns:xm="http://schemas.microsoft.com/office/excel/2006/main">
          <x14:cfRule type="beginsWith" priority="1823" stopIfTrue="1" operator="beginsWith" id="{39206BA2-562B-410E-ACF3-0C78F0A27BA9}">
            <xm:f>LEFT(AT117,LEN("Fail"))="Fail"</xm:f>
            <xm:f>"Fail"</xm:f>
            <x14:dxf>
              <font>
                <b/>
                <i val="0"/>
                <strike val="0"/>
                <color rgb="FFAA322F"/>
              </font>
              <fill>
                <patternFill patternType="solid">
                  <bgColor theme="0"/>
                </patternFill>
              </fill>
            </x14:dxf>
          </x14:cfRule>
          <xm:sqref>AT184:BC215 AX117 BB117</xm:sqref>
        </x14:conditionalFormatting>
        <x14:conditionalFormatting xmlns:xm="http://schemas.microsoft.com/office/excel/2006/main">
          <x14:cfRule type="beginsWith" priority="1804" stopIfTrue="1" operator="beginsWith" id="{0819AD3B-F8CB-4B90-9BD8-1193E3E1F6CD}">
            <xm:f>LEFT(AT164,LEN("Fail"))="Fail"</xm:f>
            <xm:f>"Fail"</xm:f>
            <x14:dxf>
              <font>
                <b/>
                <i val="0"/>
                <strike val="0"/>
                <color rgb="FFAA322F"/>
              </font>
              <fill>
                <patternFill patternType="solid">
                  <bgColor theme="0"/>
                </patternFill>
              </fill>
            </x14:dxf>
          </x14:cfRule>
          <xm:sqref>AT164:AT165 AV164:AV165 AX164:AX165 AZ164:AZ165 BB164:BB165 AT167 AV167 AX167 AZ167 BB167 AT170 AV170 AX170 AZ170 BB170</xm:sqref>
        </x14:conditionalFormatting>
        <x14:conditionalFormatting xmlns:xm="http://schemas.microsoft.com/office/excel/2006/main">
          <x14:cfRule type="beginsWith" priority="1801" stopIfTrue="1" operator="beginsWith" id="{032824A3-2B47-40AB-B032-CD143DB9B11B}">
            <xm:f>LEFT(AT162,LEN("Fail"))="Fail"</xm:f>
            <xm:f>"Fail"</xm:f>
            <x14:dxf>
              <font>
                <b/>
                <i val="0"/>
                <strike val="0"/>
                <color rgb="FFAA322F"/>
              </font>
              <fill>
                <patternFill patternType="solid">
                  <bgColor theme="0"/>
                </patternFill>
              </fill>
            </x14:dxf>
          </x14:cfRule>
          <xm:sqref>AT162:AU162</xm:sqref>
        </x14:conditionalFormatting>
        <x14:conditionalFormatting xmlns:xm="http://schemas.microsoft.com/office/excel/2006/main">
          <x14:cfRule type="beginsWith" priority="1813" stopIfTrue="1" operator="beginsWith" id="{7AABD45C-AE3A-414B-A27F-AEFFCCCDE554}">
            <xm:f>LEFT(AT111,LEN("Fail"))="Fail"</xm:f>
            <xm:f>"Fail"</xm:f>
            <x14:dxf>
              <font>
                <b/>
                <i val="0"/>
                <strike val="0"/>
                <color rgb="FFAA322F"/>
              </font>
              <fill>
                <patternFill patternType="solid">
                  <bgColor theme="0"/>
                </patternFill>
              </fill>
            </x14:dxf>
          </x14:cfRule>
          <xm:sqref>AT111:BC111</xm:sqref>
        </x14:conditionalFormatting>
        <x14:conditionalFormatting xmlns:xm="http://schemas.microsoft.com/office/excel/2006/main">
          <x14:cfRule type="beginsWith" priority="1810" stopIfTrue="1" operator="beginsWith" id="{3A860A5A-01F1-4231-9A09-0CD574AD2CFF}">
            <xm:f>LEFT(AT112,LEN("Fail"))="Fail"</xm:f>
            <xm:f>"Fail"</xm:f>
            <x14:dxf>
              <font>
                <b/>
                <i val="0"/>
                <strike val="0"/>
                <color rgb="FFAA322F"/>
              </font>
              <fill>
                <patternFill patternType="solid">
                  <bgColor theme="0"/>
                </patternFill>
              </fill>
            </x14:dxf>
          </x14:cfRule>
          <xm:sqref>AT112:BC112 AV113:BC115 AW147:BC147 BC117:BC146 AV148:BC150 AV162:BC162 AY157:AY158 AY160:AY161</xm:sqref>
        </x14:conditionalFormatting>
        <x14:conditionalFormatting xmlns:xm="http://schemas.microsoft.com/office/excel/2006/main">
          <x14:cfRule type="beginsWith" priority="1807" stopIfTrue="1" operator="beginsWith" id="{554EBD92-9148-4B5C-9790-AAD0B2232C7C}">
            <xm:f>LEFT(AT163,LEN("Fail"))="Fail"</xm:f>
            <xm:f>"Fail"</xm:f>
            <x14:dxf>
              <font>
                <b/>
                <i val="0"/>
                <strike val="0"/>
                <color rgb="FFAA322F"/>
              </font>
              <fill>
                <patternFill patternType="solid">
                  <bgColor theme="0"/>
                </patternFill>
              </fill>
            </x14:dxf>
          </x14:cfRule>
          <xm:sqref>AU164:AU165 AW164:AW165 AY164:AY165 BA164:BA165 AU167 AW167 AY167 BA167 AU170 AW170 AY170 BA170 AT163:BC163 AT166:BC166 AT168:BC169 BC164:BC165 BC167 BC170 AT171:BC174</xm:sqref>
        </x14:conditionalFormatting>
        <x14:conditionalFormatting xmlns:xm="http://schemas.microsoft.com/office/excel/2006/main">
          <x14:cfRule type="beginsWith" priority="1798" stopIfTrue="1" operator="beginsWith" id="{AD02E506-8EBF-452F-9BA1-20C7FA9393EB}">
            <xm:f>LEFT(AT147,LEN("Fail"))="Fail"</xm:f>
            <xm:f>"Fail"</xm:f>
            <x14:dxf>
              <font>
                <b/>
                <i val="0"/>
                <strike val="0"/>
                <color rgb="FFAA322F"/>
              </font>
              <fill>
                <patternFill patternType="solid">
                  <bgColor theme="0"/>
                </patternFill>
              </fill>
            </x14:dxf>
          </x14:cfRule>
          <xm:sqref>AT147:AV147</xm:sqref>
        </x14:conditionalFormatting>
        <x14:conditionalFormatting xmlns:xm="http://schemas.microsoft.com/office/excel/2006/main">
          <x14:cfRule type="beginsWith" priority="1760" stopIfTrue="1" operator="beginsWith" id="{072713B5-7A53-42F1-9B2E-D054124342FE}">
            <xm:f>LEFT(AV117,LEN("Fail"))="Fail"</xm:f>
            <xm:f>"Fail"</xm:f>
            <x14:dxf>
              <font>
                <b/>
                <i val="0"/>
                <strike val="0"/>
                <color rgb="FFAA322F"/>
              </font>
              <fill>
                <patternFill patternType="solid">
                  <bgColor theme="0"/>
                </patternFill>
              </fill>
            </x14:dxf>
          </x14:cfRule>
          <xm:sqref>AV117</xm:sqref>
        </x14:conditionalFormatting>
        <x14:conditionalFormatting xmlns:xm="http://schemas.microsoft.com/office/excel/2006/main">
          <x14:cfRule type="beginsWith" priority="1763" stopIfTrue="1" operator="beginsWith" id="{40E49B3B-A726-4B55-B908-2FC6EA2049C9}">
            <xm:f>LEFT(AV117,LEN("Fail"))="Fail"</xm:f>
            <xm:f>"Fail"</xm:f>
            <x14:dxf>
              <font>
                <b/>
                <i val="0"/>
                <strike val="0"/>
                <color rgb="FFAA322F"/>
              </font>
              <fill>
                <patternFill patternType="solid">
                  <bgColor theme="0"/>
                </patternFill>
              </fill>
            </x14:dxf>
          </x14:cfRule>
          <xm:sqref>AV117</xm:sqref>
        </x14:conditionalFormatting>
        <x14:conditionalFormatting xmlns:xm="http://schemas.microsoft.com/office/excel/2006/main">
          <x14:cfRule type="beginsWith" priority="1747" stopIfTrue="1" operator="beginsWith" id="{D938C95F-A5E4-4F54-9322-FF378D87A7A5}">
            <xm:f>LEFT(AW117,LEN("Fail"))="Fail"</xm:f>
            <xm:f>"Fail"</xm:f>
            <x14:dxf>
              <font>
                <b/>
                <i val="0"/>
                <strike val="0"/>
                <color rgb="FFAA322F"/>
              </font>
              <fill>
                <patternFill patternType="solid">
                  <bgColor theme="0"/>
                </patternFill>
              </fill>
            </x14:dxf>
          </x14:cfRule>
          <xm:sqref>AW117</xm:sqref>
        </x14:conditionalFormatting>
        <x14:conditionalFormatting xmlns:xm="http://schemas.microsoft.com/office/excel/2006/main">
          <x14:cfRule type="beginsWith" priority="1750" stopIfTrue="1" operator="beginsWith" id="{3CE619E1-2D22-467C-8154-642E6DB491BA}">
            <xm:f>LEFT(AW117,LEN("Fail"))="Fail"</xm:f>
            <xm:f>"Fail"</xm:f>
            <x14:dxf>
              <font>
                <b/>
                <i val="0"/>
                <strike val="0"/>
                <color rgb="FFAA322F"/>
              </font>
              <fill>
                <patternFill patternType="solid">
                  <bgColor theme="0"/>
                </patternFill>
              </fill>
            </x14:dxf>
          </x14:cfRule>
          <xm:sqref>AW117</xm:sqref>
        </x14:conditionalFormatting>
        <x14:conditionalFormatting xmlns:xm="http://schemas.microsoft.com/office/excel/2006/main">
          <x14:cfRule type="beginsWith" priority="1730" stopIfTrue="1" operator="beginsWith" id="{CCFFE9D0-01B6-40DB-851D-0418E2ACA420}">
            <xm:f>LEFT(BB117,LEN("Fail"))="Fail"</xm:f>
            <xm:f>"Fail"</xm:f>
            <x14:dxf>
              <font>
                <b/>
                <i val="0"/>
                <strike val="0"/>
                <color rgb="FFAA322F"/>
              </font>
              <fill>
                <patternFill patternType="solid">
                  <bgColor theme="0"/>
                </patternFill>
              </fill>
            </x14:dxf>
          </x14:cfRule>
          <xm:sqref>BB117</xm:sqref>
        </x14:conditionalFormatting>
        <x14:conditionalFormatting xmlns:xm="http://schemas.microsoft.com/office/excel/2006/main">
          <x14:cfRule type="beginsWith" priority="1733" stopIfTrue="1" operator="beginsWith" id="{7BF70313-1EB6-4C8F-972F-A46047EAABC7}">
            <xm:f>LEFT(BB117,LEN("Fail"))="Fail"</xm:f>
            <xm:f>"Fail"</xm:f>
            <x14:dxf>
              <font>
                <b/>
                <i val="0"/>
                <strike val="0"/>
                <color rgb="FFAA322F"/>
              </font>
              <fill>
                <patternFill patternType="solid">
                  <bgColor theme="0"/>
                </patternFill>
              </fill>
            </x14:dxf>
          </x14:cfRule>
          <xm:sqref>BB117</xm:sqref>
        </x14:conditionalFormatting>
        <x14:conditionalFormatting xmlns:xm="http://schemas.microsoft.com/office/excel/2006/main">
          <x14:cfRule type="beginsWith" priority="1713" stopIfTrue="1" operator="beginsWith" id="{E9D365C6-0F41-4EAB-8D94-46F0FF1A8771}">
            <xm:f>LEFT(BC117,LEN("Fail"))="Fail"</xm:f>
            <xm:f>"Fail"</xm:f>
            <x14:dxf>
              <font>
                <b/>
                <i val="0"/>
                <strike val="0"/>
                <color rgb="FFAA322F"/>
              </font>
              <fill>
                <patternFill patternType="solid">
                  <bgColor theme="0"/>
                </patternFill>
              </fill>
            </x14:dxf>
          </x14:cfRule>
          <xm:sqref>BC117</xm:sqref>
        </x14:conditionalFormatting>
        <x14:conditionalFormatting xmlns:xm="http://schemas.microsoft.com/office/excel/2006/main">
          <x14:cfRule type="beginsWith" priority="1716" stopIfTrue="1" operator="beginsWith" id="{577FD882-8BFB-428E-A60E-F31FBFC3A7E7}">
            <xm:f>LEFT(BC117,LEN("Fail"))="Fail"</xm:f>
            <xm:f>"Fail"</xm:f>
            <x14:dxf>
              <font>
                <b/>
                <i val="0"/>
                <strike val="0"/>
                <color rgb="FFAA322F"/>
              </font>
              <fill>
                <patternFill patternType="solid">
                  <bgColor theme="0"/>
                </patternFill>
              </fill>
            </x14:dxf>
          </x14:cfRule>
          <xm:sqref>BC117</xm:sqref>
        </x14:conditionalFormatting>
        <x14:conditionalFormatting xmlns:xm="http://schemas.microsoft.com/office/excel/2006/main">
          <x14:cfRule type="beginsWith" priority="1255" stopIfTrue="1" operator="beginsWith" id="{17FDCE31-207C-4B6D-830E-D5F2BC51998C}">
            <xm:f>LEFT(BA117,LEN("Fail"))="Fail"</xm:f>
            <xm:f>"Fail"</xm:f>
            <x14:dxf>
              <font>
                <b/>
                <i val="0"/>
                <strike val="0"/>
                <color rgb="FFAA322F"/>
              </font>
              <fill>
                <patternFill patternType="solid">
                  <bgColor theme="0"/>
                </patternFill>
              </fill>
            </x14:dxf>
          </x14:cfRule>
          <xm:sqref>BA117</xm:sqref>
        </x14:conditionalFormatting>
        <x14:conditionalFormatting xmlns:xm="http://schemas.microsoft.com/office/excel/2006/main">
          <x14:cfRule type="beginsWith" priority="1249" stopIfTrue="1" operator="beginsWith" id="{F456B3F7-1764-4F44-93F2-77A1FF8C1868}">
            <xm:f>LEFT(AY117,LEN("Fail"))="Fail"</xm:f>
            <xm:f>"Fail"</xm:f>
            <x14:dxf>
              <font>
                <b/>
                <i val="0"/>
                <strike val="0"/>
                <color rgb="FFAA322F"/>
              </font>
              <fill>
                <patternFill patternType="solid">
                  <bgColor theme="0"/>
                </patternFill>
              </fill>
            </x14:dxf>
          </x14:cfRule>
          <xm:sqref>AY117</xm:sqref>
        </x14:conditionalFormatting>
        <x14:conditionalFormatting xmlns:xm="http://schemas.microsoft.com/office/excel/2006/main">
          <x14:cfRule type="beginsWith" priority="1252" stopIfTrue="1" operator="beginsWith" id="{7A9C1AFC-371C-469D-A784-434ADD9F3EDB}">
            <xm:f>LEFT(AY117,LEN("Fail"))="Fail"</xm:f>
            <xm:f>"Fail"</xm:f>
            <x14:dxf>
              <font>
                <b/>
                <i val="0"/>
                <strike val="0"/>
                <color rgb="FFAA322F"/>
              </font>
              <fill>
                <patternFill patternType="solid">
                  <bgColor theme="0"/>
                </patternFill>
              </fill>
            </x14:dxf>
          </x14:cfRule>
          <xm:sqref>AY117</xm:sqref>
        </x14:conditionalFormatting>
        <x14:conditionalFormatting xmlns:xm="http://schemas.microsoft.com/office/excel/2006/main">
          <x14:cfRule type="beginsWith" priority="1243" stopIfTrue="1" operator="beginsWith" id="{941E92F2-0E0E-4928-BA92-3FD6E549242F}">
            <xm:f>LEFT(AZ117,LEN("Fail"))="Fail"</xm:f>
            <xm:f>"Fail"</xm:f>
            <x14:dxf>
              <font>
                <b/>
                <i val="0"/>
                <strike val="0"/>
                <color rgb="FFAA322F"/>
              </font>
              <fill>
                <patternFill patternType="solid">
                  <bgColor theme="0"/>
                </patternFill>
              </fill>
            </x14:dxf>
          </x14:cfRule>
          <xm:sqref>AZ117</xm:sqref>
        </x14:conditionalFormatting>
        <x14:conditionalFormatting xmlns:xm="http://schemas.microsoft.com/office/excel/2006/main">
          <x14:cfRule type="beginsWith" priority="1246" stopIfTrue="1" operator="beginsWith" id="{96134734-7AB9-465A-BE7F-2AFC5B3D5447}">
            <xm:f>LEFT(AZ117,LEN("Fail"))="Fail"</xm:f>
            <xm:f>"Fail"</xm:f>
            <x14:dxf>
              <font>
                <b/>
                <i val="0"/>
                <strike val="0"/>
                <color rgb="FFAA322F"/>
              </font>
              <fill>
                <patternFill patternType="solid">
                  <bgColor theme="0"/>
                </patternFill>
              </fill>
            </x14:dxf>
          </x14:cfRule>
          <xm:sqref>AZ117</xm:sqref>
        </x14:conditionalFormatting>
        <x14:conditionalFormatting xmlns:xm="http://schemas.microsoft.com/office/excel/2006/main">
          <x14:cfRule type="beginsWith" priority="993" stopIfTrue="1" operator="beginsWith" id="{9FA29037-423E-4451-8071-4B42E3C40AD7}">
            <xm:f>LEFT(AX152,LEN("Fail"))="Fail"</xm:f>
            <xm:f>"Fail"</xm:f>
            <x14:dxf>
              <font>
                <b/>
                <i val="0"/>
                <strike val="0"/>
                <color rgb="FFAA322F"/>
              </font>
              <fill>
                <patternFill patternType="solid">
                  <bgColor theme="0"/>
                </patternFill>
              </fill>
            </x14:dxf>
          </x14:cfRule>
          <xm:sqref>AX152</xm:sqref>
        </x14:conditionalFormatting>
        <x14:conditionalFormatting xmlns:xm="http://schemas.microsoft.com/office/excel/2006/main">
          <x14:cfRule type="beginsWith" priority="990" stopIfTrue="1" operator="beginsWith" id="{08CEEDBB-5BEC-461A-8F04-420A9BC89239}">
            <xm:f>LEFT(BC152,LEN("Fail"))="Fail"</xm:f>
            <xm:f>"Fail"</xm:f>
            <x14:dxf>
              <font>
                <b/>
                <i val="0"/>
                <strike val="0"/>
                <color rgb="FFAA322F"/>
              </font>
              <fill>
                <patternFill patternType="solid">
                  <bgColor theme="0"/>
                </patternFill>
              </fill>
            </x14:dxf>
          </x14:cfRule>
          <xm:sqref>BC152 BC154 BC156</xm:sqref>
        </x14:conditionalFormatting>
        <x14:conditionalFormatting xmlns:xm="http://schemas.microsoft.com/office/excel/2006/main">
          <x14:cfRule type="beginsWith" priority="967" stopIfTrue="1" operator="beginsWith" id="{560EBC12-0B09-4F40-BB19-3C79F2B9FD07}">
            <xm:f>LEFT(AW152,LEN("Fail"))="Fail"</xm:f>
            <xm:f>"Fail"</xm:f>
            <x14:dxf>
              <font>
                <b/>
                <i val="0"/>
                <strike val="0"/>
                <color rgb="FFAA322F"/>
              </font>
              <fill>
                <patternFill patternType="solid">
                  <bgColor theme="0"/>
                </patternFill>
              </fill>
            </x14:dxf>
          </x14:cfRule>
          <xm:sqref>AW152</xm:sqref>
        </x14:conditionalFormatting>
        <x14:conditionalFormatting xmlns:xm="http://schemas.microsoft.com/office/excel/2006/main">
          <x14:cfRule type="beginsWith" priority="970" stopIfTrue="1" operator="beginsWith" id="{9E503AEF-DDAB-4CDE-AB86-8AFC56F7790C}">
            <xm:f>LEFT(AW152,LEN("Fail"))="Fail"</xm:f>
            <xm:f>"Fail"</xm:f>
            <x14:dxf>
              <font>
                <b/>
                <i val="0"/>
                <strike val="0"/>
                <color rgb="FFAA322F"/>
              </font>
              <fill>
                <patternFill patternType="solid">
                  <bgColor theme="0"/>
                </patternFill>
              </fill>
            </x14:dxf>
          </x14:cfRule>
          <xm:sqref>AW152</xm:sqref>
        </x14:conditionalFormatting>
        <x14:conditionalFormatting xmlns:xm="http://schemas.microsoft.com/office/excel/2006/main">
          <x14:cfRule type="beginsWith" priority="947" stopIfTrue="1" operator="beginsWith" id="{71F52443-5D8D-4E20-B902-81FBBA2A0B16}">
            <xm:f>LEFT(BC152,LEN("Fail"))="Fail"</xm:f>
            <xm:f>"Fail"</xm:f>
            <x14:dxf>
              <font>
                <b/>
                <i val="0"/>
                <strike val="0"/>
                <color rgb="FFAA322F"/>
              </font>
              <fill>
                <patternFill patternType="solid">
                  <bgColor theme="0"/>
                </patternFill>
              </fill>
            </x14:dxf>
          </x14:cfRule>
          <xm:sqref>BC152</xm:sqref>
        </x14:conditionalFormatting>
        <x14:conditionalFormatting xmlns:xm="http://schemas.microsoft.com/office/excel/2006/main">
          <x14:cfRule type="beginsWith" priority="950" stopIfTrue="1" operator="beginsWith" id="{F841D228-E6FF-481F-AEB5-7EC3D8C92BDC}">
            <xm:f>LEFT(BC152,LEN("Fail"))="Fail"</xm:f>
            <xm:f>"Fail"</xm:f>
            <x14:dxf>
              <font>
                <b/>
                <i val="0"/>
                <strike val="0"/>
                <color rgb="FFAA322F"/>
              </font>
              <fill>
                <patternFill patternType="solid">
                  <bgColor theme="0"/>
                </patternFill>
              </fill>
            </x14:dxf>
          </x14:cfRule>
          <xm:sqref>BC152</xm:sqref>
        </x14:conditionalFormatting>
        <x14:conditionalFormatting xmlns:xm="http://schemas.microsoft.com/office/excel/2006/main">
          <x14:cfRule type="beginsWith" priority="939" stopIfTrue="1" operator="beginsWith" id="{EE2129B7-8427-492F-A391-73E29798EC43}">
            <xm:f>LEFT(BA152,LEN("Fail"))="Fail"</xm:f>
            <xm:f>"Fail"</xm:f>
            <x14:dxf>
              <font>
                <b/>
                <i val="0"/>
                <strike val="0"/>
                <color rgb="FFAA322F"/>
              </font>
              <fill>
                <patternFill patternType="solid">
                  <bgColor theme="0"/>
                </patternFill>
              </fill>
            </x14:dxf>
          </x14:cfRule>
          <xm:sqref>BA152</xm:sqref>
        </x14:conditionalFormatting>
        <x14:conditionalFormatting xmlns:xm="http://schemas.microsoft.com/office/excel/2006/main">
          <x14:cfRule type="beginsWith" priority="927" stopIfTrue="1" operator="beginsWith" id="{18FD284A-9C32-46B4-9F57-DC907F68A4DF}">
            <xm:f>LEFT(AZ152,LEN("Fail"))="Fail"</xm:f>
            <xm:f>"Fail"</xm:f>
            <x14:dxf>
              <font>
                <b/>
                <i val="0"/>
                <strike val="0"/>
                <color rgb="FFAA322F"/>
              </font>
              <fill>
                <patternFill patternType="solid">
                  <bgColor theme="0"/>
                </patternFill>
              </fill>
            </x14:dxf>
          </x14:cfRule>
          <xm:sqref>AZ152</xm:sqref>
        </x14:conditionalFormatting>
        <x14:conditionalFormatting xmlns:xm="http://schemas.microsoft.com/office/excel/2006/main">
          <x14:cfRule type="beginsWith" priority="930" stopIfTrue="1" operator="beginsWith" id="{22BA58B8-9FC5-4363-A25C-D955C831D8D9}">
            <xm:f>LEFT(AZ152,LEN("Fail"))="Fail"</xm:f>
            <xm:f>"Fail"</xm:f>
            <x14:dxf>
              <font>
                <b/>
                <i val="0"/>
                <strike val="0"/>
                <color rgb="FFAA322F"/>
              </font>
              <fill>
                <patternFill patternType="solid">
                  <bgColor theme="0"/>
                </patternFill>
              </fill>
            </x14:dxf>
          </x14:cfRule>
          <xm:sqref>AZ152</xm:sqref>
        </x14:conditionalFormatting>
        <x14:conditionalFormatting xmlns:xm="http://schemas.microsoft.com/office/excel/2006/main">
          <x14:cfRule type="beginsWith" priority="706" stopIfTrue="1" operator="beginsWith" id="{04688CBF-AEAC-427E-A6E7-91CCDB6D038F}">
            <xm:f>LEFT(BC153,LEN("Fail"))="Fail"</xm:f>
            <xm:f>"Fail"</xm:f>
            <x14:dxf>
              <font>
                <b/>
                <i val="0"/>
                <strike val="0"/>
                <color rgb="FFAA322F"/>
              </font>
              <fill>
                <patternFill patternType="solid">
                  <bgColor theme="0"/>
                </patternFill>
              </fill>
            </x14:dxf>
          </x14:cfRule>
          <xm:sqref>BC153</xm:sqref>
        </x14:conditionalFormatting>
        <x14:conditionalFormatting xmlns:xm="http://schemas.microsoft.com/office/excel/2006/main">
          <x14:cfRule type="beginsWith" priority="682" stopIfTrue="1" operator="beginsWith" id="{D09ADBCD-0832-4B7A-B0E1-F4A02F8E79F9}">
            <xm:f>LEFT(BC155,LEN("Fail"))="Fail"</xm:f>
            <xm:f>"Fail"</xm:f>
            <x14:dxf>
              <font>
                <b/>
                <i val="0"/>
                <strike val="0"/>
                <color rgb="FFAA322F"/>
              </font>
              <fill>
                <patternFill patternType="solid">
                  <bgColor theme="0"/>
                </patternFill>
              </fill>
            </x14:dxf>
          </x14:cfRule>
          <xm:sqref>BC155</xm:sqref>
        </x14:conditionalFormatting>
        <x14:conditionalFormatting xmlns:xm="http://schemas.microsoft.com/office/excel/2006/main">
          <x14:cfRule type="beginsWith" priority="658" stopIfTrue="1" operator="beginsWith" id="{070CE194-7080-4463-8393-06B2C94E893E}">
            <xm:f>LEFT(BC157,LEN("Fail"))="Fail"</xm:f>
            <xm:f>"Fail"</xm:f>
            <x14:dxf>
              <font>
                <b/>
                <i val="0"/>
                <strike val="0"/>
                <color rgb="FFAA322F"/>
              </font>
              <fill>
                <patternFill patternType="solid">
                  <bgColor theme="0"/>
                </patternFill>
              </fill>
            </x14:dxf>
          </x14:cfRule>
          <xm:sqref>BC157</xm:sqref>
        </x14:conditionalFormatting>
        <x14:conditionalFormatting xmlns:xm="http://schemas.microsoft.com/office/excel/2006/main">
          <x14:cfRule type="beginsWith" priority="634" stopIfTrue="1" operator="beginsWith" id="{D919A2C4-6A3B-4090-AC18-3821E18F2EDE}">
            <xm:f>LEFT(BC161,LEN("Fail"))="Fail"</xm:f>
            <xm:f>"Fail"</xm:f>
            <x14:dxf>
              <font>
                <b/>
                <i val="0"/>
                <strike val="0"/>
                <color rgb="FFAA322F"/>
              </font>
              <fill>
                <patternFill patternType="solid">
                  <bgColor theme="0"/>
                </patternFill>
              </fill>
            </x14:dxf>
          </x14:cfRule>
          <xm:sqref>BC161</xm:sqref>
        </x14:conditionalFormatting>
        <x14:conditionalFormatting xmlns:xm="http://schemas.microsoft.com/office/excel/2006/main">
          <x14:cfRule type="beginsWith" priority="582" stopIfTrue="1" operator="beginsWith" id="{EAD05F91-2F75-4884-9AEF-E6A20CC5074A}">
            <xm:f>LEFT(BE184,LEN("Fail"))="Fail"</xm:f>
            <xm:f>"Fail"</xm:f>
            <x14:dxf>
              <font>
                <b/>
                <i val="0"/>
                <strike val="0"/>
                <color rgb="FFAA322F"/>
              </font>
              <fill>
                <patternFill patternType="solid">
                  <bgColor theme="0"/>
                </patternFill>
              </fill>
            </x14:dxf>
          </x14:cfRule>
          <xm:sqref>BE184:BE215</xm:sqref>
        </x14:conditionalFormatting>
        <x14:conditionalFormatting xmlns:xm="http://schemas.microsoft.com/office/excel/2006/main">
          <x14:cfRule type="beginsWith" priority="579" stopIfTrue="1" operator="beginsWith" id="{A3A3D25D-F918-4BB9-B0F0-DDF85260DCF1}">
            <xm:f>LEFT(BE111,LEN("Fail"))="Fail"</xm:f>
            <xm:f>"Fail"</xm:f>
            <x14:dxf>
              <font>
                <b/>
                <i val="0"/>
                <strike val="0"/>
                <color rgb="FFAA322F"/>
              </font>
              <fill>
                <patternFill patternType="solid">
                  <bgColor theme="0"/>
                </patternFill>
              </fill>
            </x14:dxf>
          </x14:cfRule>
          <xm:sqref>BE111</xm:sqref>
        </x14:conditionalFormatting>
        <x14:conditionalFormatting xmlns:xm="http://schemas.microsoft.com/office/excel/2006/main">
          <x14:cfRule type="beginsWith" priority="576" stopIfTrue="1" operator="beginsWith" id="{3B3D268A-A766-4E3A-8F2E-8836BFBE73DA}">
            <xm:f>LEFT(BE112,LEN("Fail"))="Fail"</xm:f>
            <xm:f>"Fail"</xm:f>
            <x14:dxf>
              <font>
                <b/>
                <i val="0"/>
                <strike val="0"/>
                <color rgb="FFAA322F"/>
              </font>
              <fill>
                <patternFill patternType="solid">
                  <bgColor theme="0"/>
                </patternFill>
              </fill>
            </x14:dxf>
          </x14:cfRule>
          <xm:sqref>BE112:BE115 BE117:BE150 BE162</xm:sqref>
        </x14:conditionalFormatting>
        <x14:conditionalFormatting xmlns:xm="http://schemas.microsoft.com/office/excel/2006/main">
          <x14:cfRule type="beginsWith" priority="573" stopIfTrue="1" operator="beginsWith" id="{49F7D23D-78A3-4456-B008-5C52D684373A}">
            <xm:f>LEFT(BE117,LEN("Fail"))="Fail"</xm:f>
            <xm:f>"Fail"</xm:f>
            <x14:dxf>
              <font>
                <b/>
                <i val="0"/>
                <strike val="0"/>
                <color rgb="FFAA322F"/>
              </font>
              <fill>
                <patternFill patternType="solid">
                  <bgColor theme="0"/>
                </patternFill>
              </fill>
            </x14:dxf>
          </x14:cfRule>
          <xm:sqref>BE117</xm:sqref>
        </x14:conditionalFormatting>
        <x14:conditionalFormatting xmlns:xm="http://schemas.microsoft.com/office/excel/2006/main">
          <x14:cfRule type="beginsWith" priority="482" stopIfTrue="1" operator="beginsWith" id="{AC19167F-6B38-413A-8487-DDA28D69DEAB}">
            <xm:f>LEFT(BE152,LEN("Fail"))="Fail"</xm:f>
            <xm:f>"Fail"</xm:f>
            <x14:dxf>
              <font>
                <b/>
                <i val="0"/>
                <strike val="0"/>
                <color rgb="FFAA322F"/>
              </font>
              <fill>
                <patternFill patternType="solid">
                  <bgColor theme="0"/>
                </patternFill>
              </fill>
            </x14:dxf>
          </x14:cfRule>
          <xm:sqref>BE152 BE154 BE156</xm:sqref>
        </x14:conditionalFormatting>
        <x14:conditionalFormatting xmlns:xm="http://schemas.microsoft.com/office/excel/2006/main">
          <x14:cfRule type="beginsWith" priority="479" stopIfTrue="1" operator="beginsWith" id="{EADD91E7-02C7-4ED3-9D98-11F1B333FDDE}">
            <xm:f>LEFT(BE152,LEN("Fail"))="Fail"</xm:f>
            <xm:f>"Fail"</xm:f>
            <x14:dxf>
              <font>
                <b/>
                <i val="0"/>
                <strike val="0"/>
                <color rgb="FFAA322F"/>
              </font>
              <fill>
                <patternFill patternType="solid">
                  <bgColor theme="0"/>
                </patternFill>
              </fill>
            </x14:dxf>
          </x14:cfRule>
          <xm:sqref>BE152</xm:sqref>
        </x14:conditionalFormatting>
        <x14:conditionalFormatting xmlns:xm="http://schemas.microsoft.com/office/excel/2006/main">
          <x14:cfRule type="beginsWith" priority="472" stopIfTrue="1" operator="beginsWith" id="{5922D188-6608-48E0-A042-491DDB27FB41}">
            <xm:f>LEFT(BE153,LEN("Fail"))="Fail"</xm:f>
            <xm:f>"Fail"</xm:f>
            <x14:dxf>
              <font>
                <b/>
                <i val="0"/>
                <strike val="0"/>
                <color rgb="FFAA322F"/>
              </font>
              <fill>
                <patternFill patternType="solid">
                  <bgColor theme="0"/>
                </patternFill>
              </fill>
            </x14:dxf>
          </x14:cfRule>
          <xm:sqref>BE153</xm:sqref>
        </x14:conditionalFormatting>
        <x14:conditionalFormatting xmlns:xm="http://schemas.microsoft.com/office/excel/2006/main">
          <x14:cfRule type="beginsWith" priority="462" stopIfTrue="1" operator="beginsWith" id="{EA90C811-184D-4FA9-BAA2-5D4D19B6CEA8}">
            <xm:f>LEFT(BE155,LEN("Fail"))="Fail"</xm:f>
            <xm:f>"Fail"</xm:f>
            <x14:dxf>
              <font>
                <b/>
                <i val="0"/>
                <strike val="0"/>
                <color rgb="FFAA322F"/>
              </font>
              <fill>
                <patternFill patternType="solid">
                  <bgColor theme="0"/>
                </patternFill>
              </fill>
            </x14:dxf>
          </x14:cfRule>
          <xm:sqref>BE155</xm:sqref>
        </x14:conditionalFormatting>
        <x14:conditionalFormatting xmlns:xm="http://schemas.microsoft.com/office/excel/2006/main">
          <x14:cfRule type="beginsWith" priority="452" stopIfTrue="1" operator="beginsWith" id="{381F14FC-D067-47A3-A936-76A793903A9F}">
            <xm:f>LEFT(BE157,LEN("Fail"))="Fail"</xm:f>
            <xm:f>"Fail"</xm:f>
            <x14:dxf>
              <font>
                <b/>
                <i val="0"/>
                <strike val="0"/>
                <color rgb="FFAA322F"/>
              </font>
              <fill>
                <patternFill patternType="solid">
                  <bgColor theme="0"/>
                </patternFill>
              </fill>
            </x14:dxf>
          </x14:cfRule>
          <xm:sqref>BE157</xm:sqref>
        </x14:conditionalFormatting>
        <x14:conditionalFormatting xmlns:xm="http://schemas.microsoft.com/office/excel/2006/main">
          <x14:cfRule type="beginsWith" priority="442" stopIfTrue="1" operator="beginsWith" id="{C1408ACC-9724-4BD4-842B-6F62B54F7D03}">
            <xm:f>LEFT(BE161,LEN("Fail"))="Fail"</xm:f>
            <xm:f>"Fail"</xm:f>
            <x14:dxf>
              <font>
                <b/>
                <i val="0"/>
                <strike val="0"/>
                <color rgb="FFAA322F"/>
              </font>
              <fill>
                <patternFill patternType="solid">
                  <bgColor theme="0"/>
                </patternFill>
              </fill>
            </x14:dxf>
          </x14:cfRule>
          <xm:sqref>BE161</xm:sqref>
        </x14:conditionalFormatting>
        <x14:conditionalFormatting xmlns:xm="http://schemas.microsoft.com/office/excel/2006/main">
          <x14:cfRule type="beginsWith" priority="387" stopIfTrue="1" operator="beginsWith" id="{3FDB8F63-7B71-412D-92E1-168E8FDFEF97}">
            <xm:f>LEFT(G186,LEN("Fail"))="Fail"</xm:f>
            <xm:f>"Fail"</xm:f>
            <x14:dxf>
              <font>
                <b/>
                <i val="0"/>
                <strike val="0"/>
                <color rgb="FFAA322F"/>
              </font>
              <fill>
                <patternFill patternType="solid">
                  <bgColor theme="0"/>
                </patternFill>
              </fill>
            </x14:dxf>
          </x14:cfRule>
          <xm:sqref>G186</xm:sqref>
        </x14:conditionalFormatting>
        <x14:conditionalFormatting xmlns:xm="http://schemas.microsoft.com/office/excel/2006/main">
          <x14:cfRule type="beginsWith" priority="381" stopIfTrue="1" operator="beginsWith" id="{ABA4B0C7-D18C-45EB-BA4E-6843E8F44F1E}">
            <xm:f>LEFT(R187,LEN("Fail"))="Fail"</xm:f>
            <xm:f>"Fail"</xm:f>
            <x14:dxf>
              <font>
                <b/>
                <i val="0"/>
                <strike val="0"/>
                <color rgb="FFAA322F"/>
              </font>
              <fill>
                <patternFill patternType="solid">
                  <bgColor theme="0"/>
                </patternFill>
              </fill>
            </x14:dxf>
          </x14:cfRule>
          <xm:sqref>R187</xm:sqref>
        </x14:conditionalFormatting>
        <x14:conditionalFormatting xmlns:xm="http://schemas.microsoft.com/office/excel/2006/main">
          <x14:cfRule type="beginsWith" priority="384" stopIfTrue="1" operator="beginsWith" id="{16D0D713-3400-43C9-9AC8-5DE99A2004DA}">
            <xm:f>LEFT(R187,LEN("Fail"))="Fail"</xm:f>
            <xm:f>"Fail"</xm:f>
            <x14:dxf>
              <font>
                <b/>
                <i val="0"/>
                <strike val="0"/>
                <color rgb="FFAA322F"/>
              </font>
              <fill>
                <patternFill patternType="solid">
                  <bgColor theme="0"/>
                </patternFill>
              </fill>
            </x14:dxf>
          </x14:cfRule>
          <xm:sqref>R187</xm:sqref>
        </x14:conditionalFormatting>
        <x14:conditionalFormatting xmlns:xm="http://schemas.microsoft.com/office/excel/2006/main">
          <x14:cfRule type="beginsWith" priority="375" stopIfTrue="1" operator="beginsWith" id="{11AB79E9-2638-4569-AA22-7E87F077B962}">
            <xm:f>LEFT(S187,LEN("Fail"))="Fail"</xm:f>
            <xm:f>"Fail"</xm:f>
            <x14:dxf>
              <font>
                <b/>
                <i val="0"/>
                <strike val="0"/>
                <color rgb="FFAA322F"/>
              </font>
              <fill>
                <patternFill patternType="solid">
                  <bgColor theme="0"/>
                </patternFill>
              </fill>
            </x14:dxf>
          </x14:cfRule>
          <xm:sqref>S187</xm:sqref>
        </x14:conditionalFormatting>
        <x14:conditionalFormatting xmlns:xm="http://schemas.microsoft.com/office/excel/2006/main">
          <x14:cfRule type="beginsWith" priority="378" stopIfTrue="1" operator="beginsWith" id="{39865071-67F0-49DC-A7E3-FBCC864ACF25}">
            <xm:f>LEFT(S187,LEN("Fail"))="Fail"</xm:f>
            <xm:f>"Fail"</xm:f>
            <x14:dxf>
              <font>
                <b/>
                <i val="0"/>
                <strike val="0"/>
                <color rgb="FFAA322F"/>
              </font>
              <fill>
                <patternFill patternType="solid">
                  <bgColor theme="0"/>
                </patternFill>
              </fill>
            </x14:dxf>
          </x14:cfRule>
          <xm:sqref>S187</xm:sqref>
        </x14:conditionalFormatting>
        <x14:conditionalFormatting xmlns:xm="http://schemas.microsoft.com/office/excel/2006/main">
          <x14:cfRule type="beginsWith" priority="372" stopIfTrue="1" operator="beginsWith" id="{8D05B3A8-AD8E-443A-B8EC-88CB41D06D52}">
            <xm:f>LEFT(C217,LEN("Fail"))="Fail"</xm:f>
            <xm:f>"Fail"</xm:f>
            <x14:dxf>
              <font>
                <b/>
                <i val="0"/>
                <strike val="0"/>
                <color rgb="FFAA322F"/>
              </font>
              <fill>
                <patternFill patternType="solid">
                  <bgColor theme="0"/>
                </patternFill>
              </fill>
            </x14:dxf>
          </x14:cfRule>
          <xm:sqref>C217:C218 F220:F221</xm:sqref>
        </x14:conditionalFormatting>
        <x14:conditionalFormatting xmlns:xm="http://schemas.microsoft.com/office/excel/2006/main">
          <x14:cfRule type="beginsWith" priority="369" stopIfTrue="1" operator="beginsWith" id="{1F83C70B-224E-47D3-B726-6C7C16B9828E}">
            <xm:f>LEFT(A221,LEN("Fail"))="Fail"</xm:f>
            <xm:f>"Fail"</xm:f>
            <x14:dxf>
              <font>
                <b/>
                <i val="0"/>
                <strike val="0"/>
                <color rgb="FFAA322F"/>
              </font>
              <fill>
                <patternFill patternType="solid">
                  <bgColor theme="0"/>
                </patternFill>
              </fill>
            </x14:dxf>
          </x14:cfRule>
          <xm:sqref>A221</xm:sqref>
        </x14:conditionalFormatting>
        <x14:conditionalFormatting xmlns:xm="http://schemas.microsoft.com/office/excel/2006/main">
          <x14:cfRule type="beginsWith" priority="366" stopIfTrue="1" operator="beginsWith" id="{034339BB-7826-45DE-BA3C-ABA3247924C0}">
            <xm:f>LEFT(A216,LEN("Fail"))="Fail"</xm:f>
            <xm:f>"Fail"</xm:f>
            <x14:dxf>
              <font>
                <b/>
                <i val="0"/>
                <strike val="0"/>
                <color rgb="FFAA322F"/>
              </font>
              <fill>
                <patternFill patternType="solid">
                  <bgColor theme="0"/>
                </patternFill>
              </fill>
            </x14:dxf>
          </x14:cfRule>
          <xm:sqref>B216 A217:A220</xm:sqref>
        </x14:conditionalFormatting>
        <x14:conditionalFormatting xmlns:xm="http://schemas.microsoft.com/office/excel/2006/main">
          <x14:cfRule type="beginsWith" priority="363" stopIfTrue="1" operator="beginsWith" id="{8BAA37FD-27E8-431C-8608-796B1B94F6F6}">
            <xm:f>LEFT(A216,LEN("Fail"))="Fail"</xm:f>
            <xm:f>"Fail"</xm:f>
            <x14:dxf>
              <font>
                <b/>
                <i val="0"/>
                <strike val="0"/>
                <color rgb="FFAA322F"/>
              </font>
              <fill>
                <patternFill patternType="solid">
                  <bgColor theme="0"/>
                </patternFill>
              </fill>
            </x14:dxf>
          </x14:cfRule>
          <xm:sqref>A216</xm:sqref>
        </x14:conditionalFormatting>
        <x14:conditionalFormatting xmlns:xm="http://schemas.microsoft.com/office/excel/2006/main">
          <x14:cfRule type="beginsWith" priority="360" stopIfTrue="1" operator="beginsWith" id="{5B78E450-3A58-49E6-ADBC-CF912E507716}">
            <xm:f>LEFT(B221,LEN("Fail"))="Fail"</xm:f>
            <xm:f>"Fail"</xm:f>
            <x14:dxf>
              <font>
                <b/>
                <i val="0"/>
                <strike val="0"/>
                <color rgb="FFAA322F"/>
              </font>
              <fill>
                <patternFill patternType="solid">
                  <bgColor theme="0"/>
                </patternFill>
              </fill>
            </x14:dxf>
          </x14:cfRule>
          <xm:sqref>B221</xm:sqref>
        </x14:conditionalFormatting>
        <x14:conditionalFormatting xmlns:xm="http://schemas.microsoft.com/office/excel/2006/main">
          <x14:cfRule type="beginsWith" priority="357" stopIfTrue="1" operator="beginsWith" id="{BE30573D-DCD8-45D2-A64D-29DC63E9D357}">
            <xm:f>LEFT(C218,LEN("Fail"))="Fail"</xm:f>
            <xm:f>"Fail"</xm:f>
            <x14:dxf>
              <font>
                <b/>
                <i val="0"/>
                <strike val="0"/>
                <color rgb="FFAA322F"/>
              </font>
              <fill>
                <patternFill patternType="solid">
                  <bgColor theme="0"/>
                </patternFill>
              </fill>
            </x14:dxf>
          </x14:cfRule>
          <xm:sqref>C218</xm:sqref>
        </x14:conditionalFormatting>
        <x14:conditionalFormatting xmlns:xm="http://schemas.microsoft.com/office/excel/2006/main">
          <x14:cfRule type="beginsWith" priority="354" stopIfTrue="1" operator="beginsWith" id="{7591794F-E5BD-496C-BDB6-14AD84A7757D}">
            <xm:f>LEFT(C216,LEN("Fail"))="Fail"</xm:f>
            <xm:f>"Fail"</xm:f>
            <x14:dxf>
              <font>
                <b/>
                <i val="0"/>
                <strike val="0"/>
                <color rgb="FFAA322F"/>
              </font>
              <fill>
                <patternFill patternType="solid">
                  <bgColor theme="0"/>
                </patternFill>
              </fill>
            </x14:dxf>
          </x14:cfRule>
          <xm:sqref>C216:BE216</xm:sqref>
        </x14:conditionalFormatting>
        <x14:conditionalFormatting xmlns:xm="http://schemas.microsoft.com/office/excel/2006/main">
          <x14:cfRule type="beginsWith" priority="351" stopIfTrue="1" operator="beginsWith" id="{5A627071-0DFF-4E87-9D57-B04906FC43FD}">
            <xm:f>LEFT(H218,LEN("Fail"))="Fail"</xm:f>
            <xm:f>"Fail"</xm:f>
            <x14:dxf>
              <font>
                <b/>
                <i val="0"/>
                <strike val="0"/>
                <color rgb="FFAA322F"/>
              </font>
              <fill>
                <patternFill patternType="solid">
                  <bgColor theme="0"/>
                </patternFill>
              </fill>
            </x14:dxf>
          </x14:cfRule>
          <xm:sqref>H218</xm:sqref>
        </x14:conditionalFormatting>
        <x14:conditionalFormatting xmlns:xm="http://schemas.microsoft.com/office/excel/2006/main">
          <x14:cfRule type="beginsWith" priority="348" stopIfTrue="1" operator="beginsWith" id="{BC4F6B1F-C099-40DE-9716-B00605C21BD8}">
            <xm:f>LEFT(J218,LEN("Fail"))="Fail"</xm:f>
            <xm:f>"Fail"</xm:f>
            <x14:dxf>
              <font>
                <b/>
                <i val="0"/>
                <strike val="0"/>
                <color rgb="FFAA322F"/>
              </font>
              <fill>
                <patternFill patternType="solid">
                  <bgColor theme="0"/>
                </patternFill>
              </fill>
            </x14:dxf>
          </x14:cfRule>
          <xm:sqref>J218:J219 L219</xm:sqref>
        </x14:conditionalFormatting>
        <x14:conditionalFormatting xmlns:xm="http://schemas.microsoft.com/office/excel/2006/main">
          <x14:cfRule type="beginsWith" priority="345" stopIfTrue="1" operator="beginsWith" id="{7786DAA7-003F-444E-BF78-C8533E6A0056}">
            <xm:f>LEFT(J220,LEN("Fail"))="Fail"</xm:f>
            <xm:f>"Fail"</xm:f>
            <x14:dxf>
              <font>
                <b/>
                <i val="0"/>
                <strike val="0"/>
                <color rgb="FFAA322F"/>
              </font>
              <fill>
                <patternFill patternType="solid">
                  <bgColor theme="0"/>
                </patternFill>
              </fill>
            </x14:dxf>
          </x14:cfRule>
          <xm:sqref>J220:K220</xm:sqref>
        </x14:conditionalFormatting>
        <x14:conditionalFormatting xmlns:xm="http://schemas.microsoft.com/office/excel/2006/main">
          <x14:cfRule type="beginsWith" priority="342" stopIfTrue="1" operator="beginsWith" id="{FD37AE37-3B8D-4027-8C18-3F6C27CF4636}">
            <xm:f>LEFT(J217,LEN("Fail"))="Fail"</xm:f>
            <xm:f>"Fail"</xm:f>
            <x14:dxf>
              <font>
                <b/>
                <i val="0"/>
                <strike val="0"/>
                <color rgb="FFAA322F"/>
              </font>
              <fill>
                <patternFill patternType="solid">
                  <bgColor theme="0"/>
                </patternFill>
              </fill>
            </x14:dxf>
          </x14:cfRule>
          <xm:sqref>J217</xm:sqref>
        </x14:conditionalFormatting>
        <x14:conditionalFormatting xmlns:xm="http://schemas.microsoft.com/office/excel/2006/main">
          <x14:cfRule type="beginsWith" priority="339" stopIfTrue="1" operator="beginsWith" id="{8C6275AB-2138-4F55-901E-5C6EDD4B2D84}">
            <xm:f>LEFT(M218,LEN("Fail"))="Fail"</xm:f>
            <xm:f>"Fail"</xm:f>
            <x14:dxf>
              <font>
                <b/>
                <i val="0"/>
                <strike val="0"/>
                <color rgb="FFAA322F"/>
              </font>
              <fill>
                <patternFill patternType="solid">
                  <bgColor theme="0"/>
                </patternFill>
              </fill>
            </x14:dxf>
          </x14:cfRule>
          <xm:sqref>M218:M219 O219</xm:sqref>
        </x14:conditionalFormatting>
        <x14:conditionalFormatting xmlns:xm="http://schemas.microsoft.com/office/excel/2006/main">
          <x14:cfRule type="beginsWith" priority="336" stopIfTrue="1" operator="beginsWith" id="{3ADE6F48-55D4-4C5F-BFAD-20DF8C05C95C}">
            <xm:f>LEFT(M220,LEN("Fail"))="Fail"</xm:f>
            <xm:f>"Fail"</xm:f>
            <x14:dxf>
              <font>
                <b/>
                <i val="0"/>
                <strike val="0"/>
                <color rgb="FFAA322F"/>
              </font>
              <fill>
                <patternFill patternType="solid">
                  <bgColor theme="0"/>
                </patternFill>
              </fill>
            </x14:dxf>
          </x14:cfRule>
          <xm:sqref>M220:N220</xm:sqref>
        </x14:conditionalFormatting>
        <x14:conditionalFormatting xmlns:xm="http://schemas.microsoft.com/office/excel/2006/main">
          <x14:cfRule type="beginsWith" priority="333" stopIfTrue="1" operator="beginsWith" id="{A4E04D2F-7538-41C5-BBCA-D707B0AAF1A9}">
            <xm:f>LEFT(M217,LEN("Fail"))="Fail"</xm:f>
            <xm:f>"Fail"</xm:f>
            <x14:dxf>
              <font>
                <b/>
                <i val="0"/>
                <strike val="0"/>
                <color rgb="FFAA322F"/>
              </font>
              <fill>
                <patternFill patternType="solid">
                  <bgColor theme="0"/>
                </patternFill>
              </fill>
            </x14:dxf>
          </x14:cfRule>
          <xm:sqref>M217</xm:sqref>
        </x14:conditionalFormatting>
        <x14:conditionalFormatting xmlns:xm="http://schemas.microsoft.com/office/excel/2006/main">
          <x14:cfRule type="beginsWith" priority="330" stopIfTrue="1" operator="beginsWith" id="{7C64AFF5-52A6-4641-A158-69EADF7B24B7}">
            <xm:f>LEFT(C217,LEN("Fail"))="Fail"</xm:f>
            <xm:f>"Fail"</xm:f>
            <x14:dxf>
              <font>
                <b/>
                <i val="0"/>
                <strike val="0"/>
                <color rgb="FFAA322F"/>
              </font>
              <fill>
                <patternFill patternType="solid">
                  <bgColor theme="0"/>
                </patternFill>
              </fill>
            </x14:dxf>
          </x14:cfRule>
          <xm:sqref>C217</xm:sqref>
        </x14:conditionalFormatting>
        <x14:conditionalFormatting xmlns:xm="http://schemas.microsoft.com/office/excel/2006/main">
          <x14:cfRule type="beginsWith" priority="327" stopIfTrue="1" operator="beginsWith" id="{A7007F6D-9448-4A49-A28A-34BAE518A07C}">
            <xm:f>LEFT(E218,LEN("Fail"))="Fail"</xm:f>
            <xm:f>"Fail"</xm:f>
            <x14:dxf>
              <font>
                <b/>
                <i val="0"/>
                <strike val="0"/>
                <color rgb="FFAA322F"/>
              </font>
              <fill>
                <patternFill patternType="solid">
                  <bgColor theme="0"/>
                </patternFill>
              </fill>
            </x14:dxf>
          </x14:cfRule>
          <xm:sqref>E218</xm:sqref>
        </x14:conditionalFormatting>
        <x14:conditionalFormatting xmlns:xm="http://schemas.microsoft.com/office/excel/2006/main">
          <x14:cfRule type="beginsWith" priority="324" stopIfTrue="1" operator="beginsWith" id="{88CA860C-8371-4202-AABA-E51DE0F66172}">
            <xm:f>LEFT(A222,LEN("Fail"))="Fail"</xm:f>
            <xm:f>"Fail"</xm:f>
            <x14:dxf>
              <font>
                <b/>
                <i val="0"/>
                <strike val="0"/>
                <color rgb="FFAA322F"/>
              </font>
              <fill>
                <patternFill patternType="solid">
                  <bgColor theme="0"/>
                </patternFill>
              </fill>
            </x14:dxf>
          </x14:cfRule>
          <xm:sqref>A222:O224</xm:sqref>
        </x14:conditionalFormatting>
        <x14:conditionalFormatting xmlns:xm="http://schemas.microsoft.com/office/excel/2006/main">
          <x14:cfRule type="beginsWith" priority="321" stopIfTrue="1" operator="beginsWith" id="{B9953230-67EE-4D56-BBA8-9AB012D8E771}">
            <xm:f>LEFT(P217,LEN("Fail"))="Fail"</xm:f>
            <xm:f>"Fail"</xm:f>
            <x14:dxf>
              <font>
                <b/>
                <i val="0"/>
                <strike val="0"/>
                <color rgb="FFAA322F"/>
              </font>
              <fill>
                <patternFill patternType="solid">
                  <bgColor theme="0"/>
                </patternFill>
              </fill>
            </x14:dxf>
          </x14:cfRule>
          <xm:sqref>P217:BE224</xm:sqref>
        </x14:conditionalFormatting>
        <x14:conditionalFormatting xmlns:xm="http://schemas.microsoft.com/office/excel/2006/main">
          <x14:cfRule type="beginsWith" priority="318" stopIfTrue="1" operator="beginsWith" id="{39FD9AD1-0CDC-4B05-8F85-161B3636A43B}">
            <xm:f>LEFT(B175,LEN("Fail"))="Fail"</xm:f>
            <xm:f>"Fail"</xm:f>
            <x14:dxf>
              <font>
                <b/>
                <i val="0"/>
                <strike val="0"/>
                <color rgb="FFAA322F"/>
              </font>
              <fill>
                <patternFill patternType="solid">
                  <bgColor theme="0"/>
                </patternFill>
              </fill>
            </x14:dxf>
          </x14:cfRule>
          <xm:sqref>B175</xm:sqref>
        </x14:conditionalFormatting>
        <x14:conditionalFormatting xmlns:xm="http://schemas.microsoft.com/office/excel/2006/main">
          <x14:cfRule type="beginsWith" priority="315" stopIfTrue="1" operator="beginsWith" id="{069C11DC-F19D-4B3A-8F68-27C0B1E3F47F}">
            <xm:f>LEFT(B167,LEN("Fail"))="Fail"</xm:f>
            <xm:f>"Fail"</xm:f>
            <x14:dxf>
              <font>
                <b/>
                <i val="0"/>
                <strike val="0"/>
                <color rgb="FFAA322F"/>
              </font>
              <fill>
                <patternFill patternType="solid">
                  <bgColor theme="0"/>
                </patternFill>
              </fill>
            </x14:dxf>
          </x14:cfRule>
          <xm:sqref>B167</xm:sqref>
        </x14:conditionalFormatting>
        <x14:conditionalFormatting xmlns:xm="http://schemas.microsoft.com/office/excel/2006/main">
          <x14:cfRule type="beginsWith" priority="273" stopIfTrue="1" operator="beginsWith" id="{02AA75EC-FA78-4F70-8EFC-14615F966A27}">
            <xm:f>LEFT(L176,LEN("Fail"))="Fail"</xm:f>
            <xm:f>"Fail"</xm:f>
            <x14:dxf>
              <font>
                <b/>
                <i val="0"/>
                <strike val="0"/>
                <color rgb="FFAA322F"/>
              </font>
              <fill>
                <patternFill patternType="solid">
                  <bgColor theme="0"/>
                </patternFill>
              </fill>
            </x14:dxf>
          </x14:cfRule>
          <xm:sqref>L176:L178</xm:sqref>
        </x14:conditionalFormatting>
        <x14:conditionalFormatting xmlns:xm="http://schemas.microsoft.com/office/excel/2006/main">
          <x14:cfRule type="beginsWith" priority="213" stopIfTrue="1" operator="beginsWith" id="{8661BB9D-4844-44E7-8C5E-01DA36789647}">
            <xm:f>LEFT(L175,LEN("Fail"))="Fail"</xm:f>
            <xm:f>"Fail"</xm:f>
            <x14:dxf>
              <font>
                <b/>
                <i val="0"/>
                <strike val="0"/>
                <color rgb="FFAA322F"/>
              </font>
              <fill>
                <patternFill patternType="solid">
                  <bgColor theme="0"/>
                </patternFill>
              </fill>
            </x14:dxf>
          </x14:cfRule>
          <xm:sqref>L175</xm:sqref>
        </x14:conditionalFormatting>
        <x14:conditionalFormatting xmlns:xm="http://schemas.microsoft.com/office/excel/2006/main">
          <x14:cfRule type="beginsWith" priority="191" stopIfTrue="1" operator="beginsWith" id="{93DC56DE-7491-466A-A2AD-70BD8C5D5261}">
            <xm:f>LEFT(L180,LEN("Fail"))="Fail"</xm:f>
            <xm:f>"Fail"</xm:f>
            <x14:dxf>
              <font>
                <b/>
                <i val="0"/>
                <strike val="0"/>
                <color rgb="FFAA322F"/>
              </font>
              <fill>
                <patternFill patternType="solid">
                  <bgColor theme="0"/>
                </patternFill>
              </fill>
            </x14:dxf>
          </x14:cfRule>
          <xm:sqref>L180</xm:sqref>
        </x14:conditionalFormatting>
        <x14:conditionalFormatting xmlns:xm="http://schemas.microsoft.com/office/excel/2006/main">
          <x14:cfRule type="beginsWith" priority="181" stopIfTrue="1" operator="beginsWith" id="{7E07EC9E-BD16-47EE-8A3C-D64759A70A36}">
            <xm:f>LEFT(AV152,LEN("Fail"))="Fail"</xm:f>
            <xm:f>"Fail"</xm:f>
            <x14:dxf>
              <font>
                <b/>
                <i val="0"/>
                <strike val="0"/>
                <color rgb="FFAA322F"/>
              </font>
              <fill>
                <patternFill patternType="solid">
                  <bgColor theme="0"/>
                </patternFill>
              </fill>
            </x14:dxf>
          </x14:cfRule>
          <xm:sqref>AV152</xm:sqref>
        </x14:conditionalFormatting>
        <x14:conditionalFormatting xmlns:xm="http://schemas.microsoft.com/office/excel/2006/main">
          <x14:cfRule type="beginsWith" priority="184" stopIfTrue="1" operator="beginsWith" id="{66CB5C6A-9739-47BF-B804-4E99AB32C453}">
            <xm:f>LEFT(AV152,LEN("Fail"))="Fail"</xm:f>
            <xm:f>"Fail"</xm:f>
            <x14:dxf>
              <font>
                <b/>
                <i val="0"/>
                <strike val="0"/>
                <color rgb="FFAA322F"/>
              </font>
              <fill>
                <patternFill patternType="solid">
                  <bgColor theme="0"/>
                </patternFill>
              </fill>
            </x14:dxf>
          </x14:cfRule>
          <xm:sqref>AV152</xm:sqref>
        </x14:conditionalFormatting>
        <x14:conditionalFormatting xmlns:xm="http://schemas.microsoft.com/office/excel/2006/main">
          <x14:cfRule type="beginsWith" priority="175" stopIfTrue="1" operator="beginsWith" id="{902E1F70-CC85-4C81-B5C4-757032FBE859}">
            <xm:f>LEFT(AY152,LEN("Fail"))="Fail"</xm:f>
            <xm:f>"Fail"</xm:f>
            <x14:dxf>
              <font>
                <b/>
                <i val="0"/>
                <strike val="0"/>
                <color rgb="FFAA322F"/>
              </font>
              <fill>
                <patternFill patternType="solid">
                  <bgColor theme="0"/>
                </patternFill>
              </fill>
            </x14:dxf>
          </x14:cfRule>
          <xm:sqref>AY152</xm:sqref>
        </x14:conditionalFormatting>
        <x14:conditionalFormatting xmlns:xm="http://schemas.microsoft.com/office/excel/2006/main">
          <x14:cfRule type="beginsWith" priority="178" stopIfTrue="1" operator="beginsWith" id="{79EF9682-C002-4A63-B248-05639A434C99}">
            <xm:f>LEFT(AY152,LEN("Fail"))="Fail"</xm:f>
            <xm:f>"Fail"</xm:f>
            <x14:dxf>
              <font>
                <b/>
                <i val="0"/>
                <strike val="0"/>
                <color rgb="FFAA322F"/>
              </font>
              <fill>
                <patternFill patternType="solid">
                  <bgColor theme="0"/>
                </patternFill>
              </fill>
            </x14:dxf>
          </x14:cfRule>
          <xm:sqref>AY152</xm:sqref>
        </x14:conditionalFormatting>
        <x14:conditionalFormatting xmlns:xm="http://schemas.microsoft.com/office/excel/2006/main">
          <x14:cfRule type="beginsWith" priority="172" stopIfTrue="1" operator="beginsWith" id="{91FC975C-06E2-4AE8-9173-B95B52322901}">
            <xm:f>LEFT(BB152,LEN("Fail"))="Fail"</xm:f>
            <xm:f>"Fail"</xm:f>
            <x14:dxf>
              <font>
                <b/>
                <i val="0"/>
                <strike val="0"/>
                <color rgb="FFAA322F"/>
              </font>
              <fill>
                <patternFill patternType="solid">
                  <bgColor theme="0"/>
                </patternFill>
              </fill>
            </x14:dxf>
          </x14:cfRule>
          <xm:sqref>BB152</xm:sqref>
        </x14:conditionalFormatting>
        <x14:conditionalFormatting xmlns:xm="http://schemas.microsoft.com/office/excel/2006/main">
          <x14:cfRule type="beginsWith" priority="166" stopIfTrue="1" operator="beginsWith" id="{F6F51F89-5E26-48CD-AEBE-6D2CCC341699}">
            <xm:f>LEFT(BB152,LEN("Fail"))="Fail"</xm:f>
            <xm:f>"Fail"</xm:f>
            <x14:dxf>
              <font>
                <b/>
                <i val="0"/>
                <strike val="0"/>
                <color rgb="FFAA322F"/>
              </font>
              <fill>
                <patternFill patternType="solid">
                  <bgColor theme="0"/>
                </patternFill>
              </fill>
            </x14:dxf>
          </x14:cfRule>
          <xm:sqref>BB152</xm:sqref>
        </x14:conditionalFormatting>
        <x14:conditionalFormatting xmlns:xm="http://schemas.microsoft.com/office/excel/2006/main">
          <x14:cfRule type="beginsWith" priority="169" stopIfTrue="1" operator="beginsWith" id="{6CEFBE49-B36F-46D6-8272-2A33B18297B6}">
            <xm:f>LEFT(BB152,LEN("Fail"))="Fail"</xm:f>
            <xm:f>"Fail"</xm:f>
            <x14:dxf>
              <font>
                <b/>
                <i val="0"/>
                <strike val="0"/>
                <color rgb="FFAA322F"/>
              </font>
              <fill>
                <patternFill patternType="solid">
                  <bgColor theme="0"/>
                </patternFill>
              </fill>
            </x14:dxf>
          </x14:cfRule>
          <xm:sqref>BB152</xm:sqref>
        </x14:conditionalFormatting>
        <x14:conditionalFormatting xmlns:xm="http://schemas.microsoft.com/office/excel/2006/main">
          <x14:cfRule type="beginsWith" priority="162" stopIfTrue="1" operator="beginsWith" id="{E35D5BFE-EF97-45F3-963E-B76110C8BF63}">
            <xm:f>LEFT(D193,LEN("Fail"))="Fail"</xm:f>
            <xm:f>"Fail"</xm:f>
            <x14:dxf>
              <font>
                <b/>
                <i val="0"/>
                <strike val="0"/>
                <color rgb="FFAA322F"/>
              </font>
              <fill>
                <patternFill patternType="solid">
                  <bgColor theme="0"/>
                </patternFill>
              </fill>
            </x14:dxf>
          </x14:cfRule>
          <xm:sqref>D193</xm:sqref>
        </x14:conditionalFormatting>
        <x14:conditionalFormatting xmlns:xm="http://schemas.microsoft.com/office/excel/2006/main">
          <x14:cfRule type="beginsWith" priority="158" stopIfTrue="1" operator="beginsWith" id="{013D61BE-6568-4814-B3B9-2AE229CD8DED}">
            <xm:f>LEFT(D194,LEN("Fail"))="Fail"</xm:f>
            <xm:f>"Fail"</xm:f>
            <x14:dxf>
              <font>
                <b/>
                <i val="0"/>
                <strike val="0"/>
                <color rgb="FFAA322F"/>
              </font>
              <fill>
                <patternFill patternType="solid">
                  <bgColor theme="0"/>
                </patternFill>
              </fill>
            </x14:dxf>
          </x14:cfRule>
          <xm:sqref>D194</xm:sqref>
        </x14:conditionalFormatting>
        <x14:conditionalFormatting xmlns:xm="http://schemas.microsoft.com/office/excel/2006/main">
          <x14:cfRule type="beginsWith" priority="154" stopIfTrue="1" operator="beginsWith" id="{245D4A01-A64E-4017-9B05-A7C628421CF0}">
            <xm:f>LEFT(D195,LEN("Fail"))="Fail"</xm:f>
            <xm:f>"Fail"</xm:f>
            <x14:dxf>
              <font>
                <b/>
                <i val="0"/>
                <strike val="0"/>
                <color rgb="FFAA322F"/>
              </font>
              <fill>
                <patternFill patternType="solid">
                  <bgColor theme="0"/>
                </patternFill>
              </fill>
            </x14:dxf>
          </x14:cfRule>
          <xm:sqref>D195</xm:sqref>
        </x14:conditionalFormatting>
        <x14:conditionalFormatting xmlns:xm="http://schemas.microsoft.com/office/excel/2006/main">
          <x14:cfRule type="beginsWith" priority="150" stopIfTrue="1" operator="beginsWith" id="{2E71C8DA-02EE-455B-8733-7A1E7822559B}">
            <xm:f>LEFT(D196,LEN("Fail"))="Fail"</xm:f>
            <xm:f>"Fail"</xm:f>
            <x14:dxf>
              <font>
                <b/>
                <i val="0"/>
                <strike val="0"/>
                <color rgb="FFAA322F"/>
              </font>
              <fill>
                <patternFill patternType="solid">
                  <bgColor theme="0"/>
                </patternFill>
              </fill>
            </x14:dxf>
          </x14:cfRule>
          <xm:sqref>D196</xm:sqref>
        </x14:conditionalFormatting>
        <x14:conditionalFormatting xmlns:xm="http://schemas.microsoft.com/office/excel/2006/main">
          <x14:cfRule type="beginsWith" priority="146" stopIfTrue="1" operator="beginsWith" id="{E091BA89-C927-4798-ACA8-3FBB95A72EB1}">
            <xm:f>LEFT(E193,LEN("Fail"))="Fail"</xm:f>
            <xm:f>"Fail"</xm:f>
            <x14:dxf>
              <font>
                <b/>
                <i val="0"/>
                <strike val="0"/>
                <color rgb="FFAA322F"/>
              </font>
              <fill>
                <patternFill patternType="solid">
                  <bgColor theme="0"/>
                </patternFill>
              </fill>
            </x14:dxf>
          </x14:cfRule>
          <xm:sqref>E193</xm:sqref>
        </x14:conditionalFormatting>
        <x14:conditionalFormatting xmlns:xm="http://schemas.microsoft.com/office/excel/2006/main">
          <x14:cfRule type="beginsWith" priority="142" stopIfTrue="1" operator="beginsWith" id="{5FCE2F26-7C4F-4C44-8E27-513CA1C83E03}">
            <xm:f>LEFT(E194,LEN("Fail"))="Fail"</xm:f>
            <xm:f>"Fail"</xm:f>
            <x14:dxf>
              <font>
                <b/>
                <i val="0"/>
                <strike val="0"/>
                <color rgb="FFAA322F"/>
              </font>
              <fill>
                <patternFill patternType="solid">
                  <bgColor theme="0"/>
                </patternFill>
              </fill>
            </x14:dxf>
          </x14:cfRule>
          <xm:sqref>E194</xm:sqref>
        </x14:conditionalFormatting>
        <x14:conditionalFormatting xmlns:xm="http://schemas.microsoft.com/office/excel/2006/main">
          <x14:cfRule type="beginsWith" priority="138" stopIfTrue="1" operator="beginsWith" id="{1CC0BE99-4F82-4A05-8E11-48447F764A4C}">
            <xm:f>LEFT(E195,LEN("Fail"))="Fail"</xm:f>
            <xm:f>"Fail"</xm:f>
            <x14:dxf>
              <font>
                <b/>
                <i val="0"/>
                <strike val="0"/>
                <color rgb="FFAA322F"/>
              </font>
              <fill>
                <patternFill patternType="solid">
                  <bgColor theme="0"/>
                </patternFill>
              </fill>
            </x14:dxf>
          </x14:cfRule>
          <xm:sqref>E195</xm:sqref>
        </x14:conditionalFormatting>
        <x14:conditionalFormatting xmlns:xm="http://schemas.microsoft.com/office/excel/2006/main">
          <x14:cfRule type="beginsWith" priority="134" stopIfTrue="1" operator="beginsWith" id="{03B34BFF-55E8-4C50-8884-043316CD7CE5}">
            <xm:f>LEFT(E196,LEN("Fail"))="Fail"</xm:f>
            <xm:f>"Fail"</xm:f>
            <x14:dxf>
              <font>
                <b/>
                <i val="0"/>
                <strike val="0"/>
                <color rgb="FFAA322F"/>
              </font>
              <fill>
                <patternFill patternType="solid">
                  <bgColor theme="0"/>
                </patternFill>
              </fill>
            </x14:dxf>
          </x14:cfRule>
          <xm:sqref>E196</xm:sqref>
        </x14:conditionalFormatting>
        <x14:conditionalFormatting xmlns:xm="http://schemas.microsoft.com/office/excel/2006/main">
          <x14:cfRule type="beginsWith" priority="130" stopIfTrue="1" operator="beginsWith" id="{0A109BF7-E636-4B43-A560-2747F372ED12}">
            <xm:f>LEFT(G193,LEN("Fail"))="Fail"</xm:f>
            <xm:f>"Fail"</xm:f>
            <x14:dxf>
              <font>
                <b/>
                <i val="0"/>
                <strike val="0"/>
                <color rgb="FFAA322F"/>
              </font>
              <fill>
                <patternFill patternType="solid">
                  <bgColor theme="0"/>
                </patternFill>
              </fill>
            </x14:dxf>
          </x14:cfRule>
          <xm:sqref>G193</xm:sqref>
        </x14:conditionalFormatting>
        <x14:conditionalFormatting xmlns:xm="http://schemas.microsoft.com/office/excel/2006/main">
          <x14:cfRule type="beginsWith" priority="126" stopIfTrue="1" operator="beginsWith" id="{654B3795-F55D-441B-8CE3-50553B6682FF}">
            <xm:f>LEFT(G194,LEN("Fail"))="Fail"</xm:f>
            <xm:f>"Fail"</xm:f>
            <x14:dxf>
              <font>
                <b/>
                <i val="0"/>
                <strike val="0"/>
                <color rgb="FFAA322F"/>
              </font>
              <fill>
                <patternFill patternType="solid">
                  <bgColor theme="0"/>
                </patternFill>
              </fill>
            </x14:dxf>
          </x14:cfRule>
          <xm:sqref>G194</xm:sqref>
        </x14:conditionalFormatting>
        <x14:conditionalFormatting xmlns:xm="http://schemas.microsoft.com/office/excel/2006/main">
          <x14:cfRule type="beginsWith" priority="122" stopIfTrue="1" operator="beginsWith" id="{55352D00-20AE-4125-95A8-B69DB0905259}">
            <xm:f>LEFT(G195,LEN("Fail"))="Fail"</xm:f>
            <xm:f>"Fail"</xm:f>
            <x14:dxf>
              <font>
                <b/>
                <i val="0"/>
                <strike val="0"/>
                <color rgb="FFAA322F"/>
              </font>
              <fill>
                <patternFill patternType="solid">
                  <bgColor theme="0"/>
                </patternFill>
              </fill>
            </x14:dxf>
          </x14:cfRule>
          <xm:sqref>G195</xm:sqref>
        </x14:conditionalFormatting>
        <x14:conditionalFormatting xmlns:xm="http://schemas.microsoft.com/office/excel/2006/main">
          <x14:cfRule type="beginsWith" priority="118" stopIfTrue="1" operator="beginsWith" id="{5E152EA8-B9EF-4403-A22E-CEA23451CA3F}">
            <xm:f>LEFT(G196,LEN("Fail"))="Fail"</xm:f>
            <xm:f>"Fail"</xm:f>
            <x14:dxf>
              <font>
                <b/>
                <i val="0"/>
                <strike val="0"/>
                <color rgb="FFAA322F"/>
              </font>
              <fill>
                <patternFill patternType="solid">
                  <bgColor theme="0"/>
                </patternFill>
              </fill>
            </x14:dxf>
          </x14:cfRule>
          <xm:sqref>G196</xm:sqref>
        </x14:conditionalFormatting>
        <x14:conditionalFormatting xmlns:xm="http://schemas.microsoft.com/office/excel/2006/main">
          <x14:cfRule type="beginsWith" priority="114" stopIfTrue="1" operator="beginsWith" id="{5590E74D-867A-4BDC-8881-7D03E410469B}">
            <xm:f>LEFT(H193,LEN("Fail"))="Fail"</xm:f>
            <xm:f>"Fail"</xm:f>
            <x14:dxf>
              <font>
                <b/>
                <i val="0"/>
                <strike val="0"/>
                <color rgb="FFAA322F"/>
              </font>
              <fill>
                <patternFill patternType="solid">
                  <bgColor theme="0"/>
                </patternFill>
              </fill>
            </x14:dxf>
          </x14:cfRule>
          <xm:sqref>H193</xm:sqref>
        </x14:conditionalFormatting>
        <x14:conditionalFormatting xmlns:xm="http://schemas.microsoft.com/office/excel/2006/main">
          <x14:cfRule type="beginsWith" priority="110" stopIfTrue="1" operator="beginsWith" id="{F675E4A1-6A98-4F58-9E19-B487B2C909D0}">
            <xm:f>LEFT(H194,LEN("Fail"))="Fail"</xm:f>
            <xm:f>"Fail"</xm:f>
            <x14:dxf>
              <font>
                <b/>
                <i val="0"/>
                <strike val="0"/>
                <color rgb="FFAA322F"/>
              </font>
              <fill>
                <patternFill patternType="solid">
                  <bgColor theme="0"/>
                </patternFill>
              </fill>
            </x14:dxf>
          </x14:cfRule>
          <xm:sqref>H194</xm:sqref>
        </x14:conditionalFormatting>
        <x14:conditionalFormatting xmlns:xm="http://schemas.microsoft.com/office/excel/2006/main">
          <x14:cfRule type="beginsWith" priority="106" stopIfTrue="1" operator="beginsWith" id="{5C04FCD1-2240-4BC5-8F6D-9D52C9E480D5}">
            <xm:f>LEFT(H195,LEN("Fail"))="Fail"</xm:f>
            <xm:f>"Fail"</xm:f>
            <x14:dxf>
              <font>
                <b/>
                <i val="0"/>
                <strike val="0"/>
                <color rgb="FFAA322F"/>
              </font>
              <fill>
                <patternFill patternType="solid">
                  <bgColor theme="0"/>
                </patternFill>
              </fill>
            </x14:dxf>
          </x14:cfRule>
          <xm:sqref>H195</xm:sqref>
        </x14:conditionalFormatting>
        <x14:conditionalFormatting xmlns:xm="http://schemas.microsoft.com/office/excel/2006/main">
          <x14:cfRule type="beginsWith" priority="102" stopIfTrue="1" operator="beginsWith" id="{65E06037-15D2-411B-B38F-BB5CABA2141D}">
            <xm:f>LEFT(H196,LEN("Fail"))="Fail"</xm:f>
            <xm:f>"Fail"</xm:f>
            <x14:dxf>
              <font>
                <b/>
                <i val="0"/>
                <strike val="0"/>
                <color rgb="FFAA322F"/>
              </font>
              <fill>
                <patternFill patternType="solid">
                  <bgColor theme="0"/>
                </patternFill>
              </fill>
            </x14:dxf>
          </x14:cfRule>
          <xm:sqref>H196</xm:sqref>
        </x14:conditionalFormatting>
        <x14:conditionalFormatting xmlns:xm="http://schemas.microsoft.com/office/excel/2006/main">
          <x14:cfRule type="beginsWith" priority="98" stopIfTrue="1" operator="beginsWith" id="{45763918-02BC-4CE8-8EC3-634F5C3E213C}">
            <xm:f>LEFT(I193,LEN("Fail"))="Fail"</xm:f>
            <xm:f>"Fail"</xm:f>
            <x14:dxf>
              <font>
                <b/>
                <i val="0"/>
                <strike val="0"/>
                <color rgb="FFAA322F"/>
              </font>
              <fill>
                <patternFill patternType="solid">
                  <bgColor theme="0"/>
                </patternFill>
              </fill>
            </x14:dxf>
          </x14:cfRule>
          <xm:sqref>I193</xm:sqref>
        </x14:conditionalFormatting>
        <x14:conditionalFormatting xmlns:xm="http://schemas.microsoft.com/office/excel/2006/main">
          <x14:cfRule type="beginsWith" priority="94" stopIfTrue="1" operator="beginsWith" id="{E3E5122D-3E2A-4FCA-A034-E87B6BAA9EAE}">
            <xm:f>LEFT(I194,LEN("Fail"))="Fail"</xm:f>
            <xm:f>"Fail"</xm:f>
            <x14:dxf>
              <font>
                <b/>
                <i val="0"/>
                <strike val="0"/>
                <color rgb="FFAA322F"/>
              </font>
              <fill>
                <patternFill patternType="solid">
                  <bgColor theme="0"/>
                </patternFill>
              </fill>
            </x14:dxf>
          </x14:cfRule>
          <xm:sqref>I194</xm:sqref>
        </x14:conditionalFormatting>
        <x14:conditionalFormatting xmlns:xm="http://schemas.microsoft.com/office/excel/2006/main">
          <x14:cfRule type="beginsWith" priority="90" stopIfTrue="1" operator="beginsWith" id="{D3148CB7-CCA3-455B-BC05-F197C4EB75BA}">
            <xm:f>LEFT(I195,LEN("Fail"))="Fail"</xm:f>
            <xm:f>"Fail"</xm:f>
            <x14:dxf>
              <font>
                <b/>
                <i val="0"/>
                <strike val="0"/>
                <color rgb="FFAA322F"/>
              </font>
              <fill>
                <patternFill patternType="solid">
                  <bgColor theme="0"/>
                </patternFill>
              </fill>
            </x14:dxf>
          </x14:cfRule>
          <xm:sqref>I195</xm:sqref>
        </x14:conditionalFormatting>
        <x14:conditionalFormatting xmlns:xm="http://schemas.microsoft.com/office/excel/2006/main">
          <x14:cfRule type="beginsWith" priority="86" stopIfTrue="1" operator="beginsWith" id="{38CA8525-18F6-4094-B898-D34B2CF842A3}">
            <xm:f>LEFT(I196,LEN("Fail"))="Fail"</xm:f>
            <xm:f>"Fail"</xm:f>
            <x14:dxf>
              <font>
                <b/>
                <i val="0"/>
                <strike val="0"/>
                <color rgb="FFAA322F"/>
              </font>
              <fill>
                <patternFill patternType="solid">
                  <bgColor theme="0"/>
                </patternFill>
              </fill>
            </x14:dxf>
          </x14:cfRule>
          <xm:sqref>I196</xm:sqref>
        </x14:conditionalFormatting>
        <x14:conditionalFormatting xmlns:xm="http://schemas.microsoft.com/office/excel/2006/main">
          <x14:cfRule type="beginsWith" priority="82" stopIfTrue="1" operator="beginsWith" id="{6067AF5E-88BD-47BA-A4F5-3304EDFDAA8F}">
            <xm:f>LEFT(J193,LEN("Fail"))="Fail"</xm:f>
            <xm:f>"Fail"</xm:f>
            <x14:dxf>
              <font>
                <b/>
                <i val="0"/>
                <strike val="0"/>
                <color rgb="FFAA322F"/>
              </font>
              <fill>
                <patternFill patternType="solid">
                  <bgColor theme="0"/>
                </patternFill>
              </fill>
            </x14:dxf>
          </x14:cfRule>
          <xm:sqref>J193</xm:sqref>
        </x14:conditionalFormatting>
        <x14:conditionalFormatting xmlns:xm="http://schemas.microsoft.com/office/excel/2006/main">
          <x14:cfRule type="beginsWith" priority="78" stopIfTrue="1" operator="beginsWith" id="{22B93B64-6BBA-45B9-B0E2-579E7B46E09A}">
            <xm:f>LEFT(J194,LEN("Fail"))="Fail"</xm:f>
            <xm:f>"Fail"</xm:f>
            <x14:dxf>
              <font>
                <b/>
                <i val="0"/>
                <strike val="0"/>
                <color rgb="FFAA322F"/>
              </font>
              <fill>
                <patternFill patternType="solid">
                  <bgColor theme="0"/>
                </patternFill>
              </fill>
            </x14:dxf>
          </x14:cfRule>
          <xm:sqref>J194</xm:sqref>
        </x14:conditionalFormatting>
        <x14:conditionalFormatting xmlns:xm="http://schemas.microsoft.com/office/excel/2006/main">
          <x14:cfRule type="beginsWith" priority="74" stopIfTrue="1" operator="beginsWith" id="{8C3BFE8F-BF2F-45C0-ADBF-57A4887473CE}">
            <xm:f>LEFT(J195,LEN("Fail"))="Fail"</xm:f>
            <xm:f>"Fail"</xm:f>
            <x14:dxf>
              <font>
                <b/>
                <i val="0"/>
                <strike val="0"/>
                <color rgb="FFAA322F"/>
              </font>
              <fill>
                <patternFill patternType="solid">
                  <bgColor theme="0"/>
                </patternFill>
              </fill>
            </x14:dxf>
          </x14:cfRule>
          <xm:sqref>J195</xm:sqref>
        </x14:conditionalFormatting>
        <x14:conditionalFormatting xmlns:xm="http://schemas.microsoft.com/office/excel/2006/main">
          <x14:cfRule type="beginsWith" priority="70" stopIfTrue="1" operator="beginsWith" id="{BDE06D54-DE1A-4500-BF54-9F170D1A61DE}">
            <xm:f>LEFT(J196,LEN("Fail"))="Fail"</xm:f>
            <xm:f>"Fail"</xm:f>
            <x14:dxf>
              <font>
                <b/>
                <i val="0"/>
                <strike val="0"/>
                <color rgb="FFAA322F"/>
              </font>
              <fill>
                <patternFill patternType="solid">
                  <bgColor theme="0"/>
                </patternFill>
              </fill>
            </x14:dxf>
          </x14:cfRule>
          <xm:sqref>J196</xm:sqref>
        </x14:conditionalFormatting>
        <x14:conditionalFormatting xmlns:xm="http://schemas.microsoft.com/office/excel/2006/main">
          <x14:cfRule type="beginsWith" priority="66" stopIfTrue="1" operator="beginsWith" id="{55308132-64FB-416E-921C-F2BDC1364B7C}">
            <xm:f>LEFT(L193,LEN("Fail"))="Fail"</xm:f>
            <xm:f>"Fail"</xm:f>
            <x14:dxf>
              <font>
                <b/>
                <i val="0"/>
                <strike val="0"/>
                <color rgb="FFAA322F"/>
              </font>
              <fill>
                <patternFill patternType="solid">
                  <bgColor theme="0"/>
                </patternFill>
              </fill>
            </x14:dxf>
          </x14:cfRule>
          <xm:sqref>L193</xm:sqref>
        </x14:conditionalFormatting>
        <x14:conditionalFormatting xmlns:xm="http://schemas.microsoft.com/office/excel/2006/main">
          <x14:cfRule type="beginsWith" priority="62" stopIfTrue="1" operator="beginsWith" id="{8AC080D0-AAAF-4D5D-9E91-5FD013918B92}">
            <xm:f>LEFT(L194,LEN("Fail"))="Fail"</xm:f>
            <xm:f>"Fail"</xm:f>
            <x14:dxf>
              <font>
                <b/>
                <i val="0"/>
                <strike val="0"/>
                <color rgb="FFAA322F"/>
              </font>
              <fill>
                <patternFill patternType="solid">
                  <bgColor theme="0"/>
                </patternFill>
              </fill>
            </x14:dxf>
          </x14:cfRule>
          <xm:sqref>L194</xm:sqref>
        </x14:conditionalFormatting>
        <x14:conditionalFormatting xmlns:xm="http://schemas.microsoft.com/office/excel/2006/main">
          <x14:cfRule type="beginsWith" priority="58" stopIfTrue="1" operator="beginsWith" id="{64C077ED-F78F-45D0-AD70-D3FDF846F0BE}">
            <xm:f>LEFT(L195,LEN("Fail"))="Fail"</xm:f>
            <xm:f>"Fail"</xm:f>
            <x14:dxf>
              <font>
                <b/>
                <i val="0"/>
                <strike val="0"/>
                <color rgb="FFAA322F"/>
              </font>
              <fill>
                <patternFill patternType="solid">
                  <bgColor theme="0"/>
                </patternFill>
              </fill>
            </x14:dxf>
          </x14:cfRule>
          <xm:sqref>L195</xm:sqref>
        </x14:conditionalFormatting>
        <x14:conditionalFormatting xmlns:xm="http://schemas.microsoft.com/office/excel/2006/main">
          <x14:cfRule type="beginsWith" priority="54" stopIfTrue="1" operator="beginsWith" id="{4A5A65BC-DD0B-47A6-A9C1-1671E9B31BE8}">
            <xm:f>LEFT(L196,LEN("Fail"))="Fail"</xm:f>
            <xm:f>"Fail"</xm:f>
            <x14:dxf>
              <font>
                <b/>
                <i val="0"/>
                <strike val="0"/>
                <color rgb="FFAA322F"/>
              </font>
              <fill>
                <patternFill patternType="solid">
                  <bgColor theme="0"/>
                </patternFill>
              </fill>
            </x14:dxf>
          </x14:cfRule>
          <xm:sqref>L196</xm:sqref>
        </x14:conditionalFormatting>
        <x14:conditionalFormatting xmlns:xm="http://schemas.microsoft.com/office/excel/2006/main">
          <x14:cfRule type="beginsWith" priority="50" stopIfTrue="1" operator="beginsWith" id="{5841613E-48E2-416C-B2EA-6B611275B6EB}">
            <xm:f>LEFT(M193,LEN("Fail"))="Fail"</xm:f>
            <xm:f>"Fail"</xm:f>
            <x14:dxf>
              <font>
                <b/>
                <i val="0"/>
                <strike val="0"/>
                <color rgb="FFAA322F"/>
              </font>
              <fill>
                <patternFill patternType="solid">
                  <bgColor theme="0"/>
                </patternFill>
              </fill>
            </x14:dxf>
          </x14:cfRule>
          <xm:sqref>M193</xm:sqref>
        </x14:conditionalFormatting>
        <x14:conditionalFormatting xmlns:xm="http://schemas.microsoft.com/office/excel/2006/main">
          <x14:cfRule type="beginsWith" priority="46" stopIfTrue="1" operator="beginsWith" id="{3F018375-4FE3-4EB0-9F15-4D54F5EB9187}">
            <xm:f>LEFT(M194,LEN("Fail"))="Fail"</xm:f>
            <xm:f>"Fail"</xm:f>
            <x14:dxf>
              <font>
                <b/>
                <i val="0"/>
                <strike val="0"/>
                <color rgb="FFAA322F"/>
              </font>
              <fill>
                <patternFill patternType="solid">
                  <bgColor theme="0"/>
                </patternFill>
              </fill>
            </x14:dxf>
          </x14:cfRule>
          <xm:sqref>M194</xm:sqref>
        </x14:conditionalFormatting>
        <x14:conditionalFormatting xmlns:xm="http://schemas.microsoft.com/office/excel/2006/main">
          <x14:cfRule type="beginsWith" priority="42" stopIfTrue="1" operator="beginsWith" id="{F54A87A8-FE69-4673-BD71-9D777A518285}">
            <xm:f>LEFT(M195,LEN("Fail"))="Fail"</xm:f>
            <xm:f>"Fail"</xm:f>
            <x14:dxf>
              <font>
                <b/>
                <i val="0"/>
                <strike val="0"/>
                <color rgb="FFAA322F"/>
              </font>
              <fill>
                <patternFill patternType="solid">
                  <bgColor theme="0"/>
                </patternFill>
              </fill>
            </x14:dxf>
          </x14:cfRule>
          <xm:sqref>M195</xm:sqref>
        </x14:conditionalFormatting>
        <x14:conditionalFormatting xmlns:xm="http://schemas.microsoft.com/office/excel/2006/main">
          <x14:cfRule type="beginsWith" priority="38" stopIfTrue="1" operator="beginsWith" id="{CABB53EF-1813-4EFB-AD6F-3133FBA8C992}">
            <xm:f>LEFT(M196,LEN("Fail"))="Fail"</xm:f>
            <xm:f>"Fail"</xm:f>
            <x14:dxf>
              <font>
                <b/>
                <i val="0"/>
                <strike val="0"/>
                <color rgb="FFAA322F"/>
              </font>
              <fill>
                <patternFill patternType="solid">
                  <bgColor theme="0"/>
                </patternFill>
              </fill>
            </x14:dxf>
          </x14:cfRule>
          <xm:sqref>M196</xm:sqref>
        </x14:conditionalFormatting>
        <x14:conditionalFormatting xmlns:xm="http://schemas.microsoft.com/office/excel/2006/main">
          <x14:cfRule type="beginsWith" priority="19" stopIfTrue="1" operator="beginsWith" id="{29D04350-4431-43FA-A133-66E3222C7E46}">
            <xm:f>LEFT(E199,LEN("Fail"))="Fail"</xm:f>
            <xm:f>"Fail"</xm:f>
            <x14:dxf>
              <font>
                <b/>
                <i val="0"/>
                <strike val="0"/>
                <color rgb="FFAA322F"/>
              </font>
              <fill>
                <patternFill patternType="solid">
                  <bgColor theme="0"/>
                </patternFill>
              </fill>
            </x14:dxf>
          </x14:cfRule>
          <xm:sqref>E199</xm:sqref>
        </x14:conditionalFormatting>
        <x14:conditionalFormatting xmlns:xm="http://schemas.microsoft.com/office/excel/2006/main">
          <x14:cfRule type="beginsWith" priority="15" stopIfTrue="1" operator="beginsWith" id="{3777B94F-D6FE-455C-B3F1-EFF347FAFEBD}">
            <xm:f>LEFT(H199,LEN("Fail"))="Fail"</xm:f>
            <xm:f>"Fail"</xm:f>
            <x14:dxf>
              <font>
                <b/>
                <i val="0"/>
                <strike val="0"/>
                <color rgb="FFAA322F"/>
              </font>
              <fill>
                <patternFill patternType="solid">
                  <bgColor theme="0"/>
                </patternFill>
              </fill>
            </x14:dxf>
          </x14:cfRule>
          <xm:sqref>H199</xm:sqref>
        </x14:conditionalFormatting>
        <x14:conditionalFormatting xmlns:xm="http://schemas.microsoft.com/office/excel/2006/main">
          <x14:cfRule type="beginsWith" priority="11" stopIfTrue="1" operator="beginsWith" id="{DE955AD8-C8AF-42A3-8352-E3EAA74C3D5C}">
            <xm:f>LEFT(G199,LEN("Fail"))="Fail"</xm:f>
            <xm:f>"Fail"</xm:f>
            <x14:dxf>
              <font>
                <b/>
                <i val="0"/>
                <strike val="0"/>
                <color rgb="FFAA322F"/>
              </font>
              <fill>
                <patternFill patternType="solid">
                  <bgColor theme="0"/>
                </patternFill>
              </fill>
            </x14:dxf>
          </x14:cfRule>
          <xm:sqref>G199</xm:sqref>
        </x14:conditionalFormatting>
        <x14:conditionalFormatting xmlns:xm="http://schemas.microsoft.com/office/excel/2006/main">
          <x14:cfRule type="beginsWith" priority="7" stopIfTrue="1" operator="beginsWith" id="{BB580B68-7144-4C1D-AAF2-E4DA1A8103C3}">
            <xm:f>LEFT(E198,LEN("Fail"))="Fail"</xm:f>
            <xm:f>"Fail"</xm:f>
            <x14:dxf>
              <font>
                <b/>
                <i val="0"/>
                <strike val="0"/>
                <color rgb="FFAA322F"/>
              </font>
              <fill>
                <patternFill patternType="solid">
                  <bgColor theme="0"/>
                </patternFill>
              </fill>
            </x14:dxf>
          </x14:cfRule>
          <xm:sqref>E198</xm:sqref>
        </x14:conditionalFormatting>
        <x14:conditionalFormatting xmlns:xm="http://schemas.microsoft.com/office/excel/2006/main">
          <x14:cfRule type="beginsWith" priority="3" stopIfTrue="1" operator="beginsWith" id="{4E899844-D157-4C97-928E-E30EE4AEAD17}">
            <xm:f>LEFT(H198,LEN("Fail"))="Fail"</xm:f>
            <xm:f>"Fail"</xm:f>
            <x14:dxf>
              <font>
                <b/>
                <i val="0"/>
                <strike val="0"/>
                <color rgb="FFAA322F"/>
              </font>
              <fill>
                <patternFill patternType="solid">
                  <bgColor theme="0"/>
                </patternFill>
              </fill>
            </x14:dxf>
          </x14:cfRule>
          <xm:sqref>H198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179"/>
  <sheetViews>
    <sheetView topLeftCell="F1" zoomScaleNormal="100" workbookViewId="0">
      <selection activeCell="E22" sqref="E22"/>
    </sheetView>
  </sheetViews>
  <sheetFormatPr defaultColWidth="0" defaultRowHeight="15" zeroHeight="1" x14ac:dyDescent="0.35"/>
  <cols>
    <col min="1" max="1" width="3.44140625" style="1971" customWidth="1"/>
    <col min="2" max="2" width="95.88671875" style="1971" customWidth="1"/>
    <col min="3" max="8" width="28.5546875" style="1971" customWidth="1"/>
    <col min="9" max="9" width="40.88671875" style="1971" customWidth="1"/>
    <col min="10" max="10" width="9.109375" style="1971" hidden="1" customWidth="1"/>
    <col min="11" max="11" width="3.88671875" style="1971" hidden="1" customWidth="1"/>
    <col min="12" max="16384" width="9.109375" style="1971" hidden="1"/>
  </cols>
  <sheetData>
    <row r="1" spans="1:11" ht="29.4" x14ac:dyDescent="0.65">
      <c r="A1" s="328" t="s">
        <v>2478</v>
      </c>
      <c r="B1" s="2014"/>
      <c r="C1" s="137"/>
      <c r="D1" s="137"/>
      <c r="E1" s="71" t="str">
        <f>CONCATENATE("Reporting unit: ", 'General Info'!$C$7, " ", 'General Info'!$C$5)</f>
        <v>Reporting unit: 1000 eur</v>
      </c>
      <c r="F1" s="137"/>
      <c r="G1" s="137"/>
      <c r="H1" s="137"/>
      <c r="I1" s="137"/>
      <c r="J1" s="137"/>
      <c r="K1" s="137"/>
    </row>
    <row r="2" spans="1:11" x14ac:dyDescent="0.35">
      <c r="B2" s="137"/>
      <c r="C2" s="137"/>
      <c r="D2" s="137"/>
      <c r="E2" s="137"/>
      <c r="F2" s="137"/>
      <c r="G2" s="137"/>
      <c r="H2" s="137"/>
      <c r="I2" s="137"/>
      <c r="J2" s="137"/>
      <c r="K2" s="137"/>
    </row>
    <row r="3" spans="1:11" ht="30.75" customHeight="1" x14ac:dyDescent="0.35">
      <c r="A3" s="207" t="str">
        <f>"A) Loss Rate (Mandatory)"</f>
        <v>A) Loss Rate (Mandatory)</v>
      </c>
      <c r="C3" s="137"/>
      <c r="D3" s="137"/>
      <c r="E3" s="137"/>
      <c r="F3" s="137"/>
      <c r="G3" s="137"/>
      <c r="H3" s="137"/>
      <c r="I3" s="137"/>
      <c r="J3" s="137"/>
      <c r="K3" s="137"/>
    </row>
    <row r="4" spans="1:11" x14ac:dyDescent="0.35">
      <c r="B4" s="2819" t="s">
        <v>169</v>
      </c>
      <c r="C4" s="2821" t="s">
        <v>858</v>
      </c>
      <c r="D4" s="2821"/>
      <c r="E4" s="2821"/>
      <c r="F4" s="2821"/>
      <c r="G4" s="2821"/>
      <c r="H4" s="2822"/>
      <c r="I4" s="2806" t="s">
        <v>2470</v>
      </c>
      <c r="J4" s="137"/>
      <c r="K4" s="137"/>
    </row>
    <row r="5" spans="1:11" x14ac:dyDescent="0.35">
      <c r="B5" s="2820"/>
      <c r="C5" s="2809" t="s">
        <v>2469</v>
      </c>
      <c r="D5" s="2809"/>
      <c r="E5" s="2809"/>
      <c r="F5" s="2809"/>
      <c r="G5" s="2809"/>
      <c r="H5" s="2810"/>
      <c r="I5" s="2807"/>
      <c r="J5" s="137"/>
      <c r="K5" s="137"/>
    </row>
    <row r="6" spans="1:11" x14ac:dyDescent="0.35">
      <c r="B6" s="2820"/>
      <c r="C6" s="2019">
        <v>2017</v>
      </c>
      <c r="D6" s="2019">
        <v>2018</v>
      </c>
      <c r="E6" s="2019">
        <v>2019</v>
      </c>
      <c r="F6" s="2019">
        <v>2020</v>
      </c>
      <c r="G6" s="2019">
        <v>2021</v>
      </c>
      <c r="H6" s="2018">
        <v>2022</v>
      </c>
      <c r="I6" s="2808"/>
      <c r="J6" s="137"/>
      <c r="K6" s="137"/>
    </row>
    <row r="7" spans="1:11" x14ac:dyDescent="0.35">
      <c r="B7" s="2033" t="s">
        <v>2468</v>
      </c>
      <c r="C7" s="2533">
        <v>6069740.1868691416</v>
      </c>
      <c r="D7" s="2533">
        <v>6147136.0193688916</v>
      </c>
      <c r="E7" s="2533">
        <v>6128732.0399289122</v>
      </c>
      <c r="F7" s="2533">
        <v>6273935.9643850178</v>
      </c>
      <c r="G7" s="2533">
        <v>6980057.8562131384</v>
      </c>
      <c r="H7" s="2533">
        <v>8196889.3130892348</v>
      </c>
      <c r="I7" s="2032" t="str">
        <f>+IF(OR(C7="",D7="",E7="",F7="",G7="",H7=""), "Missing input", IF(OR(_xlfn.NUMBERVALUE(C7)&lt;_xlfn.NUMBERVALUE(C8),_xlfn.NUMBERVALUE(D7)&lt;_xlfn.NUMBERVALUE(D8),_xlfn.NUMBERVALUE(E7)&lt;_xlfn.NUMBERVALUE(E8),_xlfn.NUMBERVALUE(F7)&lt;_xlfn.NUMBERVALUE(F8),_xlfn.NUMBERVALUE(G7)&lt;_xlfn.NUMBERVALUE(G8),_xlfn.NUMBERVALUE(H7)&lt;_xlfn.NUMBERVALUE(H8)),"Please check","OK"))</f>
        <v>OK</v>
      </c>
      <c r="J7" s="2025"/>
      <c r="K7" s="137"/>
    </row>
    <row r="8" spans="1:11" x14ac:dyDescent="0.35">
      <c r="B8" s="2031" t="s">
        <v>2467</v>
      </c>
      <c r="C8" s="2533">
        <v>2686.1851600000005</v>
      </c>
      <c r="D8" s="2533">
        <v>2968.333450000001</v>
      </c>
      <c r="E8" s="2533">
        <v>2994.0860799999964</v>
      </c>
      <c r="F8" s="2533">
        <v>2387.2455800000002</v>
      </c>
      <c r="G8" s="2533">
        <v>1673.1032600000017</v>
      </c>
      <c r="H8" s="2533">
        <v>3609.1504300000001</v>
      </c>
      <c r="I8" s="2030" t="str">
        <f>+IF(OR(C8="",D8="",E8="",F8="",G8="",H8=""), "Missing input", IF(OR(_xlfn.NUMBERVALUE(C7)&lt;_xlfn.NUMBERVALUE(C8),_xlfn.NUMBERVALUE(D7)&lt;_xlfn.NUMBERVALUE(D8),_xlfn.NUMBERVALUE(E7)&lt;_xlfn.NUMBERVALUE(E8),_xlfn.NUMBERVALUE(F7)&lt;_xlfn.NUMBERVALUE(F8),_xlfn.NUMBERVALUE(G7)&lt;_xlfn.NUMBERVALUE(G8),_xlfn.NUMBERVALUE(H7)&lt;_xlfn.NUMBERVALUE(H8)),"Please check","OK"))</f>
        <v>OK</v>
      </c>
      <c r="J8" s="2025"/>
      <c r="K8" s="137"/>
    </row>
    <row r="9" spans="1:11" x14ac:dyDescent="0.35">
      <c r="B9" s="2017" t="s">
        <v>2466</v>
      </c>
      <c r="C9" s="2010">
        <f>SUM(C8:H8)/SUM(C7:H7)</f>
        <v>4.1003875955407723E-4</v>
      </c>
      <c r="D9" s="98"/>
      <c r="E9" s="98"/>
      <c r="F9" s="98"/>
      <c r="G9" s="137"/>
      <c r="H9" s="137"/>
      <c r="I9" s="137"/>
      <c r="J9" s="137"/>
      <c r="K9" s="137"/>
    </row>
    <row r="10" spans="1:11" x14ac:dyDescent="0.35">
      <c r="B10" s="2016" t="s">
        <v>2465</v>
      </c>
      <c r="C10" s="2015" t="str">
        <f>IF(C9&lt;=0.0025,"passed","failed")</f>
        <v>passed</v>
      </c>
      <c r="E10" s="98"/>
      <c r="F10" s="98"/>
      <c r="G10" s="137"/>
      <c r="H10" s="137"/>
      <c r="I10" s="137"/>
      <c r="J10" s="137"/>
      <c r="K10" s="137"/>
    </row>
    <row r="11" spans="1:11" ht="16.5" customHeight="1" x14ac:dyDescent="0.45">
      <c r="B11" s="2014"/>
      <c r="C11" s="98"/>
      <c r="D11" s="98"/>
      <c r="E11" s="98"/>
      <c r="F11" s="98"/>
      <c r="G11" s="137"/>
      <c r="H11" s="137"/>
      <c r="I11" s="137"/>
      <c r="J11" s="137"/>
      <c r="K11" s="137"/>
    </row>
    <row r="12" spans="1:11" ht="19.8" x14ac:dyDescent="0.45">
      <c r="A12" s="207" t="str">
        <f>"B) IRBA Exposure secured by real estate (Mandatory)"</f>
        <v>B) IRBA Exposure secured by real estate (Mandatory)</v>
      </c>
      <c r="B12" s="2029"/>
      <c r="C12" s="275"/>
      <c r="D12" s="275"/>
      <c r="E12" s="275"/>
      <c r="F12" s="275"/>
      <c r="G12" s="137"/>
      <c r="H12" s="137"/>
      <c r="I12" s="137"/>
      <c r="J12" s="137"/>
      <c r="K12" s="137"/>
    </row>
    <row r="13" spans="1:11" ht="19.2" x14ac:dyDescent="0.35">
      <c r="C13" s="2811" t="s">
        <v>2464</v>
      </c>
      <c r="D13" s="2811"/>
      <c r="E13" s="2811"/>
      <c r="F13" s="2811"/>
      <c r="G13" s="137"/>
      <c r="H13" s="137"/>
      <c r="I13" s="137"/>
      <c r="J13" s="137"/>
      <c r="K13" s="137"/>
    </row>
    <row r="14" spans="1:11" x14ac:dyDescent="0.35">
      <c r="B14" s="2771" t="s">
        <v>169</v>
      </c>
      <c r="C14" s="2815" t="s">
        <v>865</v>
      </c>
      <c r="D14" s="2638"/>
      <c r="E14" s="2638"/>
      <c r="F14" s="2816"/>
      <c r="G14" s="137"/>
      <c r="H14" s="137"/>
      <c r="I14" s="137"/>
      <c r="J14" s="137"/>
      <c r="K14" s="137"/>
    </row>
    <row r="15" spans="1:11" x14ac:dyDescent="0.35">
      <c r="B15" s="2771"/>
      <c r="C15" s="2817" t="s">
        <v>2463</v>
      </c>
      <c r="D15" s="2817"/>
      <c r="E15" s="2818" t="s">
        <v>2462</v>
      </c>
      <c r="F15" s="2817"/>
      <c r="G15" s="137"/>
      <c r="H15" s="137"/>
      <c r="I15" s="137"/>
      <c r="J15" s="137"/>
      <c r="K15" s="137"/>
    </row>
    <row r="16" spans="1:11" ht="30" x14ac:dyDescent="0.35">
      <c r="B16" s="2772"/>
      <c r="C16" s="2028" t="s">
        <v>428</v>
      </c>
      <c r="D16" s="1973" t="s">
        <v>177</v>
      </c>
      <c r="E16" s="1972" t="s">
        <v>428</v>
      </c>
      <c r="F16" s="2027" t="s">
        <v>177</v>
      </c>
      <c r="G16" s="2012" t="s">
        <v>2461</v>
      </c>
      <c r="H16" s="2012" t="s">
        <v>2477</v>
      </c>
      <c r="I16" s="137"/>
      <c r="J16" s="137"/>
      <c r="K16" s="137"/>
    </row>
    <row r="17" spans="1:11" ht="30.75" customHeight="1" x14ac:dyDescent="0.35">
      <c r="B17" s="2026" t="s">
        <v>2476</v>
      </c>
      <c r="C17" s="2010">
        <f>IF(AND(ISNUMBER(C18),ISNUMBER(C23),ISNUMBER(C28)),C18+C23+C28,"")</f>
        <v>9122311.7954256888</v>
      </c>
      <c r="D17" s="2010">
        <f>IF(AND(ISNUMBER(D18),ISNUMBER(D23),ISNUMBER(D28)),D18+D23+D28,"")</f>
        <v>1433424.6989576432</v>
      </c>
      <c r="E17" s="2010">
        <f t="shared" ref="E17:E30" si="0">IF(ISNUMBER(C17),C17,"")</f>
        <v>9122311.7954256888</v>
      </c>
      <c r="F17" s="2010">
        <f>IF(AND(ISNUMBER(F18),ISNUMBER(F23),ISNUMBER(F28)),F18+F23+F28,"")</f>
        <v>2448946.9934588019</v>
      </c>
      <c r="G17" s="1893" t="str">
        <f t="shared" ref="G17:G30" si="1">+IF(OR(D17="",F17=""), "Missing input", "OK")</f>
        <v>OK</v>
      </c>
      <c r="H17" s="1893" t="str">
        <f>IFERROR(IF(AND(C9&gt;0,C9&lt;&gt;"",D17&lt;&gt;"",D17&gt;0,F17&gt;0,F17&lt;&gt;"",OR(D17&lt;F17,D17=F17)),"Ok", "Please check"),"Please check")</f>
        <v>Ok</v>
      </c>
      <c r="I17" s="137"/>
      <c r="J17" s="137"/>
      <c r="K17" s="137"/>
    </row>
    <row r="18" spans="1:11" x14ac:dyDescent="0.35">
      <c r="B18" s="2024" t="s">
        <v>820</v>
      </c>
      <c r="C18" s="2006">
        <f>IF(AND(ISNUMBER(C19),ISNUMBER(C20),ISNUMBER(C21),ISNUMBER(C22)),C19+C20+C21+C22,"")</f>
        <v>9122311.7954256888</v>
      </c>
      <c r="D18" s="2006">
        <f>IF(AND(ISNUMBER(D19),ISNUMBER(D20),ISNUMBER(D21),ISNUMBER(D22)),D19+D20+D21+D22,"")</f>
        <v>1433424.6989576432</v>
      </c>
      <c r="E18" s="2006">
        <f t="shared" si="0"/>
        <v>9122311.7954256888</v>
      </c>
      <c r="F18" s="2006">
        <f>IF(AND(ISNUMBER(F19),ISNUMBER(F20),ISNUMBER(F21),ISNUMBER(F22)),F19+F20+F21+F22,"")</f>
        <v>2448946.9934588019</v>
      </c>
      <c r="G18" s="1856" t="str">
        <f t="shared" si="1"/>
        <v>OK</v>
      </c>
      <c r="H18" s="1857"/>
      <c r="I18" s="137"/>
      <c r="J18" s="137"/>
      <c r="K18" s="137"/>
    </row>
    <row r="19" spans="1:11" x14ac:dyDescent="0.35">
      <c r="B19" s="2009" t="s">
        <v>830</v>
      </c>
      <c r="C19" s="2533">
        <v>7946196.6030553896</v>
      </c>
      <c r="D19" s="2533">
        <v>786146.64326803887</v>
      </c>
      <c r="E19" s="2006">
        <f t="shared" si="0"/>
        <v>7946196.6030553896</v>
      </c>
      <c r="F19" s="2533">
        <v>1580766.3035735779</v>
      </c>
      <c r="G19" s="1856" t="str">
        <f t="shared" si="1"/>
        <v>OK</v>
      </c>
      <c r="H19" s="1856" t="str">
        <f>IFERROR(IF(AND(_xlfn.NUMBERVALUE(D19)/_xlfn.NUMBERVALUE(C19)&gt;0.05,_xlfn.NUMBERVALUE(D19)/_xlfn.NUMBERVALUE(C19)&lt;0.15),"Ok","Please check"),"Please check")</f>
        <v>Ok</v>
      </c>
      <c r="I19" s="137"/>
      <c r="J19" s="137"/>
      <c r="K19" s="137"/>
    </row>
    <row r="20" spans="1:11" x14ac:dyDescent="0.35">
      <c r="B20" s="2009" t="s">
        <v>2458</v>
      </c>
      <c r="C20" s="2533">
        <v>736342.11398539809</v>
      </c>
      <c r="D20" s="2533">
        <v>322869.67402592907</v>
      </c>
      <c r="E20" s="2006">
        <f t="shared" si="0"/>
        <v>736342.11398539809</v>
      </c>
      <c r="F20" s="2533">
        <v>543772.30822154845</v>
      </c>
      <c r="G20" s="1856" t="str">
        <f t="shared" si="1"/>
        <v>OK</v>
      </c>
      <c r="H20" s="1856" t="str">
        <f>IFERROR(IF(AND(_xlfn.NUMBERVALUE(D20)/_xlfn.NUMBERVALUE(C20)&gt;0.4,_xlfn.NUMBERVALUE(D20)/_xlfn.NUMBERVALUE(C20)&lt;0.5),"Ok","Please check"),"Please check")</f>
        <v>Ok</v>
      </c>
      <c r="I20" s="137"/>
      <c r="J20" s="137"/>
      <c r="K20" s="137"/>
    </row>
    <row r="21" spans="1:11" x14ac:dyDescent="0.35">
      <c r="B21" s="2009" t="s">
        <v>2459</v>
      </c>
      <c r="C21" s="2533">
        <v>439773.07838490035</v>
      </c>
      <c r="D21" s="2533">
        <v>324408.38166367525</v>
      </c>
      <c r="E21" s="2006">
        <f t="shared" si="0"/>
        <v>439773.07838490035</v>
      </c>
      <c r="F21" s="2533">
        <v>324408.38166367525</v>
      </c>
      <c r="G21" s="1856" t="str">
        <f t="shared" si="1"/>
        <v>OK</v>
      </c>
      <c r="H21" s="1857"/>
      <c r="I21" s="137"/>
      <c r="J21" s="137"/>
      <c r="K21" s="137"/>
    </row>
    <row r="22" spans="1:11" x14ac:dyDescent="0.35">
      <c r="B22" s="2009" t="s">
        <v>828</v>
      </c>
      <c r="C22" s="1155">
        <v>0</v>
      </c>
      <c r="D22" s="1155">
        <v>0</v>
      </c>
      <c r="E22" s="2006">
        <f t="shared" si="0"/>
        <v>0</v>
      </c>
      <c r="F22" s="1155">
        <v>0</v>
      </c>
      <c r="G22" s="1856" t="str">
        <f t="shared" si="1"/>
        <v>OK</v>
      </c>
      <c r="H22" s="1857"/>
      <c r="I22" s="137"/>
      <c r="J22" s="137"/>
      <c r="K22" s="137"/>
    </row>
    <row r="23" spans="1:11" x14ac:dyDescent="0.35">
      <c r="B23" s="2024" t="s">
        <v>835</v>
      </c>
      <c r="C23" s="2006">
        <f>IF(AND(ISNUMBER(C24),ISNUMBER(C25),ISNUMBER(C26),ISNUMBER(C27)),C24+C25+C26+C27,"")</f>
        <v>0</v>
      </c>
      <c r="D23" s="2006">
        <f>IF(AND(ISNUMBER(D24),ISNUMBER(D25),ISNUMBER(D26),ISNUMBER(D27)),D24+D25+D26+D27,"")</f>
        <v>0</v>
      </c>
      <c r="E23" s="2006">
        <f t="shared" si="0"/>
        <v>0</v>
      </c>
      <c r="F23" s="2006">
        <f>IF(AND(ISNUMBER(F24),ISNUMBER(F25),ISNUMBER(F26),ISNUMBER(F27)),F24+F25+F26+F27,"")</f>
        <v>0</v>
      </c>
      <c r="G23" s="1856" t="str">
        <f t="shared" si="1"/>
        <v>OK</v>
      </c>
      <c r="H23" s="1857"/>
      <c r="I23" s="137"/>
      <c r="J23" s="2025"/>
      <c r="K23" s="137"/>
    </row>
    <row r="24" spans="1:11" x14ac:dyDescent="0.35">
      <c r="B24" s="2009" t="s">
        <v>830</v>
      </c>
      <c r="C24" s="2533">
        <v>0</v>
      </c>
      <c r="D24" s="2533">
        <v>0</v>
      </c>
      <c r="E24" s="2006">
        <f t="shared" si="0"/>
        <v>0</v>
      </c>
      <c r="F24" s="2533">
        <v>0</v>
      </c>
      <c r="G24" s="1856" t="str">
        <f t="shared" si="1"/>
        <v>OK</v>
      </c>
      <c r="H24" s="1856" t="str">
        <f>IFERROR(IF(AND(_xlfn.NUMBERVALUE(D24)/_xlfn.NUMBERVALUE(C24)&gt;0.05,_xlfn.NUMBERVALUE(D24)/_xlfn.NUMBERVALUE(C24)&lt;0.15),"Ok","Please check"),"Please check")</f>
        <v>Please check</v>
      </c>
      <c r="I24" s="137"/>
      <c r="J24" s="137"/>
      <c r="K24" s="137"/>
    </row>
    <row r="25" spans="1:11" x14ac:dyDescent="0.35">
      <c r="B25" s="2009" t="s">
        <v>2458</v>
      </c>
      <c r="C25" s="2533">
        <v>0</v>
      </c>
      <c r="D25" s="2533">
        <v>0</v>
      </c>
      <c r="E25" s="2006">
        <f t="shared" si="0"/>
        <v>0</v>
      </c>
      <c r="F25" s="2533">
        <v>0</v>
      </c>
      <c r="G25" s="1856" t="str">
        <f t="shared" si="1"/>
        <v>OK</v>
      </c>
      <c r="H25" s="1856" t="str">
        <f>IFERROR(IF(AND(_xlfn.NUMBERVALUE(D25)/_xlfn.NUMBERVALUE(C25)&gt;0.4,_xlfn.NUMBERVALUE(D25)/_xlfn.NUMBERVALUE(C25)&lt;0.5),"Ok","Please check"),"Please check")</f>
        <v>Please check</v>
      </c>
      <c r="I25" s="137"/>
      <c r="J25" s="137"/>
      <c r="K25" s="137"/>
    </row>
    <row r="26" spans="1:11" x14ac:dyDescent="0.35">
      <c r="B26" s="2009" t="s">
        <v>2457</v>
      </c>
      <c r="C26" s="2533">
        <v>0</v>
      </c>
      <c r="D26" s="2533">
        <v>0</v>
      </c>
      <c r="E26" s="2006">
        <f t="shared" si="0"/>
        <v>0</v>
      </c>
      <c r="F26" s="2533">
        <v>0</v>
      </c>
      <c r="G26" s="1856" t="str">
        <f t="shared" si="1"/>
        <v>OK</v>
      </c>
      <c r="H26" s="1857"/>
      <c r="I26" s="137"/>
      <c r="J26" s="137"/>
      <c r="K26" s="137"/>
    </row>
    <row r="27" spans="1:11" x14ac:dyDescent="0.35">
      <c r="B27" s="2009" t="s">
        <v>828</v>
      </c>
      <c r="C27" s="2533">
        <v>0</v>
      </c>
      <c r="D27" s="2533">
        <v>0</v>
      </c>
      <c r="E27" s="2006">
        <f t="shared" si="0"/>
        <v>0</v>
      </c>
      <c r="F27" s="2533">
        <v>0</v>
      </c>
      <c r="G27" s="1856" t="str">
        <f t="shared" si="1"/>
        <v>OK</v>
      </c>
      <c r="H27" s="1857"/>
      <c r="I27" s="137"/>
      <c r="J27" s="137"/>
      <c r="K27" s="137"/>
    </row>
    <row r="28" spans="1:11" x14ac:dyDescent="0.35">
      <c r="B28" s="2024" t="s">
        <v>840</v>
      </c>
      <c r="C28" s="2006">
        <f>IF(AND(ISNUMBER(C29),ISNUMBER(C30)),C29+C30,"")</f>
        <v>0</v>
      </c>
      <c r="D28" s="2006">
        <f>IF(AND(ISNUMBER(D29),ISNUMBER(D30)),D29+D30,"")</f>
        <v>0</v>
      </c>
      <c r="E28" s="2006">
        <f t="shared" si="0"/>
        <v>0</v>
      </c>
      <c r="F28" s="2006">
        <f>IF(AND(ISNUMBER(F29),ISNUMBER(F30)),F29+F30,"")</f>
        <v>0</v>
      </c>
      <c r="G28" s="1856" t="str">
        <f t="shared" si="1"/>
        <v>OK</v>
      </c>
      <c r="H28" s="1857"/>
      <c r="I28" s="137"/>
      <c r="J28" s="137"/>
      <c r="K28" s="137"/>
    </row>
    <row r="29" spans="1:11" x14ac:dyDescent="0.35">
      <c r="B29" s="2009" t="s">
        <v>841</v>
      </c>
      <c r="C29" s="2533">
        <v>0</v>
      </c>
      <c r="D29" s="2533">
        <v>0</v>
      </c>
      <c r="E29" s="2006">
        <f t="shared" si="0"/>
        <v>0</v>
      </c>
      <c r="F29" s="2533">
        <v>0</v>
      </c>
      <c r="G29" s="1856" t="str">
        <f t="shared" si="1"/>
        <v>OK</v>
      </c>
      <c r="H29" s="1857"/>
      <c r="I29" s="137"/>
      <c r="J29" s="137"/>
      <c r="K29" s="137"/>
    </row>
    <row r="30" spans="1:11" x14ac:dyDescent="0.35">
      <c r="B30" s="2023" t="s">
        <v>842</v>
      </c>
      <c r="C30" s="2533">
        <v>0</v>
      </c>
      <c r="D30" s="2533">
        <v>0</v>
      </c>
      <c r="E30" s="2002">
        <f t="shared" si="0"/>
        <v>0</v>
      </c>
      <c r="F30" s="2533">
        <v>0</v>
      </c>
      <c r="G30" s="1856" t="str">
        <f t="shared" si="1"/>
        <v>OK</v>
      </c>
      <c r="H30" s="1857"/>
      <c r="I30" s="137"/>
      <c r="J30" s="137"/>
      <c r="K30" s="137"/>
    </row>
    <row r="31" spans="1:11" x14ac:dyDescent="0.35">
      <c r="B31" s="137"/>
      <c r="C31" s="137"/>
      <c r="D31" s="137"/>
      <c r="E31" s="137"/>
      <c r="F31" s="137"/>
      <c r="G31" s="137"/>
      <c r="H31" s="137"/>
      <c r="I31" s="137"/>
      <c r="J31" s="137"/>
      <c r="K31" s="137"/>
    </row>
    <row r="32" spans="1:11" ht="29.25" customHeight="1" x14ac:dyDescent="0.35">
      <c r="A32" s="2022" t="s">
        <v>2475</v>
      </c>
      <c r="B32" s="2022"/>
      <c r="C32" s="2022"/>
      <c r="D32" s="1542"/>
      <c r="E32" s="1542"/>
      <c r="F32" s="1542"/>
      <c r="G32" s="1542"/>
      <c r="H32" s="137"/>
      <c r="I32" s="137"/>
      <c r="J32" s="137"/>
      <c r="K32" s="137"/>
    </row>
    <row r="33" spans="1:11" x14ac:dyDescent="0.35">
      <c r="B33" s="1542"/>
      <c r="C33" s="1542"/>
      <c r="D33" s="137"/>
      <c r="E33" s="137"/>
      <c r="F33" s="137"/>
      <c r="G33" s="137"/>
      <c r="H33" s="137"/>
      <c r="I33" s="137"/>
      <c r="J33" s="137"/>
      <c r="K33" s="137"/>
    </row>
    <row r="34" spans="1:11" x14ac:dyDescent="0.35">
      <c r="B34" s="2021" t="s">
        <v>2471</v>
      </c>
      <c r="C34" s="2020"/>
      <c r="D34" s="137"/>
      <c r="E34" s="137"/>
      <c r="F34" s="137"/>
      <c r="G34" s="137"/>
      <c r="H34" s="137"/>
      <c r="I34" s="137"/>
      <c r="J34" s="137"/>
      <c r="K34" s="137"/>
    </row>
    <row r="35" spans="1:11" x14ac:dyDescent="0.35">
      <c r="D35" s="137"/>
      <c r="E35" s="137"/>
      <c r="F35" s="137"/>
      <c r="G35" s="137"/>
      <c r="H35" s="137"/>
      <c r="I35" s="137"/>
      <c r="J35" s="137"/>
      <c r="K35" s="137"/>
    </row>
    <row r="36" spans="1:11" ht="35.25" customHeight="1" x14ac:dyDescent="0.35">
      <c r="A36" s="207" t="str">
        <f>"C) Loss Rate (Voluntary)"</f>
        <v>C) Loss Rate (Voluntary)</v>
      </c>
      <c r="C36" s="137"/>
      <c r="D36" s="137"/>
      <c r="E36" s="137"/>
      <c r="F36" s="137"/>
      <c r="G36" s="137"/>
      <c r="H36" s="137"/>
      <c r="I36" s="137"/>
      <c r="J36" s="137"/>
      <c r="K36" s="137"/>
    </row>
    <row r="37" spans="1:11" x14ac:dyDescent="0.35">
      <c r="B37" s="2770" t="s">
        <v>169</v>
      </c>
      <c r="C37" s="2812" t="s">
        <v>858</v>
      </c>
      <c r="D37" s="2812"/>
      <c r="E37" s="2812"/>
      <c r="F37" s="2812"/>
      <c r="G37" s="2812"/>
      <c r="H37" s="2812"/>
      <c r="I37" s="2806" t="s">
        <v>2470</v>
      </c>
      <c r="J37" s="137"/>
      <c r="K37" s="137"/>
    </row>
    <row r="38" spans="1:11" x14ac:dyDescent="0.35">
      <c r="B38" s="2771"/>
      <c r="C38" s="2813" t="s">
        <v>2469</v>
      </c>
      <c r="D38" s="2813"/>
      <c r="E38" s="2813"/>
      <c r="F38" s="2813"/>
      <c r="G38" s="2813"/>
      <c r="H38" s="2814"/>
      <c r="I38" s="2807"/>
      <c r="J38" s="137"/>
    </row>
    <row r="39" spans="1:11" x14ac:dyDescent="0.35">
      <c r="B39" s="2772"/>
      <c r="C39" s="2019">
        <v>2017</v>
      </c>
      <c r="D39" s="2019">
        <v>2018</v>
      </c>
      <c r="E39" s="2019">
        <v>2019</v>
      </c>
      <c r="F39" s="2019">
        <v>2020</v>
      </c>
      <c r="G39" s="2019">
        <v>2021</v>
      </c>
      <c r="H39" s="2018">
        <v>2022</v>
      </c>
      <c r="I39" s="2808"/>
      <c r="J39" s="137"/>
    </row>
    <row r="40" spans="1:11" x14ac:dyDescent="0.35">
      <c r="B40" s="185" t="s">
        <v>2468</v>
      </c>
      <c r="C40" s="2525"/>
      <c r="D40" s="2525"/>
      <c r="E40" s="2525"/>
      <c r="F40" s="2525"/>
      <c r="G40" s="2525"/>
      <c r="H40" s="2526"/>
      <c r="I40" s="1856" t="str">
        <f>+IF(AND(C40="",D40="",E40="",F40="",G40="",H40=""), "Missing input", IF(OR(_xlfn.NUMBERVALUE(C40)&lt;_xlfn.NUMBERVALUE(C41),_xlfn.NUMBERVALUE(D40)&lt;_xlfn.NUMBERVALUE(D41),_xlfn.NUMBERVALUE(E40)&lt;_xlfn.NUMBERVALUE(E41),_xlfn.NUMBERVALUE(F40)&lt;_xlfn.NUMBERVALUE(F41),_xlfn.NUMBERVALUE(G40)&lt;_xlfn.NUMBERVALUE(G41),_xlfn.NUMBERVALUE(H40)&lt;_xlfn.NUMBERVALUE(H41)),"Please check","OK"))</f>
        <v>Missing input</v>
      </c>
      <c r="J40" s="137"/>
    </row>
    <row r="41" spans="1:11" x14ac:dyDescent="0.35">
      <c r="B41" s="1970" t="s">
        <v>2467</v>
      </c>
      <c r="C41" s="2003"/>
      <c r="D41" s="2003"/>
      <c r="E41" s="2003"/>
      <c r="F41" s="2003"/>
      <c r="G41" s="2003"/>
      <c r="H41" s="2001"/>
      <c r="I41" s="1856" t="str">
        <f>+IF(AND(C41="",D41="",E41="",F41="",G41="",H41=""), "Missing input", IF(OR(_xlfn.NUMBERVALUE(C40)&lt;_xlfn.NUMBERVALUE(C41),_xlfn.NUMBERVALUE(D40)&lt;_xlfn.NUMBERVALUE(D41),_xlfn.NUMBERVALUE(E40)&lt;_xlfn.NUMBERVALUE(E41),_xlfn.NUMBERVALUE(F40)&lt;_xlfn.NUMBERVALUE(F41),_xlfn.NUMBERVALUE(G40)&lt;_xlfn.NUMBERVALUE(G41),_xlfn.NUMBERVALUE(H40)&lt;_xlfn.NUMBERVALUE(H41)),"Please check","OK"))</f>
        <v>Missing input</v>
      </c>
      <c r="J41" s="137"/>
    </row>
    <row r="42" spans="1:11" x14ac:dyDescent="0.35">
      <c r="B42" s="2017" t="s">
        <v>2466</v>
      </c>
      <c r="C42" s="2010" t="e">
        <f>SUM(C41:H41)/SUM(C40:H40)</f>
        <v>#DIV/0!</v>
      </c>
      <c r="D42" s="98"/>
      <c r="E42" s="98"/>
      <c r="F42" s="98"/>
      <c r="G42" s="98"/>
      <c r="H42" s="98"/>
      <c r="I42" s="137"/>
      <c r="J42" s="137"/>
    </row>
    <row r="43" spans="1:11" x14ac:dyDescent="0.35">
      <c r="B43" s="2016" t="s">
        <v>2465</v>
      </c>
      <c r="C43" s="2015" t="e">
        <f>IF(C42&lt;=0.0025,"passed","failed")</f>
        <v>#DIV/0!</v>
      </c>
      <c r="D43" s="98"/>
      <c r="E43" s="98"/>
      <c r="F43" s="98"/>
      <c r="G43" s="98"/>
      <c r="H43" s="98"/>
      <c r="I43" s="137"/>
      <c r="J43" s="137"/>
    </row>
    <row r="44" spans="1:11" x14ac:dyDescent="0.35">
      <c r="B44" s="98"/>
      <c r="C44" s="98"/>
      <c r="D44" s="98"/>
      <c r="E44" s="98"/>
      <c r="F44" s="98"/>
      <c r="G44" s="98"/>
      <c r="H44" s="98"/>
      <c r="I44" s="137"/>
      <c r="J44" s="137"/>
    </row>
    <row r="45" spans="1:11" ht="26.25" customHeight="1" x14ac:dyDescent="0.35">
      <c r="A45" s="207" t="str">
        <f>"D) Mandatory: IRBA Exposure secured by real estate (Voluntary)"</f>
        <v>D) Mandatory: IRBA Exposure secured by real estate (Voluntary)</v>
      </c>
      <c r="C45" s="2013"/>
      <c r="D45" s="2013"/>
      <c r="E45" s="2013"/>
      <c r="F45" s="2013"/>
      <c r="G45" s="137"/>
      <c r="H45" s="137"/>
      <c r="I45" s="137"/>
      <c r="J45" s="137"/>
    </row>
    <row r="46" spans="1:11" ht="19.2" x14ac:dyDescent="0.35">
      <c r="B46" s="2770" t="s">
        <v>169</v>
      </c>
      <c r="C46" s="2823" t="s">
        <v>2464</v>
      </c>
      <c r="D46" s="2823"/>
      <c r="E46" s="2823"/>
      <c r="F46" s="2824"/>
      <c r="G46" s="137"/>
      <c r="H46" s="137"/>
      <c r="I46" s="137"/>
      <c r="J46" s="137"/>
    </row>
    <row r="47" spans="1:11" ht="14.25" customHeight="1" x14ac:dyDescent="0.35">
      <c r="B47" s="2771"/>
      <c r="C47" s="2709" t="s">
        <v>865</v>
      </c>
      <c r="D47" s="2709"/>
      <c r="E47" s="2709"/>
      <c r="F47" s="2709"/>
      <c r="G47" s="137"/>
      <c r="H47" s="137"/>
      <c r="I47" s="137"/>
      <c r="J47" s="137"/>
    </row>
    <row r="48" spans="1:11" ht="14.25" customHeight="1" x14ac:dyDescent="0.35">
      <c r="B48" s="2771"/>
      <c r="C48" s="2825" t="s">
        <v>2463</v>
      </c>
      <c r="D48" s="2825"/>
      <c r="E48" s="2825" t="s">
        <v>2462</v>
      </c>
      <c r="F48" s="2825"/>
      <c r="G48" s="137"/>
      <c r="H48" s="137"/>
      <c r="I48" s="137"/>
      <c r="J48" s="137"/>
    </row>
    <row r="49" spans="2:11" ht="14.25" customHeight="1" x14ac:dyDescent="0.35">
      <c r="B49" s="2772"/>
      <c r="C49" s="1972" t="s">
        <v>428</v>
      </c>
      <c r="D49" s="1972" t="s">
        <v>177</v>
      </c>
      <c r="E49" s="1972" t="s">
        <v>428</v>
      </c>
      <c r="F49" s="1972" t="s">
        <v>177</v>
      </c>
      <c r="G49" s="2012" t="s">
        <v>2461</v>
      </c>
      <c r="H49" s="2012" t="s">
        <v>2460</v>
      </c>
      <c r="I49" s="137"/>
      <c r="J49" s="137"/>
    </row>
    <row r="50" spans="2:11" x14ac:dyDescent="0.35">
      <c r="B50" s="2011" t="str">
        <f>"Exposures secured by residential real estate located in "&amp;C34&amp;" ; of which:"</f>
        <v>Exposures secured by residential real estate located in  ; of which:</v>
      </c>
      <c r="C50" s="2010" t="str">
        <f>IF(AND(ISNUMBER(C51),ISNUMBER(C56),ISNUMBER(C61)),C51+C56+C61,"")</f>
        <v/>
      </c>
      <c r="D50" s="2010" t="str">
        <f>IF(AND(ISNUMBER(D51),ISNUMBER(D56),ISNUMBER(D61)),D51+D56+D61,"")</f>
        <v/>
      </c>
      <c r="E50" s="2010" t="str">
        <f t="shared" ref="E50:E63" si="2">IF(ISNUMBER(C50),C50,"")</f>
        <v/>
      </c>
      <c r="F50" s="2010" t="str">
        <f>IF(AND(ISNUMBER(F51),ISNUMBER(F56),ISNUMBER(F61)),F51+F56+F61,"")</f>
        <v/>
      </c>
      <c r="G50" s="1893" t="str">
        <f t="shared" ref="G50:G63" si="3">+IF(OR(D50="",F50=""), "Missing input", "OK")</f>
        <v>Missing input</v>
      </c>
      <c r="H50" s="1893" t="str">
        <f>IFERROR(IF(AND(C42&gt;0,C42&lt;&gt;"",D50&lt;&gt;"",D50&gt;0,F50&gt;0,F50&lt;&gt;"",OR(D50&lt;F50,D50=F50)),"Ok", "Please check"),"Please check")</f>
        <v>Please check</v>
      </c>
      <c r="I50" s="137"/>
      <c r="J50" s="137"/>
    </row>
    <row r="51" spans="2:11" x14ac:dyDescent="0.35">
      <c r="B51" s="2008" t="s">
        <v>820</v>
      </c>
      <c r="C51" s="2006" t="str">
        <f>IF(AND(ISNUMBER(C52),ISNUMBER(C53),ISNUMBER(C54),ISNUMBER(C55)),C52+C53+C54+C55,"")</f>
        <v/>
      </c>
      <c r="D51" s="2006" t="str">
        <f>IF(AND(ISNUMBER(D52),ISNUMBER(D53),ISNUMBER(D54),ISNUMBER(D55)),D52+D53+D54+D55,"")</f>
        <v/>
      </c>
      <c r="E51" s="2006" t="str">
        <f t="shared" si="2"/>
        <v/>
      </c>
      <c r="F51" s="2006" t="str">
        <f>IF(AND(ISNUMBER(F52),ISNUMBER(F53),ISNUMBER(F54),ISNUMBER(F55)),F52+F53+F54+F55,"")</f>
        <v/>
      </c>
      <c r="G51" s="1856" t="str">
        <f t="shared" si="3"/>
        <v>Missing input</v>
      </c>
      <c r="H51" s="1857"/>
      <c r="I51" s="137"/>
      <c r="J51" s="137"/>
    </row>
    <row r="52" spans="2:11" x14ac:dyDescent="0.35">
      <c r="B52" s="2007" t="s">
        <v>830</v>
      </c>
      <c r="C52" s="1155"/>
      <c r="D52" s="1155"/>
      <c r="E52" s="2006" t="str">
        <f t="shared" si="2"/>
        <v/>
      </c>
      <c r="F52" s="2005"/>
      <c r="G52" s="1856" t="str">
        <f t="shared" si="3"/>
        <v>Missing input</v>
      </c>
      <c r="H52" s="1856" t="str">
        <f>IFERROR(IF(AND(_xlfn.NUMBERVALUE(D52)/_xlfn.NUMBERVALUE(C52)&gt;0.05,_xlfn.NUMBERVALUE(D52)/_xlfn.NUMBERVALUE(C52)&lt;0.15),"Ok","Please check"),"Please check")</f>
        <v>Please check</v>
      </c>
      <c r="I52" s="137"/>
      <c r="J52" s="137"/>
    </row>
    <row r="53" spans="2:11" x14ac:dyDescent="0.35">
      <c r="B53" s="2009" t="s">
        <v>2458</v>
      </c>
      <c r="C53" s="1155"/>
      <c r="D53" s="1155"/>
      <c r="E53" s="2006" t="str">
        <f t="shared" si="2"/>
        <v/>
      </c>
      <c r="F53" s="2005"/>
      <c r="G53" s="1856" t="str">
        <f t="shared" si="3"/>
        <v>Missing input</v>
      </c>
      <c r="H53" s="1856" t="str">
        <f>IFERROR(IF(AND(_xlfn.NUMBERVALUE(D53)/_xlfn.NUMBERVALUE(C53)&gt;0.4,_xlfn.NUMBERVALUE(D53)/_xlfn.NUMBERVALUE(C53)&lt;0.5),"Ok","Please check"),"Please check")</f>
        <v>Please check</v>
      </c>
      <c r="I53" s="137"/>
      <c r="J53" s="137"/>
    </row>
    <row r="54" spans="2:11" x14ac:dyDescent="0.35">
      <c r="B54" s="2007" t="s">
        <v>2459</v>
      </c>
      <c r="C54" s="1155"/>
      <c r="D54" s="1155"/>
      <c r="E54" s="2006" t="str">
        <f t="shared" si="2"/>
        <v/>
      </c>
      <c r="F54" s="2005"/>
      <c r="G54" s="1856" t="str">
        <f t="shared" si="3"/>
        <v>Missing input</v>
      </c>
      <c r="H54" s="1857"/>
      <c r="I54" s="137"/>
      <c r="J54" s="137"/>
    </row>
    <row r="55" spans="2:11" x14ac:dyDescent="0.35">
      <c r="B55" s="2007" t="s">
        <v>828</v>
      </c>
      <c r="C55" s="1155"/>
      <c r="D55" s="1155"/>
      <c r="E55" s="2006" t="str">
        <f t="shared" si="2"/>
        <v/>
      </c>
      <c r="F55" s="2005"/>
      <c r="G55" s="1856" t="str">
        <f t="shared" si="3"/>
        <v>Missing input</v>
      </c>
      <c r="H55" s="1857"/>
      <c r="I55" s="137"/>
      <c r="J55" s="137"/>
    </row>
    <row r="56" spans="2:11" x14ac:dyDescent="0.35">
      <c r="B56" s="2008" t="s">
        <v>835</v>
      </c>
      <c r="C56" s="2006" t="str">
        <f>IF(AND(ISNUMBER(C57),ISNUMBER(C58),ISNUMBER(C59),ISNUMBER(C60)),C57+C58+C59+C60,"")</f>
        <v/>
      </c>
      <c r="D56" s="2006" t="str">
        <f>IF(AND(ISNUMBER(D57),ISNUMBER(D58),ISNUMBER(D59),ISNUMBER(D60)),D57+D58+D59+D60,"")</f>
        <v/>
      </c>
      <c r="E56" s="2006" t="str">
        <f t="shared" si="2"/>
        <v/>
      </c>
      <c r="F56" s="2006" t="str">
        <f>IF(AND(ISNUMBER(F57),ISNUMBER(F58),ISNUMBER(F59),ISNUMBER(F60)),F57+F58+F59+F60,"")</f>
        <v/>
      </c>
      <c r="G56" s="1856" t="str">
        <f t="shared" si="3"/>
        <v>Missing input</v>
      </c>
      <c r="H56" s="1857"/>
      <c r="I56" s="137"/>
      <c r="J56" s="137"/>
    </row>
    <row r="57" spans="2:11" x14ac:dyDescent="0.35">
      <c r="B57" s="2007" t="s">
        <v>830</v>
      </c>
      <c r="C57" s="1155"/>
      <c r="D57" s="1155"/>
      <c r="E57" s="2006" t="str">
        <f t="shared" si="2"/>
        <v/>
      </c>
      <c r="F57" s="2005"/>
      <c r="G57" s="1856" t="str">
        <f t="shared" si="3"/>
        <v>Missing input</v>
      </c>
      <c r="H57" s="1856" t="str">
        <f>IFERROR(IF(AND(_xlfn.NUMBERVALUE(D57)/_xlfn.NUMBERVALUE(C57)&gt;0.05,_xlfn.NUMBERVALUE(D57)/_xlfn.NUMBERVALUE(C57)&lt;0.15),"Ok","Please check"),"Please check")</f>
        <v>Please check</v>
      </c>
      <c r="I57" s="137"/>
      <c r="J57" s="137"/>
    </row>
    <row r="58" spans="2:11" x14ac:dyDescent="0.35">
      <c r="B58" s="2009" t="s">
        <v>2458</v>
      </c>
      <c r="C58" s="1155"/>
      <c r="D58" s="1155"/>
      <c r="E58" s="2006" t="str">
        <f t="shared" si="2"/>
        <v/>
      </c>
      <c r="F58" s="2005"/>
      <c r="G58" s="1856" t="str">
        <f t="shared" si="3"/>
        <v>Missing input</v>
      </c>
      <c r="H58" s="1856" t="str">
        <f>IFERROR(IF(AND(_xlfn.NUMBERVALUE(D58)/_xlfn.NUMBERVALUE(C58)&gt;0.4,_xlfn.NUMBERVALUE(D58)/_xlfn.NUMBERVALUE(C58)&lt;0.5),"Ok","Please check"),"Please check")</f>
        <v>Please check</v>
      </c>
      <c r="I58" s="137"/>
      <c r="J58" s="137"/>
    </row>
    <row r="59" spans="2:11" x14ac:dyDescent="0.35">
      <c r="B59" s="2007" t="s">
        <v>2457</v>
      </c>
      <c r="C59" s="1155"/>
      <c r="D59" s="1155"/>
      <c r="E59" s="2006" t="str">
        <f t="shared" si="2"/>
        <v/>
      </c>
      <c r="F59" s="2005"/>
      <c r="G59" s="1856" t="str">
        <f t="shared" si="3"/>
        <v>Missing input</v>
      </c>
      <c r="H59" s="1857"/>
      <c r="I59" s="137"/>
      <c r="J59" s="137"/>
    </row>
    <row r="60" spans="2:11" x14ac:dyDescent="0.35">
      <c r="B60" s="2007" t="s">
        <v>828</v>
      </c>
      <c r="C60" s="1155"/>
      <c r="D60" s="1155"/>
      <c r="E60" s="2006" t="str">
        <f t="shared" si="2"/>
        <v/>
      </c>
      <c r="F60" s="2005"/>
      <c r="G60" s="1856" t="str">
        <f t="shared" si="3"/>
        <v>Missing input</v>
      </c>
      <c r="H60" s="1857"/>
      <c r="I60" s="137"/>
      <c r="J60" s="137"/>
    </row>
    <row r="61" spans="2:11" x14ac:dyDescent="0.35">
      <c r="B61" s="2008" t="s">
        <v>840</v>
      </c>
      <c r="C61" s="2006" t="str">
        <f>IF(AND(ISNUMBER(C62),ISNUMBER(C63)),C62+C63,"")</f>
        <v/>
      </c>
      <c r="D61" s="2006" t="str">
        <f>IF(AND(ISNUMBER(D62),ISNUMBER(D63)),D62+D63,"")</f>
        <v/>
      </c>
      <c r="E61" s="2006" t="str">
        <f t="shared" si="2"/>
        <v/>
      </c>
      <c r="F61" s="2006" t="str">
        <f>IF(AND(ISNUMBER(F62),ISNUMBER(F63)),F62+F63,"")</f>
        <v/>
      </c>
      <c r="G61" s="1856" t="str">
        <f t="shared" si="3"/>
        <v>Missing input</v>
      </c>
      <c r="H61" s="1857"/>
      <c r="I61" s="137"/>
      <c r="J61" s="137"/>
      <c r="K61" s="137"/>
    </row>
    <row r="62" spans="2:11" x14ac:dyDescent="0.35">
      <c r="B62" s="2007" t="s">
        <v>841</v>
      </c>
      <c r="C62" s="1155"/>
      <c r="D62" s="1155"/>
      <c r="E62" s="2006" t="str">
        <f t="shared" si="2"/>
        <v/>
      </c>
      <c r="F62" s="2005"/>
      <c r="G62" s="1856" t="str">
        <f t="shared" si="3"/>
        <v>Missing input</v>
      </c>
      <c r="H62" s="1857"/>
      <c r="I62" s="137"/>
      <c r="J62" s="137"/>
      <c r="K62" s="137"/>
    </row>
    <row r="63" spans="2:11" x14ac:dyDescent="0.35">
      <c r="B63" s="2004" t="s">
        <v>842</v>
      </c>
      <c r="C63" s="2003"/>
      <c r="D63" s="2003"/>
      <c r="E63" s="2002" t="str">
        <f t="shared" si="2"/>
        <v/>
      </c>
      <c r="F63" s="2001"/>
      <c r="G63" s="1856" t="str">
        <f t="shared" si="3"/>
        <v>Missing input</v>
      </c>
      <c r="H63" s="1857"/>
      <c r="I63" s="137"/>
      <c r="J63" s="137"/>
      <c r="K63" s="137"/>
    </row>
    <row r="64" spans="2:11" x14ac:dyDescent="0.35">
      <c r="B64" s="137"/>
      <c r="C64" s="137"/>
      <c r="D64" s="137"/>
      <c r="E64" s="137"/>
      <c r="F64" s="137"/>
      <c r="G64" s="137"/>
      <c r="H64" s="137"/>
      <c r="I64" s="137"/>
      <c r="J64" s="137"/>
      <c r="K64" s="137"/>
    </row>
    <row r="65" spans="1:11" ht="19.8" x14ac:dyDescent="0.35">
      <c r="A65" s="2022" t="s">
        <v>2474</v>
      </c>
      <c r="B65" s="1542"/>
      <c r="C65" s="1542"/>
      <c r="D65" s="1542"/>
      <c r="E65" s="1542"/>
      <c r="F65" s="1542"/>
      <c r="G65" s="1542"/>
      <c r="H65" s="137"/>
      <c r="I65" s="137"/>
      <c r="J65" s="137"/>
      <c r="K65" s="137"/>
    </row>
    <row r="66" spans="1:11" x14ac:dyDescent="0.35">
      <c r="B66" s="137"/>
      <c r="C66" s="137"/>
      <c r="D66" s="137"/>
      <c r="E66" s="137"/>
      <c r="F66" s="137"/>
      <c r="G66" s="137"/>
      <c r="H66" s="137"/>
      <c r="I66" s="137"/>
      <c r="J66" s="137"/>
      <c r="K66" s="137"/>
    </row>
    <row r="67" spans="1:11" x14ac:dyDescent="0.35">
      <c r="B67" s="2021" t="s">
        <v>2471</v>
      </c>
      <c r="C67" s="2020"/>
      <c r="D67" s="137"/>
      <c r="E67" s="137"/>
      <c r="F67" s="137"/>
      <c r="G67" s="137"/>
      <c r="H67" s="137"/>
      <c r="I67" s="137"/>
      <c r="J67" s="137"/>
      <c r="K67" s="137"/>
    </row>
    <row r="68" spans="1:11" x14ac:dyDescent="0.35">
      <c r="D68" s="137"/>
      <c r="E68" s="137"/>
      <c r="F68" s="137"/>
      <c r="G68" s="137"/>
      <c r="H68" s="137"/>
      <c r="I68" s="137"/>
      <c r="J68" s="137"/>
      <c r="K68" s="137"/>
    </row>
    <row r="69" spans="1:11" ht="22.5" customHeight="1" x14ac:dyDescent="0.35">
      <c r="A69" s="207" t="str">
        <f>"E) Loss Rate (Voluntary)"</f>
        <v>E) Loss Rate (Voluntary)</v>
      </c>
      <c r="C69" s="137"/>
      <c r="D69" s="137"/>
      <c r="E69" s="137"/>
      <c r="F69" s="137"/>
      <c r="G69" s="137"/>
      <c r="H69" s="137"/>
      <c r="I69" s="137"/>
      <c r="J69" s="137"/>
      <c r="K69" s="137"/>
    </row>
    <row r="70" spans="1:11" x14ac:dyDescent="0.35">
      <c r="B70" s="2770" t="s">
        <v>169</v>
      </c>
      <c r="C70" s="2812" t="s">
        <v>858</v>
      </c>
      <c r="D70" s="2812"/>
      <c r="E70" s="2812"/>
      <c r="F70" s="2812"/>
      <c r="G70" s="2812"/>
      <c r="H70" s="2812"/>
      <c r="I70" s="2806" t="s">
        <v>2470</v>
      </c>
      <c r="J70" s="137"/>
      <c r="K70" s="137"/>
    </row>
    <row r="71" spans="1:11" x14ac:dyDescent="0.35">
      <c r="B71" s="2771"/>
      <c r="C71" s="2813" t="s">
        <v>2469</v>
      </c>
      <c r="D71" s="2813"/>
      <c r="E71" s="2813"/>
      <c r="F71" s="2813"/>
      <c r="G71" s="2813"/>
      <c r="H71" s="2814"/>
      <c r="I71" s="2807"/>
      <c r="J71" s="137"/>
      <c r="K71" s="137"/>
    </row>
    <row r="72" spans="1:11" x14ac:dyDescent="0.35">
      <c r="B72" s="2772"/>
      <c r="C72" s="2019">
        <v>2017</v>
      </c>
      <c r="D72" s="2019">
        <v>2018</v>
      </c>
      <c r="E72" s="2019">
        <v>2019</v>
      </c>
      <c r="F72" s="2019">
        <v>2020</v>
      </c>
      <c r="G72" s="2019">
        <v>2021</v>
      </c>
      <c r="H72" s="2018">
        <v>2022</v>
      </c>
      <c r="I72" s="2808"/>
      <c r="J72" s="137"/>
      <c r="K72" s="137"/>
    </row>
    <row r="73" spans="1:11" x14ac:dyDescent="0.35">
      <c r="B73" s="185" t="s">
        <v>2468</v>
      </c>
      <c r="C73" s="2525"/>
      <c r="D73" s="2525"/>
      <c r="E73" s="2525"/>
      <c r="F73" s="2525"/>
      <c r="G73" s="2525"/>
      <c r="H73" s="2526"/>
      <c r="I73" s="1856" t="str">
        <f>+IF(AND(C73="",D73="",E73="",F73="",G73="",H73=""), "Missing input", IF(OR(_xlfn.NUMBERVALUE(C73)&lt;_xlfn.NUMBERVALUE(C74),_xlfn.NUMBERVALUE(D73)&lt;_xlfn.NUMBERVALUE(D74),_xlfn.NUMBERVALUE(E73)&lt;_xlfn.NUMBERVALUE(E74),_xlfn.NUMBERVALUE(F73)&lt;_xlfn.NUMBERVALUE(F74),_xlfn.NUMBERVALUE(G73)&lt;_xlfn.NUMBERVALUE(G74),_xlfn.NUMBERVALUE(H73)&lt;_xlfn.NUMBERVALUE(H74)),"Please check","OK"))</f>
        <v>Missing input</v>
      </c>
      <c r="J73" s="137"/>
      <c r="K73" s="137"/>
    </row>
    <row r="74" spans="1:11" x14ac:dyDescent="0.35">
      <c r="B74" s="1970" t="s">
        <v>2467</v>
      </c>
      <c r="C74" s="2003"/>
      <c r="D74" s="2003"/>
      <c r="E74" s="2003"/>
      <c r="F74" s="2003"/>
      <c r="G74" s="2003"/>
      <c r="H74" s="2001"/>
      <c r="I74" s="1856" t="str">
        <f>+IF(AND(C74="",D74="",E74="",F74="",G74="",H74=""), "Missing input", IF(OR(_xlfn.NUMBERVALUE(C73)&lt;_xlfn.NUMBERVALUE(C74),_xlfn.NUMBERVALUE(D73)&lt;_xlfn.NUMBERVALUE(D74),_xlfn.NUMBERVALUE(E73)&lt;_xlfn.NUMBERVALUE(E74),_xlfn.NUMBERVALUE(F73)&lt;_xlfn.NUMBERVALUE(F74),_xlfn.NUMBERVALUE(G73)&lt;_xlfn.NUMBERVALUE(G74),_xlfn.NUMBERVALUE(H73)&lt;_xlfn.NUMBERVALUE(H74)),"Please check","OK"))</f>
        <v>Missing input</v>
      </c>
      <c r="J74" s="137"/>
      <c r="K74" s="137"/>
    </row>
    <row r="75" spans="1:11" x14ac:dyDescent="0.35">
      <c r="B75" s="2017" t="s">
        <v>2466</v>
      </c>
      <c r="C75" s="2010" t="e">
        <f>SUM(C74:H74)/SUM(C73:H73)</f>
        <v>#DIV/0!</v>
      </c>
      <c r="D75" s="98"/>
      <c r="E75" s="98"/>
      <c r="F75" s="98"/>
      <c r="G75" s="98"/>
      <c r="H75" s="98"/>
      <c r="I75" s="137"/>
      <c r="J75" s="137"/>
      <c r="K75" s="137"/>
    </row>
    <row r="76" spans="1:11" x14ac:dyDescent="0.35">
      <c r="B76" s="2016" t="s">
        <v>2465</v>
      </c>
      <c r="C76" s="2015" t="e">
        <f>IF(C75&lt;=0.0025,"passed","failed")</f>
        <v>#DIV/0!</v>
      </c>
      <c r="D76" s="98"/>
      <c r="E76" s="98"/>
      <c r="F76" s="98"/>
      <c r="G76" s="98"/>
      <c r="H76" s="98"/>
      <c r="I76" s="137"/>
      <c r="J76" s="137"/>
      <c r="K76" s="137"/>
    </row>
    <row r="77" spans="1:11" x14ac:dyDescent="0.35">
      <c r="B77" s="98"/>
      <c r="C77" s="98"/>
      <c r="D77" s="98"/>
      <c r="E77" s="98"/>
      <c r="F77" s="98"/>
      <c r="G77" s="98"/>
      <c r="H77" s="98"/>
      <c r="I77" s="137"/>
      <c r="J77" s="137"/>
      <c r="K77" s="137"/>
    </row>
    <row r="78" spans="1:11" ht="30.75" customHeight="1" x14ac:dyDescent="0.45">
      <c r="A78" s="207" t="str">
        <f>"F) IRBA Exposure secured by real estate (Voluntary)"</f>
        <v>F) IRBA Exposure secured by real estate (Voluntary)</v>
      </c>
      <c r="B78" s="2014"/>
      <c r="C78" s="2013"/>
      <c r="D78" s="2013"/>
      <c r="E78" s="2013"/>
      <c r="F78" s="2013"/>
      <c r="G78" s="137"/>
      <c r="H78" s="137"/>
      <c r="I78" s="137"/>
      <c r="J78" s="137"/>
      <c r="K78" s="137"/>
    </row>
    <row r="79" spans="1:11" ht="19.2" x14ac:dyDescent="0.35">
      <c r="B79" s="2770" t="s">
        <v>169</v>
      </c>
      <c r="C79" s="2823" t="s">
        <v>2464</v>
      </c>
      <c r="D79" s="2823"/>
      <c r="E79" s="2823"/>
      <c r="F79" s="2824"/>
      <c r="G79" s="137"/>
      <c r="H79" s="137"/>
      <c r="I79" s="137"/>
      <c r="J79" s="137"/>
      <c r="K79" s="137"/>
    </row>
    <row r="80" spans="1:11" ht="14.25" customHeight="1" x14ac:dyDescent="0.35">
      <c r="B80" s="2771"/>
      <c r="C80" s="2709" t="s">
        <v>865</v>
      </c>
      <c r="D80" s="2709"/>
      <c r="E80" s="2709"/>
      <c r="F80" s="2709"/>
      <c r="G80" s="137"/>
      <c r="H80" s="137"/>
      <c r="I80" s="137"/>
      <c r="J80" s="137"/>
      <c r="K80" s="137"/>
    </row>
    <row r="81" spans="2:11" ht="14.25" customHeight="1" x14ac:dyDescent="0.35">
      <c r="B81" s="2771"/>
      <c r="C81" s="2825" t="s">
        <v>2463</v>
      </c>
      <c r="D81" s="2825"/>
      <c r="E81" s="2825" t="s">
        <v>2462</v>
      </c>
      <c r="F81" s="2825"/>
      <c r="G81" s="137"/>
      <c r="H81" s="137"/>
      <c r="I81" s="137"/>
      <c r="J81" s="137"/>
      <c r="K81" s="137"/>
    </row>
    <row r="82" spans="2:11" ht="14.25" customHeight="1" x14ac:dyDescent="0.35">
      <c r="B82" s="2772"/>
      <c r="C82" s="1972" t="s">
        <v>428</v>
      </c>
      <c r="D82" s="1972" t="s">
        <v>177</v>
      </c>
      <c r="E82" s="1972" t="s">
        <v>428</v>
      </c>
      <c r="F82" s="1972" t="s">
        <v>177</v>
      </c>
      <c r="G82" s="2012" t="s">
        <v>2461</v>
      </c>
      <c r="H82" s="2012" t="s">
        <v>2460</v>
      </c>
      <c r="I82" s="137"/>
      <c r="J82" s="137"/>
      <c r="K82" s="137"/>
    </row>
    <row r="83" spans="2:11" x14ac:dyDescent="0.35">
      <c r="B83" s="2011" t="str">
        <f>"Exposures secured by residential real estate located in "&amp;C67&amp;" ; of which:"</f>
        <v>Exposures secured by residential real estate located in  ; of which:</v>
      </c>
      <c r="C83" s="2010" t="str">
        <f>IF(AND(ISNUMBER(C84),ISNUMBER(C89),ISNUMBER(C94)),C84+C89+C94,"")</f>
        <v/>
      </c>
      <c r="D83" s="2010" t="str">
        <f>IF(AND(ISNUMBER(D84),ISNUMBER(D89),ISNUMBER(D94)),D84+D89+D94,"")</f>
        <v/>
      </c>
      <c r="E83" s="2010" t="str">
        <f t="shared" ref="E83:E96" si="4">IF(ISNUMBER(C83),C83,"")</f>
        <v/>
      </c>
      <c r="F83" s="2010" t="str">
        <f>IF(AND(ISNUMBER(F84),ISNUMBER(F89),ISNUMBER(F94)),F84+F89+F94,"")</f>
        <v/>
      </c>
      <c r="G83" s="1893" t="str">
        <f t="shared" ref="G83:G96" si="5">+IF(OR(D83="",F83=""), "Missing input", "OK")</f>
        <v>Missing input</v>
      </c>
      <c r="H83" s="1893" t="str">
        <f>IFERROR(IF(AND(C75&gt;0,C75&lt;&gt;"",D83&lt;&gt;"",D83&gt;0,F83&gt;0,F83&lt;&gt;"",OR(D83&lt;F83,D83=F83)),"Ok", "Please check"),"Please check")</f>
        <v>Please check</v>
      </c>
      <c r="I83" s="137"/>
      <c r="J83" s="137"/>
      <c r="K83" s="137"/>
    </row>
    <row r="84" spans="2:11" x14ac:dyDescent="0.35">
      <c r="B84" s="2008" t="s">
        <v>820</v>
      </c>
      <c r="C84" s="2006" t="str">
        <f>IF(AND(ISNUMBER(C85),ISNUMBER(C86),ISNUMBER(C87),ISNUMBER(C88)),C85+C86+C87+C88,"")</f>
        <v/>
      </c>
      <c r="D84" s="2006" t="str">
        <f>IF(AND(ISNUMBER(D85),ISNUMBER(D86),ISNUMBER(D87),ISNUMBER(D88)),D85+D86+D87+D88,"")</f>
        <v/>
      </c>
      <c r="E84" s="2006" t="str">
        <f t="shared" si="4"/>
        <v/>
      </c>
      <c r="F84" s="2006" t="str">
        <f>IF(AND(ISNUMBER(F85),ISNUMBER(F86),ISNUMBER(F87),ISNUMBER(F88)),F85+F86+F87+F88,"")</f>
        <v/>
      </c>
      <c r="G84" s="1856" t="str">
        <f t="shared" si="5"/>
        <v>Missing input</v>
      </c>
      <c r="H84" s="1857"/>
      <c r="I84" s="137"/>
      <c r="J84" s="137"/>
      <c r="K84" s="137"/>
    </row>
    <row r="85" spans="2:11" x14ac:dyDescent="0.35">
      <c r="B85" s="2007" t="s">
        <v>830</v>
      </c>
      <c r="C85" s="1155"/>
      <c r="D85" s="1155"/>
      <c r="E85" s="2006" t="str">
        <f t="shared" si="4"/>
        <v/>
      </c>
      <c r="F85" s="2005"/>
      <c r="G85" s="1856" t="str">
        <f t="shared" si="5"/>
        <v>Missing input</v>
      </c>
      <c r="H85" s="1856" t="str">
        <f>IFERROR(IF(AND(_xlfn.NUMBERVALUE(D85)/_xlfn.NUMBERVALUE(C85)&gt;0.05,_xlfn.NUMBERVALUE(D85)/_xlfn.NUMBERVALUE(C85)&lt;0.15),"Ok","Please check"),"Please check")</f>
        <v>Please check</v>
      </c>
      <c r="I85" s="137"/>
      <c r="J85" s="137"/>
      <c r="K85" s="137"/>
    </row>
    <row r="86" spans="2:11" x14ac:dyDescent="0.35">
      <c r="B86" s="2009" t="s">
        <v>2458</v>
      </c>
      <c r="C86" s="1155"/>
      <c r="D86" s="1155"/>
      <c r="E86" s="2006" t="str">
        <f t="shared" si="4"/>
        <v/>
      </c>
      <c r="F86" s="2005"/>
      <c r="G86" s="1856" t="str">
        <f t="shared" si="5"/>
        <v>Missing input</v>
      </c>
      <c r="H86" s="1856" t="str">
        <f>IFERROR(IF(AND(_xlfn.NUMBERVALUE(D86)/_xlfn.NUMBERVALUE(C86)&gt;0.4,_xlfn.NUMBERVALUE(D86)/_xlfn.NUMBERVALUE(C86)&lt;0.5),"Ok","Please check"),"Please check")</f>
        <v>Please check</v>
      </c>
      <c r="I86" s="137"/>
      <c r="J86" s="137"/>
      <c r="K86" s="137"/>
    </row>
    <row r="87" spans="2:11" x14ac:dyDescent="0.35">
      <c r="B87" s="2007" t="s">
        <v>2459</v>
      </c>
      <c r="C87" s="1155"/>
      <c r="D87" s="1155"/>
      <c r="E87" s="2006" t="str">
        <f t="shared" si="4"/>
        <v/>
      </c>
      <c r="F87" s="2005"/>
      <c r="G87" s="1856" t="str">
        <f t="shared" si="5"/>
        <v>Missing input</v>
      </c>
      <c r="H87" s="1857"/>
      <c r="I87" s="137"/>
      <c r="J87" s="137"/>
      <c r="K87" s="137"/>
    </row>
    <row r="88" spans="2:11" x14ac:dyDescent="0.35">
      <c r="B88" s="2007" t="s">
        <v>828</v>
      </c>
      <c r="C88" s="1155"/>
      <c r="D88" s="1155"/>
      <c r="E88" s="2006" t="str">
        <f t="shared" si="4"/>
        <v/>
      </c>
      <c r="F88" s="2005"/>
      <c r="G88" s="1856" t="str">
        <f t="shared" si="5"/>
        <v>Missing input</v>
      </c>
      <c r="H88" s="1857"/>
      <c r="I88" s="137"/>
      <c r="J88" s="137"/>
      <c r="K88" s="137"/>
    </row>
    <row r="89" spans="2:11" x14ac:dyDescent="0.35">
      <c r="B89" s="2008" t="s">
        <v>835</v>
      </c>
      <c r="C89" s="2006" t="str">
        <f>IF(AND(ISNUMBER(C90),ISNUMBER(C91),ISNUMBER(C92),ISNUMBER(C93)),C90+C91+C92+C93,"")</f>
        <v/>
      </c>
      <c r="D89" s="2006" t="str">
        <f>IF(AND(ISNUMBER(D90),ISNUMBER(D91),ISNUMBER(D92),ISNUMBER(D93)),D90+D91+D92+D93,"")</f>
        <v/>
      </c>
      <c r="E89" s="2006" t="str">
        <f t="shared" si="4"/>
        <v/>
      </c>
      <c r="F89" s="2006" t="str">
        <f>IF(AND(ISNUMBER(F90),ISNUMBER(F91),ISNUMBER(F92),ISNUMBER(F93)),F90+F91+F92+F93,"")</f>
        <v/>
      </c>
      <c r="G89" s="1856" t="str">
        <f t="shared" si="5"/>
        <v>Missing input</v>
      </c>
      <c r="H89" s="1857"/>
      <c r="I89" s="137"/>
      <c r="J89" s="137"/>
      <c r="K89" s="137"/>
    </row>
    <row r="90" spans="2:11" x14ac:dyDescent="0.35">
      <c r="B90" s="2007" t="s">
        <v>830</v>
      </c>
      <c r="C90" s="1155"/>
      <c r="D90" s="1155"/>
      <c r="E90" s="2006" t="str">
        <f t="shared" si="4"/>
        <v/>
      </c>
      <c r="F90" s="2005"/>
      <c r="G90" s="1856" t="str">
        <f t="shared" si="5"/>
        <v>Missing input</v>
      </c>
      <c r="H90" s="1856" t="str">
        <f>IFERROR(IF(AND(_xlfn.NUMBERVALUE(D90)/_xlfn.NUMBERVALUE(C90)&gt;0.05,_xlfn.NUMBERVALUE(D90)/_xlfn.NUMBERVALUE(C90)&lt;0.15),"Ok","Please check"),"Please check")</f>
        <v>Please check</v>
      </c>
      <c r="I90" s="137"/>
      <c r="J90" s="137"/>
      <c r="K90" s="137"/>
    </row>
    <row r="91" spans="2:11" x14ac:dyDescent="0.35">
      <c r="B91" s="2009" t="s">
        <v>2458</v>
      </c>
      <c r="C91" s="1155"/>
      <c r="D91" s="1155"/>
      <c r="E91" s="2006" t="str">
        <f t="shared" si="4"/>
        <v/>
      </c>
      <c r="F91" s="2005"/>
      <c r="G91" s="1856" t="str">
        <f t="shared" si="5"/>
        <v>Missing input</v>
      </c>
      <c r="H91" s="1856" t="str">
        <f>IFERROR(IF(AND(_xlfn.NUMBERVALUE(D91)/_xlfn.NUMBERVALUE(C91)&gt;0.4,_xlfn.NUMBERVALUE(D91)/_xlfn.NUMBERVALUE(C91)&lt;0.5),"Ok","Please check"),"Please check")</f>
        <v>Please check</v>
      </c>
      <c r="I91" s="137"/>
      <c r="J91" s="137"/>
      <c r="K91" s="137"/>
    </row>
    <row r="92" spans="2:11" x14ac:dyDescent="0.35">
      <c r="B92" s="2007" t="s">
        <v>2457</v>
      </c>
      <c r="C92" s="1155"/>
      <c r="D92" s="1155"/>
      <c r="E92" s="2006" t="str">
        <f t="shared" si="4"/>
        <v/>
      </c>
      <c r="F92" s="2005"/>
      <c r="G92" s="1856" t="str">
        <f t="shared" si="5"/>
        <v>Missing input</v>
      </c>
      <c r="H92" s="1857"/>
      <c r="I92" s="137"/>
      <c r="J92" s="137"/>
      <c r="K92" s="137"/>
    </row>
    <row r="93" spans="2:11" x14ac:dyDescent="0.35">
      <c r="B93" s="2007" t="s">
        <v>828</v>
      </c>
      <c r="C93" s="1155"/>
      <c r="D93" s="1155"/>
      <c r="E93" s="2006" t="str">
        <f t="shared" si="4"/>
        <v/>
      </c>
      <c r="F93" s="2005"/>
      <c r="G93" s="1856" t="str">
        <f t="shared" si="5"/>
        <v>Missing input</v>
      </c>
      <c r="H93" s="1857"/>
      <c r="I93" s="137"/>
      <c r="J93" s="137"/>
      <c r="K93" s="137"/>
    </row>
    <row r="94" spans="2:11" x14ac:dyDescent="0.35">
      <c r="B94" s="2008" t="s">
        <v>840</v>
      </c>
      <c r="C94" s="2006" t="str">
        <f>IF(AND(ISNUMBER(C95),ISNUMBER(C96)),C95+C96,"")</f>
        <v/>
      </c>
      <c r="D94" s="2006" t="str">
        <f>IF(AND(ISNUMBER(D95),ISNUMBER(D96)),D95+D96,"")</f>
        <v/>
      </c>
      <c r="E94" s="2006" t="str">
        <f t="shared" si="4"/>
        <v/>
      </c>
      <c r="F94" s="2006" t="str">
        <f>IF(AND(ISNUMBER(F95),ISNUMBER(F96)),F95+F96,"")</f>
        <v/>
      </c>
      <c r="G94" s="1856" t="str">
        <f t="shared" si="5"/>
        <v>Missing input</v>
      </c>
      <c r="H94" s="1857"/>
      <c r="I94" s="137"/>
      <c r="J94" s="137"/>
      <c r="K94" s="137"/>
    </row>
    <row r="95" spans="2:11" x14ac:dyDescent="0.35">
      <c r="B95" s="2007" t="s">
        <v>841</v>
      </c>
      <c r="C95" s="1155"/>
      <c r="D95" s="1155"/>
      <c r="E95" s="2006" t="str">
        <f t="shared" si="4"/>
        <v/>
      </c>
      <c r="F95" s="2005"/>
      <c r="G95" s="1856" t="str">
        <f t="shared" si="5"/>
        <v>Missing input</v>
      </c>
      <c r="H95" s="1857"/>
      <c r="I95" s="137"/>
      <c r="J95" s="137"/>
      <c r="K95" s="137"/>
    </row>
    <row r="96" spans="2:11" x14ac:dyDescent="0.35">
      <c r="B96" s="2004" t="s">
        <v>842</v>
      </c>
      <c r="C96" s="2003"/>
      <c r="D96" s="2003"/>
      <c r="E96" s="2002" t="str">
        <f t="shared" si="4"/>
        <v/>
      </c>
      <c r="F96" s="2001"/>
      <c r="G96" s="1856" t="str">
        <f t="shared" si="5"/>
        <v>Missing input</v>
      </c>
      <c r="H96" s="1857"/>
      <c r="I96" s="137"/>
      <c r="J96" s="137"/>
      <c r="K96" s="137"/>
    </row>
    <row r="97" spans="1:11" x14ac:dyDescent="0.35">
      <c r="B97" s="137"/>
      <c r="C97" s="137"/>
      <c r="D97" s="137"/>
      <c r="E97" s="137"/>
      <c r="F97" s="137"/>
      <c r="G97" s="137"/>
      <c r="H97" s="137"/>
      <c r="I97" s="137"/>
      <c r="J97" s="137"/>
      <c r="K97" s="137"/>
    </row>
    <row r="98" spans="1:11" ht="36" customHeight="1" x14ac:dyDescent="0.35">
      <c r="A98" s="2022" t="s">
        <v>2473</v>
      </c>
      <c r="B98" s="1542"/>
      <c r="C98" s="1542"/>
      <c r="D98" s="1542"/>
      <c r="E98" s="1542"/>
      <c r="F98" s="1542"/>
      <c r="G98" s="1542"/>
      <c r="H98" s="137"/>
      <c r="I98" s="137"/>
      <c r="J98" s="137"/>
      <c r="K98" s="137"/>
    </row>
    <row r="99" spans="1:11" x14ac:dyDescent="0.35">
      <c r="B99" s="137"/>
      <c r="C99" s="137"/>
      <c r="D99" s="137"/>
      <c r="E99" s="137"/>
      <c r="F99" s="137"/>
      <c r="G99" s="137"/>
      <c r="H99" s="137"/>
      <c r="I99" s="137"/>
      <c r="J99" s="137"/>
      <c r="K99" s="137"/>
    </row>
    <row r="100" spans="1:11" x14ac:dyDescent="0.35">
      <c r="B100" s="2021" t="s">
        <v>2471</v>
      </c>
      <c r="C100" s="2020"/>
      <c r="D100" s="137"/>
      <c r="E100" s="137"/>
      <c r="F100" s="137"/>
      <c r="G100" s="137"/>
      <c r="H100" s="137"/>
      <c r="I100" s="137"/>
      <c r="J100" s="137"/>
      <c r="K100" s="137"/>
    </row>
    <row r="101" spans="1:11" x14ac:dyDescent="0.35">
      <c r="D101" s="137"/>
      <c r="E101" s="137"/>
      <c r="F101" s="137"/>
      <c r="G101" s="137"/>
      <c r="H101" s="137"/>
      <c r="I101" s="137"/>
      <c r="J101" s="137"/>
      <c r="K101" s="137"/>
    </row>
    <row r="102" spans="1:11" ht="28.5" customHeight="1" x14ac:dyDescent="0.35">
      <c r="A102" s="207" t="str">
        <f>"G) Loss Rate (Voluntary)"</f>
        <v>G) Loss Rate (Voluntary)</v>
      </c>
      <c r="C102" s="137"/>
      <c r="D102" s="137"/>
      <c r="E102" s="137"/>
      <c r="F102" s="137"/>
      <c r="G102" s="137"/>
      <c r="H102" s="137"/>
      <c r="I102" s="137"/>
      <c r="J102" s="137"/>
      <c r="K102" s="137"/>
    </row>
    <row r="103" spans="1:11" x14ac:dyDescent="0.35">
      <c r="B103" s="2770" t="s">
        <v>169</v>
      </c>
      <c r="C103" s="2812" t="s">
        <v>858</v>
      </c>
      <c r="D103" s="2812"/>
      <c r="E103" s="2812"/>
      <c r="F103" s="2812"/>
      <c r="G103" s="2812"/>
      <c r="H103" s="2812"/>
      <c r="I103" s="2806" t="s">
        <v>2470</v>
      </c>
      <c r="J103" s="137"/>
      <c r="K103" s="137"/>
    </row>
    <row r="104" spans="1:11" x14ac:dyDescent="0.35">
      <c r="B104" s="2771"/>
      <c r="C104" s="2813" t="s">
        <v>2469</v>
      </c>
      <c r="D104" s="2813"/>
      <c r="E104" s="2813"/>
      <c r="F104" s="2813"/>
      <c r="G104" s="2813"/>
      <c r="H104" s="2814"/>
      <c r="I104" s="2807"/>
      <c r="J104" s="137"/>
      <c r="K104" s="137"/>
    </row>
    <row r="105" spans="1:11" x14ac:dyDescent="0.35">
      <c r="B105" s="2772"/>
      <c r="C105" s="2019">
        <v>2017</v>
      </c>
      <c r="D105" s="2019">
        <v>2018</v>
      </c>
      <c r="E105" s="2019">
        <v>2019</v>
      </c>
      <c r="F105" s="2019">
        <v>2020</v>
      </c>
      <c r="G105" s="2019">
        <v>2021</v>
      </c>
      <c r="H105" s="2018">
        <v>2022</v>
      </c>
      <c r="I105" s="2808"/>
      <c r="J105" s="137"/>
      <c r="K105" s="137"/>
    </row>
    <row r="106" spans="1:11" x14ac:dyDescent="0.35">
      <c r="B106" s="185" t="s">
        <v>2468</v>
      </c>
      <c r="C106" s="212"/>
      <c r="D106" s="212"/>
      <c r="E106" s="212"/>
      <c r="F106" s="212"/>
      <c r="G106" s="212"/>
      <c r="H106" s="212"/>
      <c r="I106" s="1856" t="str">
        <f>+IF(AND(C106="",D106="",E106="",F106="",G106="",H106=""), "Missing input", IF(OR(_xlfn.NUMBERVALUE(C106)&lt;_xlfn.NUMBERVALUE(C107),_xlfn.NUMBERVALUE(D106)&lt;_xlfn.NUMBERVALUE(D107),_xlfn.NUMBERVALUE(E106)&lt;_xlfn.NUMBERVALUE(E107),_xlfn.NUMBERVALUE(F106)&lt;_xlfn.NUMBERVALUE(F107),_xlfn.NUMBERVALUE(G106)&lt;_xlfn.NUMBERVALUE(G107),_xlfn.NUMBERVALUE(H106)&lt;_xlfn.NUMBERVALUE(H107)),"Please check","OK"))</f>
        <v>Missing input</v>
      </c>
      <c r="J106" s="137"/>
      <c r="K106" s="137"/>
    </row>
    <row r="107" spans="1:11" x14ac:dyDescent="0.35">
      <c r="B107" s="1970" t="s">
        <v>2467</v>
      </c>
      <c r="C107" s="900"/>
      <c r="D107" s="900"/>
      <c r="E107" s="900"/>
      <c r="F107" s="900"/>
      <c r="G107" s="900"/>
      <c r="H107" s="900"/>
      <c r="I107" s="1856" t="str">
        <f>+IF(AND(C107="",D107="",E107="",F107="",G107="",H107=""), "Missing input", IF(OR(_xlfn.NUMBERVALUE(C106)&lt;_xlfn.NUMBERVALUE(C107),_xlfn.NUMBERVALUE(D106)&lt;_xlfn.NUMBERVALUE(D107),_xlfn.NUMBERVALUE(E106)&lt;_xlfn.NUMBERVALUE(E107),_xlfn.NUMBERVALUE(F106)&lt;_xlfn.NUMBERVALUE(F107),_xlfn.NUMBERVALUE(G106)&lt;_xlfn.NUMBERVALUE(G107),_xlfn.NUMBERVALUE(H106)&lt;_xlfn.NUMBERVALUE(H107)),"Please check","OK"))</f>
        <v>Missing input</v>
      </c>
      <c r="J107" s="137"/>
      <c r="K107" s="137"/>
    </row>
    <row r="108" spans="1:11" x14ac:dyDescent="0.35">
      <c r="B108" s="2017" t="s">
        <v>2466</v>
      </c>
      <c r="C108" s="2010" t="e">
        <f>SUM(C107:H107)/SUM(C106:H106)</f>
        <v>#DIV/0!</v>
      </c>
      <c r="D108" s="98"/>
      <c r="E108" s="98"/>
      <c r="F108" s="98"/>
      <c r="G108" s="98"/>
      <c r="H108" s="98"/>
      <c r="I108" s="137"/>
      <c r="J108" s="137"/>
      <c r="K108" s="137"/>
    </row>
    <row r="109" spans="1:11" x14ac:dyDescent="0.35">
      <c r="B109" s="2016" t="s">
        <v>2465</v>
      </c>
      <c r="C109" s="2015" t="e">
        <f>IF(C108&lt;=0.0025,"passed","failed")</f>
        <v>#DIV/0!</v>
      </c>
      <c r="D109" s="98"/>
      <c r="E109" s="98"/>
      <c r="F109" s="98"/>
      <c r="G109" s="98"/>
      <c r="H109" s="98"/>
      <c r="I109" s="137"/>
      <c r="J109" s="137"/>
      <c r="K109" s="137"/>
    </row>
    <row r="110" spans="1:11" x14ac:dyDescent="0.35">
      <c r="B110" s="98"/>
      <c r="C110" s="98"/>
      <c r="D110" s="98"/>
      <c r="E110" s="98"/>
      <c r="F110" s="98"/>
      <c r="G110" s="98"/>
      <c r="H110" s="98"/>
      <c r="I110" s="137"/>
      <c r="J110" s="137"/>
      <c r="K110" s="137"/>
    </row>
    <row r="111" spans="1:11" ht="19.8" x14ac:dyDescent="0.45">
      <c r="A111" s="207" t="str">
        <f>"H) IRBA Exposure secured by real estate (Voluntary)"</f>
        <v>H) IRBA Exposure secured by real estate (Voluntary)</v>
      </c>
      <c r="B111" s="2014"/>
      <c r="C111" s="2013"/>
      <c r="D111" s="2013"/>
      <c r="E111" s="2013"/>
      <c r="F111" s="2013"/>
      <c r="G111" s="137"/>
      <c r="H111" s="137"/>
      <c r="I111" s="137"/>
      <c r="J111" s="137"/>
      <c r="K111" s="137"/>
    </row>
    <row r="112" spans="1:11" ht="19.2" x14ac:dyDescent="0.35">
      <c r="B112" s="2770" t="s">
        <v>169</v>
      </c>
      <c r="C112" s="2823" t="s">
        <v>2464</v>
      </c>
      <c r="D112" s="2823"/>
      <c r="E112" s="2823"/>
      <c r="F112" s="2824"/>
      <c r="G112" s="137"/>
      <c r="H112" s="137"/>
      <c r="I112" s="137"/>
      <c r="J112" s="137"/>
      <c r="K112" s="137"/>
    </row>
    <row r="113" spans="2:11" ht="14.25" customHeight="1" x14ac:dyDescent="0.35">
      <c r="B113" s="2771"/>
      <c r="C113" s="2709" t="s">
        <v>865</v>
      </c>
      <c r="D113" s="2709"/>
      <c r="E113" s="2709"/>
      <c r="F113" s="2709"/>
      <c r="G113" s="137"/>
      <c r="H113" s="137"/>
      <c r="I113" s="137"/>
      <c r="J113" s="137"/>
      <c r="K113" s="137"/>
    </row>
    <row r="114" spans="2:11" ht="14.25" customHeight="1" x14ac:dyDescent="0.35">
      <c r="B114" s="2771"/>
      <c r="C114" s="2825" t="s">
        <v>2463</v>
      </c>
      <c r="D114" s="2825"/>
      <c r="E114" s="2825" t="s">
        <v>2462</v>
      </c>
      <c r="F114" s="2825"/>
      <c r="G114" s="137"/>
      <c r="H114" s="137"/>
      <c r="I114" s="137"/>
      <c r="J114" s="137"/>
      <c r="K114" s="137"/>
    </row>
    <row r="115" spans="2:11" ht="14.25" customHeight="1" x14ac:dyDescent="0.35">
      <c r="B115" s="2772"/>
      <c r="C115" s="1972" t="s">
        <v>428</v>
      </c>
      <c r="D115" s="1972" t="s">
        <v>177</v>
      </c>
      <c r="E115" s="1972" t="s">
        <v>428</v>
      </c>
      <c r="F115" s="1972" t="s">
        <v>177</v>
      </c>
      <c r="G115" s="2012" t="s">
        <v>2461</v>
      </c>
      <c r="H115" s="2012" t="s">
        <v>2460</v>
      </c>
      <c r="I115" s="137"/>
      <c r="J115" s="137"/>
      <c r="K115" s="137"/>
    </row>
    <row r="116" spans="2:11" x14ac:dyDescent="0.35">
      <c r="B116" s="2011" t="str">
        <f>"Exposures secured by residential real estate located in "&amp;C100&amp;" ; of which:"</f>
        <v>Exposures secured by residential real estate located in  ; of which:</v>
      </c>
      <c r="C116" s="2010" t="str">
        <f>IF(AND(ISNUMBER(C117),ISNUMBER(C122),ISNUMBER(C127)),C117+C122+C127,"")</f>
        <v/>
      </c>
      <c r="D116" s="2010" t="str">
        <f>IF(AND(ISNUMBER(D117),ISNUMBER(D122),ISNUMBER(D127)),D117+D122+D127,"")</f>
        <v/>
      </c>
      <c r="E116" s="2010" t="str">
        <f t="shared" ref="E116:E129" si="6">IF(ISNUMBER(C116),C116,"")</f>
        <v/>
      </c>
      <c r="F116" s="2010" t="str">
        <f>IF(AND(ISNUMBER(F117),ISNUMBER(F122),ISNUMBER(F127)),F117+F122+F127,"")</f>
        <v/>
      </c>
      <c r="G116" s="1893" t="str">
        <f t="shared" ref="G116:G129" si="7">+IF(OR(D116="",F116=""), "Missing input", "OK")</f>
        <v>Missing input</v>
      </c>
      <c r="H116" s="1893" t="str">
        <f>IFERROR(IF(AND(C108&gt;0,C108&lt;&gt;"",D116&lt;&gt;"",D116&gt;0,F116&gt;0,F116&lt;&gt;"",OR(D116&lt;F116,D116=F116)),"Ok", "Please check"),"Please check")</f>
        <v>Please check</v>
      </c>
      <c r="I116" s="137"/>
      <c r="J116" s="137"/>
      <c r="K116" s="137"/>
    </row>
    <row r="117" spans="2:11" x14ac:dyDescent="0.35">
      <c r="B117" s="2008" t="s">
        <v>820</v>
      </c>
      <c r="C117" s="2006" t="str">
        <f>IF(AND(ISNUMBER(C118),ISNUMBER(C119),ISNUMBER(C120),ISNUMBER(C121)),C118+C119+C120+C121,"")</f>
        <v/>
      </c>
      <c r="D117" s="2006" t="str">
        <f>IF(AND(ISNUMBER(D118),ISNUMBER(D119),ISNUMBER(D120),ISNUMBER(D121)),D118+D119+D120+D121,"")</f>
        <v/>
      </c>
      <c r="E117" s="2006" t="str">
        <f t="shared" si="6"/>
        <v/>
      </c>
      <c r="F117" s="2006" t="str">
        <f>IF(AND(ISNUMBER(F118),ISNUMBER(F119),ISNUMBER(F120),ISNUMBER(F121)),F118+F119+F120+F121,"")</f>
        <v/>
      </c>
      <c r="G117" s="1856" t="str">
        <f t="shared" si="7"/>
        <v>Missing input</v>
      </c>
      <c r="H117" s="1857"/>
      <c r="I117" s="137"/>
      <c r="J117" s="137"/>
      <c r="K117" s="137"/>
    </row>
    <row r="118" spans="2:11" x14ac:dyDescent="0.35">
      <c r="B118" s="2007" t="s">
        <v>830</v>
      </c>
      <c r="C118" s="1155"/>
      <c r="D118" s="1155"/>
      <c r="E118" s="2006" t="str">
        <f t="shared" si="6"/>
        <v/>
      </c>
      <c r="F118" s="2005"/>
      <c r="G118" s="1856" t="str">
        <f t="shared" si="7"/>
        <v>Missing input</v>
      </c>
      <c r="H118" s="1856" t="str">
        <f>IFERROR(IF(AND(_xlfn.NUMBERVALUE(D118)/_xlfn.NUMBERVALUE(C118)&gt;0.05,_xlfn.NUMBERVALUE(D118)/_xlfn.NUMBERVALUE(C118)&lt;0.15),"Ok","Please check"),"Please check")</f>
        <v>Please check</v>
      </c>
      <c r="I118" s="137"/>
      <c r="J118" s="137"/>
      <c r="K118" s="137"/>
    </row>
    <row r="119" spans="2:11" x14ac:dyDescent="0.35">
      <c r="B119" s="2009" t="s">
        <v>2458</v>
      </c>
      <c r="C119" s="1155"/>
      <c r="D119" s="1155"/>
      <c r="E119" s="2006" t="str">
        <f t="shared" si="6"/>
        <v/>
      </c>
      <c r="F119" s="2005"/>
      <c r="G119" s="1856" t="str">
        <f t="shared" si="7"/>
        <v>Missing input</v>
      </c>
      <c r="H119" s="1856" t="str">
        <f>IFERROR(IF(AND(_xlfn.NUMBERVALUE(D119)/_xlfn.NUMBERVALUE(C119)&gt;0.4,_xlfn.NUMBERVALUE(D119)/_xlfn.NUMBERVALUE(C119)&lt;0.5),"Ok","Please check"),"Please check")</f>
        <v>Please check</v>
      </c>
      <c r="I119" s="137"/>
      <c r="J119" s="137"/>
      <c r="K119" s="137"/>
    </row>
    <row r="120" spans="2:11" x14ac:dyDescent="0.35">
      <c r="B120" s="2007" t="s">
        <v>2459</v>
      </c>
      <c r="C120" s="1155"/>
      <c r="D120" s="1155"/>
      <c r="E120" s="2006" t="str">
        <f t="shared" si="6"/>
        <v/>
      </c>
      <c r="F120" s="2005"/>
      <c r="G120" s="1856" t="str">
        <f t="shared" si="7"/>
        <v>Missing input</v>
      </c>
      <c r="H120" s="1857"/>
      <c r="I120" s="137"/>
      <c r="J120" s="137"/>
      <c r="K120" s="137"/>
    </row>
    <row r="121" spans="2:11" x14ac:dyDescent="0.35">
      <c r="B121" s="2007" t="s">
        <v>828</v>
      </c>
      <c r="C121" s="1155"/>
      <c r="D121" s="1155"/>
      <c r="E121" s="2006" t="str">
        <f t="shared" si="6"/>
        <v/>
      </c>
      <c r="F121" s="2005"/>
      <c r="G121" s="1856" t="str">
        <f t="shared" si="7"/>
        <v>Missing input</v>
      </c>
      <c r="H121" s="1857"/>
      <c r="I121" s="137"/>
      <c r="J121" s="137"/>
      <c r="K121" s="137"/>
    </row>
    <row r="122" spans="2:11" x14ac:dyDescent="0.35">
      <c r="B122" s="2008" t="s">
        <v>835</v>
      </c>
      <c r="C122" s="2006" t="str">
        <f>IF(AND(ISNUMBER(C123),ISNUMBER(C124),ISNUMBER(C125),ISNUMBER(C126)),C123+C124+C125+C126,"")</f>
        <v/>
      </c>
      <c r="D122" s="2006" t="str">
        <f>IF(AND(ISNUMBER(D123),ISNUMBER(D124),ISNUMBER(D125),ISNUMBER(D126)),D123+D124+D125+D126,"")</f>
        <v/>
      </c>
      <c r="E122" s="2006" t="str">
        <f t="shared" si="6"/>
        <v/>
      </c>
      <c r="F122" s="2006" t="str">
        <f>IF(AND(ISNUMBER(F123),ISNUMBER(F124),ISNUMBER(F125),ISNUMBER(F126)),F123+F124+F125+F126,"")</f>
        <v/>
      </c>
      <c r="G122" s="1856" t="str">
        <f t="shared" si="7"/>
        <v>Missing input</v>
      </c>
      <c r="H122" s="1857"/>
      <c r="I122" s="137"/>
      <c r="J122" s="137"/>
      <c r="K122" s="137"/>
    </row>
    <row r="123" spans="2:11" x14ac:dyDescent="0.35">
      <c r="B123" s="2007" t="s">
        <v>830</v>
      </c>
      <c r="C123" s="1155"/>
      <c r="D123" s="1155"/>
      <c r="E123" s="2006" t="str">
        <f t="shared" si="6"/>
        <v/>
      </c>
      <c r="F123" s="2005"/>
      <c r="G123" s="1856" t="str">
        <f t="shared" si="7"/>
        <v>Missing input</v>
      </c>
      <c r="H123" s="1856" t="str">
        <f>IFERROR(IF(AND(_xlfn.NUMBERVALUE(D123)/_xlfn.NUMBERVALUE(C123)&gt;0.05,_xlfn.NUMBERVALUE(D123)/_xlfn.NUMBERVALUE(C123)&lt;0.15),"Ok","Please check"),"Please check")</f>
        <v>Please check</v>
      </c>
      <c r="I123" s="137"/>
      <c r="J123" s="137"/>
      <c r="K123" s="137"/>
    </row>
    <row r="124" spans="2:11" x14ac:dyDescent="0.35">
      <c r="B124" s="2009" t="s">
        <v>2458</v>
      </c>
      <c r="C124" s="1155"/>
      <c r="D124" s="1155"/>
      <c r="E124" s="2006" t="str">
        <f t="shared" si="6"/>
        <v/>
      </c>
      <c r="F124" s="2005"/>
      <c r="G124" s="1856" t="str">
        <f t="shared" si="7"/>
        <v>Missing input</v>
      </c>
      <c r="H124" s="1856" t="str">
        <f>IFERROR(IF(AND(_xlfn.NUMBERVALUE(D124)/_xlfn.NUMBERVALUE(C124)&gt;0.4,_xlfn.NUMBERVALUE(D124)/_xlfn.NUMBERVALUE(C124)&lt;0.5),"Ok","Please check"),"Please check")</f>
        <v>Please check</v>
      </c>
      <c r="I124" s="137"/>
      <c r="J124" s="137"/>
      <c r="K124" s="137"/>
    </row>
    <row r="125" spans="2:11" x14ac:dyDescent="0.35">
      <c r="B125" s="2007" t="s">
        <v>2457</v>
      </c>
      <c r="C125" s="1155"/>
      <c r="D125" s="1155"/>
      <c r="E125" s="2006" t="str">
        <f t="shared" si="6"/>
        <v/>
      </c>
      <c r="F125" s="2005"/>
      <c r="G125" s="1856" t="str">
        <f t="shared" si="7"/>
        <v>Missing input</v>
      </c>
      <c r="H125" s="1857"/>
      <c r="I125" s="137"/>
      <c r="J125" s="137"/>
      <c r="K125" s="137"/>
    </row>
    <row r="126" spans="2:11" x14ac:dyDescent="0.35">
      <c r="B126" s="2007" t="s">
        <v>828</v>
      </c>
      <c r="C126" s="1155"/>
      <c r="D126" s="1155"/>
      <c r="E126" s="2006" t="str">
        <f t="shared" si="6"/>
        <v/>
      </c>
      <c r="F126" s="2005"/>
      <c r="G126" s="1856" t="str">
        <f t="shared" si="7"/>
        <v>Missing input</v>
      </c>
      <c r="H126" s="1857"/>
      <c r="I126" s="137"/>
      <c r="J126" s="137"/>
      <c r="K126" s="137"/>
    </row>
    <row r="127" spans="2:11" x14ac:dyDescent="0.35">
      <c r="B127" s="2008" t="s">
        <v>840</v>
      </c>
      <c r="C127" s="2006" t="str">
        <f>IF(AND(ISNUMBER(C128),ISNUMBER(C129)),C128+C129,"")</f>
        <v/>
      </c>
      <c r="D127" s="2006" t="str">
        <f>IF(AND(ISNUMBER(D128),ISNUMBER(D129)),D128+D129,"")</f>
        <v/>
      </c>
      <c r="E127" s="2006" t="str">
        <f t="shared" si="6"/>
        <v/>
      </c>
      <c r="F127" s="2006" t="str">
        <f>IF(AND(ISNUMBER(F128),ISNUMBER(F129)),F128+F129,"")</f>
        <v/>
      </c>
      <c r="G127" s="1856" t="str">
        <f t="shared" si="7"/>
        <v>Missing input</v>
      </c>
      <c r="H127" s="1857"/>
      <c r="I127" s="137"/>
      <c r="J127" s="137"/>
      <c r="K127" s="137"/>
    </row>
    <row r="128" spans="2:11" x14ac:dyDescent="0.35">
      <c r="B128" s="2007" t="s">
        <v>841</v>
      </c>
      <c r="C128" s="1155"/>
      <c r="D128" s="1155"/>
      <c r="E128" s="2006" t="str">
        <f t="shared" si="6"/>
        <v/>
      </c>
      <c r="F128" s="2005"/>
      <c r="G128" s="1856" t="str">
        <f t="shared" si="7"/>
        <v>Missing input</v>
      </c>
      <c r="H128" s="1857"/>
      <c r="I128" s="137"/>
      <c r="J128" s="137"/>
      <c r="K128" s="137"/>
    </row>
    <row r="129" spans="1:11" x14ac:dyDescent="0.35">
      <c r="B129" s="2004" t="s">
        <v>842</v>
      </c>
      <c r="C129" s="2003"/>
      <c r="D129" s="2003"/>
      <c r="E129" s="2002" t="str">
        <f t="shared" si="6"/>
        <v/>
      </c>
      <c r="F129" s="2001"/>
      <c r="G129" s="1856" t="str">
        <f t="shared" si="7"/>
        <v>Missing input</v>
      </c>
      <c r="H129" s="1857"/>
      <c r="I129" s="137"/>
      <c r="J129" s="137"/>
      <c r="K129" s="137"/>
    </row>
    <row r="130" spans="1:11" x14ac:dyDescent="0.35">
      <c r="B130" s="137"/>
      <c r="C130" s="137"/>
      <c r="D130" s="137"/>
      <c r="E130" s="137"/>
      <c r="F130" s="137"/>
      <c r="G130" s="137"/>
      <c r="H130" s="137"/>
      <c r="I130" s="137"/>
      <c r="J130" s="137"/>
      <c r="K130" s="137"/>
    </row>
    <row r="131" spans="1:11" ht="27.75" customHeight="1" x14ac:dyDescent="0.35">
      <c r="A131" s="2022" t="s">
        <v>2472</v>
      </c>
      <c r="B131" s="1542"/>
      <c r="C131" s="1542"/>
      <c r="D131" s="1542"/>
      <c r="E131" s="1542"/>
      <c r="F131" s="1542"/>
      <c r="G131" s="1542"/>
      <c r="H131" s="137"/>
      <c r="I131" s="137"/>
      <c r="J131" s="137"/>
      <c r="K131" s="137"/>
    </row>
    <row r="132" spans="1:11" x14ac:dyDescent="0.35">
      <c r="B132" s="137"/>
      <c r="C132" s="137"/>
      <c r="D132" s="137"/>
      <c r="E132" s="137"/>
      <c r="F132" s="137"/>
      <c r="G132" s="137"/>
      <c r="H132" s="137"/>
      <c r="I132" s="137"/>
      <c r="J132" s="137"/>
      <c r="K132" s="137"/>
    </row>
    <row r="133" spans="1:11" x14ac:dyDescent="0.35">
      <c r="B133" s="2021" t="s">
        <v>2471</v>
      </c>
      <c r="C133" s="2020"/>
      <c r="D133" s="137"/>
      <c r="E133" s="137"/>
      <c r="F133" s="137"/>
      <c r="G133" s="137"/>
      <c r="H133" s="137"/>
      <c r="I133" s="137"/>
      <c r="J133" s="137"/>
      <c r="K133" s="137"/>
    </row>
    <row r="134" spans="1:11" x14ac:dyDescent="0.35">
      <c r="D134" s="137"/>
      <c r="E134" s="137"/>
      <c r="F134" s="137"/>
      <c r="G134" s="137"/>
      <c r="H134" s="137"/>
      <c r="I134" s="137"/>
      <c r="J134" s="137"/>
      <c r="K134" s="137"/>
    </row>
    <row r="135" spans="1:11" ht="19.8" x14ac:dyDescent="0.35">
      <c r="A135" s="207" t="str">
        <f>"I) Loss Rate (Voluntary)"</f>
        <v>I) Loss Rate (Voluntary)</v>
      </c>
      <c r="C135" s="137"/>
      <c r="D135" s="137"/>
      <c r="E135" s="137"/>
      <c r="F135" s="137"/>
      <c r="G135" s="137"/>
      <c r="H135" s="137"/>
      <c r="I135" s="137"/>
      <c r="J135" s="137"/>
      <c r="K135" s="137"/>
    </row>
    <row r="136" spans="1:11" x14ac:dyDescent="0.35">
      <c r="B136" s="2770" t="s">
        <v>169</v>
      </c>
      <c r="C136" s="2812" t="s">
        <v>858</v>
      </c>
      <c r="D136" s="2812"/>
      <c r="E136" s="2812"/>
      <c r="F136" s="2812"/>
      <c r="G136" s="2812"/>
      <c r="H136" s="2812"/>
      <c r="I136" s="2806" t="s">
        <v>2470</v>
      </c>
      <c r="J136" s="137"/>
      <c r="K136" s="137"/>
    </row>
    <row r="137" spans="1:11" x14ac:dyDescent="0.35">
      <c r="B137" s="2771"/>
      <c r="C137" s="2813" t="s">
        <v>2469</v>
      </c>
      <c r="D137" s="2813"/>
      <c r="E137" s="2813"/>
      <c r="F137" s="2813"/>
      <c r="G137" s="2813"/>
      <c r="H137" s="2814"/>
      <c r="I137" s="2807"/>
      <c r="J137" s="137"/>
      <c r="K137" s="137"/>
    </row>
    <row r="138" spans="1:11" x14ac:dyDescent="0.35">
      <c r="B138" s="2772"/>
      <c r="C138" s="2019">
        <v>2017</v>
      </c>
      <c r="D138" s="2019">
        <v>2018</v>
      </c>
      <c r="E138" s="2019">
        <v>2019</v>
      </c>
      <c r="F138" s="2019">
        <v>2020</v>
      </c>
      <c r="G138" s="2019">
        <v>2021</v>
      </c>
      <c r="H138" s="2018">
        <v>2022</v>
      </c>
      <c r="I138" s="2808"/>
      <c r="J138" s="137"/>
      <c r="K138" s="137"/>
    </row>
    <row r="139" spans="1:11" x14ac:dyDescent="0.35">
      <c r="B139" s="185" t="s">
        <v>2468</v>
      </c>
      <c r="C139" s="2525"/>
      <c r="D139" s="2525"/>
      <c r="E139" s="2525"/>
      <c r="F139" s="2525"/>
      <c r="G139" s="2525"/>
      <c r="H139" s="2526"/>
      <c r="I139" s="1856" t="str">
        <f>+IF(AND(C139="",D139="",E139="",F139="",G139="",H139=""), "Missing input", IF(OR(_xlfn.NUMBERVALUE(C139)&lt;_xlfn.NUMBERVALUE(C140),_xlfn.NUMBERVALUE(D139)&lt;_xlfn.NUMBERVALUE(D140),_xlfn.NUMBERVALUE(E139)&lt;_xlfn.NUMBERVALUE(E140),_xlfn.NUMBERVALUE(F139)&lt;_xlfn.NUMBERVALUE(F140),_xlfn.NUMBERVALUE(G139)&lt;_xlfn.NUMBERVALUE(G140),_xlfn.NUMBERVALUE(H139)&lt;_xlfn.NUMBERVALUE(H140)),"Please check","OK"))</f>
        <v>Missing input</v>
      </c>
      <c r="J139" s="137"/>
      <c r="K139" s="137"/>
    </row>
    <row r="140" spans="1:11" x14ac:dyDescent="0.35">
      <c r="B140" s="1970" t="s">
        <v>2467</v>
      </c>
      <c r="C140" s="2003"/>
      <c r="D140" s="2003"/>
      <c r="E140" s="2003"/>
      <c r="F140" s="2003"/>
      <c r="G140" s="2003"/>
      <c r="H140" s="2001"/>
      <c r="I140" s="1856" t="str">
        <f>+IF(AND(C140="",D140="",E140="",F140="",G140="",H140=""), "Missing input", IF(OR(_xlfn.NUMBERVALUE(C139)&lt;_xlfn.NUMBERVALUE(C140),_xlfn.NUMBERVALUE(D139)&lt;_xlfn.NUMBERVALUE(D140),_xlfn.NUMBERVALUE(E139)&lt;_xlfn.NUMBERVALUE(E140),_xlfn.NUMBERVALUE(F139)&lt;_xlfn.NUMBERVALUE(F140),_xlfn.NUMBERVALUE(G139)&lt;_xlfn.NUMBERVALUE(G140),_xlfn.NUMBERVALUE(H139)&lt;_xlfn.NUMBERVALUE(H140)),"Please check","OK"))</f>
        <v>Missing input</v>
      </c>
      <c r="J140" s="137"/>
      <c r="K140" s="137"/>
    </row>
    <row r="141" spans="1:11" x14ac:dyDescent="0.35">
      <c r="B141" s="2017" t="s">
        <v>2466</v>
      </c>
      <c r="C141" s="2010" t="e">
        <f>SUM(C140:H140)/SUM(C139:H139)</f>
        <v>#DIV/0!</v>
      </c>
      <c r="D141" s="98"/>
      <c r="E141" s="98"/>
      <c r="F141" s="98"/>
      <c r="G141" s="98"/>
      <c r="H141" s="98"/>
      <c r="I141" s="137"/>
      <c r="J141" s="137"/>
      <c r="K141" s="137"/>
    </row>
    <row r="142" spans="1:11" x14ac:dyDescent="0.35">
      <c r="B142" s="2016" t="s">
        <v>2465</v>
      </c>
      <c r="C142" s="2015" t="e">
        <f>IF(C141&lt;=0.0025,"passed","failed")</f>
        <v>#DIV/0!</v>
      </c>
      <c r="D142" s="98"/>
      <c r="E142" s="98"/>
      <c r="F142" s="98"/>
      <c r="G142" s="98"/>
      <c r="H142" s="98"/>
      <c r="I142" s="137"/>
      <c r="J142" s="137"/>
      <c r="K142" s="137"/>
    </row>
    <row r="143" spans="1:11" x14ac:dyDescent="0.35">
      <c r="B143" s="98"/>
      <c r="C143" s="98"/>
      <c r="D143" s="98"/>
      <c r="E143" s="98"/>
      <c r="F143" s="98"/>
      <c r="G143" s="98"/>
      <c r="H143" s="98"/>
      <c r="I143" s="137"/>
      <c r="J143" s="137"/>
      <c r="K143" s="137"/>
    </row>
    <row r="144" spans="1:11" ht="19.8" x14ac:dyDescent="0.45">
      <c r="A144" s="207" t="str">
        <f>"J) IRBA Exposure secured by real estate (Voluntary)"</f>
        <v>J) IRBA Exposure secured by real estate (Voluntary)</v>
      </c>
      <c r="B144" s="2014"/>
      <c r="C144" s="2013"/>
      <c r="D144" s="2013"/>
      <c r="E144" s="2013"/>
      <c r="F144" s="2013"/>
      <c r="G144" s="137"/>
      <c r="H144" s="137"/>
      <c r="I144" s="137"/>
      <c r="J144" s="137"/>
      <c r="K144" s="137"/>
    </row>
    <row r="145" spans="2:11" ht="19.2" x14ac:dyDescent="0.35">
      <c r="B145" s="2770" t="s">
        <v>169</v>
      </c>
      <c r="C145" s="2823" t="s">
        <v>2464</v>
      </c>
      <c r="D145" s="2823"/>
      <c r="E145" s="2823"/>
      <c r="F145" s="2824"/>
      <c r="G145" s="137"/>
      <c r="H145" s="137"/>
      <c r="I145" s="137"/>
      <c r="J145" s="137"/>
      <c r="K145" s="137"/>
    </row>
    <row r="146" spans="2:11" ht="14.25" customHeight="1" x14ac:dyDescent="0.35">
      <c r="B146" s="2771"/>
      <c r="C146" s="2709" t="s">
        <v>865</v>
      </c>
      <c r="D146" s="2709"/>
      <c r="E146" s="2709"/>
      <c r="F146" s="2709"/>
      <c r="G146" s="137"/>
      <c r="H146" s="137"/>
      <c r="I146" s="137"/>
      <c r="J146" s="137"/>
      <c r="K146" s="137"/>
    </row>
    <row r="147" spans="2:11" ht="14.25" customHeight="1" x14ac:dyDescent="0.35">
      <c r="B147" s="2771"/>
      <c r="C147" s="2825" t="s">
        <v>2463</v>
      </c>
      <c r="D147" s="2825"/>
      <c r="E147" s="2825" t="s">
        <v>2462</v>
      </c>
      <c r="F147" s="2825"/>
      <c r="G147" s="137"/>
      <c r="H147" s="137"/>
      <c r="I147" s="137"/>
      <c r="J147" s="137"/>
      <c r="K147" s="137"/>
    </row>
    <row r="148" spans="2:11" ht="14.25" customHeight="1" x14ac:dyDescent="0.35">
      <c r="B148" s="2772"/>
      <c r="C148" s="1972" t="s">
        <v>428</v>
      </c>
      <c r="D148" s="1972" t="s">
        <v>177</v>
      </c>
      <c r="E148" s="1972" t="s">
        <v>428</v>
      </c>
      <c r="F148" s="1972" t="s">
        <v>177</v>
      </c>
      <c r="G148" s="2012" t="s">
        <v>2461</v>
      </c>
      <c r="H148" s="2012" t="s">
        <v>2460</v>
      </c>
      <c r="I148" s="137"/>
      <c r="J148" s="137"/>
      <c r="K148" s="137"/>
    </row>
    <row r="149" spans="2:11" x14ac:dyDescent="0.35">
      <c r="B149" s="2011" t="str">
        <f>"Exposures secured by residential real estate located in "&amp;C133&amp;" ; of which:"</f>
        <v>Exposures secured by residential real estate located in  ; of which:</v>
      </c>
      <c r="C149" s="2010" t="str">
        <f>IF(AND(ISNUMBER(C150),ISNUMBER(C155),ISNUMBER(C160)),C150+C155+C160,"")</f>
        <v/>
      </c>
      <c r="D149" s="2010" t="str">
        <f>IF(AND(ISNUMBER(D150),ISNUMBER(D155),ISNUMBER(D160)),D150+D155+D160,"")</f>
        <v/>
      </c>
      <c r="E149" s="2010" t="str">
        <f t="shared" ref="E149:E162" si="8">IF(ISNUMBER(C149),C149,"")</f>
        <v/>
      </c>
      <c r="F149" s="2010" t="str">
        <f>IF(AND(ISNUMBER(F150),ISNUMBER(F155),ISNUMBER(F160)),F150+F155+F160,"")</f>
        <v/>
      </c>
      <c r="G149" s="1893" t="str">
        <f t="shared" ref="G149:G162" si="9">+IF(OR(D149="",F149=""), "Missing input", "OK")</f>
        <v>Missing input</v>
      </c>
      <c r="H149" s="1893" t="str">
        <f>IFERROR(IF(AND(C141&gt;0,C141&lt;&gt;"",D149&lt;&gt;"",D149&gt;0,F149&gt;0,F149&lt;&gt;"",OR(D149&lt;F149,D149=F149)),"Ok", "Please check"),"Please check")</f>
        <v>Please check</v>
      </c>
      <c r="I149" s="137"/>
      <c r="J149" s="137"/>
      <c r="K149" s="137"/>
    </row>
    <row r="150" spans="2:11" x14ac:dyDescent="0.35">
      <c r="B150" s="2008" t="s">
        <v>820</v>
      </c>
      <c r="C150" s="2006" t="str">
        <f>IF(AND(ISNUMBER(C151),ISNUMBER(C152),ISNUMBER(C153),ISNUMBER(C154)),C151+C152+C153+C154,"")</f>
        <v/>
      </c>
      <c r="D150" s="2006" t="str">
        <f>IF(AND(ISNUMBER(D151),ISNUMBER(D152),ISNUMBER(D153),ISNUMBER(D154)),D151+D152+D153+D154,"")</f>
        <v/>
      </c>
      <c r="E150" s="2006" t="str">
        <f t="shared" si="8"/>
        <v/>
      </c>
      <c r="F150" s="2006" t="str">
        <f>IF(AND(ISNUMBER(F151),ISNUMBER(F152),ISNUMBER(F153),ISNUMBER(F154)),F151+F152+F153+F154,"")</f>
        <v/>
      </c>
      <c r="G150" s="1856" t="str">
        <f t="shared" si="9"/>
        <v>Missing input</v>
      </c>
      <c r="H150" s="1857"/>
      <c r="I150" s="137"/>
      <c r="J150" s="137"/>
      <c r="K150" s="137"/>
    </row>
    <row r="151" spans="2:11" x14ac:dyDescent="0.35">
      <c r="B151" s="2007" t="s">
        <v>830</v>
      </c>
      <c r="C151" s="1155"/>
      <c r="D151" s="1155"/>
      <c r="E151" s="2006" t="str">
        <f t="shared" si="8"/>
        <v/>
      </c>
      <c r="F151" s="2005"/>
      <c r="G151" s="1856" t="str">
        <f t="shared" si="9"/>
        <v>Missing input</v>
      </c>
      <c r="H151" s="1856" t="str">
        <f>IFERROR(IF(AND(_xlfn.NUMBERVALUE(D151)/_xlfn.NUMBERVALUE(C151)&gt;0.05,_xlfn.NUMBERVALUE(D151)/_xlfn.NUMBERVALUE(C151)&lt;0.15),"Ok","Please check"),"Please check")</f>
        <v>Please check</v>
      </c>
      <c r="I151" s="137"/>
      <c r="J151" s="137"/>
      <c r="K151" s="137"/>
    </row>
    <row r="152" spans="2:11" x14ac:dyDescent="0.35">
      <c r="B152" s="2009" t="s">
        <v>2458</v>
      </c>
      <c r="C152" s="1155"/>
      <c r="D152" s="1155"/>
      <c r="E152" s="2006" t="str">
        <f t="shared" si="8"/>
        <v/>
      </c>
      <c r="F152" s="2005"/>
      <c r="G152" s="1856" t="str">
        <f t="shared" si="9"/>
        <v>Missing input</v>
      </c>
      <c r="H152" s="1856" t="str">
        <f>IFERROR(IF(AND(_xlfn.NUMBERVALUE(D152)/_xlfn.NUMBERVALUE(C152)&gt;0.4,_xlfn.NUMBERVALUE(D152)/_xlfn.NUMBERVALUE(C152)&lt;0.5),"Ok","Please check"),"Please check")</f>
        <v>Please check</v>
      </c>
      <c r="I152" s="137"/>
      <c r="J152" s="137"/>
      <c r="K152" s="137"/>
    </row>
    <row r="153" spans="2:11" x14ac:dyDescent="0.35">
      <c r="B153" s="2007" t="s">
        <v>2459</v>
      </c>
      <c r="C153" s="1155"/>
      <c r="D153" s="1155"/>
      <c r="E153" s="2006" t="str">
        <f t="shared" si="8"/>
        <v/>
      </c>
      <c r="F153" s="2005"/>
      <c r="G153" s="1856" t="str">
        <f t="shared" si="9"/>
        <v>Missing input</v>
      </c>
      <c r="H153" s="1857"/>
      <c r="I153" s="137"/>
      <c r="J153" s="137"/>
      <c r="K153" s="137"/>
    </row>
    <row r="154" spans="2:11" x14ac:dyDescent="0.35">
      <c r="B154" s="2007" t="s">
        <v>828</v>
      </c>
      <c r="C154" s="1155"/>
      <c r="D154" s="1155"/>
      <c r="E154" s="2006" t="str">
        <f t="shared" si="8"/>
        <v/>
      </c>
      <c r="F154" s="2005"/>
      <c r="G154" s="1856" t="str">
        <f t="shared" si="9"/>
        <v>Missing input</v>
      </c>
      <c r="H154" s="1857"/>
      <c r="I154" s="137"/>
      <c r="J154" s="137"/>
      <c r="K154" s="137"/>
    </row>
    <row r="155" spans="2:11" x14ac:dyDescent="0.35">
      <c r="B155" s="2008" t="s">
        <v>835</v>
      </c>
      <c r="C155" s="2006" t="str">
        <f>IF(AND(ISNUMBER(C156),ISNUMBER(C157),ISNUMBER(C158),ISNUMBER(C159)),C156+C157+C158+C159,"")</f>
        <v/>
      </c>
      <c r="D155" s="2006" t="str">
        <f>IF(AND(ISNUMBER(D156),ISNUMBER(D157),ISNUMBER(D158),ISNUMBER(D159)),D156+D157+D158+D159,"")</f>
        <v/>
      </c>
      <c r="E155" s="2006" t="str">
        <f t="shared" si="8"/>
        <v/>
      </c>
      <c r="F155" s="2006" t="str">
        <f>IF(AND(ISNUMBER(F156),ISNUMBER(F157),ISNUMBER(F158),ISNUMBER(F159)),F156+F157+F158+F159,"")</f>
        <v/>
      </c>
      <c r="G155" s="1856" t="str">
        <f t="shared" si="9"/>
        <v>Missing input</v>
      </c>
      <c r="H155" s="1857"/>
      <c r="I155" s="137"/>
      <c r="J155" s="137"/>
      <c r="K155" s="137"/>
    </row>
    <row r="156" spans="2:11" x14ac:dyDescent="0.35">
      <c r="B156" s="2007" t="s">
        <v>830</v>
      </c>
      <c r="C156" s="1155"/>
      <c r="D156" s="1155"/>
      <c r="E156" s="2006" t="str">
        <f t="shared" si="8"/>
        <v/>
      </c>
      <c r="F156" s="2005"/>
      <c r="G156" s="1856" t="str">
        <f t="shared" si="9"/>
        <v>Missing input</v>
      </c>
      <c r="H156" s="1856" t="str">
        <f>IFERROR(IF(AND(_xlfn.NUMBERVALUE(D156)/_xlfn.NUMBERVALUE(C156)&gt;0.05,_xlfn.NUMBERVALUE(D156)/_xlfn.NUMBERVALUE(C156)&lt;0.15),"Ok","Please check"),"Please check")</f>
        <v>Please check</v>
      </c>
      <c r="I156" s="137"/>
      <c r="J156" s="137"/>
      <c r="K156" s="137"/>
    </row>
    <row r="157" spans="2:11" x14ac:dyDescent="0.35">
      <c r="B157" s="2009" t="s">
        <v>2458</v>
      </c>
      <c r="C157" s="1155"/>
      <c r="D157" s="1155"/>
      <c r="E157" s="2006" t="str">
        <f t="shared" si="8"/>
        <v/>
      </c>
      <c r="F157" s="2005"/>
      <c r="G157" s="1856" t="str">
        <f t="shared" si="9"/>
        <v>Missing input</v>
      </c>
      <c r="H157" s="1856" t="str">
        <f>IFERROR(IF(AND(_xlfn.NUMBERVALUE(D157)/_xlfn.NUMBERVALUE(C157)&gt;0.4,_xlfn.NUMBERVALUE(D157)/_xlfn.NUMBERVALUE(C157)&lt;0.5),"Ok","Please check"),"Please check")</f>
        <v>Please check</v>
      </c>
      <c r="I157" s="137"/>
      <c r="J157" s="137"/>
      <c r="K157" s="137"/>
    </row>
    <row r="158" spans="2:11" x14ac:dyDescent="0.35">
      <c r="B158" s="2007" t="s">
        <v>2457</v>
      </c>
      <c r="C158" s="1155"/>
      <c r="D158" s="1155"/>
      <c r="E158" s="2006" t="str">
        <f t="shared" si="8"/>
        <v/>
      </c>
      <c r="F158" s="2005"/>
      <c r="G158" s="1856" t="str">
        <f t="shared" si="9"/>
        <v>Missing input</v>
      </c>
      <c r="H158" s="1857"/>
      <c r="I158" s="137"/>
      <c r="J158" s="137"/>
      <c r="K158" s="137"/>
    </row>
    <row r="159" spans="2:11" x14ac:dyDescent="0.35">
      <c r="B159" s="2007" t="s">
        <v>828</v>
      </c>
      <c r="C159" s="1155"/>
      <c r="D159" s="1155"/>
      <c r="E159" s="2006" t="str">
        <f t="shared" si="8"/>
        <v/>
      </c>
      <c r="F159" s="2005"/>
      <c r="G159" s="1856" t="str">
        <f t="shared" si="9"/>
        <v>Missing input</v>
      </c>
      <c r="H159" s="1857"/>
      <c r="I159" s="137"/>
      <c r="J159" s="137"/>
      <c r="K159" s="137"/>
    </row>
    <row r="160" spans="2:11" x14ac:dyDescent="0.35">
      <c r="B160" s="2008" t="s">
        <v>840</v>
      </c>
      <c r="C160" s="2006" t="str">
        <f>IF(AND(ISNUMBER(C161),ISNUMBER(C162)),C161+C162,"")</f>
        <v/>
      </c>
      <c r="D160" s="2006" t="str">
        <f>IF(AND(ISNUMBER(D161),ISNUMBER(D162)),D161+D162,"")</f>
        <v/>
      </c>
      <c r="E160" s="2006" t="str">
        <f t="shared" si="8"/>
        <v/>
      </c>
      <c r="F160" s="2006" t="str">
        <f>IF(AND(ISNUMBER(F161),ISNUMBER(F162)),F161+F162,"")</f>
        <v/>
      </c>
      <c r="G160" s="1856" t="str">
        <f t="shared" si="9"/>
        <v>Missing input</v>
      </c>
      <c r="H160" s="1857"/>
      <c r="I160" s="137"/>
      <c r="J160" s="137"/>
      <c r="K160" s="137"/>
    </row>
    <row r="161" spans="1:11" x14ac:dyDescent="0.35">
      <c r="B161" s="2007" t="s">
        <v>841</v>
      </c>
      <c r="C161" s="1155"/>
      <c r="D161" s="1155"/>
      <c r="E161" s="2006" t="str">
        <f t="shared" si="8"/>
        <v/>
      </c>
      <c r="F161" s="2005"/>
      <c r="G161" s="1856" t="str">
        <f t="shared" si="9"/>
        <v>Missing input</v>
      </c>
      <c r="H161" s="1857"/>
      <c r="I161" s="137"/>
      <c r="J161" s="137"/>
      <c r="K161" s="137"/>
    </row>
    <row r="162" spans="1:11" x14ac:dyDescent="0.35">
      <c r="B162" s="2004" t="s">
        <v>842</v>
      </c>
      <c r="C162" s="2003"/>
      <c r="D162" s="2003"/>
      <c r="E162" s="2002" t="str">
        <f t="shared" si="8"/>
        <v/>
      </c>
      <c r="F162" s="2001"/>
      <c r="G162" s="1856" t="str">
        <f t="shared" si="9"/>
        <v>Missing input</v>
      </c>
      <c r="H162" s="1857"/>
      <c r="I162" s="137"/>
      <c r="J162" s="137"/>
      <c r="K162" s="137"/>
    </row>
    <row r="163" spans="1:11" x14ac:dyDescent="0.35">
      <c r="A163" s="98"/>
      <c r="B163" s="137"/>
      <c r="C163" s="137"/>
      <c r="D163" s="137"/>
      <c r="E163" s="137"/>
      <c r="F163" s="137"/>
      <c r="G163" s="137"/>
      <c r="H163" s="137"/>
      <c r="I163" s="137"/>
      <c r="J163" s="137"/>
      <c r="K163" s="137"/>
    </row>
    <row r="164" spans="1:11" hidden="1" x14ac:dyDescent="0.35">
      <c r="A164" s="98"/>
      <c r="B164" s="137"/>
      <c r="C164" s="137"/>
      <c r="D164" s="137"/>
      <c r="E164" s="137"/>
      <c r="F164" s="137"/>
      <c r="G164" s="137"/>
      <c r="H164" s="137"/>
      <c r="I164" s="137"/>
      <c r="J164" s="137"/>
      <c r="K164" s="137"/>
    </row>
    <row r="165" spans="1:11" hidden="1" x14ac:dyDescent="0.35">
      <c r="A165" s="98"/>
      <c r="B165" s="137"/>
      <c r="C165" s="137"/>
      <c r="D165" s="137"/>
      <c r="E165" s="137"/>
      <c r="F165" s="137"/>
      <c r="G165" s="137"/>
      <c r="H165" s="137"/>
      <c r="I165" s="137"/>
      <c r="J165" s="137"/>
      <c r="K165" s="137"/>
    </row>
    <row r="166" spans="1:11" hidden="1" x14ac:dyDescent="0.35">
      <c r="I166" s="98"/>
    </row>
    <row r="167" spans="1:11" hidden="1" x14ac:dyDescent="0.35">
      <c r="I167" s="98"/>
    </row>
    <row r="168" spans="1:11" hidden="1" x14ac:dyDescent="0.35">
      <c r="I168" s="98"/>
    </row>
    <row r="169" spans="1:11" hidden="1" x14ac:dyDescent="0.35">
      <c r="I169" s="98"/>
    </row>
    <row r="170" spans="1:11" hidden="1" x14ac:dyDescent="0.35">
      <c r="I170" s="98"/>
    </row>
    <row r="171" spans="1:11" hidden="1" x14ac:dyDescent="0.35">
      <c r="I171" s="98"/>
    </row>
    <row r="172" spans="1:11" hidden="1" x14ac:dyDescent="0.35">
      <c r="I172" s="98"/>
    </row>
    <row r="173" spans="1:11" hidden="1" x14ac:dyDescent="0.35">
      <c r="I173" s="98"/>
    </row>
    <row r="174" spans="1:11" hidden="1" x14ac:dyDescent="0.35">
      <c r="I174" s="98"/>
    </row>
    <row r="175" spans="1:11" hidden="1" x14ac:dyDescent="0.35">
      <c r="I175" s="98"/>
    </row>
    <row r="176" spans="1:11" hidden="1" x14ac:dyDescent="0.35">
      <c r="I176" s="98"/>
    </row>
    <row r="177" spans="9:9" hidden="1" x14ac:dyDescent="0.35">
      <c r="I177" s="98"/>
    </row>
    <row r="178" spans="9:9" x14ac:dyDescent="0.35"/>
    <row r="179" spans="9:9" x14ac:dyDescent="0.35"/>
  </sheetData>
  <sheetProtection algorithmName="SHA-512" hashValue="dLlpDToT8Y0Fi7a6C0QPKl90Tzhl0+hbxAy8medNyqpCk2Se9afh6DBgFv6WrUmsk3dasxG1btMjdsqj+y8GLA==" saltValue="/fBE8+52X87Qy3/GQuDCUA==" spinCount="100000" sheet="1" objects="1" scenarios="1"/>
  <mergeCells count="45">
    <mergeCell ref="B136:B138"/>
    <mergeCell ref="C136:H136"/>
    <mergeCell ref="I136:I138"/>
    <mergeCell ref="C137:H137"/>
    <mergeCell ref="B145:B148"/>
    <mergeCell ref="C145:F145"/>
    <mergeCell ref="C146:F146"/>
    <mergeCell ref="C147:D147"/>
    <mergeCell ref="E147:F147"/>
    <mergeCell ref="B103:B105"/>
    <mergeCell ref="C103:H103"/>
    <mergeCell ref="I103:I105"/>
    <mergeCell ref="C104:H104"/>
    <mergeCell ref="B112:B115"/>
    <mergeCell ref="C112:F112"/>
    <mergeCell ref="C113:F113"/>
    <mergeCell ref="C114:D114"/>
    <mergeCell ref="E114:F114"/>
    <mergeCell ref="B70:B72"/>
    <mergeCell ref="C70:H70"/>
    <mergeCell ref="I70:I72"/>
    <mergeCell ref="C71:H71"/>
    <mergeCell ref="B79:B82"/>
    <mergeCell ref="C79:F79"/>
    <mergeCell ref="C80:F80"/>
    <mergeCell ref="C81:D81"/>
    <mergeCell ref="E81:F81"/>
    <mergeCell ref="B46:B49"/>
    <mergeCell ref="C46:F46"/>
    <mergeCell ref="C47:F47"/>
    <mergeCell ref="C48:D48"/>
    <mergeCell ref="E48:F48"/>
    <mergeCell ref="I4:I6"/>
    <mergeCell ref="C5:H5"/>
    <mergeCell ref="C13:F13"/>
    <mergeCell ref="B37:B39"/>
    <mergeCell ref="C37:H37"/>
    <mergeCell ref="I37:I39"/>
    <mergeCell ref="C38:H38"/>
    <mergeCell ref="B14:B16"/>
    <mergeCell ref="C14:F14"/>
    <mergeCell ref="C15:D15"/>
    <mergeCell ref="E15:F15"/>
    <mergeCell ref="B4:B6"/>
    <mergeCell ref="C4:H4"/>
  </mergeCells>
  <conditionalFormatting sqref="E17 C24:D27 F24:F27 C19:D22 F19:F22">
    <cfRule type="cellIs" dxfId="3454" priority="548" stopIfTrue="1" operator="equal">
      <formula>"Pass"</formula>
    </cfRule>
    <cfRule type="cellIs" dxfId="3453" priority="549" stopIfTrue="1" operator="equal">
      <formula>"Please check"</formula>
    </cfRule>
    <cfRule type="cellIs" dxfId="3452" priority="550" stopIfTrue="1" operator="equal">
      <formula>"Fail"</formula>
    </cfRule>
  </conditionalFormatting>
  <conditionalFormatting sqref="B19:B22 B24:B27">
    <cfRule type="cellIs" dxfId="3451" priority="539" stopIfTrue="1" operator="equal">
      <formula>"Pass"</formula>
    </cfRule>
    <cfRule type="cellIs" dxfId="3450" priority="540" stopIfTrue="1" operator="equal">
      <formula>"please check"</formula>
    </cfRule>
    <cfRule type="cellIs" dxfId="3449" priority="541" stopIfTrue="1" operator="equal">
      <formula>"Fail"</formula>
    </cfRule>
  </conditionalFormatting>
  <conditionalFormatting sqref="B17:B18">
    <cfRule type="cellIs" dxfId="3448" priority="542" stopIfTrue="1" operator="equal">
      <formula>"Pass"</formula>
    </cfRule>
    <cfRule type="cellIs" dxfId="3447" priority="543" stopIfTrue="1" operator="equal">
      <formula>"please check"</formula>
    </cfRule>
    <cfRule type="cellIs" dxfId="3446" priority="544" stopIfTrue="1" operator="equal">
      <formula>"Fail"</formula>
    </cfRule>
  </conditionalFormatting>
  <conditionalFormatting sqref="B7:B8">
    <cfRule type="cellIs" dxfId="3445" priority="545" stopIfTrue="1" operator="equal">
      <formula>"Pass"</formula>
    </cfRule>
    <cfRule type="cellIs" dxfId="3444" priority="546" stopIfTrue="1" operator="equal">
      <formula>"please check"</formula>
    </cfRule>
    <cfRule type="cellIs" dxfId="3443" priority="547" stopIfTrue="1" operator="equal">
      <formula>"Fail"</formula>
    </cfRule>
  </conditionalFormatting>
  <conditionalFormatting sqref="B23">
    <cfRule type="cellIs" dxfId="3442" priority="536" stopIfTrue="1" operator="equal">
      <formula>"Pass"</formula>
    </cfRule>
    <cfRule type="cellIs" dxfId="3441" priority="537" stopIfTrue="1" operator="equal">
      <formula>"please check"</formula>
    </cfRule>
    <cfRule type="cellIs" dxfId="3440" priority="538" stopIfTrue="1" operator="equal">
      <formula>"Fail"</formula>
    </cfRule>
  </conditionalFormatting>
  <conditionalFormatting sqref="B117">
    <cfRule type="cellIs" dxfId="3439" priority="506" stopIfTrue="1" operator="equal">
      <formula>"Pass"</formula>
    </cfRule>
    <cfRule type="cellIs" dxfId="3438" priority="507" stopIfTrue="1" operator="equal">
      <formula>"please check"</formula>
    </cfRule>
    <cfRule type="cellIs" dxfId="3437" priority="508" stopIfTrue="1" operator="equal">
      <formula>"Fail"</formula>
    </cfRule>
  </conditionalFormatting>
  <conditionalFormatting sqref="B106:B107">
    <cfRule type="cellIs" dxfId="3436" priority="509" stopIfTrue="1" operator="equal">
      <formula>"Pass"</formula>
    </cfRule>
    <cfRule type="cellIs" dxfId="3435" priority="510" stopIfTrue="1" operator="equal">
      <formula>"please check"</formula>
    </cfRule>
    <cfRule type="cellIs" dxfId="3434" priority="511" stopIfTrue="1" operator="equal">
      <formula>"Fail"</formula>
    </cfRule>
  </conditionalFormatting>
  <conditionalFormatting sqref="B118 B123 B120:B121 B125:B126">
    <cfRule type="cellIs" dxfId="3433" priority="503" stopIfTrue="1" operator="equal">
      <formula>"Pass"</formula>
    </cfRule>
    <cfRule type="cellIs" dxfId="3432" priority="504" stopIfTrue="1" operator="equal">
      <formula>"please check"</formula>
    </cfRule>
    <cfRule type="cellIs" dxfId="3431" priority="505" stopIfTrue="1" operator="equal">
      <formula>"Fail"</formula>
    </cfRule>
  </conditionalFormatting>
  <conditionalFormatting sqref="B52 B57 B54:B55 B59:B60">
    <cfRule type="cellIs" dxfId="3430" priority="527" stopIfTrue="1" operator="equal">
      <formula>"Pass"</formula>
    </cfRule>
    <cfRule type="cellIs" dxfId="3429" priority="528" stopIfTrue="1" operator="equal">
      <formula>"please check"</formula>
    </cfRule>
    <cfRule type="cellIs" dxfId="3428" priority="529" stopIfTrue="1" operator="equal">
      <formula>"Fail"</formula>
    </cfRule>
  </conditionalFormatting>
  <conditionalFormatting sqref="B50:B51">
    <cfRule type="cellIs" dxfId="3427" priority="530" stopIfTrue="1" operator="equal">
      <formula>"Pass"</formula>
    </cfRule>
    <cfRule type="cellIs" dxfId="3426" priority="531" stopIfTrue="1" operator="equal">
      <formula>"please check"</formula>
    </cfRule>
    <cfRule type="cellIs" dxfId="3425" priority="532" stopIfTrue="1" operator="equal">
      <formula>"Fail"</formula>
    </cfRule>
  </conditionalFormatting>
  <conditionalFormatting sqref="B40:B41">
    <cfRule type="cellIs" dxfId="3424" priority="533" stopIfTrue="1" operator="equal">
      <formula>"Pass"</formula>
    </cfRule>
    <cfRule type="cellIs" dxfId="3423" priority="534" stopIfTrue="1" operator="equal">
      <formula>"please check"</formula>
    </cfRule>
    <cfRule type="cellIs" dxfId="3422" priority="535" stopIfTrue="1" operator="equal">
      <formula>"Fail"</formula>
    </cfRule>
  </conditionalFormatting>
  <conditionalFormatting sqref="B56">
    <cfRule type="cellIs" dxfId="3421" priority="524" stopIfTrue="1" operator="equal">
      <formula>"Pass"</formula>
    </cfRule>
    <cfRule type="cellIs" dxfId="3420" priority="525" stopIfTrue="1" operator="equal">
      <formula>"please check"</formula>
    </cfRule>
    <cfRule type="cellIs" dxfId="3419" priority="526" stopIfTrue="1" operator="equal">
      <formula>"Fail"</formula>
    </cfRule>
  </conditionalFormatting>
  <conditionalFormatting sqref="B85 B90 B87:B88 B92:B93">
    <cfRule type="cellIs" dxfId="3418" priority="515" stopIfTrue="1" operator="equal">
      <formula>"Pass"</formula>
    </cfRule>
    <cfRule type="cellIs" dxfId="3417" priority="516" stopIfTrue="1" operator="equal">
      <formula>"please check"</formula>
    </cfRule>
    <cfRule type="cellIs" dxfId="3416" priority="517" stopIfTrue="1" operator="equal">
      <formula>"Fail"</formula>
    </cfRule>
  </conditionalFormatting>
  <conditionalFormatting sqref="B84">
    <cfRule type="cellIs" dxfId="3415" priority="518" stopIfTrue="1" operator="equal">
      <formula>"Pass"</formula>
    </cfRule>
    <cfRule type="cellIs" dxfId="3414" priority="519" stopIfTrue="1" operator="equal">
      <formula>"please check"</formula>
    </cfRule>
    <cfRule type="cellIs" dxfId="3413" priority="520" stopIfTrue="1" operator="equal">
      <formula>"Fail"</formula>
    </cfRule>
  </conditionalFormatting>
  <conditionalFormatting sqref="B73:B74">
    <cfRule type="cellIs" dxfId="3412" priority="521" stopIfTrue="1" operator="equal">
      <formula>"Pass"</formula>
    </cfRule>
    <cfRule type="cellIs" dxfId="3411" priority="522" stopIfTrue="1" operator="equal">
      <formula>"please check"</formula>
    </cfRule>
    <cfRule type="cellIs" dxfId="3410" priority="523" stopIfTrue="1" operator="equal">
      <formula>"Fail"</formula>
    </cfRule>
  </conditionalFormatting>
  <conditionalFormatting sqref="B89">
    <cfRule type="cellIs" dxfId="3409" priority="512" stopIfTrue="1" operator="equal">
      <formula>"Pass"</formula>
    </cfRule>
    <cfRule type="cellIs" dxfId="3408" priority="513" stopIfTrue="1" operator="equal">
      <formula>"please check"</formula>
    </cfRule>
    <cfRule type="cellIs" dxfId="3407" priority="514" stopIfTrue="1" operator="equal">
      <formula>"Fail"</formula>
    </cfRule>
  </conditionalFormatting>
  <conditionalFormatting sqref="B122">
    <cfRule type="cellIs" dxfId="3406" priority="500" stopIfTrue="1" operator="equal">
      <formula>"Pass"</formula>
    </cfRule>
    <cfRule type="cellIs" dxfId="3405" priority="501" stopIfTrue="1" operator="equal">
      <formula>"please check"</formula>
    </cfRule>
    <cfRule type="cellIs" dxfId="3404" priority="502" stopIfTrue="1" operator="equal">
      <formula>"Fail"</formula>
    </cfRule>
  </conditionalFormatting>
  <conditionalFormatting sqref="B151 B156 B153:B154 B158:B159">
    <cfRule type="cellIs" dxfId="3403" priority="491" stopIfTrue="1" operator="equal">
      <formula>"Pass"</formula>
    </cfRule>
    <cfRule type="cellIs" dxfId="3402" priority="492" stopIfTrue="1" operator="equal">
      <formula>"please check"</formula>
    </cfRule>
    <cfRule type="cellIs" dxfId="3401" priority="493" stopIfTrue="1" operator="equal">
      <formula>"Fail"</formula>
    </cfRule>
  </conditionalFormatting>
  <conditionalFormatting sqref="B150">
    <cfRule type="cellIs" dxfId="3400" priority="494" stopIfTrue="1" operator="equal">
      <formula>"Pass"</formula>
    </cfRule>
    <cfRule type="cellIs" dxfId="3399" priority="495" stopIfTrue="1" operator="equal">
      <formula>"please check"</formula>
    </cfRule>
    <cfRule type="cellIs" dxfId="3398" priority="496" stopIfTrue="1" operator="equal">
      <formula>"Fail"</formula>
    </cfRule>
  </conditionalFormatting>
  <conditionalFormatting sqref="B139:B140">
    <cfRule type="cellIs" dxfId="3397" priority="497" stopIfTrue="1" operator="equal">
      <formula>"Pass"</formula>
    </cfRule>
    <cfRule type="cellIs" dxfId="3396" priority="498" stopIfTrue="1" operator="equal">
      <formula>"please check"</formula>
    </cfRule>
    <cfRule type="cellIs" dxfId="3395" priority="499" stopIfTrue="1" operator="equal">
      <formula>"Fail"</formula>
    </cfRule>
  </conditionalFormatting>
  <conditionalFormatting sqref="B155">
    <cfRule type="cellIs" dxfId="3394" priority="488" stopIfTrue="1" operator="equal">
      <formula>"Pass"</formula>
    </cfRule>
    <cfRule type="cellIs" dxfId="3393" priority="489" stopIfTrue="1" operator="equal">
      <formula>"please check"</formula>
    </cfRule>
    <cfRule type="cellIs" dxfId="3392" priority="490" stopIfTrue="1" operator="equal">
      <formula>"Fail"</formula>
    </cfRule>
  </conditionalFormatting>
  <conditionalFormatting sqref="B83">
    <cfRule type="cellIs" dxfId="3391" priority="485" stopIfTrue="1" operator="equal">
      <formula>"Pass"</formula>
    </cfRule>
    <cfRule type="cellIs" dxfId="3390" priority="486" stopIfTrue="1" operator="equal">
      <formula>"please check"</formula>
    </cfRule>
    <cfRule type="cellIs" dxfId="3389" priority="487" stopIfTrue="1" operator="equal">
      <formula>"Fail"</formula>
    </cfRule>
  </conditionalFormatting>
  <conditionalFormatting sqref="B116">
    <cfRule type="cellIs" dxfId="3388" priority="482" stopIfTrue="1" operator="equal">
      <formula>"Pass"</formula>
    </cfRule>
    <cfRule type="cellIs" dxfId="3387" priority="483" stopIfTrue="1" operator="equal">
      <formula>"please check"</formula>
    </cfRule>
    <cfRule type="cellIs" dxfId="3386" priority="484" stopIfTrue="1" operator="equal">
      <formula>"Fail"</formula>
    </cfRule>
  </conditionalFormatting>
  <conditionalFormatting sqref="B149">
    <cfRule type="cellIs" dxfId="3385" priority="479" stopIfTrue="1" operator="equal">
      <formula>"Pass"</formula>
    </cfRule>
    <cfRule type="cellIs" dxfId="3384" priority="480" stopIfTrue="1" operator="equal">
      <formula>"please check"</formula>
    </cfRule>
    <cfRule type="cellIs" dxfId="3383" priority="481" stopIfTrue="1" operator="equal">
      <formula>"Fail"</formula>
    </cfRule>
  </conditionalFormatting>
  <conditionalFormatting sqref="B28:B30">
    <cfRule type="cellIs" dxfId="3382" priority="476" stopIfTrue="1" operator="equal">
      <formula>"Pass"</formula>
    </cfRule>
    <cfRule type="cellIs" dxfId="3381" priority="477" stopIfTrue="1" operator="equal">
      <formula>"please check"</formula>
    </cfRule>
  </conditionalFormatting>
  <conditionalFormatting sqref="B61:B63">
    <cfRule type="cellIs" dxfId="3380" priority="473" stopIfTrue="1" operator="equal">
      <formula>"Pass"</formula>
    </cfRule>
    <cfRule type="cellIs" dxfId="3379" priority="474" stopIfTrue="1" operator="equal">
      <formula>"please check"</formula>
    </cfRule>
  </conditionalFormatting>
  <conditionalFormatting sqref="B94:B96">
    <cfRule type="cellIs" dxfId="3378" priority="470" stopIfTrue="1" operator="equal">
      <formula>"Pass"</formula>
    </cfRule>
    <cfRule type="cellIs" dxfId="3377" priority="471" stopIfTrue="1" operator="equal">
      <formula>"please check"</formula>
    </cfRule>
  </conditionalFormatting>
  <conditionalFormatting sqref="B127:B129">
    <cfRule type="cellIs" dxfId="3376" priority="467" stopIfTrue="1" operator="equal">
      <formula>"Pass"</formula>
    </cfRule>
    <cfRule type="cellIs" dxfId="3375" priority="468" stopIfTrue="1" operator="equal">
      <formula>"please check"</formula>
    </cfRule>
  </conditionalFormatting>
  <conditionalFormatting sqref="B160:B162">
    <cfRule type="cellIs" dxfId="3374" priority="464" stopIfTrue="1" operator="equal">
      <formula>"Pass"</formula>
    </cfRule>
    <cfRule type="cellIs" dxfId="3373" priority="465" stopIfTrue="1" operator="equal">
      <formula>"please check"</formula>
    </cfRule>
  </conditionalFormatting>
  <conditionalFormatting sqref="A1">
    <cfRule type="cellIs" dxfId="3372" priority="460" stopIfTrue="1" operator="equal">
      <formula>"Pass"</formula>
    </cfRule>
    <cfRule type="cellIs" dxfId="3371" priority="461" stopIfTrue="1" operator="equal">
      <formula>"Warning"</formula>
    </cfRule>
    <cfRule type="cellIs" dxfId="3370" priority="462" stopIfTrue="1" operator="equal">
      <formula>"Please explain"</formula>
    </cfRule>
    <cfRule type="cellIs" dxfId="3369" priority="463" stopIfTrue="1" operator="equal">
      <formula>"Fail"</formula>
    </cfRule>
  </conditionalFormatting>
  <conditionalFormatting sqref="E1">
    <cfRule type="cellIs" dxfId="3368" priority="456" stopIfTrue="1" operator="equal">
      <formula>"Pass"</formula>
    </cfRule>
    <cfRule type="cellIs" dxfId="3367" priority="457" stopIfTrue="1" operator="equal">
      <formula>"Warning"</formula>
    </cfRule>
    <cfRule type="cellIs" dxfId="3366" priority="458" stopIfTrue="1" operator="equal">
      <formula>"Please explain"</formula>
    </cfRule>
    <cfRule type="cellIs" dxfId="3365" priority="459" stopIfTrue="1" operator="equal">
      <formula>"Fail"</formula>
    </cfRule>
  </conditionalFormatting>
  <conditionalFormatting sqref="C52:D55 F52:F55 E50 F57:F60 C57:D60">
    <cfRule type="cellIs" dxfId="3364" priority="453" stopIfTrue="1" operator="equal">
      <formula>"Pass"</formula>
    </cfRule>
    <cfRule type="cellIs" dxfId="3363" priority="454" stopIfTrue="1" operator="equal">
      <formula>"Please check"</formula>
    </cfRule>
    <cfRule type="cellIs" dxfId="3362" priority="455" stopIfTrue="1" operator="equal">
      <formula>"Fail"</formula>
    </cfRule>
  </conditionalFormatting>
  <conditionalFormatting sqref="C62:D63 F62:F63">
    <cfRule type="cellIs" dxfId="3361" priority="450" stopIfTrue="1" operator="equal">
      <formula>"Pass"</formula>
    </cfRule>
    <cfRule type="cellIs" dxfId="3360" priority="451" stopIfTrue="1" operator="equal">
      <formula>"Please check"</formula>
    </cfRule>
    <cfRule type="cellIs" dxfId="3359" priority="452" stopIfTrue="1" operator="equal">
      <formula>"Fail"</formula>
    </cfRule>
  </conditionalFormatting>
  <conditionalFormatting sqref="C85:D88 F85:F88 E83 F90:F93 C90:D93">
    <cfRule type="cellIs" dxfId="3358" priority="447" stopIfTrue="1" operator="equal">
      <formula>"Pass"</formula>
    </cfRule>
    <cfRule type="cellIs" dxfId="3357" priority="448" stopIfTrue="1" operator="equal">
      <formula>"Please check"</formula>
    </cfRule>
    <cfRule type="cellIs" dxfId="3356" priority="449" stopIfTrue="1" operator="equal">
      <formula>"Fail"</formula>
    </cfRule>
  </conditionalFormatting>
  <conditionalFormatting sqref="C95:D96 F95:F96">
    <cfRule type="cellIs" dxfId="3355" priority="444" stopIfTrue="1" operator="equal">
      <formula>"Pass"</formula>
    </cfRule>
    <cfRule type="cellIs" dxfId="3354" priority="445" stopIfTrue="1" operator="equal">
      <formula>"Please check"</formula>
    </cfRule>
    <cfRule type="cellIs" dxfId="3353" priority="446" stopIfTrue="1" operator="equal">
      <formula>"Fail"</formula>
    </cfRule>
  </conditionalFormatting>
  <conditionalFormatting sqref="C118:D121 F118:F121 E116 F123:F126 C123:D126">
    <cfRule type="cellIs" dxfId="3352" priority="441" stopIfTrue="1" operator="equal">
      <formula>"Pass"</formula>
    </cfRule>
    <cfRule type="cellIs" dxfId="3351" priority="442" stopIfTrue="1" operator="equal">
      <formula>"Please check"</formula>
    </cfRule>
    <cfRule type="cellIs" dxfId="3350" priority="443" stopIfTrue="1" operator="equal">
      <formula>"Fail"</formula>
    </cfRule>
  </conditionalFormatting>
  <conditionalFormatting sqref="C128:D129 F128:F129">
    <cfRule type="cellIs" dxfId="3349" priority="438" stopIfTrue="1" operator="equal">
      <formula>"Pass"</formula>
    </cfRule>
    <cfRule type="cellIs" dxfId="3348" priority="439" stopIfTrue="1" operator="equal">
      <formula>"Please check"</formula>
    </cfRule>
    <cfRule type="cellIs" dxfId="3347" priority="440" stopIfTrue="1" operator="equal">
      <formula>"Fail"</formula>
    </cfRule>
  </conditionalFormatting>
  <conditionalFormatting sqref="C151:D154 F151:F154 E149 F156:F159 C156:D159">
    <cfRule type="cellIs" dxfId="3346" priority="435" stopIfTrue="1" operator="equal">
      <formula>"Pass"</formula>
    </cfRule>
    <cfRule type="cellIs" dxfId="3345" priority="436" stopIfTrue="1" operator="equal">
      <formula>"Please check"</formula>
    </cfRule>
    <cfRule type="cellIs" dxfId="3344" priority="437" stopIfTrue="1" operator="equal">
      <formula>"Fail"</formula>
    </cfRule>
  </conditionalFormatting>
  <conditionalFormatting sqref="C161:D162 F161:F162">
    <cfRule type="cellIs" dxfId="3343" priority="432" stopIfTrue="1" operator="equal">
      <formula>"Pass"</formula>
    </cfRule>
    <cfRule type="cellIs" dxfId="3342" priority="433" stopIfTrue="1" operator="equal">
      <formula>"Please check"</formula>
    </cfRule>
    <cfRule type="cellIs" dxfId="3341" priority="434" stopIfTrue="1" operator="equal">
      <formula>"Fail"</formula>
    </cfRule>
  </conditionalFormatting>
  <conditionalFormatting sqref="H18">
    <cfRule type="cellIs" dxfId="3340" priority="429" stopIfTrue="1" operator="equal">
      <formula>"No"</formula>
    </cfRule>
    <cfRule type="cellIs" dxfId="3339" priority="430" stopIfTrue="1" operator="equal">
      <formula>"Fail"</formula>
    </cfRule>
    <cfRule type="cellIs" dxfId="3338" priority="431" stopIfTrue="1" operator="equal">
      <formula>"please check"</formula>
    </cfRule>
  </conditionalFormatting>
  <conditionalFormatting sqref="H18">
    <cfRule type="cellIs" dxfId="3337" priority="428" stopIfTrue="1" operator="equal">
      <formula>"Pass"</formula>
    </cfRule>
  </conditionalFormatting>
  <conditionalFormatting sqref="H19">
    <cfRule type="cellIs" dxfId="3336" priority="425" stopIfTrue="1" operator="equal">
      <formula>"No"</formula>
    </cfRule>
    <cfRule type="cellIs" dxfId="3335" priority="426" stopIfTrue="1" operator="equal">
      <formula>"Fail"</formula>
    </cfRule>
    <cfRule type="cellIs" dxfId="3334" priority="427" stopIfTrue="1" operator="equal">
      <formula>"please check"</formula>
    </cfRule>
  </conditionalFormatting>
  <conditionalFormatting sqref="H19">
    <cfRule type="cellIs" dxfId="3333" priority="424" stopIfTrue="1" operator="equal">
      <formula>"Pass"</formula>
    </cfRule>
  </conditionalFormatting>
  <conditionalFormatting sqref="H19">
    <cfRule type="containsText" dxfId="3332" priority="421" operator="containsText" text="Please check">
      <formula>NOT(ISERROR(SEARCH("Please check",H19)))</formula>
    </cfRule>
    <cfRule type="containsText" dxfId="3331" priority="422" operator="containsText" text="Missing inputs">
      <formula>NOT(ISERROR(SEARCH("Missing inputs",H19)))</formula>
    </cfRule>
    <cfRule type="containsText" dxfId="3330" priority="423" operator="containsText" text="OK">
      <formula>NOT(ISERROR(SEARCH("OK",H19)))</formula>
    </cfRule>
  </conditionalFormatting>
  <conditionalFormatting sqref="H22">
    <cfRule type="cellIs" dxfId="3329" priority="418" stopIfTrue="1" operator="equal">
      <formula>"No"</formula>
    </cfRule>
    <cfRule type="cellIs" dxfId="3328" priority="419" stopIfTrue="1" operator="equal">
      <formula>"Fail"</formula>
    </cfRule>
    <cfRule type="cellIs" dxfId="3327" priority="420" stopIfTrue="1" operator="equal">
      <formula>"please check"</formula>
    </cfRule>
  </conditionalFormatting>
  <conditionalFormatting sqref="H22">
    <cfRule type="cellIs" dxfId="3326" priority="417" stopIfTrue="1" operator="equal">
      <formula>"Pass"</formula>
    </cfRule>
  </conditionalFormatting>
  <conditionalFormatting sqref="H21">
    <cfRule type="cellIs" dxfId="3325" priority="414" stopIfTrue="1" operator="equal">
      <formula>"No"</formula>
    </cfRule>
    <cfRule type="cellIs" dxfId="3324" priority="415" stopIfTrue="1" operator="equal">
      <formula>"Fail"</formula>
    </cfRule>
    <cfRule type="cellIs" dxfId="3323" priority="416" stopIfTrue="1" operator="equal">
      <formula>"please check"</formula>
    </cfRule>
  </conditionalFormatting>
  <conditionalFormatting sqref="H21">
    <cfRule type="cellIs" dxfId="3322" priority="413" stopIfTrue="1" operator="equal">
      <formula>"Pass"</formula>
    </cfRule>
  </conditionalFormatting>
  <conditionalFormatting sqref="H20">
    <cfRule type="cellIs" dxfId="3321" priority="410" stopIfTrue="1" operator="equal">
      <formula>"No"</formula>
    </cfRule>
    <cfRule type="cellIs" dxfId="3320" priority="411" stopIfTrue="1" operator="equal">
      <formula>"Fail"</formula>
    </cfRule>
    <cfRule type="cellIs" dxfId="3319" priority="412" stopIfTrue="1" operator="equal">
      <formula>"please check"</formula>
    </cfRule>
  </conditionalFormatting>
  <conditionalFormatting sqref="H20">
    <cfRule type="cellIs" dxfId="3318" priority="409" stopIfTrue="1" operator="equal">
      <formula>"Pass"</formula>
    </cfRule>
  </conditionalFormatting>
  <conditionalFormatting sqref="H20">
    <cfRule type="containsText" dxfId="3317" priority="406" operator="containsText" text="Please check">
      <formula>NOT(ISERROR(SEARCH("Please check",H20)))</formula>
    </cfRule>
    <cfRule type="containsText" dxfId="3316" priority="407" operator="containsText" text="Missing inputs">
      <formula>NOT(ISERROR(SEARCH("Missing inputs",H20)))</formula>
    </cfRule>
    <cfRule type="containsText" dxfId="3315" priority="408" operator="containsText" text="OK">
      <formula>NOT(ISERROR(SEARCH("OK",H20)))</formula>
    </cfRule>
  </conditionalFormatting>
  <conditionalFormatting sqref="H24">
    <cfRule type="cellIs" dxfId="3314" priority="403" stopIfTrue="1" operator="equal">
      <formula>"No"</formula>
    </cfRule>
    <cfRule type="cellIs" dxfId="3313" priority="404" stopIfTrue="1" operator="equal">
      <formula>"Fail"</formula>
    </cfRule>
    <cfRule type="cellIs" dxfId="3312" priority="405" stopIfTrue="1" operator="equal">
      <formula>"please check"</formula>
    </cfRule>
  </conditionalFormatting>
  <conditionalFormatting sqref="H24">
    <cfRule type="cellIs" dxfId="3311" priority="402" stopIfTrue="1" operator="equal">
      <formula>"Pass"</formula>
    </cfRule>
  </conditionalFormatting>
  <conditionalFormatting sqref="H24">
    <cfRule type="containsText" dxfId="3310" priority="399" operator="containsText" text="Please check">
      <formula>NOT(ISERROR(SEARCH("Please check",H24)))</formula>
    </cfRule>
    <cfRule type="containsText" dxfId="3309" priority="400" operator="containsText" text="Missing inputs">
      <formula>NOT(ISERROR(SEARCH("Missing inputs",H24)))</formula>
    </cfRule>
    <cfRule type="containsText" dxfId="3308" priority="401" operator="containsText" text="OK">
      <formula>NOT(ISERROR(SEARCH("OK",H24)))</formula>
    </cfRule>
  </conditionalFormatting>
  <conditionalFormatting sqref="H25">
    <cfRule type="cellIs" dxfId="3307" priority="396" stopIfTrue="1" operator="equal">
      <formula>"No"</formula>
    </cfRule>
    <cfRule type="cellIs" dxfId="3306" priority="397" stopIfTrue="1" operator="equal">
      <formula>"Fail"</formula>
    </cfRule>
    <cfRule type="cellIs" dxfId="3305" priority="398" stopIfTrue="1" operator="equal">
      <formula>"please check"</formula>
    </cfRule>
  </conditionalFormatting>
  <conditionalFormatting sqref="H25">
    <cfRule type="cellIs" dxfId="3304" priority="395" stopIfTrue="1" operator="equal">
      <formula>"Pass"</formula>
    </cfRule>
  </conditionalFormatting>
  <conditionalFormatting sqref="H25">
    <cfRule type="containsText" dxfId="3303" priority="392" operator="containsText" text="Please check">
      <formula>NOT(ISERROR(SEARCH("Please check",H25)))</formula>
    </cfRule>
    <cfRule type="containsText" dxfId="3302" priority="393" operator="containsText" text="Missing inputs">
      <formula>NOT(ISERROR(SEARCH("Missing inputs",H25)))</formula>
    </cfRule>
    <cfRule type="containsText" dxfId="3301" priority="394" operator="containsText" text="OK">
      <formula>NOT(ISERROR(SEARCH("OK",H25)))</formula>
    </cfRule>
  </conditionalFormatting>
  <conditionalFormatting sqref="H23">
    <cfRule type="cellIs" dxfId="3300" priority="389" stopIfTrue="1" operator="equal">
      <formula>"No"</formula>
    </cfRule>
    <cfRule type="cellIs" dxfId="3299" priority="390" stopIfTrue="1" operator="equal">
      <formula>"Fail"</formula>
    </cfRule>
    <cfRule type="cellIs" dxfId="3298" priority="391" stopIfTrue="1" operator="equal">
      <formula>"please check"</formula>
    </cfRule>
  </conditionalFormatting>
  <conditionalFormatting sqref="H23">
    <cfRule type="cellIs" dxfId="3297" priority="388" stopIfTrue="1" operator="equal">
      <formula>"Pass"</formula>
    </cfRule>
  </conditionalFormatting>
  <conditionalFormatting sqref="H26:H30">
    <cfRule type="cellIs" dxfId="3296" priority="385" stopIfTrue="1" operator="equal">
      <formula>"No"</formula>
    </cfRule>
    <cfRule type="cellIs" dxfId="3295" priority="386" stopIfTrue="1" operator="equal">
      <formula>"Fail"</formula>
    </cfRule>
    <cfRule type="cellIs" dxfId="3294" priority="387" stopIfTrue="1" operator="equal">
      <formula>"please check"</formula>
    </cfRule>
  </conditionalFormatting>
  <conditionalFormatting sqref="H26:H30">
    <cfRule type="cellIs" dxfId="3293" priority="384" stopIfTrue="1" operator="equal">
      <formula>"Pass"</formula>
    </cfRule>
  </conditionalFormatting>
  <conditionalFormatting sqref="I7">
    <cfRule type="cellIs" dxfId="3292" priority="381" stopIfTrue="1" operator="equal">
      <formula>"No"</formula>
    </cfRule>
    <cfRule type="cellIs" dxfId="3291" priority="382" stopIfTrue="1" operator="equal">
      <formula>"Fail"</formula>
    </cfRule>
    <cfRule type="cellIs" dxfId="3290" priority="383" stopIfTrue="1" operator="equal">
      <formula>"please check"</formula>
    </cfRule>
  </conditionalFormatting>
  <conditionalFormatting sqref="I7">
    <cfRule type="cellIs" dxfId="3289" priority="380" stopIfTrue="1" operator="equal">
      <formula>"Pass"</formula>
    </cfRule>
  </conditionalFormatting>
  <conditionalFormatting sqref="I7">
    <cfRule type="containsText" dxfId="3288" priority="377" operator="containsText" text="Please check">
      <formula>NOT(ISERROR(SEARCH("Please check",I7)))</formula>
    </cfRule>
    <cfRule type="containsText" dxfId="3287" priority="378" operator="containsText" text="Missing inputs">
      <formula>NOT(ISERROR(SEARCH("Missing inputs",I7)))</formula>
    </cfRule>
    <cfRule type="containsText" dxfId="3286" priority="379" operator="containsText" text="OK">
      <formula>NOT(ISERROR(SEARCH("OK",I7)))</formula>
    </cfRule>
  </conditionalFormatting>
  <conditionalFormatting sqref="I8">
    <cfRule type="cellIs" dxfId="3285" priority="374" stopIfTrue="1" operator="equal">
      <formula>"No"</formula>
    </cfRule>
    <cfRule type="cellIs" dxfId="3284" priority="375" stopIfTrue="1" operator="equal">
      <formula>"Fail"</formula>
    </cfRule>
    <cfRule type="cellIs" dxfId="3283" priority="376" stopIfTrue="1" operator="equal">
      <formula>"please check"</formula>
    </cfRule>
  </conditionalFormatting>
  <conditionalFormatting sqref="I8">
    <cfRule type="cellIs" dxfId="3282" priority="373" stopIfTrue="1" operator="equal">
      <formula>"Pass"</formula>
    </cfRule>
  </conditionalFormatting>
  <conditionalFormatting sqref="I8">
    <cfRule type="containsText" dxfId="3281" priority="370" operator="containsText" text="Please check">
      <formula>NOT(ISERROR(SEARCH("Please check",I8)))</formula>
    </cfRule>
    <cfRule type="containsText" dxfId="3280" priority="371" operator="containsText" text="Missing inputs">
      <formula>NOT(ISERROR(SEARCH("Missing inputs",I8)))</formula>
    </cfRule>
    <cfRule type="containsText" dxfId="3279" priority="372" operator="containsText" text="OK">
      <formula>NOT(ISERROR(SEARCH("OK",I8)))</formula>
    </cfRule>
  </conditionalFormatting>
  <conditionalFormatting sqref="G17:G30">
    <cfRule type="cellIs" dxfId="3278" priority="367" stopIfTrue="1" operator="equal">
      <formula>"No"</formula>
    </cfRule>
    <cfRule type="cellIs" dxfId="3277" priority="368" stopIfTrue="1" operator="equal">
      <formula>"Fail"</formula>
    </cfRule>
    <cfRule type="cellIs" dxfId="3276" priority="369" stopIfTrue="1" operator="equal">
      <formula>"please check"</formula>
    </cfRule>
  </conditionalFormatting>
  <conditionalFormatting sqref="G17:G30">
    <cfRule type="cellIs" dxfId="3275" priority="366" stopIfTrue="1" operator="equal">
      <formula>"Pass"</formula>
    </cfRule>
  </conditionalFormatting>
  <conditionalFormatting sqref="G17:G30">
    <cfRule type="containsText" dxfId="3274" priority="363" operator="containsText" text="Please check">
      <formula>NOT(ISERROR(SEARCH("Please check",G17)))</formula>
    </cfRule>
    <cfRule type="containsText" dxfId="3273" priority="364" operator="containsText" text="Missing inputs">
      <formula>NOT(ISERROR(SEARCH("Missing inputs",G17)))</formula>
    </cfRule>
    <cfRule type="containsText" dxfId="3272" priority="365" operator="containsText" text="OK">
      <formula>NOT(ISERROR(SEARCH("OK",G17)))</formula>
    </cfRule>
  </conditionalFormatting>
  <conditionalFormatting sqref="H17">
    <cfRule type="cellIs" dxfId="3271" priority="360" stopIfTrue="1" operator="equal">
      <formula>"No"</formula>
    </cfRule>
    <cfRule type="cellIs" dxfId="3270" priority="361" stopIfTrue="1" operator="equal">
      <formula>"Fail"</formula>
    </cfRule>
    <cfRule type="cellIs" dxfId="3269" priority="362" stopIfTrue="1" operator="equal">
      <formula>"please check"</formula>
    </cfRule>
  </conditionalFormatting>
  <conditionalFormatting sqref="H17">
    <cfRule type="cellIs" dxfId="3268" priority="359" stopIfTrue="1" operator="equal">
      <formula>"Pass"</formula>
    </cfRule>
  </conditionalFormatting>
  <conditionalFormatting sqref="H17">
    <cfRule type="containsText" dxfId="3267" priority="356" operator="containsText" text="Please check">
      <formula>NOT(ISERROR(SEARCH("Please check",H17)))</formula>
    </cfRule>
    <cfRule type="containsText" dxfId="3266" priority="357" operator="containsText" text="Missing inputs">
      <formula>NOT(ISERROR(SEARCH("Missing inputs",H17)))</formula>
    </cfRule>
    <cfRule type="containsText" dxfId="3265" priority="358" operator="containsText" text="OK">
      <formula>NOT(ISERROR(SEARCH("OK",H17)))</formula>
    </cfRule>
  </conditionalFormatting>
  <conditionalFormatting sqref="I40">
    <cfRule type="cellIs" dxfId="3264" priority="338" stopIfTrue="1" operator="equal">
      <formula>"No"</formula>
    </cfRule>
    <cfRule type="cellIs" dxfId="3263" priority="339" stopIfTrue="1" operator="equal">
      <formula>"Fail"</formula>
    </cfRule>
    <cfRule type="cellIs" dxfId="3262" priority="340" stopIfTrue="1" operator="equal">
      <formula>"please check"</formula>
    </cfRule>
  </conditionalFormatting>
  <conditionalFormatting sqref="I40">
    <cfRule type="cellIs" dxfId="3261" priority="337" stopIfTrue="1" operator="equal">
      <formula>"Pass"</formula>
    </cfRule>
  </conditionalFormatting>
  <conditionalFormatting sqref="I40">
    <cfRule type="containsText" dxfId="3260" priority="334" operator="containsText" text="Please check">
      <formula>NOT(ISERROR(SEARCH("Please check",I40)))</formula>
    </cfRule>
    <cfRule type="containsText" dxfId="3259" priority="335" operator="containsText" text="Missing inputs">
      <formula>NOT(ISERROR(SEARCH("Missing inputs",I40)))</formula>
    </cfRule>
    <cfRule type="containsText" dxfId="3258" priority="336" operator="containsText" text="OK">
      <formula>NOT(ISERROR(SEARCH("OK",I40)))</formula>
    </cfRule>
  </conditionalFormatting>
  <conditionalFormatting sqref="I41">
    <cfRule type="cellIs" dxfId="3257" priority="331" stopIfTrue="1" operator="equal">
      <formula>"No"</formula>
    </cfRule>
    <cfRule type="cellIs" dxfId="3256" priority="332" stopIfTrue="1" operator="equal">
      <formula>"Fail"</formula>
    </cfRule>
    <cfRule type="cellIs" dxfId="3255" priority="333" stopIfTrue="1" operator="equal">
      <formula>"please check"</formula>
    </cfRule>
  </conditionalFormatting>
  <conditionalFormatting sqref="I41">
    <cfRule type="cellIs" dxfId="3254" priority="330" stopIfTrue="1" operator="equal">
      <formula>"Pass"</formula>
    </cfRule>
  </conditionalFormatting>
  <conditionalFormatting sqref="I41">
    <cfRule type="containsText" dxfId="3253" priority="327" operator="containsText" text="Please check">
      <formula>NOT(ISERROR(SEARCH("Please check",I41)))</formula>
    </cfRule>
    <cfRule type="containsText" dxfId="3252" priority="328" operator="containsText" text="Missing inputs">
      <formula>NOT(ISERROR(SEARCH("Missing inputs",I41)))</formula>
    </cfRule>
    <cfRule type="containsText" dxfId="3251" priority="329" operator="containsText" text="OK">
      <formula>NOT(ISERROR(SEARCH("OK",I41)))</formula>
    </cfRule>
  </conditionalFormatting>
  <conditionalFormatting sqref="I73">
    <cfRule type="cellIs" dxfId="3250" priority="324" stopIfTrue="1" operator="equal">
      <formula>"No"</formula>
    </cfRule>
    <cfRule type="cellIs" dxfId="3249" priority="325" stopIfTrue="1" operator="equal">
      <formula>"Fail"</formula>
    </cfRule>
    <cfRule type="cellIs" dxfId="3248" priority="326" stopIfTrue="1" operator="equal">
      <formula>"please check"</formula>
    </cfRule>
  </conditionalFormatting>
  <conditionalFormatting sqref="I73">
    <cfRule type="cellIs" dxfId="3247" priority="323" stopIfTrue="1" operator="equal">
      <formula>"Pass"</formula>
    </cfRule>
  </conditionalFormatting>
  <conditionalFormatting sqref="I73">
    <cfRule type="containsText" dxfId="3246" priority="320" operator="containsText" text="Please check">
      <formula>NOT(ISERROR(SEARCH("Please check",I73)))</formula>
    </cfRule>
    <cfRule type="containsText" dxfId="3245" priority="321" operator="containsText" text="Missing inputs">
      <formula>NOT(ISERROR(SEARCH("Missing inputs",I73)))</formula>
    </cfRule>
    <cfRule type="containsText" dxfId="3244" priority="322" operator="containsText" text="OK">
      <formula>NOT(ISERROR(SEARCH("OK",I73)))</formula>
    </cfRule>
  </conditionalFormatting>
  <conditionalFormatting sqref="I74">
    <cfRule type="cellIs" dxfId="3243" priority="317" stopIfTrue="1" operator="equal">
      <formula>"No"</formula>
    </cfRule>
    <cfRule type="cellIs" dxfId="3242" priority="318" stopIfTrue="1" operator="equal">
      <formula>"Fail"</formula>
    </cfRule>
    <cfRule type="cellIs" dxfId="3241" priority="319" stopIfTrue="1" operator="equal">
      <formula>"please check"</formula>
    </cfRule>
  </conditionalFormatting>
  <conditionalFormatting sqref="I74">
    <cfRule type="cellIs" dxfId="3240" priority="316" stopIfTrue="1" operator="equal">
      <formula>"Pass"</formula>
    </cfRule>
  </conditionalFormatting>
  <conditionalFormatting sqref="I74">
    <cfRule type="containsText" dxfId="3239" priority="313" operator="containsText" text="Please check">
      <formula>NOT(ISERROR(SEARCH("Please check",I74)))</formula>
    </cfRule>
    <cfRule type="containsText" dxfId="3238" priority="314" operator="containsText" text="Missing inputs">
      <formula>NOT(ISERROR(SEARCH("Missing inputs",I74)))</formula>
    </cfRule>
    <cfRule type="containsText" dxfId="3237" priority="315" operator="containsText" text="OK">
      <formula>NOT(ISERROR(SEARCH("OK",I74)))</formula>
    </cfRule>
  </conditionalFormatting>
  <conditionalFormatting sqref="I106">
    <cfRule type="cellIs" dxfId="3236" priority="310" stopIfTrue="1" operator="equal">
      <formula>"No"</formula>
    </cfRule>
    <cfRule type="cellIs" dxfId="3235" priority="311" stopIfTrue="1" operator="equal">
      <formula>"Fail"</formula>
    </cfRule>
    <cfRule type="cellIs" dxfId="3234" priority="312" stopIfTrue="1" operator="equal">
      <formula>"please check"</formula>
    </cfRule>
  </conditionalFormatting>
  <conditionalFormatting sqref="I106">
    <cfRule type="cellIs" dxfId="3233" priority="309" stopIfTrue="1" operator="equal">
      <formula>"Pass"</formula>
    </cfRule>
  </conditionalFormatting>
  <conditionalFormatting sqref="I106">
    <cfRule type="containsText" dxfId="3232" priority="306" operator="containsText" text="Please check">
      <formula>NOT(ISERROR(SEARCH("Please check",I106)))</formula>
    </cfRule>
    <cfRule type="containsText" dxfId="3231" priority="307" operator="containsText" text="Missing inputs">
      <formula>NOT(ISERROR(SEARCH("Missing inputs",I106)))</formula>
    </cfRule>
    <cfRule type="containsText" dxfId="3230" priority="308" operator="containsText" text="OK">
      <formula>NOT(ISERROR(SEARCH("OK",I106)))</formula>
    </cfRule>
  </conditionalFormatting>
  <conditionalFormatting sqref="I107">
    <cfRule type="cellIs" dxfId="3229" priority="303" stopIfTrue="1" operator="equal">
      <formula>"No"</formula>
    </cfRule>
    <cfRule type="cellIs" dxfId="3228" priority="304" stopIfTrue="1" operator="equal">
      <formula>"Fail"</formula>
    </cfRule>
    <cfRule type="cellIs" dxfId="3227" priority="305" stopIfTrue="1" operator="equal">
      <formula>"please check"</formula>
    </cfRule>
  </conditionalFormatting>
  <conditionalFormatting sqref="I107">
    <cfRule type="cellIs" dxfId="3226" priority="302" stopIfTrue="1" operator="equal">
      <formula>"Pass"</formula>
    </cfRule>
  </conditionalFormatting>
  <conditionalFormatting sqref="I107">
    <cfRule type="containsText" dxfId="3225" priority="299" operator="containsText" text="Please check">
      <formula>NOT(ISERROR(SEARCH("Please check",I107)))</formula>
    </cfRule>
    <cfRule type="containsText" dxfId="3224" priority="300" operator="containsText" text="Missing inputs">
      <formula>NOT(ISERROR(SEARCH("Missing inputs",I107)))</formula>
    </cfRule>
    <cfRule type="containsText" dxfId="3223" priority="301" operator="containsText" text="OK">
      <formula>NOT(ISERROR(SEARCH("OK",I107)))</formula>
    </cfRule>
  </conditionalFormatting>
  <conditionalFormatting sqref="I139">
    <cfRule type="cellIs" dxfId="3222" priority="296" stopIfTrue="1" operator="equal">
      <formula>"No"</formula>
    </cfRule>
    <cfRule type="cellIs" dxfId="3221" priority="297" stopIfTrue="1" operator="equal">
      <formula>"Fail"</formula>
    </cfRule>
    <cfRule type="cellIs" dxfId="3220" priority="298" stopIfTrue="1" operator="equal">
      <formula>"please check"</formula>
    </cfRule>
  </conditionalFormatting>
  <conditionalFormatting sqref="I139">
    <cfRule type="cellIs" dxfId="3219" priority="295" stopIfTrue="1" operator="equal">
      <formula>"Pass"</formula>
    </cfRule>
  </conditionalFormatting>
  <conditionalFormatting sqref="I139">
    <cfRule type="containsText" dxfId="3218" priority="292" operator="containsText" text="Please check">
      <formula>NOT(ISERROR(SEARCH("Please check",I139)))</formula>
    </cfRule>
    <cfRule type="containsText" dxfId="3217" priority="293" operator="containsText" text="Missing inputs">
      <formula>NOT(ISERROR(SEARCH("Missing inputs",I139)))</formula>
    </cfRule>
    <cfRule type="containsText" dxfId="3216" priority="294" operator="containsText" text="OK">
      <formula>NOT(ISERROR(SEARCH("OK",I139)))</formula>
    </cfRule>
  </conditionalFormatting>
  <conditionalFormatting sqref="I140">
    <cfRule type="cellIs" dxfId="3215" priority="289" stopIfTrue="1" operator="equal">
      <formula>"No"</formula>
    </cfRule>
    <cfRule type="cellIs" dxfId="3214" priority="290" stopIfTrue="1" operator="equal">
      <formula>"Fail"</formula>
    </cfRule>
    <cfRule type="cellIs" dxfId="3213" priority="291" stopIfTrue="1" operator="equal">
      <formula>"please check"</formula>
    </cfRule>
  </conditionalFormatting>
  <conditionalFormatting sqref="I140">
    <cfRule type="cellIs" dxfId="3212" priority="288" stopIfTrue="1" operator="equal">
      <formula>"Pass"</formula>
    </cfRule>
  </conditionalFormatting>
  <conditionalFormatting sqref="I140">
    <cfRule type="containsText" dxfId="3211" priority="285" operator="containsText" text="Please check">
      <formula>NOT(ISERROR(SEARCH("Please check",I140)))</formula>
    </cfRule>
    <cfRule type="containsText" dxfId="3210" priority="286" operator="containsText" text="Missing inputs">
      <formula>NOT(ISERROR(SEARCH("Missing inputs",I140)))</formula>
    </cfRule>
    <cfRule type="containsText" dxfId="3209" priority="287" operator="containsText" text="OK">
      <formula>NOT(ISERROR(SEARCH("OK",I140)))</formula>
    </cfRule>
  </conditionalFormatting>
  <conditionalFormatting sqref="G50:G63">
    <cfRule type="cellIs" dxfId="3208" priority="282" stopIfTrue="1" operator="equal">
      <formula>"No"</formula>
    </cfRule>
    <cfRule type="cellIs" dxfId="3207" priority="283" stopIfTrue="1" operator="equal">
      <formula>"Fail"</formula>
    </cfRule>
    <cfRule type="cellIs" dxfId="3206" priority="284" stopIfTrue="1" operator="equal">
      <formula>"please check"</formula>
    </cfRule>
  </conditionalFormatting>
  <conditionalFormatting sqref="G50:G63">
    <cfRule type="cellIs" dxfId="3205" priority="281" stopIfTrue="1" operator="equal">
      <formula>"Pass"</formula>
    </cfRule>
  </conditionalFormatting>
  <conditionalFormatting sqref="G50:G63">
    <cfRule type="containsText" dxfId="3204" priority="278" operator="containsText" text="Please check">
      <formula>NOT(ISERROR(SEARCH("Please check",G50)))</formula>
    </cfRule>
    <cfRule type="containsText" dxfId="3203" priority="279" operator="containsText" text="Missing inputs">
      <formula>NOT(ISERROR(SEARCH("Missing inputs",G50)))</formula>
    </cfRule>
    <cfRule type="containsText" dxfId="3202" priority="280" operator="containsText" text="OK">
      <formula>NOT(ISERROR(SEARCH("OK",G50)))</formula>
    </cfRule>
  </conditionalFormatting>
  <conditionalFormatting sqref="H51">
    <cfRule type="cellIs" dxfId="3201" priority="275" stopIfTrue="1" operator="equal">
      <formula>"No"</formula>
    </cfRule>
    <cfRule type="cellIs" dxfId="3200" priority="276" stopIfTrue="1" operator="equal">
      <formula>"Fail"</formula>
    </cfRule>
    <cfRule type="cellIs" dxfId="3199" priority="277" stopIfTrue="1" operator="equal">
      <formula>"please check"</formula>
    </cfRule>
  </conditionalFormatting>
  <conditionalFormatting sqref="H51">
    <cfRule type="cellIs" dxfId="3198" priority="274" stopIfTrue="1" operator="equal">
      <formula>"Pass"</formula>
    </cfRule>
  </conditionalFormatting>
  <conditionalFormatting sqref="H52">
    <cfRule type="cellIs" dxfId="3197" priority="271" stopIfTrue="1" operator="equal">
      <formula>"No"</formula>
    </cfRule>
    <cfRule type="cellIs" dxfId="3196" priority="272" stopIfTrue="1" operator="equal">
      <formula>"Fail"</formula>
    </cfRule>
    <cfRule type="cellIs" dxfId="3195" priority="273" stopIfTrue="1" operator="equal">
      <formula>"please check"</formula>
    </cfRule>
  </conditionalFormatting>
  <conditionalFormatting sqref="H52">
    <cfRule type="cellIs" dxfId="3194" priority="270" stopIfTrue="1" operator="equal">
      <formula>"Pass"</formula>
    </cfRule>
  </conditionalFormatting>
  <conditionalFormatting sqref="H52">
    <cfRule type="containsText" dxfId="3193" priority="267" operator="containsText" text="Please check">
      <formula>NOT(ISERROR(SEARCH("Please check",H52)))</formula>
    </cfRule>
    <cfRule type="containsText" dxfId="3192" priority="268" operator="containsText" text="Missing inputs">
      <formula>NOT(ISERROR(SEARCH("Missing inputs",H52)))</formula>
    </cfRule>
    <cfRule type="containsText" dxfId="3191" priority="269" operator="containsText" text="OK">
      <formula>NOT(ISERROR(SEARCH("OK",H52)))</formula>
    </cfRule>
  </conditionalFormatting>
  <conditionalFormatting sqref="H55">
    <cfRule type="cellIs" dxfId="3190" priority="264" stopIfTrue="1" operator="equal">
      <formula>"No"</formula>
    </cfRule>
    <cfRule type="cellIs" dxfId="3189" priority="265" stopIfTrue="1" operator="equal">
      <formula>"Fail"</formula>
    </cfRule>
    <cfRule type="cellIs" dxfId="3188" priority="266" stopIfTrue="1" operator="equal">
      <formula>"please check"</formula>
    </cfRule>
  </conditionalFormatting>
  <conditionalFormatting sqref="H55">
    <cfRule type="cellIs" dxfId="3187" priority="263" stopIfTrue="1" operator="equal">
      <formula>"Pass"</formula>
    </cfRule>
  </conditionalFormatting>
  <conditionalFormatting sqref="H54">
    <cfRule type="cellIs" dxfId="3186" priority="260" stopIfTrue="1" operator="equal">
      <formula>"No"</formula>
    </cfRule>
    <cfRule type="cellIs" dxfId="3185" priority="261" stopIfTrue="1" operator="equal">
      <formula>"Fail"</formula>
    </cfRule>
    <cfRule type="cellIs" dxfId="3184" priority="262" stopIfTrue="1" operator="equal">
      <formula>"please check"</formula>
    </cfRule>
  </conditionalFormatting>
  <conditionalFormatting sqref="H54">
    <cfRule type="cellIs" dxfId="3183" priority="259" stopIfTrue="1" operator="equal">
      <formula>"Pass"</formula>
    </cfRule>
  </conditionalFormatting>
  <conditionalFormatting sqref="H53">
    <cfRule type="cellIs" dxfId="3182" priority="256" stopIfTrue="1" operator="equal">
      <formula>"No"</formula>
    </cfRule>
    <cfRule type="cellIs" dxfId="3181" priority="257" stopIfTrue="1" operator="equal">
      <formula>"Fail"</formula>
    </cfRule>
    <cfRule type="cellIs" dxfId="3180" priority="258" stopIfTrue="1" operator="equal">
      <formula>"please check"</formula>
    </cfRule>
  </conditionalFormatting>
  <conditionalFormatting sqref="H53">
    <cfRule type="cellIs" dxfId="3179" priority="255" stopIfTrue="1" operator="equal">
      <formula>"Pass"</formula>
    </cfRule>
  </conditionalFormatting>
  <conditionalFormatting sqref="H53">
    <cfRule type="containsText" dxfId="3178" priority="252" operator="containsText" text="Please check">
      <formula>NOT(ISERROR(SEARCH("Please check",H53)))</formula>
    </cfRule>
    <cfRule type="containsText" dxfId="3177" priority="253" operator="containsText" text="Missing inputs">
      <formula>NOT(ISERROR(SEARCH("Missing inputs",H53)))</formula>
    </cfRule>
    <cfRule type="containsText" dxfId="3176" priority="254" operator="containsText" text="OK">
      <formula>NOT(ISERROR(SEARCH("OK",H53)))</formula>
    </cfRule>
  </conditionalFormatting>
  <conditionalFormatting sqref="H57">
    <cfRule type="cellIs" dxfId="3175" priority="249" stopIfTrue="1" operator="equal">
      <formula>"No"</formula>
    </cfRule>
    <cfRule type="cellIs" dxfId="3174" priority="250" stopIfTrue="1" operator="equal">
      <formula>"Fail"</formula>
    </cfRule>
    <cfRule type="cellIs" dxfId="3173" priority="251" stopIfTrue="1" operator="equal">
      <formula>"please check"</formula>
    </cfRule>
  </conditionalFormatting>
  <conditionalFormatting sqref="H57">
    <cfRule type="cellIs" dxfId="3172" priority="248" stopIfTrue="1" operator="equal">
      <formula>"Pass"</formula>
    </cfRule>
  </conditionalFormatting>
  <conditionalFormatting sqref="H57">
    <cfRule type="containsText" dxfId="3171" priority="245" operator="containsText" text="Please check">
      <formula>NOT(ISERROR(SEARCH("Please check",H57)))</formula>
    </cfRule>
    <cfRule type="containsText" dxfId="3170" priority="246" operator="containsText" text="Missing inputs">
      <formula>NOT(ISERROR(SEARCH("Missing inputs",H57)))</formula>
    </cfRule>
    <cfRule type="containsText" dxfId="3169" priority="247" operator="containsText" text="OK">
      <formula>NOT(ISERROR(SEARCH("OK",H57)))</formula>
    </cfRule>
  </conditionalFormatting>
  <conditionalFormatting sqref="H58">
    <cfRule type="cellIs" dxfId="3168" priority="242" stopIfTrue="1" operator="equal">
      <formula>"No"</formula>
    </cfRule>
    <cfRule type="cellIs" dxfId="3167" priority="243" stopIfTrue="1" operator="equal">
      <formula>"Fail"</formula>
    </cfRule>
    <cfRule type="cellIs" dxfId="3166" priority="244" stopIfTrue="1" operator="equal">
      <formula>"please check"</formula>
    </cfRule>
  </conditionalFormatting>
  <conditionalFormatting sqref="H58">
    <cfRule type="cellIs" dxfId="3165" priority="241" stopIfTrue="1" operator="equal">
      <formula>"Pass"</formula>
    </cfRule>
  </conditionalFormatting>
  <conditionalFormatting sqref="H58">
    <cfRule type="containsText" dxfId="3164" priority="238" operator="containsText" text="Please check">
      <formula>NOT(ISERROR(SEARCH("Please check",H58)))</formula>
    </cfRule>
    <cfRule type="containsText" dxfId="3163" priority="239" operator="containsText" text="Missing inputs">
      <formula>NOT(ISERROR(SEARCH("Missing inputs",H58)))</formula>
    </cfRule>
    <cfRule type="containsText" dxfId="3162" priority="240" operator="containsText" text="OK">
      <formula>NOT(ISERROR(SEARCH("OK",H58)))</formula>
    </cfRule>
  </conditionalFormatting>
  <conditionalFormatting sqref="H56">
    <cfRule type="cellIs" dxfId="3161" priority="235" stopIfTrue="1" operator="equal">
      <formula>"No"</formula>
    </cfRule>
    <cfRule type="cellIs" dxfId="3160" priority="236" stopIfTrue="1" operator="equal">
      <formula>"Fail"</formula>
    </cfRule>
    <cfRule type="cellIs" dxfId="3159" priority="237" stopIfTrue="1" operator="equal">
      <formula>"please check"</formula>
    </cfRule>
  </conditionalFormatting>
  <conditionalFormatting sqref="H56">
    <cfRule type="cellIs" dxfId="3158" priority="234" stopIfTrue="1" operator="equal">
      <formula>"Pass"</formula>
    </cfRule>
  </conditionalFormatting>
  <conditionalFormatting sqref="H59:H63">
    <cfRule type="cellIs" dxfId="3157" priority="231" stopIfTrue="1" operator="equal">
      <formula>"No"</formula>
    </cfRule>
    <cfRule type="cellIs" dxfId="3156" priority="232" stopIfTrue="1" operator="equal">
      <formula>"Fail"</formula>
    </cfRule>
    <cfRule type="cellIs" dxfId="3155" priority="233" stopIfTrue="1" operator="equal">
      <formula>"please check"</formula>
    </cfRule>
  </conditionalFormatting>
  <conditionalFormatting sqref="H59:H63">
    <cfRule type="cellIs" dxfId="3154" priority="230" stopIfTrue="1" operator="equal">
      <formula>"Pass"</formula>
    </cfRule>
  </conditionalFormatting>
  <conditionalFormatting sqref="H50">
    <cfRule type="cellIs" dxfId="3153" priority="227" stopIfTrue="1" operator="equal">
      <formula>"No"</formula>
    </cfRule>
    <cfRule type="cellIs" dxfId="3152" priority="228" stopIfTrue="1" operator="equal">
      <formula>"Fail"</formula>
    </cfRule>
    <cfRule type="cellIs" dxfId="3151" priority="229" stopIfTrue="1" operator="equal">
      <formula>"please check"</formula>
    </cfRule>
  </conditionalFormatting>
  <conditionalFormatting sqref="H50">
    <cfRule type="cellIs" dxfId="3150" priority="226" stopIfTrue="1" operator="equal">
      <formula>"Pass"</formula>
    </cfRule>
  </conditionalFormatting>
  <conditionalFormatting sqref="H50">
    <cfRule type="containsText" dxfId="3149" priority="223" operator="containsText" text="Please check">
      <formula>NOT(ISERROR(SEARCH("Please check",H50)))</formula>
    </cfRule>
    <cfRule type="containsText" dxfId="3148" priority="224" operator="containsText" text="Missing inputs">
      <formula>NOT(ISERROR(SEARCH("Missing inputs",H50)))</formula>
    </cfRule>
    <cfRule type="containsText" dxfId="3147" priority="225" operator="containsText" text="OK">
      <formula>NOT(ISERROR(SEARCH("OK",H50)))</formula>
    </cfRule>
  </conditionalFormatting>
  <conditionalFormatting sqref="G83:G96">
    <cfRule type="cellIs" dxfId="3146" priority="220" stopIfTrue="1" operator="equal">
      <formula>"No"</formula>
    </cfRule>
    <cfRule type="cellIs" dxfId="3145" priority="221" stopIfTrue="1" operator="equal">
      <formula>"Fail"</formula>
    </cfRule>
    <cfRule type="cellIs" dxfId="3144" priority="222" stopIfTrue="1" operator="equal">
      <formula>"please check"</formula>
    </cfRule>
  </conditionalFormatting>
  <conditionalFormatting sqref="G83:G96">
    <cfRule type="cellIs" dxfId="3143" priority="219" stopIfTrue="1" operator="equal">
      <formula>"Pass"</formula>
    </cfRule>
  </conditionalFormatting>
  <conditionalFormatting sqref="G83:G96">
    <cfRule type="containsText" dxfId="3142" priority="216" operator="containsText" text="Please check">
      <formula>NOT(ISERROR(SEARCH("Please check",G83)))</formula>
    </cfRule>
    <cfRule type="containsText" dxfId="3141" priority="217" operator="containsText" text="Missing inputs">
      <formula>NOT(ISERROR(SEARCH("Missing inputs",G83)))</formula>
    </cfRule>
    <cfRule type="containsText" dxfId="3140" priority="218" operator="containsText" text="OK">
      <formula>NOT(ISERROR(SEARCH("OK",G83)))</formula>
    </cfRule>
  </conditionalFormatting>
  <conditionalFormatting sqref="H84">
    <cfRule type="cellIs" dxfId="3139" priority="213" stopIfTrue="1" operator="equal">
      <formula>"No"</formula>
    </cfRule>
    <cfRule type="cellIs" dxfId="3138" priority="214" stopIfTrue="1" operator="equal">
      <formula>"Fail"</formula>
    </cfRule>
    <cfRule type="cellIs" dxfId="3137" priority="215" stopIfTrue="1" operator="equal">
      <formula>"please check"</formula>
    </cfRule>
  </conditionalFormatting>
  <conditionalFormatting sqref="H84">
    <cfRule type="cellIs" dxfId="3136" priority="212" stopIfTrue="1" operator="equal">
      <formula>"Pass"</formula>
    </cfRule>
  </conditionalFormatting>
  <conditionalFormatting sqref="H85">
    <cfRule type="cellIs" dxfId="3135" priority="209" stopIfTrue="1" operator="equal">
      <formula>"No"</formula>
    </cfRule>
    <cfRule type="cellIs" dxfId="3134" priority="210" stopIfTrue="1" operator="equal">
      <formula>"Fail"</formula>
    </cfRule>
    <cfRule type="cellIs" dxfId="3133" priority="211" stopIfTrue="1" operator="equal">
      <formula>"please check"</formula>
    </cfRule>
  </conditionalFormatting>
  <conditionalFormatting sqref="H85">
    <cfRule type="cellIs" dxfId="3132" priority="208" stopIfTrue="1" operator="equal">
      <formula>"Pass"</formula>
    </cfRule>
  </conditionalFormatting>
  <conditionalFormatting sqref="H85">
    <cfRule type="containsText" dxfId="3131" priority="205" operator="containsText" text="Please check">
      <formula>NOT(ISERROR(SEARCH("Please check",H85)))</formula>
    </cfRule>
    <cfRule type="containsText" dxfId="3130" priority="206" operator="containsText" text="Missing inputs">
      <formula>NOT(ISERROR(SEARCH("Missing inputs",H85)))</formula>
    </cfRule>
    <cfRule type="containsText" dxfId="3129" priority="207" operator="containsText" text="OK">
      <formula>NOT(ISERROR(SEARCH("OK",H85)))</formula>
    </cfRule>
  </conditionalFormatting>
  <conditionalFormatting sqref="H88">
    <cfRule type="cellIs" dxfId="3128" priority="202" stopIfTrue="1" operator="equal">
      <formula>"No"</formula>
    </cfRule>
    <cfRule type="cellIs" dxfId="3127" priority="203" stopIfTrue="1" operator="equal">
      <formula>"Fail"</formula>
    </cfRule>
    <cfRule type="cellIs" dxfId="3126" priority="204" stopIfTrue="1" operator="equal">
      <formula>"please check"</formula>
    </cfRule>
  </conditionalFormatting>
  <conditionalFormatting sqref="H88">
    <cfRule type="cellIs" dxfId="3125" priority="201" stopIfTrue="1" operator="equal">
      <formula>"Pass"</formula>
    </cfRule>
  </conditionalFormatting>
  <conditionalFormatting sqref="H87">
    <cfRule type="cellIs" dxfId="3124" priority="198" stopIfTrue="1" operator="equal">
      <formula>"No"</formula>
    </cfRule>
    <cfRule type="cellIs" dxfId="3123" priority="199" stopIfTrue="1" operator="equal">
      <formula>"Fail"</formula>
    </cfRule>
    <cfRule type="cellIs" dxfId="3122" priority="200" stopIfTrue="1" operator="equal">
      <formula>"please check"</formula>
    </cfRule>
  </conditionalFormatting>
  <conditionalFormatting sqref="H87">
    <cfRule type="cellIs" dxfId="3121" priority="197" stopIfTrue="1" operator="equal">
      <formula>"Pass"</formula>
    </cfRule>
  </conditionalFormatting>
  <conditionalFormatting sqref="H86">
    <cfRule type="cellIs" dxfId="3120" priority="194" stopIfTrue="1" operator="equal">
      <formula>"No"</formula>
    </cfRule>
    <cfRule type="cellIs" dxfId="3119" priority="195" stopIfTrue="1" operator="equal">
      <formula>"Fail"</formula>
    </cfRule>
    <cfRule type="cellIs" dxfId="3118" priority="196" stopIfTrue="1" operator="equal">
      <formula>"please check"</formula>
    </cfRule>
  </conditionalFormatting>
  <conditionalFormatting sqref="H86">
    <cfRule type="cellIs" dxfId="3117" priority="193" stopIfTrue="1" operator="equal">
      <formula>"Pass"</formula>
    </cfRule>
  </conditionalFormatting>
  <conditionalFormatting sqref="H86">
    <cfRule type="containsText" dxfId="3116" priority="190" operator="containsText" text="Please check">
      <formula>NOT(ISERROR(SEARCH("Please check",H86)))</formula>
    </cfRule>
    <cfRule type="containsText" dxfId="3115" priority="191" operator="containsText" text="Missing inputs">
      <formula>NOT(ISERROR(SEARCH("Missing inputs",H86)))</formula>
    </cfRule>
    <cfRule type="containsText" dxfId="3114" priority="192" operator="containsText" text="OK">
      <formula>NOT(ISERROR(SEARCH("OK",H86)))</formula>
    </cfRule>
  </conditionalFormatting>
  <conditionalFormatting sqref="H90">
    <cfRule type="cellIs" dxfId="3113" priority="187" stopIfTrue="1" operator="equal">
      <formula>"No"</formula>
    </cfRule>
    <cfRule type="cellIs" dxfId="3112" priority="188" stopIfTrue="1" operator="equal">
      <formula>"Fail"</formula>
    </cfRule>
    <cfRule type="cellIs" dxfId="3111" priority="189" stopIfTrue="1" operator="equal">
      <formula>"please check"</formula>
    </cfRule>
  </conditionalFormatting>
  <conditionalFormatting sqref="H90">
    <cfRule type="cellIs" dxfId="3110" priority="186" stopIfTrue="1" operator="equal">
      <formula>"Pass"</formula>
    </cfRule>
  </conditionalFormatting>
  <conditionalFormatting sqref="H90">
    <cfRule type="containsText" dxfId="3109" priority="183" operator="containsText" text="Please check">
      <formula>NOT(ISERROR(SEARCH("Please check",H90)))</formula>
    </cfRule>
    <cfRule type="containsText" dxfId="3108" priority="184" operator="containsText" text="Missing inputs">
      <formula>NOT(ISERROR(SEARCH("Missing inputs",H90)))</formula>
    </cfRule>
    <cfRule type="containsText" dxfId="3107" priority="185" operator="containsText" text="OK">
      <formula>NOT(ISERROR(SEARCH("OK",H90)))</formula>
    </cfRule>
  </conditionalFormatting>
  <conditionalFormatting sqref="H91">
    <cfRule type="cellIs" dxfId="3106" priority="180" stopIfTrue="1" operator="equal">
      <formula>"No"</formula>
    </cfRule>
    <cfRule type="cellIs" dxfId="3105" priority="181" stopIfTrue="1" operator="equal">
      <formula>"Fail"</formula>
    </cfRule>
    <cfRule type="cellIs" dxfId="3104" priority="182" stopIfTrue="1" operator="equal">
      <formula>"please check"</formula>
    </cfRule>
  </conditionalFormatting>
  <conditionalFormatting sqref="H91">
    <cfRule type="cellIs" dxfId="3103" priority="179" stopIfTrue="1" operator="equal">
      <formula>"Pass"</formula>
    </cfRule>
  </conditionalFormatting>
  <conditionalFormatting sqref="H91">
    <cfRule type="containsText" dxfId="3102" priority="176" operator="containsText" text="Please check">
      <formula>NOT(ISERROR(SEARCH("Please check",H91)))</formula>
    </cfRule>
    <cfRule type="containsText" dxfId="3101" priority="177" operator="containsText" text="Missing inputs">
      <formula>NOT(ISERROR(SEARCH("Missing inputs",H91)))</formula>
    </cfRule>
    <cfRule type="containsText" dxfId="3100" priority="178" operator="containsText" text="OK">
      <formula>NOT(ISERROR(SEARCH("OK",H91)))</formula>
    </cfRule>
  </conditionalFormatting>
  <conditionalFormatting sqref="H89">
    <cfRule type="cellIs" dxfId="3099" priority="173" stopIfTrue="1" operator="equal">
      <formula>"No"</formula>
    </cfRule>
    <cfRule type="cellIs" dxfId="3098" priority="174" stopIfTrue="1" operator="equal">
      <formula>"Fail"</formula>
    </cfRule>
    <cfRule type="cellIs" dxfId="3097" priority="175" stopIfTrue="1" operator="equal">
      <formula>"please check"</formula>
    </cfRule>
  </conditionalFormatting>
  <conditionalFormatting sqref="H89">
    <cfRule type="cellIs" dxfId="3096" priority="172" stopIfTrue="1" operator="equal">
      <formula>"Pass"</formula>
    </cfRule>
  </conditionalFormatting>
  <conditionalFormatting sqref="H92:H96">
    <cfRule type="cellIs" dxfId="3095" priority="169" stopIfTrue="1" operator="equal">
      <formula>"No"</formula>
    </cfRule>
    <cfRule type="cellIs" dxfId="3094" priority="170" stopIfTrue="1" operator="equal">
      <formula>"Fail"</formula>
    </cfRule>
    <cfRule type="cellIs" dxfId="3093" priority="171" stopIfTrue="1" operator="equal">
      <formula>"please check"</formula>
    </cfRule>
  </conditionalFormatting>
  <conditionalFormatting sqref="H92:H96">
    <cfRule type="cellIs" dxfId="3092" priority="168" stopIfTrue="1" operator="equal">
      <formula>"Pass"</formula>
    </cfRule>
  </conditionalFormatting>
  <conditionalFormatting sqref="H83">
    <cfRule type="cellIs" dxfId="3091" priority="165" stopIfTrue="1" operator="equal">
      <formula>"No"</formula>
    </cfRule>
    <cfRule type="cellIs" dxfId="3090" priority="166" stopIfTrue="1" operator="equal">
      <formula>"Fail"</formula>
    </cfRule>
    <cfRule type="cellIs" dxfId="3089" priority="167" stopIfTrue="1" operator="equal">
      <formula>"please check"</formula>
    </cfRule>
  </conditionalFormatting>
  <conditionalFormatting sqref="H83">
    <cfRule type="cellIs" dxfId="3088" priority="164" stopIfTrue="1" operator="equal">
      <formula>"Pass"</formula>
    </cfRule>
  </conditionalFormatting>
  <conditionalFormatting sqref="H83">
    <cfRule type="containsText" dxfId="3087" priority="161" operator="containsText" text="Please check">
      <formula>NOT(ISERROR(SEARCH("Please check",H83)))</formula>
    </cfRule>
    <cfRule type="containsText" dxfId="3086" priority="162" operator="containsText" text="Missing inputs">
      <formula>NOT(ISERROR(SEARCH("Missing inputs",H83)))</formula>
    </cfRule>
    <cfRule type="containsText" dxfId="3085" priority="163" operator="containsText" text="OK">
      <formula>NOT(ISERROR(SEARCH("OK",H83)))</formula>
    </cfRule>
  </conditionalFormatting>
  <conditionalFormatting sqref="G116:G129">
    <cfRule type="cellIs" dxfId="3084" priority="158" stopIfTrue="1" operator="equal">
      <formula>"No"</formula>
    </cfRule>
    <cfRule type="cellIs" dxfId="3083" priority="159" stopIfTrue="1" operator="equal">
      <formula>"Fail"</formula>
    </cfRule>
    <cfRule type="cellIs" dxfId="3082" priority="160" stopIfTrue="1" operator="equal">
      <formula>"please check"</formula>
    </cfRule>
  </conditionalFormatting>
  <conditionalFormatting sqref="G116:G129">
    <cfRule type="cellIs" dxfId="3081" priority="157" stopIfTrue="1" operator="equal">
      <formula>"Pass"</formula>
    </cfRule>
  </conditionalFormatting>
  <conditionalFormatting sqref="G116:G129">
    <cfRule type="containsText" dxfId="3080" priority="154" operator="containsText" text="Please check">
      <formula>NOT(ISERROR(SEARCH("Please check",G116)))</formula>
    </cfRule>
    <cfRule type="containsText" dxfId="3079" priority="155" operator="containsText" text="Missing inputs">
      <formula>NOT(ISERROR(SEARCH("Missing inputs",G116)))</formula>
    </cfRule>
    <cfRule type="containsText" dxfId="3078" priority="156" operator="containsText" text="OK">
      <formula>NOT(ISERROR(SEARCH("OK",G116)))</formula>
    </cfRule>
  </conditionalFormatting>
  <conditionalFormatting sqref="H117">
    <cfRule type="cellIs" dxfId="3077" priority="151" stopIfTrue="1" operator="equal">
      <formula>"No"</formula>
    </cfRule>
    <cfRule type="cellIs" dxfId="3076" priority="152" stopIfTrue="1" operator="equal">
      <formula>"Fail"</formula>
    </cfRule>
    <cfRule type="cellIs" dxfId="3075" priority="153" stopIfTrue="1" operator="equal">
      <formula>"please check"</formula>
    </cfRule>
  </conditionalFormatting>
  <conditionalFormatting sqref="H117">
    <cfRule type="cellIs" dxfId="3074" priority="150" stopIfTrue="1" operator="equal">
      <formula>"Pass"</formula>
    </cfRule>
  </conditionalFormatting>
  <conditionalFormatting sqref="H118">
    <cfRule type="cellIs" dxfId="3073" priority="147" stopIfTrue="1" operator="equal">
      <formula>"No"</formula>
    </cfRule>
    <cfRule type="cellIs" dxfId="3072" priority="148" stopIfTrue="1" operator="equal">
      <formula>"Fail"</formula>
    </cfRule>
    <cfRule type="cellIs" dxfId="3071" priority="149" stopIfTrue="1" operator="equal">
      <formula>"please check"</formula>
    </cfRule>
  </conditionalFormatting>
  <conditionalFormatting sqref="H118">
    <cfRule type="cellIs" dxfId="3070" priority="146" stopIfTrue="1" operator="equal">
      <formula>"Pass"</formula>
    </cfRule>
  </conditionalFormatting>
  <conditionalFormatting sqref="H118">
    <cfRule type="containsText" dxfId="3069" priority="143" operator="containsText" text="Please check">
      <formula>NOT(ISERROR(SEARCH("Please check",H118)))</formula>
    </cfRule>
    <cfRule type="containsText" dxfId="3068" priority="144" operator="containsText" text="Missing inputs">
      <formula>NOT(ISERROR(SEARCH("Missing inputs",H118)))</formula>
    </cfRule>
    <cfRule type="containsText" dxfId="3067" priority="145" operator="containsText" text="OK">
      <formula>NOT(ISERROR(SEARCH("OK",H118)))</formula>
    </cfRule>
  </conditionalFormatting>
  <conditionalFormatting sqref="H121">
    <cfRule type="cellIs" dxfId="3066" priority="140" stopIfTrue="1" operator="equal">
      <formula>"No"</formula>
    </cfRule>
    <cfRule type="cellIs" dxfId="3065" priority="141" stopIfTrue="1" operator="equal">
      <formula>"Fail"</formula>
    </cfRule>
    <cfRule type="cellIs" dxfId="3064" priority="142" stopIfTrue="1" operator="equal">
      <formula>"please check"</formula>
    </cfRule>
  </conditionalFormatting>
  <conditionalFormatting sqref="H121">
    <cfRule type="cellIs" dxfId="3063" priority="139" stopIfTrue="1" operator="equal">
      <formula>"Pass"</formula>
    </cfRule>
  </conditionalFormatting>
  <conditionalFormatting sqref="H120">
    <cfRule type="cellIs" dxfId="3062" priority="136" stopIfTrue="1" operator="equal">
      <formula>"No"</formula>
    </cfRule>
    <cfRule type="cellIs" dxfId="3061" priority="137" stopIfTrue="1" operator="equal">
      <formula>"Fail"</formula>
    </cfRule>
    <cfRule type="cellIs" dxfId="3060" priority="138" stopIfTrue="1" operator="equal">
      <formula>"please check"</formula>
    </cfRule>
  </conditionalFormatting>
  <conditionalFormatting sqref="H120">
    <cfRule type="cellIs" dxfId="3059" priority="135" stopIfTrue="1" operator="equal">
      <formula>"Pass"</formula>
    </cfRule>
  </conditionalFormatting>
  <conditionalFormatting sqref="H119">
    <cfRule type="cellIs" dxfId="3058" priority="132" stopIfTrue="1" operator="equal">
      <formula>"No"</formula>
    </cfRule>
    <cfRule type="cellIs" dxfId="3057" priority="133" stopIfTrue="1" operator="equal">
      <formula>"Fail"</formula>
    </cfRule>
    <cfRule type="cellIs" dxfId="3056" priority="134" stopIfTrue="1" operator="equal">
      <formula>"please check"</formula>
    </cfRule>
  </conditionalFormatting>
  <conditionalFormatting sqref="H119">
    <cfRule type="cellIs" dxfId="3055" priority="131" stopIfTrue="1" operator="equal">
      <formula>"Pass"</formula>
    </cfRule>
  </conditionalFormatting>
  <conditionalFormatting sqref="H119">
    <cfRule type="containsText" dxfId="3054" priority="128" operator="containsText" text="Please check">
      <formula>NOT(ISERROR(SEARCH("Please check",H119)))</formula>
    </cfRule>
    <cfRule type="containsText" dxfId="3053" priority="129" operator="containsText" text="Missing inputs">
      <formula>NOT(ISERROR(SEARCH("Missing inputs",H119)))</formula>
    </cfRule>
    <cfRule type="containsText" dxfId="3052" priority="130" operator="containsText" text="OK">
      <formula>NOT(ISERROR(SEARCH("OK",H119)))</formula>
    </cfRule>
  </conditionalFormatting>
  <conditionalFormatting sqref="H123">
    <cfRule type="cellIs" dxfId="3051" priority="125" stopIfTrue="1" operator="equal">
      <formula>"No"</formula>
    </cfRule>
    <cfRule type="cellIs" dxfId="3050" priority="126" stopIfTrue="1" operator="equal">
      <formula>"Fail"</formula>
    </cfRule>
    <cfRule type="cellIs" dxfId="3049" priority="127" stopIfTrue="1" operator="equal">
      <formula>"please check"</formula>
    </cfRule>
  </conditionalFormatting>
  <conditionalFormatting sqref="H123">
    <cfRule type="cellIs" dxfId="3048" priority="124" stopIfTrue="1" operator="equal">
      <formula>"Pass"</formula>
    </cfRule>
  </conditionalFormatting>
  <conditionalFormatting sqref="H123">
    <cfRule type="containsText" dxfId="3047" priority="121" operator="containsText" text="Please check">
      <formula>NOT(ISERROR(SEARCH("Please check",H123)))</formula>
    </cfRule>
    <cfRule type="containsText" dxfId="3046" priority="122" operator="containsText" text="Missing inputs">
      <formula>NOT(ISERROR(SEARCH("Missing inputs",H123)))</formula>
    </cfRule>
    <cfRule type="containsText" dxfId="3045" priority="123" operator="containsText" text="OK">
      <formula>NOT(ISERROR(SEARCH("OK",H123)))</formula>
    </cfRule>
  </conditionalFormatting>
  <conditionalFormatting sqref="H124">
    <cfRule type="cellIs" dxfId="3044" priority="118" stopIfTrue="1" operator="equal">
      <formula>"No"</formula>
    </cfRule>
    <cfRule type="cellIs" dxfId="3043" priority="119" stopIfTrue="1" operator="equal">
      <formula>"Fail"</formula>
    </cfRule>
    <cfRule type="cellIs" dxfId="3042" priority="120" stopIfTrue="1" operator="equal">
      <formula>"please check"</formula>
    </cfRule>
  </conditionalFormatting>
  <conditionalFormatting sqref="H124">
    <cfRule type="cellIs" dxfId="3041" priority="117" stopIfTrue="1" operator="equal">
      <formula>"Pass"</formula>
    </cfRule>
  </conditionalFormatting>
  <conditionalFormatting sqref="H124">
    <cfRule type="containsText" dxfId="3040" priority="114" operator="containsText" text="Please check">
      <formula>NOT(ISERROR(SEARCH("Please check",H124)))</formula>
    </cfRule>
    <cfRule type="containsText" dxfId="3039" priority="115" operator="containsText" text="Missing inputs">
      <formula>NOT(ISERROR(SEARCH("Missing inputs",H124)))</formula>
    </cfRule>
    <cfRule type="containsText" dxfId="3038" priority="116" operator="containsText" text="OK">
      <formula>NOT(ISERROR(SEARCH("OK",H124)))</formula>
    </cfRule>
  </conditionalFormatting>
  <conditionalFormatting sqref="H122">
    <cfRule type="cellIs" dxfId="3037" priority="111" stopIfTrue="1" operator="equal">
      <formula>"No"</formula>
    </cfRule>
    <cfRule type="cellIs" dxfId="3036" priority="112" stopIfTrue="1" operator="equal">
      <formula>"Fail"</formula>
    </cfRule>
    <cfRule type="cellIs" dxfId="3035" priority="113" stopIfTrue="1" operator="equal">
      <formula>"please check"</formula>
    </cfRule>
  </conditionalFormatting>
  <conditionalFormatting sqref="H122">
    <cfRule type="cellIs" dxfId="3034" priority="110" stopIfTrue="1" operator="equal">
      <formula>"Pass"</formula>
    </cfRule>
  </conditionalFormatting>
  <conditionalFormatting sqref="H125:H129">
    <cfRule type="cellIs" dxfId="3033" priority="107" stopIfTrue="1" operator="equal">
      <formula>"No"</formula>
    </cfRule>
    <cfRule type="cellIs" dxfId="3032" priority="108" stopIfTrue="1" operator="equal">
      <formula>"Fail"</formula>
    </cfRule>
    <cfRule type="cellIs" dxfId="3031" priority="109" stopIfTrue="1" operator="equal">
      <formula>"please check"</formula>
    </cfRule>
  </conditionalFormatting>
  <conditionalFormatting sqref="H125:H129">
    <cfRule type="cellIs" dxfId="3030" priority="106" stopIfTrue="1" operator="equal">
      <formula>"Pass"</formula>
    </cfRule>
  </conditionalFormatting>
  <conditionalFormatting sqref="H116">
    <cfRule type="cellIs" dxfId="3029" priority="103" stopIfTrue="1" operator="equal">
      <formula>"No"</formula>
    </cfRule>
    <cfRule type="cellIs" dxfId="3028" priority="104" stopIfTrue="1" operator="equal">
      <formula>"Fail"</formula>
    </cfRule>
    <cfRule type="cellIs" dxfId="3027" priority="105" stopIfTrue="1" operator="equal">
      <formula>"please check"</formula>
    </cfRule>
  </conditionalFormatting>
  <conditionalFormatting sqref="H116">
    <cfRule type="cellIs" dxfId="3026" priority="102" stopIfTrue="1" operator="equal">
      <formula>"Pass"</formula>
    </cfRule>
  </conditionalFormatting>
  <conditionalFormatting sqref="H116">
    <cfRule type="containsText" dxfId="3025" priority="99" operator="containsText" text="Please check">
      <formula>NOT(ISERROR(SEARCH("Please check",H116)))</formula>
    </cfRule>
    <cfRule type="containsText" dxfId="3024" priority="100" operator="containsText" text="Missing inputs">
      <formula>NOT(ISERROR(SEARCH("Missing inputs",H116)))</formula>
    </cfRule>
    <cfRule type="containsText" dxfId="3023" priority="101" operator="containsText" text="OK">
      <formula>NOT(ISERROR(SEARCH("OK",H116)))</formula>
    </cfRule>
  </conditionalFormatting>
  <conditionalFormatting sqref="G149:G162">
    <cfRule type="cellIs" dxfId="3022" priority="96" stopIfTrue="1" operator="equal">
      <formula>"No"</formula>
    </cfRule>
    <cfRule type="cellIs" dxfId="3021" priority="97" stopIfTrue="1" operator="equal">
      <formula>"Fail"</formula>
    </cfRule>
    <cfRule type="cellIs" dxfId="3020" priority="98" stopIfTrue="1" operator="equal">
      <formula>"please check"</formula>
    </cfRule>
  </conditionalFormatting>
  <conditionalFormatting sqref="G149:G162">
    <cfRule type="cellIs" dxfId="3019" priority="95" stopIfTrue="1" operator="equal">
      <formula>"Pass"</formula>
    </cfRule>
  </conditionalFormatting>
  <conditionalFormatting sqref="G149:G162">
    <cfRule type="containsText" dxfId="3018" priority="92" operator="containsText" text="Please check">
      <formula>NOT(ISERROR(SEARCH("Please check",G149)))</formula>
    </cfRule>
    <cfRule type="containsText" dxfId="3017" priority="93" operator="containsText" text="Missing inputs">
      <formula>NOT(ISERROR(SEARCH("Missing inputs",G149)))</formula>
    </cfRule>
    <cfRule type="containsText" dxfId="3016" priority="94" operator="containsText" text="OK">
      <formula>NOT(ISERROR(SEARCH("OK",G149)))</formula>
    </cfRule>
  </conditionalFormatting>
  <conditionalFormatting sqref="H150">
    <cfRule type="cellIs" dxfId="3015" priority="89" stopIfTrue="1" operator="equal">
      <formula>"No"</formula>
    </cfRule>
    <cfRule type="cellIs" dxfId="3014" priority="90" stopIfTrue="1" operator="equal">
      <formula>"Fail"</formula>
    </cfRule>
    <cfRule type="cellIs" dxfId="3013" priority="91" stopIfTrue="1" operator="equal">
      <formula>"please check"</formula>
    </cfRule>
  </conditionalFormatting>
  <conditionalFormatting sqref="H150">
    <cfRule type="cellIs" dxfId="3012" priority="88" stopIfTrue="1" operator="equal">
      <formula>"Pass"</formula>
    </cfRule>
  </conditionalFormatting>
  <conditionalFormatting sqref="H151">
    <cfRule type="cellIs" dxfId="3011" priority="85" stopIfTrue="1" operator="equal">
      <formula>"No"</formula>
    </cfRule>
    <cfRule type="cellIs" dxfId="3010" priority="86" stopIfTrue="1" operator="equal">
      <formula>"Fail"</formula>
    </cfRule>
    <cfRule type="cellIs" dxfId="3009" priority="87" stopIfTrue="1" operator="equal">
      <formula>"please check"</formula>
    </cfRule>
  </conditionalFormatting>
  <conditionalFormatting sqref="H151">
    <cfRule type="cellIs" dxfId="3008" priority="84" stopIfTrue="1" operator="equal">
      <formula>"Pass"</formula>
    </cfRule>
  </conditionalFormatting>
  <conditionalFormatting sqref="H151">
    <cfRule type="containsText" dxfId="3007" priority="81" operator="containsText" text="Please check">
      <formula>NOT(ISERROR(SEARCH("Please check",H151)))</formula>
    </cfRule>
    <cfRule type="containsText" dxfId="3006" priority="82" operator="containsText" text="Missing inputs">
      <formula>NOT(ISERROR(SEARCH("Missing inputs",H151)))</formula>
    </cfRule>
    <cfRule type="containsText" dxfId="3005" priority="83" operator="containsText" text="OK">
      <formula>NOT(ISERROR(SEARCH("OK",H151)))</formula>
    </cfRule>
  </conditionalFormatting>
  <conditionalFormatting sqref="H154">
    <cfRule type="cellIs" dxfId="3004" priority="78" stopIfTrue="1" operator="equal">
      <formula>"No"</formula>
    </cfRule>
    <cfRule type="cellIs" dxfId="3003" priority="79" stopIfTrue="1" operator="equal">
      <formula>"Fail"</formula>
    </cfRule>
    <cfRule type="cellIs" dxfId="3002" priority="80" stopIfTrue="1" operator="equal">
      <formula>"please check"</formula>
    </cfRule>
  </conditionalFormatting>
  <conditionalFormatting sqref="H154">
    <cfRule type="cellIs" dxfId="3001" priority="77" stopIfTrue="1" operator="equal">
      <formula>"Pass"</formula>
    </cfRule>
  </conditionalFormatting>
  <conditionalFormatting sqref="H153">
    <cfRule type="cellIs" dxfId="3000" priority="74" stopIfTrue="1" operator="equal">
      <formula>"No"</formula>
    </cfRule>
    <cfRule type="cellIs" dxfId="2999" priority="75" stopIfTrue="1" operator="equal">
      <formula>"Fail"</formula>
    </cfRule>
    <cfRule type="cellIs" dxfId="2998" priority="76" stopIfTrue="1" operator="equal">
      <formula>"please check"</formula>
    </cfRule>
  </conditionalFormatting>
  <conditionalFormatting sqref="H153">
    <cfRule type="cellIs" dxfId="2997" priority="73" stopIfTrue="1" operator="equal">
      <formula>"Pass"</formula>
    </cfRule>
  </conditionalFormatting>
  <conditionalFormatting sqref="H152">
    <cfRule type="cellIs" dxfId="2996" priority="70" stopIfTrue="1" operator="equal">
      <formula>"No"</formula>
    </cfRule>
    <cfRule type="cellIs" dxfId="2995" priority="71" stopIfTrue="1" operator="equal">
      <formula>"Fail"</formula>
    </cfRule>
    <cfRule type="cellIs" dxfId="2994" priority="72" stopIfTrue="1" operator="equal">
      <formula>"please check"</formula>
    </cfRule>
  </conditionalFormatting>
  <conditionalFormatting sqref="H152">
    <cfRule type="cellIs" dxfId="2993" priority="69" stopIfTrue="1" operator="equal">
      <formula>"Pass"</formula>
    </cfRule>
  </conditionalFormatting>
  <conditionalFormatting sqref="H152">
    <cfRule type="containsText" dxfId="2992" priority="66" operator="containsText" text="Please check">
      <formula>NOT(ISERROR(SEARCH("Please check",H152)))</formula>
    </cfRule>
    <cfRule type="containsText" dxfId="2991" priority="67" operator="containsText" text="Missing inputs">
      <formula>NOT(ISERROR(SEARCH("Missing inputs",H152)))</formula>
    </cfRule>
    <cfRule type="containsText" dxfId="2990" priority="68" operator="containsText" text="OK">
      <formula>NOT(ISERROR(SEARCH("OK",H152)))</formula>
    </cfRule>
  </conditionalFormatting>
  <conditionalFormatting sqref="H156">
    <cfRule type="cellIs" dxfId="2989" priority="63" stopIfTrue="1" operator="equal">
      <formula>"No"</formula>
    </cfRule>
    <cfRule type="cellIs" dxfId="2988" priority="64" stopIfTrue="1" operator="equal">
      <formula>"Fail"</formula>
    </cfRule>
    <cfRule type="cellIs" dxfId="2987" priority="65" stopIfTrue="1" operator="equal">
      <formula>"please check"</formula>
    </cfRule>
  </conditionalFormatting>
  <conditionalFormatting sqref="H156">
    <cfRule type="cellIs" dxfId="2986" priority="62" stopIfTrue="1" operator="equal">
      <formula>"Pass"</formula>
    </cfRule>
  </conditionalFormatting>
  <conditionalFormatting sqref="H156">
    <cfRule type="containsText" dxfId="2985" priority="59" operator="containsText" text="Please check">
      <formula>NOT(ISERROR(SEARCH("Please check",H156)))</formula>
    </cfRule>
    <cfRule type="containsText" dxfId="2984" priority="60" operator="containsText" text="Missing inputs">
      <formula>NOT(ISERROR(SEARCH("Missing inputs",H156)))</formula>
    </cfRule>
    <cfRule type="containsText" dxfId="2983" priority="61" operator="containsText" text="OK">
      <formula>NOT(ISERROR(SEARCH("OK",H156)))</formula>
    </cfRule>
  </conditionalFormatting>
  <conditionalFormatting sqref="H157">
    <cfRule type="cellIs" dxfId="2982" priority="56" stopIfTrue="1" operator="equal">
      <formula>"No"</formula>
    </cfRule>
    <cfRule type="cellIs" dxfId="2981" priority="57" stopIfTrue="1" operator="equal">
      <formula>"Fail"</formula>
    </cfRule>
    <cfRule type="cellIs" dxfId="2980" priority="58" stopIfTrue="1" operator="equal">
      <formula>"please check"</formula>
    </cfRule>
  </conditionalFormatting>
  <conditionalFormatting sqref="H157">
    <cfRule type="cellIs" dxfId="2979" priority="55" stopIfTrue="1" operator="equal">
      <formula>"Pass"</formula>
    </cfRule>
  </conditionalFormatting>
  <conditionalFormatting sqref="H157">
    <cfRule type="containsText" dxfId="2978" priority="52" operator="containsText" text="Please check">
      <formula>NOT(ISERROR(SEARCH("Please check",H157)))</formula>
    </cfRule>
    <cfRule type="containsText" dxfId="2977" priority="53" operator="containsText" text="Missing inputs">
      <formula>NOT(ISERROR(SEARCH("Missing inputs",H157)))</formula>
    </cfRule>
    <cfRule type="containsText" dxfId="2976" priority="54" operator="containsText" text="OK">
      <formula>NOT(ISERROR(SEARCH("OK",H157)))</formula>
    </cfRule>
  </conditionalFormatting>
  <conditionalFormatting sqref="H155">
    <cfRule type="cellIs" dxfId="2975" priority="49" stopIfTrue="1" operator="equal">
      <formula>"No"</formula>
    </cfRule>
    <cfRule type="cellIs" dxfId="2974" priority="50" stopIfTrue="1" operator="equal">
      <formula>"Fail"</formula>
    </cfRule>
    <cfRule type="cellIs" dxfId="2973" priority="51" stopIfTrue="1" operator="equal">
      <formula>"please check"</formula>
    </cfRule>
  </conditionalFormatting>
  <conditionalFormatting sqref="H155">
    <cfRule type="cellIs" dxfId="2972" priority="48" stopIfTrue="1" operator="equal">
      <formula>"Pass"</formula>
    </cfRule>
  </conditionalFormatting>
  <conditionalFormatting sqref="H158:H162">
    <cfRule type="cellIs" dxfId="2971" priority="45" stopIfTrue="1" operator="equal">
      <formula>"No"</formula>
    </cfRule>
    <cfRule type="cellIs" dxfId="2970" priority="46" stopIfTrue="1" operator="equal">
      <formula>"Fail"</formula>
    </cfRule>
    <cfRule type="cellIs" dxfId="2969" priority="47" stopIfTrue="1" operator="equal">
      <formula>"please check"</formula>
    </cfRule>
  </conditionalFormatting>
  <conditionalFormatting sqref="H158:H162">
    <cfRule type="cellIs" dxfId="2968" priority="44" stopIfTrue="1" operator="equal">
      <formula>"Pass"</formula>
    </cfRule>
  </conditionalFormatting>
  <conditionalFormatting sqref="H149">
    <cfRule type="cellIs" dxfId="2967" priority="41" stopIfTrue="1" operator="equal">
      <formula>"No"</formula>
    </cfRule>
    <cfRule type="cellIs" dxfId="2966" priority="42" stopIfTrue="1" operator="equal">
      <formula>"Fail"</formula>
    </cfRule>
    <cfRule type="cellIs" dxfId="2965" priority="43" stopIfTrue="1" operator="equal">
      <formula>"please check"</formula>
    </cfRule>
  </conditionalFormatting>
  <conditionalFormatting sqref="H149">
    <cfRule type="cellIs" dxfId="2964" priority="40" stopIfTrue="1" operator="equal">
      <formula>"Pass"</formula>
    </cfRule>
  </conditionalFormatting>
  <conditionalFormatting sqref="H149">
    <cfRule type="containsText" dxfId="2963" priority="37" operator="containsText" text="Please check">
      <formula>NOT(ISERROR(SEARCH("Please check",H149)))</formula>
    </cfRule>
    <cfRule type="containsText" dxfId="2962" priority="38" operator="containsText" text="Missing inputs">
      <formula>NOT(ISERROR(SEARCH("Missing inputs",H149)))</formula>
    </cfRule>
    <cfRule type="containsText" dxfId="2961" priority="39" operator="containsText" text="OK">
      <formula>NOT(ISERROR(SEARCH("OK",H149)))</formula>
    </cfRule>
  </conditionalFormatting>
  <conditionalFormatting sqref="B53">
    <cfRule type="cellIs" dxfId="2960" priority="34" stopIfTrue="1" operator="equal">
      <formula>"Pass"</formula>
    </cfRule>
    <cfRule type="cellIs" dxfId="2959" priority="35" stopIfTrue="1" operator="equal">
      <formula>"please check"</formula>
    </cfRule>
    <cfRule type="cellIs" dxfId="2958" priority="36" stopIfTrue="1" operator="equal">
      <formula>"Fail"</formula>
    </cfRule>
  </conditionalFormatting>
  <conditionalFormatting sqref="B58">
    <cfRule type="cellIs" dxfId="2957" priority="31" stopIfTrue="1" operator="equal">
      <formula>"Pass"</formula>
    </cfRule>
    <cfRule type="cellIs" dxfId="2956" priority="32" stopIfTrue="1" operator="equal">
      <formula>"please check"</formula>
    </cfRule>
    <cfRule type="cellIs" dxfId="2955" priority="33" stopIfTrue="1" operator="equal">
      <formula>"Fail"</formula>
    </cfRule>
  </conditionalFormatting>
  <conditionalFormatting sqref="B86">
    <cfRule type="cellIs" dxfId="2954" priority="28" stopIfTrue="1" operator="equal">
      <formula>"Pass"</formula>
    </cfRule>
    <cfRule type="cellIs" dxfId="2953" priority="29" stopIfTrue="1" operator="equal">
      <formula>"please check"</formula>
    </cfRule>
    <cfRule type="cellIs" dxfId="2952" priority="30" stopIfTrue="1" operator="equal">
      <formula>"Fail"</formula>
    </cfRule>
  </conditionalFormatting>
  <conditionalFormatting sqref="B91">
    <cfRule type="cellIs" dxfId="2951" priority="25" stopIfTrue="1" operator="equal">
      <formula>"Pass"</formula>
    </cfRule>
    <cfRule type="cellIs" dxfId="2950" priority="26" stopIfTrue="1" operator="equal">
      <formula>"please check"</formula>
    </cfRule>
    <cfRule type="cellIs" dxfId="2949" priority="27" stopIfTrue="1" operator="equal">
      <formula>"Fail"</formula>
    </cfRule>
  </conditionalFormatting>
  <conditionalFormatting sqref="B119">
    <cfRule type="cellIs" dxfId="2948" priority="22" stopIfTrue="1" operator="equal">
      <formula>"Pass"</formula>
    </cfRule>
    <cfRule type="cellIs" dxfId="2947" priority="23" stopIfTrue="1" operator="equal">
      <formula>"please check"</formula>
    </cfRule>
    <cfRule type="cellIs" dxfId="2946" priority="24" stopIfTrue="1" operator="equal">
      <formula>"Fail"</formula>
    </cfRule>
  </conditionalFormatting>
  <conditionalFormatting sqref="B124">
    <cfRule type="cellIs" dxfId="2945" priority="19" stopIfTrue="1" operator="equal">
      <formula>"Pass"</formula>
    </cfRule>
    <cfRule type="cellIs" dxfId="2944" priority="20" stopIfTrue="1" operator="equal">
      <formula>"please check"</formula>
    </cfRule>
    <cfRule type="cellIs" dxfId="2943" priority="21" stopIfTrue="1" operator="equal">
      <formula>"Fail"</formula>
    </cfRule>
  </conditionalFormatting>
  <conditionalFormatting sqref="B152">
    <cfRule type="cellIs" dxfId="2942" priority="16" stopIfTrue="1" operator="equal">
      <formula>"Pass"</formula>
    </cfRule>
    <cfRule type="cellIs" dxfId="2941" priority="17" stopIfTrue="1" operator="equal">
      <formula>"please check"</formula>
    </cfRule>
    <cfRule type="cellIs" dxfId="2940" priority="18" stopIfTrue="1" operator="equal">
      <formula>"Fail"</formula>
    </cfRule>
  </conditionalFormatting>
  <conditionalFormatting sqref="B157">
    <cfRule type="cellIs" dxfId="2939" priority="13" stopIfTrue="1" operator="equal">
      <formula>"Pass"</formula>
    </cfRule>
    <cfRule type="cellIs" dxfId="2938" priority="14" stopIfTrue="1" operator="equal">
      <formula>"please check"</formula>
    </cfRule>
    <cfRule type="cellIs" dxfId="2937" priority="15" stopIfTrue="1" operator="equal">
      <formula>"Fail"</formula>
    </cfRule>
  </conditionalFormatting>
  <conditionalFormatting sqref="C7:H8">
    <cfRule type="cellIs" dxfId="2936" priority="10" stopIfTrue="1" operator="equal">
      <formula>"Pass"</formula>
    </cfRule>
    <cfRule type="cellIs" dxfId="2935" priority="11" stopIfTrue="1" operator="equal">
      <formula>"Please check"</formula>
    </cfRule>
    <cfRule type="cellIs" dxfId="2934" priority="12" stopIfTrue="1" operator="equal">
      <formula>"Fail"</formula>
    </cfRule>
  </conditionalFormatting>
  <conditionalFormatting sqref="C29:D29">
    <cfRule type="cellIs" dxfId="2933" priority="7" stopIfTrue="1" operator="equal">
      <formula>"Pass"</formula>
    </cfRule>
    <cfRule type="cellIs" dxfId="2932" priority="8" stopIfTrue="1" operator="equal">
      <formula>"Please check"</formula>
    </cfRule>
    <cfRule type="cellIs" dxfId="2931" priority="9" stopIfTrue="1" operator="equal">
      <formula>"Fail"</formula>
    </cfRule>
  </conditionalFormatting>
  <conditionalFormatting sqref="C30:D30">
    <cfRule type="cellIs" dxfId="2930" priority="4" stopIfTrue="1" operator="equal">
      <formula>"Pass"</formula>
    </cfRule>
    <cfRule type="cellIs" dxfId="2929" priority="5" stopIfTrue="1" operator="equal">
      <formula>"Please check"</formula>
    </cfRule>
    <cfRule type="cellIs" dxfId="2928" priority="6" stopIfTrue="1" operator="equal">
      <formula>"Fail"</formula>
    </cfRule>
  </conditionalFormatting>
  <conditionalFormatting sqref="F29:F30">
    <cfRule type="cellIs" dxfId="2927" priority="1" stopIfTrue="1" operator="equal">
      <formula>"Pass"</formula>
    </cfRule>
    <cfRule type="cellIs" dxfId="2926" priority="2" stopIfTrue="1" operator="equal">
      <formula>"Please check"</formula>
    </cfRule>
    <cfRule type="cellIs" dxfId="2925" priority="3" stopIfTrue="1" operator="equal">
      <formula>"Fail"</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extLst>
    <ext xmlns:x14="http://schemas.microsoft.com/office/spreadsheetml/2009/9/main" uri="{78C0D931-6437-407d-A8EE-F0AAD7539E65}">
      <x14:conditionalFormattings>
        <x14:conditionalFormatting xmlns:xm="http://schemas.microsoft.com/office/excel/2006/main">
          <x14:cfRule type="beginsWith" priority="478" stopIfTrue="1" operator="beginsWith" id="{46D5D043-90EA-4B57-9C23-7AB92F1499AC}">
            <xm:f>LEFT(B28,LEN("Fail"))="Fail"</xm:f>
            <xm:f>"Fail"</xm:f>
            <x14:dxf>
              <font>
                <b/>
                <i val="0"/>
                <strike val="0"/>
                <color rgb="FFAA322F"/>
              </font>
              <fill>
                <patternFill patternType="solid">
                  <bgColor theme="0"/>
                </patternFill>
              </fill>
            </x14:dxf>
          </x14:cfRule>
          <xm:sqref>B28:B30</xm:sqref>
        </x14:conditionalFormatting>
        <x14:conditionalFormatting xmlns:xm="http://schemas.microsoft.com/office/excel/2006/main">
          <x14:cfRule type="beginsWith" priority="475" stopIfTrue="1" operator="beginsWith" id="{16E17912-D534-4E68-B132-3F9318B1F8FA}">
            <xm:f>LEFT(B61,LEN("Fail"))="Fail"</xm:f>
            <xm:f>"Fail"</xm:f>
            <x14:dxf>
              <font>
                <b/>
                <i val="0"/>
                <strike val="0"/>
                <color rgb="FFAA322F"/>
              </font>
              <fill>
                <patternFill patternType="solid">
                  <bgColor theme="0"/>
                </patternFill>
              </fill>
            </x14:dxf>
          </x14:cfRule>
          <xm:sqref>B61:B63</xm:sqref>
        </x14:conditionalFormatting>
        <x14:conditionalFormatting xmlns:xm="http://schemas.microsoft.com/office/excel/2006/main">
          <x14:cfRule type="beginsWith" priority="472" stopIfTrue="1" operator="beginsWith" id="{71169654-C875-4320-A594-6310159CDB8A}">
            <xm:f>LEFT(B94,LEN("Fail"))="Fail"</xm:f>
            <xm:f>"Fail"</xm:f>
            <x14:dxf>
              <font>
                <b/>
                <i val="0"/>
                <strike val="0"/>
                <color rgb="FFAA322F"/>
              </font>
              <fill>
                <patternFill patternType="solid">
                  <bgColor theme="0"/>
                </patternFill>
              </fill>
            </x14:dxf>
          </x14:cfRule>
          <xm:sqref>B94:B96</xm:sqref>
        </x14:conditionalFormatting>
        <x14:conditionalFormatting xmlns:xm="http://schemas.microsoft.com/office/excel/2006/main">
          <x14:cfRule type="beginsWith" priority="469" stopIfTrue="1" operator="beginsWith" id="{B7EEC370-8D6F-4E95-83AD-8AD3DA2C3BE3}">
            <xm:f>LEFT(B127,LEN("Fail"))="Fail"</xm:f>
            <xm:f>"Fail"</xm:f>
            <x14:dxf>
              <font>
                <b/>
                <i val="0"/>
                <strike val="0"/>
                <color rgb="FFAA322F"/>
              </font>
              <fill>
                <patternFill patternType="solid">
                  <bgColor theme="0"/>
                </patternFill>
              </fill>
            </x14:dxf>
          </x14:cfRule>
          <xm:sqref>B127:B129</xm:sqref>
        </x14:conditionalFormatting>
        <x14:conditionalFormatting xmlns:xm="http://schemas.microsoft.com/office/excel/2006/main">
          <x14:cfRule type="beginsWith" priority="466" stopIfTrue="1" operator="beginsWith" id="{D7628D20-D9D3-4EAB-85B3-47823E8C5DB5}">
            <xm:f>LEFT(B160,LEN("Fail"))="Fail"</xm:f>
            <xm:f>"Fail"</xm:f>
            <x14:dxf>
              <font>
                <b/>
                <i val="0"/>
                <strike val="0"/>
                <color rgb="FFAA322F"/>
              </font>
              <fill>
                <patternFill patternType="solid">
                  <bgColor theme="0"/>
                </patternFill>
              </fill>
            </x14:dxf>
          </x14:cfRule>
          <xm:sqref>B160:B162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'EU Parameters'!$C$275:$C$301</xm:f>
          </x14:formula1>
          <xm:sqref>C34 C67 C100 C133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sheetPr>
  <dimension ref="A1:T70"/>
  <sheetViews>
    <sheetView zoomScale="60" zoomScaleNormal="60" workbookViewId="0">
      <pane xSplit="2" ySplit="1" topLeftCell="C17" activePane="bottomRight" state="frozen"/>
      <selection activeCell="P35" sqref="P35"/>
      <selection pane="topRight" activeCell="P35" sqref="P35"/>
      <selection pane="bottomLeft" activeCell="P35" sqref="P35"/>
      <selection pane="bottomRight" activeCell="D58" sqref="D58:L60"/>
    </sheetView>
  </sheetViews>
  <sheetFormatPr defaultColWidth="0" defaultRowHeight="0" customHeight="1" zeroHeight="1" x14ac:dyDescent="0.35"/>
  <cols>
    <col min="1" max="1" width="1.6640625" style="98" customWidth="1"/>
    <col min="2" max="2" width="60.6640625" style="98" customWidth="1"/>
    <col min="3" max="19" width="16.6640625" style="98" customWidth="1"/>
    <col min="20" max="20" width="1.6640625" style="98" customWidth="1"/>
    <col min="21" max="16384" width="16.88671875" hidden="1"/>
  </cols>
  <sheetData>
    <row r="1" spans="1:20" ht="30" customHeight="1" x14ac:dyDescent="0.65">
      <c r="A1" s="766" t="s">
        <v>915</v>
      </c>
      <c r="B1" s="767"/>
      <c r="C1" s="752"/>
      <c r="D1" s="752"/>
      <c r="E1" s="739" t="str">
        <f>CONCATENATE("Reporting unit: ", 'General Info'!$C$7, " ", 'General Info'!$C$5)</f>
        <v>Reporting unit: 1000 eur</v>
      </c>
      <c r="F1" s="739"/>
      <c r="G1" s="739"/>
      <c r="H1" s="752"/>
      <c r="I1" s="752"/>
      <c r="J1" s="752"/>
      <c r="K1" s="752"/>
      <c r="L1" s="752"/>
      <c r="M1" s="752"/>
      <c r="N1" s="752"/>
      <c r="O1" s="752"/>
      <c r="P1" s="752"/>
      <c r="Q1" s="752"/>
      <c r="R1" s="752"/>
      <c r="S1" s="752"/>
      <c r="T1" s="694"/>
    </row>
    <row r="2" spans="1:20" ht="15" customHeight="1" x14ac:dyDescent="0.35">
      <c r="A2" s="263"/>
      <c r="G2" s="876"/>
      <c r="T2" s="315"/>
    </row>
    <row r="3" spans="1:20" ht="30" customHeight="1" x14ac:dyDescent="0.35">
      <c r="A3" s="263"/>
      <c r="B3" s="877" t="s">
        <v>916</v>
      </c>
      <c r="C3" s="878"/>
      <c r="D3" s="878"/>
      <c r="E3" s="878"/>
      <c r="G3" s="775" t="s">
        <v>917</v>
      </c>
      <c r="H3" s="776"/>
      <c r="I3" s="776"/>
      <c r="J3" s="776"/>
      <c r="K3" s="776"/>
      <c r="L3" s="776"/>
      <c r="M3" s="776"/>
      <c r="T3" s="315"/>
    </row>
    <row r="4" spans="1:20" ht="15" hidden="1" customHeight="1" x14ac:dyDescent="0.35">
      <c r="A4" s="263"/>
      <c r="B4" s="185"/>
      <c r="C4" s="161"/>
      <c r="D4" s="161"/>
      <c r="E4" s="161"/>
      <c r="G4" s="370"/>
      <c r="H4" s="560"/>
      <c r="T4" s="315"/>
    </row>
    <row r="5" spans="1:20" ht="15" customHeight="1" x14ac:dyDescent="0.35">
      <c r="A5" s="276"/>
      <c r="B5" s="940" t="s">
        <v>918</v>
      </c>
      <c r="C5" s="2847" t="str">
        <f>'Supervisory information'!C39</f>
        <v>Yes</v>
      </c>
      <c r="D5" s="2848"/>
      <c r="E5" s="2848"/>
      <c r="F5" s="370"/>
      <c r="G5" s="2849" t="s">
        <v>919</v>
      </c>
      <c r="H5" s="2850"/>
      <c r="I5" s="2847" t="str">
        <f>IF(AND(COUNTBLANK($C$19:$K$31)&lt;&gt;0,C5= "Yes"), "Please fill in all the yellow cells, empty cells are not allowed", "")</f>
        <v/>
      </c>
      <c r="J5" s="2848"/>
      <c r="K5" s="2848"/>
      <c r="L5" s="2848"/>
      <c r="M5" s="2848"/>
      <c r="T5" s="946"/>
    </row>
    <row r="6" spans="1:20" ht="15" customHeight="1" x14ac:dyDescent="0.35">
      <c r="A6" s="276"/>
      <c r="B6" s="940" t="s">
        <v>920</v>
      </c>
      <c r="C6" s="2847" t="str">
        <f>IF('General Info'!C44="", "", 'General Info'!C44)</f>
        <v>No</v>
      </c>
      <c r="D6" s="2848"/>
      <c r="E6" s="2848"/>
      <c r="F6" s="370"/>
      <c r="G6" s="879"/>
      <c r="H6" s="383"/>
      <c r="I6" s="880"/>
      <c r="J6" s="879"/>
      <c r="K6" s="879"/>
      <c r="L6" s="879"/>
      <c r="M6" s="879"/>
      <c r="T6" s="946"/>
    </row>
    <row r="7" spans="1:20" ht="15" customHeight="1" x14ac:dyDescent="0.35">
      <c r="A7" s="276"/>
      <c r="B7" s="940" t="s">
        <v>921</v>
      </c>
      <c r="C7" s="2847">
        <f>IF(ISNUMBER(DefCap!$D$45), DefCap!$D$45, "No info in DefCap worksheet")</f>
        <v>0</v>
      </c>
      <c r="D7" s="2848"/>
      <c r="E7" s="2848"/>
      <c r="F7" s="370"/>
      <c r="G7" s="2849" t="s">
        <v>922</v>
      </c>
      <c r="H7" s="2850"/>
      <c r="I7" s="2847" t="str">
        <f>IF(AND((COUNTBLANK(E44:E49)+COUNTBLANK(I44:I49)+COUNTBLANK(J44:K49))&lt;&gt;0,C5="Yes"), "For EU banks only: fill in all the green cells, empty cells are not allowed", "")</f>
        <v/>
      </c>
      <c r="J7" s="2848"/>
      <c r="K7" s="2848"/>
      <c r="L7" s="2848"/>
      <c r="M7" s="2848"/>
      <c r="T7" s="946"/>
    </row>
    <row r="8" spans="1:20" ht="15" customHeight="1" x14ac:dyDescent="0.35">
      <c r="A8" s="276"/>
      <c r="B8" s="941" t="s">
        <v>923</v>
      </c>
      <c r="C8" s="2853">
        <f>IF(ISNUMBER(DefCap!$D$47), DefCap!$D$47, "No info in DefCap worksheet")</f>
        <v>0</v>
      </c>
      <c r="D8" s="2854"/>
      <c r="E8" s="2854"/>
      <c r="F8" s="370"/>
      <c r="G8" s="2851" t="s">
        <v>924</v>
      </c>
      <c r="H8" s="2852"/>
      <c r="I8" s="2853" t="str">
        <f>IF(AND(COUNTBLANK(C58:J60)&lt;&gt;0,C5= "Yes"), "Please fill in all the yellow and green cells, empty cells are not allowed", "")</f>
        <v/>
      </c>
      <c r="J8" s="2854"/>
      <c r="K8" s="2854"/>
      <c r="L8" s="2854"/>
      <c r="M8" s="2854"/>
      <c r="T8" s="946"/>
    </row>
    <row r="9" spans="1:20" ht="15" customHeight="1" x14ac:dyDescent="0.35">
      <c r="A9" s="263"/>
      <c r="G9" s="275"/>
      <c r="T9" s="567"/>
    </row>
    <row r="10" spans="1:20" ht="45" customHeight="1" x14ac:dyDescent="0.35">
      <c r="A10" s="704" t="s">
        <v>925</v>
      </c>
      <c r="B10" s="743"/>
      <c r="C10" s="741"/>
      <c r="D10" s="741"/>
      <c r="E10" s="741"/>
      <c r="F10" s="741"/>
      <c r="G10" s="741"/>
      <c r="H10" s="741"/>
      <c r="I10" s="741"/>
      <c r="J10" s="741"/>
      <c r="K10" s="741"/>
      <c r="L10" s="741"/>
      <c r="M10" s="741"/>
      <c r="N10" s="741"/>
      <c r="O10" s="741"/>
      <c r="P10" s="741"/>
      <c r="Q10" s="741"/>
      <c r="R10" s="741"/>
      <c r="S10" s="741"/>
      <c r="T10" s="315"/>
    </row>
    <row r="11" spans="1:20" ht="45" customHeight="1" x14ac:dyDescent="0.35">
      <c r="A11" s="311" t="s">
        <v>926</v>
      </c>
      <c r="B11" s="207"/>
      <c r="T11" s="315"/>
    </row>
    <row r="12" spans="1:20" ht="15" customHeight="1" x14ac:dyDescent="0.35">
      <c r="A12" s="311"/>
      <c r="B12" s="948"/>
      <c r="C12" s="752"/>
      <c r="D12" s="752"/>
      <c r="E12" s="752"/>
      <c r="F12" s="848" t="s">
        <v>177</v>
      </c>
      <c r="T12" s="315"/>
    </row>
    <row r="13" spans="1:20" ht="15" customHeight="1" x14ac:dyDescent="0.35">
      <c r="A13" s="263"/>
      <c r="B13" s="463" t="s">
        <v>927</v>
      </c>
      <c r="C13" s="463"/>
      <c r="D13" s="463"/>
      <c r="E13" s="161"/>
      <c r="F13" s="663">
        <f>IF(AND(ISNUMBER(F14),ISNUMBER(F15)), F14+F15, "")</f>
        <v>134213</v>
      </c>
      <c r="T13" s="315"/>
    </row>
    <row r="14" spans="1:20" ht="15" customHeight="1" x14ac:dyDescent="0.35">
      <c r="A14" s="263"/>
      <c r="B14" s="164" t="s">
        <v>928</v>
      </c>
      <c r="C14" s="161"/>
      <c r="D14" s="161"/>
      <c r="E14" s="161"/>
      <c r="F14" s="458">
        <v>134213</v>
      </c>
      <c r="T14" s="315"/>
    </row>
    <row r="15" spans="1:20" ht="15" customHeight="1" x14ac:dyDescent="0.35">
      <c r="A15" s="263"/>
      <c r="B15" s="238" t="s">
        <v>929</v>
      </c>
      <c r="C15" s="171"/>
      <c r="D15" s="171"/>
      <c r="E15" s="171"/>
      <c r="F15" s="457">
        <v>0</v>
      </c>
      <c r="T15" s="315"/>
    </row>
    <row r="16" spans="1:20" ht="60" customHeight="1" x14ac:dyDescent="0.35">
      <c r="A16" s="311" t="s">
        <v>930</v>
      </c>
      <c r="B16" s="207"/>
      <c r="T16" s="315"/>
    </row>
    <row r="17" spans="1:20" ht="30" customHeight="1" x14ac:dyDescent="0.35">
      <c r="A17" s="311"/>
      <c r="B17" s="2830"/>
      <c r="C17" s="2855" t="s">
        <v>92</v>
      </c>
      <c r="D17" s="2855"/>
      <c r="E17" s="2855"/>
      <c r="F17" s="2856"/>
      <c r="G17" s="2858" t="s">
        <v>931</v>
      </c>
      <c r="H17" s="2859"/>
      <c r="I17" s="2859"/>
      <c r="J17" s="2860"/>
      <c r="K17" s="939" t="s">
        <v>221</v>
      </c>
      <c r="L17" s="943" t="s">
        <v>932</v>
      </c>
      <c r="M17" s="949" t="s">
        <v>92</v>
      </c>
      <c r="N17" s="2857" t="s">
        <v>933</v>
      </c>
      <c r="O17" s="2858"/>
      <c r="P17" s="2837" t="s">
        <v>221</v>
      </c>
      <c r="Q17" s="2837"/>
      <c r="R17" s="2828" t="s">
        <v>932</v>
      </c>
      <c r="S17" s="2828"/>
      <c r="T17" s="947"/>
    </row>
    <row r="18" spans="1:20" ht="90" customHeight="1" x14ac:dyDescent="0.35">
      <c r="A18" s="311"/>
      <c r="B18" s="2831"/>
      <c r="C18" s="494" t="s">
        <v>934</v>
      </c>
      <c r="D18" s="250" t="s">
        <v>935</v>
      </c>
      <c r="E18" s="250" t="s">
        <v>936</v>
      </c>
      <c r="F18" s="250" t="s">
        <v>177</v>
      </c>
      <c r="G18" s="250" t="s">
        <v>934</v>
      </c>
      <c r="H18" s="250" t="s">
        <v>935</v>
      </c>
      <c r="I18" s="250" t="s">
        <v>936</v>
      </c>
      <c r="J18" s="250" t="s">
        <v>177</v>
      </c>
      <c r="K18" s="377" t="s">
        <v>937</v>
      </c>
      <c r="L18" s="377" t="s">
        <v>938</v>
      </c>
      <c r="M18" s="378" t="s">
        <v>939</v>
      </c>
      <c r="N18" s="277" t="s">
        <v>940</v>
      </c>
      <c r="O18" s="379" t="s">
        <v>939</v>
      </c>
      <c r="P18" s="950" t="s">
        <v>941</v>
      </c>
      <c r="Q18" s="899" t="s">
        <v>942</v>
      </c>
      <c r="R18" s="950" t="s">
        <v>941</v>
      </c>
      <c r="S18" s="899" t="s">
        <v>942</v>
      </c>
      <c r="T18" s="947"/>
    </row>
    <row r="19" spans="1:20" ht="15" customHeight="1" x14ac:dyDescent="0.35">
      <c r="A19" s="263"/>
      <c r="B19" s="951" t="s">
        <v>943</v>
      </c>
      <c r="C19" s="544">
        <f>IF(AND(ISNUMBER(C20),ISNUMBER(C21),ISNUMBER(C22),ISNUMBER(C23)),SUM(C20:C23),"")</f>
        <v>611064</v>
      </c>
      <c r="D19" s="545">
        <f>IF(AND(ISNUMBER(D20),ISNUMBER(D21),ISNUMBER(D22),ISNUMBER(D23)),SUM(D20:D23),"")</f>
        <v>0</v>
      </c>
      <c r="E19" s="545">
        <f t="shared" ref="E19:L19" si="0">IF(AND(ISNUMBER(E20),ISNUMBER(E21),ISNUMBER(E22),ISNUMBER(E23)),SUM(E20,E21,E22,E23),"")</f>
        <v>611064</v>
      </c>
      <c r="F19" s="545">
        <f t="shared" si="0"/>
        <v>134213</v>
      </c>
      <c r="G19" s="545">
        <f t="shared" si="0"/>
        <v>611064</v>
      </c>
      <c r="H19" s="545">
        <f t="shared" si="0"/>
        <v>0</v>
      </c>
      <c r="I19" s="545">
        <f t="shared" si="0"/>
        <v>611064</v>
      </c>
      <c r="J19" s="545">
        <f t="shared" si="0"/>
        <v>134213</v>
      </c>
      <c r="K19" s="545">
        <f t="shared" si="0"/>
        <v>134213</v>
      </c>
      <c r="L19" s="545">
        <f t="shared" si="0"/>
        <v>135208</v>
      </c>
      <c r="M19" s="547" t="str">
        <f>IF(AND(ISNUMBER(E19), ISNUMBER(F19), E19&lt;&gt;0, F19&lt;&gt;0), IF(F19/E19&gt;=0.07, "Pass", "Fail"), "")</f>
        <v>Pass</v>
      </c>
      <c r="N19" s="525" t="str">
        <f>IF(AND(ISNUMBER(J19),ISNUMBER(I19), J19&lt;&gt;0, I19&lt;&gt;0),IF(J19/I19&lt;=12.5,"Pass","Fail"), "")</f>
        <v>Pass</v>
      </c>
      <c r="O19" s="525" t="str">
        <f>IF(AND(ISNUMBER(I19), ISNUMBER(J19), I19&lt;&gt;0, J19&lt;&gt;0), IF(J19/I19&gt;=0.15, "Pass", "Fail"), "")</f>
        <v>Pass</v>
      </c>
      <c r="P19" s="952"/>
      <c r="Q19" s="521"/>
      <c r="R19" s="952"/>
      <c r="S19" s="521"/>
      <c r="T19" s="315"/>
    </row>
    <row r="20" spans="1:20" ht="15" customHeight="1" x14ac:dyDescent="0.35">
      <c r="A20" s="263"/>
      <c r="B20" s="219" t="s">
        <v>944</v>
      </c>
      <c r="C20" s="495">
        <v>0</v>
      </c>
      <c r="D20" s="212">
        <v>0</v>
      </c>
      <c r="E20" s="546">
        <f>IF(AND(ISNUMBER(C20), ISNUMBER(D20)),C20-D20, "")</f>
        <v>0</v>
      </c>
      <c r="F20" s="212">
        <v>0</v>
      </c>
      <c r="G20" s="208">
        <v>0</v>
      </c>
      <c r="H20" s="208">
        <v>0</v>
      </c>
      <c r="I20" s="186">
        <f>IF(AND(ISNUMBER(G20), ISNUMBER(H20)),G20-H20, "")</f>
        <v>0</v>
      </c>
      <c r="J20" s="208">
        <v>0</v>
      </c>
      <c r="K20" s="208">
        <v>0</v>
      </c>
      <c r="L20" s="208">
        <v>0</v>
      </c>
      <c r="M20" s="547" t="str">
        <f t="shared" ref="M20:M29" si="1">IF(AND(ISNUMBER(E20), ISNUMBER(F20), E20&lt;&gt;0, F20&lt;&gt;0), IF(F20/E20&gt;=0.07, "Pass", "Fail"), "")</f>
        <v/>
      </c>
      <c r="N20" s="355" t="str">
        <f>IF(AND(ISNUMBER(J20),ISNUMBER(I20), J20&lt;&gt;0, I20&lt;&gt;0),IF(J20/I20&lt;=12.5,"Pass","Fail"), "")</f>
        <v/>
      </c>
      <c r="O20" s="355" t="str">
        <f t="shared" ref="O20:O23" si="2">IF(AND(ISNUMBER(I20), ISNUMBER(J20), I20&lt;&gt;0, J20&lt;&gt;0), IF(J20/I20&gt;=0.15, "Pass", "Fail"), "")</f>
        <v/>
      </c>
      <c r="P20" s="352" t="str">
        <f>IF(OR(ISNUMBER(J20)=FALSE, I20=0), "", IF(ISNUMBER(K20)=FALSE, "Fail", IF(AND(K20/I20&gt;=0.15, K20/I20&lt;=12.5), "Pass"," Please explain")))</f>
        <v/>
      </c>
      <c r="Q20" s="356" t="str">
        <f>IF(OR(ISNUMBER(J20)=FALSE, I20=0), "", IF(ISNUMBER(K20)=FALSE, "Fail", IF(OR((J20/I20=0.15), (J20/I20=12.5), (J20&lt;&gt;K20)), "Pass", "Please explain")))</f>
        <v/>
      </c>
      <c r="R20" s="352" t="str">
        <f>IF(OR(ISNUMBER(J20)=FALSE, I20=0), "", IF(ISNUMBER(L20)=FALSE, "Fail", IF(AND(L20/I20&gt;=0.15, L20/I20&lt;=12.5), "Pass"," Please explain")))</f>
        <v/>
      </c>
      <c r="S20" s="356" t="str">
        <f>IF(OR(ISNUMBER(J20)=FALSE, I20=0), "", IF(ISNUMBER(L20)=FALSE, "Fail", IF(OR((J20/I20=0.15), (J20/I20=12.5), (J20&lt;&gt;L20)), "Pass", "Please explain")))</f>
        <v/>
      </c>
      <c r="T20" s="315"/>
    </row>
    <row r="21" spans="1:20" ht="15" customHeight="1" x14ac:dyDescent="0.35">
      <c r="A21" s="263"/>
      <c r="B21" s="219" t="s">
        <v>945</v>
      </c>
      <c r="C21" s="299">
        <v>611064</v>
      </c>
      <c r="D21" s="208">
        <v>0</v>
      </c>
      <c r="E21" s="186">
        <f t="shared" ref="E21:E24" si="3">IF(AND(ISNUMBER(C21), ISNUMBER(D21)),C21-D21, "")</f>
        <v>611064</v>
      </c>
      <c r="F21" s="208">
        <v>134213</v>
      </c>
      <c r="G21" s="208">
        <v>611064</v>
      </c>
      <c r="H21" s="208">
        <v>0</v>
      </c>
      <c r="I21" s="186">
        <f t="shared" ref="I21:I24" si="4">IF(AND(ISNUMBER(G21), ISNUMBER(H21)),G21-H21, "")</f>
        <v>611064</v>
      </c>
      <c r="J21" s="138">
        <v>134213</v>
      </c>
      <c r="K21" s="375">
        <f>IF(ISNUMBER(J21),J21,"")</f>
        <v>134213</v>
      </c>
      <c r="L21" s="210">
        <v>135208</v>
      </c>
      <c r="M21" s="547" t="str">
        <f t="shared" si="1"/>
        <v>Pass</v>
      </c>
      <c r="N21" s="355" t="str">
        <f t="shared" ref="N21:N30" si="5">IF(AND(ISNUMBER(J21),ISNUMBER(I21), J21&lt;&gt;0, I21&lt;&gt;0),IF(J21/I21&lt;=12.5,"Pass","Fail"), "")</f>
        <v>Pass</v>
      </c>
      <c r="O21" s="355" t="str">
        <f t="shared" si="2"/>
        <v>Pass</v>
      </c>
      <c r="P21" s="384"/>
      <c r="Q21" s="178"/>
      <c r="R21" s="352" t="str">
        <f>IF(OR(ISNUMBER(J21)=FALSE, I21=0), "", IF(ISNUMBER(L21)=FALSE, "Fail", IF(AND(L21/I21&gt;=0.15, L21/I21&lt;=12.5), "Pass"," Please explain")))</f>
        <v>Pass</v>
      </c>
      <c r="S21" s="356" t="str">
        <f>IF(OR(ISNUMBER(J21)=FALSE, I21=0), "", IF(ISNUMBER(L21)=FALSE, "Fail", IF(OR((J21/I21=0.15), (J21/I21=12.5), (J21&lt;&gt;L21)), "Pass", "Please explain")))</f>
        <v>Pass</v>
      </c>
      <c r="T21" s="315"/>
    </row>
    <row r="22" spans="1:20" ht="15" customHeight="1" x14ac:dyDescent="0.35">
      <c r="A22" s="263"/>
      <c r="B22" s="219" t="s">
        <v>946</v>
      </c>
      <c r="C22" s="299">
        <v>0</v>
      </c>
      <c r="D22" s="208">
        <v>0</v>
      </c>
      <c r="E22" s="186">
        <f t="shared" si="3"/>
        <v>0</v>
      </c>
      <c r="F22" s="208">
        <v>0</v>
      </c>
      <c r="G22" s="208">
        <v>0</v>
      </c>
      <c r="H22" s="208">
        <v>0</v>
      </c>
      <c r="I22" s="186">
        <f t="shared" si="4"/>
        <v>0</v>
      </c>
      <c r="J22" s="208">
        <v>0</v>
      </c>
      <c r="K22" s="138">
        <v>0</v>
      </c>
      <c r="L22" s="375">
        <f>IF(ISNUMBER(K22), K22, "")</f>
        <v>0</v>
      </c>
      <c r="M22" s="547" t="str">
        <f t="shared" si="1"/>
        <v/>
      </c>
      <c r="N22" s="355" t="str">
        <f t="shared" si="5"/>
        <v/>
      </c>
      <c r="O22" s="355" t="str">
        <f t="shared" si="2"/>
        <v/>
      </c>
      <c r="P22" s="352" t="str">
        <f>IF(OR(ISNUMBER(J22)=FALSE, I22=0), "", IF(ISNUMBER(K22)=FALSE, "Fail", IF(AND(K22/I22&gt;=0.15, K22/I22&lt;=12.5), "Pass"," Please explain")))</f>
        <v/>
      </c>
      <c r="Q22" s="356" t="str">
        <f>IF(OR(ISNUMBER(J22)=FALSE, I22=0), "", IF(ISNUMBER(K22)=FALSE, "Fail", IF(OR((J22/I22=0.15), (J22/I22=12.5), (J22&lt;&gt;K22)), "Pass", "Please explain")))</f>
        <v/>
      </c>
      <c r="R22" s="384"/>
      <c r="S22" s="880"/>
      <c r="T22" s="315"/>
    </row>
    <row r="23" spans="1:20" ht="15" customHeight="1" x14ac:dyDescent="0.35">
      <c r="A23" s="263"/>
      <c r="B23" s="219" t="s">
        <v>947</v>
      </c>
      <c r="C23" s="299">
        <v>0</v>
      </c>
      <c r="D23" s="208">
        <v>0</v>
      </c>
      <c r="E23" s="186">
        <f t="shared" si="3"/>
        <v>0</v>
      </c>
      <c r="F23" s="208">
        <v>0</v>
      </c>
      <c r="G23" s="208">
        <v>0</v>
      </c>
      <c r="H23" s="208">
        <v>0</v>
      </c>
      <c r="I23" s="186">
        <f t="shared" si="4"/>
        <v>0</v>
      </c>
      <c r="J23" s="138">
        <v>0</v>
      </c>
      <c r="K23" s="375">
        <f>IF(ISNUMBER(J23),J23,"")</f>
        <v>0</v>
      </c>
      <c r="L23" s="626">
        <f>IF(ISNUMBER(J23),J23,"")</f>
        <v>0</v>
      </c>
      <c r="M23" s="547" t="str">
        <f t="shared" si="1"/>
        <v/>
      </c>
      <c r="N23" s="355" t="str">
        <f t="shared" si="5"/>
        <v/>
      </c>
      <c r="O23" s="355" t="str">
        <f t="shared" si="2"/>
        <v/>
      </c>
      <c r="P23" s="384"/>
      <c r="Q23" s="178"/>
      <c r="R23" s="384"/>
      <c r="S23" s="178"/>
      <c r="T23" s="315"/>
    </row>
    <row r="24" spans="1:20" ht="15" customHeight="1" x14ac:dyDescent="0.35">
      <c r="A24" s="263"/>
      <c r="B24" s="407" t="s">
        <v>948</v>
      </c>
      <c r="C24" s="299">
        <v>0</v>
      </c>
      <c r="D24" s="208">
        <v>0</v>
      </c>
      <c r="E24" s="186">
        <f t="shared" si="3"/>
        <v>0</v>
      </c>
      <c r="F24" s="208">
        <v>0</v>
      </c>
      <c r="G24" s="208">
        <v>0</v>
      </c>
      <c r="H24" s="208">
        <v>0</v>
      </c>
      <c r="I24" s="186">
        <f t="shared" si="4"/>
        <v>0</v>
      </c>
      <c r="J24" s="138">
        <v>0</v>
      </c>
      <c r="K24" s="375">
        <f>IF(ISNUMBER(J24),J24,"")</f>
        <v>0</v>
      </c>
      <c r="L24" s="375">
        <f>IF(ISNUMBER(J24),J24,"")</f>
        <v>0</v>
      </c>
      <c r="M24" s="547" t="str">
        <f>IF(AND(ISNUMBER(E24), ISNUMBER(F24), E24&lt;&gt;0, F24&lt;&gt;0), IF(F24/E24&gt;=0.2, "Pass", "Fail"), "")</f>
        <v/>
      </c>
      <c r="N24" s="355" t="str">
        <f t="shared" si="5"/>
        <v/>
      </c>
      <c r="O24" s="355" t="str">
        <f>IF(AND(ISNUMBER(I24), ISNUMBER(J24), I24&lt;&gt;0, J24&lt;&gt;0), IF(J24/I24&gt;=1, "Pass", "Fail"), "")</f>
        <v/>
      </c>
      <c r="P24" s="384"/>
      <c r="Q24" s="178"/>
      <c r="R24" s="384"/>
      <c r="S24" s="178"/>
      <c r="T24" s="315"/>
    </row>
    <row r="25" spans="1:20" ht="15" customHeight="1" x14ac:dyDescent="0.35">
      <c r="A25" s="263"/>
      <c r="B25" s="221" t="s">
        <v>949</v>
      </c>
      <c r="C25" s="186">
        <f>IF(AND(ISNUMBER(C26),ISNUMBER(C27), ISNUMBER(C28), ISNUMBER(C29)), SUM(C26:C29),"")</f>
        <v>0</v>
      </c>
      <c r="D25" s="186">
        <f t="shared" ref="D25:L25" si="6">IF(AND(ISNUMBER(D26),ISNUMBER(D27),ISNUMBER(D28),ISNUMBER(D29)),SUM(D26:D29),"")</f>
        <v>0</v>
      </c>
      <c r="E25" s="186">
        <f t="shared" si="6"/>
        <v>0</v>
      </c>
      <c r="F25" s="186">
        <f t="shared" si="6"/>
        <v>0</v>
      </c>
      <c r="G25" s="186">
        <f t="shared" si="6"/>
        <v>0</v>
      </c>
      <c r="H25" s="186">
        <f t="shared" si="6"/>
        <v>0</v>
      </c>
      <c r="I25" s="186">
        <f t="shared" si="6"/>
        <v>0</v>
      </c>
      <c r="J25" s="186">
        <f t="shared" si="6"/>
        <v>0</v>
      </c>
      <c r="K25" s="186">
        <f t="shared" si="6"/>
        <v>0</v>
      </c>
      <c r="L25" s="186">
        <f t="shared" si="6"/>
        <v>0</v>
      </c>
      <c r="M25" s="547" t="str">
        <f t="shared" si="1"/>
        <v/>
      </c>
      <c r="N25" s="355" t="str">
        <f t="shared" si="5"/>
        <v/>
      </c>
      <c r="O25" s="355" t="str">
        <f>IF(AND(ISNUMBER(I25), ISNUMBER(J25), I25&lt;&gt;0, J25&lt;&gt;0), IF(J25/I25&gt;=0.1, "Pass", "Fail"), "")</f>
        <v/>
      </c>
      <c r="P25" s="384"/>
      <c r="Q25" s="178"/>
      <c r="R25" s="384"/>
      <c r="S25" s="178"/>
      <c r="T25" s="315"/>
    </row>
    <row r="26" spans="1:20" ht="15" customHeight="1" x14ac:dyDescent="0.35">
      <c r="A26" s="263"/>
      <c r="B26" s="219" t="s">
        <v>944</v>
      </c>
      <c r="C26" s="299">
        <v>0</v>
      </c>
      <c r="D26" s="208">
        <v>0</v>
      </c>
      <c r="E26" s="186">
        <f t="shared" ref="E26:E30" si="7">IF(AND(ISNUMBER(C26), ISNUMBER(D26)),C26-D26, "")</f>
        <v>0</v>
      </c>
      <c r="F26" s="208">
        <v>0</v>
      </c>
      <c r="G26" s="208">
        <v>0</v>
      </c>
      <c r="H26" s="208">
        <v>0</v>
      </c>
      <c r="I26" s="186">
        <f t="shared" ref="I26:I30" si="8">IF(AND(ISNUMBER(G26), ISNUMBER(H26)),G26-H26, "")</f>
        <v>0</v>
      </c>
      <c r="J26" s="208">
        <v>0</v>
      </c>
      <c r="K26" s="208">
        <v>0</v>
      </c>
      <c r="L26" s="208">
        <v>0</v>
      </c>
      <c r="M26" s="547" t="str">
        <f t="shared" si="1"/>
        <v/>
      </c>
      <c r="N26" s="355" t="str">
        <f t="shared" si="5"/>
        <v/>
      </c>
      <c r="O26" s="355" t="str">
        <f>IF(AND(ISNUMBER(I26), ISNUMBER(J26), I26&lt;&gt;0, J26&lt;&gt;0), IF(J26/I26&gt;=0.1, "Pass", "Fail"), "")</f>
        <v/>
      </c>
      <c r="P26" s="352" t="str">
        <f>IF(OR(ISNUMBER(J26)=FALSE, I26=0), "", IF(ISNUMBER(K26)=FALSE, "Fail", IF(AND(K26/I26&gt;=0.1, K26/I26&lt;=12.5), "Pass"," Please explain")))</f>
        <v/>
      </c>
      <c r="Q26" s="356" t="str">
        <f>IF(OR(ISNUMBER(J26)=FALSE, I26=0), "", IF(ISNUMBER(K26)=FALSE, "Fail", IF(OR((J26/I26=0.1), (J26/I26=12.5), (J26&lt;&gt;K26)), "Pass", "Please explain")))</f>
        <v/>
      </c>
      <c r="R26" s="352" t="str">
        <f>IF(OR(ISNUMBER(J26)=FALSE, I26=0), "", IF(ISNUMBER(L26)=FALSE, "Fail", IF(AND(L26/I26&gt;=0.1, L26/I26&lt;=12.5), "Pass"," Please explain")))</f>
        <v/>
      </c>
      <c r="S26" s="356" t="str">
        <f>IF(OR(ISNUMBER(J26)=FALSE, I26=0), "", IF(ISNUMBER(L26)=FALSE, "Fail", IF(OR((J26/I26=0.1), (J26/I26=12.5), (J26&lt;&gt;L26)), "Pass", "Please explain")))</f>
        <v/>
      </c>
      <c r="T26" s="315"/>
    </row>
    <row r="27" spans="1:20" ht="15" customHeight="1" x14ac:dyDescent="0.35">
      <c r="A27" s="263"/>
      <c r="B27" s="219" t="s">
        <v>945</v>
      </c>
      <c r="C27" s="299">
        <v>0</v>
      </c>
      <c r="D27" s="208">
        <v>0</v>
      </c>
      <c r="E27" s="186">
        <f t="shared" si="7"/>
        <v>0</v>
      </c>
      <c r="F27" s="208">
        <v>0</v>
      </c>
      <c r="G27" s="208">
        <v>0</v>
      </c>
      <c r="H27" s="208">
        <v>0</v>
      </c>
      <c r="I27" s="186">
        <f t="shared" si="8"/>
        <v>0</v>
      </c>
      <c r="J27" s="138">
        <v>0</v>
      </c>
      <c r="K27" s="375">
        <f>IF(ISNUMBER(J27),J27,"")</f>
        <v>0</v>
      </c>
      <c r="L27" s="208">
        <v>0</v>
      </c>
      <c r="M27" s="547" t="str">
        <f t="shared" si="1"/>
        <v/>
      </c>
      <c r="N27" s="355" t="str">
        <f t="shared" si="5"/>
        <v/>
      </c>
      <c r="O27" s="355" t="str">
        <f>IF(AND(ISNUMBER(I27), ISNUMBER(J27), I27&lt;&gt;0, J27&lt;&gt;0), IF(J27/I27&gt;=0.1, "Pass", "Fail"), "")</f>
        <v/>
      </c>
      <c r="P27" s="384"/>
      <c r="Q27" s="178"/>
      <c r="R27" s="352" t="str">
        <f>IF(OR(ISNUMBER(J27)=FALSE, I27=0), "", IF(ISNUMBER(L27)=FALSE, "Fail", IF(AND(L27/I27&gt;=0.1, L27/I27&lt;=12.5), "Pass"," Please explain")))</f>
        <v/>
      </c>
      <c r="S27" s="356" t="str">
        <f>IF(OR(ISNUMBER(J27)=FALSE, I27=0), "", IF(ISNUMBER(L27)=FALSE, "Fail", IF(OR((J27/I27=0.1), (J27/I27=12.5), (J27&lt;&gt;L27)), "Pass", "Please explain")))</f>
        <v/>
      </c>
      <c r="T27" s="315"/>
    </row>
    <row r="28" spans="1:20" ht="15" customHeight="1" x14ac:dyDescent="0.35">
      <c r="A28" s="263"/>
      <c r="B28" s="219" t="s">
        <v>946</v>
      </c>
      <c r="C28" s="299">
        <v>0</v>
      </c>
      <c r="D28" s="208">
        <v>0</v>
      </c>
      <c r="E28" s="186">
        <f>IF(AND(ISNUMBER(C28), ISNUMBER(D28)),C28-D28, "")</f>
        <v>0</v>
      </c>
      <c r="F28" s="208">
        <v>0</v>
      </c>
      <c r="G28" s="208">
        <v>0</v>
      </c>
      <c r="H28" s="208">
        <v>0</v>
      </c>
      <c r="I28" s="186">
        <f>IF(AND(ISNUMBER(G28), ISNUMBER(H28)),G28-H28, "")</f>
        <v>0</v>
      </c>
      <c r="J28" s="138">
        <v>0</v>
      </c>
      <c r="K28" s="208">
        <v>0</v>
      </c>
      <c r="L28" s="375">
        <f>IF(ISNUMBER(K28), K28, "")</f>
        <v>0</v>
      </c>
      <c r="M28" s="547" t="str">
        <f t="shared" si="1"/>
        <v/>
      </c>
      <c r="N28" s="355" t="str">
        <f t="shared" si="5"/>
        <v/>
      </c>
      <c r="O28" s="355" t="str">
        <f>IF(AND(ISNUMBER(I28), ISNUMBER(J28), I28&lt;&gt;0, J28&lt;&gt;0), IF(J28/I28&gt;=0.1, "Pass", "Fail"), "")</f>
        <v/>
      </c>
      <c r="P28" s="384"/>
      <c r="Q28" s="178"/>
      <c r="R28" s="384"/>
      <c r="S28" s="880"/>
      <c r="T28" s="315"/>
    </row>
    <row r="29" spans="1:20" ht="15" customHeight="1" x14ac:dyDescent="0.35">
      <c r="A29" s="263"/>
      <c r="B29" s="219" t="s">
        <v>950</v>
      </c>
      <c r="C29" s="299">
        <v>0</v>
      </c>
      <c r="D29" s="208">
        <v>0</v>
      </c>
      <c r="E29" s="186">
        <f t="shared" si="7"/>
        <v>0</v>
      </c>
      <c r="F29" s="208">
        <v>0</v>
      </c>
      <c r="G29" s="208">
        <v>0</v>
      </c>
      <c r="H29" s="208">
        <v>0</v>
      </c>
      <c r="I29" s="186">
        <f t="shared" si="8"/>
        <v>0</v>
      </c>
      <c r="J29" s="138">
        <v>0</v>
      </c>
      <c r="K29" s="375">
        <f>IF(ISNUMBER(J29),J29,"")</f>
        <v>0</v>
      </c>
      <c r="L29" s="375">
        <f>IF(ISNUMBER(J29),J29,"")</f>
        <v>0</v>
      </c>
      <c r="M29" s="547" t="str">
        <f t="shared" si="1"/>
        <v/>
      </c>
      <c r="N29" s="355" t="str">
        <f t="shared" si="5"/>
        <v/>
      </c>
      <c r="O29" s="355" t="str">
        <f>IF(AND(ISNUMBER(I29), ISNUMBER(J29), I29&lt;&gt;0, J29&lt;&gt;0), IF(J29/I29&gt;=0.1, "Pass", "Fail"), "")</f>
        <v/>
      </c>
      <c r="P29" s="384"/>
      <c r="Q29" s="178"/>
      <c r="R29" s="384"/>
      <c r="S29" s="178"/>
      <c r="T29" s="315"/>
    </row>
    <row r="30" spans="1:20" ht="15" customHeight="1" x14ac:dyDescent="0.35">
      <c r="A30" s="263"/>
      <c r="B30" s="658" t="s">
        <v>951</v>
      </c>
      <c r="C30" s="307">
        <v>0</v>
      </c>
      <c r="D30" s="210">
        <v>0</v>
      </c>
      <c r="E30" s="659">
        <f t="shared" si="7"/>
        <v>0</v>
      </c>
      <c r="F30" s="210">
        <v>0</v>
      </c>
      <c r="G30" s="210">
        <v>0</v>
      </c>
      <c r="H30" s="210">
        <v>0</v>
      </c>
      <c r="I30" s="659">
        <f t="shared" si="8"/>
        <v>0</v>
      </c>
      <c r="J30" s="237">
        <v>0</v>
      </c>
      <c r="K30" s="375">
        <f>IF(ISNUMBER(J30),J30,"")</f>
        <v>0</v>
      </c>
      <c r="L30" s="375">
        <f>IF(ISNUMBER(J30),J30,"")</f>
        <v>0</v>
      </c>
      <c r="M30" s="598" t="str">
        <f>IF(AND(ISNUMBER(E30), ISNUMBER(F30), E30&lt;&gt;0, F30&lt;&gt;0), IF(F30/E30&gt;=12.5, "Pass", "Fail"), "")</f>
        <v/>
      </c>
      <c r="N30" s="660" t="str">
        <f t="shared" si="5"/>
        <v/>
      </c>
      <c r="O30" s="357" t="str">
        <f>IF(AND(ISNUMBER(I30), ISNUMBER(J30), I30&lt;&gt;0, J30&lt;&gt;0), IF(J30/I30=12.5, "Pass", "Fail"), "")</f>
        <v/>
      </c>
      <c r="P30" s="661"/>
      <c r="Q30" s="361"/>
      <c r="R30" s="661"/>
      <c r="S30" s="361"/>
      <c r="T30" s="315"/>
    </row>
    <row r="31" spans="1:20" ht="15" customHeight="1" x14ac:dyDescent="0.35">
      <c r="A31" s="263"/>
      <c r="B31" s="800" t="s">
        <v>59</v>
      </c>
      <c r="C31" s="637">
        <f>IF(AND(ISNUMBER(C19), ISNUMBER(C25),ISNUMBER(C30)), SUM(C19,C25,C30),"")</f>
        <v>611064</v>
      </c>
      <c r="D31" s="570">
        <f t="shared" ref="D31:F31" si="9">IF(AND(ISNUMBER(D19), ISNUMBER(D25),ISNUMBER(D30)), SUM(D19,D25,D30),"")</f>
        <v>0</v>
      </c>
      <c r="E31" s="570">
        <f t="shared" si="9"/>
        <v>611064</v>
      </c>
      <c r="F31" s="570">
        <f t="shared" si="9"/>
        <v>134213</v>
      </c>
      <c r="G31" s="570">
        <f>IF(AND(ISNUMBER(G19), ISNUMBER(G25),ISNUMBER(G30)), SUM(G19,G25,G30),"")</f>
        <v>611064</v>
      </c>
      <c r="H31" s="570">
        <f t="shared" ref="H31" si="10">IF(AND(ISNUMBER(H19), ISNUMBER(H25),ISNUMBER(H30)), SUM(H19,H25,H30),"")</f>
        <v>0</v>
      </c>
      <c r="I31" s="570">
        <f t="shared" ref="I31" si="11">IF(AND(ISNUMBER(I19), ISNUMBER(I25),ISNUMBER(I30)), SUM(I19,I25,I30),"")</f>
        <v>611064</v>
      </c>
      <c r="J31" s="570">
        <f t="shared" ref="J31" si="12">IF(AND(ISNUMBER(J19), ISNUMBER(J25),ISNUMBER(J30)), SUM(J19,J25,J30),"")</f>
        <v>134213</v>
      </c>
      <c r="K31" s="570">
        <f>IF(AND(ISNUMBER(K19), ISNUMBER(K25),ISNUMBER(K30)), SUM(K19,K25,K30),"")</f>
        <v>134213</v>
      </c>
      <c r="L31" s="570">
        <f>IF(AND(ISNUMBER(L19), ISNUMBER(L25),ISNUMBER(L30)), SUM(L19,L25,L30),"")</f>
        <v>135208</v>
      </c>
      <c r="M31" s="1003"/>
      <c r="N31" s="340"/>
      <c r="O31" s="340"/>
      <c r="P31" s="340"/>
      <c r="Q31" s="340"/>
      <c r="R31" s="340"/>
      <c r="S31" s="340"/>
      <c r="T31" s="315"/>
    </row>
    <row r="32" spans="1:20" ht="15" customHeight="1" x14ac:dyDescent="0.35">
      <c r="A32" s="263"/>
      <c r="B32" s="219" t="s">
        <v>952</v>
      </c>
      <c r="C32" s="1003"/>
      <c r="D32" s="1003"/>
      <c r="E32" s="208">
        <v>611064</v>
      </c>
      <c r="F32" s="208">
        <v>134213</v>
      </c>
      <c r="G32" s="209"/>
      <c r="H32" s="209"/>
      <c r="I32" s="209"/>
      <c r="J32" s="209"/>
      <c r="K32" s="209"/>
      <c r="L32" s="209"/>
      <c r="M32" s="1003"/>
      <c r="N32" s="340"/>
      <c r="O32" s="340"/>
      <c r="P32" s="340"/>
      <c r="Q32" s="340"/>
      <c r="R32" s="340"/>
      <c r="S32" s="340"/>
      <c r="T32" s="315"/>
    </row>
    <row r="33" spans="1:20" ht="15" customHeight="1" x14ac:dyDescent="0.35">
      <c r="A33" s="263"/>
      <c r="B33" s="2832" t="s">
        <v>953</v>
      </c>
      <c r="C33" s="2832"/>
      <c r="D33" s="2832"/>
      <c r="E33" s="352" t="str">
        <f>IF(AND(ISNUMBER(E31), ISNUMBER(E32)), IF(E32&lt;=E31, "Pass", "Fail"), "")</f>
        <v>Pass</v>
      </c>
      <c r="F33" s="352" t="str">
        <f>IF(AND(ISNUMBER(F31), ISNUMBER(F32)), IF(F32&lt;=F31, "Pass", "Fail"), "")</f>
        <v>Pass</v>
      </c>
      <c r="G33" s="209"/>
      <c r="H33" s="209"/>
      <c r="I33" s="209"/>
      <c r="J33" s="209"/>
      <c r="K33" s="340"/>
      <c r="L33" s="340"/>
      <c r="M33" s="340"/>
      <c r="N33" s="340"/>
      <c r="O33" s="340"/>
      <c r="P33" s="340"/>
      <c r="Q33" s="340"/>
      <c r="R33" s="340"/>
      <c r="S33" s="340"/>
      <c r="T33" s="315"/>
    </row>
    <row r="34" spans="1:20" ht="15" customHeight="1" x14ac:dyDescent="0.35">
      <c r="A34" s="263"/>
      <c r="B34" s="2826" t="s">
        <v>954</v>
      </c>
      <c r="C34" s="2826"/>
      <c r="D34" s="2826"/>
      <c r="E34" s="220"/>
      <c r="F34" s="354" t="str">
        <f>IF(AND(ISNUMBER(F13), ISNUMBER(F31)), IF(F31&lt;=F13, "Pass", "Fail"), "")</f>
        <v>Pass</v>
      </c>
      <c r="G34" s="220"/>
      <c r="H34" s="220"/>
      <c r="I34" s="220"/>
      <c r="J34" s="220"/>
      <c r="K34" s="214"/>
      <c r="L34" s="214"/>
      <c r="M34" s="214"/>
      <c r="N34" s="214"/>
      <c r="O34" s="214"/>
      <c r="P34" s="214"/>
      <c r="Q34" s="214"/>
      <c r="R34" s="214"/>
      <c r="S34" s="214"/>
      <c r="T34" s="315"/>
    </row>
    <row r="35" spans="1:20" ht="15" customHeight="1" x14ac:dyDescent="0.35">
      <c r="A35" s="263"/>
      <c r="B35" s="951" t="s">
        <v>955</v>
      </c>
      <c r="C35" s="1006"/>
      <c r="D35" s="1006"/>
      <c r="E35" s="1386">
        <v>0</v>
      </c>
      <c r="F35" s="1386">
        <v>0</v>
      </c>
      <c r="G35" s="490"/>
      <c r="H35" s="490"/>
      <c r="I35" s="1386">
        <v>0</v>
      </c>
      <c r="J35" s="1386">
        <v>0</v>
      </c>
      <c r="K35" s="1386">
        <v>0</v>
      </c>
      <c r="L35" s="1386">
        <v>0</v>
      </c>
      <c r="M35" s="490"/>
      <c r="N35" s="490"/>
      <c r="O35" s="490"/>
      <c r="P35" s="490"/>
      <c r="Q35" s="490"/>
      <c r="R35" s="490"/>
      <c r="S35" s="491"/>
      <c r="T35" s="315"/>
    </row>
    <row r="36" spans="1:20" ht="15" customHeight="1" x14ac:dyDescent="0.35">
      <c r="A36" s="263"/>
      <c r="B36" s="578" t="s">
        <v>956</v>
      </c>
      <c r="C36" s="1391"/>
      <c r="D36" s="1391"/>
      <c r="E36" s="1392">
        <v>0</v>
      </c>
      <c r="F36" s="1392">
        <v>0</v>
      </c>
      <c r="G36" s="1393"/>
      <c r="H36" s="1393"/>
      <c r="I36" s="1392">
        <v>0</v>
      </c>
      <c r="J36" s="1392">
        <v>0</v>
      </c>
      <c r="K36" s="1392">
        <v>0</v>
      </c>
      <c r="L36" s="1392">
        <v>0</v>
      </c>
      <c r="M36" s="1393"/>
      <c r="N36" s="1393"/>
      <c r="O36" s="1393"/>
      <c r="P36" s="1393"/>
      <c r="Q36" s="1393"/>
      <c r="R36" s="1393"/>
      <c r="S36" s="1394"/>
      <c r="T36" s="315"/>
    </row>
    <row r="37" spans="1:20" ht="15" customHeight="1" x14ac:dyDescent="0.35">
      <c r="A37" s="263"/>
      <c r="B37" s="2832" t="str">
        <f>"Check: row " &amp; ROW(F35) &amp; " ≤ row " &amp; ROW(B19)</f>
        <v>Check: row 35 ≤ row 19</v>
      </c>
      <c r="C37" s="2832"/>
      <c r="D37" s="2833"/>
      <c r="E37" s="352" t="str">
        <f>IF(AND(ISNUMBER(E19), ISNUMBER(E35)), IF(E35&lt;=E19, "Pass", "Fail"), "")</f>
        <v>Pass</v>
      </c>
      <c r="F37" s="352" t="str">
        <f>IF(AND(ISNUMBER(F19), ISNUMBER(F35)), IF(F35&lt;=F19, "Pass", "Fail"), "")</f>
        <v>Pass</v>
      </c>
      <c r="G37" s="209"/>
      <c r="H37" s="209"/>
      <c r="I37" s="352" t="str">
        <f>IF(AND(ISNUMBER(I19), ISNUMBER(I35)), IF(I35&lt;=I19, "Pass", "Fail"), "")</f>
        <v>Pass</v>
      </c>
      <c r="J37" s="352" t="str">
        <f>IF(AND(ISNUMBER(J19), ISNUMBER(J35)), IF(J35&lt;=J19, "Pass", "Fail"), "")</f>
        <v>Pass</v>
      </c>
      <c r="K37" s="352" t="str">
        <f>IF(AND(ISNUMBER(K19), ISNUMBER(K35)), IF(K35&lt;=K19, "Pass", "Fail"), "")</f>
        <v>Pass</v>
      </c>
      <c r="L37" s="352" t="str">
        <f>IF(AND(ISNUMBER(L19), ISNUMBER(L35)), IF(L35&lt;=L19, "Pass", "Fail"), "")</f>
        <v>Pass</v>
      </c>
      <c r="M37" s="209"/>
      <c r="N37" s="209"/>
      <c r="O37" s="209"/>
      <c r="P37" s="209"/>
      <c r="Q37" s="209"/>
      <c r="R37" s="209"/>
      <c r="S37" s="340"/>
      <c r="T37" s="315"/>
    </row>
    <row r="38" spans="1:20" ht="15" customHeight="1" x14ac:dyDescent="0.35">
      <c r="A38" s="263"/>
      <c r="B38" s="2826" t="str">
        <f>"Check: row " &amp; ROW(F36) &amp; " ≤ row " &amp; ROW(B35)</f>
        <v>Check: row 36 ≤ row 35</v>
      </c>
      <c r="C38" s="2826"/>
      <c r="D38" s="2827"/>
      <c r="E38" s="354" t="str">
        <f>IF(AND(ISNUMBER(E35), ISNUMBER(E36)), IF(E36&lt;=E35, "Pass", "Fail"), "")</f>
        <v>Pass</v>
      </c>
      <c r="F38" s="354" t="str">
        <f>IF(AND(ISNUMBER(F35), ISNUMBER(F36)), IF(F36&lt;=F35, "Pass", "Fail"), "")</f>
        <v>Pass</v>
      </c>
      <c r="G38" s="220"/>
      <c r="H38" s="220"/>
      <c r="I38" s="354" t="str">
        <f>IF(AND(ISNUMBER(I35), ISNUMBER(I36)), IF(I36&lt;=I35, "Pass", "Fail"), "")</f>
        <v>Pass</v>
      </c>
      <c r="J38" s="354" t="str">
        <f>IF(AND(ISNUMBER(J35), ISNUMBER(J36)), IF(J36&lt;=J35, "Pass", "Fail"), "")</f>
        <v>Pass</v>
      </c>
      <c r="K38" s="354" t="str">
        <f>IF(AND(ISNUMBER(K35), ISNUMBER(K36)), IF(K36&lt;=K35, "Pass", "Fail"), "")</f>
        <v>Pass</v>
      </c>
      <c r="L38" s="354" t="str">
        <f>IF(AND(ISNUMBER(L35), ISNUMBER(L36)), IF(L36&lt;=L35, "Pass", "Fail"), "")</f>
        <v>Pass</v>
      </c>
      <c r="M38" s="220"/>
      <c r="N38" s="220"/>
      <c r="O38" s="220"/>
      <c r="P38" s="220"/>
      <c r="Q38" s="220"/>
      <c r="R38" s="220"/>
      <c r="S38" s="214"/>
      <c r="T38" s="315"/>
    </row>
    <row r="39" spans="1:20" ht="60" customHeight="1" x14ac:dyDescent="0.35">
      <c r="A39" s="263"/>
      <c r="B39" s="1346" t="s">
        <v>957</v>
      </c>
      <c r="C39" s="502">
        <v>0</v>
      </c>
      <c r="D39" s="502">
        <v>0</v>
      </c>
      <c r="E39" s="502">
        <v>0</v>
      </c>
      <c r="F39" s="502">
        <v>0</v>
      </c>
      <c r="G39" s="1006"/>
      <c r="H39" s="1006"/>
      <c r="I39" s="1006"/>
      <c r="J39" s="1006"/>
      <c r="K39" s="1006"/>
      <c r="L39" s="1006"/>
      <c r="M39" s="1006"/>
      <c r="N39" s="1006"/>
      <c r="O39" s="1006"/>
      <c r="P39" s="1006"/>
      <c r="Q39" s="1006"/>
      <c r="R39" s="1006"/>
      <c r="S39" s="1006"/>
      <c r="T39" s="315"/>
    </row>
    <row r="40" spans="1:20" ht="45" customHeight="1" x14ac:dyDescent="0.35">
      <c r="A40" s="263"/>
      <c r="B40" s="1351" t="s">
        <v>958</v>
      </c>
      <c r="C40" s="503">
        <v>0</v>
      </c>
      <c r="D40" s="503">
        <v>0</v>
      </c>
      <c r="E40" s="503">
        <v>0</v>
      </c>
      <c r="F40" s="503">
        <v>0</v>
      </c>
      <c r="G40" s="944"/>
      <c r="H40" s="944"/>
      <c r="I40" s="944"/>
      <c r="J40" s="944"/>
      <c r="K40" s="944"/>
      <c r="L40" s="944"/>
      <c r="M40" s="944"/>
      <c r="N40" s="944"/>
      <c r="O40" s="944"/>
      <c r="P40" s="944"/>
      <c r="Q40" s="944"/>
      <c r="R40" s="944"/>
      <c r="S40" s="944"/>
      <c r="T40" s="315"/>
    </row>
    <row r="41" spans="1:20" ht="49.5" customHeight="1" x14ac:dyDescent="0.35">
      <c r="A41" s="311" t="s">
        <v>959</v>
      </c>
      <c r="B41" s="241"/>
      <c r="C41" s="241"/>
      <c r="D41" s="241"/>
      <c r="E41" s="241"/>
      <c r="F41" s="543"/>
      <c r="G41" s="241"/>
      <c r="H41" s="241"/>
      <c r="I41" s="241"/>
      <c r="J41" s="241"/>
      <c r="K41" s="241"/>
      <c r="L41" s="241"/>
      <c r="M41" s="241"/>
      <c r="N41" s="241"/>
      <c r="O41" s="241"/>
      <c r="P41" s="241"/>
      <c r="Q41" s="241"/>
      <c r="R41" s="241"/>
      <c r="S41" s="241"/>
      <c r="T41" s="315"/>
    </row>
    <row r="42" spans="1:20" ht="30" customHeight="1" x14ac:dyDescent="0.35">
      <c r="A42" s="263"/>
      <c r="B42" s="741"/>
      <c r="C42" s="2839" t="s">
        <v>92</v>
      </c>
      <c r="D42" s="2839"/>
      <c r="E42" s="2839"/>
      <c r="F42" s="2840"/>
      <c r="G42" s="2841" t="s">
        <v>931</v>
      </c>
      <c r="H42" s="2842"/>
      <c r="I42" s="2842"/>
      <c r="J42" s="2843"/>
      <c r="K42" s="939" t="s">
        <v>221</v>
      </c>
      <c r="L42" s="943" t="s">
        <v>932</v>
      </c>
      <c r="M42" s="953"/>
      <c r="N42" s="2841" t="s">
        <v>933</v>
      </c>
      <c r="O42" s="2842"/>
      <c r="P42" s="2837" t="s">
        <v>221</v>
      </c>
      <c r="Q42" s="2838"/>
      <c r="R42" s="2829" t="s">
        <v>932</v>
      </c>
      <c r="S42" s="2828"/>
      <c r="T42" s="315"/>
    </row>
    <row r="43" spans="1:20" ht="90" customHeight="1" x14ac:dyDescent="0.35">
      <c r="A43" s="263"/>
      <c r="B43" s="275"/>
      <c r="C43" s="492" t="s">
        <v>934</v>
      </c>
      <c r="D43" s="377" t="s">
        <v>935</v>
      </c>
      <c r="E43" s="377" t="s">
        <v>936</v>
      </c>
      <c r="F43" s="377" t="s">
        <v>177</v>
      </c>
      <c r="G43" s="377" t="s">
        <v>934</v>
      </c>
      <c r="H43" s="377" t="s">
        <v>935</v>
      </c>
      <c r="I43" s="377" t="s">
        <v>936</v>
      </c>
      <c r="J43" s="377" t="s">
        <v>177</v>
      </c>
      <c r="K43" s="250" t="s">
        <v>937</v>
      </c>
      <c r="L43" s="250" t="s">
        <v>938</v>
      </c>
      <c r="M43" s="490"/>
      <c r="N43" s="950" t="s">
        <v>940</v>
      </c>
      <c r="O43" s="950" t="s">
        <v>939</v>
      </c>
      <c r="P43" s="950" t="s">
        <v>941</v>
      </c>
      <c r="Q43" s="899" t="s">
        <v>942</v>
      </c>
      <c r="R43" s="950" t="s">
        <v>941</v>
      </c>
      <c r="S43" s="899" t="s">
        <v>942</v>
      </c>
      <c r="T43" s="315"/>
    </row>
    <row r="44" spans="1:20" ht="15" customHeight="1" x14ac:dyDescent="0.35">
      <c r="A44" s="263"/>
      <c r="B44" s="98" t="s">
        <v>960</v>
      </c>
      <c r="C44" s="493"/>
      <c r="D44" s="493"/>
      <c r="E44" s="545">
        <f>IF(AND(ISNUMBER(E45),ISNUMBER(E46),ISNUMBER(E47),ISNUMBER(E48),ISNUMBER(E49)),SUM(E45:E49),"")</f>
        <v>0</v>
      </c>
      <c r="F44" s="545">
        <f>IF(ISNUMBER(E44),E44*12.5,"")</f>
        <v>0</v>
      </c>
      <c r="G44" s="490"/>
      <c r="H44" s="493"/>
      <c r="I44" s="545">
        <f>IF(AND(ISNUMBER(I45),ISNUMBER(I46),ISNUMBER(I47),ISNUMBER(I48),ISNUMBER(I49)),SUM(I45:I49),"")</f>
        <v>0</v>
      </c>
      <c r="J44" s="545">
        <f>IF(AND(ISNUMBER(J45),ISNUMBER(J46),ISNUMBER(J47),ISNUMBER(J48),ISNUMBER(J49)),SUM(J45:J49),"")</f>
        <v>0</v>
      </c>
      <c r="K44" s="545">
        <f>IF(AND(ISNUMBER(K45),ISNUMBER(K46),ISNUMBER(K47),ISNUMBER(K48),ISNUMBER(K49)),SUM(K45:K49),"")</f>
        <v>0</v>
      </c>
      <c r="L44" s="545">
        <f>IF(AND(ISNUMBER(L45),ISNUMBER(L46),ISNUMBER(L47),ISNUMBER(L48),ISNUMBER(L49)),SUM(L45:L49),"")</f>
        <v>0</v>
      </c>
      <c r="M44" s="490"/>
      <c r="N44" s="548" t="str">
        <f t="shared" ref="N44:N49" si="13">IF(AND(ISNUMBER(J44),ISNUMBER(I44), J44&lt;&gt;0, I44&lt;&gt;0),IF(J44/I44&lt;=12.5,"Pass","Fail"), "")</f>
        <v/>
      </c>
      <c r="O44" s="355" t="str">
        <f t="shared" ref="O44:O48" si="14">IF(AND(ISNUMBER(I44), ISNUMBER(J44), I44&lt;&gt;0,I44&lt;&gt;0), IF(J44/I44&gt;=0.1, "Pass", "Fail"), "")</f>
        <v/>
      </c>
      <c r="P44" s="380"/>
      <c r="Q44" s="381"/>
      <c r="R44" s="380"/>
      <c r="S44" s="381"/>
      <c r="T44" s="315"/>
    </row>
    <row r="45" spans="1:20" ht="15" customHeight="1" x14ac:dyDescent="0.35">
      <c r="A45" s="263"/>
      <c r="B45" s="219" t="s">
        <v>961</v>
      </c>
      <c r="C45" s="211"/>
      <c r="D45" s="211"/>
      <c r="E45" s="1811">
        <v>0</v>
      </c>
      <c r="F45" s="209"/>
      <c r="G45" s="209"/>
      <c r="H45" s="211"/>
      <c r="I45" s="1804">
        <v>0</v>
      </c>
      <c r="J45" s="1804">
        <v>0</v>
      </c>
      <c r="K45" s="1804">
        <v>0</v>
      </c>
      <c r="L45" s="1804">
        <v>0</v>
      </c>
      <c r="M45" s="209"/>
      <c r="N45" s="356" t="str">
        <f t="shared" si="13"/>
        <v/>
      </c>
      <c r="O45" s="356" t="str">
        <f t="shared" si="14"/>
        <v/>
      </c>
      <c r="P45" s="356" t="str">
        <f>IF(OR(ISNUMBER(J45)=FALSE, I45=0), "", IF(ISNUMBER(K45)=FALSE, "Fail", IF(AND(K45/I45&gt;=0.1, K45/I45&lt;=12.5), "Pass", "Please explain")))</f>
        <v/>
      </c>
      <c r="Q45" s="356" t="str">
        <f>IF(OR(ISNUMBER(J45)=FALSE, I45=0), "", IF(ISNUMBER(K45)=FALSE, "Fail", IF(OR((J45/I45=0.1), (J45/I45=12.5), (J45&lt;&gt;K45)), "Pass", "Please explain")))</f>
        <v/>
      </c>
      <c r="R45" s="356" t="str">
        <f>IF(OR(ISNUMBER(J45)=FALSE, I45=0), "", IF(ISNUMBER(L45)=FALSE, "Fail", IF(AND(L45/I45&gt;=0.1, L45/I45&lt;=12.5), "Pass", "Please explain")))</f>
        <v/>
      </c>
      <c r="S45" s="356" t="str">
        <f>IF(OR(ISNUMBER(J45)=FALSE, I45=0), "", IF(ISNUMBER(L45)=FALSE, "Fail", IF(OR((J45/I45=0.1), (J45/I45=12.5), (J45&lt;&gt;L45)), "Pass", "Please explain")))</f>
        <v/>
      </c>
      <c r="T45" s="315"/>
    </row>
    <row r="46" spans="1:20" ht="15" customHeight="1" x14ac:dyDescent="0.35">
      <c r="A46" s="263"/>
      <c r="B46" s="219" t="s">
        <v>962</v>
      </c>
      <c r="C46" s="211"/>
      <c r="D46" s="211"/>
      <c r="E46" s="1811">
        <v>0</v>
      </c>
      <c r="F46" s="209"/>
      <c r="G46" s="209"/>
      <c r="H46" s="211"/>
      <c r="I46" s="1804">
        <v>0</v>
      </c>
      <c r="J46" s="1804">
        <v>0</v>
      </c>
      <c r="K46" s="1815">
        <f>IF(ISNUMBER(J46),J46,"")</f>
        <v>0</v>
      </c>
      <c r="L46" s="1804">
        <v>0</v>
      </c>
      <c r="M46" s="211"/>
      <c r="N46" s="356" t="str">
        <f t="shared" si="13"/>
        <v/>
      </c>
      <c r="O46" s="356" t="str">
        <f t="shared" si="14"/>
        <v/>
      </c>
      <c r="P46" s="380"/>
      <c r="Q46" s="382"/>
      <c r="R46" s="356" t="str">
        <f>IF(OR(ISNUMBER(J46)=FALSE, I46=0), "", IF(ISNUMBER(L46)=FALSE, "Fail", IF(AND(L46/I46&gt;=0.1, L46/I46&lt;=12.5), "Pass", "Please explain")))</f>
        <v/>
      </c>
      <c r="S46" s="356" t="str">
        <f>IF(OR(ISNUMBER(J46)=FALSE, I46=0), "", IF(ISNUMBER(L46)=FALSE, "Fail", IF(OR((J46/I46=0.1), (J46/I46=12.5), (J46&lt;&gt;L46)), "Pass", "Please explain")))</f>
        <v/>
      </c>
      <c r="T46" s="315"/>
    </row>
    <row r="47" spans="1:20" ht="15" customHeight="1" x14ac:dyDescent="0.35">
      <c r="A47" s="263"/>
      <c r="B47" s="219" t="s">
        <v>963</v>
      </c>
      <c r="C47" s="211"/>
      <c r="D47" s="211"/>
      <c r="E47" s="1811">
        <v>0</v>
      </c>
      <c r="F47" s="209"/>
      <c r="G47" s="209"/>
      <c r="H47" s="211"/>
      <c r="I47" s="1804">
        <v>0</v>
      </c>
      <c r="J47" s="1804">
        <v>0</v>
      </c>
      <c r="K47" s="1804">
        <v>0</v>
      </c>
      <c r="L47" s="375">
        <f>IF(ISNUMBER(K47), K47, "")</f>
        <v>0</v>
      </c>
      <c r="M47" s="209"/>
      <c r="N47" s="356" t="str">
        <f t="shared" si="13"/>
        <v/>
      </c>
      <c r="O47" s="356" t="str">
        <f t="shared" si="14"/>
        <v/>
      </c>
      <c r="P47" s="356" t="str">
        <f>IF(OR(ISNUMBER(J47)=FALSE, I47=0), "", IF(ISNUMBER(K47)=FALSE, "Fail", IF(AND(K47/I47&gt;=0.1, K47/I47&lt;=12.5), "Pass", "Please explain")))</f>
        <v/>
      </c>
      <c r="Q47" s="356" t="str">
        <f>IF(OR(ISNUMBER(J47)=FALSE, I47=0), "", IF(ISNUMBER(K47)=FALSE, "Fail", IF(OR((J47/I47=0.1), (J47/I47=12.5), (J47&lt;&gt;K47)), "Pass", "Please explain")))</f>
        <v/>
      </c>
      <c r="R47" s="384"/>
      <c r="S47" s="880"/>
      <c r="T47" s="315"/>
    </row>
    <row r="48" spans="1:20" ht="15" customHeight="1" x14ac:dyDescent="0.35">
      <c r="A48" s="263"/>
      <c r="B48" s="219" t="s">
        <v>964</v>
      </c>
      <c r="C48" s="211"/>
      <c r="D48" s="211"/>
      <c r="E48" s="1811">
        <v>0</v>
      </c>
      <c r="F48" s="209"/>
      <c r="G48" s="209"/>
      <c r="H48" s="211"/>
      <c r="I48" s="1804">
        <v>0</v>
      </c>
      <c r="J48" s="1804">
        <v>0</v>
      </c>
      <c r="K48" s="1815">
        <f>IF(ISNUMBER(J48),J48,"")</f>
        <v>0</v>
      </c>
      <c r="L48" s="1815">
        <f>IF(ISNUMBER(J48),J48,"")</f>
        <v>0</v>
      </c>
      <c r="M48" s="211"/>
      <c r="N48" s="356" t="str">
        <f t="shared" si="13"/>
        <v/>
      </c>
      <c r="O48" s="356" t="str">
        <f t="shared" si="14"/>
        <v/>
      </c>
      <c r="P48" s="383"/>
      <c r="Q48" s="178"/>
      <c r="R48" s="383"/>
      <c r="S48" s="178"/>
      <c r="T48" s="315"/>
    </row>
    <row r="49" spans="1:20" ht="15" customHeight="1" x14ac:dyDescent="0.35">
      <c r="A49" s="263"/>
      <c r="B49" s="219" t="s">
        <v>965</v>
      </c>
      <c r="C49" s="211"/>
      <c r="D49" s="211"/>
      <c r="E49" s="1811">
        <v>0</v>
      </c>
      <c r="F49" s="209"/>
      <c r="G49" s="209"/>
      <c r="H49" s="211"/>
      <c r="I49" s="1804">
        <v>0</v>
      </c>
      <c r="J49" s="1804">
        <v>0</v>
      </c>
      <c r="K49" s="1815">
        <f>IF(ISNUMBER(J49),J49,"")</f>
        <v>0</v>
      </c>
      <c r="L49" s="1815">
        <f>IF(ISNUMBER(J49),J49,"")</f>
        <v>0</v>
      </c>
      <c r="M49" s="211"/>
      <c r="N49" s="356" t="str">
        <f t="shared" si="13"/>
        <v/>
      </c>
      <c r="O49" s="356" t="str">
        <f>IF(AND(ISNUMBER(I49), ISNUMBER(J49), I49&lt;&gt;0,I49&lt;&gt;0), IF(J49/I49=12.5, "Pass", "Fail"), "")</f>
        <v/>
      </c>
      <c r="P49" s="383"/>
      <c r="Q49" s="178"/>
      <c r="R49" s="383"/>
      <c r="S49" s="178"/>
      <c r="T49" s="315"/>
    </row>
    <row r="50" spans="1:20" ht="15" customHeight="1" x14ac:dyDescent="0.35">
      <c r="A50" s="263"/>
      <c r="B50" s="2826" t="s">
        <v>966</v>
      </c>
      <c r="C50" s="2826"/>
      <c r="D50" s="2826"/>
      <c r="E50" s="354" t="str">
        <f>IF(AND(ISNUMBER(E44), ISNUMBER(C8)),IF(E44&lt;=C8, "Pass", "Fail"), "")</f>
        <v>Pass</v>
      </c>
      <c r="F50" s="214"/>
      <c r="G50" s="220"/>
      <c r="H50" s="220"/>
      <c r="I50" s="220"/>
      <c r="J50" s="220"/>
      <c r="K50" s="214"/>
      <c r="L50" s="214"/>
      <c r="M50" s="214"/>
      <c r="N50" s="214"/>
      <c r="O50" s="214"/>
      <c r="P50" s="214"/>
      <c r="Q50" s="214"/>
      <c r="R50" s="214"/>
      <c r="S50" s="214"/>
      <c r="T50" s="315"/>
    </row>
    <row r="51" spans="1:20" ht="15" customHeight="1" x14ac:dyDescent="0.35">
      <c r="A51" s="263"/>
      <c r="B51" s="1004" t="str">
        <f>"Of the amount in row " &amp; ROW(B44) &amp; ", amount subject to the final standards"</f>
        <v>Of the amount in row 44, amount subject to the final standards</v>
      </c>
      <c r="C51" s="1005"/>
      <c r="D51" s="1005"/>
      <c r="E51" s="1804">
        <v>0</v>
      </c>
      <c r="F51" s="1804">
        <v>0</v>
      </c>
      <c r="G51" s="1006"/>
      <c r="H51" s="1006"/>
      <c r="I51" s="1006"/>
      <c r="J51" s="1006"/>
      <c r="K51" s="1006"/>
      <c r="L51" s="1006"/>
      <c r="M51" s="1006"/>
      <c r="N51" s="1006"/>
      <c r="O51" s="1006"/>
      <c r="P51" s="1006"/>
      <c r="Q51" s="1006"/>
      <c r="R51" s="1006"/>
      <c r="S51" s="1006"/>
      <c r="T51" s="315"/>
    </row>
    <row r="52" spans="1:20" ht="15" customHeight="1" x14ac:dyDescent="0.35">
      <c r="A52" s="263"/>
      <c r="B52" s="2826" t="str">
        <f>"Check: deductions reported in row " &amp; ROW(B51) &amp; " less or equal than deductions reported in row " &amp; ROW(B44)</f>
        <v>Check: deductions reported in row 51 less or equal than deductions reported in row 44</v>
      </c>
      <c r="C52" s="2826"/>
      <c r="D52" s="2826"/>
      <c r="E52" s="354" t="str">
        <f>IF(AND(ISNUMBER(E51), ISNUMBER(E44)),IF(E51&lt;=E44, "Pass", "Fail"), "")</f>
        <v>Pass</v>
      </c>
      <c r="F52" s="354" t="str">
        <f>IF(AND(ISNUMBER(F51), ISNUMBER(F44)),IF(F51&lt;=F44, "Pass", "Fail"), "")</f>
        <v>Pass</v>
      </c>
      <c r="G52" s="220"/>
      <c r="H52" s="220"/>
      <c r="I52" s="220"/>
      <c r="J52" s="220"/>
      <c r="K52" s="214"/>
      <c r="L52" s="214"/>
      <c r="M52" s="214"/>
      <c r="N52" s="214"/>
      <c r="O52" s="214"/>
      <c r="P52" s="214"/>
      <c r="Q52" s="214"/>
      <c r="R52" s="214"/>
      <c r="S52" s="214"/>
      <c r="T52" s="315"/>
    </row>
    <row r="53" spans="1:20" ht="15" customHeight="1" x14ac:dyDescent="0.35">
      <c r="A53" s="717"/>
      <c r="B53" s="1816"/>
      <c r="C53" s="1816"/>
      <c r="D53" s="1816"/>
      <c r="E53" s="1816"/>
      <c r="F53" s="1816"/>
      <c r="G53" s="1816"/>
      <c r="H53" s="1816"/>
      <c r="I53" s="1816"/>
      <c r="J53" s="1816"/>
      <c r="K53" s="1816"/>
      <c r="L53" s="1816"/>
      <c r="M53" s="1816"/>
      <c r="N53" s="1816"/>
      <c r="O53" s="1816"/>
      <c r="P53" s="1816"/>
      <c r="Q53" s="275"/>
      <c r="R53" s="1816"/>
      <c r="S53" s="275"/>
      <c r="T53" s="567"/>
    </row>
    <row r="54" spans="1:20" ht="45" customHeight="1" x14ac:dyDescent="0.35">
      <c r="A54" s="704" t="s">
        <v>967</v>
      </c>
      <c r="B54" s="241"/>
      <c r="C54" s="1816"/>
      <c r="D54" s="1816"/>
      <c r="E54" s="1816"/>
      <c r="F54" s="1816"/>
      <c r="G54" s="1816"/>
      <c r="H54" s="1816"/>
      <c r="I54" s="1816"/>
      <c r="J54" s="1816"/>
      <c r="K54" s="1816"/>
      <c r="L54" s="1816"/>
      <c r="M54" s="1816"/>
      <c r="N54" s="241"/>
      <c r="T54" s="537"/>
    </row>
    <row r="55" spans="1:20" ht="15" customHeight="1" x14ac:dyDescent="0.35">
      <c r="A55" s="263"/>
      <c r="B55" s="743"/>
      <c r="C55" s="945" t="s">
        <v>92</v>
      </c>
      <c r="D55" s="945"/>
      <c r="E55" s="945"/>
      <c r="F55" s="2836"/>
      <c r="G55" s="2836"/>
      <c r="H55" s="2836"/>
      <c r="I55" s="2836"/>
      <c r="J55" s="2836"/>
      <c r="K55" s="2836"/>
      <c r="L55" s="2836"/>
      <c r="M55" s="2836"/>
      <c r="T55" s="315"/>
    </row>
    <row r="56" spans="1:20" ht="15" customHeight="1" x14ac:dyDescent="0.35">
      <c r="A56" s="263"/>
      <c r="C56" s="2846" t="s">
        <v>59</v>
      </c>
      <c r="D56" s="2658" t="s">
        <v>968</v>
      </c>
      <c r="E56" s="2658"/>
      <c r="F56" s="2658"/>
      <c r="G56" s="2658"/>
      <c r="H56" s="2658"/>
      <c r="I56" s="2844" t="s">
        <v>177</v>
      </c>
      <c r="J56" s="954" t="s">
        <v>969</v>
      </c>
      <c r="K56" s="2834" t="s">
        <v>923</v>
      </c>
      <c r="L56" s="2835"/>
      <c r="M56" s="2845" t="s">
        <v>970</v>
      </c>
      <c r="T56" s="315"/>
    </row>
    <row r="57" spans="1:20" ht="45" customHeight="1" x14ac:dyDescent="0.35">
      <c r="A57" s="263"/>
      <c r="B57" s="275"/>
      <c r="C57" s="2846"/>
      <c r="D57" s="916" t="s">
        <v>971</v>
      </c>
      <c r="E57" s="916" t="s">
        <v>972</v>
      </c>
      <c r="F57" s="916" t="s">
        <v>973</v>
      </c>
      <c r="G57" s="916" t="s">
        <v>974</v>
      </c>
      <c r="H57" s="916" t="s">
        <v>975</v>
      </c>
      <c r="I57" s="2844"/>
      <c r="J57" s="377" t="s">
        <v>976</v>
      </c>
      <c r="K57" s="916" t="s">
        <v>977</v>
      </c>
      <c r="L57" s="916" t="s">
        <v>978</v>
      </c>
      <c r="M57" s="2845"/>
      <c r="T57" s="315"/>
    </row>
    <row r="58" spans="1:20" ht="15" customHeight="1" x14ac:dyDescent="0.35">
      <c r="A58" s="263"/>
      <c r="B58" s="188" t="s">
        <v>979</v>
      </c>
      <c r="C58" s="486">
        <f>IF(AND(ISNUMBER(D58),ISNUMBER(E58),ISNUMBER(F58),ISNUMBER(G58), ISNUMBER(H58)),SUM(D58,E58,F58,G58,H58),"")</f>
        <v>0</v>
      </c>
      <c r="D58" s="549">
        <v>0</v>
      </c>
      <c r="E58" s="550">
        <v>0</v>
      </c>
      <c r="F58" s="549">
        <v>0</v>
      </c>
      <c r="G58" s="549">
        <v>0</v>
      </c>
      <c r="H58" s="549">
        <v>0</v>
      </c>
      <c r="I58" s="549">
        <v>0</v>
      </c>
      <c r="J58" s="1817">
        <v>0</v>
      </c>
      <c r="K58" s="1811">
        <v>0</v>
      </c>
      <c r="L58" s="1811">
        <v>0</v>
      </c>
      <c r="M58" s="551">
        <f>IF(ISNUMBER(J58), J58+K58+L58, "")</f>
        <v>0</v>
      </c>
      <c r="T58" s="315"/>
    </row>
    <row r="59" spans="1:20" ht="15" customHeight="1" x14ac:dyDescent="0.35">
      <c r="A59" s="263"/>
      <c r="B59" s="161" t="s">
        <v>980</v>
      </c>
      <c r="C59" s="486">
        <f t="shared" ref="C59:C60" si="15">IF(AND(ISNUMBER(D59),ISNUMBER(E59),ISNUMBER(F59),ISNUMBER(G59), ISNUMBER(H59)),SUM(D59,E59,F59,G59,H59),"")</f>
        <v>611064</v>
      </c>
      <c r="D59" s="169">
        <v>0</v>
      </c>
      <c r="E59" s="169">
        <v>0</v>
      </c>
      <c r="F59" s="169">
        <v>611064</v>
      </c>
      <c r="G59" s="169">
        <v>0</v>
      </c>
      <c r="H59" s="169">
        <v>0</v>
      </c>
      <c r="I59" s="169">
        <v>134213</v>
      </c>
      <c r="J59" s="1817">
        <v>0</v>
      </c>
      <c r="K59" s="1811">
        <v>0</v>
      </c>
      <c r="L59" s="1811">
        <v>0</v>
      </c>
      <c r="M59" s="135">
        <f>IF(ISNUMBER(J59), J59+K59+L59, "")</f>
        <v>0</v>
      </c>
      <c r="T59" s="315"/>
    </row>
    <row r="60" spans="1:20" ht="15" customHeight="1" x14ac:dyDescent="0.35">
      <c r="A60" s="263"/>
      <c r="B60" s="171" t="s">
        <v>981</v>
      </c>
      <c r="C60" s="486">
        <f t="shared" si="15"/>
        <v>0</v>
      </c>
      <c r="D60" s="133">
        <v>0</v>
      </c>
      <c r="E60" s="133">
        <v>0</v>
      </c>
      <c r="F60" s="133">
        <v>0</v>
      </c>
      <c r="G60" s="133">
        <v>0</v>
      </c>
      <c r="H60" s="133">
        <v>0</v>
      </c>
      <c r="I60" s="133">
        <v>0</v>
      </c>
      <c r="J60" s="1817">
        <v>0</v>
      </c>
      <c r="K60" s="1811">
        <v>0</v>
      </c>
      <c r="L60" s="1811">
        <v>0</v>
      </c>
      <c r="M60" s="236">
        <f>IF(ISNUMBER(J60), J60+K60+L60, "")</f>
        <v>0</v>
      </c>
      <c r="T60" s="315"/>
    </row>
    <row r="61" spans="1:20" ht="15" customHeight="1" x14ac:dyDescent="0.35">
      <c r="A61" s="263"/>
      <c r="B61" s="955" t="s">
        <v>59</v>
      </c>
      <c r="C61" s="487">
        <f>IF(AND(ISNUMBER(C58),ISNUMBER(C59),ISNUMBER(C60)), SUM(C58,C59,C60),"")</f>
        <v>611064</v>
      </c>
      <c r="D61" s="942">
        <f>IF(AND(ISNUMBER(D58),ISNUMBER(D59),ISNUMBER(D60)), SUM(D58,D59,D60),"")</f>
        <v>0</v>
      </c>
      <c r="E61" s="942">
        <f>IF(AND(ISNUMBER(E58),ISNUMBER(E59),ISNUMBER(E60)), SUM(E58,E59,E60),"")</f>
        <v>0</v>
      </c>
      <c r="F61" s="942">
        <f>IF(AND(ISNUMBER(F58),ISNUMBER(F59),ISNUMBER(F60)), SUM(F58,F59,F60),"")</f>
        <v>611064</v>
      </c>
      <c r="G61" s="942">
        <f t="shared" ref="G61:J61" si="16">IF(AND(ISNUMBER(G58),ISNUMBER(G59), ISNUMBER(G60)), SUM(G58,G59,G60),"")</f>
        <v>0</v>
      </c>
      <c r="H61" s="942">
        <f t="shared" si="16"/>
        <v>0</v>
      </c>
      <c r="I61" s="942">
        <f>IF(AND(ISNUMBER(I58),ISNUMBER(I59), ISNUMBER(I60)), SUM(I58,I59,I60),"")</f>
        <v>134213</v>
      </c>
      <c r="J61" s="942">
        <f t="shared" si="16"/>
        <v>0</v>
      </c>
      <c r="K61" s="942">
        <f>IF(AND(ISNUMBER(K58),ISNUMBER(K59), ISNUMBER(K60)), SUM(K58,K59,K60),"")</f>
        <v>0</v>
      </c>
      <c r="L61" s="942">
        <f>IF(AND(ISNUMBER(L58),ISNUMBER(L59), ISNUMBER(L60)), SUM(L58,L59,L60),"")</f>
        <v>0</v>
      </c>
      <c r="M61" s="956">
        <f>IF(AND(ISNUMBER(M58),ISNUMBER(M59), ISNUMBER(M60)), SUM(M58,M59,M60),"")</f>
        <v>0</v>
      </c>
      <c r="T61" s="315"/>
    </row>
    <row r="62" spans="1:20" ht="15" customHeight="1" x14ac:dyDescent="0.35">
      <c r="A62" s="263"/>
      <c r="B62" s="485" t="s">
        <v>982</v>
      </c>
      <c r="C62" s="488" t="str">
        <f>IF(AND(ISNUMBER(E31),ISNUMBER(C61)),IF(E31=C61, "Pass","Fail"), "")</f>
        <v>Pass</v>
      </c>
      <c r="D62" s="489" t="str">
        <f>IF(AND(ISNUMBER(E30),ISNUMBER(D61)),IF(E30=D61, "Pass", "Fail"), "")</f>
        <v>Pass</v>
      </c>
      <c r="E62" s="489" t="str">
        <f>IF(AND(ISNUMBER(E20),ISNUMBER(E26),ISNUMBER(E61)), IF(SUM(E20,E26)=E61, "Pass", "Fail"), "")</f>
        <v>Pass</v>
      </c>
      <c r="F62" s="489" t="str">
        <f>IF(AND(ISNUMBER(E21),ISNUMBER(E27),ISNUMBER(F61)), IF(SUM(E21,E27)=F61, "Pass", "Fail"), "")</f>
        <v>Pass</v>
      </c>
      <c r="G62" s="489" t="str">
        <f>IF(AND(ISNUMBER(E22), ISNUMBER(E28), ISNUMBER(G61)), IF(E22+E28=G61, "Pass", "Fail"), "")</f>
        <v>Pass</v>
      </c>
      <c r="H62" s="489" t="str">
        <f>IF(AND(ISNUMBER(E23),ISNUMBER(E29),ISNUMBER(H61)), IF(SUM(E23,E29)=H61, "Pass", "Fail"), "")</f>
        <v>Pass</v>
      </c>
      <c r="I62" s="489" t="str">
        <f>IF(AND(ISNUMBER(F31),ISNUMBER(I61)), IF(F31=I61, "Pass", "Fail"), "")</f>
        <v>Pass</v>
      </c>
      <c r="J62" s="490"/>
      <c r="K62" s="490"/>
      <c r="L62" s="490"/>
      <c r="M62" s="491"/>
      <c r="T62" s="315"/>
    </row>
    <row r="63" spans="1:20" ht="15" customHeight="1" x14ac:dyDescent="0.35">
      <c r="A63" s="263"/>
      <c r="B63" s="248" t="s">
        <v>983</v>
      </c>
      <c r="C63" s="211"/>
      <c r="D63" s="209"/>
      <c r="E63" s="209"/>
      <c r="F63" s="209"/>
      <c r="G63" s="209"/>
      <c r="H63" s="209"/>
      <c r="I63" s="209"/>
      <c r="J63" s="209"/>
      <c r="K63" s="209"/>
      <c r="L63" s="209"/>
      <c r="M63" s="356" t="str">
        <f>IF(AND(ISNUMBER(K61),ISNUMBER(L61),ISNUMBER(E44)),IF(K61+L61=E44, "Pass", "Fail"), "")</f>
        <v>Pass</v>
      </c>
      <c r="T63" s="315"/>
    </row>
    <row r="64" spans="1:20" ht="15" customHeight="1" x14ac:dyDescent="0.35">
      <c r="A64" s="263"/>
      <c r="B64" s="249" t="s">
        <v>984</v>
      </c>
      <c r="C64" s="243"/>
      <c r="D64" s="220"/>
      <c r="E64" s="220"/>
      <c r="F64" s="220"/>
      <c r="G64" s="220"/>
      <c r="H64" s="220"/>
      <c r="I64" s="220"/>
      <c r="J64" s="354" t="str">
        <f>IF(AND(ISNUMBER(J61), ISNUMBER(C7)), IF(C7=J61, "Pass", "Fail"),"")</f>
        <v>Pass</v>
      </c>
      <c r="K64" s="220"/>
      <c r="L64" s="220"/>
      <c r="M64" s="214"/>
      <c r="T64" s="315"/>
    </row>
    <row r="65" spans="1:20" ht="15" customHeight="1" x14ac:dyDescent="0.35">
      <c r="A65" s="717"/>
      <c r="B65" s="275"/>
      <c r="C65" s="275"/>
      <c r="D65" s="275"/>
      <c r="E65" s="275"/>
      <c r="F65" s="275"/>
      <c r="G65" s="275"/>
      <c r="H65" s="275"/>
      <c r="I65" s="275"/>
      <c r="J65" s="275"/>
      <c r="K65" s="275"/>
      <c r="L65" s="275"/>
      <c r="M65" s="275"/>
      <c r="N65" s="275"/>
      <c r="O65" s="275"/>
      <c r="P65" s="275"/>
      <c r="Q65" s="275"/>
      <c r="R65" s="275"/>
      <c r="S65" s="275"/>
      <c r="T65" s="567"/>
    </row>
    <row r="66" spans="1:20" ht="15" hidden="1" customHeight="1" x14ac:dyDescent="0.35"/>
    <row r="67" spans="1:20" ht="15" hidden="1" customHeight="1" x14ac:dyDescent="0.35"/>
    <row r="68" spans="1:20" ht="15" hidden="1" customHeight="1" x14ac:dyDescent="0.35"/>
    <row r="69" spans="1:20" ht="15" hidden="1" customHeight="1" x14ac:dyDescent="0.35"/>
    <row r="70" spans="1:20" ht="15" hidden="1" customHeight="1" x14ac:dyDescent="0.35"/>
  </sheetData>
  <sheetProtection algorithmName="SHA-512" hashValue="nHgF4Fk0NShGWsLH1UbitENIB1l5uvjet+6+jfeBT5WJ7P1Sc1/Zp4JL5pxRkVXxpeWWdRIjEH3vG14cP3fVOQ==" saltValue="CPvMYvTEFS1nmoTM3VtGEA==" spinCount="100000" sheet="1" objects="1" scenarios="1"/>
  <mergeCells count="33">
    <mergeCell ref="C5:E5"/>
    <mergeCell ref="P17:Q17"/>
    <mergeCell ref="C6:E6"/>
    <mergeCell ref="G5:H5"/>
    <mergeCell ref="G7:H7"/>
    <mergeCell ref="G8:H8"/>
    <mergeCell ref="C8:E8"/>
    <mergeCell ref="C7:E7"/>
    <mergeCell ref="I5:M5"/>
    <mergeCell ref="I7:M7"/>
    <mergeCell ref="I8:M8"/>
    <mergeCell ref="C17:F17"/>
    <mergeCell ref="N17:O17"/>
    <mergeCell ref="G17:J17"/>
    <mergeCell ref="K56:L56"/>
    <mergeCell ref="F55:M55"/>
    <mergeCell ref="P42:Q42"/>
    <mergeCell ref="C42:F42"/>
    <mergeCell ref="G42:J42"/>
    <mergeCell ref="I56:I57"/>
    <mergeCell ref="M56:M57"/>
    <mergeCell ref="C56:C57"/>
    <mergeCell ref="D56:H56"/>
    <mergeCell ref="B52:D52"/>
    <mergeCell ref="B50:D50"/>
    <mergeCell ref="N42:O42"/>
    <mergeCell ref="B38:D38"/>
    <mergeCell ref="R17:S17"/>
    <mergeCell ref="R42:S42"/>
    <mergeCell ref="B17:B18"/>
    <mergeCell ref="B34:D34"/>
    <mergeCell ref="B37:D37"/>
    <mergeCell ref="B33:D33"/>
  </mergeCells>
  <conditionalFormatting sqref="F14:F15 C35:L36 C39:F40 E51:F51 C58:M61 C44:L49 C19:L32">
    <cfRule type="cellIs" dxfId="2919" priority="11" stopIfTrue="1" operator="lessThan">
      <formula>0</formula>
    </cfRule>
  </conditionalFormatting>
  <conditionalFormatting sqref="A1:T1048576">
    <cfRule type="cellIs" dxfId="2918" priority="15" stopIfTrue="1" operator="equal">
      <formula>"Pass"</formula>
    </cfRule>
    <cfRule type="cellIs" dxfId="2917" priority="16" stopIfTrue="1" operator="equal">
      <formula>"Warning"</formula>
    </cfRule>
    <cfRule type="cellIs" dxfId="2916" priority="18" stopIfTrue="1" operator="equal">
      <formula>"Please explain"</formula>
    </cfRule>
    <cfRule type="cellIs" dxfId="2915" priority="340"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0" max="14" man="1"/>
  </rowBreaks>
  <colBreaks count="1" manualBreakCount="1">
    <brk id="13" max="58" man="1"/>
  </colBreaks>
  <ignoredErrors>
    <ignoredError sqref="M24"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AE129"/>
  <sheetViews>
    <sheetView zoomScale="70" zoomScaleNormal="70" zoomScaleSheetLayoutView="75" workbookViewId="0">
      <pane ySplit="1" topLeftCell="A72" activePane="bottomLeft" state="frozen"/>
      <selection activeCell="P35" sqref="P35"/>
      <selection pane="bottomLeft" activeCell="D79" sqref="D79"/>
    </sheetView>
  </sheetViews>
  <sheetFormatPr defaultColWidth="0" defaultRowHeight="15" zeroHeight="1" x14ac:dyDescent="0.35"/>
  <cols>
    <col min="1" max="1" width="1.6640625" style="259" customWidth="1"/>
    <col min="2" max="2" width="95.6640625" style="85" customWidth="1"/>
    <col min="3" max="8" width="18.6640625" style="85" customWidth="1"/>
    <col min="9" max="14" width="18.6640625" style="85" hidden="1" customWidth="1"/>
    <col min="15" max="30" width="18.6640625" style="85" customWidth="1"/>
    <col min="31" max="31" width="1.6640625" style="85" customWidth="1"/>
    <col min="32" max="16384" width="16.88671875" hidden="1"/>
  </cols>
  <sheetData>
    <row r="1" spans="1:31" ht="29.4" x14ac:dyDescent="0.35">
      <c r="A1" s="1193" t="s">
        <v>985</v>
      </c>
      <c r="B1" s="884"/>
      <c r="C1" s="739" t="str">
        <f>CONCATENATE("Reporting unit: ", 'General Info'!$C$7, " ", 'General Info'!$C$5)</f>
        <v>Reporting unit: 1000 eur</v>
      </c>
      <c r="D1" s="884"/>
      <c r="E1" s="884"/>
      <c r="F1" s="884"/>
      <c r="G1" s="884"/>
      <c r="H1" s="884"/>
      <c r="I1" s="846"/>
      <c r="J1" s="846"/>
      <c r="K1" s="846"/>
      <c r="L1" s="846"/>
      <c r="M1" s="846"/>
      <c r="N1" s="846"/>
      <c r="O1" s="884"/>
      <c r="P1" s="884"/>
      <c r="Q1" s="884"/>
      <c r="R1" s="884"/>
      <c r="S1" s="884"/>
      <c r="T1" s="884"/>
      <c r="U1" s="884"/>
      <c r="V1" s="884"/>
      <c r="W1" s="884"/>
      <c r="X1" s="884"/>
      <c r="Y1" s="884"/>
      <c r="Z1" s="884"/>
      <c r="AA1" s="884"/>
      <c r="AB1" s="884"/>
      <c r="AC1" s="884"/>
      <c r="AD1" s="884"/>
      <c r="AE1" s="735"/>
    </row>
    <row r="2" spans="1:31" x14ac:dyDescent="0.35">
      <c r="AE2" s="728"/>
    </row>
    <row r="3" spans="1:31" ht="30" customHeight="1" x14ac:dyDescent="0.35">
      <c r="A3" s="260"/>
      <c r="B3" s="775" t="s">
        <v>986</v>
      </c>
      <c r="C3" s="844"/>
      <c r="D3" s="844"/>
      <c r="E3" s="844"/>
      <c r="F3" s="844"/>
      <c r="G3" s="844"/>
      <c r="O3" s="1419" t="s">
        <v>987</v>
      </c>
      <c r="P3" s="1420"/>
      <c r="Q3" s="1420"/>
      <c r="R3" s="1420"/>
      <c r="AE3" s="279"/>
    </row>
    <row r="4" spans="1:31" ht="30" hidden="1" customHeight="1" x14ac:dyDescent="0.35">
      <c r="A4" s="260"/>
      <c r="B4" s="1410" t="s">
        <v>988</v>
      </c>
      <c r="C4" s="1407" t="s">
        <v>989</v>
      </c>
      <c r="D4" s="1408" t="s">
        <v>990</v>
      </c>
      <c r="E4" s="1409" t="s">
        <v>991</v>
      </c>
      <c r="F4" s="1412" t="s">
        <v>992</v>
      </c>
      <c r="G4" s="1509" t="s">
        <v>993</v>
      </c>
      <c r="O4" s="1421" t="s">
        <v>989</v>
      </c>
      <c r="P4" s="1422" t="s">
        <v>990</v>
      </c>
      <c r="Q4" s="1423" t="s">
        <v>991</v>
      </c>
      <c r="R4" s="1424"/>
      <c r="AE4" s="279"/>
    </row>
    <row r="5" spans="1:31" ht="15" hidden="1" customHeight="1" x14ac:dyDescent="0.35">
      <c r="A5" s="260"/>
      <c r="B5" s="1198" t="s">
        <v>994</v>
      </c>
      <c r="C5" s="1367" t="str">
        <f>IF('General Info'!$C$19="Yes", "Yes", "No")</f>
        <v>No</v>
      </c>
      <c r="D5" s="1194" t="str">
        <f>IF('General Info'!$C$24="Yes", "Yes", "No")</f>
        <v>No</v>
      </c>
      <c r="E5" s="1295" t="str">
        <f>IF(AND('General Info'!$C$28="Yes", OR('General Info'!$C$19="Yes", 'General Info'!$C$24="Yes")), "Yes", "No")</f>
        <v>No</v>
      </c>
      <c r="F5" s="1413"/>
      <c r="G5" s="1416"/>
      <c r="O5" s="1425" t="str">
        <f>IF(AND(C5="Yes", 'Supervisory information'!$C$41="Yes"), "Yes", "No")</f>
        <v>No</v>
      </c>
      <c r="P5" s="1426" t="str">
        <f>IF(AND(D5="Yes", 'Supervisory information'!$C$41="Yes"), "Yes", "No")</f>
        <v>No</v>
      </c>
      <c r="Q5" s="1427" t="str">
        <f>IF(AND(E5="Yes", 'Supervisory information'!$C$41="Yes"), "Yes", "No")</f>
        <v>No</v>
      </c>
      <c r="R5" s="12"/>
      <c r="AE5" s="279"/>
    </row>
    <row r="6" spans="1:31" ht="15" hidden="1" customHeight="1" x14ac:dyDescent="0.35">
      <c r="A6" s="260"/>
      <c r="B6" s="1198" t="s">
        <v>995</v>
      </c>
      <c r="C6" s="25"/>
      <c r="D6" s="1195" t="str">
        <f>IF(OR('General Info'!$C$25="Yes", 'General Info'!$C$26="Yes"), "Yes", "No")</f>
        <v>No</v>
      </c>
      <c r="E6" s="26"/>
      <c r="F6" s="1414" t="str">
        <f>IF('General Info'!C11="Yes", "Yes", "No")</f>
        <v>Yes</v>
      </c>
      <c r="G6" s="1417" t="str">
        <f>IF('General Info'!D12="Yes", "Yes", "No")</f>
        <v>Yes</v>
      </c>
      <c r="O6" s="25"/>
      <c r="P6" s="1428" t="str">
        <f>IF(AND(D6="Yes", 'Supervisory information'!$C$41="Yes"), "Yes", "No")</f>
        <v>No</v>
      </c>
      <c r="Q6" s="26"/>
      <c r="R6" s="26"/>
      <c r="AE6" s="279"/>
    </row>
    <row r="7" spans="1:31" ht="15" hidden="1" customHeight="1" x14ac:dyDescent="0.35">
      <c r="A7" s="260"/>
      <c r="B7" s="1366" t="s">
        <v>996</v>
      </c>
      <c r="C7" s="1368" t="str">
        <f>IF(OR('General Info'!$C$20="Yes", 'General Info'!$C$21="Yes", 'General Info'!$C$22="Yes"), "Yes", "No")</f>
        <v>Yes</v>
      </c>
      <c r="D7" s="1196" t="str">
        <f>IF('General Info'!$C$27="Yes", "Yes", "No")</f>
        <v>No</v>
      </c>
      <c r="E7" s="20"/>
      <c r="F7" s="1415"/>
      <c r="G7" s="1418"/>
      <c r="O7" s="1429" t="str">
        <f>IF(AND(C7="Yes", 'Supervisory information'!$C$41="Yes"), "Yes", "No")</f>
        <v>Yes</v>
      </c>
      <c r="P7" s="1430" t="str">
        <f>IF(AND(D7="Yes", 'Supervisory information'!$C$41="Yes"), "Yes", "No")</f>
        <v>No</v>
      </c>
      <c r="Q7" s="20"/>
      <c r="R7" s="20"/>
      <c r="AE7" s="279"/>
    </row>
    <row r="8" spans="1:31" ht="15" customHeight="1" x14ac:dyDescent="0.35">
      <c r="A8" s="260"/>
      <c r="B8" s="1410" t="s">
        <v>997</v>
      </c>
      <c r="C8" s="2897" t="s">
        <v>998</v>
      </c>
      <c r="D8" s="2897"/>
      <c r="E8" s="2901" t="s">
        <v>999</v>
      </c>
      <c r="F8" s="2902"/>
      <c r="G8" s="2902"/>
      <c r="O8" s="2898" t="s">
        <v>998</v>
      </c>
      <c r="P8" s="2898"/>
      <c r="Q8" s="2899" t="s">
        <v>1000</v>
      </c>
      <c r="R8" s="2900"/>
      <c r="AE8" s="279"/>
    </row>
    <row r="9" spans="1:31" ht="15" customHeight="1" x14ac:dyDescent="0.35">
      <c r="A9" s="260"/>
      <c r="B9" s="1411"/>
      <c r="C9" s="1197" t="s">
        <v>1001</v>
      </c>
      <c r="D9" s="1194" t="str">
        <f>IF('General Info'!C38="Yes", "Yes", "No")</f>
        <v>No</v>
      </c>
      <c r="E9" s="2905" t="s">
        <v>69</v>
      </c>
      <c r="F9" s="2906"/>
      <c r="G9" s="1194" t="str">
        <f>IF(AND('General Info'!D40="Yes", 'General Info'!D41="No", 'General Info'!D42="No"), "Yes", "No")</f>
        <v>No</v>
      </c>
      <c r="O9" s="1431" t="s">
        <v>1001</v>
      </c>
      <c r="P9" s="1426" t="str">
        <f>IF(AND(D9="Yes", 'Supervisory information'!$C$43="Yes"), "Yes", "No")</f>
        <v>No</v>
      </c>
      <c r="Q9" s="1388" t="s">
        <v>69</v>
      </c>
      <c r="R9" s="1427" t="str">
        <f>IF(AND(G9="Yes", 'Supervisory information'!$C$43="Yes"), "Yes", "No")</f>
        <v>No</v>
      </c>
      <c r="AE9" s="279"/>
    </row>
    <row r="10" spans="1:31" ht="15" customHeight="1" x14ac:dyDescent="0.35">
      <c r="A10" s="260"/>
      <c r="B10" s="1198"/>
      <c r="C10" s="1198" t="s">
        <v>1002</v>
      </c>
      <c r="D10" s="1195" t="str">
        <f>IF('General Info'!C39="Yes", "Yes", "No")</f>
        <v>Yes</v>
      </c>
      <c r="E10" s="2907" t="s">
        <v>70</v>
      </c>
      <c r="F10" s="2908"/>
      <c r="G10" s="1195" t="str">
        <f>IF(AND('General Info'!D40="No", 'General Info'!D41="Yes", 'General Info'!D42="No"), "Yes", "No")</f>
        <v>No</v>
      </c>
      <c r="O10" s="1432" t="s">
        <v>1002</v>
      </c>
      <c r="P10" s="1428" t="str">
        <f>IF(AND(D10="Yes", 'Supervisory information'!$C$43="Yes"), "Yes", "No")</f>
        <v>Yes</v>
      </c>
      <c r="Q10" s="749" t="s">
        <v>70</v>
      </c>
      <c r="R10" s="1433" t="str">
        <f>IF(AND(G10="Yes", 'Supervisory information'!$C$43="Yes"), "Yes", "No")</f>
        <v>No</v>
      </c>
      <c r="AE10" s="279"/>
    </row>
    <row r="11" spans="1:31" ht="15" customHeight="1" x14ac:dyDescent="0.35">
      <c r="A11" s="260"/>
      <c r="B11" s="74"/>
      <c r="C11" s="25"/>
      <c r="D11" s="26"/>
      <c r="E11" s="2907" t="s">
        <v>1003</v>
      </c>
      <c r="F11" s="2908"/>
      <c r="G11" s="1195" t="str">
        <f>IF('General Info'!D42="Yes", "Yes", "No")</f>
        <v>No</v>
      </c>
      <c r="O11" s="25"/>
      <c r="P11" s="26"/>
      <c r="Q11" s="749" t="s">
        <v>1003</v>
      </c>
      <c r="R11" s="1433" t="str">
        <f>IF(AND(G11="Yes", 'Supervisory information'!$C$43="Yes"), "Yes", "No")</f>
        <v>No</v>
      </c>
      <c r="AE11" s="279"/>
    </row>
    <row r="12" spans="1:31" ht="15" customHeight="1" x14ac:dyDescent="0.35">
      <c r="A12" s="260"/>
      <c r="B12" s="74"/>
      <c r="C12" s="25"/>
      <c r="D12" s="26"/>
      <c r="E12" s="2907" t="s">
        <v>72</v>
      </c>
      <c r="F12" s="2908"/>
      <c r="G12" s="1195" t="str">
        <f>IF(AND('General Info'!D40="Yes", 'General Info'!D41="No", 'General Info'!D42="Yes"), "Yes", "No")</f>
        <v>No</v>
      </c>
      <c r="O12" s="25"/>
      <c r="P12" s="26"/>
      <c r="Q12" s="749" t="s">
        <v>72</v>
      </c>
      <c r="R12" s="1433" t="str">
        <f>IF(AND(G12="Yes", 'Supervisory information'!$C$43="Yes"), "Yes", "No")</f>
        <v>No</v>
      </c>
      <c r="AE12" s="279"/>
    </row>
    <row r="13" spans="1:31" ht="15" customHeight="1" x14ac:dyDescent="0.35">
      <c r="A13" s="260"/>
      <c r="B13" s="907"/>
      <c r="C13" s="36"/>
      <c r="D13" s="20"/>
      <c r="E13" s="2909" t="s">
        <v>73</v>
      </c>
      <c r="F13" s="2910"/>
      <c r="G13" s="1196" t="str">
        <f>IF(AND('General Info'!D40="No", 'General Info'!D41="Yes", 'General Info'!D42="Yes"), "Yes", "No")</f>
        <v>No</v>
      </c>
      <c r="O13" s="36"/>
      <c r="P13" s="20"/>
      <c r="Q13" s="10" t="s">
        <v>73</v>
      </c>
      <c r="R13" s="1434" t="str">
        <f>IF(AND(G13="Yes", 'Supervisory information'!$C$43="Yes"), "Yes", "No")</f>
        <v>No</v>
      </c>
      <c r="AE13" s="279"/>
    </row>
    <row r="14" spans="1:31" ht="15" hidden="1" customHeight="1" x14ac:dyDescent="0.35">
      <c r="A14" s="260"/>
      <c r="AE14" s="279"/>
    </row>
    <row r="15" spans="1:31" ht="15" hidden="1" customHeight="1" x14ac:dyDescent="0.35">
      <c r="A15" s="260"/>
      <c r="AE15" s="279"/>
    </row>
    <row r="16" spans="1:31" ht="15" customHeight="1" x14ac:dyDescent="0.35">
      <c r="A16" s="260"/>
      <c r="AE16" s="279"/>
    </row>
    <row r="17" spans="1:31" ht="45" customHeight="1" x14ac:dyDescent="0.35">
      <c r="A17" s="601" t="s">
        <v>1004</v>
      </c>
      <c r="B17" s="740"/>
      <c r="C17" s="846"/>
      <c r="D17" s="846"/>
      <c r="E17" s="846"/>
      <c r="F17" s="846"/>
      <c r="G17" s="846"/>
      <c r="H17" s="846"/>
      <c r="O17" s="846"/>
      <c r="P17" s="846"/>
      <c r="Q17" s="846"/>
      <c r="R17" s="846"/>
      <c r="S17" s="846"/>
      <c r="T17" s="846"/>
      <c r="U17" s="846"/>
      <c r="V17" s="846"/>
      <c r="W17" s="846"/>
      <c r="X17" s="846"/>
      <c r="Y17" s="846"/>
      <c r="Z17" s="846"/>
      <c r="AA17" s="1520"/>
      <c r="AB17" s="1520"/>
      <c r="AC17" s="1520"/>
      <c r="AD17" s="1520"/>
      <c r="AE17" s="1521"/>
    </row>
    <row r="18" spans="1:31" ht="90" customHeight="1" x14ac:dyDescent="0.35">
      <c r="B18" s="1506"/>
      <c r="C18" s="2903" t="s">
        <v>1005</v>
      </c>
      <c r="D18" s="2903"/>
      <c r="E18" s="2903"/>
      <c r="F18" s="2903"/>
      <c r="G18" s="2903"/>
      <c r="H18" s="2904"/>
      <c r="O18" s="2683" t="s">
        <v>1006</v>
      </c>
      <c r="P18" s="2684"/>
      <c r="Q18" s="2684"/>
      <c r="R18" s="2684"/>
      <c r="S18" s="2684"/>
      <c r="T18" s="2684"/>
      <c r="U18" s="2682" t="s">
        <v>1007</v>
      </c>
      <c r="V18" s="2682"/>
      <c r="W18" s="2682"/>
      <c r="X18" s="2682"/>
      <c r="Y18" s="2682"/>
      <c r="Z18" s="2682"/>
      <c r="AA18" s="2861" t="s">
        <v>1008</v>
      </c>
      <c r="AB18" s="2748"/>
      <c r="AC18" s="2682" t="s">
        <v>1009</v>
      </c>
      <c r="AD18" s="2682"/>
      <c r="AE18" s="1522"/>
    </row>
    <row r="19" spans="1:31" ht="30" customHeight="1" x14ac:dyDescent="0.35">
      <c r="B19" s="1511"/>
      <c r="C19" s="2566" t="s">
        <v>1010</v>
      </c>
      <c r="D19" s="2572"/>
      <c r="E19" s="2565" t="s">
        <v>990</v>
      </c>
      <c r="F19" s="2572"/>
      <c r="G19" s="2565" t="s">
        <v>991</v>
      </c>
      <c r="H19" s="2572"/>
      <c r="O19" s="2565" t="s">
        <v>1010</v>
      </c>
      <c r="P19" s="2572"/>
      <c r="Q19" s="2565" t="s">
        <v>990</v>
      </c>
      <c r="R19" s="2572"/>
      <c r="S19" s="2565" t="s">
        <v>991</v>
      </c>
      <c r="T19" s="2572"/>
      <c r="U19" s="2565" t="s">
        <v>1010</v>
      </c>
      <c r="V19" s="2572"/>
      <c r="W19" s="2565" t="s">
        <v>990</v>
      </c>
      <c r="X19" s="2572"/>
      <c r="Y19" s="2565" t="s">
        <v>991</v>
      </c>
      <c r="Z19" s="2566"/>
      <c r="AA19" s="2565" t="s">
        <v>1011</v>
      </c>
      <c r="AB19" s="2572"/>
      <c r="AC19" s="2565" t="s">
        <v>1011</v>
      </c>
      <c r="AD19" s="2572"/>
      <c r="AE19" s="1522"/>
    </row>
    <row r="20" spans="1:31" ht="30" customHeight="1" x14ac:dyDescent="0.35">
      <c r="B20" s="1257"/>
      <c r="C20" s="760" t="s">
        <v>1012</v>
      </c>
      <c r="D20" s="770" t="s">
        <v>177</v>
      </c>
      <c r="E20" s="770" t="s">
        <v>1012</v>
      </c>
      <c r="F20" s="770" t="s">
        <v>177</v>
      </c>
      <c r="G20" s="770" t="s">
        <v>1012</v>
      </c>
      <c r="H20" s="770" t="s">
        <v>177</v>
      </c>
      <c r="O20" s="770" t="s">
        <v>1012</v>
      </c>
      <c r="P20" s="770" t="s">
        <v>177</v>
      </c>
      <c r="Q20" s="770" t="s">
        <v>1012</v>
      </c>
      <c r="R20" s="770" t="s">
        <v>177</v>
      </c>
      <c r="S20" s="770" t="s">
        <v>1012</v>
      </c>
      <c r="T20" s="770" t="s">
        <v>177</v>
      </c>
      <c r="U20" s="770" t="s">
        <v>1012</v>
      </c>
      <c r="V20" s="770" t="s">
        <v>177</v>
      </c>
      <c r="W20" s="770" t="s">
        <v>1012</v>
      </c>
      <c r="X20" s="765" t="s">
        <v>177</v>
      </c>
      <c r="Y20" s="770" t="s">
        <v>1012</v>
      </c>
      <c r="Z20" s="765" t="s">
        <v>177</v>
      </c>
      <c r="AA20" s="1510" t="s">
        <v>1012</v>
      </c>
      <c r="AB20" s="770" t="s">
        <v>177</v>
      </c>
      <c r="AC20" s="770" t="s">
        <v>1012</v>
      </c>
      <c r="AD20" s="765" t="s">
        <v>177</v>
      </c>
      <c r="AE20" s="1522"/>
    </row>
    <row r="21" spans="1:31" ht="15" customHeight="1" x14ac:dyDescent="0.35">
      <c r="B21" s="562" t="s">
        <v>1013</v>
      </c>
      <c r="C21" s="617">
        <f>IF($C$5="Yes", IF(AND(ISNUMBER(C22), ISNUMBER(C25), ISNUMBER(C28)), C22+C25+C28, ""), 0)</f>
        <v>0</v>
      </c>
      <c r="D21" s="617">
        <f>IF($C$5="Yes", IF(AND(ISNUMBER(D22), ISNUMBER(D25), ISNUMBER(D28)), D22+D25+D28, ""), 0)</f>
        <v>0</v>
      </c>
      <c r="E21" s="617">
        <f>IF($D$5="Yes", IF(AND(ISNUMBER(E22), ISNUMBER(E25), ISNUMBER(E28)), E22+E25+E28, ""), 0)</f>
        <v>0</v>
      </c>
      <c r="F21" s="617">
        <f>IF($D$5="Yes", IF(AND(ISNUMBER(F22), ISNUMBER(F25), ISNUMBER(F28)), F22+F25+F28, ""), 0)</f>
        <v>0</v>
      </c>
      <c r="G21" s="617">
        <f>IF($E$5="Yes", IF(AND(ISNUMBER(G22), ISNUMBER(G25), ISNUMBER(G28)), G22+G25+G28, ""), 0)</f>
        <v>0</v>
      </c>
      <c r="H21" s="617">
        <f>IF($E$5="Yes", IF(AND(ISNUMBER(H22), ISNUMBER(H25), ISNUMBER(H28)), H22+H25+H28, ""), 0)</f>
        <v>0</v>
      </c>
      <c r="O21" s="617">
        <f>IF($C$5="Yes", IF(AND(ISNUMBER(O22), ISNUMBER(O25), ISNUMBER(O28)), O22+O25+O28, ""), 0)</f>
        <v>0</v>
      </c>
      <c r="P21" s="617">
        <f>IF($C$5="Yes", IF(AND(ISNUMBER(P22), ISNUMBER(P25), ISNUMBER(P28)), P22+P25+P28, ""), 0)</f>
        <v>0</v>
      </c>
      <c r="Q21" s="617">
        <f>IF($D$5="Yes", IF(AND(ISNUMBER(Q22), ISNUMBER(Q25), ISNUMBER(Q28)), Q22+Q25+Q28, ""), 0)</f>
        <v>0</v>
      </c>
      <c r="R21" s="617">
        <f>IF($D$5="Yes", IF(AND(ISNUMBER(R22), ISNUMBER(R25), ISNUMBER(R28)), R22+R25+R28, ""), 0)</f>
        <v>0</v>
      </c>
      <c r="S21" s="617">
        <f>IF($E$5="Yes", IF(AND(ISNUMBER(S22), ISNUMBER(S25), ISNUMBER(S28)), S22+S25+S28, ""), 0)</f>
        <v>0</v>
      </c>
      <c r="T21" s="617">
        <f>IF($E$5="Yes", IF(AND(ISNUMBER(T22), ISNUMBER(T25), ISNUMBER(T28)), T22+T25+T28, ""), 0)</f>
        <v>0</v>
      </c>
      <c r="U21" s="617">
        <f>IF($C$5="Yes", IF(AND(ISNUMBER(U22), ISNUMBER(U25), ISNUMBER(U28)), U22+U25+U28, ""), 0)</f>
        <v>0</v>
      </c>
      <c r="V21" s="617">
        <f>IF($C$5="Yes", IF(AND(ISNUMBER(V22), ISNUMBER(V25), ISNUMBER(V28)), V22+V25+V28, ""), 0)</f>
        <v>0</v>
      </c>
      <c r="W21" s="617">
        <f>IF($D$5="Yes", IF(AND(ISNUMBER(W22), ISNUMBER(W25), ISNUMBER(W28)), W22+W25+W28, ""), 0)</f>
        <v>0</v>
      </c>
      <c r="X21" s="617">
        <f>IF($D$5="Yes", IF(AND(ISNUMBER(X22), ISNUMBER(X25), ISNUMBER(X28)), X22+X25+X28, ""), 0)</f>
        <v>0</v>
      </c>
      <c r="Y21" s="568">
        <f>IF($E$5="Yes", IF(AND(ISNUMBER(Y22), ISNUMBER(Y25), ISNUMBER(Y28)), Y22+Y25+Y28, ""), 0)</f>
        <v>0</v>
      </c>
      <c r="Z21" s="622">
        <f>IF($E$5="Yes", IF(AND(ISNUMBER(Z22), ISNUMBER(Z25), ISNUMBER(Z28)), Z22+Z25+Z28, ""), 0)</f>
        <v>0</v>
      </c>
      <c r="AA21" s="1518">
        <f>IF($D$5="Yes", IF(AND(ISNUMBER(AA22), ISNUMBER(AA25), ISNUMBER(AA28)), AA22+AA25+AA28, ""), 0)</f>
        <v>0</v>
      </c>
      <c r="AB21" s="617">
        <f>IF($D$5="Yes", IF(AND(ISNUMBER(AB22), ISNUMBER(AB25), ISNUMBER(AB28)), AB22+AB25+AB28, ""), 0)</f>
        <v>0</v>
      </c>
      <c r="AC21" s="617">
        <f>IF($D$5="Yes", IF(AND(ISNUMBER(AC22), ISNUMBER(AC25), ISNUMBER(AC28)), AC22+AC25+AC28, ""), 0)</f>
        <v>0</v>
      </c>
      <c r="AD21" s="459">
        <f>IF($D$5="Yes", IF(AND(ISNUMBER(AD22), ISNUMBER(AD25), ISNUMBER(AD28)), AD22+AD25+AD28, ""), 0)</f>
        <v>0</v>
      </c>
      <c r="AE21" s="1522"/>
    </row>
    <row r="22" spans="1:31" ht="15" customHeight="1" x14ac:dyDescent="0.35">
      <c r="B22" s="578" t="s">
        <v>1014</v>
      </c>
      <c r="C22" s="617">
        <f>IF(AND(OR(G6="No", ISNUMBER(C23)), OR(F6="No", ISNUMBER(C24))), IF(G6="Yes", C23, 0)+IF(F6="Yes", C24, 0), "")</f>
        <v>0</v>
      </c>
      <c r="D22" s="617">
        <f>IF(AND(OR(G6="No", ISNUMBER(D23)), OR(F6="No", ISNUMBER(D24))), IF(G6="Yes", D23, 0)+IF(F6="Yes", D24, 0), "")</f>
        <v>0</v>
      </c>
      <c r="E22" s="617">
        <f>IF(AND(OR(G6="No", ISNUMBER(E23)), OR(F6="No", ISNUMBER(E24))), IF(G6="Yes", E23, 0)+IF(F6="Yes", E24, 0), "")</f>
        <v>0</v>
      </c>
      <c r="F22" s="617">
        <f>IF(AND(OR(G6="No", ISNUMBER(F23)), OR(F6="No", ISNUMBER(F24))), IF(G6="Yes", F23, 0)+IF(F6="Yes", F24, 0), "")</f>
        <v>0</v>
      </c>
      <c r="G22" s="617">
        <f>IF(AND(OR(G6="No", ISNUMBER(G23)), OR(F6="No", ISNUMBER(G24))), IF(G6="Yes", G23, 0)+IF(F6="Yes", G24, 0), "")</f>
        <v>0</v>
      </c>
      <c r="H22" s="617">
        <f>IF(AND(OR(G6="No", ISNUMBER(H23)), OR(F6="No", ISNUMBER(H24))), IF(G6="Yes", H23, 0)+IF(F6="Yes", H24, 0), "")</f>
        <v>0</v>
      </c>
      <c r="I22" s="1396"/>
      <c r="J22" s="1396"/>
      <c r="K22" s="1396"/>
      <c r="L22" s="1396"/>
      <c r="M22" s="1396"/>
      <c r="N22" s="1265"/>
      <c r="O22" s="617">
        <f>IF(AND(OR(G6="No", ISNUMBER(O23)), OR(F6="No", ISNUMBER(O24))), IF(G6="Yes", O23, 0)+IF(F6="Yes", O24, 0), "")</f>
        <v>0</v>
      </c>
      <c r="P22" s="617">
        <f>IF(AND(OR(G6="No", ISNUMBER(P23)), OR(F6="No", ISNUMBER(P24))), IF(G6="Yes", P23, 0)+IF(F6="Yes", P24, 0), "")</f>
        <v>0</v>
      </c>
      <c r="Q22" s="617">
        <f>IF(AND(OR(G6="No", ISNUMBER(Q23)), OR(F6="No", ISNUMBER(Q24))), IF(G6="Yes", Q23, 0)+IF(F6="Yes", Q24, 0), "")</f>
        <v>0</v>
      </c>
      <c r="R22" s="617">
        <f>IF(AND(OR(G6="No", ISNUMBER(R23)), OR(F6="No", ISNUMBER(R24))), IF(G6="Yes", R23, 0)+IF(F6="Yes", R24, 0), "")</f>
        <v>0</v>
      </c>
      <c r="S22" s="617">
        <f>IF(AND(OR(G6="No", ISNUMBER(S23)), OR(F6="No", ISNUMBER(S24))), IF(G6="Yes", S23, 0)+IF(F6="Yes", S24, 0), "")</f>
        <v>0</v>
      </c>
      <c r="T22" s="617">
        <f>IF(AND(OR(G6="No", ISNUMBER(T23)), OR(F6="No", ISNUMBER(T24))), IF(G6="Yes", T23, 0)+IF(F6="Yes", T24, 0), "")</f>
        <v>0</v>
      </c>
      <c r="U22" s="617">
        <f>IF(AND(OR(G6="No", ISNUMBER(U23)), OR(F6="No", ISNUMBER(U24))), IF(G6="Yes", U23, 0)+IF(F6="Yes", U24, 0), "")</f>
        <v>0</v>
      </c>
      <c r="V22" s="617">
        <f>IF(AND(OR(G6="No", ISNUMBER(V23)), OR(F6="No", ISNUMBER(V24))), IF(G6="Yes", V23, 0)+IF(F6="Yes", V24, 0), "")</f>
        <v>0</v>
      </c>
      <c r="W22" s="617">
        <f>IF(AND(OR(G6="No", ISNUMBER(W23)), OR(F6="No", ISNUMBER(W24))), IF(G6="Yes", W23, 0)+IF(F6="Yes", W24, 0), "")</f>
        <v>0</v>
      </c>
      <c r="X22" s="617">
        <f>IF(AND(OR(G6="No", ISNUMBER(X23)), OR(F6="No", ISNUMBER(X24))), IF(G6="Yes", X23, 0)+IF(F6="Yes", X24, 0), "")</f>
        <v>0</v>
      </c>
      <c r="Y22" s="617">
        <f>IF(AND(OR(G6="No", ISNUMBER(Y23)), OR(F6="No", ISNUMBER(Y24))), IF(G6="Yes", Y23, 0)+IF(F6="Yes", Y24, 0), "")</f>
        <v>0</v>
      </c>
      <c r="Z22" s="459">
        <f>IF(AND(OR(G6="No", ISNUMBER(Z23)), OR(F6="No", ISNUMBER(Z24))), IF(G6="Yes", Z23, 0)+IF(F6="Yes", Z24, 0), "")</f>
        <v>0</v>
      </c>
      <c r="AA22" s="1518">
        <f>IF(AND(OR(G6="No", ISNUMBER(AA23)), OR(F6="No", ISNUMBER(AA24))), IF(G6="Yes", AA23, 0)+IF(F6="Yes", AA24, 0), "")</f>
        <v>0</v>
      </c>
      <c r="AB22" s="617">
        <f>IF(AND(OR(G6="No", ISNUMBER(AB23)), OR(F6="No", ISNUMBER(AB24))), IF(G6="Yes", AB23, 0)+IF(F6="Yes", AB24, 0), "")</f>
        <v>0</v>
      </c>
      <c r="AC22" s="617">
        <f>IF(AND(OR(G6="No", ISNUMBER(AC23)), OR(F6="No", ISNUMBER(AC24))), IF(G6="Yes", AC23, 0)+IF(F6="Yes", AC24, 0), "")</f>
        <v>0</v>
      </c>
      <c r="AD22" s="459">
        <f>IF(AND(OR(G6="No", ISNUMBER(AD23)), OR(F6="No", ISNUMBER(AD24))), IF(G6="Yes", AD23, 0)+IF(F6="Yes", AD24, 0), "")</f>
        <v>0</v>
      </c>
      <c r="AE22" s="1522"/>
    </row>
    <row r="23" spans="1:31" ht="15" customHeight="1" x14ac:dyDescent="0.35">
      <c r="B23" s="579" t="s">
        <v>1015</v>
      </c>
      <c r="C23" s="33">
        <v>0</v>
      </c>
      <c r="D23" s="23">
        <v>0</v>
      </c>
      <c r="E23" s="23">
        <v>0</v>
      </c>
      <c r="F23" s="23">
        <v>0</v>
      </c>
      <c r="G23" s="23">
        <v>0</v>
      </c>
      <c r="H23" s="23">
        <v>0</v>
      </c>
      <c r="O23" s="23">
        <v>0</v>
      </c>
      <c r="P23" s="23">
        <v>0</v>
      </c>
      <c r="Q23" s="23">
        <v>0</v>
      </c>
      <c r="R23" s="23">
        <v>0</v>
      </c>
      <c r="S23" s="23">
        <v>0</v>
      </c>
      <c r="T23" s="23">
        <v>0</v>
      </c>
      <c r="U23" s="23">
        <v>0</v>
      </c>
      <c r="V23" s="23">
        <v>0</v>
      </c>
      <c r="W23" s="23">
        <v>0</v>
      </c>
      <c r="X23" s="34">
        <v>0</v>
      </c>
      <c r="Y23" s="23">
        <v>0</v>
      </c>
      <c r="Z23" s="34">
        <v>0</v>
      </c>
      <c r="AA23" s="1020">
        <v>0</v>
      </c>
      <c r="AB23" s="23">
        <v>0</v>
      </c>
      <c r="AC23" s="23">
        <v>0</v>
      </c>
      <c r="AD23" s="34">
        <v>0</v>
      </c>
      <c r="AE23" s="1522"/>
    </row>
    <row r="24" spans="1:31" ht="15" customHeight="1" x14ac:dyDescent="0.35">
      <c r="B24" s="579" t="s">
        <v>1016</v>
      </c>
      <c r="C24" s="33">
        <v>0</v>
      </c>
      <c r="D24" s="23">
        <v>0</v>
      </c>
      <c r="E24" s="23">
        <v>0</v>
      </c>
      <c r="F24" s="23">
        <v>0</v>
      </c>
      <c r="G24" s="23">
        <v>0</v>
      </c>
      <c r="H24" s="23">
        <v>0</v>
      </c>
      <c r="O24" s="23">
        <v>0</v>
      </c>
      <c r="P24" s="23">
        <v>0</v>
      </c>
      <c r="Q24" s="23">
        <v>0</v>
      </c>
      <c r="R24" s="23">
        <v>0</v>
      </c>
      <c r="S24" s="23">
        <v>0</v>
      </c>
      <c r="T24" s="23">
        <v>0</v>
      </c>
      <c r="U24" s="23">
        <v>0</v>
      </c>
      <c r="V24" s="23">
        <v>0</v>
      </c>
      <c r="W24" s="23">
        <v>0</v>
      </c>
      <c r="X24" s="34">
        <v>0</v>
      </c>
      <c r="Y24" s="23">
        <v>0</v>
      </c>
      <c r="Z24" s="34">
        <v>0</v>
      </c>
      <c r="AA24" s="1020">
        <v>0</v>
      </c>
      <c r="AB24" s="23">
        <v>0</v>
      </c>
      <c r="AC24" s="23">
        <v>0</v>
      </c>
      <c r="AD24" s="34">
        <v>0</v>
      </c>
      <c r="AE24" s="1522"/>
    </row>
    <row r="25" spans="1:31" ht="15" customHeight="1" x14ac:dyDescent="0.35">
      <c r="B25" s="578" t="s">
        <v>1017</v>
      </c>
      <c r="C25" s="617">
        <f>IF(AND(OR(G6="No", ISNUMBER(C26)), OR(F6="No", ISNUMBER(C27))), IF(G6="Yes", C26, 0)+IF(F6="Yes", C27, 0), "")</f>
        <v>0</v>
      </c>
      <c r="D25" s="617">
        <f>IF(AND(OR(G6="No", ISNUMBER(D26)), OR(F6="No", ISNUMBER(D27))), IF(G6="Yes", D26, 0)+IF(F6="Yes", D27, 0), "")</f>
        <v>0</v>
      </c>
      <c r="E25" s="617">
        <f>IF(AND(OR(G6="No", ISNUMBER(E26)), OR(F6="No", ISNUMBER(E27))), IF(G6="Yes", E26, 0)+IF(F6="Yes", E27, 0), "")</f>
        <v>0</v>
      </c>
      <c r="F25" s="617">
        <f>IF(AND(OR(G6="No", ISNUMBER(F26)), OR(F6="No", ISNUMBER(F27))), IF(G6="Yes", F26, 0)+IF(F6="Yes", F27, 0), "")</f>
        <v>0</v>
      </c>
      <c r="G25" s="617">
        <f>IF(AND(OR(G6="No", ISNUMBER(G26)), OR(F6="No", ISNUMBER(G27))), IF(G6="Yes", G26, 0)+IF(F6="Yes", G27, 0), "")</f>
        <v>0</v>
      </c>
      <c r="H25" s="617">
        <f>IF(AND(OR(G6="No", ISNUMBER(H26)), OR(F6="No", ISNUMBER(H27))), IF(G6="Yes", H26, 0)+IF(F6="Yes", H27, 0), "")</f>
        <v>0</v>
      </c>
      <c r="I25" s="1396"/>
      <c r="J25" s="1396"/>
      <c r="K25" s="1396"/>
      <c r="L25" s="1396"/>
      <c r="M25" s="1396"/>
      <c r="N25" s="1265"/>
      <c r="O25" s="617">
        <f>IF(AND(OR(G6="No", ISNUMBER(O26)), OR(F6="No", ISNUMBER(O27))), IF(G6="Yes", O26, 0)+IF(F6="Yes", O27, 0), "")</f>
        <v>0</v>
      </c>
      <c r="P25" s="617">
        <f>IF(AND(OR(G6="No", ISNUMBER(P26)), OR(F6="No", ISNUMBER(P27))), IF(G6="Yes", P26, 0)+IF(F6="Yes", P27, 0), "")</f>
        <v>0</v>
      </c>
      <c r="Q25" s="617">
        <f>IF(AND(OR(G6="No", ISNUMBER(Q26)), OR(F6="No", ISNUMBER(Q27))), IF(G6="Yes", Q26, 0)+IF(F6="Yes", Q27, 0), "")</f>
        <v>0</v>
      </c>
      <c r="R25" s="617">
        <f>IF(AND(OR(G6="No", ISNUMBER(R26)), OR(F6="No", ISNUMBER(R27))), IF(G6="Yes", R26, 0)+IF(F6="Yes", R27, 0), "")</f>
        <v>0</v>
      </c>
      <c r="S25" s="617">
        <f>IF(AND(OR(G6="No", ISNUMBER(S26)), OR(F6="No", ISNUMBER(S27))), IF(G6="Yes", S26, 0)+IF(F6="Yes", S27, 0), "")</f>
        <v>0</v>
      </c>
      <c r="T25" s="617">
        <f>IF(AND(OR(G6="No", ISNUMBER(T26)), OR(F6="No", ISNUMBER(T27))), IF(G6="Yes", T26, 0)+IF(F6="Yes", T27, 0), "")</f>
        <v>0</v>
      </c>
      <c r="U25" s="617">
        <f>IF(AND(OR(G6="No", ISNUMBER(U26)), OR(F6="No", ISNUMBER(U27))), IF(G6="Yes", U26, 0)+IF(F6="Yes", U27, 0), "")</f>
        <v>0</v>
      </c>
      <c r="V25" s="617">
        <f>IF(AND(OR(G6="No", ISNUMBER(V26)), OR(F6="No", ISNUMBER(V27))), IF(G6="Yes", V26, 0)+IF(F6="Yes", V27, 0), "")</f>
        <v>0</v>
      </c>
      <c r="W25" s="617">
        <f>IF(AND(OR(G6="No", ISNUMBER(W26)), OR(F6="No", ISNUMBER(W27))), IF(G6="Yes", W26, 0)+IF(F6="Yes", W27, 0), "")</f>
        <v>0</v>
      </c>
      <c r="X25" s="617">
        <f>IF(AND(OR(G6="No", ISNUMBER(X26)), OR(F6="No", ISNUMBER(X27))), IF(G6="Yes", X26, 0)+IF(F6="Yes", X27, 0), "")</f>
        <v>0</v>
      </c>
      <c r="Y25" s="617">
        <f>IF(AND(OR(G6="No", ISNUMBER(Y26)), OR(F6="No", ISNUMBER(Y27))), IF(G6="Yes", Y26, 0)+IF(F6="Yes", Y27, 0), "")</f>
        <v>0</v>
      </c>
      <c r="Z25" s="459">
        <f>IF(AND(OR(G6="No", ISNUMBER(Z26)), OR(F6="No", ISNUMBER(Z27))), IF(G6="Yes", Z26, 0)+IF(F6="Yes", Z27, 0), "")</f>
        <v>0</v>
      </c>
      <c r="AA25" s="1518">
        <f>IF(AND(OR(G6="No", ISNUMBER(AA26)), OR(F6="No", ISNUMBER(AA27))), IF(G6="Yes", AA26, 0)+IF(F6="Yes", AA27, 0), "")</f>
        <v>0</v>
      </c>
      <c r="AB25" s="617">
        <f>IF(AND(OR(G6="No", ISNUMBER(AB26)), OR(F6="No", ISNUMBER(AB27))), IF(G6="Yes", AB26, 0)+IF(F6="Yes", AB27, 0), "")</f>
        <v>0</v>
      </c>
      <c r="AC25" s="617">
        <f>IF(AND(OR(G6="No", ISNUMBER(AC26)), OR(F6="No", ISNUMBER(AC27))), IF(G6="Yes", AC26, 0)+IF(F6="Yes", AC27, 0), "")</f>
        <v>0</v>
      </c>
      <c r="AD25" s="459">
        <f>IF(AND(OR(G6="No", ISNUMBER(AD26)), OR(F6="No", ISNUMBER(AD27))), IF(G6="Yes", AD26, 0)+IF(F6="Yes", AD27, 0), "")</f>
        <v>0</v>
      </c>
      <c r="AE25" s="1522"/>
    </row>
    <row r="26" spans="1:31" ht="15" customHeight="1" x14ac:dyDescent="0.35">
      <c r="B26" s="579" t="s">
        <v>1015</v>
      </c>
      <c r="C26" s="33">
        <v>0</v>
      </c>
      <c r="D26" s="23">
        <v>0</v>
      </c>
      <c r="E26" s="23">
        <v>0</v>
      </c>
      <c r="F26" s="23">
        <v>0</v>
      </c>
      <c r="G26" s="23">
        <v>0</v>
      </c>
      <c r="H26" s="23">
        <v>0</v>
      </c>
      <c r="O26" s="23">
        <v>0</v>
      </c>
      <c r="P26" s="23">
        <v>0</v>
      </c>
      <c r="Q26" s="23">
        <v>0</v>
      </c>
      <c r="R26" s="23">
        <v>0</v>
      </c>
      <c r="S26" s="23">
        <v>0</v>
      </c>
      <c r="T26" s="23">
        <v>0</v>
      </c>
      <c r="U26" s="23">
        <v>0</v>
      </c>
      <c r="V26" s="23">
        <v>0</v>
      </c>
      <c r="W26" s="23">
        <v>0</v>
      </c>
      <c r="X26" s="34">
        <v>0</v>
      </c>
      <c r="Y26" s="23">
        <v>0</v>
      </c>
      <c r="Z26" s="34">
        <v>0</v>
      </c>
      <c r="AA26" s="1020">
        <v>0</v>
      </c>
      <c r="AB26" s="23">
        <v>0</v>
      </c>
      <c r="AC26" s="23">
        <v>0</v>
      </c>
      <c r="AD26" s="34">
        <v>0</v>
      </c>
      <c r="AE26" s="1522"/>
    </row>
    <row r="27" spans="1:31" ht="15" customHeight="1" x14ac:dyDescent="0.35">
      <c r="B27" s="579" t="s">
        <v>1016</v>
      </c>
      <c r="C27" s="33">
        <v>0</v>
      </c>
      <c r="D27" s="23">
        <v>0</v>
      </c>
      <c r="E27" s="23">
        <v>0</v>
      </c>
      <c r="F27" s="23">
        <v>0</v>
      </c>
      <c r="G27" s="23">
        <v>0</v>
      </c>
      <c r="H27" s="23">
        <v>0</v>
      </c>
      <c r="O27" s="23">
        <v>0</v>
      </c>
      <c r="P27" s="23">
        <v>0</v>
      </c>
      <c r="Q27" s="23">
        <v>0</v>
      </c>
      <c r="R27" s="23">
        <v>0</v>
      </c>
      <c r="S27" s="23">
        <v>0</v>
      </c>
      <c r="T27" s="23">
        <v>0</v>
      </c>
      <c r="U27" s="23">
        <v>0</v>
      </c>
      <c r="V27" s="23">
        <v>0</v>
      </c>
      <c r="W27" s="23">
        <v>0</v>
      </c>
      <c r="X27" s="34">
        <v>0</v>
      </c>
      <c r="Y27" s="23">
        <v>0</v>
      </c>
      <c r="Z27" s="34">
        <v>0</v>
      </c>
      <c r="AA27" s="1020">
        <v>0</v>
      </c>
      <c r="AB27" s="23">
        <v>0</v>
      </c>
      <c r="AC27" s="23">
        <v>0</v>
      </c>
      <c r="AD27" s="34">
        <v>0</v>
      </c>
      <c r="AE27" s="1522"/>
    </row>
    <row r="28" spans="1:31" ht="15" customHeight="1" x14ac:dyDescent="0.35">
      <c r="B28" s="578" t="s">
        <v>1018</v>
      </c>
      <c r="C28" s="617">
        <f>IF(AND(OR(G6="No", ISNUMBER(C29)), OR(F6="No", ISNUMBER(C30))), IF(G6="Yes", C29, 0)+IF(F6="Yes", C30, 0), "")</f>
        <v>0</v>
      </c>
      <c r="D28" s="617">
        <f>IF(AND(OR(G6="No", ISNUMBER(D29)), OR(F6="No", ISNUMBER(D30))), IF(G6="Yes", D29, 0)+IF(F6="Yes", D30, 0), "")</f>
        <v>0</v>
      </c>
      <c r="E28" s="617">
        <f>IF(AND(OR(G6="No", ISNUMBER(E29)), OR(F6="No", ISNUMBER(E30))), IF(G6="Yes", E29, 0)+IF(F6="Yes", E30, 0), "")</f>
        <v>0</v>
      </c>
      <c r="F28" s="617">
        <f>IF(AND(OR(G6="No", ISNUMBER(F29)), OR(F6="No", ISNUMBER(F30))), IF(G6="Yes", F29, 0)+IF(F6="Yes", F30, 0), "")</f>
        <v>0</v>
      </c>
      <c r="G28" s="617">
        <f>IF(AND(OR(G6="No", ISNUMBER(G29)), OR(F6="No", ISNUMBER(G30))), IF(G6="Yes", G29, 0)+IF(F6="Yes", G30, 0), "")</f>
        <v>0</v>
      </c>
      <c r="H28" s="617">
        <f>IF(AND(OR(G6="No", ISNUMBER(H29)), OR(F6="No", ISNUMBER(H30))), IF(G6="Yes", H29, 0)+IF(F6="Yes", H30, 0), "")</f>
        <v>0</v>
      </c>
      <c r="I28" s="1396"/>
      <c r="J28" s="1396"/>
      <c r="K28" s="1396"/>
      <c r="L28" s="1396"/>
      <c r="M28" s="1396"/>
      <c r="N28" s="1265"/>
      <c r="O28" s="617">
        <f>IF(AND(OR(G6="No", ISNUMBER(O29)), OR(F6="No", ISNUMBER(O30))), IF(G6="Yes", O29, 0)+IF(F6="Yes", O30, 0), "")</f>
        <v>0</v>
      </c>
      <c r="P28" s="617">
        <f>IF(AND(OR(G6="No", ISNUMBER(P29)), OR(F6="No", ISNUMBER(P30))), IF(G6="Yes", P29, 0)+IF(F6="Yes", P30, 0), "")</f>
        <v>0</v>
      </c>
      <c r="Q28" s="617">
        <f>IF(AND(OR(G6="No", ISNUMBER(Q29)), OR(F6="No", ISNUMBER(Q30))), IF(G6="Yes", Q29, 0)+IF(F6="Yes", Q30, 0), "")</f>
        <v>0</v>
      </c>
      <c r="R28" s="617">
        <f>IF(AND(OR(G6="No", ISNUMBER(R29)), OR(F6="No", ISNUMBER(R30))), IF(G6="Yes", R29, 0)+IF(F6="Yes", R30, 0), "")</f>
        <v>0</v>
      </c>
      <c r="S28" s="617">
        <f>IF(AND(OR(G6="No", ISNUMBER(S29)), OR(F6="No", ISNUMBER(S30))), IF(G6="Yes", S29, 0)+IF(F6="Yes", S30, 0), "")</f>
        <v>0</v>
      </c>
      <c r="T28" s="617">
        <f>IF(AND(OR(G6="No", ISNUMBER(T29)), OR(F6="No", ISNUMBER(T30))), IF(G6="Yes", T29, 0)+IF(F6="Yes", T30, 0), "")</f>
        <v>0</v>
      </c>
      <c r="U28" s="617">
        <f>IF(AND(OR(G6="No", ISNUMBER(U29)), OR(F6="No", ISNUMBER(U30))), IF(G6="Yes", U29, 0)+IF(F6="Yes", U30, 0), "")</f>
        <v>0</v>
      </c>
      <c r="V28" s="617">
        <f>IF(AND(OR(G6="No", ISNUMBER(V29)), OR(F6="No", ISNUMBER(V30))), IF(G6="Yes", V29, 0)+IF(F6="Yes", V30, 0), "")</f>
        <v>0</v>
      </c>
      <c r="W28" s="617">
        <f>IF(AND(OR(G6="No", ISNUMBER(W29)), OR(F6="No", ISNUMBER(W30))), IF(G6="Yes", W29, 0)+IF(F6="Yes", W30, 0), "")</f>
        <v>0</v>
      </c>
      <c r="X28" s="617">
        <f>IF(AND(OR(G6="No", ISNUMBER(X29)), OR(F6="No", ISNUMBER(X30))), IF(G6="Yes", X29, 0)+IF(F6="Yes", X30, 0), "")</f>
        <v>0</v>
      </c>
      <c r="Y28" s="617">
        <f>IF(AND(OR(G6="No", ISNUMBER(Y29)), OR(F6="No", ISNUMBER(Y30))), IF(G6="Yes", Y29, 0)+IF(F6="Yes", Y30, 0), "")</f>
        <v>0</v>
      </c>
      <c r="Z28" s="459">
        <f>IF(AND(OR(G6="No", ISNUMBER(Z29)), OR(F6="No", ISNUMBER(Z30))), IF(G6="Yes", Z29, 0)+IF(F6="Yes", Z30, 0), "")</f>
        <v>0</v>
      </c>
      <c r="AA28" s="1518">
        <f>IF(AND(OR(G6="No", ISNUMBER(AA29)), OR(F6="No", ISNUMBER(AA30))), IF(G6="Yes", AA29, 0)+IF(F6="Yes", AA30, 0), "")</f>
        <v>0</v>
      </c>
      <c r="AB28" s="617">
        <f>IF(AND(OR(G6="No", ISNUMBER(AB29)), OR(F6="No", ISNUMBER(AB30))), IF(G6="Yes", AB29, 0)+IF(F6="Yes", AB30, 0), "")</f>
        <v>0</v>
      </c>
      <c r="AC28" s="617">
        <f>IF(AND(OR(G6="No", ISNUMBER(AC29)), OR(F6="No", ISNUMBER(AC30))), IF(G6="Yes", AC29, 0)+IF(F6="Yes", AC30, 0), "")</f>
        <v>0</v>
      </c>
      <c r="AD28" s="459">
        <f>IF(AND(OR(G6="No", ISNUMBER(AD29)), OR(F6="No", ISNUMBER(AD30))), IF(G6="Yes", AD29, 0)+IF(F6="Yes", AD30, 0), "")</f>
        <v>0</v>
      </c>
      <c r="AE28" s="1522"/>
    </row>
    <row r="29" spans="1:31" ht="15" customHeight="1" x14ac:dyDescent="0.35">
      <c r="B29" s="579" t="s">
        <v>1015</v>
      </c>
      <c r="C29" s="33">
        <v>0</v>
      </c>
      <c r="D29" s="23">
        <v>0</v>
      </c>
      <c r="E29" s="23">
        <v>0</v>
      </c>
      <c r="F29" s="23">
        <v>0</v>
      </c>
      <c r="G29" s="23">
        <v>0</v>
      </c>
      <c r="H29" s="23">
        <v>0</v>
      </c>
      <c r="O29" s="23">
        <v>0</v>
      </c>
      <c r="P29" s="23">
        <v>0</v>
      </c>
      <c r="Q29" s="23">
        <v>0</v>
      </c>
      <c r="R29" s="23">
        <v>0</v>
      </c>
      <c r="S29" s="23">
        <v>0</v>
      </c>
      <c r="T29" s="23">
        <v>0</v>
      </c>
      <c r="U29" s="23">
        <v>0</v>
      </c>
      <c r="V29" s="23">
        <v>0</v>
      </c>
      <c r="W29" s="23">
        <v>0</v>
      </c>
      <c r="X29" s="34">
        <v>0</v>
      </c>
      <c r="Y29" s="23">
        <v>0</v>
      </c>
      <c r="Z29" s="34">
        <v>0</v>
      </c>
      <c r="AA29" s="1020">
        <v>0</v>
      </c>
      <c r="AB29" s="23">
        <v>0</v>
      </c>
      <c r="AC29" s="23">
        <v>0</v>
      </c>
      <c r="AD29" s="34">
        <v>0</v>
      </c>
      <c r="AE29" s="1522"/>
    </row>
    <row r="30" spans="1:31" ht="15" customHeight="1" x14ac:dyDescent="0.35">
      <c r="B30" s="407" t="s">
        <v>1016</v>
      </c>
      <c r="C30" s="33">
        <v>0</v>
      </c>
      <c r="D30" s="23">
        <v>0</v>
      </c>
      <c r="E30" s="23">
        <v>0</v>
      </c>
      <c r="F30" s="23">
        <v>0</v>
      </c>
      <c r="G30" s="23">
        <v>0</v>
      </c>
      <c r="H30" s="23">
        <v>0</v>
      </c>
      <c r="O30" s="23">
        <v>0</v>
      </c>
      <c r="P30" s="23">
        <v>0</v>
      </c>
      <c r="Q30" s="23">
        <v>0</v>
      </c>
      <c r="R30" s="23">
        <v>0</v>
      </c>
      <c r="S30" s="23">
        <v>0</v>
      </c>
      <c r="T30" s="23">
        <v>0</v>
      </c>
      <c r="U30" s="23">
        <v>0</v>
      </c>
      <c r="V30" s="23">
        <v>0</v>
      </c>
      <c r="W30" s="23">
        <v>0</v>
      </c>
      <c r="X30" s="34">
        <v>0</v>
      </c>
      <c r="Y30" s="23">
        <v>0</v>
      </c>
      <c r="Z30" s="34">
        <v>0</v>
      </c>
      <c r="AA30" s="1020">
        <v>0</v>
      </c>
      <c r="AB30" s="23">
        <v>0</v>
      </c>
      <c r="AC30" s="23">
        <v>0</v>
      </c>
      <c r="AD30" s="34">
        <v>0</v>
      </c>
      <c r="AE30" s="1522"/>
    </row>
    <row r="31" spans="1:31" ht="15" customHeight="1" x14ac:dyDescent="0.35">
      <c r="B31" s="577" t="s">
        <v>1019</v>
      </c>
      <c r="C31" s="45"/>
      <c r="D31" s="46"/>
      <c r="E31" s="375">
        <f>IF($D$6="Yes", IF(AND(ISNUMBER(E32), ISNUMBER(E35), ISNUMBER(E38)), E32+E35+E38, ""), 0)</f>
        <v>0</v>
      </c>
      <c r="F31" s="375">
        <f>IF($D$6="Yes", IF(AND(ISNUMBER(F32), ISNUMBER(F35), ISNUMBER(F38)), F32+F35+F38, ""), 0)</f>
        <v>0</v>
      </c>
      <c r="G31" s="45"/>
      <c r="H31" s="46"/>
      <c r="O31" s="45"/>
      <c r="P31" s="46"/>
      <c r="Q31" s="375">
        <f>IF($D$6="Yes", IF(AND(ISNUMBER(Q32), ISNUMBER(Q35), ISNUMBER(Q38)), Q32+Q35+Q38, ""), 0)</f>
        <v>0</v>
      </c>
      <c r="R31" s="375">
        <f>IF($D$6="Yes", IF(AND(ISNUMBER(R32), ISNUMBER(R35), ISNUMBER(R38)), R32+R35+R38, ""), 0)</f>
        <v>0</v>
      </c>
      <c r="S31" s="45"/>
      <c r="T31" s="46"/>
      <c r="U31" s="45"/>
      <c r="V31" s="46"/>
      <c r="W31" s="375">
        <f>IF($D$6="Yes", IF(AND(ISNUMBER(W32), ISNUMBER(W35), ISNUMBER(W38)), W32+W35+W38, ""), 0)</f>
        <v>0</v>
      </c>
      <c r="X31" s="375">
        <f>IF($D$6="Yes", IF(AND(ISNUMBER(X32), ISNUMBER(X35), ISNUMBER(X38)), X32+X35+X38, ""), 0)</f>
        <v>0</v>
      </c>
      <c r="Y31" s="14"/>
      <c r="Z31" s="26"/>
      <c r="AA31" s="1518">
        <f>IF($D$6="Yes", IF(AND(ISNUMBER(AA32), ISNUMBER(AA35), ISNUMBER(AA38)), AA32+AA35+AA38, ""), 0)</f>
        <v>0</v>
      </c>
      <c r="AB31" s="375">
        <f>IF($D$6="Yes", IF(AND(ISNUMBER(AB32), ISNUMBER(AB35), ISNUMBER(AB38)), AB32+AB35+AB38, ""), 0)</f>
        <v>0</v>
      </c>
      <c r="AC31" s="375">
        <f>IF($D$6="Yes", IF(AND(ISNUMBER(AC32), ISNUMBER(AC35), ISNUMBER(AC38)), AC32+AC35+AC38, ""), 0)</f>
        <v>0</v>
      </c>
      <c r="AD31" s="139">
        <f>IF($D$6="Yes", IF(AND(ISNUMBER(AD32), ISNUMBER(AD35), ISNUMBER(AD38)), AD32+AD35+AD38, ""), 0)</f>
        <v>0</v>
      </c>
      <c r="AE31" s="1522"/>
    </row>
    <row r="32" spans="1:31" ht="15" customHeight="1" x14ac:dyDescent="0.35">
      <c r="B32" s="578" t="s">
        <v>1014</v>
      </c>
      <c r="C32" s="45"/>
      <c r="D32" s="46"/>
      <c r="E32" s="617">
        <f>IF(AND(OR(G6="No", ISNUMBER(E33)), OR(F6="No", ISNUMBER(E34))), IF(G6="Yes", E33, 0)+IF(F6="Yes", E34, 0), "")</f>
        <v>0</v>
      </c>
      <c r="F32" s="617">
        <f>IF(AND(OR(G6="No", ISNUMBER(F33)), OR(F6="No", ISNUMBER(F34))), IF(G6="Yes", F33, 0)+IF(F6="Yes", F34, 0), "")</f>
        <v>0</v>
      </c>
      <c r="G32" s="45"/>
      <c r="H32" s="46"/>
      <c r="O32" s="45"/>
      <c r="P32" s="46"/>
      <c r="Q32" s="617">
        <f>IF(AND(OR(G6="No", ISNUMBER(Q33)), OR(F6="No", ISNUMBER(Q34))), IF(G6="Yes", Q33, 0)+IF(F6="Yes", Q34, 0), "")</f>
        <v>0</v>
      </c>
      <c r="R32" s="617">
        <f>IF(AND(OR(G6="No", ISNUMBER(R33)), OR(F6="No", ISNUMBER(R34))), IF(G6="Yes", R33, 0)+IF(F6="Yes", R34, 0), "")</f>
        <v>0</v>
      </c>
      <c r="S32" s="45"/>
      <c r="T32" s="46"/>
      <c r="U32" s="45"/>
      <c r="V32" s="46"/>
      <c r="W32" s="617">
        <f>IF(AND(OR(G6="No", ISNUMBER(W33)), OR(F6="No", ISNUMBER(W34))), IF(G6="Yes", W33, 0)+IF(F6="Yes", W34, 0), "")</f>
        <v>0</v>
      </c>
      <c r="X32" s="617">
        <f>IF(AND(OR(G6="No", ISNUMBER(X33)), OR(F6="No", ISNUMBER(X34))), IF(G6="Yes", X33, 0)+IF(F6="Yes", X34, 0), "")</f>
        <v>0</v>
      </c>
      <c r="Y32" s="46"/>
      <c r="Z32" s="12"/>
      <c r="AA32" s="1518">
        <f>IF(AND(OR(G6="No", ISNUMBER(AA33)), OR(F6="No", ISNUMBER(AA34))), IF(G6="Yes", AA33, 0)+IF(F6="Yes", AA34, 0), "")</f>
        <v>0</v>
      </c>
      <c r="AB32" s="617">
        <f>IF(AND(OR(G6="No", ISNUMBER(AB33)), OR(F6="No", ISNUMBER(AB34))), IF(G6="Yes", AB33, 0)+IF(F6="Yes", AB34, 0), "")</f>
        <v>0</v>
      </c>
      <c r="AC32" s="617">
        <f>IF(AND(OR(G6="No", ISNUMBER(AC33)), OR(F6="No", ISNUMBER(AC34))), IF(G6="Yes", AC33, 0)+IF(F6="Yes", AC34, 0), "")</f>
        <v>0</v>
      </c>
      <c r="AD32" s="459">
        <f>IF(AND(OR(G6="No", ISNUMBER(AD33)), OR(F6="No", ISNUMBER(AD34))), IF(G6="Yes", AD33, 0)+IF(F6="Yes", AD34, 0), "")</f>
        <v>0</v>
      </c>
      <c r="AE32" s="1522"/>
    </row>
    <row r="33" spans="2:31" ht="15" customHeight="1" x14ac:dyDescent="0.35">
      <c r="B33" s="579" t="s">
        <v>1015</v>
      </c>
      <c r="C33" s="452"/>
      <c r="D33" s="16"/>
      <c r="E33" s="2547">
        <v>0</v>
      </c>
      <c r="F33" s="2547">
        <v>0</v>
      </c>
      <c r="G33" s="452"/>
      <c r="H33" s="16"/>
      <c r="O33" s="16"/>
      <c r="P33" s="16"/>
      <c r="Q33" s="2547">
        <v>0</v>
      </c>
      <c r="R33" s="2547">
        <v>0</v>
      </c>
      <c r="S33" s="452"/>
      <c r="T33" s="16"/>
      <c r="U33" s="16"/>
      <c r="V33" s="16"/>
      <c r="W33" s="2547">
        <v>0</v>
      </c>
      <c r="X33" s="2547">
        <v>0</v>
      </c>
      <c r="Y33" s="16"/>
      <c r="Z33" s="65"/>
      <c r="AA33" s="2548">
        <v>0</v>
      </c>
      <c r="AB33" s="2547">
        <v>0</v>
      </c>
      <c r="AC33" s="2547">
        <v>0</v>
      </c>
      <c r="AD33" s="2549">
        <v>0</v>
      </c>
      <c r="AE33" s="1522"/>
    </row>
    <row r="34" spans="2:31" ht="15" customHeight="1" x14ac:dyDescent="0.35">
      <c r="B34" s="579" t="s">
        <v>1016</v>
      </c>
      <c r="C34" s="452"/>
      <c r="D34" s="16"/>
      <c r="E34" s="2547">
        <v>0</v>
      </c>
      <c r="F34" s="2547">
        <v>0</v>
      </c>
      <c r="G34" s="452"/>
      <c r="H34" s="16"/>
      <c r="O34" s="16"/>
      <c r="P34" s="16"/>
      <c r="Q34" s="2547">
        <v>0</v>
      </c>
      <c r="R34" s="2547">
        <v>0</v>
      </c>
      <c r="S34" s="452"/>
      <c r="T34" s="16"/>
      <c r="U34" s="16"/>
      <c r="V34" s="16"/>
      <c r="W34" s="2547">
        <v>0</v>
      </c>
      <c r="X34" s="2547">
        <v>0</v>
      </c>
      <c r="Y34" s="16"/>
      <c r="Z34" s="65"/>
      <c r="AA34" s="2548">
        <v>0</v>
      </c>
      <c r="AB34" s="2547">
        <v>0</v>
      </c>
      <c r="AC34" s="2547">
        <v>0</v>
      </c>
      <c r="AD34" s="2549">
        <v>0</v>
      </c>
      <c r="AE34" s="1522"/>
    </row>
    <row r="35" spans="2:31" ht="15" customHeight="1" x14ac:dyDescent="0.35">
      <c r="B35" s="578" t="s">
        <v>1017</v>
      </c>
      <c r="C35" s="45"/>
      <c r="D35" s="46"/>
      <c r="E35" s="617">
        <f>IF(AND(OR(G6="No", ISNUMBER(E36)), OR(F6="No", ISNUMBER(E37))), IF(G6="Yes", E36, 0)+IF(F6="Yes", E37, 0), "")</f>
        <v>0</v>
      </c>
      <c r="F35" s="617">
        <f>IF(AND(OR(G6="No", ISNUMBER(F36)), OR(F6="No", ISNUMBER(F37))), IF(G6="Yes", F36, 0)+IF(F6="Yes", F37, 0), "")</f>
        <v>0</v>
      </c>
      <c r="G35" s="45"/>
      <c r="H35" s="46"/>
      <c r="O35" s="45"/>
      <c r="P35" s="46"/>
      <c r="Q35" s="617">
        <f>IF(AND(OR(G6="No", ISNUMBER(Q36)), OR(F6="No", ISNUMBER(Q37))), IF(G6="Yes", Q36, 0)+IF(F6="Yes", Q37, 0), "")</f>
        <v>0</v>
      </c>
      <c r="R35" s="617">
        <f>IF(AND(OR(G6="No", ISNUMBER(R36)), OR(F6="No", ISNUMBER(R37))), IF(G6="Yes", R36, 0)+IF(F6="Yes", R37, 0), "")</f>
        <v>0</v>
      </c>
      <c r="S35" s="45"/>
      <c r="T35" s="46"/>
      <c r="U35" s="45"/>
      <c r="V35" s="46"/>
      <c r="W35" s="617">
        <f>IF(AND(OR(G6="No", ISNUMBER(W36)), OR(F6="No", ISNUMBER(W37))), IF(G6="Yes", W36, 0)+IF(F6="Yes", W37, 0), "")</f>
        <v>0</v>
      </c>
      <c r="X35" s="617">
        <f>IF(AND(OR(G6="No", ISNUMBER(X36)), OR(F6="No", ISNUMBER(X37))), IF(G6="Yes", X36, 0)+IF(F6="Yes", X37, 0), "")</f>
        <v>0</v>
      </c>
      <c r="Y35" s="46"/>
      <c r="Z35" s="12"/>
      <c r="AA35" s="1518">
        <f>IF(AND(OR(G6="No", ISNUMBER(AA36)), OR(F6="No", ISNUMBER(AA37))), IF(G6="Yes", AA36, 0)+IF(F6="Yes", AA37, 0), "")</f>
        <v>0</v>
      </c>
      <c r="AB35" s="617">
        <f>IF(AND(OR(G6="No", ISNUMBER(AB36)), OR(F6="No", ISNUMBER(AB37))), IF(G6="Yes", AB36, 0)+IF(F6="Yes", AB37, 0), "")</f>
        <v>0</v>
      </c>
      <c r="AC35" s="617">
        <f>IF(AND(OR(G6="No", ISNUMBER(AC36)), OR(F6="No", ISNUMBER(AC37))), IF(G6="Yes", AC36, 0)+IF(F6="Yes", AC37, 0), "")</f>
        <v>0</v>
      </c>
      <c r="AD35" s="459">
        <f>IF(AND(OR(G6="No", ISNUMBER(AD36)), OR(F6="No", ISNUMBER(AD37))), IF(G6="Yes", AD36, 0)+IF(F6="Yes", AD37, 0), "")</f>
        <v>0</v>
      </c>
      <c r="AE35" s="1522"/>
    </row>
    <row r="36" spans="2:31" ht="15" customHeight="1" x14ac:dyDescent="0.35">
      <c r="B36" s="579" t="s">
        <v>1015</v>
      </c>
      <c r="C36" s="452"/>
      <c r="D36" s="16"/>
      <c r="E36" s="2547">
        <v>0</v>
      </c>
      <c r="F36" s="2547">
        <v>0</v>
      </c>
      <c r="G36" s="452"/>
      <c r="H36" s="16"/>
      <c r="O36" s="16"/>
      <c r="P36" s="16"/>
      <c r="Q36" s="2547">
        <v>0</v>
      </c>
      <c r="R36" s="2547">
        <v>0</v>
      </c>
      <c r="S36" s="452"/>
      <c r="T36" s="16"/>
      <c r="U36" s="16"/>
      <c r="V36" s="16"/>
      <c r="W36" s="2547">
        <v>0</v>
      </c>
      <c r="X36" s="2547">
        <v>0</v>
      </c>
      <c r="Y36" s="16"/>
      <c r="Z36" s="65"/>
      <c r="AA36" s="2548">
        <v>0</v>
      </c>
      <c r="AB36" s="2547">
        <v>0</v>
      </c>
      <c r="AC36" s="2547">
        <v>0</v>
      </c>
      <c r="AD36" s="2549">
        <v>0</v>
      </c>
      <c r="AE36" s="1522"/>
    </row>
    <row r="37" spans="2:31" ht="15" customHeight="1" x14ac:dyDescent="0.35">
      <c r="B37" s="579" t="s">
        <v>1016</v>
      </c>
      <c r="C37" s="452"/>
      <c r="D37" s="16"/>
      <c r="E37" s="2547">
        <v>0</v>
      </c>
      <c r="F37" s="2547">
        <v>0</v>
      </c>
      <c r="G37" s="452"/>
      <c r="H37" s="16"/>
      <c r="O37" s="16"/>
      <c r="P37" s="16"/>
      <c r="Q37" s="2547">
        <v>0</v>
      </c>
      <c r="R37" s="2547">
        <v>0</v>
      </c>
      <c r="S37" s="452"/>
      <c r="T37" s="16"/>
      <c r="U37" s="16"/>
      <c r="V37" s="16"/>
      <c r="W37" s="2547">
        <v>0</v>
      </c>
      <c r="X37" s="2547">
        <v>0</v>
      </c>
      <c r="Y37" s="16"/>
      <c r="Z37" s="65"/>
      <c r="AA37" s="2548">
        <v>0</v>
      </c>
      <c r="AB37" s="2547">
        <v>0</v>
      </c>
      <c r="AC37" s="2547">
        <v>0</v>
      </c>
      <c r="AD37" s="2549">
        <v>0</v>
      </c>
      <c r="AE37" s="1522"/>
    </row>
    <row r="38" spans="2:31" ht="15" customHeight="1" x14ac:dyDescent="0.35">
      <c r="B38" s="578" t="s">
        <v>1018</v>
      </c>
      <c r="C38" s="45"/>
      <c r="D38" s="46"/>
      <c r="E38" s="617">
        <f>IF(AND(OR(G6="No", ISNUMBER(E39)), OR(F6="No", ISNUMBER(E40))), IF(G6="Yes", E39, 0)+IF(F6="Yes", E40, 0), "")</f>
        <v>0</v>
      </c>
      <c r="F38" s="617">
        <f>IF(AND(OR(G6="No", ISNUMBER(F39)), OR(F6="No", ISNUMBER(F40))), IF(G6="Yes", F39, 0)+IF(F6="Yes", F40, 0), "")</f>
        <v>0</v>
      </c>
      <c r="G38" s="45"/>
      <c r="H38" s="46"/>
      <c r="O38" s="45"/>
      <c r="P38" s="46"/>
      <c r="Q38" s="617">
        <f>IF(AND(OR(G6="No", ISNUMBER(Q39)), OR(F6="No", ISNUMBER(Q40))), IF(G6="Yes", Q39, 0)+IF(F6="Yes", Q40, 0), "")</f>
        <v>0</v>
      </c>
      <c r="R38" s="617">
        <f>IF(AND(OR(G6="No", ISNUMBER(R39)), OR(F6="No", ISNUMBER(R40))), IF(G6="Yes", R39, 0)+IF(F6="Yes", R40, 0), "")</f>
        <v>0</v>
      </c>
      <c r="S38" s="45"/>
      <c r="T38" s="46"/>
      <c r="U38" s="45"/>
      <c r="V38" s="46"/>
      <c r="W38" s="617">
        <f>IF(AND(OR(G6="No", ISNUMBER(W39)), OR(F6="No", ISNUMBER(W40))), IF(G6="Yes", W39, 0)+IF(F6="Yes", W40, 0), "")</f>
        <v>0</v>
      </c>
      <c r="X38" s="617">
        <f>IF(AND(OR(G6="No", ISNUMBER(X39)), OR(F6="No", ISNUMBER(X40))), IF(G6="Yes", X39, 0)+IF(F6="Yes", X40, 0), "")</f>
        <v>0</v>
      </c>
      <c r="Y38" s="46"/>
      <c r="Z38" s="12"/>
      <c r="AA38" s="1518">
        <f>IF(AND(OR(G6="No", ISNUMBER(AA39)), OR(F6="No", ISNUMBER(AA40))), IF(G6="Yes", AA39, 0)+IF(F6="Yes", AA40, 0), "")</f>
        <v>0</v>
      </c>
      <c r="AB38" s="617">
        <f>IF(AND(OR(G6="No", ISNUMBER(AB39)), OR(F6="No", ISNUMBER(AB40))), IF(G6="Yes", AB39, 0)+IF(F6="Yes", AB40, 0), "")</f>
        <v>0</v>
      </c>
      <c r="AC38" s="617">
        <f>IF(AND(OR(G6="No", ISNUMBER(AC39)), OR(F6="No", ISNUMBER(AC40))), IF(G6="Yes", AC39, 0)+IF(F6="Yes", AC40, 0), "")</f>
        <v>0</v>
      </c>
      <c r="AD38" s="459">
        <f>IF(AND(OR(G6="No", ISNUMBER(AD39)), OR(F6="No", ISNUMBER(AD40))), IF(G6="Yes", AD39, 0)+IF(F6="Yes", AD40, 0), "")</f>
        <v>0</v>
      </c>
      <c r="AE38" s="1522"/>
    </row>
    <row r="39" spans="2:31" ht="15" customHeight="1" x14ac:dyDescent="0.35">
      <c r="B39" s="579" t="s">
        <v>1015</v>
      </c>
      <c r="C39" s="452"/>
      <c r="D39" s="16"/>
      <c r="E39" s="2547">
        <v>0</v>
      </c>
      <c r="F39" s="2547">
        <v>0</v>
      </c>
      <c r="G39" s="452"/>
      <c r="H39" s="16"/>
      <c r="O39" s="16"/>
      <c r="P39" s="16"/>
      <c r="Q39" s="2547">
        <v>0</v>
      </c>
      <c r="R39" s="2547">
        <v>0</v>
      </c>
      <c r="S39" s="452"/>
      <c r="T39" s="16"/>
      <c r="U39" s="16"/>
      <c r="V39" s="16"/>
      <c r="W39" s="2547">
        <v>0</v>
      </c>
      <c r="X39" s="2547">
        <v>0</v>
      </c>
      <c r="Y39" s="16"/>
      <c r="Z39" s="65"/>
      <c r="AA39" s="2548">
        <v>0</v>
      </c>
      <c r="AB39" s="2547">
        <v>0</v>
      </c>
      <c r="AC39" s="2547">
        <v>0</v>
      </c>
      <c r="AD39" s="2549">
        <v>0</v>
      </c>
      <c r="AE39" s="1522"/>
    </row>
    <row r="40" spans="2:31" ht="15" customHeight="1" x14ac:dyDescent="0.35">
      <c r="B40" s="579" t="s">
        <v>1016</v>
      </c>
      <c r="C40" s="453"/>
      <c r="D40" s="16"/>
      <c r="E40" s="2547">
        <v>0</v>
      </c>
      <c r="F40" s="2547">
        <v>0</v>
      </c>
      <c r="G40" s="16"/>
      <c r="H40" s="16"/>
      <c r="O40" s="16"/>
      <c r="P40" s="16"/>
      <c r="Q40" s="2547">
        <v>0</v>
      </c>
      <c r="R40" s="2547">
        <v>0</v>
      </c>
      <c r="S40" s="16"/>
      <c r="T40" s="16"/>
      <c r="U40" s="16"/>
      <c r="V40" s="16"/>
      <c r="W40" s="2547">
        <v>0</v>
      </c>
      <c r="X40" s="2547">
        <v>0</v>
      </c>
      <c r="Y40" s="16"/>
      <c r="Z40" s="65"/>
      <c r="AA40" s="2548">
        <v>0</v>
      </c>
      <c r="AB40" s="2547">
        <v>0</v>
      </c>
      <c r="AC40" s="2547">
        <v>0</v>
      </c>
      <c r="AD40" s="2549">
        <v>0</v>
      </c>
      <c r="AE40" s="1522"/>
    </row>
    <row r="41" spans="2:31" ht="15" customHeight="1" x14ac:dyDescent="0.35">
      <c r="B41" s="577" t="s">
        <v>1020</v>
      </c>
      <c r="C41" s="617">
        <f>IF($C$7="Yes", IF(AND(ISNUMBER(C42), ISNUMBER(C45), ISNUMBER(C48)), C42+C45+C48, ""), 0)</f>
        <v>163865</v>
      </c>
      <c r="D41" s="617">
        <f>IF($C$7="Yes", IF(AND(ISNUMBER(D42), ISNUMBER(D45), ISNUMBER(D48)), D42+D45+D48, ""), 0)</f>
        <v>30978</v>
      </c>
      <c r="E41" s="617">
        <f>IF($D$7="Yes", IF(AND(ISNUMBER(E42), ISNUMBER(E45), ISNUMBER(E48)), E42+E45+E48, ""), 0)</f>
        <v>0</v>
      </c>
      <c r="F41" s="617">
        <f>IF($D$7="Yes", IF(AND(ISNUMBER(F42), ISNUMBER(F45), ISNUMBER(F48)), F42+F45+F48, ""), 0)</f>
        <v>0</v>
      </c>
      <c r="G41" s="45"/>
      <c r="H41" s="46"/>
      <c r="O41" s="617">
        <f>IF($C$7="Yes", IF(AND(ISNUMBER(O42), ISNUMBER(O45), ISNUMBER(O48)), O42+O45+O48, ""), 0)</f>
        <v>163865</v>
      </c>
      <c r="P41" s="617">
        <f>IF($C$7="Yes", IF(AND(ISNUMBER(P42), ISNUMBER(P45), ISNUMBER(P48)), P42+P45+P48, ""), 0)</f>
        <v>30978</v>
      </c>
      <c r="Q41" s="617">
        <f>IF($D$7="Yes", IF(AND(ISNUMBER(Q42), ISNUMBER(Q45), ISNUMBER(Q48)), Q42+Q45+Q48, ""), 0)</f>
        <v>0</v>
      </c>
      <c r="R41" s="617">
        <f>IF($D$7="Yes", IF(AND(ISNUMBER(R42), ISNUMBER(R45), ISNUMBER(R48)), R42+R45+R48, ""), 0)</f>
        <v>0</v>
      </c>
      <c r="S41" s="45"/>
      <c r="T41" s="46"/>
      <c r="U41" s="617">
        <f>IF($C$7="Yes", IF(AND(ISNUMBER(U42), ISNUMBER(U45), ISNUMBER(U48)), U42+U45+U48, ""), 0)</f>
        <v>163865</v>
      </c>
      <c r="V41" s="617">
        <f>IF($C$7="Yes", IF(AND(ISNUMBER(V42), ISNUMBER(V45), ISNUMBER(V48)), V42+V45+V48, ""), 0)</f>
        <v>30978</v>
      </c>
      <c r="W41" s="617">
        <f>IF($D$7="Yes", IF(AND(ISNUMBER(W42), ISNUMBER(W45), ISNUMBER(W48)), W42+W45+W48, ""), 0)</f>
        <v>0</v>
      </c>
      <c r="X41" s="617">
        <f>IF($D$7="Yes", IF(AND(ISNUMBER(X42), ISNUMBER(X45), ISNUMBER(X48)), X42+X45+X48, ""), 0)</f>
        <v>0</v>
      </c>
      <c r="Y41" s="46"/>
      <c r="Z41" s="12"/>
      <c r="AA41" s="1518">
        <f>IF($D$7="Yes", IF(AND(ISNUMBER(AA42), ISNUMBER(AA45), ISNUMBER(AA48)), AA42+AA45+AA48, ""), 0)</f>
        <v>0</v>
      </c>
      <c r="AB41" s="617">
        <f>IF($D$7="Yes", IF(AND(ISNUMBER(AB42), ISNUMBER(AB45), ISNUMBER(AB48)), AB42+AB45+AB48, ""), 0)</f>
        <v>0</v>
      </c>
      <c r="AC41" s="617">
        <f>IF($D$7="Yes", IF(AND(ISNUMBER(AC42), ISNUMBER(AC45), ISNUMBER(AC48)), AC42+AC45+AC48, ""), 0)</f>
        <v>0</v>
      </c>
      <c r="AD41" s="459">
        <f>IF($D$7="Yes", IF(AND(ISNUMBER(AD42), ISNUMBER(AD45), ISNUMBER(AD48)), AD42+AD45+AD48, ""), 0)</f>
        <v>0</v>
      </c>
      <c r="AE41" s="1522"/>
    </row>
    <row r="42" spans="2:31" ht="15" customHeight="1" x14ac:dyDescent="0.35">
      <c r="B42" s="578" t="s">
        <v>1014</v>
      </c>
      <c r="C42" s="617">
        <f>IF(AND(OR(G6="No", ISNUMBER(C43)), OR(F6="No", ISNUMBER(C44))), IF(G6="Yes", C43, 0)+IF(F6="Yes", C44, 0), "")</f>
        <v>0</v>
      </c>
      <c r="D42" s="617">
        <f>IF(AND(OR(G6="No", ISNUMBER(D43)), OR(F6="No", ISNUMBER(D44))), IF(G6="Yes", D43, 0)+IF(F6="Yes", D44, 0), "")</f>
        <v>0</v>
      </c>
      <c r="E42" s="617">
        <f>IF(AND(OR(G6="No", ISNUMBER(E43)), OR(F6="No", ISNUMBER(E44))), IF(G6="Yes", E43, 0)+IF(F6="Yes", E44, 0), "")</f>
        <v>0</v>
      </c>
      <c r="F42" s="617">
        <f>IF(AND(OR(G6="No", ISNUMBER(F43)), OR(F6="No", ISNUMBER(F44))), IF(G6="Yes", F43, 0)+IF(F6="Yes", F44, 0), "")</f>
        <v>0</v>
      </c>
      <c r="G42" s="45"/>
      <c r="H42" s="46"/>
      <c r="O42" s="617">
        <f>IF(AND(OR(G6="No", ISNUMBER(O43)), OR(F6="No", ISNUMBER(O44))), IF(G6="Yes", O43, 0)+IF(F6="Yes", O44, 0), "")</f>
        <v>0</v>
      </c>
      <c r="P42" s="617">
        <f>IF(AND(OR(G6="No", ISNUMBER(P43)), OR(F6="No", ISNUMBER(P44))), IF(G6="Yes", P43, 0)+IF(F6="Yes", P44, 0), "")</f>
        <v>0</v>
      </c>
      <c r="Q42" s="617">
        <f>IF(AND(OR(G6="No", ISNUMBER(Q43)), OR(F6="No", ISNUMBER(Q44))), IF(G6="Yes", Q43, 0)+IF(F6="Yes", Q44, 0), "")</f>
        <v>0</v>
      </c>
      <c r="R42" s="617">
        <f>IF(AND(OR(G6="No", ISNUMBER(R43)), OR(F6="No", ISNUMBER(R44))), IF(G6="Yes", R43, 0)+IF(F6="Yes", R44, 0), "")</f>
        <v>0</v>
      </c>
      <c r="S42" s="45"/>
      <c r="T42" s="46"/>
      <c r="U42" s="617">
        <f>IF(AND(OR(G6="No", ISNUMBER(U43)), OR(F6="No", ISNUMBER(U44))), IF(G6="Yes", U43, 0)+IF(F6="Yes", U44, 0), "")</f>
        <v>0</v>
      </c>
      <c r="V42" s="617">
        <f>IF(AND(OR(G6="No", ISNUMBER(V43)), OR(F6="No", ISNUMBER(V44))), IF(G6="Yes", V43, 0)+IF(F6="Yes", V44, 0), "")</f>
        <v>0</v>
      </c>
      <c r="W42" s="617">
        <f>IF(AND(OR(G6="No", ISNUMBER(W43)), OR(F6="No", ISNUMBER(W44))), IF(G6="Yes", W43, 0)+IF(F6="Yes", W44, 0), "")</f>
        <v>0</v>
      </c>
      <c r="X42" s="617">
        <f>IF(AND(OR(G6="No", ISNUMBER(X43)), OR(F6="No", ISNUMBER(X44))), IF(G6="Yes", X43, 0)+IF(F6="Yes", X44, 0), "")</f>
        <v>0</v>
      </c>
      <c r="Y42" s="46"/>
      <c r="Z42" s="12"/>
      <c r="AA42" s="1518">
        <f>IF(AND(OR(G6="No", ISNUMBER(AA43)), OR(F6="No", ISNUMBER(AA44))), IF(G6="Yes", AA43, 0)+IF(F6="Yes", AA44, 0), "")</f>
        <v>0</v>
      </c>
      <c r="AB42" s="617">
        <f>IF(AND(OR(G6="No", ISNUMBER(AB43)), OR(F6="No", ISNUMBER(AB44))), IF(G6="Yes", AB43, 0)+IF(F6="Yes", AB44, 0), "")</f>
        <v>0</v>
      </c>
      <c r="AC42" s="617">
        <f>IF(AND(OR(G6="No", ISNUMBER(AC43)), OR(F6="No", ISNUMBER(AC44))), IF(G6="Yes", AC43, 0)+IF(F6="Yes", AC44, 0), "")</f>
        <v>0</v>
      </c>
      <c r="AD42" s="459">
        <f>IF(AND(OR(G6="No", ISNUMBER(AD43)), OR(F6="No", ISNUMBER(AD44))), IF(G6="Yes", AD43, 0)+IF(F6="Yes", AD44, 0), "")</f>
        <v>0</v>
      </c>
      <c r="AE42" s="1522"/>
    </row>
    <row r="43" spans="2:31" ht="15" customHeight="1" x14ac:dyDescent="0.35">
      <c r="B43" s="579" t="s">
        <v>1015</v>
      </c>
      <c r="C43" s="33">
        <v>0</v>
      </c>
      <c r="D43" s="23">
        <v>0</v>
      </c>
      <c r="E43" s="23">
        <v>0</v>
      </c>
      <c r="F43" s="23">
        <v>0</v>
      </c>
      <c r="G43" s="452"/>
      <c r="H43" s="16"/>
      <c r="O43" s="23">
        <v>0</v>
      </c>
      <c r="P43" s="23">
        <v>0</v>
      </c>
      <c r="Q43" s="23">
        <v>0</v>
      </c>
      <c r="R43" s="23">
        <v>0</v>
      </c>
      <c r="S43" s="452"/>
      <c r="T43" s="16"/>
      <c r="U43" s="23">
        <v>0</v>
      </c>
      <c r="V43" s="23">
        <v>0</v>
      </c>
      <c r="W43" s="23">
        <v>0</v>
      </c>
      <c r="X43" s="34">
        <v>0</v>
      </c>
      <c r="Y43" s="16"/>
      <c r="Z43" s="65"/>
      <c r="AA43" s="1020">
        <v>0</v>
      </c>
      <c r="AB43" s="23">
        <v>0</v>
      </c>
      <c r="AC43" s="23">
        <v>0</v>
      </c>
      <c r="AD43" s="34">
        <v>0</v>
      </c>
      <c r="AE43" s="1522"/>
    </row>
    <row r="44" spans="2:31" ht="15" customHeight="1" x14ac:dyDescent="0.35">
      <c r="B44" s="579" t="s">
        <v>1016</v>
      </c>
      <c r="C44" s="33">
        <v>0</v>
      </c>
      <c r="D44" s="23">
        <v>0</v>
      </c>
      <c r="E44" s="23">
        <v>0</v>
      </c>
      <c r="F44" s="23">
        <v>0</v>
      </c>
      <c r="G44" s="452"/>
      <c r="H44" s="16"/>
      <c r="O44" s="23">
        <v>0</v>
      </c>
      <c r="P44" s="23">
        <v>0</v>
      </c>
      <c r="Q44" s="23">
        <v>0</v>
      </c>
      <c r="R44" s="23">
        <v>0</v>
      </c>
      <c r="S44" s="452"/>
      <c r="T44" s="16"/>
      <c r="U44" s="23">
        <v>0</v>
      </c>
      <c r="V44" s="23">
        <v>0</v>
      </c>
      <c r="W44" s="23">
        <v>0</v>
      </c>
      <c r="X44" s="34">
        <v>0</v>
      </c>
      <c r="Y44" s="16"/>
      <c r="Z44" s="65"/>
      <c r="AA44" s="1020">
        <v>0</v>
      </c>
      <c r="AB44" s="23">
        <v>0</v>
      </c>
      <c r="AC44" s="23">
        <v>0</v>
      </c>
      <c r="AD44" s="34">
        <v>0</v>
      </c>
      <c r="AE44" s="1522"/>
    </row>
    <row r="45" spans="2:31" ht="15" customHeight="1" x14ac:dyDescent="0.35">
      <c r="B45" s="578" t="s">
        <v>1017</v>
      </c>
      <c r="C45" s="617">
        <f>IF(AND(OR(G6="No", ISNUMBER(C46)), OR(F6="No", ISNUMBER(C47))), IF(G6="Yes", C46, 0)+IF(F6="Yes", C47, 0), "")</f>
        <v>117301</v>
      </c>
      <c r="D45" s="617">
        <f>IF(AND(OR(G6="No", ISNUMBER(D46)), OR(F6="No", ISNUMBER(D47))), IF(G6="Yes", D46, 0)+IF(F6="Yes", D47, 0), "")</f>
        <v>10192</v>
      </c>
      <c r="E45" s="617">
        <f>IF(AND(OR(G6="No", ISNUMBER(E46)), OR(F6="No", ISNUMBER(E47))), IF(G6="Yes", E46, 0)+IF(F6="Yes", E47, 0), "")</f>
        <v>145664</v>
      </c>
      <c r="F45" s="617">
        <f>IF(AND(OR(G6="No", ISNUMBER(F46)), OR(F6="No", ISNUMBER(F47))), IF(G6="Yes", F46, 0)+IF(F6="Yes", F47, 0), "")</f>
        <v>19115</v>
      </c>
      <c r="G45" s="45"/>
      <c r="H45" s="46"/>
      <c r="O45" s="617">
        <f>IF(AND(OR(G6="No", ISNUMBER(O46)), OR(F6="No", ISNUMBER(O47))), IF(G6="Yes", O46, 0)+IF(F6="Yes", O47, 0), "")</f>
        <v>117301</v>
      </c>
      <c r="P45" s="617">
        <f>IF(AND(OR(G6="No", ISNUMBER(P46)), OR(F6="No", ISNUMBER(P47))), IF(G6="Yes", P46, 0)+IF(F6="Yes", P47, 0), "")</f>
        <v>10192</v>
      </c>
      <c r="Q45" s="617">
        <f>IF(AND(OR(G6="No", ISNUMBER(Q46)), OR(F6="No", ISNUMBER(Q47))), IF(G6="Yes", Q46, 0)+IF(F6="Yes", Q47, 0), "")</f>
        <v>145664</v>
      </c>
      <c r="R45" s="617">
        <f>IF(AND(OR(G6="No", ISNUMBER(R46)), OR(F6="No", ISNUMBER(R47))), IF(G6="Yes", R46, 0)+IF(F6="Yes", R47, 0), "")</f>
        <v>19115</v>
      </c>
      <c r="S45" s="45"/>
      <c r="T45" s="46"/>
      <c r="U45" s="617">
        <f>IF(AND(OR(G6="No", ISNUMBER(U46)), OR(F6="No", ISNUMBER(U47))), IF(G6="Yes", U46, 0)+IF(F6="Yes", U47, 0), "")</f>
        <v>117301</v>
      </c>
      <c r="V45" s="617">
        <f>IF(AND(OR(G6="No", ISNUMBER(V46)), OR(F6="No", ISNUMBER(V47))), IF(G6="Yes", V46, 0)+IF(F6="Yes", V47, 0), "")</f>
        <v>10192</v>
      </c>
      <c r="W45" s="617">
        <f>IF(AND(OR(G6="No", ISNUMBER(W46)), OR(F6="No", ISNUMBER(W47))), IF(G6="Yes", W46, 0)+IF(F6="Yes", W47, 0), "")</f>
        <v>145664</v>
      </c>
      <c r="X45" s="617">
        <f>IF(AND(OR(G6="No", ISNUMBER(X46)), OR(F6="No", ISNUMBER(X47))), IF(G6="Yes", X46, 0)+IF(F6="Yes", X47, 0), "")</f>
        <v>19115</v>
      </c>
      <c r="Y45" s="46"/>
      <c r="Z45" s="12"/>
      <c r="AA45" s="1518">
        <f>IF(AND(OR(G6="No", ISNUMBER(AA46)), OR(F6="No", ISNUMBER(AA47))), IF(G6="Yes", AA46, 0)+IF(F6="Yes", AA47, 0), "")</f>
        <v>145664</v>
      </c>
      <c r="AB45" s="617">
        <f>IF(AND(OR(G6="No", ISNUMBER(AB46)), OR(F6="No", ISNUMBER(AB47))), IF(G6="Yes", AB46, 0)+IF(F6="Yes", AB47, 0), "")</f>
        <v>19115</v>
      </c>
      <c r="AC45" s="617">
        <f>IF(AND(OR(G6="No", ISNUMBER(AC46)), OR(F6="No", ISNUMBER(AC47))), IF(G6="Yes", AC46, 0)+IF(F6="Yes", AC47, 0), "")</f>
        <v>145664</v>
      </c>
      <c r="AD45" s="459">
        <f>IF(AND(OR(G6="No", ISNUMBER(AD46)), OR(F6="No", ISNUMBER(AD47))), IF(G6="Yes", AD46, 0)+IF(F6="Yes", AD47, 0), "")</f>
        <v>19115</v>
      </c>
      <c r="AE45" s="1522"/>
    </row>
    <row r="46" spans="2:31" ht="15" customHeight="1" x14ac:dyDescent="0.35">
      <c r="B46" s="579" t="s">
        <v>1015</v>
      </c>
      <c r="C46" s="33">
        <v>0</v>
      </c>
      <c r="D46" s="23">
        <v>0</v>
      </c>
      <c r="E46" s="23">
        <v>0</v>
      </c>
      <c r="F46" s="23">
        <v>0</v>
      </c>
      <c r="G46" s="452"/>
      <c r="H46" s="16"/>
      <c r="O46" s="23">
        <v>0</v>
      </c>
      <c r="P46" s="23">
        <v>0</v>
      </c>
      <c r="Q46" s="23">
        <v>0</v>
      </c>
      <c r="R46" s="23">
        <v>0</v>
      </c>
      <c r="S46" s="452"/>
      <c r="T46" s="16"/>
      <c r="U46" s="23">
        <v>0</v>
      </c>
      <c r="V46" s="23">
        <v>0</v>
      </c>
      <c r="W46" s="23">
        <v>0</v>
      </c>
      <c r="X46" s="34">
        <v>0</v>
      </c>
      <c r="Y46" s="16"/>
      <c r="Z46" s="65"/>
      <c r="AA46" s="1020">
        <v>0</v>
      </c>
      <c r="AB46" s="23">
        <v>0</v>
      </c>
      <c r="AC46" s="23">
        <v>0</v>
      </c>
      <c r="AD46" s="34">
        <v>0</v>
      </c>
      <c r="AE46" s="1522"/>
    </row>
    <row r="47" spans="2:31" ht="15" customHeight="1" x14ac:dyDescent="0.35">
      <c r="B47" s="579" t="s">
        <v>1016</v>
      </c>
      <c r="C47" s="33">
        <v>117301</v>
      </c>
      <c r="D47" s="23">
        <v>10192</v>
      </c>
      <c r="E47" s="23">
        <v>145664</v>
      </c>
      <c r="F47" s="23">
        <v>19115</v>
      </c>
      <c r="G47" s="452"/>
      <c r="H47" s="16"/>
      <c r="O47" s="23">
        <v>117301</v>
      </c>
      <c r="P47" s="23">
        <v>10192</v>
      </c>
      <c r="Q47" s="23">
        <v>145664</v>
      </c>
      <c r="R47" s="23">
        <v>19115</v>
      </c>
      <c r="S47" s="452"/>
      <c r="T47" s="16"/>
      <c r="U47" s="23">
        <v>117301</v>
      </c>
      <c r="V47" s="23">
        <v>10192</v>
      </c>
      <c r="W47" s="23">
        <v>145664</v>
      </c>
      <c r="X47" s="34">
        <v>19115</v>
      </c>
      <c r="Y47" s="16"/>
      <c r="Z47" s="65"/>
      <c r="AA47" s="1020">
        <v>145664</v>
      </c>
      <c r="AB47" s="23">
        <v>19115</v>
      </c>
      <c r="AC47" s="23">
        <v>145664</v>
      </c>
      <c r="AD47" s="34">
        <v>19115</v>
      </c>
      <c r="AE47" s="1522"/>
    </row>
    <row r="48" spans="2:31" ht="15" customHeight="1" x14ac:dyDescent="0.35">
      <c r="B48" s="578" t="s">
        <v>1018</v>
      </c>
      <c r="C48" s="617">
        <f>IF(AND(OR(G6="No", ISNUMBER(C49)), OR(F6="No", ISNUMBER(C50))), IF(G6="Yes", C49, 0)+IF(F6="Yes", C50, 0), "")</f>
        <v>46564</v>
      </c>
      <c r="D48" s="617">
        <f>IF(AND(OR(G6="No", ISNUMBER(D49)), OR(F6="No", ISNUMBER(D50))), IF(G6="Yes", D49, 0)+IF(F6="Yes", D50, 0), "")</f>
        <v>20786</v>
      </c>
      <c r="E48" s="617">
        <f>IF(AND(OR(G6="No", ISNUMBER(E49)), OR(F6="No", ISNUMBER(E50))), IF(G6="Yes", E49, 0)+IF(F6="Yes", E50, 0), "")</f>
        <v>0</v>
      </c>
      <c r="F48" s="617">
        <f>IF(AND(OR(G6="No", ISNUMBER(F49)), OR(F6="No", ISNUMBER(F50))), IF(G6="Yes", F49, 0)+IF(F6="Yes", F50, 0), "")</f>
        <v>0</v>
      </c>
      <c r="G48" s="45"/>
      <c r="H48" s="46"/>
      <c r="O48" s="617">
        <f>IF(AND(OR(G6="No", ISNUMBER(O49)), OR(F6="No", ISNUMBER(O50))), IF(G6="Yes", O49, 0)+IF(F6="Yes", O50, 0), "")</f>
        <v>46564</v>
      </c>
      <c r="P48" s="617">
        <f>IF(AND(OR(G6="No", ISNUMBER(P49)), OR(F6="No", ISNUMBER(P50))), IF(G6="Yes", P49, 0)+IF(F6="Yes", P50, 0), "")</f>
        <v>20786</v>
      </c>
      <c r="Q48" s="617">
        <f>IF(AND(OR(G6="No", ISNUMBER(Q49)), OR(F6="No", ISNUMBER(Q50))), IF(G6="Yes", Q49, 0)+IF(F6="Yes", Q50, 0), "")</f>
        <v>0</v>
      </c>
      <c r="R48" s="617">
        <f>IF(AND(OR(G6="No", ISNUMBER(R49)), OR(F6="No", ISNUMBER(R50))), IF(G6="Yes", R49, 0)+IF(F6="Yes", R50, 0), "")</f>
        <v>0</v>
      </c>
      <c r="S48" s="45"/>
      <c r="T48" s="46"/>
      <c r="U48" s="617">
        <f>IF(AND(OR(G6="No", ISNUMBER(U49)), OR(F6="No", ISNUMBER(U50))), IF(G6="Yes", U49, 0)+IF(F6="Yes", U50, 0), "")</f>
        <v>46564</v>
      </c>
      <c r="V48" s="617">
        <f>IF(AND(OR(G6="No", ISNUMBER(V49)), OR(F6="No", ISNUMBER(V50))), IF(G6="Yes", V49, 0)+IF(F6="Yes", V50, 0), "")</f>
        <v>20786</v>
      </c>
      <c r="W48" s="617">
        <f>IF(AND(OR(G6="No", ISNUMBER(W49)), OR(F6="No", ISNUMBER(W50))), IF(G6="Yes", W49, 0)+IF(F6="Yes", W50, 0), "")</f>
        <v>0</v>
      </c>
      <c r="X48" s="617">
        <f>IF(AND(OR(G6="No", ISNUMBER(X49)), OR(F6="No", ISNUMBER(X50))), IF(G6="Yes", X49, 0)+IF(F6="Yes", X50, 0), "")</f>
        <v>0</v>
      </c>
      <c r="Y48" s="46"/>
      <c r="Z48" s="12"/>
      <c r="AA48" s="1518">
        <f>IF(AND(OR(G6="No", ISNUMBER(AA49)), OR(F6="No", ISNUMBER(AA50))), IF(G6="Yes", AA49, 0)+IF(F6="Yes", AA50, 0), "")</f>
        <v>0</v>
      </c>
      <c r="AB48" s="617">
        <f>IF(AND(OR(G6="No", ISNUMBER(AB49)), OR(F6="No", ISNUMBER(AB50))), IF(G6="Yes", AB49, 0)+IF(F6="Yes", AB50, 0), "")</f>
        <v>0</v>
      </c>
      <c r="AC48" s="617">
        <f>IF(AND(OR(G6="No", ISNUMBER(AC49)), OR(F6="No", ISNUMBER(AC50))), IF(G6="Yes", AC49, 0)+IF(F6="Yes", AC50, 0), "")</f>
        <v>0</v>
      </c>
      <c r="AD48" s="459">
        <f>IF(AND(OR(G6="No", ISNUMBER(AD49)), OR(F6="No", ISNUMBER(AD50))), IF(G6="Yes", AD49, 0)+IF(F6="Yes", AD50, 0), "")</f>
        <v>0</v>
      </c>
      <c r="AE48" s="1522"/>
    </row>
    <row r="49" spans="1:31" ht="15" customHeight="1" x14ac:dyDescent="0.35">
      <c r="B49" s="579" t="s">
        <v>1015</v>
      </c>
      <c r="C49" s="33">
        <v>46564</v>
      </c>
      <c r="D49" s="23">
        <v>20786</v>
      </c>
      <c r="E49" s="23">
        <v>0</v>
      </c>
      <c r="F49" s="23">
        <v>0</v>
      </c>
      <c r="G49" s="452"/>
      <c r="H49" s="16"/>
      <c r="O49" s="23">
        <v>46564</v>
      </c>
      <c r="P49" s="23">
        <v>20786</v>
      </c>
      <c r="Q49" s="23">
        <v>0</v>
      </c>
      <c r="R49" s="23">
        <v>0</v>
      </c>
      <c r="S49" s="452"/>
      <c r="T49" s="16"/>
      <c r="U49" s="23">
        <v>46564</v>
      </c>
      <c r="V49" s="23">
        <v>20786</v>
      </c>
      <c r="W49" s="23">
        <v>0</v>
      </c>
      <c r="X49" s="34">
        <v>0</v>
      </c>
      <c r="Y49" s="16"/>
      <c r="Z49" s="65"/>
      <c r="AA49" s="1020">
        <v>0</v>
      </c>
      <c r="AB49" s="23">
        <v>0</v>
      </c>
      <c r="AC49" s="23">
        <v>0</v>
      </c>
      <c r="AD49" s="34">
        <v>0</v>
      </c>
      <c r="AE49" s="1522"/>
    </row>
    <row r="50" spans="1:31" ht="15" customHeight="1" x14ac:dyDescent="0.35">
      <c r="B50" s="737" t="s">
        <v>1016</v>
      </c>
      <c r="C50" s="371">
        <v>0</v>
      </c>
      <c r="D50" s="29">
        <v>0</v>
      </c>
      <c r="E50" s="29">
        <v>0</v>
      </c>
      <c r="F50" s="29">
        <v>0</v>
      </c>
      <c r="G50" s="453"/>
      <c r="H50" s="16"/>
      <c r="O50" s="29">
        <v>0</v>
      </c>
      <c r="P50" s="29">
        <v>0</v>
      </c>
      <c r="Q50" s="29">
        <v>0</v>
      </c>
      <c r="R50" s="29">
        <v>0</v>
      </c>
      <c r="S50" s="453"/>
      <c r="T50" s="16"/>
      <c r="U50" s="29">
        <v>0</v>
      </c>
      <c r="V50" s="29">
        <v>0</v>
      </c>
      <c r="W50" s="29">
        <v>0</v>
      </c>
      <c r="X50" s="54">
        <v>0</v>
      </c>
      <c r="Y50" s="17"/>
      <c r="Z50" s="83"/>
      <c r="AA50" s="1022">
        <v>0</v>
      </c>
      <c r="AB50" s="29">
        <v>0</v>
      </c>
      <c r="AC50" s="29">
        <v>0</v>
      </c>
      <c r="AD50" s="54">
        <v>0</v>
      </c>
      <c r="AE50" s="1522"/>
    </row>
    <row r="51" spans="1:31" ht="15" customHeight="1" x14ac:dyDescent="0.35">
      <c r="B51" s="742" t="s">
        <v>927</v>
      </c>
      <c r="C51" s="1105">
        <f>IF(AND(ISNUMBER(C21), ISNUMBER(C41)), C21+C41, "")</f>
        <v>163865</v>
      </c>
      <c r="D51" s="719">
        <f>IF(AND(ISNUMBER(D21), ISNUMBER(D41)), D21+D41, "")</f>
        <v>30978</v>
      </c>
      <c r="E51" s="719">
        <f>IF(AND(ISNUMBER(E21), ISNUMBER(E31), ISNUMBER(E41)), E21+E31+E41, "")</f>
        <v>0</v>
      </c>
      <c r="F51" s="719">
        <f t="shared" ref="F51" si="0">IF(AND(ISNUMBER(F21), ISNUMBER(F31), ISNUMBER(F41)), F21+F31+F41, "")</f>
        <v>0</v>
      </c>
      <c r="G51" s="719">
        <f>IF(ISNUMBER(G21), G21, "")</f>
        <v>0</v>
      </c>
      <c r="H51" s="719">
        <f>IF(ISNUMBER(H21), H21, "")</f>
        <v>0</v>
      </c>
      <c r="O51" s="719">
        <f>IF(AND(ISNUMBER(O21), ISNUMBER(O41)), O21+O41, "")</f>
        <v>163865</v>
      </c>
      <c r="P51" s="719">
        <f>IF(AND(ISNUMBER(P21), ISNUMBER(P41)), P21+P41, "")</f>
        <v>30978</v>
      </c>
      <c r="Q51" s="719">
        <f>IF(AND(ISNUMBER(Q21), ISNUMBER(Q31), ISNUMBER(Q41)), Q21+Q31+Q41, "")</f>
        <v>0</v>
      </c>
      <c r="R51" s="719">
        <f t="shared" ref="R51" si="1">IF(AND(ISNUMBER(R21), ISNUMBER(R31), ISNUMBER(R41)), R21+R31+R41, "")</f>
        <v>0</v>
      </c>
      <c r="S51" s="719">
        <f>IF(ISNUMBER(S21), S21, "")</f>
        <v>0</v>
      </c>
      <c r="T51" s="719">
        <f>IF(ISNUMBER(T21), T21, "")</f>
        <v>0</v>
      </c>
      <c r="U51" s="719">
        <f>IF(AND(ISNUMBER(U21), ISNUMBER(U41)), U21+U41, "")</f>
        <v>163865</v>
      </c>
      <c r="V51" s="719">
        <f>IF(AND(ISNUMBER(V21), ISNUMBER(V41)), V21+V41, "")</f>
        <v>30978</v>
      </c>
      <c r="W51" s="719">
        <f>IF(AND(ISNUMBER(W21), ISNUMBER(W31), ISNUMBER(W41)), W21+W31+W41, "")</f>
        <v>0</v>
      </c>
      <c r="X51" s="1106">
        <f t="shared" ref="X51" si="2">IF(AND(ISNUMBER(X21), ISNUMBER(X31), ISNUMBER(X41)), X21+X31+X41, "")</f>
        <v>0</v>
      </c>
      <c r="Y51" s="719">
        <f>IF(ISNUMBER(Y21), Y21, "")</f>
        <v>0</v>
      </c>
      <c r="Z51" s="1106">
        <f>IF(ISNUMBER(Z21), Z21, "")</f>
        <v>0</v>
      </c>
      <c r="AA51" s="1519">
        <f>IF(AND(ISNUMBER(AA21), ISNUMBER(AA31), ISNUMBER(AA41)), AA21+AA31+AA41, "")</f>
        <v>0</v>
      </c>
      <c r="AB51" s="719">
        <f t="shared" ref="AB51" si="3">IF(AND(ISNUMBER(AB21), ISNUMBER(AB31), ISNUMBER(AB41)), AB21+AB31+AB41, "")</f>
        <v>0</v>
      </c>
      <c r="AC51" s="719">
        <f>IF(AND(ISNUMBER(AC21), ISNUMBER(AC31), ISNUMBER(AC41)), AC21+AC31+AC41, "")</f>
        <v>0</v>
      </c>
      <c r="AD51" s="1106">
        <f t="shared" ref="AD51" si="4">IF(AND(ISNUMBER(AD21), ISNUMBER(AD31), ISNUMBER(AD41)), AD21+AD31+AD41, "")</f>
        <v>0</v>
      </c>
      <c r="AE51" s="1522"/>
    </row>
    <row r="52" spans="1:31" ht="30" customHeight="1" x14ac:dyDescent="0.35">
      <c r="B52" s="1109" t="s">
        <v>1021</v>
      </c>
      <c r="C52" s="502">
        <v>0</v>
      </c>
      <c r="D52" s="929">
        <v>0</v>
      </c>
      <c r="E52" s="929">
        <v>0</v>
      </c>
      <c r="F52" s="929">
        <v>0</v>
      </c>
      <c r="G52" s="929">
        <v>0</v>
      </c>
      <c r="H52" s="929">
        <v>0</v>
      </c>
      <c r="I52" s="1397"/>
      <c r="J52" s="1398"/>
      <c r="K52" s="1398"/>
      <c r="L52" s="1398"/>
      <c r="M52" s="1398"/>
      <c r="N52" s="1399"/>
      <c r="O52" s="929">
        <v>0</v>
      </c>
      <c r="P52" s="929">
        <v>0</v>
      </c>
      <c r="Q52" s="929">
        <v>0</v>
      </c>
      <c r="R52" s="929">
        <v>0</v>
      </c>
      <c r="S52" s="929">
        <v>0</v>
      </c>
      <c r="T52" s="929">
        <v>0</v>
      </c>
      <c r="U52" s="1107"/>
      <c r="V52" s="1107"/>
      <c r="W52" s="1107"/>
      <c r="X52" s="1107"/>
      <c r="Y52" s="1107"/>
      <c r="Z52" s="1296"/>
      <c r="AA52" s="1008">
        <v>0</v>
      </c>
      <c r="AB52" s="929">
        <v>0</v>
      </c>
      <c r="AC52" s="1107"/>
      <c r="AD52" s="1296"/>
      <c r="AE52" s="1522"/>
    </row>
    <row r="53" spans="1:31" ht="45" customHeight="1" x14ac:dyDescent="0.35">
      <c r="B53" s="1110" t="s">
        <v>1022</v>
      </c>
      <c r="C53" s="1108"/>
      <c r="D53" s="286"/>
      <c r="E53" s="286"/>
      <c r="F53" s="286"/>
      <c r="G53" s="286"/>
      <c r="H53" s="286"/>
      <c r="I53" s="1397"/>
      <c r="J53" s="1398"/>
      <c r="K53" s="1398"/>
      <c r="L53" s="1398"/>
      <c r="M53" s="1398"/>
      <c r="N53" s="1399"/>
      <c r="O53" s="208">
        <v>0</v>
      </c>
      <c r="P53" s="208">
        <v>0</v>
      </c>
      <c r="Q53" s="208">
        <v>0</v>
      </c>
      <c r="R53" s="208">
        <v>0</v>
      </c>
      <c r="S53" s="208">
        <v>0</v>
      </c>
      <c r="T53" s="208">
        <v>0</v>
      </c>
      <c r="U53" s="286"/>
      <c r="V53" s="286"/>
      <c r="W53" s="286"/>
      <c r="X53" s="286"/>
      <c r="Y53" s="286"/>
      <c r="Z53" s="285"/>
      <c r="AA53" s="1482">
        <v>0</v>
      </c>
      <c r="AB53" s="208">
        <v>0</v>
      </c>
      <c r="AC53" s="286"/>
      <c r="AD53" s="285"/>
      <c r="AE53" s="1522"/>
    </row>
    <row r="54" spans="1:31" ht="15" customHeight="1" x14ac:dyDescent="0.35">
      <c r="B54" s="1110" t="s">
        <v>1023</v>
      </c>
      <c r="C54" s="617">
        <f>IF(AND(ISNUMBER(C55), ISNUMBER(C56)), C55+C56, "")</f>
        <v>101311</v>
      </c>
      <c r="D54" s="375">
        <f t="shared" ref="D54:Z54" si="5">IF(AND(ISNUMBER(D55), ISNUMBER(D56)), D55+D56, "")</f>
        <v>2026</v>
      </c>
      <c r="E54" s="375">
        <f t="shared" si="5"/>
        <v>55656</v>
      </c>
      <c r="F54" s="375">
        <f t="shared" si="5"/>
        <v>1113</v>
      </c>
      <c r="G54" s="375">
        <f t="shared" si="5"/>
        <v>0</v>
      </c>
      <c r="H54" s="375">
        <f t="shared" si="5"/>
        <v>0</v>
      </c>
      <c r="I54" s="1400"/>
      <c r="J54" s="107"/>
      <c r="K54" s="107"/>
      <c r="L54" s="107"/>
      <c r="M54" s="107"/>
      <c r="N54" s="1401"/>
      <c r="O54" s="375">
        <f t="shared" si="5"/>
        <v>101311</v>
      </c>
      <c r="P54" s="375">
        <f t="shared" si="5"/>
        <v>2026</v>
      </c>
      <c r="Q54" s="375">
        <f t="shared" si="5"/>
        <v>55656</v>
      </c>
      <c r="R54" s="375">
        <f t="shared" si="5"/>
        <v>1113</v>
      </c>
      <c r="S54" s="375">
        <f t="shared" si="5"/>
        <v>0</v>
      </c>
      <c r="T54" s="375">
        <f t="shared" si="5"/>
        <v>0</v>
      </c>
      <c r="U54" s="375">
        <f t="shared" si="5"/>
        <v>101311</v>
      </c>
      <c r="V54" s="375">
        <f t="shared" si="5"/>
        <v>2026</v>
      </c>
      <c r="W54" s="375">
        <f t="shared" si="5"/>
        <v>55656</v>
      </c>
      <c r="X54" s="375">
        <f t="shared" si="5"/>
        <v>1113</v>
      </c>
      <c r="Y54" s="375">
        <f t="shared" si="5"/>
        <v>0</v>
      </c>
      <c r="Z54" s="139">
        <f t="shared" si="5"/>
        <v>0</v>
      </c>
      <c r="AA54" s="1518">
        <f t="shared" ref="AA54:AD54" si="6">IF(AND(ISNUMBER(AA55), ISNUMBER(AA56)), AA55+AA56, "")</f>
        <v>55656</v>
      </c>
      <c r="AB54" s="375">
        <f t="shared" si="6"/>
        <v>1113</v>
      </c>
      <c r="AC54" s="375">
        <f t="shared" si="6"/>
        <v>55656</v>
      </c>
      <c r="AD54" s="139">
        <f t="shared" si="6"/>
        <v>1113</v>
      </c>
      <c r="AE54" s="1522"/>
    </row>
    <row r="55" spans="1:31" ht="15" customHeight="1" x14ac:dyDescent="0.35">
      <c r="B55" s="1111" t="s">
        <v>1024</v>
      </c>
      <c r="C55" s="299">
        <v>101311</v>
      </c>
      <c r="D55" s="208">
        <v>2026</v>
      </c>
      <c r="E55" s="208">
        <v>55656</v>
      </c>
      <c r="F55" s="208">
        <v>1113</v>
      </c>
      <c r="G55" s="208">
        <v>0</v>
      </c>
      <c r="H55" s="208">
        <v>0</v>
      </c>
      <c r="I55" s="1397"/>
      <c r="J55" s="1398"/>
      <c r="K55" s="1398"/>
      <c r="L55" s="1398"/>
      <c r="M55" s="1398"/>
      <c r="N55" s="1399"/>
      <c r="O55" s="208">
        <v>101311</v>
      </c>
      <c r="P55" s="208">
        <v>2026</v>
      </c>
      <c r="Q55" s="208">
        <v>55656</v>
      </c>
      <c r="R55" s="208">
        <v>1113</v>
      </c>
      <c r="S55" s="208">
        <v>0</v>
      </c>
      <c r="T55" s="208">
        <v>0</v>
      </c>
      <c r="U55" s="208">
        <v>101311</v>
      </c>
      <c r="V55" s="208">
        <v>2026</v>
      </c>
      <c r="W55" s="208">
        <v>55656</v>
      </c>
      <c r="X55" s="208">
        <v>1113</v>
      </c>
      <c r="Y55" s="208">
        <v>0</v>
      </c>
      <c r="Z55" s="138">
        <v>0</v>
      </c>
      <c r="AA55" s="1482">
        <v>55656</v>
      </c>
      <c r="AB55" s="208">
        <v>1113</v>
      </c>
      <c r="AC55" s="208">
        <v>55656</v>
      </c>
      <c r="AD55" s="138">
        <v>1113</v>
      </c>
      <c r="AE55" s="1522"/>
    </row>
    <row r="56" spans="1:31" ht="15" customHeight="1" x14ac:dyDescent="0.35">
      <c r="B56" s="1112" t="s">
        <v>1025</v>
      </c>
      <c r="C56" s="503">
        <v>0</v>
      </c>
      <c r="D56" s="900">
        <v>0</v>
      </c>
      <c r="E56" s="900">
        <v>0</v>
      </c>
      <c r="F56" s="900">
        <v>0</v>
      </c>
      <c r="G56" s="900">
        <v>0</v>
      </c>
      <c r="H56" s="900">
        <v>0</v>
      </c>
      <c r="I56" s="1397"/>
      <c r="J56" s="1398"/>
      <c r="K56" s="1398"/>
      <c r="L56" s="1398"/>
      <c r="M56" s="1398"/>
      <c r="N56" s="1399"/>
      <c r="O56" s="900">
        <v>0</v>
      </c>
      <c r="P56" s="900">
        <v>0</v>
      </c>
      <c r="Q56" s="900">
        <v>0</v>
      </c>
      <c r="R56" s="900">
        <v>0</v>
      </c>
      <c r="S56" s="900">
        <v>0</v>
      </c>
      <c r="T56" s="900">
        <v>0</v>
      </c>
      <c r="U56" s="900">
        <v>0</v>
      </c>
      <c r="V56" s="900">
        <v>0</v>
      </c>
      <c r="W56" s="900">
        <v>0</v>
      </c>
      <c r="X56" s="900">
        <v>0</v>
      </c>
      <c r="Y56" s="900">
        <v>0</v>
      </c>
      <c r="Z56" s="200">
        <v>0</v>
      </c>
      <c r="AA56" s="1504">
        <v>0</v>
      </c>
      <c r="AB56" s="900">
        <v>0</v>
      </c>
      <c r="AC56" s="900">
        <v>0</v>
      </c>
      <c r="AD56" s="200">
        <v>0</v>
      </c>
      <c r="AE56" s="1522"/>
    </row>
    <row r="57" spans="1:31" ht="15" customHeight="1" x14ac:dyDescent="0.35">
      <c r="A57" s="276"/>
      <c r="B57" s="370"/>
      <c r="C57" s="370"/>
      <c r="D57" s="370"/>
      <c r="E57" s="370"/>
      <c r="F57" s="370"/>
      <c r="G57" s="370"/>
      <c r="H57" s="370"/>
      <c r="I57" s="1201"/>
      <c r="J57" s="1201"/>
      <c r="K57" s="1201"/>
      <c r="L57" s="1201"/>
      <c r="M57" s="1201"/>
      <c r="N57" s="1201"/>
      <c r="O57" s="370"/>
      <c r="P57" s="370"/>
      <c r="Q57" s="370"/>
      <c r="R57" s="370"/>
      <c r="S57" s="370"/>
      <c r="T57" s="370"/>
      <c r="U57" s="370"/>
      <c r="V57" s="370"/>
      <c r="W57" s="370"/>
      <c r="X57" s="370"/>
      <c r="Y57" s="370"/>
      <c r="Z57" s="370"/>
      <c r="AA57" s="1524"/>
      <c r="AB57" s="1524"/>
      <c r="AC57" s="1524"/>
      <c r="AD57" s="1524"/>
      <c r="AE57" s="1523"/>
    </row>
    <row r="58" spans="1:31" ht="15" customHeight="1" x14ac:dyDescent="0.35">
      <c r="A58" s="276"/>
      <c r="B58" s="1199"/>
      <c r="C58" s="1199"/>
      <c r="D58" s="1199"/>
      <c r="E58" s="1199"/>
      <c r="F58" s="1199"/>
      <c r="G58" s="2834" t="s">
        <v>1026</v>
      </c>
      <c r="H58" s="2862"/>
      <c r="I58" s="2862"/>
      <c r="J58" s="2862"/>
      <c r="K58" s="2862"/>
      <c r="L58" s="2862"/>
      <c r="M58" s="2862"/>
      <c r="N58" s="2862"/>
      <c r="O58" s="2862"/>
      <c r="P58" s="2862"/>
      <c r="Q58" s="2862"/>
      <c r="R58" s="370"/>
      <c r="S58" s="370"/>
      <c r="T58" s="370"/>
      <c r="U58" s="370"/>
      <c r="V58" s="370"/>
      <c r="W58" s="370"/>
      <c r="X58" s="370"/>
      <c r="Y58" s="370"/>
      <c r="Z58" s="370"/>
      <c r="AA58" s="1524"/>
      <c r="AB58" s="1524"/>
      <c r="AC58" s="1524"/>
      <c r="AD58" s="1524"/>
      <c r="AE58" s="1523"/>
    </row>
    <row r="59" spans="1:31" ht="15" customHeight="1" x14ac:dyDescent="0.35">
      <c r="B59" s="2894" t="s">
        <v>1027</v>
      </c>
      <c r="C59" s="2894"/>
      <c r="D59" s="2894"/>
      <c r="E59" s="1329">
        <v>12454</v>
      </c>
      <c r="F59" s="1334"/>
      <c r="G59" s="1298"/>
      <c r="H59" s="1334"/>
      <c r="I59" s="1334"/>
      <c r="J59" s="1334"/>
      <c r="K59" s="1334"/>
      <c r="L59" s="1334"/>
      <c r="M59" s="1334"/>
      <c r="N59" s="1334"/>
      <c r="O59" s="1334"/>
      <c r="P59" s="1334"/>
      <c r="Q59" s="1334"/>
      <c r="R59" s="370"/>
      <c r="S59" s="370"/>
      <c r="T59" s="370"/>
      <c r="U59" s="370"/>
      <c r="V59" s="370"/>
      <c r="W59" s="370"/>
      <c r="X59" s="370"/>
      <c r="Y59" s="370"/>
      <c r="Z59" s="370"/>
      <c r="AA59" s="1524"/>
      <c r="AB59" s="1524"/>
      <c r="AC59" s="1524"/>
      <c r="AD59" s="1524"/>
      <c r="AE59" s="1523"/>
    </row>
    <row r="60" spans="1:31" ht="15" customHeight="1" x14ac:dyDescent="0.35">
      <c r="B60" s="2893" t="s">
        <v>1028</v>
      </c>
      <c r="C60" s="2893"/>
      <c r="D60" s="2893"/>
      <c r="E60" s="1330">
        <v>4670</v>
      </c>
      <c r="F60" s="1340"/>
      <c r="G60" s="1207"/>
      <c r="H60" s="1340"/>
      <c r="I60" s="1340"/>
      <c r="J60" s="1340"/>
      <c r="K60" s="1340"/>
      <c r="L60" s="1340"/>
      <c r="M60" s="1340"/>
      <c r="N60" s="1340"/>
      <c r="O60" s="1340"/>
      <c r="P60" s="1340"/>
      <c r="Q60" s="1340"/>
      <c r="R60" s="370"/>
      <c r="S60" s="370"/>
      <c r="T60" s="370"/>
      <c r="U60" s="370"/>
      <c r="V60" s="370"/>
      <c r="W60" s="370"/>
      <c r="X60" s="370"/>
      <c r="Y60" s="370"/>
      <c r="Z60" s="370"/>
      <c r="AA60" s="1524"/>
      <c r="AB60" s="1524"/>
      <c r="AC60" s="1524"/>
      <c r="AD60" s="1524"/>
      <c r="AE60" s="1523"/>
    </row>
    <row r="61" spans="1:31" ht="15" customHeight="1" x14ac:dyDescent="0.35">
      <c r="B61" s="2893" t="s">
        <v>1029</v>
      </c>
      <c r="C61" s="2893"/>
      <c r="D61" s="2893"/>
      <c r="E61" s="1331">
        <v>0</v>
      </c>
      <c r="F61" s="1340"/>
      <c r="G61" s="1207"/>
      <c r="H61" s="1340"/>
      <c r="I61" s="1340"/>
      <c r="J61" s="1340"/>
      <c r="K61" s="1340"/>
      <c r="L61" s="1340"/>
      <c r="M61" s="1340"/>
      <c r="N61" s="1340"/>
      <c r="O61" s="1340"/>
      <c r="P61" s="1340"/>
      <c r="Q61" s="1340"/>
      <c r="R61" s="370"/>
      <c r="S61" s="370"/>
      <c r="T61" s="370"/>
      <c r="U61" s="370"/>
      <c r="V61" s="370"/>
      <c r="W61" s="370"/>
      <c r="X61" s="370"/>
      <c r="Y61" s="370"/>
      <c r="Z61" s="370"/>
      <c r="AA61" s="1524"/>
      <c r="AB61" s="1524"/>
      <c r="AC61" s="1524"/>
      <c r="AD61" s="1524"/>
      <c r="AE61" s="1523"/>
    </row>
    <row r="62" spans="1:31" ht="45" customHeight="1" x14ac:dyDescent="0.35">
      <c r="B62" s="2893" t="s">
        <v>1030</v>
      </c>
      <c r="C62" s="2893"/>
      <c r="D62" s="2893"/>
      <c r="E62" s="2886" t="s">
        <v>2030</v>
      </c>
      <c r="F62" s="2886"/>
      <c r="G62" s="2887"/>
      <c r="H62" s="2888"/>
      <c r="I62" s="2888"/>
      <c r="J62" s="2888"/>
      <c r="K62" s="2888"/>
      <c r="L62" s="2888"/>
      <c r="M62" s="2888"/>
      <c r="N62" s="2888"/>
      <c r="O62" s="2888"/>
      <c r="P62" s="2888"/>
      <c r="Q62" s="2888"/>
      <c r="R62" s="370"/>
      <c r="S62" s="370"/>
      <c r="T62" s="370"/>
      <c r="U62" s="370"/>
      <c r="V62" s="370"/>
      <c r="W62" s="370"/>
      <c r="X62" s="370"/>
      <c r="Y62" s="370"/>
      <c r="Z62" s="370"/>
      <c r="AA62" s="1524"/>
      <c r="AB62" s="1524"/>
      <c r="AC62" s="1524"/>
      <c r="AD62" s="1524"/>
      <c r="AE62" s="1523"/>
    </row>
    <row r="63" spans="1:31" ht="45" customHeight="1" x14ac:dyDescent="0.35">
      <c r="A63" s="276"/>
      <c r="B63" s="2878" t="str">
        <f>"If yes to the question above, to which extent is the use of the cap of the maturity adjustment factor at 1 year already reflected in the numbers reported in rows " &amp; ROW(B21) &amp; " to " &amp; ROW(B51) &amp; " of this panel under the revised framework (columns P, R and S)? Estimate the share of RWA from netting sets for which the maturity adjustment factor is capped at 1 year relative to the total CCR RWA."</f>
        <v>If yes to the question above, to which extent is the use of the cap of the maturity adjustment factor at 1 year already reflected in the numbers reported in rows 21 to 51 of this panel under the revised framework (columns P, R and S)? Estimate the share of RWA from netting sets for which the maturity adjustment factor is capped at 1 year relative to the total CCR RWA.</v>
      </c>
      <c r="C63" s="2878"/>
      <c r="D63" s="2878"/>
      <c r="E63" s="2885"/>
      <c r="F63" s="2885"/>
      <c r="G63" s="2889"/>
      <c r="H63" s="2890"/>
      <c r="I63" s="2890"/>
      <c r="J63" s="2890"/>
      <c r="K63" s="2890"/>
      <c r="L63" s="2890"/>
      <c r="M63" s="2890"/>
      <c r="N63" s="2890"/>
      <c r="O63" s="2890"/>
      <c r="P63" s="2890"/>
      <c r="Q63" s="2890"/>
      <c r="R63" s="370"/>
      <c r="S63" s="370"/>
      <c r="T63" s="370"/>
      <c r="U63" s="370"/>
      <c r="V63" s="370"/>
      <c r="W63" s="370"/>
      <c r="X63" s="370"/>
      <c r="Y63" s="370"/>
      <c r="Z63" s="370"/>
      <c r="AA63" s="1524"/>
      <c r="AB63" s="1524"/>
      <c r="AC63" s="1524"/>
      <c r="AD63" s="1524"/>
      <c r="AE63" s="1523"/>
    </row>
    <row r="64" spans="1:31" ht="15" hidden="1" customHeight="1" x14ac:dyDescent="0.35">
      <c r="A64" s="276"/>
      <c r="B64" s="370"/>
      <c r="C64" s="370"/>
      <c r="D64" s="370"/>
      <c r="E64" s="370"/>
      <c r="F64" s="370"/>
      <c r="G64" s="370"/>
      <c r="H64" s="370"/>
      <c r="I64" s="370"/>
      <c r="J64" s="370"/>
      <c r="K64" s="370"/>
      <c r="L64" s="370"/>
      <c r="M64" s="370"/>
      <c r="N64" s="370"/>
      <c r="O64" s="370"/>
      <c r="P64" s="370"/>
      <c r="Q64" s="370"/>
      <c r="R64" s="370"/>
      <c r="S64" s="370"/>
      <c r="T64" s="370"/>
      <c r="U64" s="370"/>
      <c r="V64" s="370"/>
      <c r="W64" s="370"/>
      <c r="X64" s="370"/>
      <c r="Y64" s="370"/>
      <c r="Z64" s="370"/>
      <c r="AA64" s="1524"/>
      <c r="AB64" s="1524"/>
      <c r="AC64" s="1524"/>
      <c r="AD64" s="1524"/>
      <c r="AE64" s="1523"/>
    </row>
    <row r="65" spans="1:31" ht="15" hidden="1" customHeight="1" x14ac:dyDescent="0.35">
      <c r="A65" s="276"/>
      <c r="B65" s="370"/>
      <c r="C65" s="370"/>
      <c r="D65" s="370"/>
      <c r="E65" s="370"/>
      <c r="F65" s="370"/>
      <c r="G65" s="370"/>
      <c r="H65" s="370"/>
      <c r="I65" s="370"/>
      <c r="J65" s="370"/>
      <c r="K65" s="370"/>
      <c r="L65" s="370"/>
      <c r="M65" s="370"/>
      <c r="N65" s="370"/>
      <c r="O65" s="370"/>
      <c r="P65" s="370"/>
      <c r="Q65" s="370"/>
      <c r="R65" s="370"/>
      <c r="S65" s="370"/>
      <c r="T65" s="370"/>
      <c r="U65" s="370"/>
      <c r="V65" s="370"/>
      <c r="W65" s="370"/>
      <c r="X65" s="370"/>
      <c r="Y65" s="370"/>
      <c r="Z65" s="370"/>
      <c r="AA65" s="1524"/>
      <c r="AB65" s="1524"/>
      <c r="AC65" s="1524"/>
      <c r="AD65" s="1524"/>
      <c r="AE65" s="1523"/>
    </row>
    <row r="66" spans="1:31" ht="15" hidden="1" customHeight="1" x14ac:dyDescent="0.35">
      <c r="A66" s="276"/>
      <c r="B66" s="370"/>
      <c r="C66" s="370"/>
      <c r="D66" s="370"/>
      <c r="E66" s="370"/>
      <c r="F66" s="370"/>
      <c r="G66" s="370"/>
      <c r="H66" s="370"/>
      <c r="I66" s="370"/>
      <c r="J66" s="370"/>
      <c r="K66" s="370"/>
      <c r="L66" s="370"/>
      <c r="M66" s="370"/>
      <c r="N66" s="370"/>
      <c r="O66" s="370"/>
      <c r="P66" s="370"/>
      <c r="Q66" s="370"/>
      <c r="R66" s="370"/>
      <c r="S66" s="370"/>
      <c r="T66" s="370"/>
      <c r="U66" s="370"/>
      <c r="V66" s="370"/>
      <c r="W66" s="370"/>
      <c r="X66" s="370"/>
      <c r="Y66" s="370"/>
      <c r="Z66" s="370"/>
      <c r="AA66" s="1524"/>
      <c r="AB66" s="1524"/>
      <c r="AC66" s="1524"/>
      <c r="AD66" s="1524"/>
      <c r="AE66" s="1523"/>
    </row>
    <row r="67" spans="1:31" ht="15" hidden="1" customHeight="1" x14ac:dyDescent="0.35">
      <c r="A67" s="276"/>
      <c r="B67" s="370"/>
      <c r="C67" s="370"/>
      <c r="D67" s="370"/>
      <c r="E67" s="370"/>
      <c r="F67" s="370"/>
      <c r="G67" s="370"/>
      <c r="H67" s="370"/>
      <c r="I67" s="370"/>
      <c r="J67" s="370"/>
      <c r="K67" s="370"/>
      <c r="L67" s="370"/>
      <c r="M67" s="370"/>
      <c r="N67" s="370"/>
      <c r="O67" s="370"/>
      <c r="P67" s="370"/>
      <c r="Q67" s="370"/>
      <c r="R67" s="370"/>
      <c r="S67" s="370"/>
      <c r="T67" s="370"/>
      <c r="U67" s="370"/>
      <c r="V67" s="370"/>
      <c r="W67" s="370"/>
      <c r="X67" s="370"/>
      <c r="Y67" s="370"/>
      <c r="Z67" s="370"/>
      <c r="AA67" s="1524"/>
      <c r="AB67" s="1524"/>
      <c r="AC67" s="1524"/>
      <c r="AD67" s="1524"/>
      <c r="AE67" s="1523"/>
    </row>
    <row r="68" spans="1:31" ht="15" hidden="1" customHeight="1" x14ac:dyDescent="0.35">
      <c r="A68" s="276"/>
      <c r="B68" s="370"/>
      <c r="C68" s="370"/>
      <c r="D68" s="370"/>
      <c r="E68" s="370"/>
      <c r="F68" s="370"/>
      <c r="G68" s="370"/>
      <c r="H68" s="370"/>
      <c r="I68" s="370"/>
      <c r="J68" s="370"/>
      <c r="K68" s="370"/>
      <c r="L68" s="370"/>
      <c r="M68" s="370"/>
      <c r="N68" s="370"/>
      <c r="O68" s="370"/>
      <c r="P68" s="370"/>
      <c r="Q68" s="370"/>
      <c r="R68" s="370"/>
      <c r="S68" s="370"/>
      <c r="T68" s="370"/>
      <c r="U68" s="370"/>
      <c r="V68" s="370"/>
      <c r="W68" s="370"/>
      <c r="X68" s="370"/>
      <c r="Y68" s="370"/>
      <c r="Z68" s="370"/>
      <c r="AA68" s="1524"/>
      <c r="AB68" s="1524"/>
      <c r="AC68" s="1524"/>
      <c r="AD68" s="1524"/>
      <c r="AE68" s="1523"/>
    </row>
    <row r="69" spans="1:31" ht="15" customHeight="1" x14ac:dyDescent="0.35">
      <c r="A69" s="1200"/>
      <c r="B69" s="1201"/>
      <c r="C69" s="1201"/>
      <c r="D69" s="1201"/>
      <c r="E69" s="1201"/>
      <c r="F69" s="1201"/>
      <c r="G69" s="1201"/>
      <c r="H69" s="1201"/>
      <c r="I69" s="1201"/>
      <c r="J69" s="1201"/>
      <c r="K69" s="1201"/>
      <c r="L69" s="1201"/>
      <c r="M69" s="1201"/>
      <c r="N69" s="1201"/>
      <c r="O69" s="1201"/>
      <c r="P69" s="1201"/>
      <c r="Q69" s="1201"/>
      <c r="R69" s="1201"/>
      <c r="S69" s="1201"/>
      <c r="T69" s="1201"/>
      <c r="U69" s="1201"/>
      <c r="V69" s="1201"/>
      <c r="W69" s="1201"/>
      <c r="X69" s="1201"/>
      <c r="Y69" s="1201"/>
      <c r="Z69" s="1201"/>
      <c r="AA69" s="1525"/>
      <c r="AB69" s="1525"/>
      <c r="AC69" s="1525"/>
      <c r="AD69" s="1525"/>
      <c r="AE69" s="1526"/>
    </row>
    <row r="70" spans="1:31" ht="45" customHeight="1" x14ac:dyDescent="0.35">
      <c r="A70" s="260" t="s">
        <v>1031</v>
      </c>
      <c r="B70" s="312"/>
      <c r="AE70" s="279"/>
    </row>
    <row r="71" spans="1:31" ht="75" customHeight="1" x14ac:dyDescent="0.35">
      <c r="B71" s="2892" t="s">
        <v>1032</v>
      </c>
      <c r="C71" s="2892"/>
      <c r="D71" s="2892"/>
      <c r="E71" s="1508"/>
      <c r="F71" s="1508"/>
      <c r="AE71" s="279"/>
    </row>
    <row r="72" spans="1:31" ht="45" customHeight="1" x14ac:dyDescent="0.35">
      <c r="A72" s="260" t="s">
        <v>1033</v>
      </c>
      <c r="B72" s="312"/>
      <c r="C72" s="1185"/>
      <c r="D72" s="1185"/>
      <c r="AE72" s="279"/>
    </row>
    <row r="73" spans="1:31" ht="15" customHeight="1" x14ac:dyDescent="0.35">
      <c r="A73" s="276"/>
      <c r="B73" s="497" t="s">
        <v>1034</v>
      </c>
      <c r="C73" s="2879">
        <v>4333514</v>
      </c>
      <c r="D73" s="2880"/>
      <c r="E73" s="1285" t="s">
        <v>1035</v>
      </c>
      <c r="F73" s="1202"/>
      <c r="G73" s="552" t="s">
        <v>18</v>
      </c>
      <c r="H73" s="370"/>
      <c r="I73" s="370"/>
      <c r="J73" s="370"/>
      <c r="K73" s="370"/>
      <c r="L73" s="370"/>
      <c r="M73" s="370"/>
      <c r="N73" s="370"/>
      <c r="O73" s="370"/>
      <c r="P73" s="370"/>
      <c r="Q73" s="370"/>
      <c r="R73" s="370"/>
      <c r="S73" s="370"/>
      <c r="T73" s="370"/>
      <c r="U73" s="370"/>
      <c r="V73" s="370"/>
      <c r="W73" s="370"/>
      <c r="X73" s="370"/>
      <c r="Y73" s="370"/>
      <c r="Z73" s="370"/>
      <c r="AA73" s="370"/>
      <c r="AB73" s="370"/>
      <c r="AC73" s="370"/>
      <c r="AD73" s="370"/>
      <c r="AE73" s="946"/>
    </row>
    <row r="74" spans="1:31" ht="15" customHeight="1" x14ac:dyDescent="0.35">
      <c r="A74" s="276"/>
      <c r="B74" s="1140" t="s">
        <v>1036</v>
      </c>
      <c r="C74" s="2881" t="str">
        <f>IF(OR(ISBLANK(C73), ISBLANK('Supervisory information'!D15)), IF(AND(ISBLANK(C73), G73="Yes"), "Fill in cell above", ""), IF(C73*'Supervisory information'!D15&lt;=100000000000, "Yes", "No"))</f>
        <v>Yes</v>
      </c>
      <c r="D74" s="2882"/>
      <c r="E74" s="198" t="s">
        <v>1037</v>
      </c>
      <c r="F74" s="1203"/>
      <c r="G74" s="1001" t="str">
        <f>IF(OR(ISBLANK(G73), ISBLANK(C74), C74=""), IF(C74="No", "No", IF(ISNUMBER(C73), "Fill in cell above", IF(C73="", "No", ""))), IF(AND(C74="Yes", G73="Yes"), "Yes", "No"))</f>
        <v>Yes</v>
      </c>
      <c r="H74" s="370"/>
      <c r="I74" s="370"/>
      <c r="J74" s="370"/>
      <c r="K74" s="370"/>
      <c r="L74" s="370"/>
      <c r="M74" s="370"/>
      <c r="N74" s="370"/>
      <c r="O74" s="370"/>
      <c r="P74" s="370"/>
      <c r="Q74" s="370"/>
      <c r="R74" s="370"/>
      <c r="S74" s="370"/>
      <c r="T74" s="370"/>
      <c r="U74" s="370"/>
      <c r="V74" s="370"/>
      <c r="W74" s="370"/>
      <c r="X74" s="370"/>
      <c r="Y74" s="370"/>
      <c r="Z74" s="370"/>
      <c r="AA74" s="370"/>
      <c r="AB74" s="370"/>
      <c r="AC74" s="370"/>
      <c r="AD74" s="370"/>
      <c r="AE74" s="946"/>
    </row>
    <row r="75" spans="1:31" ht="45" customHeight="1" x14ac:dyDescent="0.35">
      <c r="A75" s="260" t="s">
        <v>1038</v>
      </c>
      <c r="B75" s="312"/>
      <c r="AE75" s="279"/>
    </row>
    <row r="76" spans="1:31" ht="120" customHeight="1" x14ac:dyDescent="0.35">
      <c r="A76" s="265"/>
      <c r="B76" s="1205"/>
      <c r="C76" s="1507" t="s">
        <v>1039</v>
      </c>
      <c r="D76" s="1116" t="s">
        <v>1040</v>
      </c>
      <c r="E76" s="899" t="str">
        <f>"Check: Col C will be ignored if flags on General Info rows " &amp; ROW('General Info'!$C$38) &amp; " and " &amp; ROW('General Info'!$C$39) &amp; " are set to 'No', respectively"</f>
        <v>Check: Col C will be ignored if flags on General Info rows 38 and 39 are set to 'No', respectively</v>
      </c>
      <c r="F76" s="899" t="str">
        <f>"Check: Col C will be ignored if flags on General Info rows " &amp; ROW('General Info'!$C$38) &amp; " and " &amp; ROW('General Info'!$C$39) &amp; " are set to 'No', respectively"</f>
        <v>Check: Col C will be ignored if flags on General Info rows 38 and 39 are set to 'No', respectively</v>
      </c>
      <c r="G76" s="899" t="str">
        <f>"Check: Col C Total not calculated due to missing flags in General Info rows " &amp; ROW('General Info'!$C$38) &amp; " and " &amp; ROW('General Info'!$C$39)</f>
        <v>Check: Col C Total not calculated due to missing flags in General Info rows 38 and 39</v>
      </c>
      <c r="H76" s="899" t="str">
        <f>"Check: Col D Total not calculated due to missing flags in General Info rows " &amp; ROW('General Info'!$C$38) &amp; " and " &amp; ROW('General Info'!$C$39)</f>
        <v>Check: Col D Total not calculated due to missing flags in General Info rows 38 and 39</v>
      </c>
      <c r="I76" s="370"/>
      <c r="J76" s="370"/>
      <c r="K76" s="370"/>
      <c r="L76" s="370"/>
      <c r="M76" s="370"/>
      <c r="N76" s="370"/>
      <c r="P76" s="370"/>
      <c r="Q76" s="370"/>
      <c r="R76" s="370"/>
      <c r="S76" s="370"/>
      <c r="T76" s="370"/>
      <c r="U76" s="370"/>
      <c r="V76" s="370"/>
      <c r="W76" s="370"/>
      <c r="X76" s="370"/>
      <c r="Y76" s="370"/>
      <c r="Z76" s="370"/>
      <c r="AA76" s="370"/>
      <c r="AB76" s="370"/>
      <c r="AC76" s="370"/>
      <c r="AD76" s="370"/>
      <c r="AE76" s="946"/>
    </row>
    <row r="77" spans="1:31" ht="15" customHeight="1" x14ac:dyDescent="0.35">
      <c r="A77" s="276"/>
      <c r="B77" s="497" t="s">
        <v>1041</v>
      </c>
      <c r="C77" s="496">
        <v>0</v>
      </c>
      <c r="D77" s="1297">
        <v>0</v>
      </c>
      <c r="E77" s="489" t="str">
        <f>IF('General Info'!$C38="No", IF(C77="", "", IF(C77=0, "Pass", "Fail")), IF('General Info'!$C38="Yes", IF(AND(ISNUMBER(C77), C77&gt;=0), "Pass", "Fail"), ""))</f>
        <v>Pass</v>
      </c>
      <c r="F77" s="489" t="str">
        <f>IF('General Info'!$C38="No", IF(D77="", "", IF(D77=0, "", "Fail")), IF('General Info'!$C38="Yes", IF(AND(ISNUMBER(D77), D77&gt;=0), "Pass", ""), ""))</f>
        <v/>
      </c>
      <c r="G77" s="1298"/>
      <c r="H77" s="1298"/>
      <c r="I77" s="1206"/>
      <c r="J77" s="1206"/>
      <c r="K77" s="1206"/>
      <c r="L77" s="1206"/>
      <c r="M77" s="1206"/>
      <c r="N77" s="1206"/>
      <c r="P77" s="370"/>
      <c r="Q77" s="370"/>
      <c r="R77" s="370"/>
      <c r="S77" s="370"/>
      <c r="T77" s="370"/>
      <c r="U77" s="370"/>
      <c r="V77" s="370"/>
      <c r="W77" s="370"/>
      <c r="X77" s="370"/>
      <c r="Y77" s="370"/>
      <c r="Z77" s="370"/>
      <c r="AA77" s="370"/>
      <c r="AB77" s="370"/>
      <c r="AC77" s="370"/>
      <c r="AD77" s="370"/>
      <c r="AE77" s="946"/>
    </row>
    <row r="78" spans="1:31" ht="15" customHeight="1" x14ac:dyDescent="0.35">
      <c r="A78" s="276"/>
      <c r="B78" s="158" t="s">
        <v>86</v>
      </c>
      <c r="C78" s="458">
        <v>668</v>
      </c>
      <c r="D78" s="690">
        <v>668</v>
      </c>
      <c r="E78" s="352" t="str">
        <f>IF('General Info'!$C39="No", IF(C78="", "", IF(C78=0, "Pass", "Fail")), IF('General Info'!$C39="Yes", IF(AND(ISNUMBER(C78),C78&gt;=0), "Pass", "Fail"), ""))</f>
        <v>Pass</v>
      </c>
      <c r="F78" s="352" t="str">
        <f>IF('General Info'!$C39="No", IF(D78="", "", IF(D78=0, "", "Fail")), IF('General Info'!$C39="Yes", IF(AND(ISNUMBER(D78), D78&gt;=0), "Pass", ""), ""))</f>
        <v>Pass</v>
      </c>
      <c r="G78" s="1207"/>
      <c r="H78" s="1207"/>
      <c r="I78" s="1208"/>
      <c r="J78" s="1208"/>
      <c r="K78" s="1208"/>
      <c r="L78" s="1208"/>
      <c r="M78" s="1208"/>
      <c r="N78" s="1208"/>
      <c r="P78" s="370"/>
      <c r="Q78" s="370"/>
      <c r="R78" s="370"/>
      <c r="S78" s="370"/>
      <c r="T78" s="370"/>
      <c r="U78" s="370"/>
      <c r="V78" s="370"/>
      <c r="W78" s="370"/>
      <c r="X78" s="370"/>
      <c r="Y78" s="370"/>
      <c r="Z78" s="370"/>
      <c r="AA78" s="370"/>
      <c r="AB78" s="370"/>
      <c r="AC78" s="370"/>
      <c r="AD78" s="370"/>
      <c r="AE78" s="946"/>
    </row>
    <row r="79" spans="1:31" ht="15" customHeight="1" x14ac:dyDescent="0.35">
      <c r="A79" s="276"/>
      <c r="B79" s="647" t="s">
        <v>59</v>
      </c>
      <c r="C79" s="671">
        <f>IF(AND('General Info'!C38="Yes",'General Info'!C39="Yes"),IF(AND(ISNUMBER(C77),ISNUMBER(C78)),C77+C78,""),IF(AND('General Info'!C38="Yes",'General Info'!C39="No"),IF(ISNUMBER(C77),C77,""),IF(AND('General Info'!C39="Yes",'General Info'!C38="No"),IF(ISNUMBER(C78),C78,""),"")))</f>
        <v>668</v>
      </c>
      <c r="D79" s="633">
        <f>IF(AND('General Info'!C38="Yes",'General Info'!C39="Yes"),IF(AND(ISNUMBER(D77),ISNUMBER(D78)),D77+D78,""),IF(AND('General Info'!C38="Yes",'General Info'!C39="No"),IF(ISNUMBER(D77),D77,""),IF(AND('General Info'!C39="Yes",'General Info'!C38="No"),IF(ISNUMBER(D78),D78,""),"")))</f>
        <v>668</v>
      </c>
      <c r="E79" s="1209"/>
      <c r="F79" s="1209"/>
      <c r="G79" s="354" t="str">
        <f>IF(AND(OR(ISBLANK('General Info'!C38),ISBLANK('General Info'!C39)),OR(C77&lt;&gt;"",C78&lt;&gt;"")),"Fail","")</f>
        <v/>
      </c>
      <c r="H79" s="353" t="str">
        <f>IF(AND(OR(ISBLANK('General Info'!C38),ISBLANK('General Info'!C39)),OR(D77&lt;&gt;"",D78&lt;&gt;"")),"Fail","")</f>
        <v/>
      </c>
      <c r="I79" s="1210"/>
      <c r="J79" s="1210"/>
      <c r="K79" s="1210"/>
      <c r="L79" s="1210"/>
      <c r="M79" s="1210"/>
      <c r="N79" s="1210"/>
      <c r="P79" s="370"/>
      <c r="Q79" s="370"/>
      <c r="R79" s="370"/>
      <c r="S79" s="370"/>
      <c r="T79" s="370"/>
      <c r="U79" s="370"/>
      <c r="V79" s="370"/>
      <c r="W79" s="370"/>
      <c r="X79" s="370"/>
      <c r="Y79" s="370"/>
      <c r="Z79" s="370"/>
      <c r="AA79" s="370"/>
      <c r="AB79" s="370"/>
      <c r="AC79" s="370"/>
      <c r="AD79" s="370"/>
      <c r="AE79" s="946"/>
    </row>
    <row r="80" spans="1:31" ht="45" customHeight="1" x14ac:dyDescent="0.35">
      <c r="A80" s="260" t="s">
        <v>1042</v>
      </c>
      <c r="B80" s="312"/>
      <c r="AE80" s="279"/>
    </row>
    <row r="81" spans="1:31" ht="30" customHeight="1" x14ac:dyDescent="0.35">
      <c r="A81" s="1211" t="s">
        <v>1043</v>
      </c>
      <c r="B81" s="1212"/>
      <c r="C81" s="1213"/>
      <c r="D81" s="1213"/>
      <c r="E81" s="1213"/>
      <c r="F81" s="1213"/>
      <c r="G81" s="1213"/>
      <c r="H81" s="1213"/>
      <c r="I81" s="1213"/>
      <c r="J81" s="1213"/>
      <c r="K81" s="1213"/>
      <c r="L81" s="1213"/>
      <c r="M81" s="1213"/>
      <c r="N81" s="1213"/>
      <c r="O81" s="1213"/>
      <c r="P81" s="1213"/>
      <c r="Q81" s="1213"/>
      <c r="R81" s="1213"/>
      <c r="S81" s="1213"/>
      <c r="T81" s="1213"/>
      <c r="U81" s="1213"/>
      <c r="V81" s="1213"/>
      <c r="W81" s="1213"/>
      <c r="X81" s="1213"/>
      <c r="Y81" s="1213"/>
      <c r="Z81" s="1213"/>
      <c r="AA81" s="1213"/>
      <c r="AB81" s="1213"/>
      <c r="AC81" s="1213"/>
      <c r="AD81" s="1213"/>
      <c r="AE81" s="1517"/>
    </row>
    <row r="82" spans="1:31" ht="45" customHeight="1" x14ac:dyDescent="0.35">
      <c r="A82" s="265"/>
      <c r="B82" s="1205"/>
      <c r="C82" s="1507" t="s">
        <v>1039</v>
      </c>
      <c r="D82" s="1116" t="s">
        <v>1040</v>
      </c>
      <c r="E82" s="899" t="s">
        <v>1044</v>
      </c>
      <c r="F82" s="370"/>
      <c r="G82" s="370"/>
      <c r="H82" s="370"/>
      <c r="I82" s="370"/>
      <c r="J82" s="370"/>
      <c r="K82" s="370"/>
      <c r="L82" s="370"/>
      <c r="M82" s="370"/>
      <c r="N82" s="370"/>
      <c r="O82" s="370"/>
      <c r="P82" s="370"/>
      <c r="Q82" s="370"/>
      <c r="R82" s="370"/>
      <c r="S82" s="370"/>
      <c r="T82" s="370"/>
      <c r="U82" s="370"/>
      <c r="V82" s="370"/>
      <c r="W82" s="370"/>
      <c r="X82" s="370"/>
      <c r="Y82" s="370"/>
      <c r="Z82" s="370"/>
      <c r="AA82" s="370"/>
      <c r="AB82" s="370"/>
      <c r="AC82" s="370"/>
      <c r="AD82" s="370"/>
      <c r="AE82" s="946"/>
    </row>
    <row r="83" spans="1:31" ht="15" customHeight="1" x14ac:dyDescent="0.35">
      <c r="A83" s="276"/>
      <c r="B83" s="744" t="s">
        <v>1045</v>
      </c>
      <c r="C83" s="745"/>
      <c r="D83" s="1214"/>
      <c r="E83" s="853" t="str">
        <f>IF($G$9="Yes", IF(ISNUMBER(C83), "Pass", "Fail"), IF(ISNUMBER(C83), "Fail", "Pass"))</f>
        <v>Pass</v>
      </c>
      <c r="F83" s="370"/>
      <c r="G83" s="370"/>
      <c r="H83" s="370"/>
      <c r="I83" s="370"/>
      <c r="J83" s="370"/>
      <c r="K83" s="370"/>
      <c r="L83" s="370"/>
      <c r="M83" s="370"/>
      <c r="N83" s="370"/>
      <c r="O83" s="370"/>
      <c r="P83" s="370"/>
      <c r="Q83" s="370"/>
      <c r="R83" s="370"/>
      <c r="S83" s="370"/>
      <c r="T83" s="370"/>
      <c r="U83" s="370"/>
      <c r="V83" s="370"/>
      <c r="W83" s="370"/>
      <c r="X83" s="370"/>
      <c r="Y83" s="370"/>
      <c r="Z83" s="370"/>
      <c r="AA83" s="370"/>
      <c r="AB83" s="370"/>
      <c r="AC83" s="370"/>
      <c r="AD83" s="370"/>
      <c r="AE83" s="946"/>
    </row>
    <row r="84" spans="1:31" ht="45" customHeight="1" x14ac:dyDescent="0.35">
      <c r="A84" s="260" t="s">
        <v>1046</v>
      </c>
      <c r="B84" s="1215"/>
      <c r="C84" s="370"/>
      <c r="D84" s="370"/>
      <c r="E84" s="370"/>
      <c r="F84" s="370"/>
      <c r="G84" s="370"/>
      <c r="H84" s="370"/>
      <c r="I84" s="370"/>
      <c r="J84" s="370"/>
      <c r="K84" s="370"/>
      <c r="L84" s="370"/>
      <c r="M84" s="370"/>
      <c r="N84" s="370"/>
      <c r="O84" s="370"/>
      <c r="P84" s="370"/>
      <c r="Q84" s="370"/>
      <c r="R84" s="370"/>
      <c r="S84" s="370"/>
      <c r="T84" s="370"/>
      <c r="U84" s="370"/>
      <c r="V84" s="370"/>
      <c r="W84" s="370"/>
      <c r="X84" s="370"/>
      <c r="Y84" s="370"/>
      <c r="Z84" s="370"/>
      <c r="AA84" s="370"/>
      <c r="AB84" s="370"/>
      <c r="AC84" s="370"/>
      <c r="AD84" s="370"/>
      <c r="AE84" s="946"/>
    </row>
    <row r="85" spans="1:31" ht="90" customHeight="1" x14ac:dyDescent="0.35">
      <c r="A85" s="265"/>
      <c r="B85" s="1205"/>
      <c r="C85" s="1507" t="s">
        <v>1039</v>
      </c>
      <c r="D85" s="1116" t="s">
        <v>1040</v>
      </c>
      <c r="E85" s="899" t="s">
        <v>1044</v>
      </c>
      <c r="F85" s="899" t="s">
        <v>1047</v>
      </c>
      <c r="G85" s="370"/>
      <c r="H85" s="370"/>
      <c r="I85" s="370"/>
      <c r="J85" s="370"/>
      <c r="K85" s="370"/>
      <c r="L85" s="370"/>
      <c r="M85" s="370"/>
      <c r="N85" s="370"/>
      <c r="O85" s="370"/>
      <c r="P85" s="370"/>
      <c r="Q85" s="370"/>
      <c r="R85" s="370"/>
      <c r="S85" s="370"/>
      <c r="T85" s="370"/>
      <c r="U85" s="370"/>
      <c r="V85" s="370"/>
      <c r="W85" s="370"/>
      <c r="X85" s="370"/>
      <c r="Y85" s="370"/>
      <c r="Z85" s="370"/>
      <c r="AA85" s="370"/>
      <c r="AB85" s="370"/>
      <c r="AC85" s="370"/>
      <c r="AD85" s="370"/>
      <c r="AE85" s="946"/>
    </row>
    <row r="86" spans="1:31" ht="15" customHeight="1" x14ac:dyDescent="0.35">
      <c r="A86" s="276"/>
      <c r="B86" s="497" t="s">
        <v>1045</v>
      </c>
      <c r="C86" s="496"/>
      <c r="D86" s="1297"/>
      <c r="E86" s="525" t="str">
        <f>IF($G$10="Yes", IF(ISNUMBER(C86), "Pass", "Fail"), IF(ISNUMBER(C86), "Fail", "Pass"))</f>
        <v>Pass</v>
      </c>
      <c r="F86" s="1298"/>
      <c r="G86" s="370"/>
      <c r="H86" s="370"/>
      <c r="I86" s="370"/>
      <c r="J86" s="370"/>
      <c r="K86" s="370"/>
      <c r="L86" s="370"/>
      <c r="M86" s="370"/>
      <c r="N86" s="370"/>
      <c r="O86" s="370"/>
      <c r="P86" s="370"/>
      <c r="Q86" s="370"/>
      <c r="R86" s="370"/>
      <c r="S86" s="370"/>
      <c r="T86" s="370"/>
      <c r="U86" s="370"/>
      <c r="V86" s="370"/>
      <c r="W86" s="370"/>
      <c r="X86" s="370"/>
      <c r="Y86" s="370"/>
      <c r="Z86" s="370"/>
      <c r="AA86" s="370"/>
      <c r="AB86" s="370"/>
      <c r="AC86" s="370"/>
      <c r="AD86" s="370"/>
      <c r="AE86" s="946"/>
    </row>
    <row r="87" spans="1:31" ht="15" customHeight="1" x14ac:dyDescent="0.35">
      <c r="A87" s="276"/>
      <c r="B87" s="158" t="s">
        <v>1048</v>
      </c>
      <c r="C87" s="460"/>
      <c r="D87" s="690"/>
      <c r="E87" s="356" t="str">
        <f>IF($G$10="Yes", IF(ISNUMBER(C87), "Pass", "Fail"), IF(ISNUMBER(C87), "Fail", "Pass"))</f>
        <v>Pass</v>
      </c>
      <c r="F87" s="356" t="str">
        <f>IF(OR(C86&gt;0, C87&gt;0), IF(AND(C86&gt;0, C87&gt;0, C86&lt;&gt;C87), "Pass", "Fail"), "")</f>
        <v/>
      </c>
      <c r="G87" s="370"/>
      <c r="H87" s="370"/>
      <c r="I87" s="370"/>
      <c r="J87" s="370"/>
      <c r="K87" s="370"/>
      <c r="L87" s="370"/>
      <c r="M87" s="370"/>
      <c r="N87" s="370"/>
      <c r="O87" s="370"/>
      <c r="P87" s="370"/>
      <c r="Q87" s="370"/>
      <c r="R87" s="370"/>
      <c r="S87" s="370"/>
      <c r="T87" s="370"/>
      <c r="U87" s="370"/>
      <c r="V87" s="370"/>
      <c r="W87" s="370"/>
      <c r="X87" s="370"/>
      <c r="Y87" s="370"/>
      <c r="Z87" s="370"/>
      <c r="AA87" s="370"/>
      <c r="AB87" s="370"/>
      <c r="AC87" s="370"/>
      <c r="AD87" s="370"/>
      <c r="AE87" s="946"/>
    </row>
    <row r="88" spans="1:31" ht="15" customHeight="1" x14ac:dyDescent="0.35">
      <c r="A88" s="276"/>
      <c r="B88" s="1140" t="s">
        <v>1049</v>
      </c>
      <c r="C88" s="461" t="str">
        <f>IF(AND(ISNUMBER(C86), ISNUMBER(C87)), 0.25*C86+0.75*C87, "")</f>
        <v/>
      </c>
      <c r="D88" s="722" t="str">
        <f>IF(AND(ISNUMBER(D86), ISNUMBER(D87)), 0.25*D86+0.75*D87, "")</f>
        <v/>
      </c>
      <c r="E88" s="1332"/>
      <c r="F88" s="1332"/>
      <c r="G88" s="370"/>
      <c r="H88" s="370"/>
      <c r="I88" s="370"/>
      <c r="J88" s="370"/>
      <c r="K88" s="370"/>
      <c r="L88" s="370"/>
      <c r="M88" s="370"/>
      <c r="N88" s="370"/>
      <c r="O88" s="370"/>
      <c r="P88" s="370"/>
      <c r="Q88" s="370"/>
      <c r="R88" s="370"/>
      <c r="S88" s="370"/>
      <c r="T88" s="370"/>
      <c r="U88" s="370"/>
      <c r="V88" s="370"/>
      <c r="W88" s="370"/>
      <c r="X88" s="370"/>
      <c r="Y88" s="370"/>
      <c r="Z88" s="370"/>
      <c r="AA88" s="370"/>
      <c r="AB88" s="370"/>
      <c r="AC88" s="370"/>
      <c r="AD88" s="370"/>
      <c r="AE88" s="946"/>
    </row>
    <row r="89" spans="1:31" ht="45" customHeight="1" x14ac:dyDescent="0.35">
      <c r="A89" s="260" t="s">
        <v>1050</v>
      </c>
      <c r="B89" s="1215"/>
      <c r="C89" s="370"/>
      <c r="D89" s="370"/>
      <c r="E89" s="370"/>
      <c r="F89" s="370"/>
      <c r="G89" s="370"/>
      <c r="H89" s="370"/>
      <c r="I89" s="370"/>
      <c r="J89" s="370"/>
      <c r="K89" s="370"/>
      <c r="L89" s="370"/>
      <c r="M89" s="370"/>
      <c r="N89" s="370"/>
      <c r="O89" s="370"/>
      <c r="P89" s="370"/>
      <c r="Q89" s="370"/>
      <c r="R89" s="370"/>
      <c r="S89" s="370"/>
      <c r="T89" s="370"/>
      <c r="U89" s="370"/>
      <c r="V89" s="370"/>
      <c r="W89" s="370"/>
      <c r="X89" s="370"/>
      <c r="Y89" s="370"/>
      <c r="Z89" s="370"/>
      <c r="AA89" s="370"/>
      <c r="AB89" s="370"/>
      <c r="AC89" s="370"/>
      <c r="AD89" s="370"/>
      <c r="AE89" s="946"/>
    </row>
    <row r="90" spans="1:31" ht="45" customHeight="1" x14ac:dyDescent="0.35">
      <c r="A90" s="260" t="s">
        <v>1051</v>
      </c>
      <c r="B90" s="1215"/>
      <c r="C90" s="370"/>
      <c r="D90" s="370"/>
      <c r="E90" s="370"/>
      <c r="F90" s="370"/>
      <c r="G90" s="370"/>
      <c r="H90" s="370"/>
      <c r="I90" s="370"/>
      <c r="J90" s="370"/>
      <c r="K90" s="370"/>
      <c r="L90" s="370"/>
      <c r="M90" s="370"/>
      <c r="N90" s="370"/>
      <c r="O90" s="370"/>
      <c r="P90" s="370"/>
      <c r="Q90" s="370"/>
      <c r="R90" s="370"/>
      <c r="S90" s="370"/>
      <c r="T90" s="370"/>
      <c r="U90" s="370"/>
      <c r="V90" s="370"/>
      <c r="W90" s="370"/>
      <c r="X90" s="370"/>
      <c r="Y90" s="370"/>
      <c r="Z90" s="370"/>
      <c r="AA90" s="370"/>
      <c r="AB90" s="370"/>
      <c r="AC90" s="370"/>
      <c r="AD90" s="370"/>
      <c r="AE90" s="946"/>
    </row>
    <row r="91" spans="1:31" ht="15" customHeight="1" x14ac:dyDescent="0.35">
      <c r="A91" s="265"/>
      <c r="B91" s="876"/>
      <c r="C91" s="2891" t="s">
        <v>1039</v>
      </c>
      <c r="D91" s="2891"/>
      <c r="E91" s="2891"/>
      <c r="F91" s="2891"/>
      <c r="G91" s="2883" t="s">
        <v>1044</v>
      </c>
      <c r="H91" s="370"/>
      <c r="I91" s="370"/>
      <c r="J91" s="370"/>
      <c r="K91" s="370"/>
      <c r="L91" s="370"/>
      <c r="M91" s="370"/>
      <c r="N91" s="370"/>
      <c r="O91" s="370"/>
      <c r="P91" s="370"/>
      <c r="Q91" s="370"/>
      <c r="R91" s="370"/>
      <c r="S91" s="370"/>
      <c r="T91" s="370"/>
      <c r="U91" s="370"/>
      <c r="V91" s="370"/>
      <c r="W91" s="370"/>
      <c r="X91" s="370"/>
      <c r="Y91" s="370"/>
      <c r="Z91" s="370"/>
      <c r="AA91" s="370"/>
      <c r="AB91" s="370"/>
      <c r="AC91" s="370"/>
      <c r="AD91" s="370"/>
      <c r="AE91" s="946"/>
    </row>
    <row r="92" spans="1:31" ht="30" customHeight="1" x14ac:dyDescent="0.35">
      <c r="A92" s="265"/>
      <c r="B92" s="1201"/>
      <c r="C92" s="501" t="s">
        <v>1052</v>
      </c>
      <c r="D92" s="675" t="s">
        <v>1053</v>
      </c>
      <c r="E92" s="675" t="s">
        <v>59</v>
      </c>
      <c r="F92" s="1116" t="s">
        <v>1054</v>
      </c>
      <c r="G92" s="2884"/>
      <c r="H92" s="370"/>
      <c r="I92" s="370"/>
      <c r="J92" s="370"/>
      <c r="K92" s="370"/>
      <c r="L92" s="370"/>
      <c r="M92" s="370"/>
      <c r="N92" s="370"/>
      <c r="O92" s="370"/>
      <c r="P92" s="370"/>
      <c r="Q92" s="370"/>
      <c r="R92" s="370"/>
      <c r="S92" s="370"/>
      <c r="T92" s="370"/>
      <c r="U92" s="370"/>
      <c r="V92" s="370"/>
      <c r="W92" s="370"/>
      <c r="X92" s="370"/>
      <c r="Y92" s="370"/>
      <c r="Z92" s="370"/>
      <c r="AA92" s="370"/>
      <c r="AB92" s="370"/>
      <c r="AC92" s="370"/>
      <c r="AD92" s="370"/>
      <c r="AE92" s="946"/>
    </row>
    <row r="93" spans="1:31" ht="15" customHeight="1" x14ac:dyDescent="0.35">
      <c r="A93" s="276"/>
      <c r="B93" s="497" t="s">
        <v>1055</v>
      </c>
      <c r="C93" s="502"/>
      <c r="D93" s="1299"/>
      <c r="E93" s="664" t="str">
        <f>IF(AND(ISNUMBER(C93), ISNUMBER(D93)), C93+D93, "")</f>
        <v/>
      </c>
      <c r="F93" s="1216"/>
      <c r="G93" s="525" t="str">
        <f t="shared" ref="G93:G98" si="7">IF($G$11="Yes", IF(ISNUMBER(E93), "Pass", "Fail"), IF(ISNUMBER(E93), "Fail", "Pass"))</f>
        <v>Pass</v>
      </c>
      <c r="H93" s="370"/>
      <c r="I93" s="370"/>
      <c r="J93" s="370"/>
      <c r="K93" s="370"/>
      <c r="L93" s="370"/>
      <c r="M93" s="370"/>
      <c r="N93" s="370"/>
      <c r="O93" s="370"/>
      <c r="P93" s="370"/>
      <c r="Q93" s="370"/>
      <c r="R93" s="370"/>
      <c r="S93" s="370"/>
      <c r="T93" s="370"/>
      <c r="U93" s="370"/>
      <c r="V93" s="370"/>
      <c r="W93" s="370"/>
      <c r="X93" s="370"/>
      <c r="Y93" s="370"/>
      <c r="Z93" s="370"/>
      <c r="AA93" s="370"/>
      <c r="AB93" s="370"/>
      <c r="AC93" s="370"/>
      <c r="AD93" s="370"/>
      <c r="AE93" s="946"/>
    </row>
    <row r="94" spans="1:31" ht="15" customHeight="1" x14ac:dyDescent="0.35">
      <c r="A94" s="276"/>
      <c r="B94" s="213" t="s">
        <v>1056</v>
      </c>
      <c r="C94" s="299"/>
      <c r="D94" s="138"/>
      <c r="E94" s="30" t="str">
        <f>IF(AND(ISNUMBER(C94), ISNUMBER(D94)), C94+D94, "")</f>
        <v/>
      </c>
      <c r="F94" s="1217"/>
      <c r="G94" s="356" t="str">
        <f t="shared" si="7"/>
        <v>Pass</v>
      </c>
      <c r="H94" s="370"/>
      <c r="I94" s="370"/>
      <c r="J94" s="370"/>
      <c r="K94" s="370"/>
      <c r="L94" s="370"/>
      <c r="M94" s="370"/>
      <c r="N94" s="370"/>
      <c r="O94" s="370"/>
      <c r="P94" s="370"/>
      <c r="Q94" s="370"/>
      <c r="R94" s="370"/>
      <c r="S94" s="370"/>
      <c r="T94" s="370"/>
      <c r="U94" s="370"/>
      <c r="V94" s="370"/>
      <c r="W94" s="370"/>
      <c r="X94" s="370"/>
      <c r="Y94" s="370"/>
      <c r="Z94" s="370"/>
      <c r="AA94" s="370"/>
      <c r="AB94" s="370"/>
      <c r="AC94" s="370"/>
      <c r="AD94" s="370"/>
      <c r="AE94" s="946"/>
    </row>
    <row r="95" spans="1:31" ht="15" customHeight="1" x14ac:dyDescent="0.35">
      <c r="A95" s="276"/>
      <c r="B95" s="158" t="s">
        <v>1057</v>
      </c>
      <c r="C95" s="299"/>
      <c r="D95" s="65"/>
      <c r="E95" s="30" t="str">
        <f>IF(ISNUMBER(C95), C95, "")</f>
        <v/>
      </c>
      <c r="F95" s="1217"/>
      <c r="G95" s="356" t="str">
        <f t="shared" si="7"/>
        <v>Pass</v>
      </c>
      <c r="H95" s="370"/>
      <c r="I95" s="370"/>
      <c r="J95" s="370"/>
      <c r="K95" s="370"/>
      <c r="L95" s="370"/>
      <c r="M95" s="370"/>
      <c r="N95" s="370"/>
      <c r="O95" s="370"/>
      <c r="P95" s="370"/>
      <c r="Q95" s="370"/>
      <c r="R95" s="370"/>
      <c r="S95" s="370"/>
      <c r="T95" s="370"/>
      <c r="U95" s="370"/>
      <c r="V95" s="370"/>
      <c r="W95" s="370"/>
      <c r="X95" s="370"/>
      <c r="Y95" s="370"/>
      <c r="Z95" s="370"/>
      <c r="AA95" s="370"/>
      <c r="AB95" s="370"/>
      <c r="AC95" s="370"/>
      <c r="AD95" s="370"/>
      <c r="AE95" s="946"/>
    </row>
    <row r="96" spans="1:31" ht="15" customHeight="1" x14ac:dyDescent="0.35">
      <c r="A96" s="276"/>
      <c r="B96" s="158" t="s">
        <v>1058</v>
      </c>
      <c r="C96" s="299"/>
      <c r="D96" s="138"/>
      <c r="E96" s="30" t="str">
        <f>IF(AND(ISNUMBER(C96), ISNUMBER(D96)), C96+D96, "")</f>
        <v/>
      </c>
      <c r="F96" s="1217"/>
      <c r="G96" s="356" t="str">
        <f t="shared" si="7"/>
        <v>Pass</v>
      </c>
      <c r="H96" s="370"/>
      <c r="I96" s="370"/>
      <c r="J96" s="370"/>
      <c r="K96" s="370"/>
      <c r="L96" s="370"/>
      <c r="M96" s="370"/>
      <c r="N96" s="370"/>
      <c r="O96" s="370"/>
      <c r="P96" s="370"/>
      <c r="Q96" s="370"/>
      <c r="R96" s="370"/>
      <c r="S96" s="370"/>
      <c r="T96" s="370"/>
      <c r="U96" s="370"/>
      <c r="V96" s="370"/>
      <c r="W96" s="370"/>
      <c r="X96" s="370"/>
      <c r="Y96" s="370"/>
      <c r="Z96" s="370"/>
      <c r="AA96" s="370"/>
      <c r="AB96" s="370"/>
      <c r="AC96" s="370"/>
      <c r="AD96" s="370"/>
      <c r="AE96" s="946"/>
    </row>
    <row r="97" spans="1:31" ht="15" customHeight="1" x14ac:dyDescent="0.35">
      <c r="A97" s="276"/>
      <c r="B97" s="158" t="s">
        <v>1059</v>
      </c>
      <c r="C97" s="299"/>
      <c r="D97" s="138"/>
      <c r="E97" s="30" t="str">
        <f>IF(AND(ISNUMBER(C97), ISNUMBER(D97)), C97+D97, "")</f>
        <v/>
      </c>
      <c r="F97" s="1217"/>
      <c r="G97" s="356" t="str">
        <f t="shared" si="7"/>
        <v>Pass</v>
      </c>
      <c r="H97" s="370"/>
      <c r="I97" s="370"/>
      <c r="J97" s="370"/>
      <c r="K97" s="370"/>
      <c r="L97" s="370"/>
      <c r="M97" s="370"/>
      <c r="N97" s="370"/>
      <c r="O97" s="370"/>
      <c r="P97" s="370"/>
      <c r="Q97" s="370"/>
      <c r="R97" s="370"/>
      <c r="S97" s="370"/>
      <c r="T97" s="370"/>
      <c r="U97" s="370"/>
      <c r="V97" s="370"/>
      <c r="W97" s="370"/>
      <c r="X97" s="370"/>
      <c r="Y97" s="370"/>
      <c r="Z97" s="370"/>
      <c r="AA97" s="370"/>
      <c r="AB97" s="370"/>
      <c r="AC97" s="370"/>
      <c r="AD97" s="370"/>
      <c r="AE97" s="946"/>
    </row>
    <row r="98" spans="1:31" ht="15" customHeight="1" x14ac:dyDescent="0.35">
      <c r="A98" s="276"/>
      <c r="B98" s="1140" t="s">
        <v>1060</v>
      </c>
      <c r="C98" s="503"/>
      <c r="D98" s="200"/>
      <c r="E98" s="111" t="str">
        <f>IF(AND(ISNUMBER(C98), ISNUMBER(D98)), C98+D98, "")</f>
        <v/>
      </c>
      <c r="F98" s="1218"/>
      <c r="G98" s="353" t="str">
        <f t="shared" si="7"/>
        <v>Pass</v>
      </c>
      <c r="H98" s="370"/>
      <c r="I98" s="370"/>
      <c r="J98" s="370"/>
      <c r="K98" s="370"/>
      <c r="L98" s="370"/>
      <c r="M98" s="370"/>
      <c r="N98" s="370"/>
      <c r="O98" s="370"/>
      <c r="P98" s="370"/>
      <c r="Q98" s="370"/>
      <c r="R98" s="370"/>
      <c r="S98" s="370"/>
      <c r="T98" s="370"/>
      <c r="U98" s="370"/>
      <c r="V98" s="370"/>
      <c r="W98" s="370"/>
      <c r="X98" s="370"/>
      <c r="Y98" s="370"/>
      <c r="Z98" s="370"/>
      <c r="AA98" s="370"/>
      <c r="AB98" s="370"/>
      <c r="AC98" s="370"/>
      <c r="AD98" s="370"/>
      <c r="AE98" s="946"/>
    </row>
    <row r="99" spans="1:31" ht="15" customHeight="1" x14ac:dyDescent="0.35">
      <c r="A99" s="276"/>
      <c r="B99" s="498" t="s">
        <v>59</v>
      </c>
      <c r="C99" s="504" t="str">
        <f>IF(COUNT(C93:C98)=ROWS(C93:C98), SUM(C93:C98), "")</f>
        <v/>
      </c>
      <c r="D99" s="294" t="str">
        <f>IF(AND(ISNUMBER(D93), ISNUMBER(D94), COUNT(D96:D98)=ROWS(D96:D98)), SUM(D93:D94,D96:D98), "")</f>
        <v/>
      </c>
      <c r="E99" s="294" t="str">
        <f>IF(AND(ISNUMBER(C99), ISNUMBER(D99)), C99+D99, "")</f>
        <v/>
      </c>
      <c r="F99" s="504" t="str">
        <f>IF(COUNT(F93:F98)=ROWS(F93:F98), SUM(F93:F98), "")</f>
        <v/>
      </c>
      <c r="G99" s="1333"/>
      <c r="H99" s="370"/>
      <c r="I99" s="370"/>
      <c r="J99" s="370"/>
      <c r="K99" s="370"/>
      <c r="L99" s="370"/>
      <c r="M99" s="370"/>
      <c r="N99" s="370"/>
      <c r="O99" s="370"/>
      <c r="P99" s="370"/>
      <c r="Q99" s="370"/>
      <c r="R99" s="370"/>
      <c r="S99" s="370"/>
      <c r="T99" s="370"/>
      <c r="U99" s="370"/>
      <c r="V99" s="370"/>
      <c r="W99" s="370"/>
      <c r="X99" s="370"/>
      <c r="Y99" s="370"/>
      <c r="Z99" s="370"/>
      <c r="AA99" s="370"/>
      <c r="AB99" s="370"/>
      <c r="AC99" s="370"/>
      <c r="AD99" s="370"/>
      <c r="AE99" s="946"/>
    </row>
    <row r="100" spans="1:31" ht="45" customHeight="1" x14ac:dyDescent="0.35">
      <c r="A100" s="260" t="s">
        <v>1061</v>
      </c>
      <c r="B100" s="1215"/>
      <c r="C100" s="370"/>
      <c r="D100" s="370"/>
      <c r="E100" s="370"/>
      <c r="F100" s="370"/>
      <c r="G100" s="370"/>
      <c r="H100" s="370"/>
      <c r="I100" s="370"/>
      <c r="J100" s="370"/>
      <c r="K100" s="370"/>
      <c r="L100" s="370"/>
      <c r="M100" s="370"/>
      <c r="N100" s="370"/>
      <c r="O100" s="370"/>
      <c r="P100" s="370"/>
      <c r="Q100" s="370"/>
      <c r="R100" s="370"/>
      <c r="S100" s="370"/>
      <c r="T100" s="370"/>
      <c r="U100" s="370"/>
      <c r="V100" s="370"/>
      <c r="W100" s="370"/>
      <c r="X100" s="370"/>
      <c r="Y100" s="370"/>
      <c r="Z100" s="370"/>
      <c r="AA100" s="370"/>
      <c r="AB100" s="370"/>
      <c r="AC100" s="370"/>
      <c r="AD100" s="370"/>
      <c r="AE100" s="946"/>
    </row>
    <row r="101" spans="1:31" ht="45" customHeight="1" x14ac:dyDescent="0.35">
      <c r="A101" s="265"/>
      <c r="B101" s="1205"/>
      <c r="C101" s="1507" t="s">
        <v>1039</v>
      </c>
      <c r="D101" s="1116" t="s">
        <v>1040</v>
      </c>
      <c r="E101" s="899" t="s">
        <v>1044</v>
      </c>
      <c r="F101" s="370"/>
      <c r="G101" s="370"/>
      <c r="H101" s="370"/>
      <c r="I101" s="370"/>
      <c r="J101" s="370"/>
      <c r="K101" s="370"/>
      <c r="L101" s="370"/>
      <c r="M101" s="370"/>
      <c r="N101" s="370"/>
      <c r="O101" s="370"/>
      <c r="P101" s="370"/>
      <c r="Q101" s="370"/>
      <c r="R101" s="370"/>
      <c r="S101" s="370"/>
      <c r="T101" s="370"/>
      <c r="U101" s="370"/>
      <c r="V101" s="370"/>
      <c r="W101" s="370"/>
      <c r="X101" s="370"/>
      <c r="Y101" s="370"/>
      <c r="Z101" s="370"/>
      <c r="AA101" s="370"/>
      <c r="AB101" s="370"/>
      <c r="AC101" s="370"/>
      <c r="AD101" s="370"/>
      <c r="AE101" s="946"/>
    </row>
    <row r="102" spans="1:31" ht="15" customHeight="1" x14ac:dyDescent="0.35">
      <c r="A102" s="276"/>
      <c r="B102" s="744" t="s">
        <v>1045</v>
      </c>
      <c r="C102" s="745"/>
      <c r="D102" s="1214"/>
      <c r="E102" s="853" t="str">
        <f>IF($G$12="Yes", IF(ISNUMBER(C102), "Pass", "Fail"), IF(ISNUMBER(C102), "Fail", "Pass"))</f>
        <v>Pass</v>
      </c>
      <c r="F102" s="370"/>
      <c r="G102" s="370"/>
      <c r="H102" s="370"/>
      <c r="I102" s="370"/>
      <c r="J102" s="370"/>
      <c r="K102" s="370"/>
      <c r="L102" s="370"/>
      <c r="M102" s="370"/>
      <c r="N102" s="370"/>
      <c r="O102" s="370"/>
      <c r="P102" s="370"/>
      <c r="Q102" s="370"/>
      <c r="R102" s="370"/>
      <c r="S102" s="370"/>
      <c r="T102" s="370"/>
      <c r="U102" s="370"/>
      <c r="V102" s="370"/>
      <c r="W102" s="370"/>
      <c r="X102" s="370"/>
      <c r="Y102" s="370"/>
      <c r="Z102" s="370"/>
      <c r="AA102" s="370"/>
      <c r="AB102" s="370"/>
      <c r="AC102" s="370"/>
      <c r="AD102" s="370"/>
      <c r="AE102" s="946"/>
    </row>
    <row r="103" spans="1:31" ht="45" customHeight="1" x14ac:dyDescent="0.35">
      <c r="A103" s="260" t="s">
        <v>1062</v>
      </c>
      <c r="B103" s="1215"/>
      <c r="C103" s="370"/>
      <c r="D103" s="370"/>
      <c r="E103" s="370"/>
      <c r="F103" s="370"/>
      <c r="G103" s="370"/>
      <c r="H103" s="370"/>
      <c r="I103" s="370"/>
      <c r="J103" s="370"/>
      <c r="K103" s="370"/>
      <c r="L103" s="370"/>
      <c r="M103" s="370"/>
      <c r="N103" s="370"/>
      <c r="O103" s="370"/>
      <c r="P103" s="370"/>
      <c r="Q103" s="370"/>
      <c r="R103" s="370"/>
      <c r="S103" s="370"/>
      <c r="T103" s="370"/>
      <c r="U103" s="370"/>
      <c r="V103" s="370"/>
      <c r="W103" s="370"/>
      <c r="X103" s="370"/>
      <c r="Y103" s="370"/>
      <c r="Z103" s="370"/>
      <c r="AA103" s="370"/>
      <c r="AB103" s="370"/>
      <c r="AC103" s="370"/>
      <c r="AD103" s="370"/>
      <c r="AE103" s="946"/>
    </row>
    <row r="104" spans="1:31" ht="100.5" customHeight="1" x14ac:dyDescent="0.35">
      <c r="A104" s="265"/>
      <c r="B104" s="1205"/>
      <c r="C104" s="1507" t="s">
        <v>1039</v>
      </c>
      <c r="D104" s="1116" t="s">
        <v>1040</v>
      </c>
      <c r="E104" s="899" t="s">
        <v>1044</v>
      </c>
      <c r="F104" s="899" t="s">
        <v>1063</v>
      </c>
      <c r="G104" s="370"/>
      <c r="H104" s="370"/>
      <c r="I104" s="370"/>
      <c r="J104" s="370"/>
      <c r="K104" s="370"/>
      <c r="L104" s="370"/>
      <c r="M104" s="370"/>
      <c r="N104" s="370"/>
      <c r="O104" s="370"/>
      <c r="P104" s="370"/>
      <c r="Q104" s="370"/>
      <c r="R104" s="370"/>
      <c r="S104" s="370"/>
      <c r="T104" s="370"/>
      <c r="U104" s="370"/>
      <c r="V104" s="370"/>
      <c r="W104" s="370"/>
      <c r="X104" s="370"/>
      <c r="Y104" s="370"/>
      <c r="Z104" s="370"/>
      <c r="AA104" s="370"/>
      <c r="AB104" s="370"/>
      <c r="AC104" s="370"/>
      <c r="AD104" s="370"/>
      <c r="AE104" s="946"/>
    </row>
    <row r="105" spans="1:31" ht="15" customHeight="1" x14ac:dyDescent="0.35">
      <c r="A105" s="276"/>
      <c r="B105" s="497" t="s">
        <v>1045</v>
      </c>
      <c r="C105" s="496"/>
      <c r="D105" s="1297"/>
      <c r="E105" s="489" t="str">
        <f>IF($G$13="Yes", IF(ISNUMBER(C105), "Pass", "Fail"), IF(ISNUMBER(C105), "Fail", "Pass"))</f>
        <v>Pass</v>
      </c>
      <c r="F105" s="1334"/>
      <c r="G105" s="370"/>
      <c r="H105" s="370"/>
      <c r="I105" s="370"/>
      <c r="J105" s="370"/>
      <c r="K105" s="370"/>
      <c r="L105" s="370"/>
      <c r="M105" s="370"/>
      <c r="N105" s="370"/>
      <c r="O105" s="370"/>
      <c r="P105" s="370"/>
      <c r="Q105" s="370"/>
      <c r="R105" s="370"/>
      <c r="S105" s="370"/>
      <c r="T105" s="370"/>
      <c r="U105" s="370"/>
      <c r="V105" s="370"/>
      <c r="W105" s="370"/>
      <c r="X105" s="370"/>
      <c r="Y105" s="370"/>
      <c r="Z105" s="370"/>
      <c r="AA105" s="370"/>
      <c r="AB105" s="370"/>
      <c r="AC105" s="370"/>
      <c r="AD105" s="370"/>
      <c r="AE105" s="946"/>
    </row>
    <row r="106" spans="1:31" ht="15" customHeight="1" x14ac:dyDescent="0.35">
      <c r="A106" s="276"/>
      <c r="B106" s="158" t="s">
        <v>1048</v>
      </c>
      <c r="C106" s="460"/>
      <c r="D106" s="690"/>
      <c r="E106" s="352" t="str">
        <f>IF($G$13="Yes", IF(ISNUMBER(C106), "Pass", "Fail"), IF(ISNUMBER(C106), "Fail", "Pass"))</f>
        <v>Pass</v>
      </c>
      <c r="F106" s="404" t="str">
        <f>IF(OR(C105&gt;0, C106&gt;0), IF(AND(C105&gt;0, C106&gt;0, C105&lt;&gt;C106), "Pass", "Fail"), "")</f>
        <v/>
      </c>
      <c r="G106" s="370"/>
      <c r="H106" s="370"/>
      <c r="I106" s="370"/>
      <c r="J106" s="370"/>
      <c r="K106" s="370"/>
      <c r="L106" s="370"/>
      <c r="M106" s="370"/>
      <c r="N106" s="370"/>
      <c r="O106" s="370"/>
      <c r="P106" s="370"/>
      <c r="Q106" s="370"/>
      <c r="R106" s="370"/>
      <c r="S106" s="370"/>
      <c r="T106" s="370"/>
      <c r="U106" s="370"/>
      <c r="V106" s="370"/>
      <c r="W106" s="370"/>
      <c r="X106" s="370"/>
      <c r="Y106" s="370"/>
      <c r="Z106" s="370"/>
      <c r="AA106" s="370"/>
      <c r="AB106" s="370"/>
      <c r="AC106" s="370"/>
      <c r="AD106" s="370"/>
      <c r="AE106" s="946"/>
    </row>
    <row r="107" spans="1:31" ht="15" customHeight="1" x14ac:dyDescent="0.35">
      <c r="A107" s="276"/>
      <c r="B107" s="1140" t="s">
        <v>1049</v>
      </c>
      <c r="C107" s="461" t="str">
        <f>IF(AND(ISNUMBER(C105), ISNUMBER(C106)), 0.25*C105+0.75*C106, "")</f>
        <v/>
      </c>
      <c r="D107" s="722" t="str">
        <f>IF(AND(ISNUMBER(D105), ISNUMBER(D106)), 0.25*D105+0.75*D106, "")</f>
        <v/>
      </c>
      <c r="E107" s="1209"/>
      <c r="F107" s="1204"/>
      <c r="G107" s="370"/>
      <c r="H107" s="370"/>
      <c r="I107" s="370"/>
      <c r="J107" s="370"/>
      <c r="K107" s="370"/>
      <c r="L107" s="370"/>
      <c r="M107" s="370"/>
      <c r="N107" s="370"/>
      <c r="O107" s="370"/>
      <c r="P107" s="370"/>
      <c r="Q107" s="370"/>
      <c r="R107" s="370"/>
      <c r="S107" s="370"/>
      <c r="T107" s="370"/>
      <c r="U107" s="370"/>
      <c r="V107" s="370"/>
      <c r="W107" s="370"/>
      <c r="X107" s="370"/>
      <c r="Y107" s="370"/>
      <c r="Z107" s="370"/>
      <c r="AA107" s="370"/>
      <c r="AB107" s="370"/>
      <c r="AC107" s="370"/>
      <c r="AD107" s="370"/>
      <c r="AE107" s="946"/>
    </row>
    <row r="108" spans="1:31" ht="45" customHeight="1" x14ac:dyDescent="0.35">
      <c r="A108" s="260" t="s">
        <v>1064</v>
      </c>
      <c r="B108" s="1215"/>
      <c r="C108" s="370"/>
      <c r="D108" s="370"/>
      <c r="E108" s="370"/>
      <c r="F108" s="370"/>
      <c r="G108" s="370"/>
      <c r="H108" s="370"/>
      <c r="I108" s="370"/>
      <c r="J108" s="370"/>
      <c r="K108" s="370"/>
      <c r="L108" s="370"/>
      <c r="M108" s="370"/>
      <c r="N108" s="370"/>
      <c r="O108" s="370"/>
      <c r="P108" s="370"/>
      <c r="Q108" s="370"/>
      <c r="R108" s="370"/>
      <c r="S108" s="370"/>
      <c r="T108" s="370"/>
      <c r="U108" s="370"/>
      <c r="V108" s="370"/>
      <c r="W108" s="370"/>
      <c r="X108" s="370"/>
      <c r="Y108" s="370"/>
      <c r="Z108" s="370"/>
      <c r="AA108" s="370"/>
      <c r="AB108" s="370"/>
      <c r="AC108" s="370"/>
      <c r="AD108" s="370"/>
      <c r="AE108" s="946"/>
    </row>
    <row r="109" spans="1:31" ht="105" customHeight="1" x14ac:dyDescent="0.35">
      <c r="A109" s="265"/>
      <c r="B109" s="1205"/>
      <c r="C109" s="1507" t="s">
        <v>1039</v>
      </c>
      <c r="D109" s="1116" t="s">
        <v>1040</v>
      </c>
      <c r="E109" s="370"/>
      <c r="F109" s="370"/>
      <c r="G109" s="370"/>
      <c r="H109" s="370"/>
      <c r="I109" s="370"/>
      <c r="J109" s="370"/>
      <c r="K109" s="370"/>
      <c r="L109" s="370"/>
      <c r="M109" s="370"/>
      <c r="N109" s="370"/>
      <c r="O109" s="370"/>
      <c r="P109" s="370"/>
      <c r="Q109" s="370"/>
      <c r="R109" s="370"/>
      <c r="S109" s="370"/>
      <c r="T109" s="370"/>
      <c r="U109" s="370"/>
      <c r="V109" s="370"/>
      <c r="W109" s="370"/>
      <c r="X109" s="370"/>
      <c r="Y109" s="370"/>
      <c r="Z109" s="370"/>
      <c r="AA109" s="370"/>
      <c r="AB109" s="370"/>
      <c r="AC109" s="370"/>
      <c r="AD109" s="370"/>
      <c r="AE109" s="946"/>
    </row>
    <row r="110" spans="1:31" ht="15" customHeight="1" x14ac:dyDescent="0.35">
      <c r="A110" s="276"/>
      <c r="B110" s="497" t="s">
        <v>1045</v>
      </c>
      <c r="C110" s="496"/>
      <c r="D110" s="1297"/>
      <c r="E110" s="370"/>
      <c r="F110" s="370"/>
      <c r="G110" s="370"/>
      <c r="H110" s="370"/>
      <c r="I110" s="370"/>
      <c r="J110" s="370"/>
      <c r="K110" s="370"/>
      <c r="L110" s="370"/>
      <c r="M110" s="370"/>
      <c r="N110" s="370"/>
      <c r="O110" s="370"/>
      <c r="P110" s="370"/>
      <c r="Q110" s="370"/>
      <c r="R110" s="370"/>
      <c r="S110" s="370"/>
      <c r="T110" s="370"/>
      <c r="U110" s="370"/>
      <c r="V110" s="370"/>
      <c r="W110" s="370"/>
      <c r="X110" s="370"/>
      <c r="Y110" s="370"/>
      <c r="Z110" s="370"/>
      <c r="AA110" s="370"/>
      <c r="AB110" s="370"/>
      <c r="AC110" s="370"/>
      <c r="AD110" s="370"/>
      <c r="AE110" s="946"/>
    </row>
    <row r="111" spans="1:31" ht="15" customHeight="1" x14ac:dyDescent="0.35">
      <c r="A111" s="276"/>
      <c r="B111" s="159" t="s">
        <v>1048</v>
      </c>
      <c r="C111" s="457"/>
      <c r="D111" s="1219"/>
      <c r="E111" s="370"/>
      <c r="F111" s="370"/>
      <c r="G111" s="370"/>
      <c r="H111" s="370"/>
      <c r="I111" s="370"/>
      <c r="J111" s="370"/>
      <c r="K111" s="370"/>
      <c r="L111" s="370"/>
      <c r="M111" s="370"/>
      <c r="N111" s="370"/>
      <c r="O111" s="370"/>
      <c r="P111" s="370"/>
      <c r="Q111" s="370"/>
      <c r="R111" s="370"/>
      <c r="S111" s="370"/>
      <c r="T111" s="370"/>
      <c r="U111" s="370"/>
      <c r="V111" s="370"/>
      <c r="W111" s="370"/>
      <c r="X111" s="370"/>
      <c r="Y111" s="370"/>
      <c r="Z111" s="370"/>
      <c r="AA111" s="370"/>
      <c r="AB111" s="370"/>
      <c r="AC111" s="370"/>
      <c r="AD111" s="370"/>
      <c r="AE111" s="946"/>
    </row>
    <row r="112" spans="1:31" ht="45" customHeight="1" x14ac:dyDescent="0.35">
      <c r="A112" s="260" t="s">
        <v>1065</v>
      </c>
      <c r="B112" s="1215"/>
      <c r="C112" s="370"/>
      <c r="D112" s="370"/>
      <c r="E112" s="370"/>
      <c r="F112" s="370"/>
      <c r="G112" s="370"/>
      <c r="H112" s="370"/>
      <c r="I112" s="370"/>
      <c r="J112" s="370"/>
      <c r="K112" s="370"/>
      <c r="L112" s="370"/>
      <c r="M112" s="370"/>
      <c r="N112" s="370"/>
      <c r="O112" s="370"/>
      <c r="P112" s="370"/>
      <c r="Q112" s="370"/>
      <c r="R112" s="370"/>
      <c r="S112" s="370"/>
      <c r="T112" s="370"/>
      <c r="U112" s="370"/>
      <c r="V112" s="370"/>
      <c r="W112" s="370"/>
      <c r="X112" s="370"/>
      <c r="Y112" s="370"/>
      <c r="Z112" s="370"/>
      <c r="AA112" s="370"/>
      <c r="AB112" s="370"/>
      <c r="AC112" s="370"/>
      <c r="AD112" s="370"/>
      <c r="AE112" s="946"/>
    </row>
    <row r="113" spans="1:31" ht="45" customHeight="1" x14ac:dyDescent="0.35">
      <c r="A113" s="295"/>
      <c r="B113" s="1220"/>
      <c r="C113" s="505" t="s">
        <v>1066</v>
      </c>
      <c r="D113" s="1116" t="s">
        <v>1067</v>
      </c>
      <c r="E113" s="370"/>
      <c r="F113" s="370"/>
      <c r="G113" s="370"/>
      <c r="H113" s="370"/>
      <c r="I113" s="370"/>
      <c r="J113" s="370"/>
      <c r="K113" s="370"/>
      <c r="L113" s="370"/>
      <c r="M113" s="370"/>
      <c r="N113" s="370"/>
      <c r="O113" s="370"/>
      <c r="P113" s="370"/>
      <c r="Q113" s="370"/>
      <c r="R113" s="370"/>
      <c r="S113" s="370"/>
      <c r="T113" s="370"/>
      <c r="U113" s="370"/>
      <c r="V113" s="370"/>
      <c r="W113" s="370"/>
      <c r="X113" s="370"/>
      <c r="Y113" s="370"/>
      <c r="Z113" s="370"/>
      <c r="AA113" s="370"/>
      <c r="AB113" s="370"/>
      <c r="AC113" s="370"/>
      <c r="AD113" s="370"/>
      <c r="AE113" s="946"/>
    </row>
    <row r="114" spans="1:31" ht="15" customHeight="1" x14ac:dyDescent="0.35">
      <c r="A114" s="295"/>
      <c r="B114" s="499" t="s">
        <v>1068</v>
      </c>
      <c r="C114" s="616">
        <f>IF(AND(ISNUMBER(C41), ISNUMBER(E41)), C41+E41, "")</f>
        <v>163865</v>
      </c>
      <c r="D114" s="622">
        <f>IF(AND(ISNUMBER(D41), ISNUMBER(F41)), 0.08*(D41+F41), "")</f>
        <v>2478.2400000000002</v>
      </c>
      <c r="E114" s="370"/>
      <c r="F114" s="370"/>
      <c r="G114" s="370"/>
      <c r="H114" s="370"/>
      <c r="I114" s="370"/>
      <c r="J114" s="370"/>
      <c r="K114" s="370"/>
      <c r="L114" s="370"/>
      <c r="M114" s="370"/>
      <c r="N114" s="370"/>
      <c r="O114" s="370"/>
      <c r="P114" s="370"/>
      <c r="Q114" s="370"/>
      <c r="R114" s="370"/>
      <c r="S114" s="370"/>
      <c r="T114" s="370"/>
      <c r="U114" s="370"/>
      <c r="V114" s="370"/>
      <c r="W114" s="370"/>
      <c r="X114" s="370"/>
      <c r="Y114" s="370"/>
      <c r="Z114" s="370"/>
      <c r="AA114" s="370"/>
      <c r="AB114" s="370"/>
      <c r="AC114" s="370"/>
      <c r="AD114" s="370"/>
      <c r="AE114" s="946"/>
    </row>
    <row r="115" spans="1:31" ht="15" customHeight="1" x14ac:dyDescent="0.35">
      <c r="A115" s="295"/>
      <c r="B115" s="499" t="s">
        <v>1069</v>
      </c>
      <c r="C115" s="617">
        <f>IF(AND(ISNUMBER(C21), ISNUMBER(E21), ISNUMBER(G21)), C21+E21+G21, "")</f>
        <v>0</v>
      </c>
      <c r="D115" s="139">
        <f>IF(AND(ISNUMBER(D21), ISNUMBER(F21), ISNUMBER(H21)), 0.08*(D21+F21+H21), "")</f>
        <v>0</v>
      </c>
      <c r="E115" s="370"/>
      <c r="F115" s="370"/>
      <c r="G115" s="370"/>
      <c r="H115" s="370"/>
      <c r="I115" s="370"/>
      <c r="J115" s="370"/>
      <c r="K115" s="370"/>
      <c r="L115" s="370"/>
      <c r="M115" s="370"/>
      <c r="N115" s="370"/>
      <c r="O115" s="370"/>
      <c r="P115" s="370"/>
      <c r="Q115" s="370"/>
      <c r="R115" s="370"/>
      <c r="S115" s="370"/>
      <c r="T115" s="370"/>
      <c r="U115" s="370"/>
      <c r="V115" s="370"/>
      <c r="W115" s="370"/>
      <c r="X115" s="370"/>
      <c r="Y115" s="370"/>
      <c r="Z115" s="370"/>
      <c r="AA115" s="370"/>
      <c r="AB115" s="370"/>
      <c r="AC115" s="370"/>
      <c r="AD115" s="370"/>
      <c r="AE115" s="946"/>
    </row>
    <row r="116" spans="1:31" ht="15" customHeight="1" x14ac:dyDescent="0.35">
      <c r="A116" s="295"/>
      <c r="B116" s="500" t="s">
        <v>1070</v>
      </c>
      <c r="C116" s="617">
        <f>IF(ISNUMBER(E31), E31, "")</f>
        <v>0</v>
      </c>
      <c r="D116" s="139">
        <f>IF(ISNUMBER(F31), 0.08*F31, "")</f>
        <v>0</v>
      </c>
      <c r="E116" s="370"/>
      <c r="F116" s="370"/>
      <c r="G116" s="370"/>
      <c r="H116" s="370"/>
      <c r="I116" s="370"/>
      <c r="J116" s="370"/>
      <c r="K116" s="370"/>
      <c r="L116" s="370"/>
      <c r="M116" s="370"/>
      <c r="N116" s="370"/>
      <c r="O116" s="370"/>
      <c r="P116" s="370"/>
      <c r="Q116" s="370"/>
      <c r="R116" s="370"/>
      <c r="S116" s="370"/>
      <c r="T116" s="370"/>
      <c r="U116" s="370"/>
      <c r="V116" s="370"/>
      <c r="W116" s="370"/>
      <c r="X116" s="370"/>
      <c r="Y116" s="370"/>
      <c r="Z116" s="370"/>
      <c r="AA116" s="370"/>
      <c r="AB116" s="370"/>
      <c r="AC116" s="370"/>
      <c r="AD116" s="370"/>
      <c r="AE116" s="946"/>
    </row>
    <row r="117" spans="1:31" ht="15" customHeight="1" x14ac:dyDescent="0.35">
      <c r="A117" s="295"/>
      <c r="B117" s="674" t="s">
        <v>1071</v>
      </c>
      <c r="C117" s="617">
        <f>IF(AND(ISNUMBER(O51), ISNUMBER(Q51), ISNUMBER(S51)), O51+Q51+S51, "")</f>
        <v>163865</v>
      </c>
      <c r="D117" s="139">
        <f>IF(AND(ISNUMBER(P51), ISNUMBER(R51), ISNUMBER(T51)), 0.08*(P51+R51+T51), "")</f>
        <v>2478.2400000000002</v>
      </c>
      <c r="E117" s="370"/>
      <c r="F117" s="370"/>
      <c r="G117" s="370"/>
      <c r="H117" s="370"/>
      <c r="I117" s="370"/>
      <c r="J117" s="370"/>
      <c r="K117" s="370"/>
      <c r="L117" s="370"/>
      <c r="M117" s="370"/>
      <c r="N117" s="370"/>
      <c r="O117" s="370"/>
      <c r="P117" s="370"/>
      <c r="Q117" s="370"/>
      <c r="R117" s="370"/>
      <c r="S117" s="370"/>
      <c r="T117" s="370"/>
      <c r="U117" s="370"/>
      <c r="V117" s="370"/>
      <c r="W117" s="370"/>
      <c r="X117" s="370"/>
      <c r="Y117" s="370"/>
      <c r="Z117" s="370"/>
      <c r="AA117" s="370"/>
      <c r="AB117" s="370"/>
      <c r="AC117" s="370"/>
      <c r="AD117" s="370"/>
      <c r="AE117" s="946"/>
    </row>
    <row r="118" spans="1:31" ht="15" customHeight="1" x14ac:dyDescent="0.35">
      <c r="A118" s="295"/>
      <c r="B118" s="506" t="s">
        <v>1072</v>
      </c>
      <c r="C118" s="713">
        <f>IF(AND(ISNUMBER(U51), ISNUMBER(W51), ISNUMBER(Y51)), U51+W51+Y51, "")</f>
        <v>163865</v>
      </c>
      <c r="D118" s="157">
        <f>IF(AND(ISNUMBER(V51), ISNUMBER(X51), ISNUMBER(Z51)), 0.08*(V51+X51+Z51), "")</f>
        <v>2478.2400000000002</v>
      </c>
      <c r="E118" s="370"/>
      <c r="F118" s="370"/>
      <c r="G118" s="370"/>
      <c r="H118" s="370"/>
      <c r="I118" s="370"/>
      <c r="J118" s="370"/>
      <c r="K118" s="370"/>
      <c r="L118" s="370"/>
      <c r="M118" s="370"/>
      <c r="N118" s="370"/>
      <c r="O118" s="370"/>
      <c r="P118" s="370"/>
      <c r="Q118" s="370"/>
      <c r="R118" s="370"/>
      <c r="S118" s="370"/>
      <c r="T118" s="370"/>
      <c r="U118" s="370"/>
      <c r="V118" s="370"/>
      <c r="W118" s="370"/>
      <c r="X118" s="370"/>
      <c r="Y118" s="370"/>
      <c r="Z118" s="370"/>
      <c r="AA118" s="370"/>
      <c r="AB118" s="370"/>
      <c r="AC118" s="370"/>
      <c r="AD118" s="370"/>
      <c r="AE118" s="946"/>
    </row>
    <row r="119" spans="1:31" ht="45" customHeight="1" x14ac:dyDescent="0.35">
      <c r="A119" s="260" t="s">
        <v>1073</v>
      </c>
      <c r="B119" s="1215"/>
      <c r="C119" s="370"/>
      <c r="D119" s="370"/>
      <c r="E119" s="370"/>
      <c r="F119" s="370"/>
      <c r="G119" s="370"/>
      <c r="H119" s="370"/>
      <c r="I119" s="370"/>
      <c r="J119" s="370"/>
      <c r="K119" s="370"/>
      <c r="L119" s="370"/>
      <c r="M119" s="370"/>
      <c r="N119" s="370"/>
      <c r="O119" s="370"/>
      <c r="P119" s="370"/>
      <c r="Q119" s="370"/>
      <c r="R119" s="370"/>
      <c r="S119" s="370"/>
      <c r="T119" s="370"/>
      <c r="U119" s="370"/>
      <c r="V119" s="370"/>
      <c r="W119" s="370"/>
      <c r="X119" s="370"/>
      <c r="Y119" s="370"/>
      <c r="Z119" s="370"/>
      <c r="AA119" s="370"/>
      <c r="AB119" s="370"/>
      <c r="AC119" s="370"/>
      <c r="AD119" s="370"/>
      <c r="AE119" s="946"/>
    </row>
    <row r="120" spans="1:31" ht="15" customHeight="1" x14ac:dyDescent="0.35">
      <c r="A120" s="265"/>
      <c r="B120" s="2895"/>
      <c r="C120" s="2737" t="s">
        <v>1039</v>
      </c>
      <c r="D120" s="2737"/>
      <c r="E120" s="370"/>
      <c r="F120" s="370"/>
      <c r="G120" s="370"/>
      <c r="H120" s="370"/>
      <c r="I120" s="370"/>
      <c r="J120" s="370"/>
      <c r="K120" s="370"/>
      <c r="L120" s="370"/>
      <c r="M120" s="370"/>
      <c r="N120" s="370"/>
      <c r="O120" s="370"/>
      <c r="P120" s="370"/>
      <c r="Q120" s="370"/>
      <c r="R120" s="370"/>
      <c r="S120" s="370"/>
      <c r="T120" s="370"/>
      <c r="U120" s="370"/>
      <c r="V120" s="370"/>
      <c r="W120" s="370"/>
      <c r="X120" s="370"/>
      <c r="Y120" s="370"/>
      <c r="Z120" s="370"/>
      <c r="AA120" s="370"/>
      <c r="AB120" s="370"/>
      <c r="AC120" s="370"/>
      <c r="AD120" s="370"/>
      <c r="AE120" s="946"/>
    </row>
    <row r="121" spans="1:31" ht="30" customHeight="1" x14ac:dyDescent="0.35">
      <c r="A121" s="265"/>
      <c r="B121" s="2896"/>
      <c r="C121" s="746" t="s">
        <v>171</v>
      </c>
      <c r="D121" s="672" t="s">
        <v>172</v>
      </c>
      <c r="E121" s="370"/>
      <c r="F121" s="370"/>
      <c r="G121" s="370"/>
      <c r="H121" s="370"/>
      <c r="I121" s="370"/>
      <c r="J121" s="370"/>
      <c r="K121" s="370"/>
      <c r="L121" s="370"/>
      <c r="M121" s="370"/>
      <c r="N121" s="370"/>
      <c r="O121" s="370"/>
      <c r="P121" s="370"/>
      <c r="Q121" s="370"/>
      <c r="R121" s="370"/>
      <c r="S121" s="370"/>
      <c r="T121" s="370"/>
      <c r="U121" s="370"/>
      <c r="V121" s="370"/>
      <c r="W121" s="370"/>
      <c r="X121" s="370"/>
      <c r="Y121" s="370"/>
      <c r="Z121" s="370"/>
      <c r="AA121" s="370"/>
      <c r="AB121" s="370"/>
      <c r="AC121" s="370"/>
      <c r="AD121" s="370"/>
      <c r="AE121" s="946"/>
    </row>
    <row r="122" spans="1:31" ht="15" customHeight="1" x14ac:dyDescent="0.35">
      <c r="A122" s="295"/>
      <c r="B122" s="747" t="s">
        <v>59</v>
      </c>
      <c r="C122" s="673">
        <f>IF(OR(G74="Yes", G74="No"), IF(G74="Yes", IF(ISNUMBER(D117), D117, ""), IF(AND(_xlfn.XOR($G$9="No", ISNUMBER(C83)), _xlfn.XOR($G$10="No", ISNUMBER(C88)), _xlfn.XOR($G$11="No", ISNUMBER(E99)), _xlfn.XOR($G$12="No", ISNUMBER(C102)), _xlfn.XOR($G$13="No", ISNUMBER(C107))), SUM(0.65*C83+0.65*_xlfn.NUMBERVALUE(C88)+_xlfn.NUMBERVALUE(E99)+0.65*C102+0.65*_xlfn.NUMBERVALUE(C107)), "")), "")</f>
        <v>2478.2400000000002</v>
      </c>
      <c r="D122" s="748">
        <f>IF(OR(G74="Yes", G74="No"), IF(G74="Yes", IF(ISNUMBER(D118), D118, ""), IF(AND(_xlfn.XOR($G$9="No", ISNUMBER(C83)), _xlfn.XOR($G$10="No", ISNUMBER(C88)), _xlfn.XOR($G$11="No", ISNUMBER(E99)), _xlfn.XOR($G$12="No", ISNUMBER(C102)), _xlfn.XOR($G$13="No", ISNUMBER(C107))), SUM(0.65*C83+0.65*_xlfn.NUMBERVALUE(C88)+_xlfn.NUMBERVALUE(E99)+0.65*C102+0.65*_xlfn.NUMBERVALUE(C107)), "")), "")</f>
        <v>2478.2400000000002</v>
      </c>
      <c r="E122" s="370"/>
      <c r="F122" s="370"/>
      <c r="G122" s="370"/>
      <c r="H122" s="370"/>
      <c r="I122" s="370"/>
      <c r="J122" s="370"/>
      <c r="K122" s="370"/>
      <c r="L122" s="370"/>
      <c r="M122" s="370"/>
      <c r="N122" s="370"/>
      <c r="O122" s="370"/>
      <c r="P122" s="370"/>
      <c r="Q122" s="370"/>
      <c r="R122" s="370"/>
      <c r="S122" s="370"/>
      <c r="T122" s="370"/>
      <c r="U122" s="370"/>
      <c r="V122" s="370"/>
      <c r="W122" s="370"/>
      <c r="X122" s="370"/>
      <c r="Y122" s="370"/>
      <c r="Z122" s="370"/>
      <c r="AA122" s="370"/>
      <c r="AB122" s="370"/>
      <c r="AC122" s="370"/>
      <c r="AD122" s="370"/>
      <c r="AE122" s="946"/>
    </row>
    <row r="123" spans="1:31" ht="45" customHeight="1" x14ac:dyDescent="0.35">
      <c r="A123" s="260" t="s">
        <v>1074</v>
      </c>
      <c r="B123" s="312"/>
      <c r="AE123" s="279"/>
    </row>
    <row r="124" spans="1:31" ht="15" customHeight="1" x14ac:dyDescent="0.35">
      <c r="A124" s="263"/>
      <c r="B124" s="1294" t="s">
        <v>1075</v>
      </c>
      <c r="C124" s="2834" t="s">
        <v>1076</v>
      </c>
      <c r="D124" s="2862"/>
      <c r="E124" s="2862"/>
      <c r="F124" s="2835"/>
      <c r="G124" s="2834" t="s">
        <v>1026</v>
      </c>
      <c r="H124" s="2862"/>
      <c r="I124" s="2862"/>
      <c r="J124" s="2862"/>
      <c r="K124" s="2862"/>
      <c r="L124" s="2862"/>
      <c r="M124" s="2862"/>
      <c r="N124" s="2862"/>
      <c r="O124" s="2862"/>
      <c r="P124" s="2862"/>
      <c r="Q124" s="2862"/>
      <c r="R124" s="98"/>
      <c r="S124" s="98"/>
      <c r="T124" s="205"/>
      <c r="U124" s="98"/>
      <c r="V124" s="98"/>
      <c r="W124" s="98"/>
      <c r="X124" s="98"/>
      <c r="Y124" s="98"/>
      <c r="Z124" s="98"/>
      <c r="AA124" s="98"/>
      <c r="AB124" s="98"/>
      <c r="AC124" s="98"/>
      <c r="AD124" s="98"/>
      <c r="AE124" s="315"/>
    </row>
    <row r="125" spans="1:31" ht="30" customHeight="1" x14ac:dyDescent="0.35">
      <c r="A125" s="263"/>
      <c r="B125" s="1300" t="s">
        <v>1077</v>
      </c>
      <c r="C125" s="2872"/>
      <c r="D125" s="2873"/>
      <c r="E125" s="2873"/>
      <c r="F125" s="2874"/>
      <c r="G125" s="2863"/>
      <c r="H125" s="2864"/>
      <c r="I125" s="2864"/>
      <c r="J125" s="2864"/>
      <c r="K125" s="2864"/>
      <c r="L125" s="2864"/>
      <c r="M125" s="2864"/>
      <c r="N125" s="2864"/>
      <c r="O125" s="2864"/>
      <c r="P125" s="2864"/>
      <c r="Q125" s="2864"/>
      <c r="R125" s="98"/>
      <c r="S125" s="98"/>
      <c r="T125" s="205"/>
      <c r="U125" s="98"/>
      <c r="V125" s="98"/>
      <c r="W125" s="98"/>
      <c r="X125" s="98"/>
      <c r="Y125" s="98"/>
      <c r="Z125" s="98"/>
      <c r="AA125" s="98"/>
      <c r="AB125" s="98"/>
      <c r="AC125" s="98"/>
      <c r="AD125" s="98"/>
      <c r="AE125" s="315"/>
    </row>
    <row r="126" spans="1:31" ht="30" customHeight="1" x14ac:dyDescent="0.35">
      <c r="A126" s="263"/>
      <c r="B126" s="1301" t="s">
        <v>1078</v>
      </c>
      <c r="C126" s="2875"/>
      <c r="D126" s="2876"/>
      <c r="E126" s="2876"/>
      <c r="F126" s="2877"/>
      <c r="G126" s="2868"/>
      <c r="H126" s="2869"/>
      <c r="I126" s="2869"/>
      <c r="J126" s="2869"/>
      <c r="K126" s="2869"/>
      <c r="L126" s="2869"/>
      <c r="M126" s="2869"/>
      <c r="N126" s="2869"/>
      <c r="O126" s="2869"/>
      <c r="P126" s="2869"/>
      <c r="Q126" s="2869"/>
      <c r="R126" s="98"/>
      <c r="S126" s="98"/>
      <c r="T126" s="205"/>
      <c r="U126" s="98"/>
      <c r="V126" s="98"/>
      <c r="W126" s="98"/>
      <c r="X126" s="98"/>
      <c r="Y126" s="98"/>
      <c r="Z126" s="98"/>
      <c r="AA126" s="98"/>
      <c r="AB126" s="98"/>
      <c r="AC126" s="98"/>
      <c r="AD126" s="98"/>
      <c r="AE126" s="315"/>
    </row>
    <row r="127" spans="1:31" ht="30" customHeight="1" x14ac:dyDescent="0.35">
      <c r="A127" s="263"/>
      <c r="B127" s="1301" t="s">
        <v>1079</v>
      </c>
      <c r="C127" s="2875"/>
      <c r="D127" s="2876"/>
      <c r="E127" s="2876"/>
      <c r="F127" s="2877"/>
      <c r="G127" s="2868"/>
      <c r="H127" s="2869"/>
      <c r="I127" s="2869"/>
      <c r="J127" s="2869"/>
      <c r="K127" s="2869"/>
      <c r="L127" s="2869"/>
      <c r="M127" s="2869"/>
      <c r="N127" s="2869"/>
      <c r="O127" s="2869"/>
      <c r="P127" s="2869"/>
      <c r="Q127" s="2869"/>
      <c r="R127" s="98"/>
      <c r="S127" s="98"/>
      <c r="T127" s="205"/>
      <c r="U127" s="98"/>
      <c r="V127" s="98"/>
      <c r="W127" s="98"/>
      <c r="X127" s="98"/>
      <c r="Y127" s="98"/>
      <c r="Z127" s="98"/>
      <c r="AA127" s="98"/>
      <c r="AB127" s="98"/>
      <c r="AC127" s="98"/>
      <c r="AD127" s="98"/>
      <c r="AE127" s="315"/>
    </row>
    <row r="128" spans="1:31" ht="30" customHeight="1" x14ac:dyDescent="0.35">
      <c r="A128" s="263"/>
      <c r="B128" s="1302" t="s">
        <v>1080</v>
      </c>
      <c r="C128" s="2865"/>
      <c r="D128" s="2866"/>
      <c r="E128" s="2866"/>
      <c r="F128" s="2867"/>
      <c r="G128" s="2870"/>
      <c r="H128" s="2871"/>
      <c r="I128" s="2871"/>
      <c r="J128" s="2871"/>
      <c r="K128" s="2871"/>
      <c r="L128" s="2871"/>
      <c r="M128" s="2871"/>
      <c r="N128" s="2871"/>
      <c r="O128" s="2871"/>
      <c r="P128" s="2871"/>
      <c r="Q128" s="2871"/>
      <c r="R128" s="98"/>
      <c r="S128" s="98"/>
      <c r="T128" s="205"/>
      <c r="U128" s="98"/>
      <c r="V128" s="98"/>
      <c r="W128" s="98"/>
      <c r="X128" s="98"/>
      <c r="Y128" s="98"/>
      <c r="Z128" s="98"/>
      <c r="AA128" s="98"/>
      <c r="AB128" s="98"/>
      <c r="AC128" s="98"/>
      <c r="AD128" s="98"/>
      <c r="AE128" s="315"/>
    </row>
    <row r="129" spans="1:31" ht="15" customHeight="1" x14ac:dyDescent="0.35">
      <c r="A129" s="729"/>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78"/>
      <c r="AE129" s="875"/>
    </row>
  </sheetData>
  <sheetProtection algorithmName="SHA-512" hashValue="Czf3dGXfGIu+4grsAeJZ88SMW9KdvpQq3iP+XiNtScHhZrFWZR+SUD2Myuo7XQnn+aCWLYarJCx0v9/Eei2tdQ==" saltValue="Lzy+S0DXbwSCvqmG/6rNwg==" spinCount="100000" sheet="1" objects="1" scenarios="1"/>
  <mergeCells count="52">
    <mergeCell ref="B120:B121"/>
    <mergeCell ref="C8:D8"/>
    <mergeCell ref="O8:P8"/>
    <mergeCell ref="Q8:R8"/>
    <mergeCell ref="E8:G8"/>
    <mergeCell ref="O18:T18"/>
    <mergeCell ref="C18:H18"/>
    <mergeCell ref="E9:F9"/>
    <mergeCell ref="E10:F10"/>
    <mergeCell ref="E11:F11"/>
    <mergeCell ref="E12:F12"/>
    <mergeCell ref="E13:F13"/>
    <mergeCell ref="E19:F19"/>
    <mergeCell ref="G19:H19"/>
    <mergeCell ref="O19:P19"/>
    <mergeCell ref="Q19:R19"/>
    <mergeCell ref="C91:F91"/>
    <mergeCell ref="B71:D71"/>
    <mergeCell ref="B61:D61"/>
    <mergeCell ref="B60:D60"/>
    <mergeCell ref="B59:D59"/>
    <mergeCell ref="B62:D62"/>
    <mergeCell ref="C124:F124"/>
    <mergeCell ref="C125:F125"/>
    <mergeCell ref="C126:F126"/>
    <mergeCell ref="C127:F127"/>
    <mergeCell ref="U19:V19"/>
    <mergeCell ref="B63:D63"/>
    <mergeCell ref="C73:D73"/>
    <mergeCell ref="C74:D74"/>
    <mergeCell ref="G91:G92"/>
    <mergeCell ref="E63:F63"/>
    <mergeCell ref="E62:F62"/>
    <mergeCell ref="G58:Q58"/>
    <mergeCell ref="G62:Q62"/>
    <mergeCell ref="G63:Q63"/>
    <mergeCell ref="C120:D120"/>
    <mergeCell ref="C19:D19"/>
    <mergeCell ref="G125:Q125"/>
    <mergeCell ref="C128:F128"/>
    <mergeCell ref="G126:Q126"/>
    <mergeCell ref="G127:Q127"/>
    <mergeCell ref="G128:Q128"/>
    <mergeCell ref="AA19:AB19"/>
    <mergeCell ref="AC19:AD19"/>
    <mergeCell ref="AC18:AD18"/>
    <mergeCell ref="AA18:AB18"/>
    <mergeCell ref="G124:Q124"/>
    <mergeCell ref="W19:X19"/>
    <mergeCell ref="Y19:Z19"/>
    <mergeCell ref="S19:T19"/>
    <mergeCell ref="U18:Z18"/>
  </mergeCells>
  <conditionalFormatting sqref="E59:E63 C21:Z32 C35:Z35 C33:D34 G33:P34 C38:Z38 C36:D37 G36:P37 C41:Z56 C39:D40 G39:P40 S33:V34 S36:V37 S39:V40 Y33:Z34 Y36:Z37 Y39:Z40">
    <cfRule type="cellIs" dxfId="2914" priority="19" stopIfTrue="1" operator="lessThan">
      <formula>0</formula>
    </cfRule>
  </conditionalFormatting>
  <conditionalFormatting sqref="C74 G74 G93:G98 E102 E77:H79 E83 E86:F88 E105:F107">
    <cfRule type="cellIs" dxfId="2913" priority="146" stopIfTrue="1" operator="equal">
      <formula>"Pass"</formula>
    </cfRule>
    <cfRule type="cellIs" dxfId="2912" priority="147" stopIfTrue="1" operator="equal">
      <formula>"Warning"</formula>
    </cfRule>
    <cfRule type="cellIs" dxfId="2911" priority="148" stopIfTrue="1" operator="equal">
      <formula>"Fail"</formula>
    </cfRule>
    <cfRule type="cellIs" dxfId="2910" priority="161" stopIfTrue="1" operator="equal">
      <formula>"Please explain"</formula>
    </cfRule>
    <cfRule type="cellIs" dxfId="2909" priority="162" stopIfTrue="1" operator="equal">
      <formula>"Fill in cell above"</formula>
    </cfRule>
    <cfRule type="cellIs" dxfId="2908" priority="163" stopIfTrue="1" operator="equal">
      <formula>"Yes"</formula>
    </cfRule>
    <cfRule type="cellIs" dxfId="2907" priority="427" stopIfTrue="1" operator="equal">
      <formula>"No"</formula>
    </cfRule>
  </conditionalFormatting>
  <conditionalFormatting sqref="AA21:AB32 AA35:AB35 AA38:AB38 AA41:AB56">
    <cfRule type="cellIs" dxfId="2906" priority="17" stopIfTrue="1" operator="lessThan">
      <formula>0</formula>
    </cfRule>
  </conditionalFormatting>
  <conditionalFormatting sqref="AC21:AD32 AC35:AD35 AC38:AD38 AC41:AD56">
    <cfRule type="cellIs" dxfId="2905" priority="16" stopIfTrue="1" operator="lessThan">
      <formula>0</formula>
    </cfRule>
  </conditionalFormatting>
  <conditionalFormatting sqref="E33:F34">
    <cfRule type="cellIs" dxfId="2904" priority="15" stopIfTrue="1" operator="lessThan">
      <formula>0</formula>
    </cfRule>
  </conditionalFormatting>
  <conditionalFormatting sqref="E36:F37">
    <cfRule type="cellIs" dxfId="2903" priority="14" stopIfTrue="1" operator="lessThan">
      <formula>0</formula>
    </cfRule>
  </conditionalFormatting>
  <conditionalFormatting sqref="E39:F40">
    <cfRule type="cellIs" dxfId="2902" priority="13" stopIfTrue="1" operator="lessThan">
      <formula>0</formula>
    </cfRule>
  </conditionalFormatting>
  <conditionalFormatting sqref="Q33:R34">
    <cfRule type="cellIs" dxfId="2901" priority="12" stopIfTrue="1" operator="lessThan">
      <formula>0</formula>
    </cfRule>
  </conditionalFormatting>
  <conditionalFormatting sqref="Q36:R37">
    <cfRule type="cellIs" dxfId="2900" priority="11" stopIfTrue="1" operator="lessThan">
      <formula>0</formula>
    </cfRule>
  </conditionalFormatting>
  <conditionalFormatting sqref="Q39:R40">
    <cfRule type="cellIs" dxfId="2899" priority="10" stopIfTrue="1" operator="lessThan">
      <formula>0</formula>
    </cfRule>
  </conditionalFormatting>
  <conditionalFormatting sqref="W33:X34">
    <cfRule type="cellIs" dxfId="2898" priority="9" stopIfTrue="1" operator="lessThan">
      <formula>0</formula>
    </cfRule>
  </conditionalFormatting>
  <conditionalFormatting sqref="W36:X37">
    <cfRule type="cellIs" dxfId="2897" priority="8" stopIfTrue="1" operator="lessThan">
      <formula>0</formula>
    </cfRule>
  </conditionalFormatting>
  <conditionalFormatting sqref="W39:X40">
    <cfRule type="cellIs" dxfId="2896" priority="7" stopIfTrue="1" operator="lessThan">
      <formula>0</formula>
    </cfRule>
  </conditionalFormatting>
  <conditionalFormatting sqref="AA33:AB34">
    <cfRule type="cellIs" dxfId="2895" priority="6" stopIfTrue="1" operator="lessThan">
      <formula>0</formula>
    </cfRule>
  </conditionalFormatting>
  <conditionalFormatting sqref="AC33:AD34">
    <cfRule type="cellIs" dxfId="2894" priority="5" stopIfTrue="1" operator="lessThan">
      <formula>0</formula>
    </cfRule>
  </conditionalFormatting>
  <conditionalFormatting sqref="AA36:AB37">
    <cfRule type="cellIs" dxfId="2893" priority="4" stopIfTrue="1" operator="lessThan">
      <formula>0</formula>
    </cfRule>
  </conditionalFormatting>
  <conditionalFormatting sqref="AC36:AD37">
    <cfRule type="cellIs" dxfId="2892" priority="3" stopIfTrue="1" operator="lessThan">
      <formula>0</formula>
    </cfRule>
  </conditionalFormatting>
  <conditionalFormatting sqref="AA39:AB40">
    <cfRule type="cellIs" dxfId="2891" priority="2" stopIfTrue="1" operator="lessThan">
      <formula>0</formula>
    </cfRule>
  </conditionalFormatting>
  <conditionalFormatting sqref="AC39:AD40">
    <cfRule type="cellIs" dxfId="2890" priority="1" stopIfTrue="1" operator="lessThan">
      <formula>0</formula>
    </cfRule>
  </conditionalFormatting>
  <dataValidations count="1">
    <dataValidation type="list" showInputMessage="1" showErrorMessage="1" sqref="G73">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56" max="26" man="1"/>
    <brk id="83" max="16" man="1"/>
    <brk id="107" max="16" man="1"/>
  </rowBreaks>
  <colBreaks count="2" manualBreakCount="2">
    <brk id="8" max="51" man="1"/>
    <brk id="20" max="51" man="1"/>
  </colBreaks>
  <extLst>
    <ext xmlns:x14="http://schemas.microsoft.com/office/spreadsheetml/2009/9/main" uri="{CCE6A557-97BC-4b89-ADB6-D9C93CAAB3DF}">
      <x14:dataValidations xmlns:xm="http://schemas.microsoft.com/office/excel/2006/main" count="6">
        <x14:dataValidation type="list" allowBlank="1" showInputMessage="1" showErrorMessage="1">
          <x14:formula1>
            <xm:f>Parameters!$D$644:$D$646</xm:f>
          </x14:formula1>
          <xm:sqref>E62</xm:sqref>
        </x14:dataValidation>
        <x14:dataValidation type="list" allowBlank="1" showInputMessage="1" showErrorMessage="1">
          <x14:formula1>
            <xm:f>Parameters!$D$628:$D$631</xm:f>
          </x14:formula1>
          <xm:sqref>C125</xm:sqref>
        </x14:dataValidation>
        <x14:dataValidation type="list" allowBlank="1" showInputMessage="1" showErrorMessage="1">
          <x14:formula1>
            <xm:f>Parameters!$D$632:$D$634</xm:f>
          </x14:formula1>
          <xm:sqref>C126</xm:sqref>
        </x14:dataValidation>
        <x14:dataValidation type="list" allowBlank="1" showInputMessage="1" showErrorMessage="1">
          <x14:formula1>
            <xm:f>Parameters!$D$635:$D$637</xm:f>
          </x14:formula1>
          <xm:sqref>C127</xm:sqref>
        </x14:dataValidation>
        <x14:dataValidation type="list" allowBlank="1" showInputMessage="1" showErrorMessage="1">
          <x14:formula1>
            <xm:f>Parameters!$D$638:$D$643</xm:f>
          </x14:formula1>
          <xm:sqref>C128</xm:sqref>
        </x14:dataValidation>
        <x14:dataValidation type="list" allowBlank="1" showInputMessage="1" showErrorMessage="1">
          <x14:formula1>
            <xm:f>Parameters!$D$647:$D$653</xm:f>
          </x14:formula1>
          <xm:sqref>E63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T46"/>
  <sheetViews>
    <sheetView topLeftCell="A22" zoomScale="70" zoomScaleNormal="70" workbookViewId="0">
      <selection activeCell="H33" sqref="H33:H45"/>
    </sheetView>
  </sheetViews>
  <sheetFormatPr defaultColWidth="0" defaultRowHeight="15" customHeight="1" zeroHeight="1" x14ac:dyDescent="0.35"/>
  <cols>
    <col min="1" max="1" width="2.109375" style="2035" customWidth="1"/>
    <col min="2" max="2" width="22.109375" style="2034" customWidth="1"/>
    <col min="3" max="3" width="113" style="2034" customWidth="1"/>
    <col min="4" max="11" width="19.88671875" style="2034" customWidth="1"/>
    <col min="12" max="12" width="17.44140625" style="2034" customWidth="1"/>
    <col min="13" max="13" width="24.109375" style="2034" customWidth="1"/>
    <col min="14" max="14" width="21.44140625" style="2034" customWidth="1"/>
    <col min="15" max="15" width="19.88671875" style="2034" customWidth="1"/>
    <col min="16" max="16" width="23.5546875" style="2034" customWidth="1"/>
    <col min="17" max="17" width="21.88671875" style="2034" bestFit="1" customWidth="1"/>
    <col min="18" max="19" width="23.5546875" style="2034" customWidth="1"/>
    <col min="20" max="21" width="19.88671875" style="2034" customWidth="1"/>
    <col min="22" max="22" width="24" style="2034" customWidth="1"/>
    <col min="23" max="38" width="19.88671875" style="2034" customWidth="1"/>
    <col min="39" max="39" width="26.88671875" style="2034" customWidth="1"/>
    <col min="40" max="40" width="25.88671875" style="2034" customWidth="1"/>
    <col min="41" max="41" width="25.5546875" style="2034" customWidth="1"/>
    <col min="42" max="42" width="27.88671875" style="2034" customWidth="1"/>
    <col min="43" max="43" width="28.88671875" style="2034" customWidth="1"/>
    <col min="44" max="44" width="19.88671875" style="2034" customWidth="1"/>
    <col min="45" max="45" width="3" style="2034" customWidth="1"/>
    <col min="46" max="16384" width="0" style="2034" hidden="1"/>
  </cols>
  <sheetData>
    <row r="1" spans="1:46" s="2037" customFormat="1" ht="29.4" x14ac:dyDescent="0.65">
      <c r="A1" s="2145" t="s">
        <v>2534</v>
      </c>
      <c r="B1" s="2111"/>
      <c r="C1" s="71" t="str">
        <f>CONCATENATE("Reporting unit: ", 'General Info'!$C$7, " ", 'General Info'!$C$5)</f>
        <v>Reporting unit: 1000 eur</v>
      </c>
      <c r="E1" s="2052"/>
      <c r="F1" s="2052"/>
      <c r="G1" s="2052"/>
      <c r="H1" s="2052"/>
      <c r="I1" s="2052"/>
      <c r="J1" s="2052"/>
      <c r="K1" s="2052"/>
      <c r="L1" s="2052"/>
      <c r="M1" s="2052"/>
      <c r="N1" s="2052"/>
      <c r="O1" s="2052"/>
      <c r="P1" s="2052"/>
      <c r="Q1" s="2052"/>
      <c r="R1" s="2052"/>
      <c r="S1" s="2052"/>
      <c r="T1" s="2052"/>
      <c r="U1" s="2052"/>
      <c r="V1" s="2052"/>
      <c r="W1" s="2052"/>
      <c r="X1" s="2052"/>
      <c r="Y1" s="2052"/>
      <c r="Z1" s="2052"/>
      <c r="AA1" s="2052"/>
      <c r="AB1" s="2052"/>
      <c r="AC1" s="2052"/>
      <c r="AD1" s="2052"/>
      <c r="AE1" s="2052"/>
      <c r="AF1" s="2052"/>
      <c r="AG1" s="2052"/>
      <c r="AH1" s="2052"/>
      <c r="AI1" s="2052"/>
      <c r="AJ1" s="2052"/>
      <c r="AK1" s="2052"/>
      <c r="AL1" s="2052"/>
      <c r="AM1" s="2052"/>
      <c r="AN1" s="2052"/>
      <c r="AO1" s="2052"/>
      <c r="AP1" s="2052"/>
      <c r="AQ1" s="2052"/>
      <c r="AR1" s="2052"/>
      <c r="AS1" s="2052"/>
      <c r="AT1" s="2052"/>
    </row>
    <row r="2" spans="1:46" s="2035" customFormat="1" x14ac:dyDescent="0.35">
      <c r="A2" s="2144"/>
    </row>
    <row r="3" spans="1:46" s="2035" customFormat="1" ht="19.8" x14ac:dyDescent="0.35">
      <c r="A3" s="2141"/>
      <c r="C3" s="2143" t="s">
        <v>163</v>
      </c>
      <c r="D3" s="2142"/>
      <c r="E3" s="2142"/>
      <c r="F3" s="2142"/>
      <c r="G3" s="2142"/>
      <c r="H3" s="2142"/>
      <c r="I3" s="2142"/>
    </row>
    <row r="4" spans="1:46" s="2035" customFormat="1" ht="18.75" customHeight="1" x14ac:dyDescent="0.35">
      <c r="A4" s="2141"/>
      <c r="C4" s="2917" t="s">
        <v>997</v>
      </c>
      <c r="D4" s="2912" t="s">
        <v>998</v>
      </c>
      <c r="E4" s="2912"/>
      <c r="F4" s="2913"/>
      <c r="G4" s="2911" t="s">
        <v>2533</v>
      </c>
      <c r="H4" s="2912"/>
      <c r="I4" s="2919"/>
    </row>
    <row r="5" spans="1:46" s="2035" customFormat="1" ht="19.8" x14ac:dyDescent="0.35">
      <c r="A5" s="2141"/>
      <c r="C5" s="2918"/>
      <c r="D5" s="2140" t="s">
        <v>1096</v>
      </c>
      <c r="E5" s="2914" t="s">
        <v>165</v>
      </c>
      <c r="F5" s="2915"/>
      <c r="G5" s="2139" t="s">
        <v>2528</v>
      </c>
      <c r="H5" s="2914" t="s">
        <v>165</v>
      </c>
      <c r="I5" s="2915"/>
    </row>
    <row r="6" spans="1:46" s="2035" customFormat="1" ht="19.8" x14ac:dyDescent="0.35">
      <c r="A6" s="2141"/>
      <c r="C6" s="2138"/>
      <c r="D6" s="2134" t="s">
        <v>2532</v>
      </c>
      <c r="E6" s="2133" t="str">
        <f>IF('EU General Info'!C11="Yes", "Yes", "No")</f>
        <v>No</v>
      </c>
      <c r="F6" s="2136" t="str">
        <f>IF(AND(E6="Yes", 'Supervisory information'!$C$43="Yes"), "Yes", "No")</f>
        <v>No</v>
      </c>
      <c r="G6" s="2137" t="s">
        <v>2531</v>
      </c>
      <c r="H6" s="2136" t="str">
        <f t="shared" ref="H6:I8" si="0">E6</f>
        <v>No</v>
      </c>
      <c r="I6" s="2135" t="str">
        <f t="shared" si="0"/>
        <v>No</v>
      </c>
    </row>
    <row r="7" spans="1:46" s="2035" customFormat="1" ht="19.8" x14ac:dyDescent="0.35">
      <c r="A7" s="2141"/>
      <c r="C7" s="2134"/>
      <c r="D7" s="2134" t="s">
        <v>1002</v>
      </c>
      <c r="E7" s="2133" t="str">
        <f>IF('General Info'!C39="Yes", "Yes", "No")</f>
        <v>Yes</v>
      </c>
      <c r="F7" s="2133" t="str">
        <f>IF(AND(E7="Yes", 'Supervisory information'!$C$43="Yes"), "Yes", "No")</f>
        <v>Yes</v>
      </c>
      <c r="G7" s="2132" t="s">
        <v>51</v>
      </c>
      <c r="H7" s="2133" t="str">
        <f t="shared" si="0"/>
        <v>Yes</v>
      </c>
      <c r="I7" s="2130" t="str">
        <f t="shared" si="0"/>
        <v>Yes</v>
      </c>
    </row>
    <row r="8" spans="1:46" s="2035" customFormat="1" ht="19.8" x14ac:dyDescent="0.35">
      <c r="A8" s="2141"/>
      <c r="C8" s="2134"/>
      <c r="D8" s="2134" t="s">
        <v>1001</v>
      </c>
      <c r="E8" s="2133" t="str">
        <f>IF('General Info'!C38="Yes", "Yes", "No")</f>
        <v>No</v>
      </c>
      <c r="F8" s="2133" t="str">
        <f>IF(AND(E8="Yes", 'Supervisory information'!$C$43="Yes"), "Yes", "No")</f>
        <v>No</v>
      </c>
      <c r="G8" s="2132" t="s">
        <v>2530</v>
      </c>
      <c r="H8" s="2133" t="str">
        <f t="shared" si="0"/>
        <v>No</v>
      </c>
      <c r="I8" s="2130" t="str">
        <f t="shared" si="0"/>
        <v>No</v>
      </c>
    </row>
    <row r="9" spans="1:46" s="2035" customFormat="1" ht="19.8" x14ac:dyDescent="0.35">
      <c r="A9" s="2141"/>
      <c r="C9" s="2134"/>
      <c r="D9" s="2911" t="s">
        <v>1000</v>
      </c>
      <c r="E9" s="2912"/>
      <c r="F9" s="2913"/>
      <c r="G9" s="2911" t="s">
        <v>2529</v>
      </c>
      <c r="H9" s="2912"/>
      <c r="I9" s="2912"/>
    </row>
    <row r="10" spans="1:46" s="2035" customFormat="1" ht="19.8" x14ac:dyDescent="0.35">
      <c r="A10" s="2141"/>
      <c r="C10" s="2134"/>
      <c r="D10" s="2140" t="s">
        <v>1096</v>
      </c>
      <c r="E10" s="2914" t="s">
        <v>165</v>
      </c>
      <c r="F10" s="2915"/>
      <c r="G10" s="2139" t="s">
        <v>2528</v>
      </c>
      <c r="H10" s="2914" t="s">
        <v>165</v>
      </c>
      <c r="I10" s="2916"/>
    </row>
    <row r="11" spans="1:46" s="2035" customFormat="1" ht="19.8" x14ac:dyDescent="0.35">
      <c r="A11" s="2129"/>
      <c r="C11" s="2134"/>
      <c r="D11" s="2138" t="s">
        <v>115</v>
      </c>
      <c r="E11" s="2136" t="str">
        <f>IF('General Info'!D40="Yes", "Yes", "No")</f>
        <v>No</v>
      </c>
      <c r="F11" s="2136" t="str">
        <f>IF(AND(E11="Yes", 'Supervisory information'!$C$43="Yes"), "Yes", "No")</f>
        <v>No</v>
      </c>
      <c r="G11" s="2137" t="s">
        <v>2527</v>
      </c>
      <c r="H11" s="2136" t="str">
        <f>IF(AND(E$11="Yes", E$12="No", E$13="No"), "Yes", "No")</f>
        <v>No</v>
      </c>
      <c r="I11" s="2135" t="str">
        <f>IF(AND(H11="Yes", 'Supervisory information'!$C$43="Yes"), "Yes", "No")</f>
        <v>No</v>
      </c>
    </row>
    <row r="12" spans="1:46" s="2035" customFormat="1" ht="19.8" x14ac:dyDescent="0.35">
      <c r="A12" s="2129"/>
      <c r="C12" s="2134"/>
      <c r="D12" s="2134" t="s">
        <v>116</v>
      </c>
      <c r="E12" s="2133" t="str">
        <f>IF('General Info'!D41="Yes", "Yes", "No")</f>
        <v>No</v>
      </c>
      <c r="F12" s="2133" t="str">
        <f>IF(AND(E12="Yes", 'Supervisory information'!$C$43="Yes"), "Yes", "No")</f>
        <v>No</v>
      </c>
      <c r="G12" s="2132" t="s">
        <v>2526</v>
      </c>
      <c r="H12" s="2131" t="str">
        <f>IF(AND(E$11="No", E$12="Yes", E$13="No"), "Yes", "No")</f>
        <v>No</v>
      </c>
      <c r="I12" s="2130" t="str">
        <f>IF(AND(H12="Yes", 'Supervisory information'!$C$43="Yes"), "Yes", "No")</f>
        <v>No</v>
      </c>
    </row>
    <row r="13" spans="1:46" s="2035" customFormat="1" ht="19.8" x14ac:dyDescent="0.35">
      <c r="A13" s="2129"/>
      <c r="C13" s="2134"/>
      <c r="D13" s="2134" t="s">
        <v>117</v>
      </c>
      <c r="E13" s="2133" t="str">
        <f>IF('General Info'!D42="Yes", "Yes", "No")</f>
        <v>No</v>
      </c>
      <c r="F13" s="2133" t="str">
        <f>IF(AND(E13="Yes", 'Supervisory information'!$C$43="Yes"), "Yes", "No")</f>
        <v>No</v>
      </c>
      <c r="G13" s="2132" t="s">
        <v>2525</v>
      </c>
      <c r="H13" s="2131" t="str">
        <f>IF(AND(E$13="Yes"), "Yes", "No")</f>
        <v>No</v>
      </c>
      <c r="I13" s="2130" t="str">
        <f>IF(AND(H13="Yes", 'Supervisory information'!$C$43="Yes"), "Yes", "No")</f>
        <v>No</v>
      </c>
    </row>
    <row r="14" spans="1:46" s="2035" customFormat="1" ht="19.8" x14ac:dyDescent="0.35">
      <c r="A14" s="2129"/>
      <c r="C14" s="2134"/>
      <c r="D14" s="2134"/>
      <c r="E14" s="2133"/>
      <c r="F14" s="2133"/>
      <c r="G14" s="2132" t="s">
        <v>2524</v>
      </c>
      <c r="H14" s="2131" t="str">
        <f>IF(AND(E$11="Yes", E$12="No", E$13="Yes"), "Yes", "No")</f>
        <v>No</v>
      </c>
      <c r="I14" s="2130" t="str">
        <f>IF(AND(H14="Yes", 'Supervisory information'!$C$43="Yes"), "Yes", "No")</f>
        <v>No</v>
      </c>
    </row>
    <row r="15" spans="1:46" s="2035" customFormat="1" ht="19.8" x14ac:dyDescent="0.35">
      <c r="A15" s="2129"/>
      <c r="C15" s="2128"/>
      <c r="D15" s="2127"/>
      <c r="E15" s="2126"/>
      <c r="F15" s="2126"/>
      <c r="G15" s="2125" t="s">
        <v>2523</v>
      </c>
      <c r="H15" s="2124" t="str">
        <f>IF(AND(E$11="No", E$12="Yes", E$13="Yes"), "Yes", "No")</f>
        <v>No</v>
      </c>
      <c r="I15" s="2123" t="str">
        <f>IF(AND(H15="Yes", 'Supervisory information'!$C$43="Yes"), "Yes", "No")</f>
        <v>No</v>
      </c>
    </row>
    <row r="16" spans="1:46" s="2038" customFormat="1" ht="29.4" x14ac:dyDescent="0.65">
      <c r="A16" s="2122"/>
      <c r="C16" s="2121"/>
      <c r="J16" s="2052"/>
      <c r="K16" s="2052"/>
      <c r="L16" s="2052"/>
      <c r="M16" s="2052"/>
      <c r="N16" s="2052"/>
      <c r="O16" s="2052"/>
      <c r="P16" s="2052"/>
      <c r="Q16" s="2052"/>
      <c r="R16" s="2052"/>
      <c r="S16" s="2052"/>
      <c r="T16" s="2052"/>
      <c r="U16" s="2052"/>
      <c r="V16" s="2052"/>
      <c r="W16" s="2052"/>
      <c r="X16" s="2052"/>
      <c r="Y16" s="2052"/>
      <c r="Z16" s="2052"/>
      <c r="AA16" s="2052"/>
      <c r="AB16" s="2052"/>
      <c r="AC16" s="2052"/>
      <c r="AD16" s="2052"/>
      <c r="AE16" s="2052"/>
      <c r="AF16" s="2052"/>
      <c r="AG16" s="2052"/>
      <c r="AH16" s="2052"/>
      <c r="AI16" s="2052"/>
      <c r="AJ16" s="2052"/>
      <c r="AK16" s="2052"/>
      <c r="AL16" s="2052"/>
      <c r="AM16" s="2052"/>
      <c r="AN16" s="2052"/>
      <c r="AO16" s="2052"/>
      <c r="AP16" s="2052"/>
      <c r="AQ16" s="2052"/>
      <c r="AR16" s="2052"/>
      <c r="AS16" s="2052"/>
      <c r="AT16" s="2052"/>
    </row>
    <row r="17" spans="1:45" s="2052" customFormat="1" ht="19.8" x14ac:dyDescent="0.3">
      <c r="A17" s="2106" t="s">
        <v>2522</v>
      </c>
      <c r="B17" s="2120"/>
      <c r="C17" s="2037"/>
    </row>
    <row r="18" spans="1:45" s="2052" customFormat="1" ht="15" customHeight="1" x14ac:dyDescent="0.35">
      <c r="A18" s="2111"/>
      <c r="B18" s="2920" t="s">
        <v>2521</v>
      </c>
      <c r="C18" s="2921"/>
      <c r="D18" s="1131">
        <v>133705</v>
      </c>
      <c r="E18" s="2117"/>
    </row>
    <row r="19" spans="1:45" s="2052" customFormat="1" ht="15" customHeight="1" x14ac:dyDescent="0.35">
      <c r="A19" s="2111"/>
      <c r="B19" s="2922" t="s">
        <v>1771</v>
      </c>
      <c r="C19" s="2923"/>
      <c r="D19" s="2119">
        <v>56804985</v>
      </c>
      <c r="E19" s="2117"/>
    </row>
    <row r="20" spans="1:45" s="2052" customFormat="1" ht="15" customHeight="1" x14ac:dyDescent="0.35">
      <c r="A20" s="2111"/>
      <c r="B20" s="2922" t="s">
        <v>2520</v>
      </c>
      <c r="C20" s="2923"/>
      <c r="D20" s="2118">
        <f>IF(AND(ISNUMBER(D18),ISNUMBER(D19)),D18/D19,"")</f>
        <v>2.3537546924798942E-3</v>
      </c>
      <c r="E20" s="2117"/>
    </row>
    <row r="21" spans="1:45" s="2052" customFormat="1" ht="15" customHeight="1" x14ac:dyDescent="0.35">
      <c r="A21" s="2111"/>
      <c r="B21" s="2922" t="s">
        <v>2519</v>
      </c>
      <c r="C21" s="2923"/>
      <c r="D21" s="2116" t="str">
        <f>IF(OR(D20="",ISBLANK('Supervisory information'!D15)), IF(AND(D20="", D22="Yes"), "Fill in cell above", ""), IF(AND(D18*'Supervisory information'!D15&lt;=100000000,D20&lt;=0.05), "Yes", "No"))</f>
        <v>No</v>
      </c>
    </row>
    <row r="22" spans="1:45" s="2052" customFormat="1" ht="15" customHeight="1" x14ac:dyDescent="0.35">
      <c r="A22" s="2111"/>
      <c r="B22" s="2922" t="s">
        <v>1035</v>
      </c>
      <c r="C22" s="2923"/>
      <c r="D22" s="2115" t="str">
        <f>IF(ISBLANK('CCR and CVA'!G73),"",'CCR and CVA'!G73)</f>
        <v>Yes</v>
      </c>
      <c r="E22" s="2108"/>
    </row>
    <row r="23" spans="1:45" s="2052" customFormat="1" ht="15" customHeight="1" x14ac:dyDescent="0.35">
      <c r="A23" s="2111"/>
      <c r="B23" s="2114" t="s">
        <v>2518</v>
      </c>
      <c r="C23" s="2113"/>
      <c r="D23" s="2112" t="str">
        <f>IF(OR(ISBLANK(D22),D22="", ISBLANK(D21), D21=""), IF(D21="No", "No", IF(ISNUMBER(D20), "Fill in cell above", IF(D20="", "No", ""))), IF(AND(D21="Yes", D22="Yes"), "Yes", "No"))</f>
        <v>No</v>
      </c>
      <c r="E23" s="2108"/>
    </row>
    <row r="24" spans="1:45" s="2052" customFormat="1" ht="13.5" customHeight="1" x14ac:dyDescent="0.35">
      <c r="A24" s="2111"/>
      <c r="B24" s="2110"/>
      <c r="C24" s="2109"/>
      <c r="D24" s="2107"/>
      <c r="E24" s="2108"/>
    </row>
    <row r="25" spans="1:45" s="2052" customFormat="1" ht="19.8" x14ac:dyDescent="0.3">
      <c r="A25" s="2106" t="s">
        <v>2517</v>
      </c>
      <c r="B25" s="2037"/>
      <c r="C25" s="2037"/>
      <c r="D25" s="2107"/>
      <c r="F25" s="2103"/>
      <c r="G25" s="2103"/>
      <c r="J25" s="2103"/>
      <c r="K25" s="2103"/>
      <c r="L25" s="2103"/>
      <c r="M25" s="2103"/>
      <c r="N25" s="2103"/>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2103"/>
      <c r="AP25" s="2103"/>
      <c r="AQ25" s="2103"/>
      <c r="AR25" s="2103"/>
      <c r="AS25" s="2103"/>
    </row>
    <row r="26" spans="1:45" s="2052" customFormat="1" ht="69" customHeight="1" x14ac:dyDescent="0.3">
      <c r="A26" s="2106"/>
      <c r="B26" s="2924" t="s">
        <v>2516</v>
      </c>
      <c r="C26" s="2924"/>
      <c r="D26" s="2105"/>
      <c r="E26" s="2038"/>
      <c r="F26" s="2104"/>
      <c r="G26" s="2104"/>
      <c r="H26" s="2038"/>
      <c r="I26" s="2038"/>
      <c r="J26" s="2104"/>
      <c r="K26" s="2104"/>
      <c r="L26" s="2104"/>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2104"/>
      <c r="AP26" s="2104"/>
      <c r="AQ26" s="2104"/>
      <c r="AR26" s="2104"/>
      <c r="AS26" s="2103"/>
    </row>
    <row r="27" spans="1:45" s="2037" customFormat="1" x14ac:dyDescent="0.3">
      <c r="A27" s="2100"/>
      <c r="B27" s="2102"/>
      <c r="C27" s="2101"/>
      <c r="D27" s="2931" t="s">
        <v>2515</v>
      </c>
      <c r="E27" s="2929"/>
      <c r="F27" s="2929"/>
      <c r="G27" s="2929"/>
      <c r="H27" s="2929"/>
      <c r="I27" s="2929"/>
      <c r="J27" s="2929"/>
      <c r="K27" s="2929"/>
      <c r="L27" s="2929"/>
      <c r="M27" s="2926"/>
      <c r="N27" s="2925" t="s">
        <v>2514</v>
      </c>
      <c r="O27" s="2929"/>
      <c r="P27" s="2929"/>
      <c r="Q27" s="2929"/>
      <c r="R27" s="2929"/>
      <c r="S27" s="2929"/>
      <c r="T27" s="2929"/>
      <c r="U27" s="2929"/>
      <c r="V27" s="2929"/>
      <c r="W27" s="2929"/>
      <c r="X27" s="2929"/>
      <c r="Y27" s="2929"/>
      <c r="Z27" s="2929"/>
      <c r="AA27" s="2929"/>
      <c r="AB27" s="2929"/>
      <c r="AC27" s="2929"/>
      <c r="AD27" s="2929"/>
      <c r="AE27" s="2929"/>
      <c r="AF27" s="2929"/>
      <c r="AG27" s="2929"/>
      <c r="AH27" s="2929"/>
      <c r="AI27" s="2929"/>
      <c r="AJ27" s="2929"/>
      <c r="AK27" s="2929"/>
      <c r="AL27" s="2929"/>
      <c r="AM27" s="2929"/>
      <c r="AN27" s="2929"/>
      <c r="AO27" s="2929"/>
      <c r="AP27" s="2929"/>
      <c r="AQ27" s="2929"/>
      <c r="AR27" s="2929"/>
      <c r="AS27" s="2052"/>
    </row>
    <row r="28" spans="1:45" s="2037" customFormat="1" x14ac:dyDescent="0.3">
      <c r="A28" s="2100"/>
      <c r="B28" s="2100"/>
      <c r="C28" s="2052"/>
      <c r="D28" s="2925" t="s">
        <v>746</v>
      </c>
      <c r="E28" s="2930"/>
      <c r="F28" s="2929" t="s">
        <v>2513</v>
      </c>
      <c r="G28" s="2929"/>
      <c r="H28" s="2929"/>
      <c r="I28" s="2929"/>
      <c r="J28" s="2929"/>
      <c r="K28" s="2929"/>
      <c r="L28" s="2929"/>
      <c r="M28" s="2926"/>
      <c r="N28" s="2925" t="s">
        <v>746</v>
      </c>
      <c r="O28" s="2929"/>
      <c r="P28" s="2931" t="s">
        <v>2513</v>
      </c>
      <c r="Q28" s="2929"/>
      <c r="R28" s="2929"/>
      <c r="S28" s="2929"/>
      <c r="T28" s="2929"/>
      <c r="U28" s="2929"/>
      <c r="V28" s="2929"/>
      <c r="W28" s="2929"/>
      <c r="X28" s="2929"/>
      <c r="Y28" s="2929"/>
      <c r="Z28" s="2929"/>
      <c r="AA28" s="2929"/>
      <c r="AB28" s="2929"/>
      <c r="AC28" s="2929"/>
      <c r="AD28" s="2929"/>
      <c r="AE28" s="2929"/>
      <c r="AF28" s="2929"/>
      <c r="AG28" s="2929"/>
      <c r="AH28" s="2929"/>
      <c r="AI28" s="2929"/>
      <c r="AJ28" s="2929"/>
      <c r="AK28" s="2929"/>
      <c r="AL28" s="2929"/>
      <c r="AM28" s="2929"/>
      <c r="AN28" s="2929"/>
      <c r="AO28" s="2929"/>
      <c r="AP28" s="2929"/>
      <c r="AQ28" s="2929"/>
      <c r="AR28" s="2929"/>
      <c r="AS28" s="2052"/>
    </row>
    <row r="29" spans="1:45" s="2037" customFormat="1" ht="37.5" customHeight="1" x14ac:dyDescent="0.35">
      <c r="A29" s="2100"/>
      <c r="B29" s="2100"/>
      <c r="C29" s="2052"/>
      <c r="D29" s="2938" t="s">
        <v>2506</v>
      </c>
      <c r="E29" s="2938" t="s">
        <v>2505</v>
      </c>
      <c r="F29" s="2938" t="s">
        <v>2512</v>
      </c>
      <c r="G29" s="2957" t="s">
        <v>2511</v>
      </c>
      <c r="H29" s="2964" t="s">
        <v>2510</v>
      </c>
      <c r="I29" s="2957" t="s">
        <v>2508</v>
      </c>
      <c r="J29" s="2960" t="s">
        <v>2509</v>
      </c>
      <c r="K29" s="2957" t="s">
        <v>2508</v>
      </c>
      <c r="L29" s="2961" t="s">
        <v>2507</v>
      </c>
      <c r="M29" s="2962" t="str">
        <f>"Check: Col L Total not calculated due to missing flags in General Info rows " &amp; ROW('General Info'!$C$38) &amp; " and " &amp; ROW('General Info'!$C$39) &amp; " or in EU General Info row " &amp; ROW('EU General Info'!$C$11)</f>
        <v>Check: Col L Total not calculated due to missing flags in General Info rows 38 and 39 or in EU General Info row 11</v>
      </c>
      <c r="N29" s="2956" t="s">
        <v>2506</v>
      </c>
      <c r="O29" s="2938" t="s">
        <v>2505</v>
      </c>
      <c r="P29" s="2932" t="s">
        <v>2498</v>
      </c>
      <c r="Q29" s="2930"/>
      <c r="R29" s="2933" t="s">
        <v>2504</v>
      </c>
      <c r="S29" s="2933"/>
      <c r="T29" s="2933"/>
      <c r="U29" s="2933"/>
      <c r="V29" s="2934"/>
      <c r="W29" s="2932" t="s">
        <v>2503</v>
      </c>
      <c r="X29" s="2929"/>
      <c r="Y29" s="2929"/>
      <c r="Z29" s="2929"/>
      <c r="AA29" s="2929"/>
      <c r="AB29" s="2929"/>
      <c r="AC29" s="2929"/>
      <c r="AD29" s="2929"/>
      <c r="AE29" s="2929"/>
      <c r="AF29" s="2929"/>
      <c r="AG29" s="2929"/>
      <c r="AH29" s="2929"/>
      <c r="AI29" s="2929"/>
      <c r="AJ29" s="2929"/>
      <c r="AK29" s="2929"/>
      <c r="AL29" s="2929"/>
      <c r="AM29" s="2929"/>
      <c r="AN29" s="2929"/>
      <c r="AO29" s="2929"/>
      <c r="AP29" s="2929"/>
      <c r="AQ29" s="2930"/>
      <c r="AR29" s="2935" t="s">
        <v>2502</v>
      </c>
      <c r="AS29" s="2052"/>
    </row>
    <row r="30" spans="1:45" s="2037" customFormat="1" ht="35.25" customHeight="1" x14ac:dyDescent="0.3">
      <c r="A30" s="2100"/>
      <c r="B30" s="2100"/>
      <c r="C30" s="2052"/>
      <c r="D30" s="2939"/>
      <c r="E30" s="2939"/>
      <c r="F30" s="2939"/>
      <c r="G30" s="2958"/>
      <c r="H30" s="2965"/>
      <c r="I30" s="2958"/>
      <c r="J30" s="2956"/>
      <c r="K30" s="2958"/>
      <c r="L30" s="2961"/>
      <c r="M30" s="2962"/>
      <c r="N30" s="2956"/>
      <c r="O30" s="2939"/>
      <c r="P30" s="2938" t="s">
        <v>1045</v>
      </c>
      <c r="Q30" s="2944" t="s">
        <v>1044</v>
      </c>
      <c r="R30" s="2949" t="s">
        <v>1045</v>
      </c>
      <c r="S30" s="2952" t="s">
        <v>1048</v>
      </c>
      <c r="T30" s="2935" t="s">
        <v>1049</v>
      </c>
      <c r="U30" s="2944" t="s">
        <v>1044</v>
      </c>
      <c r="V30" s="2944" t="s">
        <v>2501</v>
      </c>
      <c r="W30" s="2947" t="s">
        <v>2500</v>
      </c>
      <c r="X30" s="2948"/>
      <c r="Y30" s="2948"/>
      <c r="Z30" s="2948"/>
      <c r="AA30" s="2948"/>
      <c r="AB30" s="2948"/>
      <c r="AC30" s="2948"/>
      <c r="AD30" s="2948"/>
      <c r="AE30" s="2948"/>
      <c r="AF30" s="2948"/>
      <c r="AG30" s="2948"/>
      <c r="AH30" s="2948"/>
      <c r="AI30" s="2948"/>
      <c r="AJ30" s="2941"/>
      <c r="AK30" s="2931" t="s">
        <v>2499</v>
      </c>
      <c r="AL30" s="2929"/>
      <c r="AM30" s="2929"/>
      <c r="AN30" s="2929"/>
      <c r="AO30" s="2929"/>
      <c r="AP30" s="2929"/>
      <c r="AQ30" s="2930"/>
      <c r="AR30" s="2936"/>
      <c r="AS30" s="2052"/>
    </row>
    <row r="31" spans="1:45" s="2037" customFormat="1" x14ac:dyDescent="0.3">
      <c r="A31" s="2100"/>
      <c r="B31" s="2100"/>
      <c r="C31" s="2052"/>
      <c r="D31" s="2939"/>
      <c r="E31" s="2939"/>
      <c r="F31" s="2939"/>
      <c r="G31" s="2958"/>
      <c r="H31" s="2965"/>
      <c r="I31" s="2958"/>
      <c r="J31" s="2956"/>
      <c r="K31" s="2958"/>
      <c r="L31" s="2961"/>
      <c r="M31" s="2962"/>
      <c r="N31" s="2956"/>
      <c r="O31" s="2939"/>
      <c r="P31" s="2939"/>
      <c r="Q31" s="2945"/>
      <c r="R31" s="2950"/>
      <c r="S31" s="2952"/>
      <c r="T31" s="2936"/>
      <c r="U31" s="2945"/>
      <c r="V31" s="2945"/>
      <c r="W31" s="2932" t="s">
        <v>1145</v>
      </c>
      <c r="X31" s="2926"/>
      <c r="Y31" s="2925" t="s">
        <v>1056</v>
      </c>
      <c r="Z31" s="2926"/>
      <c r="AA31" s="2925" t="s">
        <v>1057</v>
      </c>
      <c r="AB31" s="2926"/>
      <c r="AC31" s="2925" t="s">
        <v>1058</v>
      </c>
      <c r="AD31" s="2926"/>
      <c r="AE31" s="2925" t="s">
        <v>1059</v>
      </c>
      <c r="AF31" s="2926"/>
      <c r="AG31" s="2925" t="s">
        <v>1060</v>
      </c>
      <c r="AH31" s="2926"/>
      <c r="AI31" s="2927" t="s">
        <v>59</v>
      </c>
      <c r="AJ31" s="2953" t="s">
        <v>1044</v>
      </c>
      <c r="AK31" s="2937" t="s">
        <v>2498</v>
      </c>
      <c r="AL31" s="2941"/>
      <c r="AM31" s="2931" t="s">
        <v>2497</v>
      </c>
      <c r="AN31" s="2929"/>
      <c r="AO31" s="2929"/>
      <c r="AP31" s="2929"/>
      <c r="AQ31" s="2930"/>
      <c r="AR31" s="2936"/>
      <c r="AS31" s="2052"/>
    </row>
    <row r="32" spans="1:45" s="2037" customFormat="1" ht="60" x14ac:dyDescent="0.3">
      <c r="A32" s="2100"/>
      <c r="B32" s="2099"/>
      <c r="C32" s="2038"/>
      <c r="D32" s="2940"/>
      <c r="E32" s="2940"/>
      <c r="F32" s="2940"/>
      <c r="G32" s="2959"/>
      <c r="H32" s="2966"/>
      <c r="I32" s="2959"/>
      <c r="J32" s="2941"/>
      <c r="K32" s="2959"/>
      <c r="L32" s="2948"/>
      <c r="M32" s="2963"/>
      <c r="N32" s="2941"/>
      <c r="O32" s="2940"/>
      <c r="P32" s="2940"/>
      <c r="Q32" s="2946"/>
      <c r="R32" s="2951"/>
      <c r="S32" s="2947"/>
      <c r="T32" s="2937"/>
      <c r="U32" s="2946"/>
      <c r="V32" s="2946"/>
      <c r="W32" s="2098" t="s">
        <v>1052</v>
      </c>
      <c r="X32" s="2097" t="s">
        <v>1053</v>
      </c>
      <c r="Y32" s="2096" t="s">
        <v>1052</v>
      </c>
      <c r="Z32" s="2096" t="s">
        <v>1053</v>
      </c>
      <c r="AA32" s="2096" t="s">
        <v>1052</v>
      </c>
      <c r="AB32" s="2096" t="s">
        <v>1053</v>
      </c>
      <c r="AC32" s="2096" t="s">
        <v>1052</v>
      </c>
      <c r="AD32" s="2096" t="s">
        <v>1053</v>
      </c>
      <c r="AE32" s="2096" t="s">
        <v>1052</v>
      </c>
      <c r="AF32" s="2096" t="s">
        <v>1053</v>
      </c>
      <c r="AG32" s="2096" t="s">
        <v>1052</v>
      </c>
      <c r="AH32" s="2096" t="s">
        <v>1053</v>
      </c>
      <c r="AI32" s="2928"/>
      <c r="AJ32" s="2954"/>
      <c r="AK32" s="2095" t="s">
        <v>1045</v>
      </c>
      <c r="AL32" s="2094" t="s">
        <v>1044</v>
      </c>
      <c r="AM32" s="2093" t="s">
        <v>1045</v>
      </c>
      <c r="AN32" s="2092" t="s">
        <v>1048</v>
      </c>
      <c r="AO32" s="2091" t="s">
        <v>1049</v>
      </c>
      <c r="AP32" s="2090" t="s">
        <v>1044</v>
      </c>
      <c r="AQ32" s="2089" t="s">
        <v>2496</v>
      </c>
      <c r="AR32" s="2937"/>
      <c r="AS32" s="2052"/>
    </row>
    <row r="33" spans="1:46" s="2037" customFormat="1" ht="15.6" x14ac:dyDescent="0.3">
      <c r="A33" s="2076"/>
      <c r="B33" s="2942" t="s">
        <v>2495</v>
      </c>
      <c r="C33" s="2072" t="s">
        <v>2494</v>
      </c>
      <c r="D33" s="2088">
        <v>15990</v>
      </c>
      <c r="E33" s="2066">
        <v>653</v>
      </c>
      <c r="F33" s="2087"/>
      <c r="G33" s="2078" t="str">
        <f t="shared" ref="G33:G45" si="1">IF($E$6="Yes", IF(ISNUMBER(F33), "Pass", "Fail"), IF(ISNUMBER(F33), "Fail", "Pass"))</f>
        <v>Pass</v>
      </c>
      <c r="H33" s="2057">
        <v>668</v>
      </c>
      <c r="I33" s="2078" t="str">
        <f t="shared" ref="I33:I45" si="2">IF($E$7="Yes", IF(ISNUMBER(H33), "Pass", "Fail"), IF(ISNUMBER(H33), "Fail", "Pass"))</f>
        <v>Pass</v>
      </c>
      <c r="J33" s="2057"/>
      <c r="K33" s="2078" t="str">
        <f t="shared" ref="K33:K45" si="3">IF($E$8="Yes", IF(ISNUMBER(J33), "Pass", "Fail"), IF(ISNUMBER(J33), "Fail", "Pass"))</f>
        <v>Pass</v>
      </c>
      <c r="L33" s="2086">
        <f>IF(AND('EU General Info'!$C$11="No",'General Info'!$C$39="Yes",'General Info'!$C$38="Yes"),IF(AND(ISNUMBER(H33),ISNUMBER(J33)),H33+J33,""),IF(AND('EU General Info'!$C$11="No",'General Info'!$C$39="No",'General Info'!$C$38="Yes"),IF(ISNUMBER(J33),J33,""),IF(AND('EU General Info'!$C$11="No",'General Info'!$C$39="Yes",'General Info'!$C$38="No"),IF(ISNUMBER(H33),H33,""),IF(AND('EU General Info'!$C$11="Yes",'General Info'!$C$39="No",'General Info'!$C$38="No"),IF(ISNUMBER(F33),F33,""),IF(AND('EU General Info'!$C$11="Yes",'General Info'!$C$39="Yes",'General Info'!$C$38="Yes"),IF(AND(ISNUMBER(F33),ISNUMBER(H33),ISNUMBER(J33)),F33+H33+J33,""),IF(AND('EU General Info'!$C$11="Yes",'General Info'!$C$39="No",'General Info'!$C$38="Yes"),IF(AND(ISNUMBER(F33),ISNUMBER(J33)),F33+J33,""),IF(AND('EU General Info'!$C$11="Yes",'General Info'!$C$39="Yes",'General Info'!$C$38="No"),IF(AND(ISNUMBER(F33),ISNUMBER(H33)),F33+H33,""),"")))))))</f>
        <v>668</v>
      </c>
      <c r="M33" s="2085" t="str">
        <f>IF(AND(OR(ISBLANK('General Info'!$C$38),ISBLANK('General Info'!$C$39),ISBLANK('EU General Info'!$C$11)),OR('EU CVA'!F33&lt;&gt;"",'EU CVA'!H33&lt;&gt;"",'EU CVA'!J33&lt;&gt;"")),"Fail","")</f>
        <v/>
      </c>
      <c r="N33" s="2084">
        <f t="shared" ref="N33:N45" si="4">IF(ISNUMBER(D33),D33,"")</f>
        <v>15990</v>
      </c>
      <c r="O33" s="2057"/>
      <c r="P33" s="2081"/>
      <c r="Q33" s="2078" t="str">
        <f t="shared" ref="Q33:Q45" si="5">IF($H$11="Yes", IF(ISNUMBER(P33), "Pass", "Fail"), IF(ISNUMBER(P33), "Fail", "Pass"))</f>
        <v>Pass</v>
      </c>
      <c r="R33" s="2081"/>
      <c r="S33" s="2081"/>
      <c r="T33" s="2083" t="str">
        <f t="shared" ref="T33:T45" si="6">IF(AND(ISNUMBER(R33),ISNUMBER(S33)),0.25*R33+0.75*S33,"")</f>
        <v/>
      </c>
      <c r="U33" s="2078" t="str">
        <f t="shared" ref="U33:U45" si="7">IF($H$12="Yes", IF(AND(ISNUMBER(R33),ISNUMBER(S33)), "Pass", "Fail"), IF(OR(ISNUMBER(R33),ISNUMBER(S33)), "Fail", "Pass"))</f>
        <v>Pass</v>
      </c>
      <c r="V33" s="1892" t="str">
        <f t="shared" ref="V33:V42" si="8">IF(OR(R33&gt;0, S33&gt;0), IF(AND(R33&gt;0, S33&gt;0, R33&lt;&gt;S33), "Pass", "Fail"), "")</f>
        <v/>
      </c>
      <c r="W33" s="2082"/>
      <c r="X33" s="2057"/>
      <c r="Y33" s="2057"/>
      <c r="Z33" s="2057"/>
      <c r="AA33" s="2057"/>
      <c r="AB33" s="2058"/>
      <c r="AC33" s="2057"/>
      <c r="AD33" s="2057"/>
      <c r="AE33" s="2057"/>
      <c r="AF33" s="2057"/>
      <c r="AG33" s="2057"/>
      <c r="AH33" s="2057"/>
      <c r="AI33" s="2053" t="str">
        <f t="shared" ref="AI33:AI45" si="9">IF(AND( COUNT(W33:AA33)=COLUMNS(W33:AA33), COUNT(AC33:AH33)=COLUMNS(AC33:AH33)), SUM(W33:AA33,AC33:AH33), "")</f>
        <v/>
      </c>
      <c r="AJ33" s="2078" t="str">
        <f t="shared" ref="AJ33:AJ45" si="10">IF($H$13="Yes", IF(ISNUMBER(AI33), "Pass", "Fail"), IF(ISNUMBER(AI33), "Fail", "Pass"))</f>
        <v>Pass</v>
      </c>
      <c r="AK33" s="2081"/>
      <c r="AL33" s="2078" t="str">
        <f t="shared" ref="AL33:AL45" si="11">IF($H$14="Yes", IF(ISNUMBER(AK33), "Pass", "Fail"), IF(ISNUMBER(AK33), "Fail", "Pass"))</f>
        <v>Pass</v>
      </c>
      <c r="AM33" s="2080"/>
      <c r="AN33" s="2080"/>
      <c r="AO33" s="2079" t="str">
        <f>IF(AND(ISNUMBER(AM33),ISNUMBER(AN33)),0.25*AM33+0.75*AN33,"")</f>
        <v/>
      </c>
      <c r="AP33" s="2078" t="str">
        <f t="shared" ref="AP33:AP45" si="12">IF($H$15="Yes", IF(AND(ISNUMBER(AM33),ISNUMBER(AN33)), "Pass", "Fail"), IF(OR(ISNUMBER(AM33),ISNUMBER(AN33)), "Fail", "Pass"))</f>
        <v>Pass</v>
      </c>
      <c r="AQ33" s="2077" t="str">
        <f t="shared" ref="AQ33:AQ42" si="13">IF(OR(AM33&gt;0, AN33&gt;0), IF(AND(AM33&gt;0, AN33&gt;0, AM33&lt;&gt;AN33), "Pass", "Fail"), "")</f>
        <v/>
      </c>
      <c r="AR33" s="2053">
        <f t="shared" ref="AR33:AR42" si="14">IF(OR($D$23="Yes", $D$23="No"), IF($D$23="Yes", IF(ISNUMBER(O33), O33, ""), IF(AND(_xlfn.XOR($H$11="No", ISNUMBER(P33)), _xlfn.XOR($H$12="No", ISNUMBER(T33)), _xlfn.XOR($H$13="No", ISNUMBER(AI33)), _xlfn.XOR($H$14="No", ISNUMBER(AK33)), _xlfn.XOR($H$15="No", ISNUMBER(AO33))), SUM(0.65*P33+0.65*_xlfn.NUMBERVALUE(T33)+_xlfn.NUMBERVALUE(AI33)+0.65*AK33+0.65*_xlfn.NUMBERVALUE(AO33)), "")), "")</f>
        <v>0</v>
      </c>
      <c r="AS33" s="2052"/>
    </row>
    <row r="34" spans="1:46" s="2037" customFormat="1" ht="15.6" x14ac:dyDescent="0.3">
      <c r="A34" s="2076"/>
      <c r="B34" s="2943"/>
      <c r="C34" s="2068" t="s">
        <v>2493</v>
      </c>
      <c r="D34" s="2067">
        <v>15990</v>
      </c>
      <c r="E34" s="2066">
        <v>653</v>
      </c>
      <c r="F34" s="2065"/>
      <c r="G34" s="2054" t="str">
        <f t="shared" si="1"/>
        <v>Pass</v>
      </c>
      <c r="H34" s="2057">
        <v>668</v>
      </c>
      <c r="I34" s="2054" t="str">
        <f t="shared" si="2"/>
        <v>Pass</v>
      </c>
      <c r="J34" s="2057"/>
      <c r="K34" s="2064" t="str">
        <f t="shared" si="3"/>
        <v>Pass</v>
      </c>
      <c r="L34" s="2063">
        <f>IF(AND('EU General Info'!$C$11="No",'General Info'!$C$39="Yes",'General Info'!$C$38="Yes"),IF(AND(ISNUMBER(H34),ISNUMBER(J34)),H34+J34,""),IF(AND('EU General Info'!$C$11="No",'General Info'!$C$39="No",'General Info'!$C$38="Yes"),IF(ISNUMBER(J34),J34,""),IF(AND('EU General Info'!$C$11="No",'General Info'!$C$39="Yes",'General Info'!$C$38="No"),IF(ISNUMBER(H34),H34,""),IF(AND('EU General Info'!$C$11="Yes",'General Info'!$C$39="No",'General Info'!$C$38="No"),IF(ISNUMBER(F34),F34,""),IF(AND('EU General Info'!$C$11="Yes",'General Info'!$C$39="Yes",'General Info'!$C$38="Yes"),IF(AND(ISNUMBER(F34),ISNUMBER(H34),ISNUMBER(J34)),F34+H34+J34,""),IF(AND('EU General Info'!$C$11="Yes",'General Info'!$C$39="No",'General Info'!$C$38="Yes"),IF(AND(ISNUMBER(F34),ISNUMBER(J34)),F34+J34,""),IF(AND('EU General Info'!$C$11="Yes",'General Info'!$C$39="Yes",'General Info'!$C$38="No"),IF(AND(ISNUMBER(F34),ISNUMBER(H34)),F34+H34,""),"")))))))</f>
        <v>668</v>
      </c>
      <c r="M34" s="2062" t="str">
        <f>IF(AND(OR(ISBLANK('General Info'!$C$38),ISBLANK('General Info'!$C$39),ISBLANK('EU General Info'!$C$11)),OR('EU CVA'!F34&lt;&gt;"",'EU CVA'!H34&lt;&gt;"",'EU CVA'!J34&lt;&gt;"")),"Fail","")</f>
        <v/>
      </c>
      <c r="N34" s="2061">
        <f t="shared" si="4"/>
        <v>15990</v>
      </c>
      <c r="O34" s="2057"/>
      <c r="P34" s="2057"/>
      <c r="Q34" s="2054" t="str">
        <f t="shared" si="5"/>
        <v>Pass</v>
      </c>
      <c r="R34" s="2057"/>
      <c r="S34" s="2057"/>
      <c r="T34" s="2059" t="str">
        <f t="shared" si="6"/>
        <v/>
      </c>
      <c r="U34" s="2054" t="str">
        <f t="shared" si="7"/>
        <v>Pass</v>
      </c>
      <c r="V34" s="1892" t="str">
        <f t="shared" si="8"/>
        <v/>
      </c>
      <c r="W34" s="2075"/>
      <c r="X34" s="2057"/>
      <c r="Y34" s="2057"/>
      <c r="Z34" s="2057"/>
      <c r="AA34" s="2057"/>
      <c r="AB34" s="2058"/>
      <c r="AC34" s="2057"/>
      <c r="AD34" s="2057"/>
      <c r="AE34" s="2057"/>
      <c r="AF34" s="2057"/>
      <c r="AG34" s="2057"/>
      <c r="AH34" s="2057"/>
      <c r="AI34" s="2053" t="str">
        <f t="shared" si="9"/>
        <v/>
      </c>
      <c r="AJ34" s="2054" t="str">
        <f t="shared" si="10"/>
        <v>Pass</v>
      </c>
      <c r="AK34" s="2057"/>
      <c r="AL34" s="2054" t="str">
        <f t="shared" si="11"/>
        <v>Pass</v>
      </c>
      <c r="AM34" s="2057"/>
      <c r="AN34" s="2057"/>
      <c r="AO34" s="2053" t="str">
        <f t="shared" ref="AO34:AO42" si="15">IF(AND(ISNUMBER(AK34),ISNUMBER(AM34)),0.25*AK34+0.75*AM34,"")</f>
        <v/>
      </c>
      <c r="AP34" s="2054" t="str">
        <f t="shared" si="12"/>
        <v>Pass</v>
      </c>
      <c r="AQ34" s="1892" t="str">
        <f t="shared" si="13"/>
        <v/>
      </c>
      <c r="AR34" s="2053">
        <f t="shared" si="14"/>
        <v>0</v>
      </c>
      <c r="AS34" s="2052"/>
    </row>
    <row r="35" spans="1:46" s="2037" customFormat="1" ht="30" x14ac:dyDescent="0.3">
      <c r="A35" s="2076"/>
      <c r="B35" s="2942" t="s">
        <v>2492</v>
      </c>
      <c r="C35" s="2072" t="s">
        <v>2491</v>
      </c>
      <c r="D35" s="2067">
        <v>160309</v>
      </c>
      <c r="E35" s="2066">
        <v>30298</v>
      </c>
      <c r="F35" s="2065"/>
      <c r="G35" s="2054" t="str">
        <f t="shared" si="1"/>
        <v>Pass</v>
      </c>
      <c r="H35" s="2057">
        <v>9484</v>
      </c>
      <c r="I35" s="2054" t="str">
        <f t="shared" si="2"/>
        <v>Pass</v>
      </c>
      <c r="J35" s="2057"/>
      <c r="K35" s="2064" t="str">
        <f t="shared" si="3"/>
        <v>Pass</v>
      </c>
      <c r="L35" s="2063">
        <f>IF(AND('EU General Info'!$C$11="No",'General Info'!$C$39="Yes",'General Info'!$C$38="Yes"),IF(AND(ISNUMBER(H35),ISNUMBER(J35)),H35+J35,""),IF(AND('EU General Info'!$C$11="No",'General Info'!$C$39="No",'General Info'!$C$38="Yes"),IF(ISNUMBER(J35),J35,""),IF(AND('EU General Info'!$C$11="No",'General Info'!$C$39="Yes",'General Info'!$C$38="No"),IF(ISNUMBER(H35),H35,""),IF(AND('EU General Info'!$C$11="Yes",'General Info'!$C$39="No",'General Info'!$C$38="No"),IF(ISNUMBER(F35),F35,""),IF(AND('EU General Info'!$C$11="Yes",'General Info'!$C$39="Yes",'General Info'!$C$38="Yes"),IF(AND(ISNUMBER(F35),ISNUMBER(H35),ISNUMBER(J35)),F35+H35+J35,""),IF(AND('EU General Info'!$C$11="Yes",'General Info'!$C$39="No",'General Info'!$C$38="Yes"),IF(AND(ISNUMBER(F35),ISNUMBER(J35)),F35+J35,""),IF(AND('EU General Info'!$C$11="Yes",'General Info'!$C$39="Yes",'General Info'!$C$38="No"),IF(AND(ISNUMBER(F35),ISNUMBER(H35)),F35+H35,""),"")))))))</f>
        <v>9484</v>
      </c>
      <c r="M35" s="2062" t="str">
        <f>IF(AND(OR(ISBLANK('General Info'!$C$38),ISBLANK('General Info'!$C$39),ISBLANK('EU General Info'!$C$11)),OR('EU CVA'!F35&lt;&gt;"",'EU CVA'!H35&lt;&gt;"",'EU CVA'!J35&lt;&gt;"")),"Fail","")</f>
        <v/>
      </c>
      <c r="N35" s="2061">
        <f t="shared" si="4"/>
        <v>160309</v>
      </c>
      <c r="O35" s="2057"/>
      <c r="P35" s="2057"/>
      <c r="Q35" s="2054" t="str">
        <f t="shared" si="5"/>
        <v>Pass</v>
      </c>
      <c r="R35" s="2057"/>
      <c r="S35" s="2057"/>
      <c r="T35" s="2059" t="str">
        <f t="shared" si="6"/>
        <v/>
      </c>
      <c r="U35" s="2054" t="str">
        <f t="shared" si="7"/>
        <v>Pass</v>
      </c>
      <c r="V35" s="1892" t="str">
        <f t="shared" si="8"/>
        <v/>
      </c>
      <c r="W35" s="2075"/>
      <c r="X35" s="2057"/>
      <c r="Y35" s="2057"/>
      <c r="Z35" s="2057"/>
      <c r="AA35" s="2057"/>
      <c r="AB35" s="2058"/>
      <c r="AC35" s="2057"/>
      <c r="AD35" s="2057"/>
      <c r="AE35" s="2057"/>
      <c r="AF35" s="2057"/>
      <c r="AG35" s="2057"/>
      <c r="AH35" s="2057"/>
      <c r="AI35" s="2053" t="str">
        <f t="shared" si="9"/>
        <v/>
      </c>
      <c r="AJ35" s="2054" t="str">
        <f t="shared" si="10"/>
        <v>Pass</v>
      </c>
      <c r="AK35" s="2057"/>
      <c r="AL35" s="2054" t="str">
        <f t="shared" si="11"/>
        <v>Pass</v>
      </c>
      <c r="AM35" s="2057"/>
      <c r="AN35" s="2057"/>
      <c r="AO35" s="2053" t="str">
        <f t="shared" si="15"/>
        <v/>
      </c>
      <c r="AP35" s="2054" t="str">
        <f t="shared" si="12"/>
        <v>Pass</v>
      </c>
      <c r="AQ35" s="1892" t="str">
        <f t="shared" si="13"/>
        <v/>
      </c>
      <c r="AR35" s="2053">
        <f t="shared" si="14"/>
        <v>0</v>
      </c>
      <c r="AS35" s="2052"/>
    </row>
    <row r="36" spans="1:46" s="2037" customFormat="1" ht="15.6" x14ac:dyDescent="0.3">
      <c r="A36" s="2052"/>
      <c r="B36" s="2955"/>
      <c r="C36" s="2073" t="s">
        <v>2490</v>
      </c>
      <c r="D36" s="2067">
        <v>101310</v>
      </c>
      <c r="E36" s="2066">
        <v>2026</v>
      </c>
      <c r="F36" s="2065"/>
      <c r="G36" s="2054" t="str">
        <f t="shared" si="1"/>
        <v>Pass</v>
      </c>
      <c r="H36" s="2057">
        <v>8496</v>
      </c>
      <c r="I36" s="2054" t="str">
        <f t="shared" si="2"/>
        <v>Pass</v>
      </c>
      <c r="J36" s="2057"/>
      <c r="K36" s="2064" t="str">
        <f t="shared" si="3"/>
        <v>Pass</v>
      </c>
      <c r="L36" s="2063">
        <f>IF(AND('EU General Info'!$C$11="No",'General Info'!$C$39="Yes",'General Info'!$C$38="Yes"),IF(AND(ISNUMBER(H36),ISNUMBER(J36)),H36+J36,""),IF(AND('EU General Info'!$C$11="No",'General Info'!$C$39="No",'General Info'!$C$38="Yes"),IF(ISNUMBER(J36),J36,""),IF(AND('EU General Info'!$C$11="No",'General Info'!$C$39="Yes",'General Info'!$C$38="No"),IF(ISNUMBER(H36),H36,""),IF(AND('EU General Info'!$C$11="Yes",'General Info'!$C$39="No",'General Info'!$C$38="No"),IF(ISNUMBER(F36),F36,""),IF(AND('EU General Info'!$C$11="Yes",'General Info'!$C$39="Yes",'General Info'!$C$38="Yes"),IF(AND(ISNUMBER(F36),ISNUMBER(H36),ISNUMBER(J36)),F36+H36+J36,""),IF(AND('EU General Info'!$C$11="Yes",'General Info'!$C$39="No",'General Info'!$C$38="Yes"),IF(AND(ISNUMBER(F36),ISNUMBER(J36)),F36+J36,""),IF(AND('EU General Info'!$C$11="Yes",'General Info'!$C$39="Yes",'General Info'!$C$38="No"),IF(AND(ISNUMBER(F36),ISNUMBER(H36)),F36+H36,""),"")))))))</f>
        <v>8496</v>
      </c>
      <c r="M36" s="2062" t="str">
        <f>IF(AND(OR(ISBLANK('General Info'!$C$38),ISBLANK('General Info'!$C$39),ISBLANK('EU General Info'!$C$11)),OR('EU CVA'!F36&lt;&gt;"",'EU CVA'!H36&lt;&gt;"",'EU CVA'!J36&lt;&gt;"")),"Fail","")</f>
        <v/>
      </c>
      <c r="N36" s="2061">
        <f t="shared" si="4"/>
        <v>101310</v>
      </c>
      <c r="O36" s="2057"/>
      <c r="P36" s="2057"/>
      <c r="Q36" s="2054" t="str">
        <f t="shared" si="5"/>
        <v>Pass</v>
      </c>
      <c r="R36" s="2057"/>
      <c r="S36" s="2057"/>
      <c r="T36" s="2059" t="str">
        <f t="shared" si="6"/>
        <v/>
      </c>
      <c r="U36" s="2054" t="str">
        <f t="shared" si="7"/>
        <v>Pass</v>
      </c>
      <c r="V36" s="1892" t="str">
        <f t="shared" si="8"/>
        <v/>
      </c>
      <c r="W36" s="2057"/>
      <c r="X36" s="2057"/>
      <c r="Y36" s="2057"/>
      <c r="Z36" s="2057"/>
      <c r="AA36" s="2057"/>
      <c r="AB36" s="2058"/>
      <c r="AC36" s="2057"/>
      <c r="AD36" s="2057"/>
      <c r="AE36" s="2057"/>
      <c r="AF36" s="2057"/>
      <c r="AG36" s="2057"/>
      <c r="AH36" s="2057"/>
      <c r="AI36" s="2053" t="str">
        <f t="shared" si="9"/>
        <v/>
      </c>
      <c r="AJ36" s="2054" t="str">
        <f t="shared" si="10"/>
        <v>Pass</v>
      </c>
      <c r="AK36" s="2057"/>
      <c r="AL36" s="2054" t="str">
        <f t="shared" si="11"/>
        <v>Pass</v>
      </c>
      <c r="AM36" s="2057"/>
      <c r="AN36" s="2057"/>
      <c r="AO36" s="2069" t="str">
        <f t="shared" si="15"/>
        <v/>
      </c>
      <c r="AP36" s="2054" t="str">
        <f t="shared" si="12"/>
        <v>Pass</v>
      </c>
      <c r="AQ36" s="1892" t="str">
        <f t="shared" si="13"/>
        <v/>
      </c>
      <c r="AR36" s="2053">
        <f t="shared" si="14"/>
        <v>0</v>
      </c>
      <c r="AS36" s="2052"/>
    </row>
    <row r="37" spans="1:46" s="2037" customFormat="1" ht="15.6" x14ac:dyDescent="0.3">
      <c r="A37" s="2052"/>
      <c r="B37" s="2955"/>
      <c r="C37" s="2073" t="s">
        <v>2489</v>
      </c>
      <c r="D37" s="2067">
        <v>42421</v>
      </c>
      <c r="E37" s="2066">
        <v>18920</v>
      </c>
      <c r="F37" s="2065"/>
      <c r="G37" s="2054" t="str">
        <f t="shared" si="1"/>
        <v>Pass</v>
      </c>
      <c r="H37" s="2057">
        <v>1091</v>
      </c>
      <c r="I37" s="2054" t="str">
        <f t="shared" si="2"/>
        <v>Pass</v>
      </c>
      <c r="J37" s="2057"/>
      <c r="K37" s="2064" t="str">
        <f t="shared" si="3"/>
        <v>Pass</v>
      </c>
      <c r="L37" s="2063">
        <f>IF(AND('EU General Info'!$C$11="No",'General Info'!$C$39="Yes",'General Info'!$C$38="Yes"),IF(AND(ISNUMBER(H37),ISNUMBER(J37)),H37+J37,""),IF(AND('EU General Info'!$C$11="No",'General Info'!$C$39="No",'General Info'!$C$38="Yes"),IF(ISNUMBER(J37),J37,""),IF(AND('EU General Info'!$C$11="No",'General Info'!$C$39="Yes",'General Info'!$C$38="No"),IF(ISNUMBER(H37),H37,""),IF(AND('EU General Info'!$C$11="Yes",'General Info'!$C$39="No",'General Info'!$C$38="No"),IF(ISNUMBER(F37),F37,""),IF(AND('EU General Info'!$C$11="Yes",'General Info'!$C$39="Yes",'General Info'!$C$38="Yes"),IF(AND(ISNUMBER(F37),ISNUMBER(H37),ISNUMBER(J37)),F37+H37+J37,""),IF(AND('EU General Info'!$C$11="Yes",'General Info'!$C$39="No",'General Info'!$C$38="Yes"),IF(AND(ISNUMBER(F37),ISNUMBER(J37)),F37+J37,""),IF(AND('EU General Info'!$C$11="Yes",'General Info'!$C$39="Yes",'General Info'!$C$38="No"),IF(AND(ISNUMBER(F37),ISNUMBER(H37)),F37+H37,""),"")))))))</f>
        <v>1091</v>
      </c>
      <c r="M37" s="2062" t="str">
        <f>IF(AND(OR(ISBLANK('General Info'!$C$38),ISBLANK('General Info'!$C$39),ISBLANK('EU General Info'!$C$11)),OR('EU CVA'!F37&lt;&gt;"",'EU CVA'!H37&lt;&gt;"",'EU CVA'!J37&lt;&gt;"")),"Fail","")</f>
        <v/>
      </c>
      <c r="N37" s="2061">
        <f t="shared" si="4"/>
        <v>42421</v>
      </c>
      <c r="O37" s="2057"/>
      <c r="P37" s="2057"/>
      <c r="Q37" s="2054" t="str">
        <f t="shared" si="5"/>
        <v>Pass</v>
      </c>
      <c r="R37" s="2057"/>
      <c r="S37" s="2057"/>
      <c r="T37" s="2059" t="str">
        <f t="shared" si="6"/>
        <v/>
      </c>
      <c r="U37" s="2054" t="str">
        <f t="shared" si="7"/>
        <v>Pass</v>
      </c>
      <c r="V37" s="1892" t="str">
        <f t="shared" si="8"/>
        <v/>
      </c>
      <c r="W37" s="2057"/>
      <c r="X37" s="2057"/>
      <c r="Y37" s="2057"/>
      <c r="Z37" s="2057"/>
      <c r="AA37" s="2057"/>
      <c r="AB37" s="2058"/>
      <c r="AC37" s="2057"/>
      <c r="AD37" s="2057"/>
      <c r="AE37" s="2057"/>
      <c r="AF37" s="2057"/>
      <c r="AG37" s="2057"/>
      <c r="AH37" s="2057"/>
      <c r="AI37" s="2053" t="str">
        <f t="shared" si="9"/>
        <v/>
      </c>
      <c r="AJ37" s="2054" t="str">
        <f t="shared" si="10"/>
        <v>Pass</v>
      </c>
      <c r="AK37" s="2057"/>
      <c r="AL37" s="2054" t="str">
        <f t="shared" si="11"/>
        <v>Pass</v>
      </c>
      <c r="AM37" s="2057"/>
      <c r="AN37" s="2057"/>
      <c r="AO37" s="2069" t="str">
        <f t="shared" si="15"/>
        <v/>
      </c>
      <c r="AP37" s="2054" t="str">
        <f t="shared" si="12"/>
        <v>Pass</v>
      </c>
      <c r="AQ37" s="1892" t="str">
        <f t="shared" si="13"/>
        <v/>
      </c>
      <c r="AR37" s="2053">
        <f t="shared" si="14"/>
        <v>0</v>
      </c>
      <c r="AS37" s="2052"/>
    </row>
    <row r="38" spans="1:46" s="2037" customFormat="1" ht="15.6" x14ac:dyDescent="0.3">
      <c r="A38" s="2052"/>
      <c r="B38" s="2955"/>
      <c r="C38" s="2074" t="s">
        <v>2488</v>
      </c>
      <c r="D38" s="2067">
        <v>42421</v>
      </c>
      <c r="E38" s="2066">
        <v>18920</v>
      </c>
      <c r="F38" s="2065"/>
      <c r="G38" s="2054" t="str">
        <f t="shared" si="1"/>
        <v>Pass</v>
      </c>
      <c r="H38" s="2057">
        <v>1091</v>
      </c>
      <c r="I38" s="2054" t="str">
        <f t="shared" si="2"/>
        <v>Pass</v>
      </c>
      <c r="J38" s="2057"/>
      <c r="K38" s="2064" t="str">
        <f t="shared" si="3"/>
        <v>Pass</v>
      </c>
      <c r="L38" s="2063">
        <f>IF(AND('EU General Info'!$C$11="No",'General Info'!$C$39="Yes",'General Info'!$C$38="Yes"),IF(AND(ISNUMBER(H38),ISNUMBER(J38)),H38+J38,""),IF(AND('EU General Info'!$C$11="No",'General Info'!$C$39="No",'General Info'!$C$38="Yes"),IF(ISNUMBER(J38),J38,""),IF(AND('EU General Info'!$C$11="No",'General Info'!$C$39="Yes",'General Info'!$C$38="No"),IF(ISNUMBER(H38),H38,""),IF(AND('EU General Info'!$C$11="Yes",'General Info'!$C$39="No",'General Info'!$C$38="No"),IF(ISNUMBER(F38),F38,""),IF(AND('EU General Info'!$C$11="Yes",'General Info'!$C$39="Yes",'General Info'!$C$38="Yes"),IF(AND(ISNUMBER(F38),ISNUMBER(H38),ISNUMBER(J38)),F38+H38+J38,""),IF(AND('EU General Info'!$C$11="Yes",'General Info'!$C$39="No",'General Info'!$C$38="Yes"),IF(AND(ISNUMBER(F38),ISNUMBER(J38)),F38+J38,""),IF(AND('EU General Info'!$C$11="Yes",'General Info'!$C$39="Yes",'General Info'!$C$38="No"),IF(AND(ISNUMBER(F38),ISNUMBER(H38)),F38+H38,""),"")))))))</f>
        <v>1091</v>
      </c>
      <c r="M38" s="2062" t="str">
        <f>IF(AND(OR(ISBLANK('General Info'!$C$38),ISBLANK('General Info'!$C$39),ISBLANK('EU General Info'!$C$11)),OR('EU CVA'!F38&lt;&gt;"",'EU CVA'!H38&lt;&gt;"",'EU CVA'!J38&lt;&gt;"")),"Fail","")</f>
        <v/>
      </c>
      <c r="N38" s="2061">
        <f t="shared" si="4"/>
        <v>42421</v>
      </c>
      <c r="O38" s="2057"/>
      <c r="P38" s="2057"/>
      <c r="Q38" s="2054" t="str">
        <f t="shared" si="5"/>
        <v>Pass</v>
      </c>
      <c r="R38" s="2057"/>
      <c r="S38" s="2057"/>
      <c r="T38" s="2059" t="str">
        <f t="shared" si="6"/>
        <v/>
      </c>
      <c r="U38" s="2054" t="str">
        <f t="shared" si="7"/>
        <v>Pass</v>
      </c>
      <c r="V38" s="1892" t="str">
        <f t="shared" si="8"/>
        <v/>
      </c>
      <c r="W38" s="2057"/>
      <c r="X38" s="2057"/>
      <c r="Y38" s="2057"/>
      <c r="Z38" s="2057"/>
      <c r="AA38" s="2057"/>
      <c r="AB38" s="2058"/>
      <c r="AC38" s="2057"/>
      <c r="AD38" s="2057"/>
      <c r="AE38" s="2057"/>
      <c r="AF38" s="2057"/>
      <c r="AG38" s="2057"/>
      <c r="AH38" s="2057"/>
      <c r="AI38" s="2053" t="str">
        <f t="shared" si="9"/>
        <v/>
      </c>
      <c r="AJ38" s="2054" t="str">
        <f t="shared" si="10"/>
        <v>Pass</v>
      </c>
      <c r="AK38" s="2057"/>
      <c r="AL38" s="2054" t="str">
        <f t="shared" si="11"/>
        <v>Pass</v>
      </c>
      <c r="AM38" s="2057"/>
      <c r="AN38" s="2057"/>
      <c r="AO38" s="2069" t="str">
        <f t="shared" si="15"/>
        <v/>
      </c>
      <c r="AP38" s="2054" t="str">
        <f t="shared" si="12"/>
        <v>Pass</v>
      </c>
      <c r="AQ38" s="1892" t="str">
        <f t="shared" si="13"/>
        <v/>
      </c>
      <c r="AR38" s="2053">
        <f t="shared" si="14"/>
        <v>0</v>
      </c>
      <c r="AS38" s="2052"/>
    </row>
    <row r="39" spans="1:46" s="2037" customFormat="1" ht="15.6" x14ac:dyDescent="0.3">
      <c r="A39" s="2052"/>
      <c r="B39" s="2955"/>
      <c r="C39" s="2074" t="s">
        <v>2487</v>
      </c>
      <c r="D39" s="2067">
        <v>0</v>
      </c>
      <c r="E39" s="2066">
        <v>0</v>
      </c>
      <c r="F39" s="2065"/>
      <c r="G39" s="2054" t="str">
        <f t="shared" si="1"/>
        <v>Pass</v>
      </c>
      <c r="H39" s="2057">
        <v>0</v>
      </c>
      <c r="I39" s="2054" t="str">
        <f t="shared" si="2"/>
        <v>Pass</v>
      </c>
      <c r="J39" s="2057"/>
      <c r="K39" s="2064" t="str">
        <f t="shared" si="3"/>
        <v>Pass</v>
      </c>
      <c r="L39" s="2063">
        <f>IF(AND('EU General Info'!$C$11="No",'General Info'!$C$39="Yes",'General Info'!$C$38="Yes"),IF(AND(ISNUMBER(H39),ISNUMBER(J39)),H39+J39,""),IF(AND('EU General Info'!$C$11="No",'General Info'!$C$39="No",'General Info'!$C$38="Yes"),IF(ISNUMBER(J39),J39,""),IF(AND('EU General Info'!$C$11="No",'General Info'!$C$39="Yes",'General Info'!$C$38="No"),IF(ISNUMBER(H39),H39,""),IF(AND('EU General Info'!$C$11="Yes",'General Info'!$C$39="No",'General Info'!$C$38="No"),IF(ISNUMBER(F39),F39,""),IF(AND('EU General Info'!$C$11="Yes",'General Info'!$C$39="Yes",'General Info'!$C$38="Yes"),IF(AND(ISNUMBER(F39),ISNUMBER(H39),ISNUMBER(J39)),F39+H39+J39,""),IF(AND('EU General Info'!$C$11="Yes",'General Info'!$C$39="No",'General Info'!$C$38="Yes"),IF(AND(ISNUMBER(F39),ISNUMBER(J39)),F39+J39,""),IF(AND('EU General Info'!$C$11="Yes",'General Info'!$C$39="Yes",'General Info'!$C$38="No"),IF(AND(ISNUMBER(F39),ISNUMBER(H39)),F39+H39,""),"")))))))</f>
        <v>0</v>
      </c>
      <c r="M39" s="2062" t="str">
        <f>IF(AND(OR(ISBLANK('General Info'!$C$38),ISBLANK('General Info'!$C$39),ISBLANK('EU General Info'!$C$11)),OR('EU CVA'!F39&lt;&gt;"",'EU CVA'!H39&lt;&gt;"",'EU CVA'!J39&lt;&gt;"")),"Fail","")</f>
        <v/>
      </c>
      <c r="N39" s="2061">
        <f t="shared" si="4"/>
        <v>0</v>
      </c>
      <c r="O39" s="2057"/>
      <c r="P39" s="2057"/>
      <c r="Q39" s="2054" t="str">
        <f t="shared" si="5"/>
        <v>Pass</v>
      </c>
      <c r="R39" s="2057"/>
      <c r="S39" s="2057"/>
      <c r="T39" s="2059" t="str">
        <f t="shared" si="6"/>
        <v/>
      </c>
      <c r="U39" s="2054" t="str">
        <f t="shared" si="7"/>
        <v>Pass</v>
      </c>
      <c r="V39" s="1892" t="str">
        <f t="shared" si="8"/>
        <v/>
      </c>
      <c r="W39" s="2057"/>
      <c r="X39" s="2057"/>
      <c r="Y39" s="2057"/>
      <c r="Z39" s="2057"/>
      <c r="AA39" s="2057"/>
      <c r="AB39" s="2058"/>
      <c r="AC39" s="2057"/>
      <c r="AD39" s="2057"/>
      <c r="AE39" s="2057"/>
      <c r="AF39" s="2057"/>
      <c r="AG39" s="2057"/>
      <c r="AH39" s="2057"/>
      <c r="AI39" s="2053" t="str">
        <f t="shared" si="9"/>
        <v/>
      </c>
      <c r="AJ39" s="2054" t="str">
        <f t="shared" si="10"/>
        <v>Pass</v>
      </c>
      <c r="AK39" s="2057"/>
      <c r="AL39" s="2054" t="str">
        <f t="shared" si="11"/>
        <v>Pass</v>
      </c>
      <c r="AM39" s="2057"/>
      <c r="AN39" s="2057"/>
      <c r="AO39" s="2069" t="str">
        <f t="shared" si="15"/>
        <v/>
      </c>
      <c r="AP39" s="2054" t="str">
        <f t="shared" si="12"/>
        <v>Pass</v>
      </c>
      <c r="AQ39" s="1892" t="str">
        <f t="shared" si="13"/>
        <v/>
      </c>
      <c r="AR39" s="2053">
        <f t="shared" si="14"/>
        <v>0</v>
      </c>
      <c r="AS39" s="2052"/>
    </row>
    <row r="40" spans="1:46" s="2037" customFormat="1" ht="15.6" x14ac:dyDescent="0.3">
      <c r="A40" s="2052"/>
      <c r="B40" s="2955"/>
      <c r="C40" s="2073" t="s">
        <v>2486</v>
      </c>
      <c r="D40" s="2067">
        <v>1451</v>
      </c>
      <c r="E40" s="2066">
        <v>0</v>
      </c>
      <c r="F40" s="2065"/>
      <c r="G40" s="2054" t="str">
        <f t="shared" si="1"/>
        <v>Pass</v>
      </c>
      <c r="H40" s="2057">
        <v>63</v>
      </c>
      <c r="I40" s="2054" t="str">
        <f t="shared" si="2"/>
        <v>Pass</v>
      </c>
      <c r="J40" s="2057"/>
      <c r="K40" s="2064" t="str">
        <f t="shared" si="3"/>
        <v>Pass</v>
      </c>
      <c r="L40" s="2063">
        <f>IF(AND('EU General Info'!$C$11="No",'General Info'!$C$39="Yes",'General Info'!$C$38="Yes"),IF(AND(ISNUMBER(H40),ISNUMBER(J40)),H40+J40,""),IF(AND('EU General Info'!$C$11="No",'General Info'!$C$39="No",'General Info'!$C$38="Yes"),IF(ISNUMBER(J40),J40,""),IF(AND('EU General Info'!$C$11="No",'General Info'!$C$39="Yes",'General Info'!$C$38="No"),IF(ISNUMBER(H40),H40,""),IF(AND('EU General Info'!$C$11="Yes",'General Info'!$C$39="No",'General Info'!$C$38="No"),IF(ISNUMBER(F40),F40,""),IF(AND('EU General Info'!$C$11="Yes",'General Info'!$C$39="Yes",'General Info'!$C$38="Yes"),IF(AND(ISNUMBER(F40),ISNUMBER(H40),ISNUMBER(J40)),F40+H40+J40,""),IF(AND('EU General Info'!$C$11="Yes",'General Info'!$C$39="No",'General Info'!$C$38="Yes"),IF(AND(ISNUMBER(F40),ISNUMBER(J40)),F40+J40,""),IF(AND('EU General Info'!$C$11="Yes",'General Info'!$C$39="Yes",'General Info'!$C$38="No"),IF(AND(ISNUMBER(F40),ISNUMBER(H40)),F40+H40,""),"")))))))</f>
        <v>63</v>
      </c>
      <c r="M40" s="2062" t="str">
        <f>IF(AND(OR(ISBLANK('General Info'!$C$38),ISBLANK('General Info'!$C$39),ISBLANK('EU General Info'!$C$11)),OR('EU CVA'!F40&lt;&gt;"",'EU CVA'!H40&lt;&gt;"",'EU CVA'!J40&lt;&gt;"")),"Fail","")</f>
        <v/>
      </c>
      <c r="N40" s="2061">
        <f t="shared" si="4"/>
        <v>1451</v>
      </c>
      <c r="O40" s="2057"/>
      <c r="P40" s="2057"/>
      <c r="Q40" s="2054" t="str">
        <f t="shared" si="5"/>
        <v>Pass</v>
      </c>
      <c r="R40" s="2057"/>
      <c r="S40" s="2057"/>
      <c r="T40" s="2059" t="str">
        <f t="shared" si="6"/>
        <v/>
      </c>
      <c r="U40" s="2054" t="str">
        <f t="shared" si="7"/>
        <v>Pass</v>
      </c>
      <c r="V40" s="1892" t="str">
        <f t="shared" si="8"/>
        <v/>
      </c>
      <c r="W40" s="2057"/>
      <c r="X40" s="2057"/>
      <c r="Y40" s="2057"/>
      <c r="Z40" s="2057"/>
      <c r="AA40" s="2057"/>
      <c r="AB40" s="2058"/>
      <c r="AC40" s="2057"/>
      <c r="AD40" s="2057"/>
      <c r="AE40" s="2057"/>
      <c r="AF40" s="2057"/>
      <c r="AG40" s="2057"/>
      <c r="AH40" s="2057"/>
      <c r="AI40" s="2053" t="str">
        <f t="shared" si="9"/>
        <v/>
      </c>
      <c r="AJ40" s="2054" t="str">
        <f t="shared" si="10"/>
        <v>Pass</v>
      </c>
      <c r="AK40" s="2057"/>
      <c r="AL40" s="2054" t="str">
        <f t="shared" si="11"/>
        <v>Pass</v>
      </c>
      <c r="AM40" s="2057"/>
      <c r="AN40" s="2057"/>
      <c r="AO40" s="2069" t="str">
        <f t="shared" si="15"/>
        <v/>
      </c>
      <c r="AP40" s="2054" t="str">
        <f t="shared" si="12"/>
        <v>Pass</v>
      </c>
      <c r="AQ40" s="1892" t="str">
        <f t="shared" si="13"/>
        <v/>
      </c>
      <c r="AR40" s="2053">
        <f t="shared" si="14"/>
        <v>0</v>
      </c>
      <c r="AS40" s="2052"/>
    </row>
    <row r="41" spans="1:46" s="2037" customFormat="1" ht="15.6" x14ac:dyDescent="0.3">
      <c r="A41" s="2052"/>
      <c r="B41" s="2955"/>
      <c r="C41" s="2073" t="s">
        <v>2485</v>
      </c>
      <c r="D41" s="2067">
        <v>0</v>
      </c>
      <c r="E41" s="2066">
        <v>0</v>
      </c>
      <c r="F41" s="2065"/>
      <c r="G41" s="2054" t="str">
        <f t="shared" si="1"/>
        <v>Pass</v>
      </c>
      <c r="H41" s="2057">
        <v>0</v>
      </c>
      <c r="I41" s="2054" t="str">
        <f t="shared" si="2"/>
        <v>Pass</v>
      </c>
      <c r="J41" s="2057"/>
      <c r="K41" s="2064" t="str">
        <f t="shared" si="3"/>
        <v>Pass</v>
      </c>
      <c r="L41" s="2063">
        <f>IF(AND('EU General Info'!$C$11="No",'General Info'!$C$39="Yes",'General Info'!$C$38="Yes"),IF(AND(ISNUMBER(H41),ISNUMBER(J41)),H41+J41,""),IF(AND('EU General Info'!$C$11="No",'General Info'!$C$39="No",'General Info'!$C$38="Yes"),IF(ISNUMBER(J41),J41,""),IF(AND('EU General Info'!$C$11="No",'General Info'!$C$39="Yes",'General Info'!$C$38="No"),IF(ISNUMBER(H41),H41,""),IF(AND('EU General Info'!$C$11="Yes",'General Info'!$C$39="No",'General Info'!$C$38="No"),IF(ISNUMBER(F41),F41,""),IF(AND('EU General Info'!$C$11="Yes",'General Info'!$C$39="Yes",'General Info'!$C$38="Yes"),IF(AND(ISNUMBER(F41),ISNUMBER(H41),ISNUMBER(J41)),F41+H41+J41,""),IF(AND('EU General Info'!$C$11="Yes",'General Info'!$C$39="No",'General Info'!$C$38="Yes"),IF(AND(ISNUMBER(F41),ISNUMBER(J41)),F41+J41,""),IF(AND('EU General Info'!$C$11="Yes",'General Info'!$C$39="Yes",'General Info'!$C$38="No"),IF(AND(ISNUMBER(F41),ISNUMBER(H41)),F41+H41,""),"")))))))</f>
        <v>0</v>
      </c>
      <c r="M41" s="2062" t="str">
        <f>IF(AND(OR(ISBLANK('General Info'!$C$38),ISBLANK('General Info'!$C$39),ISBLANK('EU General Info'!$C$11)),OR('EU CVA'!F41&lt;&gt;"",'EU CVA'!H41&lt;&gt;"",'EU CVA'!J41&lt;&gt;"")),"Fail","")</f>
        <v/>
      </c>
      <c r="N41" s="2061">
        <f t="shared" si="4"/>
        <v>0</v>
      </c>
      <c r="O41" s="2057"/>
      <c r="P41" s="2057"/>
      <c r="Q41" s="2054" t="str">
        <f t="shared" si="5"/>
        <v>Pass</v>
      </c>
      <c r="R41" s="2057"/>
      <c r="S41" s="2057"/>
      <c r="T41" s="2059" t="str">
        <f t="shared" si="6"/>
        <v/>
      </c>
      <c r="U41" s="2054" t="str">
        <f t="shared" si="7"/>
        <v>Pass</v>
      </c>
      <c r="V41" s="1892" t="str">
        <f t="shared" si="8"/>
        <v/>
      </c>
      <c r="W41" s="2057"/>
      <c r="X41" s="2057"/>
      <c r="Y41" s="2057"/>
      <c r="Z41" s="2057"/>
      <c r="AA41" s="2057"/>
      <c r="AB41" s="2058"/>
      <c r="AC41" s="2057"/>
      <c r="AD41" s="2057"/>
      <c r="AE41" s="2057"/>
      <c r="AF41" s="2057"/>
      <c r="AG41" s="2057"/>
      <c r="AH41" s="2057"/>
      <c r="AI41" s="2053" t="str">
        <f t="shared" si="9"/>
        <v/>
      </c>
      <c r="AJ41" s="2054" t="str">
        <f t="shared" si="10"/>
        <v>Pass</v>
      </c>
      <c r="AK41" s="2057"/>
      <c r="AL41" s="2054" t="str">
        <f t="shared" si="11"/>
        <v>Pass</v>
      </c>
      <c r="AM41" s="2057"/>
      <c r="AN41" s="2057"/>
      <c r="AO41" s="2069" t="str">
        <f t="shared" si="15"/>
        <v/>
      </c>
      <c r="AP41" s="2054" t="str">
        <f t="shared" si="12"/>
        <v>Pass</v>
      </c>
      <c r="AQ41" s="1892" t="str">
        <f t="shared" si="13"/>
        <v/>
      </c>
      <c r="AR41" s="2053">
        <f t="shared" si="14"/>
        <v>0</v>
      </c>
      <c r="AS41" s="2052"/>
    </row>
    <row r="42" spans="1:46" s="2037" customFormat="1" ht="15.6" x14ac:dyDescent="0.3">
      <c r="A42" s="2052"/>
      <c r="B42" s="2943"/>
      <c r="C42" s="2068" t="s">
        <v>2484</v>
      </c>
      <c r="D42" s="2067">
        <v>0</v>
      </c>
      <c r="E42" s="2066">
        <v>0</v>
      </c>
      <c r="F42" s="2065"/>
      <c r="G42" s="2054" t="str">
        <f t="shared" si="1"/>
        <v>Pass</v>
      </c>
      <c r="H42" s="2057">
        <v>0</v>
      </c>
      <c r="I42" s="2054" t="str">
        <f t="shared" si="2"/>
        <v>Pass</v>
      </c>
      <c r="J42" s="2057"/>
      <c r="K42" s="2064" t="str">
        <f t="shared" si="3"/>
        <v>Pass</v>
      </c>
      <c r="L42" s="2063">
        <f>IF(AND('EU General Info'!$C$11="No",'General Info'!$C$39="Yes",'General Info'!$C$38="Yes"),IF(AND(ISNUMBER(H42),ISNUMBER(J42)),H42+J42,""),IF(AND('EU General Info'!$C$11="No",'General Info'!$C$39="No",'General Info'!$C$38="Yes"),IF(ISNUMBER(J42),J42,""),IF(AND('EU General Info'!$C$11="No",'General Info'!$C$39="Yes",'General Info'!$C$38="No"),IF(ISNUMBER(H42),H42,""),IF(AND('EU General Info'!$C$11="Yes",'General Info'!$C$39="No",'General Info'!$C$38="No"),IF(ISNUMBER(F42),F42,""),IF(AND('EU General Info'!$C$11="Yes",'General Info'!$C$39="Yes",'General Info'!$C$38="Yes"),IF(AND(ISNUMBER(F42),ISNUMBER(H42),ISNUMBER(J42)),F42+H42+J42,""),IF(AND('EU General Info'!$C$11="Yes",'General Info'!$C$39="No",'General Info'!$C$38="Yes"),IF(AND(ISNUMBER(F42),ISNUMBER(J42)),F42+J42,""),IF(AND('EU General Info'!$C$11="Yes",'General Info'!$C$39="Yes",'General Info'!$C$38="No"),IF(AND(ISNUMBER(F42),ISNUMBER(H42)),F42+H42,""),"")))))))</f>
        <v>0</v>
      </c>
      <c r="M42" s="2062" t="str">
        <f>IF(AND(OR(ISBLANK('General Info'!$C$38),ISBLANK('General Info'!$C$39),ISBLANK('EU General Info'!$C$11)),OR('EU CVA'!F42&lt;&gt;"",'EU CVA'!H42&lt;&gt;"",'EU CVA'!J42&lt;&gt;"")),"Fail","")</f>
        <v/>
      </c>
      <c r="N42" s="2061">
        <f t="shared" si="4"/>
        <v>0</v>
      </c>
      <c r="O42" s="2057"/>
      <c r="P42" s="2057"/>
      <c r="Q42" s="2054" t="str">
        <f t="shared" si="5"/>
        <v>Pass</v>
      </c>
      <c r="R42" s="2057"/>
      <c r="S42" s="2057"/>
      <c r="T42" s="2059" t="str">
        <f t="shared" si="6"/>
        <v/>
      </c>
      <c r="U42" s="2054" t="str">
        <f t="shared" si="7"/>
        <v>Pass</v>
      </c>
      <c r="V42" s="1892" t="str">
        <f t="shared" si="8"/>
        <v/>
      </c>
      <c r="W42" s="2057"/>
      <c r="X42" s="2057"/>
      <c r="Y42" s="2057"/>
      <c r="Z42" s="2057"/>
      <c r="AA42" s="2057"/>
      <c r="AB42" s="2058"/>
      <c r="AC42" s="2057"/>
      <c r="AD42" s="2057"/>
      <c r="AE42" s="2057"/>
      <c r="AF42" s="2057"/>
      <c r="AG42" s="2057"/>
      <c r="AH42" s="2057"/>
      <c r="AI42" s="2053" t="str">
        <f t="shared" si="9"/>
        <v/>
      </c>
      <c r="AJ42" s="2054" t="str">
        <f t="shared" si="10"/>
        <v>Pass</v>
      </c>
      <c r="AK42" s="2057"/>
      <c r="AL42" s="2054" t="str">
        <f t="shared" si="11"/>
        <v>Pass</v>
      </c>
      <c r="AM42" s="2057"/>
      <c r="AN42" s="2057"/>
      <c r="AO42" s="2069" t="str">
        <f t="shared" si="15"/>
        <v/>
      </c>
      <c r="AP42" s="2054" t="str">
        <f t="shared" si="12"/>
        <v>Pass</v>
      </c>
      <c r="AQ42" s="1892" t="str">
        <f t="shared" si="13"/>
        <v/>
      </c>
      <c r="AR42" s="2053">
        <f t="shared" si="14"/>
        <v>0</v>
      </c>
      <c r="AS42" s="2052"/>
    </row>
    <row r="43" spans="1:46" s="2037" customFormat="1" ht="15.6" x14ac:dyDescent="0.3">
      <c r="A43" s="2052"/>
      <c r="B43" s="2942" t="s">
        <v>2483</v>
      </c>
      <c r="C43" s="2072" t="s">
        <v>2482</v>
      </c>
      <c r="D43" s="2067">
        <v>58999</v>
      </c>
      <c r="E43" s="2066">
        <v>28272</v>
      </c>
      <c r="F43" s="2065"/>
      <c r="G43" s="2054" t="str">
        <f t="shared" si="1"/>
        <v>Pass</v>
      </c>
      <c r="H43" s="2057">
        <v>1666</v>
      </c>
      <c r="I43" s="2054" t="str">
        <f t="shared" si="2"/>
        <v>Pass</v>
      </c>
      <c r="J43" s="2057"/>
      <c r="K43" s="2064" t="str">
        <f t="shared" si="3"/>
        <v>Pass</v>
      </c>
      <c r="L43" s="2063">
        <f>IF(AND('EU General Info'!$C$11="No",'General Info'!$C$39="Yes",'General Info'!$C$38="Yes"),IF(AND(ISNUMBER(H43),ISNUMBER(J43)),H43+J43,""),IF(AND('EU General Info'!$C$11="No",'General Info'!$C$39="No",'General Info'!$C$38="Yes"),IF(ISNUMBER(J43),J43,""),IF(AND('EU General Info'!$C$11="No",'General Info'!$C$39="Yes",'General Info'!$C$38="No"),IF(ISNUMBER(H43),H43,""),IF(AND('EU General Info'!$C$11="Yes",'General Info'!$C$39="No",'General Info'!$C$38="No"),IF(ISNUMBER(F43),F43,""),IF(AND('EU General Info'!$C$11="Yes",'General Info'!$C$39="Yes",'General Info'!$C$38="Yes"),IF(AND(ISNUMBER(F43),ISNUMBER(H43),ISNUMBER(J43)),F43+H43+J43,""),IF(AND('EU General Info'!$C$11="Yes",'General Info'!$C$39="No",'General Info'!$C$38="Yes"),IF(AND(ISNUMBER(F43),ISNUMBER(J43)),F43+J43,""),IF(AND('EU General Info'!$C$11="Yes",'General Info'!$C$39="Yes",'General Info'!$C$38="No"),IF(AND(ISNUMBER(F43),ISNUMBER(H43)),F43+H43,""),"")))))))</f>
        <v>1666</v>
      </c>
      <c r="M43" s="2062" t="str">
        <f>IF(AND(OR(ISBLANK('General Info'!$C$38),ISBLANK('General Info'!$C$39),ISBLANK('EU General Info'!$C$11)),OR('EU CVA'!F43&lt;&gt;"",'EU CVA'!H43&lt;&gt;"",'EU CVA'!J43&lt;&gt;"")),"Fail","")</f>
        <v/>
      </c>
      <c r="N43" s="2061">
        <f t="shared" si="4"/>
        <v>58999</v>
      </c>
      <c r="O43" s="2057"/>
      <c r="P43" s="2071" t="str">
        <f>IF(ISNUMBER('CCR and CVA'!C83),'CCR and CVA'!C83,"")</f>
        <v/>
      </c>
      <c r="Q43" s="2054" t="str">
        <f t="shared" si="5"/>
        <v>Pass</v>
      </c>
      <c r="R43" s="2071" t="str">
        <f>IF(ISNUMBER('CCR and CVA'!C86),'CCR and CVA'!C86,"")</f>
        <v/>
      </c>
      <c r="S43" s="2071" t="str">
        <f>IF(ISNUMBER('CCR and CVA'!C87),'CCR and CVA'!C87,"")</f>
        <v/>
      </c>
      <c r="T43" s="2059" t="str">
        <f t="shared" si="6"/>
        <v/>
      </c>
      <c r="U43" s="2054" t="str">
        <f t="shared" si="7"/>
        <v>Pass</v>
      </c>
      <c r="V43" s="1892" t="str">
        <f>'CCR and CVA'!F87</f>
        <v/>
      </c>
      <c r="W43" s="2070" t="str">
        <f>IF(ISNUMBER('CCR and CVA'!C93),'CCR and CVA'!C93,"")</f>
        <v/>
      </c>
      <c r="X43" s="2070" t="str">
        <f>IF(ISNUMBER('CCR and CVA'!D93),'CCR and CVA'!D93,"")</f>
        <v/>
      </c>
      <c r="Y43" s="2070" t="str">
        <f>IF(ISNUMBER('CCR and CVA'!C94),'CCR and CVA'!C94,"")</f>
        <v/>
      </c>
      <c r="Z43" s="2070" t="str">
        <f>IF(ISNUMBER('CCR and CVA'!D94),'CCR and CVA'!D94,"")</f>
        <v/>
      </c>
      <c r="AA43" s="2070" t="str">
        <f>IF(ISNUMBER('CCR and CVA'!C95),'CCR and CVA'!C95,"")</f>
        <v/>
      </c>
      <c r="AB43" s="2058"/>
      <c r="AC43" s="2070" t="str">
        <f>IF(ISNUMBER('CCR and CVA'!C96),'CCR and CVA'!C96,"")</f>
        <v/>
      </c>
      <c r="AD43" s="2070" t="str">
        <f>IF(ISNUMBER('CCR and CVA'!D96),'CCR and CVA'!D96,"")</f>
        <v/>
      </c>
      <c r="AE43" s="2070" t="str">
        <f>IF(ISNUMBER('CCR and CVA'!C97),'CCR and CVA'!C97,"")</f>
        <v/>
      </c>
      <c r="AF43" s="2070" t="str">
        <f>IF(ISNUMBER('CCR and CVA'!D97),'CCR and CVA'!D97,"")</f>
        <v/>
      </c>
      <c r="AG43" s="2070" t="str">
        <f>IF(ISNUMBER('CCR and CVA'!C98),'CCR and CVA'!C98,"")</f>
        <v/>
      </c>
      <c r="AH43" s="2070" t="str">
        <f>IF(ISNUMBER('CCR and CVA'!D98),'CCR and CVA'!D98,"")</f>
        <v/>
      </c>
      <c r="AI43" s="2053" t="str">
        <f t="shared" si="9"/>
        <v/>
      </c>
      <c r="AJ43" s="2054" t="str">
        <f t="shared" si="10"/>
        <v>Pass</v>
      </c>
      <c r="AK43" s="2070" t="str">
        <f>IF(ISNUMBER('CCR and CVA'!C102),'CCR and CVA'!C102,"")</f>
        <v/>
      </c>
      <c r="AL43" s="2054" t="str">
        <f t="shared" si="11"/>
        <v>Pass</v>
      </c>
      <c r="AM43" s="2070" t="str">
        <f>IF(ISNUMBER('CCR and CVA'!C105),'CCR and CVA'!C105,"")</f>
        <v/>
      </c>
      <c r="AN43" s="2070" t="str">
        <f>IF(ISNUMBER('CCR and CVA'!C106),'CCR and CVA'!C106,"")</f>
        <v/>
      </c>
      <c r="AO43" s="2069" t="str">
        <f>IF(AND(ISNUMBER(AM43),ISNUMBER(AN43)),0.25*AM43+0.75*AN43,"")</f>
        <v/>
      </c>
      <c r="AP43" s="2054" t="str">
        <f t="shared" si="12"/>
        <v>Pass</v>
      </c>
      <c r="AQ43" s="1892" t="str">
        <f>'CCR and CVA'!F106</f>
        <v/>
      </c>
      <c r="AR43" s="2053">
        <f>IF(OR($D$23="Yes", $D$23="No"), IF($D$23="Yes", IF(ISNUMBER(O43), O43, ""), IF(AND(_xlfn.XOR($H$11="No", ISNUMBER(P43)), _xlfn.XOR($H$12="No", ISNUMBER(T43)), _xlfn.XOR($H$13="No", ISNUMBER(AI43)), _xlfn.XOR($H$14="No", ISNUMBER(AK43)), _xlfn.XOR($H$15="No", ISNUMBER(AO43))), SUM(0.65*_xlfn.NUMBERVALUE(P43)+0.65*_xlfn.NUMBERVALUE(T43)+_xlfn.NUMBERVALUE(AI43)+0.65*_xlfn.NUMBERVALUE(AK43)+0.65*_xlfn.NUMBERVALUE(AO43)), "")), "")</f>
        <v>0</v>
      </c>
      <c r="AS43" s="2052"/>
    </row>
    <row r="44" spans="1:46" s="2037" customFormat="1" ht="15.6" x14ac:dyDescent="0.3">
      <c r="A44" s="2052"/>
      <c r="B44" s="2943"/>
      <c r="C44" s="2068" t="s">
        <v>2481</v>
      </c>
      <c r="D44" s="2067">
        <v>58999</v>
      </c>
      <c r="E44" s="2066">
        <v>28272</v>
      </c>
      <c r="F44" s="2065"/>
      <c r="G44" s="2054" t="str">
        <f t="shared" si="1"/>
        <v>Pass</v>
      </c>
      <c r="H44" s="2057">
        <v>1666</v>
      </c>
      <c r="I44" s="2054" t="str">
        <f t="shared" si="2"/>
        <v>Pass</v>
      </c>
      <c r="J44" s="2057"/>
      <c r="K44" s="2064" t="str">
        <f t="shared" si="3"/>
        <v>Pass</v>
      </c>
      <c r="L44" s="2063">
        <f>IF(AND('EU General Info'!$C$11="No",'General Info'!$C$39="Yes",'General Info'!$C$38="Yes"),IF(AND(ISNUMBER(H44),ISNUMBER(J44)),H44+J44,""),IF(AND('EU General Info'!$C$11="No",'General Info'!$C$39="No",'General Info'!$C$38="Yes"),IF(ISNUMBER(J44),J44,""),IF(AND('EU General Info'!$C$11="No",'General Info'!$C$39="Yes",'General Info'!$C$38="No"),IF(ISNUMBER(H44),H44,""),IF(AND('EU General Info'!$C$11="Yes",'General Info'!$C$39="No",'General Info'!$C$38="No"),IF(ISNUMBER(F44),F44,""),IF(AND('EU General Info'!$C$11="Yes",'General Info'!$C$39="Yes",'General Info'!$C$38="Yes"),IF(AND(ISNUMBER(F44),ISNUMBER(H44),ISNUMBER(J44)),F44+H44+J44,""),IF(AND('EU General Info'!$C$11="Yes",'General Info'!$C$39="No",'General Info'!$C$38="Yes"),IF(AND(ISNUMBER(F44),ISNUMBER(J44)),F44+J44,""),IF(AND('EU General Info'!$C$11="Yes",'General Info'!$C$39="Yes",'General Info'!$C$38="No"),IF(AND(ISNUMBER(F44),ISNUMBER(H44)),F44+H44,""),"")))))))</f>
        <v>1666</v>
      </c>
      <c r="M44" s="2062" t="str">
        <f>IF(AND(OR(ISBLANK('General Info'!$C$38),ISBLANK('General Info'!$C$39),ISBLANK('EU General Info'!$C$11)),OR('EU CVA'!F44&lt;&gt;"",'EU CVA'!H44&lt;&gt;"",'EU CVA'!J44&lt;&gt;"")),"Fail","")</f>
        <v/>
      </c>
      <c r="N44" s="2061">
        <f t="shared" si="4"/>
        <v>58999</v>
      </c>
      <c r="O44" s="2057"/>
      <c r="P44" s="2060" t="str">
        <f>IF(ISNUMBER('CCR and CVA'!D83),'CCR and CVA'!D83,"")</f>
        <v/>
      </c>
      <c r="Q44" s="2054" t="str">
        <f t="shared" si="5"/>
        <v>Pass</v>
      </c>
      <c r="R44" s="2060" t="str">
        <f>IF(ISNUMBER('CCR and CVA'!D86),'CCR and CVA'!D86,"")</f>
        <v/>
      </c>
      <c r="S44" s="2060" t="str">
        <f>IF(ISNUMBER('CCR and CVA'!D87),'CCR and CVA'!D87,"")</f>
        <v/>
      </c>
      <c r="T44" s="2059" t="str">
        <f t="shared" si="6"/>
        <v/>
      </c>
      <c r="U44" s="2054" t="str">
        <f t="shared" si="7"/>
        <v>Pass</v>
      </c>
      <c r="V44" s="1892" t="str">
        <f>IF(OR('CCR and CVA'!D86&gt;0, 'CCR and CVA'!D87&gt;0), IF(AND('CCR and CVA'!D86&gt;0, 'CCR and CVA'!D87&gt;0, 'CCR and CVA'!D86&lt;&gt;'CCR and CVA'!D87), "Pass", "Fail"), "")</f>
        <v/>
      </c>
      <c r="W44" s="2057"/>
      <c r="X44" s="2057"/>
      <c r="Y44" s="2057"/>
      <c r="Z44" s="2057"/>
      <c r="AA44" s="2057"/>
      <c r="AB44" s="2058"/>
      <c r="AC44" s="2057"/>
      <c r="AD44" s="2057"/>
      <c r="AE44" s="2057"/>
      <c r="AF44" s="2057"/>
      <c r="AG44" s="2057"/>
      <c r="AH44" s="2057"/>
      <c r="AI44" s="2053" t="str">
        <f t="shared" si="9"/>
        <v/>
      </c>
      <c r="AJ44" s="2054" t="str">
        <f t="shared" si="10"/>
        <v>Pass</v>
      </c>
      <c r="AK44" s="2056" t="str">
        <f>IF(ISNUMBER('CCR and CVA'!D102),'CCR and CVA'!D102,"")</f>
        <v/>
      </c>
      <c r="AL44" s="2054" t="str">
        <f t="shared" si="11"/>
        <v>Pass</v>
      </c>
      <c r="AM44" s="2056" t="str">
        <f>IF(ISNUMBER('CCR and CVA'!D105),'CCR and CVA'!D105,"")</f>
        <v/>
      </c>
      <c r="AN44" s="2056" t="str">
        <f>IF(ISNUMBER('CCR and CVA'!D106),'CCR and CVA'!D106,"")</f>
        <v/>
      </c>
      <c r="AO44" s="2055" t="str">
        <f>IF(AND(ISNUMBER(AM44),ISNUMBER(AN44)),0.25*AM44+0.75*AN44,"")</f>
        <v/>
      </c>
      <c r="AP44" s="2054" t="str">
        <f t="shared" si="12"/>
        <v>Pass</v>
      </c>
      <c r="AQ44" s="1892" t="str">
        <f>IF(OR('CCR and CVA'!D105&gt;0, 'CCR and CVA'!D106&gt;0), IF(AND('CCR and CVA'!D105&gt;0, 'CCR and CVA'!D106&gt;0, 'CCR and CVA'!D105&lt;&gt;'CCR and CVA'!D106), "Pass", "Fail"), "")</f>
        <v/>
      </c>
      <c r="AR44" s="2053">
        <f>IF(OR($D$23="Yes", $D$23="No"), IF($D$23="Yes", IF(ISNUMBER(O44), O44, ""), IF(AND(_xlfn.XOR($H$11="No", ISNUMBER(P44)), _xlfn.XOR($H$12="No", ISNUMBER(T44)), _xlfn.XOR($H$13="No", ISNUMBER(AI44)), _xlfn.XOR($H$14="No", ISNUMBER(AK44)), _xlfn.XOR($H$15="No", ISNUMBER(AO44))), SUM(0.65*_xlfn.NUMBERVALUE(P44)+0.65*_xlfn.NUMBERVALUE(T44)+_xlfn.NUMBERVALUE(AI44)+0.65*_xlfn.NUMBERVALUE(AK44)+0.65*_xlfn.NUMBERVALUE(AO44)), "")), "")</f>
        <v>0</v>
      </c>
      <c r="AS44" s="2052"/>
    </row>
    <row r="45" spans="1:46" s="2036" customFormat="1" ht="15.6" x14ac:dyDescent="0.3">
      <c r="A45" s="2038"/>
      <c r="B45" s="2051" t="s">
        <v>2480</v>
      </c>
      <c r="C45" s="2050" t="s">
        <v>2479</v>
      </c>
      <c r="D45" s="2049">
        <v>0</v>
      </c>
      <c r="E45" s="2048">
        <v>0</v>
      </c>
      <c r="F45" s="2042"/>
      <c r="G45" s="2040" t="str">
        <f t="shared" si="1"/>
        <v>Pass</v>
      </c>
      <c r="H45" s="2042">
        <v>0</v>
      </c>
      <c r="I45" s="2040" t="str">
        <f t="shared" si="2"/>
        <v>Pass</v>
      </c>
      <c r="J45" s="2042"/>
      <c r="K45" s="2040" t="str">
        <f t="shared" si="3"/>
        <v>Pass</v>
      </c>
      <c r="L45" s="2045">
        <f>IF(AND('EU General Info'!$C$11="No",'General Info'!$C$39="Yes",'General Info'!$C$38="Yes"),IF(AND(ISNUMBER(H45),ISNUMBER(J45)),H45+J45,""),IF(AND('EU General Info'!$C$11="No",'General Info'!$C$39="No",'General Info'!$C$38="Yes"),IF(ISNUMBER(J45),J45,""),IF(AND('EU General Info'!$C$11="No",'General Info'!$C$39="Yes",'General Info'!$C$38="No"),IF(ISNUMBER(H45),H45,""),IF(AND('EU General Info'!$C$11="Yes",'General Info'!$C$39="No",'General Info'!$C$38="No"),IF(ISNUMBER(F45),F45,""),IF(AND('EU General Info'!$C$11="Yes",'General Info'!$C$39="Yes",'General Info'!$C$38="Yes"),IF(AND(ISNUMBER(F45),ISNUMBER(H45),ISNUMBER(J45)),F45+H45+J45,""),IF(AND('EU General Info'!$C$11="Yes",'General Info'!$C$39="No",'General Info'!$C$38="Yes"),IF(AND(ISNUMBER(F45),ISNUMBER(J45)),F45+J45,""),IF(AND('EU General Info'!$C$11="Yes",'General Info'!$C$39="Yes",'General Info'!$C$38="No"),IF(AND(ISNUMBER(F45),ISNUMBER(H45)),F45+H45,""),"")))))))</f>
        <v>0</v>
      </c>
      <c r="M45" s="2047" t="str">
        <f>IF(AND(OR(ISBLANK('General Info'!$C$38),ISBLANK('General Info'!$C$39),ISBLANK('EU General Info'!$C$11)),OR('EU CVA'!F45&lt;&gt;"",'EU CVA'!H45&lt;&gt;"",'EU CVA'!J45&lt;&gt;"")),"Fail","")</f>
        <v/>
      </c>
      <c r="N45" s="2046">
        <f t="shared" si="4"/>
        <v>0</v>
      </c>
      <c r="O45" s="2042"/>
      <c r="P45" s="2042"/>
      <c r="Q45" s="2040" t="str">
        <f t="shared" si="5"/>
        <v>Pass</v>
      </c>
      <c r="R45" s="2042"/>
      <c r="S45" s="2042"/>
      <c r="T45" s="2045" t="str">
        <f t="shared" si="6"/>
        <v/>
      </c>
      <c r="U45" s="2040" t="str">
        <f t="shared" si="7"/>
        <v>Pass</v>
      </c>
      <c r="V45" s="2040" t="str">
        <f>IF(OR(R45&gt;0, S45&gt;0), IF(AND(R45&gt;0, S45&gt;0, R45&lt;&gt;S45), "Pass", "Fail"), "")</f>
        <v/>
      </c>
      <c r="W45" s="2042"/>
      <c r="X45" s="2042"/>
      <c r="Y45" s="2042"/>
      <c r="Z45" s="2042"/>
      <c r="AA45" s="2042"/>
      <c r="AB45" s="2044"/>
      <c r="AC45" s="2042"/>
      <c r="AD45" s="2042"/>
      <c r="AE45" s="2042"/>
      <c r="AF45" s="2042"/>
      <c r="AG45" s="2042"/>
      <c r="AH45" s="2042"/>
      <c r="AI45" s="2043" t="str">
        <f t="shared" si="9"/>
        <v/>
      </c>
      <c r="AJ45" s="2040" t="str">
        <f t="shared" si="10"/>
        <v>Pass</v>
      </c>
      <c r="AK45" s="2042"/>
      <c r="AL45" s="2040" t="str">
        <f t="shared" si="11"/>
        <v>Pass</v>
      </c>
      <c r="AM45" s="2042"/>
      <c r="AN45" s="2042"/>
      <c r="AO45" s="2041" t="str">
        <f>IF(AND(ISNUMBER(AM45),ISNUMBER(AN45)),0.25*AM45+0.75*AN45,"")</f>
        <v/>
      </c>
      <c r="AP45" s="2040" t="str">
        <f t="shared" si="12"/>
        <v>Pass</v>
      </c>
      <c r="AQ45" s="2040" t="str">
        <f>IF(OR(AM45&gt;0, AN45&gt;0), IF(AND(AM45&gt;0, AN45&gt;0, AM45&lt;&gt;AN45), "Pass", "Fail"), "")</f>
        <v/>
      </c>
      <c r="AR45" s="2039">
        <f>IF(OR($D$23="Yes", $D$23="No"), IF($D$23="Yes", IF(ISNUMBER(O45), O45, ""), IF(AND(_xlfn.XOR($H$11="No", ISNUMBER(P45)), _xlfn.XOR($H$12="No", ISNUMBER(T45)), _xlfn.XOR($H$13="No", ISNUMBER(AI45)), _xlfn.XOR($H$14="No", ISNUMBER(AK45)), _xlfn.XOR($H$15="No", ISNUMBER(AO45))), SUM(0.65*P45+0.65*_xlfn.NUMBERVALUE(T45)+_xlfn.NUMBERVALUE(AI45)+0.65*AK45+0.65*_xlfn.NUMBERVALUE(AO45)), "")), "")</f>
        <v>0</v>
      </c>
      <c r="AS45" s="2038"/>
      <c r="AT45" s="2037"/>
    </row>
    <row r="46" spans="1:46" ht="15" customHeight="1" x14ac:dyDescent="0.35"/>
  </sheetData>
  <sheetProtection algorithmName="SHA-512" hashValue="w+kXQIWgyARxbdyRhAgdCeDtpbRf25THRgnpst1hI+VxmpAmkB4JnAMl2nDCt3u2kiFZ3G7Y/v8b9YpXmSxLIw==" saltValue="baArcJcaJbokIwdChbESdw==" spinCount="100000" sheet="1" objects="1" scenarios="1"/>
  <mergeCells count="59">
    <mergeCell ref="N29:N32"/>
    <mergeCell ref="B33:B34"/>
    <mergeCell ref="I29:I32"/>
    <mergeCell ref="J29:J32"/>
    <mergeCell ref="K29:K32"/>
    <mergeCell ref="L29:L32"/>
    <mergeCell ref="M29:M32"/>
    <mergeCell ref="D29:D32"/>
    <mergeCell ref="E29:E32"/>
    <mergeCell ref="F29:F32"/>
    <mergeCell ref="G29:G32"/>
    <mergeCell ref="H29:H32"/>
    <mergeCell ref="B43:B44"/>
    <mergeCell ref="V30:V32"/>
    <mergeCell ref="W30:AJ30"/>
    <mergeCell ref="AK30:AQ30"/>
    <mergeCell ref="W31:X31"/>
    <mergeCell ref="Y31:Z31"/>
    <mergeCell ref="AA31:AB31"/>
    <mergeCell ref="AC31:AD31"/>
    <mergeCell ref="Q30:Q32"/>
    <mergeCell ref="R30:R32"/>
    <mergeCell ref="S30:S32"/>
    <mergeCell ref="T30:T32"/>
    <mergeCell ref="U30:U32"/>
    <mergeCell ref="AJ31:AJ32"/>
    <mergeCell ref="B35:B42"/>
    <mergeCell ref="O29:O32"/>
    <mergeCell ref="AE31:AF31"/>
    <mergeCell ref="AG31:AH31"/>
    <mergeCell ref="AI31:AI32"/>
    <mergeCell ref="N27:AR27"/>
    <mergeCell ref="D28:E28"/>
    <mergeCell ref="F28:M28"/>
    <mergeCell ref="N28:O28"/>
    <mergeCell ref="P28:AR28"/>
    <mergeCell ref="P29:Q29"/>
    <mergeCell ref="R29:V29"/>
    <mergeCell ref="W29:AQ29"/>
    <mergeCell ref="AR29:AR32"/>
    <mergeCell ref="P30:P32"/>
    <mergeCell ref="D27:M27"/>
    <mergeCell ref="AK31:AL31"/>
    <mergeCell ref="AM31:AQ31"/>
    <mergeCell ref="B18:C18"/>
    <mergeCell ref="B19:C19"/>
    <mergeCell ref="B20:C20"/>
    <mergeCell ref="B22:C22"/>
    <mergeCell ref="B26:C26"/>
    <mergeCell ref="B21:C21"/>
    <mergeCell ref="D9:F9"/>
    <mergeCell ref="G9:I9"/>
    <mergeCell ref="E10:F10"/>
    <mergeCell ref="H10:I10"/>
    <mergeCell ref="C4:C5"/>
    <mergeCell ref="D4:F4"/>
    <mergeCell ref="G4:I4"/>
    <mergeCell ref="E5:F5"/>
    <mergeCell ref="H5:I5"/>
  </mergeCells>
  <conditionalFormatting sqref="D21">
    <cfRule type="cellIs" dxfId="2889" priority="412" stopIfTrue="1" operator="equal">
      <formula>"Pass"</formula>
    </cfRule>
    <cfRule type="cellIs" dxfId="2888" priority="413" stopIfTrue="1" operator="equal">
      <formula>"Warning"</formula>
    </cfRule>
    <cfRule type="cellIs" dxfId="2887" priority="414" stopIfTrue="1" operator="equal">
      <formula>"Fail"</formula>
    </cfRule>
    <cfRule type="cellIs" dxfId="2886" priority="415" stopIfTrue="1" operator="equal">
      <formula>"Please explain"</formula>
    </cfRule>
    <cfRule type="cellIs" dxfId="2885" priority="416" stopIfTrue="1" operator="equal">
      <formula>"Fill in cell above"</formula>
    </cfRule>
    <cfRule type="cellIs" dxfId="2884" priority="417" stopIfTrue="1" operator="equal">
      <formula>"Yes"</formula>
    </cfRule>
    <cfRule type="cellIs" dxfId="2883" priority="418" stopIfTrue="1" operator="equal">
      <formula>"No"</formula>
    </cfRule>
  </conditionalFormatting>
  <conditionalFormatting sqref="U30">
    <cfRule type="cellIs" dxfId="2882" priority="321" stopIfTrue="1" operator="equal">
      <formula>"Pass"</formula>
    </cfRule>
    <cfRule type="cellIs" dxfId="2881" priority="322" stopIfTrue="1" operator="equal">
      <formula>"Warning"</formula>
    </cfRule>
    <cfRule type="cellIs" dxfId="2880" priority="323" stopIfTrue="1" operator="equal">
      <formula>"Fail"</formula>
    </cfRule>
    <cfRule type="cellIs" dxfId="2879" priority="324" stopIfTrue="1" operator="equal">
      <formula>"Please explain"</formula>
    </cfRule>
  </conditionalFormatting>
  <conditionalFormatting sqref="M29:M30">
    <cfRule type="cellIs" dxfId="2878" priority="408" stopIfTrue="1" operator="equal">
      <formula>"Pass"</formula>
    </cfRule>
    <cfRule type="cellIs" dxfId="2877" priority="409" stopIfTrue="1" operator="equal">
      <formula>"Warning"</formula>
    </cfRule>
    <cfRule type="cellIs" dxfId="2876" priority="410" stopIfTrue="1" operator="equal">
      <formula>"Fail"</formula>
    </cfRule>
    <cfRule type="cellIs" dxfId="2875" priority="411" stopIfTrue="1" operator="equal">
      <formula>"Please explain"</formula>
    </cfRule>
  </conditionalFormatting>
  <conditionalFormatting sqref="AL32">
    <cfRule type="cellIs" dxfId="2874" priority="404" stopIfTrue="1" operator="equal">
      <formula>"Pass"</formula>
    </cfRule>
    <cfRule type="cellIs" dxfId="2873" priority="405" stopIfTrue="1" operator="equal">
      <formula>"Warning"</formula>
    </cfRule>
    <cfRule type="cellIs" dxfId="2872" priority="406" stopIfTrue="1" operator="equal">
      <formula>"Fail"</formula>
    </cfRule>
    <cfRule type="cellIs" dxfId="2871" priority="407" stopIfTrue="1" operator="equal">
      <formula>"Please explain"</formula>
    </cfRule>
  </conditionalFormatting>
  <conditionalFormatting sqref="AP32:AQ32">
    <cfRule type="cellIs" dxfId="2870" priority="400" stopIfTrue="1" operator="equal">
      <formula>"Pass"</formula>
    </cfRule>
    <cfRule type="cellIs" dxfId="2869" priority="401" stopIfTrue="1" operator="equal">
      <formula>"Warning"</formula>
    </cfRule>
    <cfRule type="cellIs" dxfId="2868" priority="402" stopIfTrue="1" operator="equal">
      <formula>"Fail"</formula>
    </cfRule>
    <cfRule type="cellIs" dxfId="2867" priority="403" stopIfTrue="1" operator="equal">
      <formula>"Please explain"</formula>
    </cfRule>
  </conditionalFormatting>
  <conditionalFormatting sqref="Q30">
    <cfRule type="cellIs" dxfId="2866" priority="396" stopIfTrue="1" operator="equal">
      <formula>"Pass"</formula>
    </cfRule>
    <cfRule type="cellIs" dxfId="2865" priority="397" stopIfTrue="1" operator="equal">
      <formula>"Warning"</formula>
    </cfRule>
    <cfRule type="cellIs" dxfId="2864" priority="398" stopIfTrue="1" operator="equal">
      <formula>"Fail"</formula>
    </cfRule>
    <cfRule type="cellIs" dxfId="2863" priority="399" stopIfTrue="1" operator="equal">
      <formula>"Please explain"</formula>
    </cfRule>
  </conditionalFormatting>
  <conditionalFormatting sqref="V30">
    <cfRule type="cellIs" dxfId="2862" priority="392" stopIfTrue="1" operator="equal">
      <formula>"Pass"</formula>
    </cfRule>
    <cfRule type="cellIs" dxfId="2861" priority="393" stopIfTrue="1" operator="equal">
      <formula>"Warning"</formula>
    </cfRule>
    <cfRule type="cellIs" dxfId="2860" priority="394" stopIfTrue="1" operator="equal">
      <formula>"Fail"</formula>
    </cfRule>
    <cfRule type="cellIs" dxfId="2859" priority="395" stopIfTrue="1" operator="equal">
      <formula>"Please explain"</formula>
    </cfRule>
  </conditionalFormatting>
  <conditionalFormatting sqref="Q34">
    <cfRule type="cellIs" dxfId="2858" priority="385" stopIfTrue="1" operator="equal">
      <formula>"Pass"</formula>
    </cfRule>
    <cfRule type="cellIs" dxfId="2857" priority="386" stopIfTrue="1" operator="equal">
      <formula>"Warning"</formula>
    </cfRule>
    <cfRule type="cellIs" dxfId="2856" priority="387" stopIfTrue="1" operator="equal">
      <formula>"Fail"</formula>
    </cfRule>
    <cfRule type="cellIs" dxfId="2855" priority="388" stopIfTrue="1" operator="equal">
      <formula>"Please explain"</formula>
    </cfRule>
    <cfRule type="cellIs" dxfId="2854" priority="389" stopIfTrue="1" operator="equal">
      <formula>"Fill in cell above"</formula>
    </cfRule>
    <cfRule type="cellIs" dxfId="2853" priority="390" stopIfTrue="1" operator="equal">
      <formula>"Yes"</formula>
    </cfRule>
    <cfRule type="cellIs" dxfId="2852" priority="391" stopIfTrue="1" operator="equal">
      <formula>"No"</formula>
    </cfRule>
  </conditionalFormatting>
  <conditionalFormatting sqref="Q33">
    <cfRule type="cellIs" dxfId="2851" priority="378" stopIfTrue="1" operator="equal">
      <formula>"Pass"</formula>
    </cfRule>
    <cfRule type="cellIs" dxfId="2850" priority="379" stopIfTrue="1" operator="equal">
      <formula>"Warning"</formula>
    </cfRule>
    <cfRule type="cellIs" dxfId="2849" priority="380" stopIfTrue="1" operator="equal">
      <formula>"Fail"</formula>
    </cfRule>
    <cfRule type="cellIs" dxfId="2848" priority="381" stopIfTrue="1" operator="equal">
      <formula>"Please explain"</formula>
    </cfRule>
    <cfRule type="cellIs" dxfId="2847" priority="382" stopIfTrue="1" operator="equal">
      <formula>"Fill in cell above"</formula>
    </cfRule>
    <cfRule type="cellIs" dxfId="2846" priority="383" stopIfTrue="1" operator="equal">
      <formula>"Yes"</formula>
    </cfRule>
    <cfRule type="cellIs" dxfId="2845" priority="384" stopIfTrue="1" operator="equal">
      <formula>"No"</formula>
    </cfRule>
  </conditionalFormatting>
  <conditionalFormatting sqref="Q36:Q43">
    <cfRule type="cellIs" dxfId="2844" priority="371" stopIfTrue="1" operator="equal">
      <formula>"Pass"</formula>
    </cfRule>
    <cfRule type="cellIs" dxfId="2843" priority="372" stopIfTrue="1" operator="equal">
      <formula>"Warning"</formula>
    </cfRule>
    <cfRule type="cellIs" dxfId="2842" priority="373" stopIfTrue="1" operator="equal">
      <formula>"Fail"</formula>
    </cfRule>
    <cfRule type="cellIs" dxfId="2841" priority="374" stopIfTrue="1" operator="equal">
      <formula>"Please explain"</formula>
    </cfRule>
    <cfRule type="cellIs" dxfId="2840" priority="375" stopIfTrue="1" operator="equal">
      <formula>"Fill in cell above"</formula>
    </cfRule>
    <cfRule type="cellIs" dxfId="2839" priority="376" stopIfTrue="1" operator="equal">
      <formula>"Yes"</formula>
    </cfRule>
    <cfRule type="cellIs" dxfId="2838" priority="377" stopIfTrue="1" operator="equal">
      <formula>"No"</formula>
    </cfRule>
  </conditionalFormatting>
  <conditionalFormatting sqref="V33">
    <cfRule type="cellIs" dxfId="2837" priority="364" stopIfTrue="1" operator="equal">
      <formula>"Pass"</formula>
    </cfRule>
    <cfRule type="cellIs" dxfId="2836" priority="365" stopIfTrue="1" operator="equal">
      <formula>"Warning"</formula>
    </cfRule>
    <cfRule type="cellIs" dxfId="2835" priority="366" stopIfTrue="1" operator="equal">
      <formula>"Fail"</formula>
    </cfRule>
    <cfRule type="cellIs" dxfId="2834" priority="367" stopIfTrue="1" operator="equal">
      <formula>"Please explain"</formula>
    </cfRule>
    <cfRule type="cellIs" dxfId="2833" priority="368" stopIfTrue="1" operator="equal">
      <formula>"Fill in cell above"</formula>
    </cfRule>
    <cfRule type="cellIs" dxfId="2832" priority="369" stopIfTrue="1" operator="equal">
      <formula>"Yes"</formula>
    </cfRule>
    <cfRule type="cellIs" dxfId="2831" priority="370" stopIfTrue="1" operator="equal">
      <formula>"No"</formula>
    </cfRule>
  </conditionalFormatting>
  <conditionalFormatting sqref="V34">
    <cfRule type="cellIs" dxfId="2830" priority="357" stopIfTrue="1" operator="equal">
      <formula>"Pass"</formula>
    </cfRule>
    <cfRule type="cellIs" dxfId="2829" priority="358" stopIfTrue="1" operator="equal">
      <formula>"Warning"</formula>
    </cfRule>
    <cfRule type="cellIs" dxfId="2828" priority="359" stopIfTrue="1" operator="equal">
      <formula>"Fail"</formula>
    </cfRule>
    <cfRule type="cellIs" dxfId="2827" priority="360" stopIfTrue="1" operator="equal">
      <formula>"Please explain"</formula>
    </cfRule>
    <cfRule type="cellIs" dxfId="2826" priority="361" stopIfTrue="1" operator="equal">
      <formula>"Fill in cell above"</formula>
    </cfRule>
    <cfRule type="cellIs" dxfId="2825" priority="362" stopIfTrue="1" operator="equal">
      <formula>"Yes"</formula>
    </cfRule>
    <cfRule type="cellIs" dxfId="2824" priority="363" stopIfTrue="1" operator="equal">
      <formula>"No"</formula>
    </cfRule>
  </conditionalFormatting>
  <conditionalFormatting sqref="V36:V43">
    <cfRule type="cellIs" dxfId="2823" priority="350" stopIfTrue="1" operator="equal">
      <formula>"Pass"</formula>
    </cfRule>
    <cfRule type="cellIs" dxfId="2822" priority="351" stopIfTrue="1" operator="equal">
      <formula>"Warning"</formula>
    </cfRule>
    <cfRule type="cellIs" dxfId="2821" priority="352" stopIfTrue="1" operator="equal">
      <formula>"Fail"</formula>
    </cfRule>
    <cfRule type="cellIs" dxfId="2820" priority="353" stopIfTrue="1" operator="equal">
      <formula>"Please explain"</formula>
    </cfRule>
    <cfRule type="cellIs" dxfId="2819" priority="354" stopIfTrue="1" operator="equal">
      <formula>"Fill in cell above"</formula>
    </cfRule>
    <cfRule type="cellIs" dxfId="2818" priority="355" stopIfTrue="1" operator="equal">
      <formula>"Yes"</formula>
    </cfRule>
    <cfRule type="cellIs" dxfId="2817" priority="356" stopIfTrue="1" operator="equal">
      <formula>"No"</formula>
    </cfRule>
  </conditionalFormatting>
  <conditionalFormatting sqref="AJ31">
    <cfRule type="cellIs" dxfId="2816" priority="346" stopIfTrue="1" operator="equal">
      <formula>"Pass"</formula>
    </cfRule>
    <cfRule type="cellIs" dxfId="2815" priority="347" stopIfTrue="1" operator="equal">
      <formula>"Warning"</formula>
    </cfRule>
    <cfRule type="cellIs" dxfId="2814" priority="348" stopIfTrue="1" operator="equal">
      <formula>"Fail"</formula>
    </cfRule>
    <cfRule type="cellIs" dxfId="2813" priority="349" stopIfTrue="1" operator="equal">
      <formula>"Please explain"</formula>
    </cfRule>
  </conditionalFormatting>
  <conditionalFormatting sqref="AJ34">
    <cfRule type="cellIs" dxfId="2812" priority="339" stopIfTrue="1" operator="equal">
      <formula>"Pass"</formula>
    </cfRule>
    <cfRule type="cellIs" dxfId="2811" priority="340" stopIfTrue="1" operator="equal">
      <formula>"Warning"</formula>
    </cfRule>
    <cfRule type="cellIs" dxfId="2810" priority="341" stopIfTrue="1" operator="equal">
      <formula>"Fail"</formula>
    </cfRule>
    <cfRule type="cellIs" dxfId="2809" priority="342" stopIfTrue="1" operator="equal">
      <formula>"Please explain"</formula>
    </cfRule>
    <cfRule type="cellIs" dxfId="2808" priority="343" stopIfTrue="1" operator="equal">
      <formula>"Fill in cell above"</formula>
    </cfRule>
    <cfRule type="cellIs" dxfId="2807" priority="344" stopIfTrue="1" operator="equal">
      <formula>"Yes"</formula>
    </cfRule>
    <cfRule type="cellIs" dxfId="2806" priority="345" stopIfTrue="1" operator="equal">
      <formula>"No"</formula>
    </cfRule>
  </conditionalFormatting>
  <conditionalFormatting sqref="AJ33">
    <cfRule type="cellIs" dxfId="2805" priority="332" stopIfTrue="1" operator="equal">
      <formula>"Pass"</formula>
    </cfRule>
    <cfRule type="cellIs" dxfId="2804" priority="333" stopIfTrue="1" operator="equal">
      <formula>"Warning"</formula>
    </cfRule>
    <cfRule type="cellIs" dxfId="2803" priority="334" stopIfTrue="1" operator="equal">
      <formula>"Fail"</formula>
    </cfRule>
    <cfRule type="cellIs" dxfId="2802" priority="335" stopIfTrue="1" operator="equal">
      <formula>"Please explain"</formula>
    </cfRule>
    <cfRule type="cellIs" dxfId="2801" priority="336" stopIfTrue="1" operator="equal">
      <formula>"Fill in cell above"</formula>
    </cfRule>
    <cfRule type="cellIs" dxfId="2800" priority="337" stopIfTrue="1" operator="equal">
      <formula>"Yes"</formula>
    </cfRule>
    <cfRule type="cellIs" dxfId="2799" priority="338" stopIfTrue="1" operator="equal">
      <formula>"No"</formula>
    </cfRule>
  </conditionalFormatting>
  <conditionalFormatting sqref="AJ36:AJ43">
    <cfRule type="cellIs" dxfId="2798" priority="325" stopIfTrue="1" operator="equal">
      <formula>"Pass"</formula>
    </cfRule>
    <cfRule type="cellIs" dxfId="2797" priority="326" stopIfTrue="1" operator="equal">
      <formula>"Warning"</formula>
    </cfRule>
    <cfRule type="cellIs" dxfId="2796" priority="327" stopIfTrue="1" operator="equal">
      <formula>"Fail"</formula>
    </cfRule>
    <cfRule type="cellIs" dxfId="2795" priority="328" stopIfTrue="1" operator="equal">
      <formula>"Please explain"</formula>
    </cfRule>
    <cfRule type="cellIs" dxfId="2794" priority="329" stopIfTrue="1" operator="equal">
      <formula>"Fill in cell above"</formula>
    </cfRule>
    <cfRule type="cellIs" dxfId="2793" priority="330" stopIfTrue="1" operator="equal">
      <formula>"Yes"</formula>
    </cfRule>
    <cfRule type="cellIs" dxfId="2792" priority="331" stopIfTrue="1" operator="equal">
      <formula>"No"</formula>
    </cfRule>
  </conditionalFormatting>
  <conditionalFormatting sqref="AL33">
    <cfRule type="cellIs" dxfId="2791" priority="286" stopIfTrue="1" operator="equal">
      <formula>"Pass"</formula>
    </cfRule>
    <cfRule type="cellIs" dxfId="2790" priority="287" stopIfTrue="1" operator="equal">
      <formula>"Warning"</formula>
    </cfRule>
    <cfRule type="cellIs" dxfId="2789" priority="288" stopIfTrue="1" operator="equal">
      <formula>"Fail"</formula>
    </cfRule>
    <cfRule type="cellIs" dxfId="2788" priority="289" stopIfTrue="1" operator="equal">
      <formula>"Please explain"</formula>
    </cfRule>
    <cfRule type="cellIs" dxfId="2787" priority="290" stopIfTrue="1" operator="equal">
      <formula>"Fill in cell above"</formula>
    </cfRule>
    <cfRule type="cellIs" dxfId="2786" priority="291" stopIfTrue="1" operator="equal">
      <formula>"Yes"</formula>
    </cfRule>
    <cfRule type="cellIs" dxfId="2785" priority="292" stopIfTrue="1" operator="equal">
      <formula>"No"</formula>
    </cfRule>
  </conditionalFormatting>
  <conditionalFormatting sqref="AL34 AL36:AL43">
    <cfRule type="cellIs" dxfId="2784" priority="293" stopIfTrue="1" operator="equal">
      <formula>"Pass"</formula>
    </cfRule>
    <cfRule type="cellIs" dxfId="2783" priority="294" stopIfTrue="1" operator="equal">
      <formula>"Warning"</formula>
    </cfRule>
    <cfRule type="cellIs" dxfId="2782" priority="295" stopIfTrue="1" operator="equal">
      <formula>"Fail"</formula>
    </cfRule>
    <cfRule type="cellIs" dxfId="2781" priority="296" stopIfTrue="1" operator="equal">
      <formula>"Please explain"</formula>
    </cfRule>
    <cfRule type="cellIs" dxfId="2780" priority="297" stopIfTrue="1" operator="equal">
      <formula>"Fill in cell above"</formula>
    </cfRule>
    <cfRule type="cellIs" dxfId="2779" priority="298" stopIfTrue="1" operator="equal">
      <formula>"Yes"</formula>
    </cfRule>
    <cfRule type="cellIs" dxfId="2778" priority="299" stopIfTrue="1" operator="equal">
      <formula>"No"</formula>
    </cfRule>
  </conditionalFormatting>
  <conditionalFormatting sqref="AQ34">
    <cfRule type="cellIs" dxfId="2777" priority="272" stopIfTrue="1" operator="equal">
      <formula>"Pass"</formula>
    </cfRule>
    <cfRule type="cellIs" dxfId="2776" priority="273" stopIfTrue="1" operator="equal">
      <formula>"Warning"</formula>
    </cfRule>
    <cfRule type="cellIs" dxfId="2775" priority="274" stopIfTrue="1" operator="equal">
      <formula>"Fail"</formula>
    </cfRule>
    <cfRule type="cellIs" dxfId="2774" priority="275" stopIfTrue="1" operator="equal">
      <formula>"Please explain"</formula>
    </cfRule>
    <cfRule type="cellIs" dxfId="2773" priority="276" stopIfTrue="1" operator="equal">
      <formula>"Fill in cell above"</formula>
    </cfRule>
    <cfRule type="cellIs" dxfId="2772" priority="277" stopIfTrue="1" operator="equal">
      <formula>"Yes"</formula>
    </cfRule>
    <cfRule type="cellIs" dxfId="2771" priority="278" stopIfTrue="1" operator="equal">
      <formula>"No"</formula>
    </cfRule>
  </conditionalFormatting>
  <conditionalFormatting sqref="AP33">
    <cfRule type="cellIs" dxfId="2770" priority="258" stopIfTrue="1" operator="equal">
      <formula>"Pass"</formula>
    </cfRule>
    <cfRule type="cellIs" dxfId="2769" priority="259" stopIfTrue="1" operator="equal">
      <formula>"Warning"</formula>
    </cfRule>
    <cfRule type="cellIs" dxfId="2768" priority="260" stopIfTrue="1" operator="equal">
      <formula>"Fail"</formula>
    </cfRule>
    <cfRule type="cellIs" dxfId="2767" priority="261" stopIfTrue="1" operator="equal">
      <formula>"Please explain"</formula>
    </cfRule>
    <cfRule type="cellIs" dxfId="2766" priority="262" stopIfTrue="1" operator="equal">
      <formula>"Fill in cell above"</formula>
    </cfRule>
    <cfRule type="cellIs" dxfId="2765" priority="263" stopIfTrue="1" operator="equal">
      <formula>"Yes"</formula>
    </cfRule>
    <cfRule type="cellIs" dxfId="2764" priority="264" stopIfTrue="1" operator="equal">
      <formula>"No"</formula>
    </cfRule>
  </conditionalFormatting>
  <conditionalFormatting sqref="AP36:AP43">
    <cfRule type="cellIs" dxfId="2763" priority="244" stopIfTrue="1" operator="equal">
      <formula>"Pass"</formula>
    </cfRule>
    <cfRule type="cellIs" dxfId="2762" priority="245" stopIfTrue="1" operator="equal">
      <formula>"Warning"</formula>
    </cfRule>
    <cfRule type="cellIs" dxfId="2761" priority="246" stopIfTrue="1" operator="equal">
      <formula>"Fail"</formula>
    </cfRule>
    <cfRule type="cellIs" dxfId="2760" priority="247" stopIfTrue="1" operator="equal">
      <formula>"Please explain"</formula>
    </cfRule>
    <cfRule type="cellIs" dxfId="2759" priority="248" stopIfTrue="1" operator="equal">
      <formula>"Fill in cell above"</formula>
    </cfRule>
    <cfRule type="cellIs" dxfId="2758" priority="249" stopIfTrue="1" operator="equal">
      <formula>"Yes"</formula>
    </cfRule>
    <cfRule type="cellIs" dxfId="2757" priority="250" stopIfTrue="1" operator="equal">
      <formula>"No"</formula>
    </cfRule>
  </conditionalFormatting>
  <conditionalFormatting sqref="U34">
    <cfRule type="cellIs" dxfId="2756" priority="314" stopIfTrue="1" operator="equal">
      <formula>"Pass"</formula>
    </cfRule>
    <cfRule type="cellIs" dxfId="2755" priority="315" stopIfTrue="1" operator="equal">
      <formula>"Warning"</formula>
    </cfRule>
    <cfRule type="cellIs" dxfId="2754" priority="316" stopIfTrue="1" operator="equal">
      <formula>"Fail"</formula>
    </cfRule>
    <cfRule type="cellIs" dxfId="2753" priority="317" stopIfTrue="1" operator="equal">
      <formula>"Please explain"</formula>
    </cfRule>
    <cfRule type="cellIs" dxfId="2752" priority="318" stopIfTrue="1" operator="equal">
      <formula>"Fill in cell above"</formula>
    </cfRule>
    <cfRule type="cellIs" dxfId="2751" priority="319" stopIfTrue="1" operator="equal">
      <formula>"Yes"</formula>
    </cfRule>
    <cfRule type="cellIs" dxfId="2750" priority="320" stopIfTrue="1" operator="equal">
      <formula>"No"</formula>
    </cfRule>
  </conditionalFormatting>
  <conditionalFormatting sqref="U33">
    <cfRule type="cellIs" dxfId="2749" priority="307" stopIfTrue="1" operator="equal">
      <formula>"Pass"</formula>
    </cfRule>
    <cfRule type="cellIs" dxfId="2748" priority="308" stopIfTrue="1" operator="equal">
      <formula>"Warning"</formula>
    </cfRule>
    <cfRule type="cellIs" dxfId="2747" priority="309" stopIfTrue="1" operator="equal">
      <formula>"Fail"</formula>
    </cfRule>
    <cfRule type="cellIs" dxfId="2746" priority="310" stopIfTrue="1" operator="equal">
      <formula>"Please explain"</formula>
    </cfRule>
    <cfRule type="cellIs" dxfId="2745" priority="311" stopIfTrue="1" operator="equal">
      <formula>"Fill in cell above"</formula>
    </cfRule>
    <cfRule type="cellIs" dxfId="2744" priority="312" stopIfTrue="1" operator="equal">
      <formula>"Yes"</formula>
    </cfRule>
    <cfRule type="cellIs" dxfId="2743" priority="313" stopIfTrue="1" operator="equal">
      <formula>"No"</formula>
    </cfRule>
  </conditionalFormatting>
  <conditionalFormatting sqref="U36:U43">
    <cfRule type="cellIs" dxfId="2742" priority="300" stopIfTrue="1" operator="equal">
      <formula>"Pass"</formula>
    </cfRule>
    <cfRule type="cellIs" dxfId="2741" priority="301" stopIfTrue="1" operator="equal">
      <formula>"Warning"</formula>
    </cfRule>
    <cfRule type="cellIs" dxfId="2740" priority="302" stopIfTrue="1" operator="equal">
      <formula>"Fail"</formula>
    </cfRule>
    <cfRule type="cellIs" dxfId="2739" priority="303" stopIfTrue="1" operator="equal">
      <formula>"Please explain"</formula>
    </cfRule>
    <cfRule type="cellIs" dxfId="2738" priority="304" stopIfTrue="1" operator="equal">
      <formula>"Fill in cell above"</formula>
    </cfRule>
    <cfRule type="cellIs" dxfId="2737" priority="305" stopIfTrue="1" operator="equal">
      <formula>"Yes"</formula>
    </cfRule>
    <cfRule type="cellIs" dxfId="2736" priority="306" stopIfTrue="1" operator="equal">
      <formula>"No"</formula>
    </cfRule>
  </conditionalFormatting>
  <conditionalFormatting sqref="AP34">
    <cfRule type="cellIs" dxfId="2735" priority="251" stopIfTrue="1" operator="equal">
      <formula>"Pass"</formula>
    </cfRule>
    <cfRule type="cellIs" dxfId="2734" priority="252" stopIfTrue="1" operator="equal">
      <formula>"Warning"</formula>
    </cfRule>
    <cfRule type="cellIs" dxfId="2733" priority="253" stopIfTrue="1" operator="equal">
      <formula>"Fail"</formula>
    </cfRule>
    <cfRule type="cellIs" dxfId="2732" priority="254" stopIfTrue="1" operator="equal">
      <formula>"Please explain"</formula>
    </cfRule>
    <cfRule type="cellIs" dxfId="2731" priority="255" stopIfTrue="1" operator="equal">
      <formula>"Fill in cell above"</formula>
    </cfRule>
    <cfRule type="cellIs" dxfId="2730" priority="256" stopIfTrue="1" operator="equal">
      <formula>"Yes"</formula>
    </cfRule>
    <cfRule type="cellIs" dxfId="2729" priority="257" stopIfTrue="1" operator="equal">
      <formula>"No"</formula>
    </cfRule>
  </conditionalFormatting>
  <conditionalFormatting sqref="AQ33">
    <cfRule type="cellIs" dxfId="2728" priority="279" stopIfTrue="1" operator="equal">
      <formula>"Pass"</formula>
    </cfRule>
    <cfRule type="cellIs" dxfId="2727" priority="280" stopIfTrue="1" operator="equal">
      <formula>"Warning"</formula>
    </cfRule>
    <cfRule type="cellIs" dxfId="2726" priority="281" stopIfTrue="1" operator="equal">
      <formula>"Fail"</formula>
    </cfRule>
    <cfRule type="cellIs" dxfId="2725" priority="282" stopIfTrue="1" operator="equal">
      <formula>"Please explain"</formula>
    </cfRule>
    <cfRule type="cellIs" dxfId="2724" priority="283" stopIfTrue="1" operator="equal">
      <formula>"Fill in cell above"</formula>
    </cfRule>
    <cfRule type="cellIs" dxfId="2723" priority="284" stopIfTrue="1" operator="equal">
      <formula>"Yes"</formula>
    </cfRule>
    <cfRule type="cellIs" dxfId="2722" priority="285" stopIfTrue="1" operator="equal">
      <formula>"No"</formula>
    </cfRule>
  </conditionalFormatting>
  <conditionalFormatting sqref="AQ36:AQ43">
    <cfRule type="cellIs" dxfId="2721" priority="265" stopIfTrue="1" operator="equal">
      <formula>"Pass"</formula>
    </cfRule>
    <cfRule type="cellIs" dxfId="2720" priority="266" stopIfTrue="1" operator="equal">
      <formula>"Warning"</formula>
    </cfRule>
    <cfRule type="cellIs" dxfId="2719" priority="267" stopIfTrue="1" operator="equal">
      <formula>"Fail"</formula>
    </cfRule>
    <cfRule type="cellIs" dxfId="2718" priority="268" stopIfTrue="1" operator="equal">
      <formula>"Please explain"</formula>
    </cfRule>
    <cfRule type="cellIs" dxfId="2717" priority="269" stopIfTrue="1" operator="equal">
      <formula>"Fill in cell above"</formula>
    </cfRule>
    <cfRule type="cellIs" dxfId="2716" priority="270" stopIfTrue="1" operator="equal">
      <formula>"Yes"</formula>
    </cfRule>
    <cfRule type="cellIs" dxfId="2715" priority="271" stopIfTrue="1" operator="equal">
      <formula>"No"</formula>
    </cfRule>
  </conditionalFormatting>
  <conditionalFormatting sqref="G29">
    <cfRule type="cellIs" dxfId="2714" priority="240" stopIfTrue="1" operator="equal">
      <formula>"Pass"</formula>
    </cfRule>
    <cfRule type="cellIs" dxfId="2713" priority="241" stopIfTrue="1" operator="equal">
      <formula>"Warning"</formula>
    </cfRule>
    <cfRule type="cellIs" dxfId="2712" priority="242" stopIfTrue="1" operator="equal">
      <formula>"Fail"</formula>
    </cfRule>
    <cfRule type="cellIs" dxfId="2711" priority="243" stopIfTrue="1" operator="equal">
      <formula>"Please explain"</formula>
    </cfRule>
  </conditionalFormatting>
  <conditionalFormatting sqref="I29">
    <cfRule type="cellIs" dxfId="2710" priority="236" stopIfTrue="1" operator="equal">
      <formula>"Pass"</formula>
    </cfRule>
    <cfRule type="cellIs" dxfId="2709" priority="237" stopIfTrue="1" operator="equal">
      <formula>"Warning"</formula>
    </cfRule>
    <cfRule type="cellIs" dxfId="2708" priority="238" stopIfTrue="1" operator="equal">
      <formula>"Fail"</formula>
    </cfRule>
    <cfRule type="cellIs" dxfId="2707" priority="239" stopIfTrue="1" operator="equal">
      <formula>"Please explain"</formula>
    </cfRule>
  </conditionalFormatting>
  <conditionalFormatting sqref="G33">
    <cfRule type="cellIs" dxfId="2706" priority="229" stopIfTrue="1" operator="equal">
      <formula>"Pass"</formula>
    </cfRule>
    <cfRule type="cellIs" dxfId="2705" priority="230" stopIfTrue="1" operator="equal">
      <formula>"Warning"</formula>
    </cfRule>
    <cfRule type="cellIs" dxfId="2704" priority="231" stopIfTrue="1" operator="equal">
      <formula>"Fail"</formula>
    </cfRule>
    <cfRule type="cellIs" dxfId="2703" priority="232" stopIfTrue="1" operator="equal">
      <formula>"Please explain"</formula>
    </cfRule>
    <cfRule type="cellIs" dxfId="2702" priority="233" stopIfTrue="1" operator="equal">
      <formula>"Fill in cell above"</formula>
    </cfRule>
    <cfRule type="cellIs" dxfId="2701" priority="234" stopIfTrue="1" operator="equal">
      <formula>"Yes"</formula>
    </cfRule>
    <cfRule type="cellIs" dxfId="2700" priority="235" stopIfTrue="1" operator="equal">
      <formula>"No"</formula>
    </cfRule>
  </conditionalFormatting>
  <conditionalFormatting sqref="G34:G45">
    <cfRule type="cellIs" dxfId="2699" priority="222" stopIfTrue="1" operator="equal">
      <formula>"Pass"</formula>
    </cfRule>
    <cfRule type="cellIs" dxfId="2698" priority="223" stopIfTrue="1" operator="equal">
      <formula>"Warning"</formula>
    </cfRule>
    <cfRule type="cellIs" dxfId="2697" priority="224" stopIfTrue="1" operator="equal">
      <formula>"Fail"</formula>
    </cfRule>
    <cfRule type="cellIs" dxfId="2696" priority="225" stopIfTrue="1" operator="equal">
      <formula>"Please explain"</formula>
    </cfRule>
    <cfRule type="cellIs" dxfId="2695" priority="226" stopIfTrue="1" operator="equal">
      <formula>"Fill in cell above"</formula>
    </cfRule>
    <cfRule type="cellIs" dxfId="2694" priority="227" stopIfTrue="1" operator="equal">
      <formula>"Yes"</formula>
    </cfRule>
    <cfRule type="cellIs" dxfId="2693" priority="228" stopIfTrue="1" operator="equal">
      <formula>"No"</formula>
    </cfRule>
  </conditionalFormatting>
  <conditionalFormatting sqref="I33">
    <cfRule type="cellIs" dxfId="2692" priority="215" stopIfTrue="1" operator="equal">
      <formula>"Pass"</formula>
    </cfRule>
    <cfRule type="cellIs" dxfId="2691" priority="216" stopIfTrue="1" operator="equal">
      <formula>"Warning"</formula>
    </cfRule>
    <cfRule type="cellIs" dxfId="2690" priority="217" stopIfTrue="1" operator="equal">
      <formula>"Fail"</formula>
    </cfRule>
    <cfRule type="cellIs" dxfId="2689" priority="218" stopIfTrue="1" operator="equal">
      <formula>"Please explain"</formula>
    </cfRule>
    <cfRule type="cellIs" dxfId="2688" priority="219" stopIfTrue="1" operator="equal">
      <formula>"Fill in cell above"</formula>
    </cfRule>
    <cfRule type="cellIs" dxfId="2687" priority="220" stopIfTrue="1" operator="equal">
      <formula>"Yes"</formula>
    </cfRule>
    <cfRule type="cellIs" dxfId="2686" priority="221" stopIfTrue="1" operator="equal">
      <formula>"No"</formula>
    </cfRule>
  </conditionalFormatting>
  <conditionalFormatting sqref="K33">
    <cfRule type="cellIs" dxfId="2685" priority="208" stopIfTrue="1" operator="equal">
      <formula>"Pass"</formula>
    </cfRule>
    <cfRule type="cellIs" dxfId="2684" priority="209" stopIfTrue="1" operator="equal">
      <formula>"Warning"</formula>
    </cfRule>
    <cfRule type="cellIs" dxfId="2683" priority="210" stopIfTrue="1" operator="equal">
      <formula>"Fail"</formula>
    </cfRule>
    <cfRule type="cellIs" dxfId="2682" priority="211" stopIfTrue="1" operator="equal">
      <formula>"Please explain"</formula>
    </cfRule>
    <cfRule type="cellIs" dxfId="2681" priority="212" stopIfTrue="1" operator="equal">
      <formula>"Fill in cell above"</formula>
    </cfRule>
    <cfRule type="cellIs" dxfId="2680" priority="213" stopIfTrue="1" operator="equal">
      <formula>"Yes"</formula>
    </cfRule>
    <cfRule type="cellIs" dxfId="2679" priority="214" stopIfTrue="1" operator="equal">
      <formula>"No"</formula>
    </cfRule>
  </conditionalFormatting>
  <conditionalFormatting sqref="I34">
    <cfRule type="cellIs" dxfId="2678" priority="201" stopIfTrue="1" operator="equal">
      <formula>"Pass"</formula>
    </cfRule>
    <cfRule type="cellIs" dxfId="2677" priority="202" stopIfTrue="1" operator="equal">
      <formula>"Warning"</formula>
    </cfRule>
    <cfRule type="cellIs" dxfId="2676" priority="203" stopIfTrue="1" operator="equal">
      <formula>"Fail"</formula>
    </cfRule>
    <cfRule type="cellIs" dxfId="2675" priority="204" stopIfTrue="1" operator="equal">
      <formula>"Please explain"</formula>
    </cfRule>
    <cfRule type="cellIs" dxfId="2674" priority="205" stopIfTrue="1" operator="equal">
      <formula>"Fill in cell above"</formula>
    </cfRule>
    <cfRule type="cellIs" dxfId="2673" priority="206" stopIfTrue="1" operator="equal">
      <formula>"Yes"</formula>
    </cfRule>
    <cfRule type="cellIs" dxfId="2672" priority="207" stopIfTrue="1" operator="equal">
      <formula>"No"</formula>
    </cfRule>
  </conditionalFormatting>
  <conditionalFormatting sqref="K34:K45">
    <cfRule type="cellIs" dxfId="2671" priority="194" stopIfTrue="1" operator="equal">
      <formula>"Pass"</formula>
    </cfRule>
    <cfRule type="cellIs" dxfId="2670" priority="195" stopIfTrue="1" operator="equal">
      <formula>"Warning"</formula>
    </cfRule>
    <cfRule type="cellIs" dxfId="2669" priority="196" stopIfTrue="1" operator="equal">
      <formula>"Fail"</formula>
    </cfRule>
    <cfRule type="cellIs" dxfId="2668" priority="197" stopIfTrue="1" operator="equal">
      <formula>"Please explain"</formula>
    </cfRule>
    <cfRule type="cellIs" dxfId="2667" priority="198" stopIfTrue="1" operator="equal">
      <formula>"Fill in cell above"</formula>
    </cfRule>
    <cfRule type="cellIs" dxfId="2666" priority="199" stopIfTrue="1" operator="equal">
      <formula>"Yes"</formula>
    </cfRule>
    <cfRule type="cellIs" dxfId="2665" priority="200" stopIfTrue="1" operator="equal">
      <formula>"No"</formula>
    </cfRule>
  </conditionalFormatting>
  <conditionalFormatting sqref="I36:I43">
    <cfRule type="cellIs" dxfId="2664" priority="187" stopIfTrue="1" operator="equal">
      <formula>"Pass"</formula>
    </cfRule>
    <cfRule type="cellIs" dxfId="2663" priority="188" stopIfTrue="1" operator="equal">
      <formula>"Warning"</formula>
    </cfRule>
    <cfRule type="cellIs" dxfId="2662" priority="189" stopIfTrue="1" operator="equal">
      <formula>"Fail"</formula>
    </cfRule>
    <cfRule type="cellIs" dxfId="2661" priority="190" stopIfTrue="1" operator="equal">
      <formula>"Please explain"</formula>
    </cfRule>
    <cfRule type="cellIs" dxfId="2660" priority="191" stopIfTrue="1" operator="equal">
      <formula>"Fill in cell above"</formula>
    </cfRule>
    <cfRule type="cellIs" dxfId="2659" priority="192" stopIfTrue="1" operator="equal">
      <formula>"Yes"</formula>
    </cfRule>
    <cfRule type="cellIs" dxfId="2658" priority="193" stopIfTrue="1" operator="equal">
      <formula>"No"</formula>
    </cfRule>
  </conditionalFormatting>
  <conditionalFormatting sqref="M33">
    <cfRule type="cellIs" dxfId="2657" priority="180" stopIfTrue="1" operator="equal">
      <formula>"Pass"</formula>
    </cfRule>
    <cfRule type="cellIs" dxfId="2656" priority="181" stopIfTrue="1" operator="equal">
      <formula>"Warning"</formula>
    </cfRule>
    <cfRule type="cellIs" dxfId="2655" priority="182" stopIfTrue="1" operator="equal">
      <formula>"Fail"</formula>
    </cfRule>
    <cfRule type="cellIs" dxfId="2654" priority="183" stopIfTrue="1" operator="equal">
      <formula>"Please explain"</formula>
    </cfRule>
    <cfRule type="cellIs" dxfId="2653" priority="184" stopIfTrue="1" operator="equal">
      <formula>"Fill in cell above"</formula>
    </cfRule>
    <cfRule type="cellIs" dxfId="2652" priority="185" stopIfTrue="1" operator="equal">
      <formula>"Yes"</formula>
    </cfRule>
    <cfRule type="cellIs" dxfId="2651" priority="186" stopIfTrue="1" operator="equal">
      <formula>"No"</formula>
    </cfRule>
  </conditionalFormatting>
  <conditionalFormatting sqref="Q45">
    <cfRule type="cellIs" dxfId="2650" priority="173" stopIfTrue="1" operator="equal">
      <formula>"Pass"</formula>
    </cfRule>
    <cfRule type="cellIs" dxfId="2649" priority="174" stopIfTrue="1" operator="equal">
      <formula>"Warning"</formula>
    </cfRule>
    <cfRule type="cellIs" dxfId="2648" priority="175" stopIfTrue="1" operator="equal">
      <formula>"Fail"</formula>
    </cfRule>
    <cfRule type="cellIs" dxfId="2647" priority="176" stopIfTrue="1" operator="equal">
      <formula>"Please explain"</formula>
    </cfRule>
    <cfRule type="cellIs" dxfId="2646" priority="177" stopIfTrue="1" operator="equal">
      <formula>"Fill in cell above"</formula>
    </cfRule>
    <cfRule type="cellIs" dxfId="2645" priority="178" stopIfTrue="1" operator="equal">
      <formula>"Yes"</formula>
    </cfRule>
    <cfRule type="cellIs" dxfId="2644" priority="179" stopIfTrue="1" operator="equal">
      <formula>"No"</formula>
    </cfRule>
  </conditionalFormatting>
  <conditionalFormatting sqref="AJ45">
    <cfRule type="cellIs" dxfId="2643" priority="166" stopIfTrue="1" operator="equal">
      <formula>"Pass"</formula>
    </cfRule>
    <cfRule type="cellIs" dxfId="2642" priority="167" stopIfTrue="1" operator="equal">
      <formula>"Warning"</formula>
    </cfRule>
    <cfRule type="cellIs" dxfId="2641" priority="168" stopIfTrue="1" operator="equal">
      <formula>"Fail"</formula>
    </cfRule>
    <cfRule type="cellIs" dxfId="2640" priority="169" stopIfTrue="1" operator="equal">
      <formula>"Please explain"</formula>
    </cfRule>
    <cfRule type="cellIs" dxfId="2639" priority="170" stopIfTrue="1" operator="equal">
      <formula>"Fill in cell above"</formula>
    </cfRule>
    <cfRule type="cellIs" dxfId="2638" priority="171" stopIfTrue="1" operator="equal">
      <formula>"Yes"</formula>
    </cfRule>
    <cfRule type="cellIs" dxfId="2637" priority="172" stopIfTrue="1" operator="equal">
      <formula>"No"</formula>
    </cfRule>
  </conditionalFormatting>
  <conditionalFormatting sqref="U45">
    <cfRule type="cellIs" dxfId="2636" priority="159" stopIfTrue="1" operator="equal">
      <formula>"Pass"</formula>
    </cfRule>
    <cfRule type="cellIs" dxfId="2635" priority="160" stopIfTrue="1" operator="equal">
      <formula>"Warning"</formula>
    </cfRule>
    <cfRule type="cellIs" dxfId="2634" priority="161" stopIfTrue="1" operator="equal">
      <formula>"Fail"</formula>
    </cfRule>
    <cfRule type="cellIs" dxfId="2633" priority="162" stopIfTrue="1" operator="equal">
      <formula>"Please explain"</formula>
    </cfRule>
    <cfRule type="cellIs" dxfId="2632" priority="163" stopIfTrue="1" operator="equal">
      <formula>"Fill in cell above"</formula>
    </cfRule>
    <cfRule type="cellIs" dxfId="2631" priority="164" stopIfTrue="1" operator="equal">
      <formula>"Yes"</formula>
    </cfRule>
    <cfRule type="cellIs" dxfId="2630" priority="165" stopIfTrue="1" operator="equal">
      <formula>"No"</formula>
    </cfRule>
  </conditionalFormatting>
  <conditionalFormatting sqref="I45">
    <cfRule type="cellIs" dxfId="2629" priority="152" stopIfTrue="1" operator="equal">
      <formula>"Pass"</formula>
    </cfRule>
    <cfRule type="cellIs" dxfId="2628" priority="153" stopIfTrue="1" operator="equal">
      <formula>"Warning"</formula>
    </cfRule>
    <cfRule type="cellIs" dxfId="2627" priority="154" stopIfTrue="1" operator="equal">
      <formula>"Fail"</formula>
    </cfRule>
    <cfRule type="cellIs" dxfId="2626" priority="155" stopIfTrue="1" operator="equal">
      <formula>"Please explain"</formula>
    </cfRule>
    <cfRule type="cellIs" dxfId="2625" priority="156" stopIfTrue="1" operator="equal">
      <formula>"Fill in cell above"</formula>
    </cfRule>
    <cfRule type="cellIs" dxfId="2624" priority="157" stopIfTrue="1" operator="equal">
      <formula>"Yes"</formula>
    </cfRule>
    <cfRule type="cellIs" dxfId="2623" priority="158" stopIfTrue="1" operator="equal">
      <formula>"No"</formula>
    </cfRule>
  </conditionalFormatting>
  <conditionalFormatting sqref="Q44">
    <cfRule type="cellIs" dxfId="2622" priority="145" stopIfTrue="1" operator="equal">
      <formula>"Pass"</formula>
    </cfRule>
    <cfRule type="cellIs" dxfId="2621" priority="146" stopIfTrue="1" operator="equal">
      <formula>"Warning"</formula>
    </cfRule>
    <cfRule type="cellIs" dxfId="2620" priority="147" stopIfTrue="1" operator="equal">
      <formula>"Fail"</formula>
    </cfRule>
    <cfRule type="cellIs" dxfId="2619" priority="148" stopIfTrue="1" operator="equal">
      <formula>"Please explain"</formula>
    </cfRule>
    <cfRule type="cellIs" dxfId="2618" priority="149" stopIfTrue="1" operator="equal">
      <formula>"Fill in cell above"</formula>
    </cfRule>
    <cfRule type="cellIs" dxfId="2617" priority="150" stopIfTrue="1" operator="equal">
      <formula>"Yes"</formula>
    </cfRule>
    <cfRule type="cellIs" dxfId="2616" priority="151" stopIfTrue="1" operator="equal">
      <formula>"No"</formula>
    </cfRule>
  </conditionalFormatting>
  <conditionalFormatting sqref="V44">
    <cfRule type="cellIs" dxfId="2615" priority="138" stopIfTrue="1" operator="equal">
      <formula>"Pass"</formula>
    </cfRule>
    <cfRule type="cellIs" dxfId="2614" priority="139" stopIfTrue="1" operator="equal">
      <formula>"Warning"</formula>
    </cfRule>
    <cfRule type="cellIs" dxfId="2613" priority="140" stopIfTrue="1" operator="equal">
      <formula>"Fail"</formula>
    </cfRule>
    <cfRule type="cellIs" dxfId="2612" priority="141" stopIfTrue="1" operator="equal">
      <formula>"Please explain"</formula>
    </cfRule>
    <cfRule type="cellIs" dxfId="2611" priority="142" stopIfTrue="1" operator="equal">
      <formula>"Fill in cell above"</formula>
    </cfRule>
    <cfRule type="cellIs" dxfId="2610" priority="143" stopIfTrue="1" operator="equal">
      <formula>"Yes"</formula>
    </cfRule>
    <cfRule type="cellIs" dxfId="2609" priority="144" stopIfTrue="1" operator="equal">
      <formula>"No"</formula>
    </cfRule>
  </conditionalFormatting>
  <conditionalFormatting sqref="AJ44">
    <cfRule type="cellIs" dxfId="2608" priority="131" stopIfTrue="1" operator="equal">
      <formula>"Pass"</formula>
    </cfRule>
    <cfRule type="cellIs" dxfId="2607" priority="132" stopIfTrue="1" operator="equal">
      <formula>"Warning"</formula>
    </cfRule>
    <cfRule type="cellIs" dxfId="2606" priority="133" stopIfTrue="1" operator="equal">
      <formula>"Fail"</formula>
    </cfRule>
    <cfRule type="cellIs" dxfId="2605" priority="134" stopIfTrue="1" operator="equal">
      <formula>"Please explain"</formula>
    </cfRule>
    <cfRule type="cellIs" dxfId="2604" priority="135" stopIfTrue="1" operator="equal">
      <formula>"Fill in cell above"</formula>
    </cfRule>
    <cfRule type="cellIs" dxfId="2603" priority="136" stopIfTrue="1" operator="equal">
      <formula>"Yes"</formula>
    </cfRule>
    <cfRule type="cellIs" dxfId="2602" priority="137" stopIfTrue="1" operator="equal">
      <formula>"No"</formula>
    </cfRule>
  </conditionalFormatting>
  <conditionalFormatting sqref="U44">
    <cfRule type="cellIs" dxfId="2601" priority="124" stopIfTrue="1" operator="equal">
      <formula>"Pass"</formula>
    </cfRule>
    <cfRule type="cellIs" dxfId="2600" priority="125" stopIfTrue="1" operator="equal">
      <formula>"Warning"</formula>
    </cfRule>
    <cfRule type="cellIs" dxfId="2599" priority="126" stopIfTrue="1" operator="equal">
      <formula>"Fail"</formula>
    </cfRule>
    <cfRule type="cellIs" dxfId="2598" priority="127" stopIfTrue="1" operator="equal">
      <formula>"Please explain"</formula>
    </cfRule>
    <cfRule type="cellIs" dxfId="2597" priority="128" stopIfTrue="1" operator="equal">
      <formula>"Fill in cell above"</formula>
    </cfRule>
    <cfRule type="cellIs" dxfId="2596" priority="129" stopIfTrue="1" operator="equal">
      <formula>"Yes"</formula>
    </cfRule>
    <cfRule type="cellIs" dxfId="2595" priority="130" stopIfTrue="1" operator="equal">
      <formula>"No"</formula>
    </cfRule>
  </conditionalFormatting>
  <conditionalFormatting sqref="AQ44">
    <cfRule type="cellIs" dxfId="2594" priority="117" stopIfTrue="1" operator="equal">
      <formula>"Pass"</formula>
    </cfRule>
    <cfRule type="cellIs" dxfId="2593" priority="118" stopIfTrue="1" operator="equal">
      <formula>"Warning"</formula>
    </cfRule>
    <cfRule type="cellIs" dxfId="2592" priority="119" stopIfTrue="1" operator="equal">
      <formula>"Fail"</formula>
    </cfRule>
    <cfRule type="cellIs" dxfId="2591" priority="120" stopIfTrue="1" operator="equal">
      <formula>"Please explain"</formula>
    </cfRule>
    <cfRule type="cellIs" dxfId="2590" priority="121" stopIfTrue="1" operator="equal">
      <formula>"Fill in cell above"</formula>
    </cfRule>
    <cfRule type="cellIs" dxfId="2589" priority="122" stopIfTrue="1" operator="equal">
      <formula>"Yes"</formula>
    </cfRule>
    <cfRule type="cellIs" dxfId="2588" priority="123" stopIfTrue="1" operator="equal">
      <formula>"No"</formula>
    </cfRule>
  </conditionalFormatting>
  <conditionalFormatting sqref="I44">
    <cfRule type="cellIs" dxfId="2587" priority="110" stopIfTrue="1" operator="equal">
      <formula>"Pass"</formula>
    </cfRule>
    <cfRule type="cellIs" dxfId="2586" priority="111" stopIfTrue="1" operator="equal">
      <formula>"Warning"</formula>
    </cfRule>
    <cfRule type="cellIs" dxfId="2585" priority="112" stopIfTrue="1" operator="equal">
      <formula>"Fail"</formula>
    </cfRule>
    <cfRule type="cellIs" dxfId="2584" priority="113" stopIfTrue="1" operator="equal">
      <formula>"Please explain"</formula>
    </cfRule>
    <cfRule type="cellIs" dxfId="2583" priority="114" stopIfTrue="1" operator="equal">
      <formula>"Fill in cell above"</formula>
    </cfRule>
    <cfRule type="cellIs" dxfId="2582" priority="115" stopIfTrue="1" operator="equal">
      <formula>"Yes"</formula>
    </cfRule>
    <cfRule type="cellIs" dxfId="2581" priority="116" stopIfTrue="1" operator="equal">
      <formula>"No"</formula>
    </cfRule>
  </conditionalFormatting>
  <conditionalFormatting sqref="Q35">
    <cfRule type="cellIs" dxfId="2580" priority="103" stopIfTrue="1" operator="equal">
      <formula>"Pass"</formula>
    </cfRule>
    <cfRule type="cellIs" dxfId="2579" priority="104" stopIfTrue="1" operator="equal">
      <formula>"Warning"</formula>
    </cfRule>
    <cfRule type="cellIs" dxfId="2578" priority="105" stopIfTrue="1" operator="equal">
      <formula>"Fail"</formula>
    </cfRule>
    <cfRule type="cellIs" dxfId="2577" priority="106" stopIfTrue="1" operator="equal">
      <formula>"Please explain"</formula>
    </cfRule>
    <cfRule type="cellIs" dxfId="2576" priority="107" stopIfTrue="1" operator="equal">
      <formula>"Fill in cell above"</formula>
    </cfRule>
    <cfRule type="cellIs" dxfId="2575" priority="108" stopIfTrue="1" operator="equal">
      <formula>"Yes"</formula>
    </cfRule>
    <cfRule type="cellIs" dxfId="2574" priority="109" stopIfTrue="1" operator="equal">
      <formula>"No"</formula>
    </cfRule>
  </conditionalFormatting>
  <conditionalFormatting sqref="V35">
    <cfRule type="cellIs" dxfId="2573" priority="96" stopIfTrue="1" operator="equal">
      <formula>"Pass"</formula>
    </cfRule>
    <cfRule type="cellIs" dxfId="2572" priority="97" stopIfTrue="1" operator="equal">
      <formula>"Warning"</formula>
    </cfRule>
    <cfRule type="cellIs" dxfId="2571" priority="98" stopIfTrue="1" operator="equal">
      <formula>"Fail"</formula>
    </cfRule>
    <cfRule type="cellIs" dxfId="2570" priority="99" stopIfTrue="1" operator="equal">
      <formula>"Please explain"</formula>
    </cfRule>
    <cfRule type="cellIs" dxfId="2569" priority="100" stopIfTrue="1" operator="equal">
      <formula>"Fill in cell above"</formula>
    </cfRule>
    <cfRule type="cellIs" dxfId="2568" priority="101" stopIfTrue="1" operator="equal">
      <formula>"Yes"</formula>
    </cfRule>
    <cfRule type="cellIs" dxfId="2567" priority="102" stopIfTrue="1" operator="equal">
      <formula>"No"</formula>
    </cfRule>
  </conditionalFormatting>
  <conditionalFormatting sqref="AJ35">
    <cfRule type="cellIs" dxfId="2566" priority="89" stopIfTrue="1" operator="equal">
      <formula>"Pass"</formula>
    </cfRule>
    <cfRule type="cellIs" dxfId="2565" priority="90" stopIfTrue="1" operator="equal">
      <formula>"Warning"</formula>
    </cfRule>
    <cfRule type="cellIs" dxfId="2564" priority="91" stopIfTrue="1" operator="equal">
      <formula>"Fail"</formula>
    </cfRule>
    <cfRule type="cellIs" dxfId="2563" priority="92" stopIfTrue="1" operator="equal">
      <formula>"Please explain"</formula>
    </cfRule>
    <cfRule type="cellIs" dxfId="2562" priority="93" stopIfTrue="1" operator="equal">
      <formula>"Fill in cell above"</formula>
    </cfRule>
    <cfRule type="cellIs" dxfId="2561" priority="94" stopIfTrue="1" operator="equal">
      <formula>"Yes"</formula>
    </cfRule>
    <cfRule type="cellIs" dxfId="2560" priority="95" stopIfTrue="1" operator="equal">
      <formula>"No"</formula>
    </cfRule>
  </conditionalFormatting>
  <conditionalFormatting sqref="AL35">
    <cfRule type="cellIs" dxfId="2559" priority="75" stopIfTrue="1" operator="equal">
      <formula>"Pass"</formula>
    </cfRule>
    <cfRule type="cellIs" dxfId="2558" priority="76" stopIfTrue="1" operator="equal">
      <formula>"Warning"</formula>
    </cfRule>
    <cfRule type="cellIs" dxfId="2557" priority="77" stopIfTrue="1" operator="equal">
      <formula>"Fail"</formula>
    </cfRule>
    <cfRule type="cellIs" dxfId="2556" priority="78" stopIfTrue="1" operator="equal">
      <formula>"Please explain"</formula>
    </cfRule>
    <cfRule type="cellIs" dxfId="2555" priority="79" stopIfTrue="1" operator="equal">
      <formula>"Fill in cell above"</formula>
    </cfRule>
    <cfRule type="cellIs" dxfId="2554" priority="80" stopIfTrue="1" operator="equal">
      <formula>"Yes"</formula>
    </cfRule>
    <cfRule type="cellIs" dxfId="2553" priority="81" stopIfTrue="1" operator="equal">
      <formula>"No"</formula>
    </cfRule>
  </conditionalFormatting>
  <conditionalFormatting sqref="AQ35">
    <cfRule type="cellIs" dxfId="2552" priority="68" stopIfTrue="1" operator="equal">
      <formula>"Pass"</formula>
    </cfRule>
    <cfRule type="cellIs" dxfId="2551" priority="69" stopIfTrue="1" operator="equal">
      <formula>"Warning"</formula>
    </cfRule>
    <cfRule type="cellIs" dxfId="2550" priority="70" stopIfTrue="1" operator="equal">
      <formula>"Fail"</formula>
    </cfRule>
    <cfRule type="cellIs" dxfId="2549" priority="71" stopIfTrue="1" operator="equal">
      <formula>"Please explain"</formula>
    </cfRule>
    <cfRule type="cellIs" dxfId="2548" priority="72" stopIfTrue="1" operator="equal">
      <formula>"Fill in cell above"</formula>
    </cfRule>
    <cfRule type="cellIs" dxfId="2547" priority="73" stopIfTrue="1" operator="equal">
      <formula>"Yes"</formula>
    </cfRule>
    <cfRule type="cellIs" dxfId="2546" priority="74" stopIfTrue="1" operator="equal">
      <formula>"No"</formula>
    </cfRule>
  </conditionalFormatting>
  <conditionalFormatting sqref="U35">
    <cfRule type="cellIs" dxfId="2545" priority="82" stopIfTrue="1" operator="equal">
      <formula>"Pass"</formula>
    </cfRule>
    <cfRule type="cellIs" dxfId="2544" priority="83" stopIfTrue="1" operator="equal">
      <formula>"Warning"</formula>
    </cfRule>
    <cfRule type="cellIs" dxfId="2543" priority="84" stopIfTrue="1" operator="equal">
      <formula>"Fail"</formula>
    </cfRule>
    <cfRule type="cellIs" dxfId="2542" priority="85" stopIfTrue="1" operator="equal">
      <formula>"Please explain"</formula>
    </cfRule>
    <cfRule type="cellIs" dxfId="2541" priority="86" stopIfTrue="1" operator="equal">
      <formula>"Fill in cell above"</formula>
    </cfRule>
    <cfRule type="cellIs" dxfId="2540" priority="87" stopIfTrue="1" operator="equal">
      <formula>"Yes"</formula>
    </cfRule>
    <cfRule type="cellIs" dxfId="2539" priority="88" stopIfTrue="1" operator="equal">
      <formula>"No"</formula>
    </cfRule>
  </conditionalFormatting>
  <conditionalFormatting sqref="AP35">
    <cfRule type="cellIs" dxfId="2538" priority="61" stopIfTrue="1" operator="equal">
      <formula>"Pass"</formula>
    </cfRule>
    <cfRule type="cellIs" dxfId="2537" priority="62" stopIfTrue="1" operator="equal">
      <formula>"Warning"</formula>
    </cfRule>
    <cfRule type="cellIs" dxfId="2536" priority="63" stopIfTrue="1" operator="equal">
      <formula>"Fail"</formula>
    </cfRule>
    <cfRule type="cellIs" dxfId="2535" priority="64" stopIfTrue="1" operator="equal">
      <formula>"Please explain"</formula>
    </cfRule>
    <cfRule type="cellIs" dxfId="2534" priority="65" stopIfTrue="1" operator="equal">
      <formula>"Fill in cell above"</formula>
    </cfRule>
    <cfRule type="cellIs" dxfId="2533" priority="66" stopIfTrue="1" operator="equal">
      <formula>"Yes"</formula>
    </cfRule>
    <cfRule type="cellIs" dxfId="2532" priority="67" stopIfTrue="1" operator="equal">
      <formula>"No"</formula>
    </cfRule>
  </conditionalFormatting>
  <conditionalFormatting sqref="I35">
    <cfRule type="cellIs" dxfId="2531" priority="54" stopIfTrue="1" operator="equal">
      <formula>"Pass"</formula>
    </cfRule>
    <cfRule type="cellIs" dxfId="2530" priority="55" stopIfTrue="1" operator="equal">
      <formula>"Warning"</formula>
    </cfRule>
    <cfRule type="cellIs" dxfId="2529" priority="56" stopIfTrue="1" operator="equal">
      <formula>"Fail"</formula>
    </cfRule>
    <cfRule type="cellIs" dxfId="2528" priority="57" stopIfTrue="1" operator="equal">
      <formula>"Please explain"</formula>
    </cfRule>
    <cfRule type="cellIs" dxfId="2527" priority="58" stopIfTrue="1" operator="equal">
      <formula>"Fill in cell above"</formula>
    </cfRule>
    <cfRule type="cellIs" dxfId="2526" priority="59" stopIfTrue="1" operator="equal">
      <formula>"Yes"</formula>
    </cfRule>
    <cfRule type="cellIs" dxfId="2525" priority="60" stopIfTrue="1" operator="equal">
      <formula>"No"</formula>
    </cfRule>
  </conditionalFormatting>
  <conditionalFormatting sqref="K29">
    <cfRule type="cellIs" dxfId="2524" priority="50" stopIfTrue="1" operator="equal">
      <formula>"Pass"</formula>
    </cfRule>
    <cfRule type="cellIs" dxfId="2523" priority="51" stopIfTrue="1" operator="equal">
      <formula>"Warning"</formula>
    </cfRule>
    <cfRule type="cellIs" dxfId="2522" priority="52" stopIfTrue="1" operator="equal">
      <formula>"Fail"</formula>
    </cfRule>
    <cfRule type="cellIs" dxfId="2521" priority="53" stopIfTrue="1" operator="equal">
      <formula>"Please explain"</formula>
    </cfRule>
  </conditionalFormatting>
  <conditionalFormatting sqref="V45">
    <cfRule type="cellIs" dxfId="2520" priority="43" stopIfTrue="1" operator="equal">
      <formula>"Pass"</formula>
    </cfRule>
    <cfRule type="cellIs" dxfId="2519" priority="44" stopIfTrue="1" operator="equal">
      <formula>"Warning"</formula>
    </cfRule>
    <cfRule type="cellIs" dxfId="2518" priority="45" stopIfTrue="1" operator="equal">
      <formula>"Fail"</formula>
    </cfRule>
    <cfRule type="cellIs" dxfId="2517" priority="46" stopIfTrue="1" operator="equal">
      <formula>"Please explain"</formula>
    </cfRule>
    <cfRule type="cellIs" dxfId="2516" priority="47" stopIfTrue="1" operator="equal">
      <formula>"Fill in cell above"</formula>
    </cfRule>
    <cfRule type="cellIs" dxfId="2515" priority="48" stopIfTrue="1" operator="equal">
      <formula>"Yes"</formula>
    </cfRule>
    <cfRule type="cellIs" dxfId="2514" priority="49" stopIfTrue="1" operator="equal">
      <formula>"No"</formula>
    </cfRule>
  </conditionalFormatting>
  <conditionalFormatting sqref="AQ45">
    <cfRule type="cellIs" dxfId="2513" priority="36" stopIfTrue="1" operator="equal">
      <formula>"Pass"</formula>
    </cfRule>
    <cfRule type="cellIs" dxfId="2512" priority="37" stopIfTrue="1" operator="equal">
      <formula>"Warning"</formula>
    </cfRule>
    <cfRule type="cellIs" dxfId="2511" priority="38" stopIfTrue="1" operator="equal">
      <formula>"Fail"</formula>
    </cfRule>
    <cfRule type="cellIs" dxfId="2510" priority="39" stopIfTrue="1" operator="equal">
      <formula>"Please explain"</formula>
    </cfRule>
    <cfRule type="cellIs" dxfId="2509" priority="40" stopIfTrue="1" operator="equal">
      <formula>"Fill in cell above"</formula>
    </cfRule>
    <cfRule type="cellIs" dxfId="2508" priority="41" stopIfTrue="1" operator="equal">
      <formula>"Yes"</formula>
    </cfRule>
    <cfRule type="cellIs" dxfId="2507" priority="42" stopIfTrue="1" operator="equal">
      <formula>"No"</formula>
    </cfRule>
  </conditionalFormatting>
  <conditionalFormatting sqref="AP45">
    <cfRule type="cellIs" dxfId="2506" priority="29" stopIfTrue="1" operator="equal">
      <formula>"Pass"</formula>
    </cfRule>
    <cfRule type="cellIs" dxfId="2505" priority="30" stopIfTrue="1" operator="equal">
      <formula>"Warning"</formula>
    </cfRule>
    <cfRule type="cellIs" dxfId="2504" priority="31" stopIfTrue="1" operator="equal">
      <formula>"Fail"</formula>
    </cfRule>
    <cfRule type="cellIs" dxfId="2503" priority="32" stopIfTrue="1" operator="equal">
      <formula>"Please explain"</formula>
    </cfRule>
    <cfRule type="cellIs" dxfId="2502" priority="33" stopIfTrue="1" operator="equal">
      <formula>"Fill in cell above"</formula>
    </cfRule>
    <cfRule type="cellIs" dxfId="2501" priority="34" stopIfTrue="1" operator="equal">
      <formula>"Yes"</formula>
    </cfRule>
    <cfRule type="cellIs" dxfId="2500" priority="35" stopIfTrue="1" operator="equal">
      <formula>"No"</formula>
    </cfRule>
  </conditionalFormatting>
  <conditionalFormatting sqref="AL45">
    <cfRule type="cellIs" dxfId="2499" priority="22" stopIfTrue="1" operator="equal">
      <formula>"Pass"</formula>
    </cfRule>
    <cfRule type="cellIs" dxfId="2498" priority="23" stopIfTrue="1" operator="equal">
      <formula>"Warning"</formula>
    </cfRule>
    <cfRule type="cellIs" dxfId="2497" priority="24" stopIfTrue="1" operator="equal">
      <formula>"Fail"</formula>
    </cfRule>
    <cfRule type="cellIs" dxfId="2496" priority="25" stopIfTrue="1" operator="equal">
      <formula>"Please explain"</formula>
    </cfRule>
    <cfRule type="cellIs" dxfId="2495" priority="26" stopIfTrue="1" operator="equal">
      <formula>"Fill in cell above"</formula>
    </cfRule>
    <cfRule type="cellIs" dxfId="2494" priority="27" stopIfTrue="1" operator="equal">
      <formula>"Yes"</formula>
    </cfRule>
    <cfRule type="cellIs" dxfId="2493" priority="28" stopIfTrue="1" operator="equal">
      <formula>"No"</formula>
    </cfRule>
  </conditionalFormatting>
  <conditionalFormatting sqref="AL44">
    <cfRule type="cellIs" dxfId="2492" priority="15" stopIfTrue="1" operator="equal">
      <formula>"Pass"</formula>
    </cfRule>
    <cfRule type="cellIs" dxfId="2491" priority="16" stopIfTrue="1" operator="equal">
      <formula>"Warning"</formula>
    </cfRule>
    <cfRule type="cellIs" dxfId="2490" priority="17" stopIfTrue="1" operator="equal">
      <formula>"Fail"</formula>
    </cfRule>
    <cfRule type="cellIs" dxfId="2489" priority="18" stopIfTrue="1" operator="equal">
      <formula>"Please explain"</formula>
    </cfRule>
    <cfRule type="cellIs" dxfId="2488" priority="19" stopIfTrue="1" operator="equal">
      <formula>"Fill in cell above"</formula>
    </cfRule>
    <cfRule type="cellIs" dxfId="2487" priority="20" stopIfTrue="1" operator="equal">
      <formula>"Yes"</formula>
    </cfRule>
    <cfRule type="cellIs" dxfId="2486" priority="21" stopIfTrue="1" operator="equal">
      <formula>"No"</formula>
    </cfRule>
  </conditionalFormatting>
  <conditionalFormatting sqref="M34:M45">
    <cfRule type="cellIs" dxfId="2485" priority="8" stopIfTrue="1" operator="equal">
      <formula>"Pass"</formula>
    </cfRule>
    <cfRule type="cellIs" dxfId="2484" priority="9" stopIfTrue="1" operator="equal">
      <formula>"Warning"</formula>
    </cfRule>
    <cfRule type="cellIs" dxfId="2483" priority="10" stopIfTrue="1" operator="equal">
      <formula>"Fail"</formula>
    </cfRule>
    <cfRule type="cellIs" dxfId="2482" priority="11" stopIfTrue="1" operator="equal">
      <formula>"Please explain"</formula>
    </cfRule>
    <cfRule type="cellIs" dxfId="2481" priority="12" stopIfTrue="1" operator="equal">
      <formula>"Fill in cell above"</formula>
    </cfRule>
    <cfRule type="cellIs" dxfId="2480" priority="13" stopIfTrue="1" operator="equal">
      <formula>"Yes"</formula>
    </cfRule>
    <cfRule type="cellIs" dxfId="2479" priority="14" stopIfTrue="1" operator="equal">
      <formula>"No"</formula>
    </cfRule>
  </conditionalFormatting>
  <conditionalFormatting sqref="AP44">
    <cfRule type="cellIs" dxfId="2478" priority="1" stopIfTrue="1" operator="equal">
      <formula>"Pass"</formula>
    </cfRule>
    <cfRule type="cellIs" dxfId="2477" priority="2" stopIfTrue="1" operator="equal">
      <formula>"Warning"</formula>
    </cfRule>
    <cfRule type="cellIs" dxfId="2476" priority="3" stopIfTrue="1" operator="equal">
      <formula>"Fail"</formula>
    </cfRule>
    <cfRule type="cellIs" dxfId="2475" priority="4" stopIfTrue="1" operator="equal">
      <formula>"Please explain"</formula>
    </cfRule>
    <cfRule type="cellIs" dxfId="2474" priority="5" stopIfTrue="1" operator="equal">
      <formula>"Fill in cell above"</formula>
    </cfRule>
    <cfRule type="cellIs" dxfId="2473" priority="6" stopIfTrue="1" operator="equal">
      <formula>"Yes"</formula>
    </cfRule>
    <cfRule type="cellIs" dxfId="2472" priority="7" stopIfTrue="1" operator="equal">
      <formula>"No"</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S979"/>
  <sheetViews>
    <sheetView showGridLines="0" topLeftCell="A565" zoomScale="40" zoomScaleNormal="40" workbookViewId="0">
      <selection activeCell="G629" sqref="G629"/>
    </sheetView>
  </sheetViews>
  <sheetFormatPr defaultColWidth="0" defaultRowHeight="15" zeroHeight="1" x14ac:dyDescent="0.35"/>
  <cols>
    <col min="1" max="1" width="4.109375" style="2148" customWidth="1"/>
    <col min="2" max="2" width="81.33203125" style="2147" customWidth="1"/>
    <col min="3" max="26" width="29.5546875" style="2146" customWidth="1"/>
    <col min="27" max="27" width="6.44140625" style="2146" customWidth="1"/>
    <col min="28" max="30" width="6.44140625" style="2146" hidden="1" customWidth="1"/>
    <col min="31" max="31" width="6" style="2146" hidden="1" customWidth="1"/>
    <col min="32" max="16384" width="8.6640625" style="2146" hidden="1"/>
  </cols>
  <sheetData>
    <row r="1" spans="1:45" ht="33" customHeight="1" x14ac:dyDescent="0.65">
      <c r="A1" s="2234" t="s">
        <v>2663</v>
      </c>
      <c r="B1" s="2233"/>
      <c r="C1" s="71" t="str">
        <f>CONCATENATE("Reporting unit: ", 'General Info'!$C$7, " ", 'General Info'!$C$5)</f>
        <v>Reporting unit: 1000 eur</v>
      </c>
      <c r="D1" s="1398"/>
      <c r="E1" s="1398"/>
      <c r="F1" s="1398"/>
      <c r="G1" s="1398"/>
      <c r="H1" s="1398"/>
      <c r="I1" s="1398"/>
      <c r="J1" s="1398"/>
      <c r="K1" s="1398"/>
      <c r="L1" s="1398"/>
      <c r="M1" s="1398"/>
      <c r="N1" s="1398"/>
      <c r="O1" s="1398"/>
      <c r="P1" s="1398"/>
      <c r="Q1" s="1398"/>
      <c r="R1" s="1398"/>
      <c r="S1" s="1398"/>
      <c r="T1" s="1398"/>
      <c r="U1" s="1398"/>
      <c r="V1" s="1398"/>
      <c r="W1" s="1398"/>
      <c r="X1" s="1398"/>
      <c r="Y1" s="1398"/>
      <c r="Z1" s="1398"/>
      <c r="AA1" s="1398"/>
      <c r="AB1" s="1398"/>
      <c r="AC1" s="1398"/>
      <c r="AD1" s="1398"/>
      <c r="AE1" s="1398"/>
    </row>
    <row r="2" spans="1:45" ht="15" customHeight="1" x14ac:dyDescent="0.3">
      <c r="A2" s="1398"/>
      <c r="B2" s="1398"/>
      <c r="C2" s="1398"/>
      <c r="D2" s="1398"/>
      <c r="E2" s="1398"/>
      <c r="F2" s="1398"/>
      <c r="G2" s="1398"/>
      <c r="H2" s="1398"/>
      <c r="I2" s="1398"/>
      <c r="J2" s="1398"/>
      <c r="K2" s="1398"/>
      <c r="L2" s="1398"/>
      <c r="M2" s="1398"/>
      <c r="N2" s="1398"/>
      <c r="O2" s="1398"/>
      <c r="P2" s="1398"/>
      <c r="Q2" s="1398"/>
      <c r="R2" s="1398"/>
      <c r="S2" s="1398"/>
      <c r="T2" s="1398"/>
      <c r="U2" s="1398"/>
      <c r="V2" s="1398"/>
      <c r="W2" s="1398"/>
      <c r="X2" s="1398"/>
      <c r="Y2" s="1398"/>
      <c r="Z2" s="1398"/>
      <c r="AA2" s="1398"/>
      <c r="AB2" s="1398"/>
      <c r="AC2" s="1398"/>
      <c r="AD2" s="1398"/>
      <c r="AE2" s="1398"/>
    </row>
    <row r="3" spans="1:45" ht="36.6" customHeight="1" x14ac:dyDescent="0.35">
      <c r="A3" s="2232" t="s">
        <v>2662</v>
      </c>
      <c r="B3" s="2231"/>
      <c r="C3" s="2230"/>
      <c r="D3" s="2230"/>
      <c r="E3" s="2230"/>
      <c r="F3" s="2230"/>
      <c r="G3" s="2230"/>
      <c r="H3" s="2230"/>
      <c r="I3" s="2230"/>
      <c r="J3" s="2230"/>
      <c r="K3" s="2230"/>
      <c r="L3" s="2230"/>
      <c r="M3" s="2230"/>
      <c r="N3" s="2230"/>
      <c r="O3" s="2230"/>
      <c r="P3" s="2229"/>
      <c r="Q3" s="2229"/>
      <c r="R3" s="2229"/>
      <c r="S3" s="2229"/>
      <c r="T3" s="2229"/>
      <c r="U3" s="2229"/>
      <c r="V3" s="2193"/>
      <c r="W3" s="2193"/>
      <c r="X3" s="2193"/>
      <c r="Y3" s="2193"/>
      <c r="Z3" s="2193"/>
      <c r="AA3" s="1398"/>
      <c r="AB3" s="1398"/>
      <c r="AC3" s="1398"/>
      <c r="AD3" s="1398"/>
      <c r="AE3" s="1398"/>
      <c r="AF3" s="1398"/>
      <c r="AG3" s="1398"/>
      <c r="AH3" s="1398"/>
      <c r="AI3" s="1398"/>
      <c r="AJ3" s="1398"/>
      <c r="AK3" s="1398"/>
      <c r="AL3" s="1398"/>
      <c r="AM3" s="1398"/>
      <c r="AN3" s="1398"/>
      <c r="AO3" s="1398"/>
      <c r="AP3" s="1398"/>
      <c r="AQ3" s="1398"/>
    </row>
    <row r="4" spans="1:45" ht="44.1" customHeight="1" x14ac:dyDescent="0.3">
      <c r="A4" s="2218"/>
      <c r="B4" s="2228" t="s">
        <v>2661</v>
      </c>
      <c r="C4" s="2227" t="s">
        <v>2660</v>
      </c>
      <c r="D4" s="2226" t="s">
        <v>2659</v>
      </c>
      <c r="E4" s="2225" t="s">
        <v>2658</v>
      </c>
      <c r="F4" s="2224" t="s">
        <v>2657</v>
      </c>
      <c r="G4" s="2224" t="s">
        <v>2656</v>
      </c>
      <c r="H4" s="2224" t="s">
        <v>2655</v>
      </c>
      <c r="I4" s="2224" t="s">
        <v>2654</v>
      </c>
      <c r="J4" s="2224" t="s">
        <v>2653</v>
      </c>
      <c r="K4" s="2224" t="s">
        <v>2652</v>
      </c>
      <c r="L4" s="2224" t="s">
        <v>2651</v>
      </c>
      <c r="M4" s="2224" t="s">
        <v>2650</v>
      </c>
      <c r="N4" s="2224" t="s">
        <v>2649</v>
      </c>
      <c r="O4" s="2224" t="s">
        <v>2648</v>
      </c>
      <c r="P4" s="2224" t="s">
        <v>2647</v>
      </c>
      <c r="Q4" s="2223" t="s">
        <v>2646</v>
      </c>
      <c r="R4" s="2223" t="s">
        <v>2645</v>
      </c>
      <c r="S4" s="2223" t="s">
        <v>2644</v>
      </c>
      <c r="T4" s="2223" t="s">
        <v>2643</v>
      </c>
      <c r="U4" s="2223" t="s">
        <v>2642</v>
      </c>
      <c r="V4" s="2223" t="s">
        <v>2641</v>
      </c>
      <c r="W4" s="2223" t="s">
        <v>2640</v>
      </c>
      <c r="X4" s="2223" t="s">
        <v>2639</v>
      </c>
      <c r="Y4" s="2223" t="s">
        <v>2638</v>
      </c>
      <c r="Z4" s="2223" t="s">
        <v>2637</v>
      </c>
      <c r="AE4" s="1398"/>
      <c r="AF4" s="1398"/>
      <c r="AG4" s="1398"/>
      <c r="AH4" s="1398"/>
      <c r="AI4" s="1398"/>
      <c r="AJ4" s="1398"/>
      <c r="AK4" s="1398"/>
      <c r="AL4" s="1398"/>
      <c r="AM4" s="1398"/>
      <c r="AN4" s="1398"/>
      <c r="AO4" s="1398"/>
      <c r="AP4" s="1398"/>
      <c r="AQ4" s="1398"/>
      <c r="AR4" s="1398"/>
      <c r="AS4" s="1398"/>
    </row>
    <row r="5" spans="1:45" ht="15" customHeight="1" x14ac:dyDescent="0.3">
      <c r="A5" s="2218"/>
      <c r="B5" s="2222" t="s">
        <v>2636</v>
      </c>
      <c r="C5" s="2221" t="s">
        <v>2635</v>
      </c>
      <c r="D5" s="2220" t="s">
        <v>2634</v>
      </c>
      <c r="E5" s="2220" t="s">
        <v>2633</v>
      </c>
      <c r="F5" s="2219" t="s">
        <v>2632</v>
      </c>
      <c r="G5" s="2219" t="s">
        <v>2631</v>
      </c>
      <c r="H5" s="2219" t="s">
        <v>2630</v>
      </c>
      <c r="I5" s="2219" t="s">
        <v>2629</v>
      </c>
      <c r="J5" s="2219" t="s">
        <v>2628</v>
      </c>
      <c r="K5" s="2219" t="s">
        <v>2627</v>
      </c>
      <c r="L5" s="2219" t="s">
        <v>2626</v>
      </c>
      <c r="M5" s="2219" t="s">
        <v>2625</v>
      </c>
      <c r="N5" s="2219" t="s">
        <v>2624</v>
      </c>
      <c r="O5" s="2219" t="s">
        <v>2623</v>
      </c>
      <c r="P5" s="2219" t="s">
        <v>2622</v>
      </c>
      <c r="Q5" s="2219" t="s">
        <v>2621</v>
      </c>
      <c r="R5" s="2219" t="s">
        <v>2620</v>
      </c>
      <c r="S5" s="2219" t="s">
        <v>2619</v>
      </c>
      <c r="T5" s="2219" t="s">
        <v>2618</v>
      </c>
      <c r="U5" s="2219" t="s">
        <v>2617</v>
      </c>
      <c r="V5" s="2219" t="s">
        <v>2616</v>
      </c>
      <c r="W5" s="2219" t="s">
        <v>2615</v>
      </c>
      <c r="X5" s="2219" t="s">
        <v>2614</v>
      </c>
      <c r="Y5" s="2219" t="s">
        <v>2613</v>
      </c>
      <c r="Z5" s="2219" t="s">
        <v>2612</v>
      </c>
      <c r="AE5" s="1398"/>
      <c r="AF5" s="1398"/>
      <c r="AG5" s="1398"/>
      <c r="AH5" s="1398"/>
      <c r="AI5" s="1398"/>
      <c r="AJ5" s="1398"/>
      <c r="AK5" s="1398"/>
      <c r="AL5" s="1398"/>
      <c r="AM5" s="1398"/>
      <c r="AN5" s="1398"/>
      <c r="AO5" s="1398"/>
      <c r="AP5" s="1398"/>
      <c r="AQ5" s="1398"/>
      <c r="AR5" s="1398"/>
      <c r="AS5" s="1398"/>
    </row>
    <row r="6" spans="1:45" ht="15" customHeight="1" x14ac:dyDescent="0.3">
      <c r="A6" s="2218"/>
      <c r="B6" s="2217" t="s">
        <v>2611</v>
      </c>
      <c r="C6" s="2170" t="s">
        <v>2610</v>
      </c>
      <c r="D6" s="2216" t="s">
        <v>2604</v>
      </c>
      <c r="E6" s="2215" t="s">
        <v>2609</v>
      </c>
      <c r="F6" s="2214" t="s">
        <v>1738</v>
      </c>
      <c r="G6" s="2214" t="s">
        <v>2608</v>
      </c>
      <c r="H6" s="2214" t="s">
        <v>1737</v>
      </c>
      <c r="I6" s="2214" t="s">
        <v>1738</v>
      </c>
      <c r="J6" s="2214" t="s">
        <v>2607</v>
      </c>
      <c r="K6" s="2214" t="s">
        <v>2606</v>
      </c>
      <c r="L6" s="2214" t="s">
        <v>1753</v>
      </c>
      <c r="M6" s="2214" t="s">
        <v>2605</v>
      </c>
      <c r="N6" s="2214" t="s">
        <v>2604</v>
      </c>
      <c r="O6" s="2214" t="s">
        <v>2603</v>
      </c>
      <c r="P6" s="2214" t="s">
        <v>2602</v>
      </c>
      <c r="Q6" s="2214" t="s">
        <v>1758</v>
      </c>
      <c r="R6" s="2214" t="s">
        <v>1758</v>
      </c>
      <c r="S6" s="2214" t="s">
        <v>1758</v>
      </c>
      <c r="T6" s="2214" t="s">
        <v>1759</v>
      </c>
      <c r="U6" s="2214" t="s">
        <v>1743</v>
      </c>
      <c r="V6" s="2214" t="s">
        <v>2601</v>
      </c>
      <c r="W6" s="2214" t="s">
        <v>1759</v>
      </c>
      <c r="X6" s="2214" t="s">
        <v>2600</v>
      </c>
      <c r="Y6" s="2214" t="s">
        <v>1733</v>
      </c>
      <c r="Z6" s="2213" t="s">
        <v>1751</v>
      </c>
      <c r="AE6" s="1398"/>
      <c r="AF6" s="1398"/>
      <c r="AG6" s="1398"/>
      <c r="AH6" s="1398"/>
      <c r="AI6" s="1398"/>
      <c r="AJ6" s="1398"/>
      <c r="AK6" s="1398"/>
      <c r="AL6" s="1398"/>
      <c r="AM6" s="1398"/>
      <c r="AN6" s="1398"/>
      <c r="AO6" s="1398"/>
      <c r="AP6" s="1398"/>
      <c r="AQ6" s="1398"/>
      <c r="AR6" s="1398"/>
      <c r="AS6" s="1398"/>
    </row>
    <row r="7" spans="1:45" ht="86.4" customHeight="1" x14ac:dyDescent="0.3">
      <c r="A7" s="2212"/>
      <c r="B7" s="2211" t="s">
        <v>2599</v>
      </c>
      <c r="C7" s="2210"/>
      <c r="D7" s="2210"/>
      <c r="E7" s="2210"/>
      <c r="F7" s="2210"/>
      <c r="G7" s="2210"/>
      <c r="H7" s="2210"/>
      <c r="I7" s="2210"/>
      <c r="J7" s="2210"/>
      <c r="K7" s="2210"/>
      <c r="L7" s="2210"/>
      <c r="M7" s="2210"/>
      <c r="N7" s="2210"/>
      <c r="O7" s="2210"/>
      <c r="P7" s="2210"/>
      <c r="Q7" s="2210" t="s">
        <v>3179</v>
      </c>
      <c r="R7" s="2210"/>
      <c r="S7" s="2210"/>
      <c r="T7" s="2210"/>
      <c r="U7" s="2210"/>
      <c r="V7" s="2210"/>
      <c r="W7" s="2210"/>
      <c r="X7" s="2210"/>
      <c r="Y7" s="2210"/>
      <c r="Z7" s="2209"/>
      <c r="AA7" s="1398"/>
      <c r="AB7" s="1398"/>
      <c r="AC7" s="1398"/>
      <c r="AD7" s="1398"/>
      <c r="AE7" s="1398" t="s">
        <v>2598</v>
      </c>
      <c r="AF7" s="1398"/>
      <c r="AG7" s="1398"/>
      <c r="AH7" s="1398"/>
      <c r="AI7" s="1398"/>
      <c r="AJ7" s="1398"/>
      <c r="AK7" s="1398"/>
      <c r="AL7" s="1398"/>
      <c r="AM7" s="1398"/>
      <c r="AN7" s="1398"/>
      <c r="AO7" s="1398"/>
      <c r="AP7" s="1398"/>
      <c r="AQ7" s="1398"/>
      <c r="AR7" s="1398"/>
      <c r="AS7" s="1398"/>
    </row>
    <row r="8" spans="1:45" ht="28.5" customHeight="1" x14ac:dyDescent="0.3">
      <c r="A8" s="1398"/>
      <c r="B8" s="2208" t="s">
        <v>2597</v>
      </c>
      <c r="C8" s="2207"/>
      <c r="D8" s="2207"/>
      <c r="E8" s="2207"/>
      <c r="F8" s="2207"/>
      <c r="G8" s="2207"/>
      <c r="H8" s="2207"/>
      <c r="I8" s="2207"/>
      <c r="J8" s="2207"/>
      <c r="K8" s="2207"/>
      <c r="L8" s="2207"/>
      <c r="M8" s="2207"/>
      <c r="N8" s="2207"/>
      <c r="O8" s="2207"/>
      <c r="P8" s="2207"/>
      <c r="Q8" s="2207" t="s">
        <v>3565</v>
      </c>
      <c r="R8" s="2207"/>
      <c r="S8" s="2207"/>
      <c r="T8" s="2207"/>
      <c r="U8" s="2207"/>
      <c r="V8" s="2207"/>
      <c r="W8" s="2207"/>
      <c r="X8" s="2207"/>
      <c r="Y8" s="2207"/>
      <c r="Z8" s="2206"/>
      <c r="AA8" s="1398"/>
      <c r="AB8" s="1398"/>
      <c r="AC8" s="1398"/>
      <c r="AD8" s="1398"/>
      <c r="AE8" s="1398"/>
      <c r="AF8" s="1398"/>
      <c r="AG8" s="1398"/>
      <c r="AH8" s="1398"/>
      <c r="AI8" s="1398"/>
      <c r="AJ8" s="1398"/>
      <c r="AK8" s="1398"/>
      <c r="AL8" s="1398"/>
      <c r="AM8" s="1398"/>
      <c r="AN8" s="1398"/>
      <c r="AO8" s="1398"/>
      <c r="AP8" s="1398"/>
      <c r="AQ8" s="1398"/>
      <c r="AR8" s="1398"/>
      <c r="AS8" s="1398"/>
    </row>
    <row r="9" spans="1:45" ht="28.5" customHeight="1" x14ac:dyDescent="0.3">
      <c r="A9" s="1398"/>
      <c r="B9" s="2208" t="s">
        <v>2596</v>
      </c>
      <c r="C9" s="2207"/>
      <c r="D9" s="2207"/>
      <c r="E9" s="2207"/>
      <c r="F9" s="2207"/>
      <c r="G9" s="2207"/>
      <c r="H9" s="2207"/>
      <c r="I9" s="2207"/>
      <c r="J9" s="2207"/>
      <c r="K9" s="2207"/>
      <c r="L9" s="2207"/>
      <c r="M9" s="2207"/>
      <c r="N9" s="2207"/>
      <c r="O9" s="2207"/>
      <c r="P9" s="2207"/>
      <c r="Q9" s="2207" t="s">
        <v>3566</v>
      </c>
      <c r="R9" s="2207"/>
      <c r="S9" s="2207"/>
      <c r="T9" s="2207"/>
      <c r="U9" s="2207"/>
      <c r="V9" s="2207"/>
      <c r="W9" s="2207"/>
      <c r="X9" s="2207"/>
      <c r="Y9" s="2207"/>
      <c r="Z9" s="2206"/>
      <c r="AA9" s="1398"/>
      <c r="AB9" s="1398"/>
      <c r="AC9" s="1398"/>
      <c r="AD9" s="1398"/>
      <c r="AE9" s="1398"/>
      <c r="AF9" s="1398"/>
      <c r="AH9" s="1398"/>
      <c r="AI9" s="1398"/>
      <c r="AJ9" s="1398"/>
      <c r="AK9" s="1398"/>
      <c r="AL9" s="1398"/>
      <c r="AM9" s="1398"/>
      <c r="AN9" s="1398"/>
      <c r="AO9" s="1398"/>
      <c r="AP9" s="1398"/>
      <c r="AQ9" s="1398"/>
      <c r="AR9" s="1398"/>
      <c r="AS9" s="1398"/>
    </row>
    <row r="10" spans="1:45" ht="28.5" customHeight="1" x14ac:dyDescent="0.3">
      <c r="A10" s="1398"/>
      <c r="B10" s="2208" t="s">
        <v>2595</v>
      </c>
      <c r="C10" s="2207"/>
      <c r="D10" s="2207"/>
      <c r="E10" s="2207"/>
      <c r="F10" s="2207"/>
      <c r="G10" s="2207"/>
      <c r="H10" s="2207"/>
      <c r="I10" s="2207"/>
      <c r="J10" s="2207"/>
      <c r="K10" s="2207"/>
      <c r="L10" s="2207"/>
      <c r="M10" s="2207"/>
      <c r="N10" s="2207"/>
      <c r="O10" s="2207"/>
      <c r="P10" s="2207"/>
      <c r="Q10" s="2207"/>
      <c r="R10" s="2207"/>
      <c r="S10" s="2207"/>
      <c r="T10" s="2207"/>
      <c r="U10" s="2207"/>
      <c r="V10" s="2207"/>
      <c r="W10" s="2207"/>
      <c r="X10" s="2207"/>
      <c r="Y10" s="2207"/>
      <c r="Z10" s="2206"/>
      <c r="AA10" s="1398"/>
      <c r="AB10" s="1398"/>
      <c r="AC10" s="1398"/>
      <c r="AD10" s="1398"/>
      <c r="AE10" s="1398"/>
      <c r="AF10" s="1398"/>
      <c r="AH10" s="1398"/>
      <c r="AI10" s="1398"/>
      <c r="AJ10" s="1398"/>
      <c r="AK10" s="1398"/>
      <c r="AL10" s="1398"/>
      <c r="AM10" s="1398"/>
      <c r="AN10" s="1398"/>
      <c r="AO10" s="1398"/>
      <c r="AP10" s="1398"/>
      <c r="AQ10" s="1398"/>
      <c r="AR10" s="1398"/>
      <c r="AS10" s="1398"/>
    </row>
    <row r="11" spans="1:45" ht="15" customHeight="1" x14ac:dyDescent="0.3">
      <c r="A11" s="1398"/>
      <c r="B11" s="2208" t="s">
        <v>2594</v>
      </c>
      <c r="C11" s="2207"/>
      <c r="D11" s="2207"/>
      <c r="E11" s="2207"/>
      <c r="F11" s="2207"/>
      <c r="G11" s="2207"/>
      <c r="H11" s="2207"/>
      <c r="I11" s="2207"/>
      <c r="J11" s="2207"/>
      <c r="K11" s="2207"/>
      <c r="L11" s="2207"/>
      <c r="M11" s="2207"/>
      <c r="N11" s="2207"/>
      <c r="O11" s="2207"/>
      <c r="P11" s="2207"/>
      <c r="Q11" s="2207" t="s">
        <v>3567</v>
      </c>
      <c r="R11" s="2207"/>
      <c r="S11" s="2207"/>
      <c r="T11" s="2207"/>
      <c r="U11" s="2207"/>
      <c r="V11" s="2207"/>
      <c r="W11" s="2207"/>
      <c r="X11" s="2207"/>
      <c r="Y11" s="2207"/>
      <c r="Z11" s="2206"/>
      <c r="AA11" s="1398"/>
      <c r="AB11" s="1398"/>
      <c r="AC11" s="1398"/>
      <c r="AD11" s="1398"/>
      <c r="AE11" s="1398"/>
      <c r="AF11" s="1398"/>
      <c r="AG11" s="1398"/>
      <c r="AH11" s="1398"/>
      <c r="AI11" s="1398"/>
      <c r="AJ11" s="1398"/>
      <c r="AK11" s="1398"/>
      <c r="AL11" s="1398"/>
      <c r="AM11" s="1398"/>
      <c r="AN11" s="1398"/>
      <c r="AO11" s="1398"/>
      <c r="AP11" s="1398"/>
      <c r="AQ11" s="1398"/>
      <c r="AR11" s="1398"/>
      <c r="AS11" s="1398"/>
    </row>
    <row r="12" spans="1:45" ht="15" customHeight="1" x14ac:dyDescent="0.3">
      <c r="A12" s="1398"/>
      <c r="B12" s="2208" t="s">
        <v>2593</v>
      </c>
      <c r="C12" s="2207"/>
      <c r="D12" s="2207"/>
      <c r="E12" s="2207"/>
      <c r="F12" s="2207"/>
      <c r="G12" s="2207"/>
      <c r="H12" s="2207"/>
      <c r="I12" s="2207"/>
      <c r="J12" s="2207"/>
      <c r="K12" s="2207"/>
      <c r="L12" s="2207"/>
      <c r="M12" s="2207"/>
      <c r="N12" s="2207"/>
      <c r="O12" s="2207"/>
      <c r="P12" s="2207"/>
      <c r="Q12" s="2207" t="s">
        <v>3568</v>
      </c>
      <c r="R12" s="2207"/>
      <c r="S12" s="2207"/>
      <c r="T12" s="2207"/>
      <c r="U12" s="2207"/>
      <c r="V12" s="2207"/>
      <c r="W12" s="2207"/>
      <c r="X12" s="2207"/>
      <c r="Y12" s="2207"/>
      <c r="Z12" s="2206"/>
      <c r="AA12" s="1398"/>
      <c r="AB12" s="1398"/>
      <c r="AC12" s="1398"/>
      <c r="AD12" s="1398"/>
      <c r="AE12" s="1398"/>
      <c r="AF12" s="1398"/>
      <c r="AG12" s="1398"/>
      <c r="AH12" s="1398"/>
      <c r="AI12" s="1398"/>
      <c r="AJ12" s="1398"/>
      <c r="AK12" s="1398"/>
      <c r="AL12" s="1398"/>
      <c r="AM12" s="1398"/>
      <c r="AN12" s="1398"/>
      <c r="AO12" s="1398"/>
      <c r="AP12" s="1398"/>
      <c r="AQ12" s="1398"/>
      <c r="AR12" s="1398"/>
      <c r="AS12" s="1398"/>
    </row>
    <row r="13" spans="1:45" ht="15" customHeight="1" x14ac:dyDescent="0.3">
      <c r="A13" s="1398"/>
      <c r="B13" s="2205" t="s">
        <v>2592</v>
      </c>
      <c r="C13" s="2204"/>
      <c r="D13" s="2204"/>
      <c r="E13" s="2204"/>
      <c r="F13" s="2204"/>
      <c r="G13" s="2204"/>
      <c r="H13" s="2204"/>
      <c r="I13" s="2204"/>
      <c r="J13" s="2204"/>
      <c r="K13" s="2204"/>
      <c r="L13" s="2204"/>
      <c r="M13" s="2204"/>
      <c r="N13" s="2204"/>
      <c r="O13" s="2204"/>
      <c r="P13" s="2204"/>
      <c r="Q13" s="2204" t="s">
        <v>2730</v>
      </c>
      <c r="R13" s="2204"/>
      <c r="S13" s="2204"/>
      <c r="T13" s="2204"/>
      <c r="U13" s="2204"/>
      <c r="V13" s="2204"/>
      <c r="W13" s="2204"/>
      <c r="X13" s="2204"/>
      <c r="Y13" s="2204"/>
      <c r="Z13" s="2203"/>
      <c r="AA13" s="1398"/>
      <c r="AB13" s="1398"/>
      <c r="AC13" s="1398"/>
      <c r="AD13" s="1398"/>
      <c r="AE13" s="1398"/>
      <c r="AF13" s="1398"/>
      <c r="AG13" s="1398"/>
      <c r="AH13" s="1398"/>
      <c r="AI13" s="1398"/>
      <c r="AJ13" s="1398"/>
      <c r="AK13" s="1398"/>
      <c r="AL13" s="1398"/>
      <c r="AM13" s="1398"/>
      <c r="AN13" s="1398"/>
      <c r="AO13" s="1398"/>
      <c r="AP13" s="1398"/>
      <c r="AQ13" s="1398"/>
      <c r="AR13" s="1398"/>
      <c r="AS13" s="1398"/>
    </row>
    <row r="14" spans="1:45" ht="15" customHeight="1" x14ac:dyDescent="0.3">
      <c r="A14" s="1398"/>
      <c r="B14" s="2199"/>
      <c r="C14" s="2202"/>
      <c r="D14" s="2202"/>
      <c r="E14" s="2202"/>
      <c r="F14" s="2202"/>
      <c r="G14" s="2202"/>
      <c r="H14" s="2202"/>
      <c r="I14" s="2202"/>
      <c r="J14" s="2202"/>
      <c r="K14" s="2202"/>
      <c r="L14" s="2202"/>
      <c r="M14" s="2202"/>
      <c r="N14" s="2202"/>
      <c r="O14" s="2202"/>
      <c r="P14" s="2202"/>
      <c r="Q14" s="2201"/>
      <c r="R14" s="2201"/>
      <c r="S14" s="2201"/>
      <c r="T14" s="2201"/>
      <c r="U14" s="2201"/>
      <c r="V14" s="2201"/>
      <c r="W14" s="2201"/>
      <c r="X14" s="2201"/>
      <c r="Y14" s="2200"/>
      <c r="Z14" s="2200"/>
      <c r="AA14" s="1398"/>
      <c r="AB14" s="1398"/>
      <c r="AC14" s="1398"/>
      <c r="AD14" s="1398"/>
      <c r="AE14" s="1398"/>
      <c r="AF14" s="1398"/>
      <c r="AG14" s="1398"/>
      <c r="AH14" s="1398"/>
      <c r="AI14" s="1398"/>
      <c r="AJ14" s="1398"/>
      <c r="AK14" s="1398"/>
      <c r="AL14" s="1398"/>
      <c r="AM14" s="1398"/>
      <c r="AN14" s="1398"/>
      <c r="AO14" s="1398"/>
      <c r="AP14" s="1398"/>
      <c r="AQ14" s="1398"/>
      <c r="AR14" s="1398"/>
      <c r="AS14" s="1398"/>
    </row>
    <row r="15" spans="1:45" ht="15" customHeight="1" x14ac:dyDescent="0.3">
      <c r="A15" s="1398"/>
      <c r="B15" s="2199"/>
      <c r="C15" s="2990" t="s">
        <v>2566</v>
      </c>
      <c r="D15" s="2990"/>
      <c r="E15" s="2990"/>
      <c r="F15" s="2990"/>
      <c r="G15" s="2990"/>
      <c r="H15" s="2990"/>
      <c r="I15" s="2990"/>
      <c r="J15" s="2990"/>
      <c r="K15" s="2990"/>
      <c r="L15" s="2990"/>
      <c r="M15" s="2990"/>
      <c r="N15" s="2990"/>
      <c r="O15" s="2990"/>
      <c r="P15" s="2990"/>
      <c r="Q15" s="2990"/>
      <c r="R15" s="2990"/>
      <c r="S15" s="2990"/>
      <c r="T15" s="2990"/>
      <c r="U15" s="2990"/>
      <c r="V15" s="2990"/>
      <c r="W15" s="2990"/>
      <c r="X15" s="2990"/>
      <c r="Y15" s="2990"/>
      <c r="Z15" s="2990"/>
      <c r="AA15" s="1398"/>
      <c r="AB15" s="1398"/>
      <c r="AC15" s="1398"/>
      <c r="AD15" s="1398"/>
      <c r="AE15" s="1398"/>
      <c r="AF15" s="1398"/>
      <c r="AG15" s="1398"/>
      <c r="AH15" s="1398"/>
      <c r="AI15" s="1398"/>
      <c r="AJ15" s="1398"/>
      <c r="AK15" s="1398"/>
      <c r="AL15" s="1398"/>
      <c r="AM15" s="1398"/>
      <c r="AN15" s="1398"/>
      <c r="AO15" s="1398"/>
      <c r="AP15" s="1398"/>
      <c r="AQ15" s="1398"/>
      <c r="AR15" s="1398"/>
      <c r="AS15" s="1398"/>
    </row>
    <row r="16" spans="1:45" ht="48.75" customHeight="1" x14ac:dyDescent="0.35">
      <c r="A16" s="1398"/>
      <c r="C16" s="2198" t="str">
        <f t="shared" ref="C16:Z16" si="0">IF(ISBLANK(C7),"Please fill in "&amp;ADDRESS(ROW(C7),COLUMN(C7),4),IF(C7="No","Please leave cells "&amp;ADDRESS(ROW(C8),COLUMN(C8),4)&amp;" to "&amp;ADDRESS(ROW(C13),COLUMN(C13),4)&amp;" and Panel B"&amp;COLUMN(C16)-2&amp;" empty",IF(C7="Yes, as clearing member according to Article 2(14) EMIR","Please fill in cells "&amp;ADDRESS(ROW(C10),COLUMN(C10),4)&amp;" to "&amp;ADDRESS(ROW(C13),COLUMN(C13),4)&amp;", Panel B"&amp;COLUMN(C16)-2,IF(C7="Yes, as client of a clearing member according to Article 2(15) EMIR","Please fill in cells "&amp;ADDRESS(ROW(C11),COLUMN(C11),4)&amp;" to "&amp;ADDRESS(ROW(C13),COLUMN(C13),4)&amp;", Panel B"&amp;COLUMN(C16)-2,"Please fill in cells "&amp;ADDRESS(ROW(C8),COLUMN(C8),4)&amp;" to "&amp;ADDRESS(ROW(C9),COLUMN(C9),4)&amp;", "&amp;ADDRESS(ROW(C11),COLUMN(C11),4)&amp;" to "&amp;ADDRESS(ROW(C13),COLUMN(C13),4)&amp;", Panel B"&amp;COLUMN(C16)-2))))</f>
        <v>Please fill in C7</v>
      </c>
      <c r="D16" s="2198" t="str">
        <f t="shared" si="0"/>
        <v>Please fill in D7</v>
      </c>
      <c r="E16" s="2198" t="str">
        <f t="shared" si="0"/>
        <v>Please fill in E7</v>
      </c>
      <c r="F16" s="2198" t="str">
        <f t="shared" si="0"/>
        <v>Please fill in F7</v>
      </c>
      <c r="G16" s="2198" t="str">
        <f t="shared" si="0"/>
        <v>Please fill in G7</v>
      </c>
      <c r="H16" s="2198" t="str">
        <f t="shared" si="0"/>
        <v>Please fill in H7</v>
      </c>
      <c r="I16" s="2198" t="str">
        <f t="shared" si="0"/>
        <v>Please fill in I7</v>
      </c>
      <c r="J16" s="2198" t="str">
        <f t="shared" si="0"/>
        <v>Please fill in J7</v>
      </c>
      <c r="K16" s="2198" t="str">
        <f t="shared" si="0"/>
        <v>Please fill in K7</v>
      </c>
      <c r="L16" s="2198" t="str">
        <f t="shared" si="0"/>
        <v>Please fill in L7</v>
      </c>
      <c r="M16" s="2198" t="str">
        <f t="shared" si="0"/>
        <v>Please fill in M7</v>
      </c>
      <c r="N16" s="2198" t="str">
        <f t="shared" si="0"/>
        <v>Please fill in N7</v>
      </c>
      <c r="O16" s="2198" t="str">
        <f t="shared" si="0"/>
        <v>Please fill in O7</v>
      </c>
      <c r="P16" s="2198" t="str">
        <f t="shared" si="0"/>
        <v>Please fill in P7</v>
      </c>
      <c r="Q16" s="2198" t="str">
        <f t="shared" si="0"/>
        <v>Please fill in cells Q8 to Q9, Q11 to Q13, Panel B15</v>
      </c>
      <c r="R16" s="2198" t="str">
        <f t="shared" si="0"/>
        <v>Please fill in R7</v>
      </c>
      <c r="S16" s="2198" t="str">
        <f t="shared" si="0"/>
        <v>Please fill in S7</v>
      </c>
      <c r="T16" s="2198" t="str">
        <f t="shared" si="0"/>
        <v>Please fill in T7</v>
      </c>
      <c r="U16" s="2198" t="str">
        <f t="shared" si="0"/>
        <v>Please fill in U7</v>
      </c>
      <c r="V16" s="2198" t="str">
        <f t="shared" si="0"/>
        <v>Please fill in V7</v>
      </c>
      <c r="W16" s="2198" t="str">
        <f t="shared" si="0"/>
        <v>Please fill in W7</v>
      </c>
      <c r="X16" s="2198" t="str">
        <f t="shared" si="0"/>
        <v>Please fill in X7</v>
      </c>
      <c r="Y16" s="2198" t="str">
        <f t="shared" si="0"/>
        <v>Please fill in Y7</v>
      </c>
      <c r="Z16" s="2198" t="str">
        <f t="shared" si="0"/>
        <v>Please fill in Z7</v>
      </c>
      <c r="AA16" s="1398"/>
      <c r="AB16" s="1398"/>
      <c r="AC16" s="1398"/>
      <c r="AD16" s="1398"/>
      <c r="AE16" s="1398"/>
      <c r="AF16" s="1398"/>
      <c r="AG16" s="1398"/>
      <c r="AH16" s="1398"/>
      <c r="AI16" s="1398"/>
      <c r="AJ16" s="1398"/>
      <c r="AK16" s="1398"/>
      <c r="AL16" s="1398"/>
      <c r="AM16" s="1398"/>
      <c r="AN16" s="1398"/>
      <c r="AO16" s="1398"/>
      <c r="AP16" s="1398"/>
      <c r="AQ16" s="1398"/>
      <c r="AR16" s="1398"/>
      <c r="AS16" s="1398"/>
    </row>
    <row r="17" spans="1:31" ht="15" customHeight="1" x14ac:dyDescent="0.3">
      <c r="A17" s="1398"/>
      <c r="B17" s="1398"/>
      <c r="C17" s="1398"/>
      <c r="D17" s="1398"/>
      <c r="E17" s="1398"/>
      <c r="F17" s="1398"/>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398"/>
    </row>
    <row r="18" spans="1:31" ht="60" customHeight="1" x14ac:dyDescent="0.3">
      <c r="A18" s="2976" t="s">
        <v>2591</v>
      </c>
      <c r="B18" s="2977"/>
      <c r="C18" s="2977"/>
      <c r="D18" s="2977"/>
      <c r="E18" s="2977"/>
      <c r="F18" s="2977"/>
      <c r="G18" s="1398"/>
      <c r="H18" s="1398"/>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row>
    <row r="19" spans="1:31" ht="19.5" customHeight="1" x14ac:dyDescent="0.3">
      <c r="A19" s="2196" t="s">
        <v>2590</v>
      </c>
      <c r="B19" s="2195"/>
      <c r="C19" s="2194" t="s">
        <v>2566</v>
      </c>
      <c r="D19" s="2173" t="str">
        <f>IF(ISBLANK($C$7),"",IF($C$7="No","Please leave Panel B"&amp;COLUMN($C$7)-2&amp;" empty","Please fill in Panel B"&amp;COLUMN($C$7)-2))</f>
        <v/>
      </c>
      <c r="E19" s="2193"/>
      <c r="F19" s="2193"/>
      <c r="G19" s="2193"/>
      <c r="H19" s="2193"/>
      <c r="I19" s="2193"/>
      <c r="J19" s="2193"/>
      <c r="K19" s="2193"/>
      <c r="L19" s="2193"/>
      <c r="M19" s="2193"/>
      <c r="N19" s="2193"/>
      <c r="O19" s="2193"/>
      <c r="P19" s="2193"/>
      <c r="Q19" s="2193"/>
      <c r="R19" s="1398"/>
      <c r="S19" s="1398"/>
      <c r="T19" s="1398"/>
      <c r="U19" s="1398"/>
      <c r="V19" s="1398"/>
      <c r="W19" s="1398"/>
      <c r="X19" s="1398"/>
      <c r="Y19" s="1398"/>
      <c r="Z19" s="1398"/>
      <c r="AA19" s="1398"/>
      <c r="AB19" s="1398"/>
      <c r="AC19" s="1398"/>
      <c r="AD19" s="1398"/>
      <c r="AE19" s="1398"/>
    </row>
    <row r="20" spans="1:31" ht="15" customHeight="1" x14ac:dyDescent="0.35">
      <c r="A20" s="1398"/>
      <c r="C20" s="2986" t="s">
        <v>207</v>
      </c>
      <c r="D20" s="2986"/>
      <c r="E20" s="2986"/>
      <c r="F20" s="2986"/>
      <c r="G20" s="2986"/>
      <c r="H20" s="2986"/>
      <c r="I20" s="2986"/>
      <c r="J20" s="2986"/>
      <c r="K20" s="2986"/>
      <c r="L20" s="2987"/>
      <c r="M20" s="2983" t="s">
        <v>2559</v>
      </c>
      <c r="N20" s="2988" t="s">
        <v>2565</v>
      </c>
      <c r="O20" s="2989"/>
      <c r="P20" s="2989"/>
      <c r="Q20" s="2989"/>
      <c r="R20" s="1398"/>
      <c r="S20" s="1398"/>
      <c r="T20" s="1398"/>
      <c r="U20" s="1398"/>
      <c r="V20" s="1398"/>
      <c r="W20" s="1398"/>
      <c r="X20" s="1398"/>
      <c r="Y20" s="1398"/>
      <c r="Z20" s="1398"/>
      <c r="AA20" s="1398"/>
      <c r="AB20" s="1398"/>
      <c r="AC20" s="1398"/>
      <c r="AD20" s="1398"/>
      <c r="AE20" s="1398"/>
    </row>
    <row r="21" spans="1:31" ht="15" customHeight="1" x14ac:dyDescent="0.35">
      <c r="A21" s="1398"/>
      <c r="B21" s="2172"/>
      <c r="C21" s="2967" t="s">
        <v>2564</v>
      </c>
      <c r="D21" s="2973" t="s">
        <v>465</v>
      </c>
      <c r="E21" s="2974"/>
      <c r="F21" s="2974"/>
      <c r="G21" s="2974"/>
      <c r="H21" s="2975"/>
      <c r="I21" s="2969" t="s">
        <v>2563</v>
      </c>
      <c r="J21" s="2969" t="s">
        <v>2562</v>
      </c>
      <c r="K21" s="2969" t="s">
        <v>2561</v>
      </c>
      <c r="L21" s="2969" t="s">
        <v>2560</v>
      </c>
      <c r="M21" s="2983"/>
      <c r="N21" s="2978" t="s">
        <v>207</v>
      </c>
      <c r="O21" s="2978" t="s">
        <v>2559</v>
      </c>
      <c r="P21" s="2969" t="s">
        <v>59</v>
      </c>
      <c r="Q21" s="2971" t="s">
        <v>2558</v>
      </c>
      <c r="R21" s="1398"/>
      <c r="S21" s="1398"/>
      <c r="T21" s="1398"/>
      <c r="U21" s="1398"/>
      <c r="V21" s="1398"/>
      <c r="W21" s="1398"/>
      <c r="X21" s="1398"/>
      <c r="Y21" s="1398"/>
      <c r="Z21" s="1398"/>
      <c r="AA21" s="1398"/>
      <c r="AB21" s="1398"/>
      <c r="AC21" s="1398"/>
      <c r="AD21" s="1398"/>
      <c r="AE21" s="1398"/>
    </row>
    <row r="22" spans="1:31" ht="50.4" customHeight="1" x14ac:dyDescent="0.35">
      <c r="A22" s="1398"/>
      <c r="B22" s="2171"/>
      <c r="C22" s="2968"/>
      <c r="D22" s="2170" t="s">
        <v>2557</v>
      </c>
      <c r="E22" s="2170" t="s">
        <v>2556</v>
      </c>
      <c r="F22" s="2170" t="s">
        <v>2555</v>
      </c>
      <c r="G22" s="2170" t="s">
        <v>2554</v>
      </c>
      <c r="H22" s="2170" t="s">
        <v>59</v>
      </c>
      <c r="I22" s="2970"/>
      <c r="J22" s="2970"/>
      <c r="K22" s="2970"/>
      <c r="L22" s="2970"/>
      <c r="M22" s="2970"/>
      <c r="N22" s="2979"/>
      <c r="O22" s="2979"/>
      <c r="P22" s="2970"/>
      <c r="Q22" s="2972"/>
      <c r="R22" s="1398"/>
      <c r="S22" s="1398"/>
      <c r="T22" s="1398"/>
      <c r="U22" s="1398"/>
      <c r="V22" s="1398"/>
      <c r="W22" s="1398"/>
      <c r="X22" s="1398"/>
      <c r="Y22" s="1398"/>
      <c r="Z22" s="1398"/>
      <c r="AA22" s="1398"/>
      <c r="AB22" s="1398"/>
      <c r="AC22" s="1398"/>
      <c r="AD22" s="1398"/>
      <c r="AE22" s="1398"/>
    </row>
    <row r="23" spans="1:31" ht="15" customHeight="1" x14ac:dyDescent="0.35">
      <c r="A23" s="1398"/>
      <c r="B23" s="2169" t="s">
        <v>2553</v>
      </c>
      <c r="C23" s="2168" t="str">
        <f t="shared" ref="C23:I23" si="1">IF(AND(ISNUMBER(C36),ISNUMBER(C32),ISNUMBER(C34),ISNUMBER(C24),ISNUMBER(C28),ISNUMBER(C26),ISNUMBER(C30),ISNUMBER(C38)),SUM(C24,C26,C28,C30,C32,C34,C36,C38),"")</f>
        <v/>
      </c>
      <c r="D23" s="2168" t="str">
        <f t="shared" si="1"/>
        <v/>
      </c>
      <c r="E23" s="2168" t="str">
        <f t="shared" si="1"/>
        <v/>
      </c>
      <c r="F23" s="2168" t="str">
        <f t="shared" si="1"/>
        <v/>
      </c>
      <c r="G23" s="2168" t="str">
        <f t="shared" si="1"/>
        <v/>
      </c>
      <c r="H23" s="2168" t="str">
        <f t="shared" si="1"/>
        <v/>
      </c>
      <c r="I23" s="2168" t="str">
        <f t="shared" si="1"/>
        <v/>
      </c>
      <c r="J23" s="2157"/>
      <c r="K23" s="2168" t="str">
        <f>IF(AND(ISNUMBER(K36),ISNUMBER(K32),ISNUMBER(K34),ISNUMBER(K24),ISNUMBER(K28),ISNUMBER(K26),ISNUMBER(K30),ISNUMBER(K38)),SUM(K24,K26,K28,K30,K32,K34,K36,K38),"")</f>
        <v/>
      </c>
      <c r="L23" s="2157"/>
      <c r="M23" s="2168" t="str">
        <f>IF(AND(ISNUMBER(M36),ISNUMBER(M32),ISNUMBER(M34),ISNUMBER(M24),ISNUMBER(M28),ISNUMBER(M26),ISNUMBER(M30),ISNUMBER(M38)),SUM(M24,M26,M28,M30,M32,M34,M36,M38),"")</f>
        <v/>
      </c>
      <c r="N23" s="2167"/>
      <c r="O23" s="2167"/>
      <c r="P23" s="2167"/>
      <c r="Q23" s="2167"/>
      <c r="R23" s="1398"/>
      <c r="S23" s="1398"/>
      <c r="T23" s="1398"/>
      <c r="U23" s="1398"/>
      <c r="V23" s="1398"/>
      <c r="W23" s="1398"/>
      <c r="X23" s="1398"/>
      <c r="Y23" s="1398"/>
      <c r="Z23" s="1398"/>
      <c r="AA23" s="1398"/>
      <c r="AB23" s="1398"/>
      <c r="AC23" s="1398"/>
      <c r="AD23" s="1398"/>
      <c r="AE23" s="1398"/>
    </row>
    <row r="24" spans="1:31" ht="15" customHeight="1" x14ac:dyDescent="0.3">
      <c r="A24" s="1398"/>
      <c r="B24" s="2155" t="s">
        <v>2552</v>
      </c>
      <c r="C24" s="2151"/>
      <c r="D24" s="2151"/>
      <c r="E24" s="2151"/>
      <c r="F24" s="2151"/>
      <c r="G24" s="2151"/>
      <c r="H24" s="2151"/>
      <c r="I24" s="2151"/>
      <c r="J24" s="2157"/>
      <c r="K24" s="2151"/>
      <c r="L24" s="2157"/>
      <c r="M24" s="2151"/>
      <c r="N24" s="2157"/>
      <c r="O24" s="2157"/>
      <c r="P24" s="2157"/>
      <c r="Q24" s="2157"/>
      <c r="R24" s="1398"/>
      <c r="S24" s="1398"/>
      <c r="T24" s="1398"/>
      <c r="U24" s="1398"/>
      <c r="V24" s="1398"/>
      <c r="W24" s="1398"/>
      <c r="X24" s="1398"/>
      <c r="Y24" s="1398"/>
      <c r="Z24" s="1398"/>
      <c r="AA24" s="1398"/>
      <c r="AB24" s="1398"/>
      <c r="AC24" s="1398"/>
      <c r="AD24" s="1398"/>
      <c r="AE24" s="1398"/>
    </row>
    <row r="25" spans="1:31" ht="15" customHeight="1" x14ac:dyDescent="0.3">
      <c r="A25" s="1398"/>
      <c r="B25" s="2165" t="s">
        <v>2543</v>
      </c>
      <c r="C25" s="2151"/>
      <c r="D25" s="2151"/>
      <c r="E25" s="2151"/>
      <c r="F25" s="2151"/>
      <c r="G25" s="2151"/>
      <c r="H25" s="2151"/>
      <c r="I25" s="2151"/>
      <c r="J25" s="2157"/>
      <c r="K25" s="2151"/>
      <c r="L25" s="2157"/>
      <c r="M25" s="2151"/>
      <c r="N25" s="2157"/>
      <c r="O25" s="2157"/>
      <c r="P25" s="2157"/>
      <c r="Q25" s="2157"/>
      <c r="R25" s="1398"/>
      <c r="S25" s="1398"/>
      <c r="T25" s="1398"/>
      <c r="U25" s="1398"/>
      <c r="V25" s="1398"/>
      <c r="W25" s="1398"/>
      <c r="X25" s="1398"/>
      <c r="Y25" s="1398"/>
      <c r="Z25" s="1398"/>
      <c r="AA25" s="1398"/>
      <c r="AB25" s="1398"/>
      <c r="AC25" s="1398"/>
      <c r="AD25" s="1398"/>
      <c r="AE25" s="1398"/>
    </row>
    <row r="26" spans="1:31" ht="15" customHeight="1" x14ac:dyDescent="0.3">
      <c r="A26" s="1398"/>
      <c r="B26" s="2155" t="s">
        <v>2551</v>
      </c>
      <c r="C26" s="2151"/>
      <c r="D26" s="2151"/>
      <c r="E26" s="2151"/>
      <c r="F26" s="2151"/>
      <c r="G26" s="2151"/>
      <c r="H26" s="2151"/>
      <c r="I26" s="2151"/>
      <c r="J26" s="2157"/>
      <c r="K26" s="2151"/>
      <c r="L26" s="2157"/>
      <c r="M26" s="2151"/>
      <c r="N26" s="2157"/>
      <c r="O26" s="2157"/>
      <c r="P26" s="2157"/>
      <c r="Q26" s="2157"/>
      <c r="R26" s="1398"/>
      <c r="S26" s="1398"/>
      <c r="T26" s="1398"/>
      <c r="U26" s="1398"/>
      <c r="V26" s="1398"/>
      <c r="W26" s="1398"/>
      <c r="X26" s="1398"/>
      <c r="Y26" s="1398"/>
      <c r="Z26" s="1398"/>
      <c r="AA26" s="1398"/>
      <c r="AB26" s="1398"/>
      <c r="AC26" s="1398"/>
      <c r="AD26" s="1398"/>
      <c r="AE26" s="1398"/>
    </row>
    <row r="27" spans="1:31" ht="15" customHeight="1" x14ac:dyDescent="0.3">
      <c r="A27" s="1398"/>
      <c r="B27" s="2165" t="s">
        <v>2543</v>
      </c>
      <c r="C27" s="2151"/>
      <c r="D27" s="2151"/>
      <c r="E27" s="2151"/>
      <c r="F27" s="2151"/>
      <c r="G27" s="2151"/>
      <c r="H27" s="2151"/>
      <c r="I27" s="2151"/>
      <c r="J27" s="2157"/>
      <c r="K27" s="2151"/>
      <c r="L27" s="2157"/>
      <c r="M27" s="2151"/>
      <c r="N27" s="2157"/>
      <c r="O27" s="2157"/>
      <c r="P27" s="2157"/>
      <c r="Q27" s="2157"/>
      <c r="R27" s="1398"/>
      <c r="S27" s="1398"/>
      <c r="T27" s="1398"/>
      <c r="U27" s="1398"/>
      <c r="V27" s="1398"/>
      <c r="W27" s="1398"/>
      <c r="X27" s="1398"/>
      <c r="Y27" s="1398"/>
      <c r="Z27" s="1398"/>
      <c r="AA27" s="1398"/>
      <c r="AB27" s="1398"/>
      <c r="AC27" s="1398"/>
      <c r="AD27" s="1398"/>
      <c r="AE27" s="1398"/>
    </row>
    <row r="28" spans="1:31" ht="15" customHeight="1" x14ac:dyDescent="0.3">
      <c r="A28" s="1398"/>
      <c r="B28" s="2155" t="s">
        <v>2550</v>
      </c>
      <c r="C28" s="2151"/>
      <c r="D28" s="2151"/>
      <c r="E28" s="2151"/>
      <c r="F28" s="2151"/>
      <c r="G28" s="2151"/>
      <c r="H28" s="2151"/>
      <c r="I28" s="2151"/>
      <c r="J28" s="2157"/>
      <c r="K28" s="2151"/>
      <c r="L28" s="2157"/>
      <c r="M28" s="2151"/>
      <c r="N28" s="2157"/>
      <c r="O28" s="2157"/>
      <c r="P28" s="2157"/>
      <c r="Q28" s="2157"/>
      <c r="R28" s="1398"/>
      <c r="S28" s="1398"/>
      <c r="T28" s="1398"/>
      <c r="U28" s="1398"/>
      <c r="V28" s="1398"/>
      <c r="W28" s="1398"/>
      <c r="X28" s="1398"/>
      <c r="Y28" s="1398"/>
      <c r="Z28" s="1398"/>
      <c r="AA28" s="1398"/>
      <c r="AB28" s="1398"/>
      <c r="AC28" s="1398"/>
      <c r="AD28" s="1398"/>
      <c r="AE28" s="1398"/>
    </row>
    <row r="29" spans="1:31" ht="15" customHeight="1" x14ac:dyDescent="0.3">
      <c r="A29" s="1398"/>
      <c r="B29" s="2165" t="s">
        <v>2543</v>
      </c>
      <c r="C29" s="2151"/>
      <c r="D29" s="2151"/>
      <c r="E29" s="2151"/>
      <c r="F29" s="2151"/>
      <c r="G29" s="2151"/>
      <c r="H29" s="2151"/>
      <c r="I29" s="2151"/>
      <c r="J29" s="2157"/>
      <c r="K29" s="2151"/>
      <c r="L29" s="2157"/>
      <c r="M29" s="2151"/>
      <c r="N29" s="2157"/>
      <c r="O29" s="2157"/>
      <c r="P29" s="2157"/>
      <c r="Q29" s="2157"/>
      <c r="R29" s="1398"/>
      <c r="S29" s="1398"/>
      <c r="T29" s="1398"/>
      <c r="U29" s="1398"/>
      <c r="V29" s="1398"/>
      <c r="W29" s="1398"/>
      <c r="X29" s="1398"/>
      <c r="Y29" s="1398"/>
      <c r="Z29" s="1398"/>
      <c r="AA29" s="1398"/>
      <c r="AB29" s="1398"/>
      <c r="AC29" s="1398"/>
      <c r="AD29" s="1398"/>
      <c r="AE29" s="1398"/>
    </row>
    <row r="30" spans="1:31" ht="15" customHeight="1" x14ac:dyDescent="0.3">
      <c r="A30" s="1398"/>
      <c r="B30" s="2155" t="s">
        <v>2549</v>
      </c>
      <c r="C30" s="2151"/>
      <c r="D30" s="2151"/>
      <c r="E30" s="2151"/>
      <c r="F30" s="2151"/>
      <c r="G30" s="2151"/>
      <c r="H30" s="2151"/>
      <c r="I30" s="2151"/>
      <c r="J30" s="2157"/>
      <c r="K30" s="2151"/>
      <c r="L30" s="2157"/>
      <c r="M30" s="2151"/>
      <c r="N30" s="2157"/>
      <c r="O30" s="2157"/>
      <c r="P30" s="2157"/>
      <c r="Q30" s="2157"/>
      <c r="R30" s="1398"/>
      <c r="S30" s="1398"/>
      <c r="T30" s="1398"/>
      <c r="U30" s="1398"/>
      <c r="V30" s="1398"/>
      <c r="W30" s="1398"/>
      <c r="X30" s="1398"/>
      <c r="Y30" s="1398"/>
      <c r="Z30" s="1398"/>
      <c r="AA30" s="1398"/>
      <c r="AB30" s="1398"/>
      <c r="AC30" s="1398"/>
      <c r="AD30" s="1398"/>
      <c r="AE30" s="1398"/>
    </row>
    <row r="31" spans="1:31" ht="15" customHeight="1" x14ac:dyDescent="0.3">
      <c r="A31" s="1398"/>
      <c r="B31" s="2165" t="s">
        <v>2543</v>
      </c>
      <c r="C31" s="2151"/>
      <c r="D31" s="2151"/>
      <c r="E31" s="2151"/>
      <c r="F31" s="2151"/>
      <c r="G31" s="2151"/>
      <c r="H31" s="2151"/>
      <c r="I31" s="2151"/>
      <c r="J31" s="2157"/>
      <c r="K31" s="2151"/>
      <c r="L31" s="2157"/>
      <c r="M31" s="2151"/>
      <c r="N31" s="2157"/>
      <c r="O31" s="2157"/>
      <c r="P31" s="2157"/>
      <c r="Q31" s="2157"/>
      <c r="R31" s="1398"/>
      <c r="S31" s="1398"/>
      <c r="T31" s="1398"/>
      <c r="U31" s="1398"/>
      <c r="V31" s="1398"/>
      <c r="W31" s="1398"/>
      <c r="X31" s="1398"/>
      <c r="Y31" s="1398"/>
      <c r="Z31" s="1398"/>
      <c r="AA31" s="1398"/>
      <c r="AB31" s="1398"/>
      <c r="AC31" s="1398"/>
      <c r="AD31" s="1398"/>
      <c r="AE31" s="1398"/>
    </row>
    <row r="32" spans="1:31" ht="15" customHeight="1" x14ac:dyDescent="0.35">
      <c r="A32" s="1398"/>
      <c r="B32" s="2183" t="s">
        <v>2548</v>
      </c>
      <c r="C32" s="2151"/>
      <c r="D32" s="2151"/>
      <c r="E32" s="2151"/>
      <c r="F32" s="2151"/>
      <c r="G32" s="2151"/>
      <c r="H32" s="2151"/>
      <c r="I32" s="2151"/>
      <c r="J32" s="2157"/>
      <c r="K32" s="2151"/>
      <c r="L32" s="2157"/>
      <c r="M32" s="2151"/>
      <c r="N32" s="2157"/>
      <c r="O32" s="2157"/>
      <c r="P32" s="2157"/>
      <c r="Q32" s="2157"/>
      <c r="R32" s="1398"/>
      <c r="S32" s="1398"/>
      <c r="T32" s="1398"/>
      <c r="U32" s="1398"/>
      <c r="V32" s="1398"/>
      <c r="W32" s="1398"/>
      <c r="X32" s="1398"/>
      <c r="Y32" s="1398"/>
      <c r="Z32" s="1398"/>
      <c r="AA32" s="1398"/>
      <c r="AB32" s="1398"/>
      <c r="AC32" s="1398"/>
      <c r="AD32" s="1398"/>
      <c r="AE32" s="1398"/>
    </row>
    <row r="33" spans="1:31" ht="15" customHeight="1" x14ac:dyDescent="0.3">
      <c r="A33" s="1398"/>
      <c r="B33" s="2165" t="s">
        <v>2543</v>
      </c>
      <c r="C33" s="2151"/>
      <c r="D33" s="2151"/>
      <c r="E33" s="2151"/>
      <c r="F33" s="2151"/>
      <c r="G33" s="2151"/>
      <c r="H33" s="2151"/>
      <c r="I33" s="2151"/>
      <c r="J33" s="2157"/>
      <c r="K33" s="2151"/>
      <c r="L33" s="2157"/>
      <c r="M33" s="2151"/>
      <c r="N33" s="2157"/>
      <c r="O33" s="2157"/>
      <c r="P33" s="2157"/>
      <c r="Q33" s="2157"/>
      <c r="R33" s="1398"/>
      <c r="S33" s="1398"/>
      <c r="T33" s="1398"/>
      <c r="U33" s="1398"/>
      <c r="V33" s="1398"/>
      <c r="W33" s="1398"/>
      <c r="X33" s="1398"/>
      <c r="Y33" s="1398"/>
      <c r="Z33" s="1398"/>
      <c r="AA33" s="1398"/>
      <c r="AB33" s="1398"/>
      <c r="AC33" s="1398"/>
      <c r="AD33" s="1398"/>
      <c r="AE33" s="1398"/>
    </row>
    <row r="34" spans="1:31" ht="15" customHeight="1" x14ac:dyDescent="0.3">
      <c r="A34" s="1398"/>
      <c r="B34" s="2155" t="s">
        <v>2547</v>
      </c>
      <c r="C34" s="2151"/>
      <c r="D34" s="2151"/>
      <c r="E34" s="2151"/>
      <c r="F34" s="2151"/>
      <c r="G34" s="2151"/>
      <c r="H34" s="2151"/>
      <c r="I34" s="2151"/>
      <c r="J34" s="2157"/>
      <c r="K34" s="2151"/>
      <c r="L34" s="2157"/>
      <c r="M34" s="2151"/>
      <c r="N34" s="2157"/>
      <c r="O34" s="2157"/>
      <c r="P34" s="2157"/>
      <c r="Q34" s="2157"/>
      <c r="R34" s="1398"/>
      <c r="S34" s="1398"/>
      <c r="T34" s="1398"/>
      <c r="U34" s="1398"/>
      <c r="V34" s="1398"/>
      <c r="W34" s="1398"/>
      <c r="X34" s="1398"/>
      <c r="Y34" s="1398"/>
      <c r="Z34" s="1398"/>
      <c r="AA34" s="1398"/>
      <c r="AB34" s="1398"/>
      <c r="AC34" s="1398"/>
      <c r="AD34" s="1398"/>
      <c r="AE34" s="1398"/>
    </row>
    <row r="35" spans="1:31" ht="15" customHeight="1" x14ac:dyDescent="0.3">
      <c r="A35" s="1398"/>
      <c r="B35" s="2165" t="s">
        <v>2543</v>
      </c>
      <c r="C35" s="2151"/>
      <c r="D35" s="2151"/>
      <c r="E35" s="2151"/>
      <c r="F35" s="2151"/>
      <c r="G35" s="2151"/>
      <c r="H35" s="2151"/>
      <c r="I35" s="2151"/>
      <c r="J35" s="2157"/>
      <c r="K35" s="2151"/>
      <c r="L35" s="2157"/>
      <c r="M35" s="2151"/>
      <c r="N35" s="2157"/>
      <c r="O35" s="2157"/>
      <c r="P35" s="2157"/>
      <c r="Q35" s="2157"/>
      <c r="R35" s="1398"/>
      <c r="S35" s="1398"/>
      <c r="T35" s="1398"/>
      <c r="U35" s="1398"/>
      <c r="V35" s="1398"/>
      <c r="W35" s="1398"/>
      <c r="X35" s="1398"/>
      <c r="Y35" s="1398"/>
      <c r="Z35" s="1398"/>
      <c r="AA35" s="1398"/>
      <c r="AB35" s="1398"/>
      <c r="AC35" s="1398"/>
      <c r="AD35" s="1398"/>
      <c r="AE35" s="1398"/>
    </row>
    <row r="36" spans="1:31" ht="15" customHeight="1" x14ac:dyDescent="0.3">
      <c r="A36" s="1398"/>
      <c r="B36" s="2180" t="s">
        <v>2546</v>
      </c>
      <c r="C36" s="2151"/>
      <c r="D36" s="2151"/>
      <c r="E36" s="2151"/>
      <c r="F36" s="2151"/>
      <c r="G36" s="2151"/>
      <c r="H36" s="2151"/>
      <c r="I36" s="2151"/>
      <c r="J36" s="2157"/>
      <c r="K36" s="2151"/>
      <c r="L36" s="2157"/>
      <c r="M36" s="2151"/>
      <c r="N36" s="2157"/>
      <c r="O36" s="2157"/>
      <c r="P36" s="2157"/>
      <c r="Q36" s="2157"/>
      <c r="R36" s="1398"/>
      <c r="S36" s="1398"/>
      <c r="T36" s="1398"/>
      <c r="U36" s="1398"/>
      <c r="V36" s="1398"/>
      <c r="W36" s="1398"/>
      <c r="X36" s="1398"/>
      <c r="Y36" s="1398"/>
      <c r="Z36" s="1398"/>
      <c r="AA36" s="1398"/>
      <c r="AB36" s="1398"/>
      <c r="AC36" s="1398"/>
      <c r="AD36" s="1398"/>
      <c r="AE36" s="1398"/>
    </row>
    <row r="37" spans="1:31" ht="15" customHeight="1" x14ac:dyDescent="0.3">
      <c r="A37" s="1398"/>
      <c r="B37" s="2165" t="s">
        <v>2543</v>
      </c>
      <c r="C37" s="2151"/>
      <c r="D37" s="2151"/>
      <c r="E37" s="2151"/>
      <c r="F37" s="2151"/>
      <c r="G37" s="2151"/>
      <c r="H37" s="2151"/>
      <c r="I37" s="2151"/>
      <c r="J37" s="2157"/>
      <c r="K37" s="2151"/>
      <c r="L37" s="2157"/>
      <c r="M37" s="2151"/>
      <c r="N37" s="2157"/>
      <c r="O37" s="2157"/>
      <c r="P37" s="2157"/>
      <c r="Q37" s="2157"/>
      <c r="R37" s="1398"/>
      <c r="S37" s="1398"/>
      <c r="T37" s="1398"/>
      <c r="U37" s="1398"/>
      <c r="V37" s="1398"/>
      <c r="W37" s="1398"/>
      <c r="X37" s="1398"/>
      <c r="Y37" s="1398"/>
      <c r="Z37" s="1398"/>
      <c r="AA37" s="1398"/>
      <c r="AB37" s="1398"/>
      <c r="AC37" s="1398"/>
      <c r="AD37" s="1398"/>
      <c r="AE37" s="1398"/>
    </row>
    <row r="38" spans="1:31" ht="15" customHeight="1" x14ac:dyDescent="0.3">
      <c r="A38" s="1398"/>
      <c r="B38" s="2155" t="s">
        <v>1760</v>
      </c>
      <c r="C38" s="2151"/>
      <c r="D38" s="2151"/>
      <c r="E38" s="2151"/>
      <c r="F38" s="2151"/>
      <c r="G38" s="2151"/>
      <c r="H38" s="2151"/>
      <c r="I38" s="2151"/>
      <c r="J38" s="2157"/>
      <c r="K38" s="2151"/>
      <c r="L38" s="2157"/>
      <c r="M38" s="2151"/>
      <c r="N38" s="2157"/>
      <c r="O38" s="2157"/>
      <c r="P38" s="2157"/>
      <c r="Q38" s="2157"/>
      <c r="R38" s="1398"/>
      <c r="S38" s="1398"/>
      <c r="T38" s="1398"/>
      <c r="U38" s="1398"/>
      <c r="V38" s="1398"/>
      <c r="W38" s="1398"/>
      <c r="X38" s="1398"/>
      <c r="Y38" s="1398"/>
      <c r="Z38" s="1398"/>
      <c r="AA38" s="1398"/>
      <c r="AB38" s="1398"/>
      <c r="AC38" s="1398"/>
      <c r="AD38" s="1398"/>
      <c r="AE38" s="1398"/>
    </row>
    <row r="39" spans="1:31" ht="15" customHeight="1" x14ac:dyDescent="0.3">
      <c r="A39" s="1398"/>
      <c r="B39" s="2165" t="s">
        <v>2543</v>
      </c>
      <c r="C39" s="2151"/>
      <c r="D39" s="2151"/>
      <c r="E39" s="2151"/>
      <c r="F39" s="2151"/>
      <c r="G39" s="2151"/>
      <c r="H39" s="2151"/>
      <c r="I39" s="2151"/>
      <c r="J39" s="2157"/>
      <c r="K39" s="2151"/>
      <c r="L39" s="2157"/>
      <c r="M39" s="2151"/>
      <c r="N39" s="2157"/>
      <c r="O39" s="2157"/>
      <c r="P39" s="2157"/>
      <c r="Q39" s="2157"/>
      <c r="R39" s="1398"/>
      <c r="S39" s="1398"/>
      <c r="T39" s="1398"/>
      <c r="U39" s="1398"/>
      <c r="V39" s="1398"/>
      <c r="W39" s="1398"/>
      <c r="X39" s="1398"/>
      <c r="Y39" s="1398"/>
      <c r="Z39" s="1398"/>
      <c r="AA39" s="1398"/>
      <c r="AB39" s="1398"/>
      <c r="AC39" s="1398"/>
      <c r="AD39" s="1398"/>
      <c r="AE39" s="1398"/>
    </row>
    <row r="40" spans="1:31" ht="15" customHeight="1" x14ac:dyDescent="0.35">
      <c r="A40" s="1398"/>
      <c r="B40" s="2164" t="s">
        <v>2545</v>
      </c>
      <c r="C40" s="2159" t="str">
        <f t="shared" ref="C40:I40" si="2">IF(AND(ISNUMBER(C41),ISNUMBER(C43)),C41+C43,"")</f>
        <v/>
      </c>
      <c r="D40" s="2159" t="str">
        <f t="shared" si="2"/>
        <v/>
      </c>
      <c r="E40" s="2159" t="str">
        <f t="shared" si="2"/>
        <v/>
      </c>
      <c r="F40" s="2159" t="str">
        <f t="shared" si="2"/>
        <v/>
      </c>
      <c r="G40" s="2159" t="str">
        <f t="shared" si="2"/>
        <v/>
      </c>
      <c r="H40" s="2159" t="str">
        <f t="shared" si="2"/>
        <v/>
      </c>
      <c r="I40" s="2159" t="str">
        <f t="shared" si="2"/>
        <v/>
      </c>
      <c r="J40" s="2157"/>
      <c r="K40" s="2159" t="str">
        <f>IF(AND(ISNUMBER(K41),ISNUMBER(K43)),K41+K43,"")</f>
        <v/>
      </c>
      <c r="L40" s="2157"/>
      <c r="M40" s="2159" t="str">
        <f>IF(AND(ISNUMBER(M41),ISNUMBER(M43)),M41+M43,"")</f>
        <v/>
      </c>
      <c r="N40" s="2157"/>
      <c r="O40" s="2157"/>
      <c r="P40" s="2157"/>
      <c r="Q40" s="2157"/>
      <c r="R40" s="1398"/>
      <c r="S40" s="1398"/>
      <c r="T40" s="1398"/>
      <c r="U40" s="1398"/>
      <c r="V40" s="1398"/>
      <c r="W40" s="1398"/>
      <c r="X40" s="1398"/>
      <c r="Y40" s="1398"/>
      <c r="Z40" s="1398"/>
      <c r="AA40" s="1398"/>
      <c r="AB40" s="1398"/>
      <c r="AC40" s="1398"/>
      <c r="AD40" s="1398"/>
      <c r="AE40" s="1398"/>
    </row>
    <row r="41" spans="1:31" ht="15" customHeight="1" x14ac:dyDescent="0.3">
      <c r="A41" s="1398"/>
      <c r="B41" s="2163" t="s">
        <v>2544</v>
      </c>
      <c r="C41" s="2151"/>
      <c r="D41" s="2151"/>
      <c r="E41" s="2151"/>
      <c r="F41" s="2151"/>
      <c r="G41" s="2151"/>
      <c r="H41" s="2151"/>
      <c r="I41" s="2151"/>
      <c r="J41" s="2157"/>
      <c r="K41" s="2151"/>
      <c r="L41" s="2157"/>
      <c r="M41" s="2151"/>
      <c r="N41" s="2157"/>
      <c r="O41" s="2157"/>
      <c r="P41" s="2157"/>
      <c r="Q41" s="2157"/>
      <c r="R41" s="1398"/>
      <c r="S41" s="1398"/>
      <c r="T41" s="1398"/>
      <c r="U41" s="1398"/>
      <c r="V41" s="1398"/>
      <c r="W41" s="1398"/>
      <c r="X41" s="1398"/>
      <c r="Y41" s="1398"/>
      <c r="Z41" s="1398"/>
      <c r="AA41" s="1398"/>
      <c r="AB41" s="1398"/>
      <c r="AC41" s="1398"/>
      <c r="AD41" s="1398"/>
      <c r="AE41" s="1398"/>
    </row>
    <row r="42" spans="1:31" ht="15" customHeight="1" x14ac:dyDescent="0.3">
      <c r="A42" s="1398"/>
      <c r="B42" s="2162" t="s">
        <v>2543</v>
      </c>
      <c r="C42" s="2151"/>
      <c r="D42" s="2151"/>
      <c r="E42" s="2151"/>
      <c r="F42" s="2151"/>
      <c r="G42" s="2151"/>
      <c r="H42" s="2151"/>
      <c r="I42" s="2151"/>
      <c r="J42" s="2157"/>
      <c r="K42" s="2151"/>
      <c r="L42" s="2157"/>
      <c r="M42" s="2151"/>
      <c r="N42" s="2157"/>
      <c r="O42" s="2157"/>
      <c r="P42" s="2157"/>
      <c r="Q42" s="2157"/>
      <c r="R42" s="1398"/>
      <c r="S42" s="1398"/>
      <c r="T42" s="1398"/>
      <c r="U42" s="1398"/>
      <c r="V42" s="1398"/>
      <c r="W42" s="1398"/>
      <c r="X42" s="1398"/>
      <c r="Y42" s="1398"/>
      <c r="Z42" s="1398"/>
      <c r="AA42" s="1398"/>
      <c r="AB42" s="1398"/>
      <c r="AC42" s="1398"/>
      <c r="AD42" s="1398"/>
      <c r="AE42" s="1398"/>
    </row>
    <row r="43" spans="1:31" ht="15" customHeight="1" x14ac:dyDescent="0.3">
      <c r="A43" s="1398"/>
      <c r="B43" s="2163" t="s">
        <v>1760</v>
      </c>
      <c r="C43" s="2151"/>
      <c r="D43" s="2151"/>
      <c r="E43" s="2151"/>
      <c r="F43" s="2151"/>
      <c r="G43" s="2151"/>
      <c r="H43" s="2151"/>
      <c r="I43" s="2151"/>
      <c r="J43" s="2157"/>
      <c r="K43" s="2151"/>
      <c r="L43" s="2157"/>
      <c r="M43" s="2151"/>
      <c r="N43" s="2157"/>
      <c r="O43" s="2157"/>
      <c r="P43" s="2157"/>
      <c r="Q43" s="2157"/>
      <c r="R43" s="1398"/>
      <c r="S43" s="1398"/>
      <c r="T43" s="1398"/>
      <c r="U43" s="1398"/>
      <c r="V43" s="1398"/>
      <c r="W43" s="1398"/>
      <c r="X43" s="1398"/>
      <c r="Y43" s="1398"/>
      <c r="Z43" s="1398"/>
      <c r="AA43" s="1398"/>
      <c r="AB43" s="1398"/>
      <c r="AC43" s="1398"/>
      <c r="AD43" s="1398"/>
      <c r="AE43" s="1398"/>
    </row>
    <row r="44" spans="1:31" ht="15" customHeight="1" x14ac:dyDescent="0.3">
      <c r="A44" s="1398"/>
      <c r="B44" s="2162" t="s">
        <v>2543</v>
      </c>
      <c r="C44" s="2151"/>
      <c r="D44" s="2151"/>
      <c r="E44" s="2151"/>
      <c r="F44" s="2151"/>
      <c r="G44" s="2151"/>
      <c r="H44" s="2151"/>
      <c r="I44" s="2151"/>
      <c r="J44" s="2157"/>
      <c r="K44" s="2151"/>
      <c r="L44" s="2157"/>
      <c r="M44" s="2151"/>
      <c r="N44" s="2157"/>
      <c r="O44" s="2157"/>
      <c r="P44" s="2157"/>
      <c r="Q44" s="2157"/>
      <c r="R44" s="1398"/>
      <c r="S44" s="1398"/>
      <c r="T44" s="1398"/>
      <c r="U44" s="1398"/>
      <c r="V44" s="1398"/>
      <c r="W44" s="1398"/>
      <c r="X44" s="1398"/>
      <c r="Y44" s="1398"/>
      <c r="Z44" s="1398"/>
      <c r="AA44" s="1398"/>
      <c r="AB44" s="1398"/>
      <c r="AC44" s="1398"/>
      <c r="AD44" s="1398"/>
      <c r="AE44" s="1398"/>
    </row>
    <row r="45" spans="1:31" ht="15" customHeight="1" x14ac:dyDescent="0.3">
      <c r="A45" s="1398"/>
      <c r="B45" s="2164" t="s">
        <v>1941</v>
      </c>
      <c r="C45" s="2151"/>
      <c r="D45" s="2151"/>
      <c r="E45" s="2151"/>
      <c r="F45" s="2151"/>
      <c r="G45" s="2151"/>
      <c r="H45" s="2151"/>
      <c r="I45" s="2151"/>
      <c r="J45" s="2157"/>
      <c r="K45" s="2151"/>
      <c r="L45" s="2157"/>
      <c r="M45" s="2151"/>
      <c r="N45" s="2157"/>
      <c r="O45" s="2157"/>
      <c r="P45" s="2157"/>
      <c r="Q45" s="2157"/>
      <c r="R45" s="1398"/>
      <c r="S45" s="1398"/>
      <c r="T45" s="1398"/>
      <c r="U45" s="1398"/>
      <c r="V45" s="1398"/>
      <c r="W45" s="1398"/>
      <c r="X45" s="1398"/>
      <c r="Y45" s="1398"/>
      <c r="Z45" s="1398"/>
      <c r="AA45" s="1398"/>
      <c r="AB45" s="1398"/>
      <c r="AC45" s="1398"/>
      <c r="AD45" s="1398"/>
      <c r="AE45" s="1398"/>
    </row>
    <row r="46" spans="1:31" ht="15" customHeight="1" x14ac:dyDescent="0.35">
      <c r="A46" s="1398"/>
      <c r="B46" s="2181" t="s">
        <v>2542</v>
      </c>
      <c r="C46" s="2159" t="str">
        <f t="shared" ref="C46:I46" si="3">IF(AND(ISNUMBER(C47),ISNUMBER(C48)),C47+C48,"")</f>
        <v/>
      </c>
      <c r="D46" s="2159" t="str">
        <f t="shared" si="3"/>
        <v/>
      </c>
      <c r="E46" s="2159" t="str">
        <f t="shared" si="3"/>
        <v/>
      </c>
      <c r="F46" s="2159" t="str">
        <f t="shared" si="3"/>
        <v/>
      </c>
      <c r="G46" s="2159" t="str">
        <f t="shared" si="3"/>
        <v/>
      </c>
      <c r="H46" s="2159" t="str">
        <f t="shared" si="3"/>
        <v/>
      </c>
      <c r="I46" s="2159" t="str">
        <f t="shared" si="3"/>
        <v/>
      </c>
      <c r="J46" s="2157"/>
      <c r="K46" s="2159" t="str">
        <f>IF(AND(ISNUMBER(K47),ISNUMBER(K48)),K47+K48,"")</f>
        <v/>
      </c>
      <c r="L46" s="2157"/>
      <c r="M46" s="2159" t="str">
        <f>IF(AND(ISNUMBER(M47),ISNUMBER(M48)),M47+M48,"")</f>
        <v/>
      </c>
      <c r="N46" s="2157"/>
      <c r="O46" s="2157"/>
      <c r="P46" s="2157"/>
      <c r="Q46" s="2157"/>
      <c r="R46" s="1398"/>
      <c r="S46" s="1398"/>
      <c r="T46" s="1398"/>
      <c r="U46" s="1398"/>
      <c r="V46" s="1398"/>
      <c r="W46" s="1398"/>
      <c r="X46" s="1398"/>
      <c r="Y46" s="1398"/>
      <c r="Z46" s="1398"/>
      <c r="AA46" s="1398"/>
      <c r="AB46" s="1398"/>
      <c r="AC46" s="1398"/>
      <c r="AD46" s="1398"/>
      <c r="AE46" s="1398"/>
    </row>
    <row r="47" spans="1:31" ht="15" customHeight="1" x14ac:dyDescent="0.3">
      <c r="A47" s="1398"/>
      <c r="B47" s="2180" t="s">
        <v>2541</v>
      </c>
      <c r="C47" s="2151"/>
      <c r="D47" s="2151"/>
      <c r="E47" s="2151"/>
      <c r="F47" s="2151"/>
      <c r="G47" s="2151"/>
      <c r="H47" s="2151"/>
      <c r="I47" s="2151"/>
      <c r="J47" s="2157"/>
      <c r="K47" s="2151"/>
      <c r="L47" s="2157"/>
      <c r="M47" s="2151"/>
      <c r="N47" s="2157"/>
      <c r="O47" s="2157"/>
      <c r="P47" s="2157"/>
      <c r="Q47" s="2157"/>
      <c r="R47" s="1398"/>
      <c r="S47" s="1398"/>
      <c r="T47" s="1398"/>
      <c r="U47" s="1398"/>
      <c r="V47" s="1398"/>
      <c r="W47" s="1398"/>
      <c r="X47" s="1398"/>
      <c r="Y47" s="1398"/>
      <c r="Z47" s="1398"/>
      <c r="AA47" s="1398"/>
      <c r="AB47" s="1398"/>
      <c r="AC47" s="1398"/>
      <c r="AD47" s="1398"/>
      <c r="AE47" s="1398"/>
    </row>
    <row r="48" spans="1:31" ht="15" customHeight="1" x14ac:dyDescent="0.3">
      <c r="A48" s="1398"/>
      <c r="B48" s="2155" t="s">
        <v>1760</v>
      </c>
      <c r="C48" s="2151"/>
      <c r="D48" s="2151"/>
      <c r="E48" s="2151"/>
      <c r="F48" s="2151"/>
      <c r="G48" s="2151"/>
      <c r="H48" s="2151"/>
      <c r="I48" s="2151"/>
      <c r="J48" s="2157"/>
      <c r="K48" s="2151"/>
      <c r="L48" s="2157"/>
      <c r="M48" s="2151"/>
      <c r="N48" s="2157"/>
      <c r="O48" s="2157"/>
      <c r="P48" s="2157"/>
      <c r="Q48" s="2157"/>
      <c r="R48" s="1398"/>
      <c r="S48" s="1398"/>
      <c r="T48" s="1398"/>
      <c r="U48" s="1398"/>
      <c r="V48" s="1398"/>
      <c r="W48" s="1398"/>
      <c r="X48" s="1398"/>
      <c r="Y48" s="1398"/>
      <c r="Z48" s="1398"/>
      <c r="AA48" s="1398"/>
      <c r="AB48" s="1398"/>
      <c r="AC48" s="1398"/>
      <c r="AD48" s="1398"/>
      <c r="AE48" s="1398"/>
    </row>
    <row r="49" spans="1:31" ht="15" customHeight="1" x14ac:dyDescent="0.35">
      <c r="A49" s="1398"/>
      <c r="B49" s="2181" t="s">
        <v>2540</v>
      </c>
      <c r="C49" s="2159" t="str">
        <f t="shared" ref="C49:I49" si="4">IF(AND(ISNUMBER(C50),ISNUMBER(C51)),C50+C51,"")</f>
        <v/>
      </c>
      <c r="D49" s="2159" t="str">
        <f t="shared" si="4"/>
        <v/>
      </c>
      <c r="E49" s="2159" t="str">
        <f t="shared" si="4"/>
        <v/>
      </c>
      <c r="F49" s="2159" t="str">
        <f t="shared" si="4"/>
        <v/>
      </c>
      <c r="G49" s="2159" t="str">
        <f t="shared" si="4"/>
        <v/>
      </c>
      <c r="H49" s="2159" t="str">
        <f t="shared" si="4"/>
        <v/>
      </c>
      <c r="I49" s="2159" t="str">
        <f t="shared" si="4"/>
        <v/>
      </c>
      <c r="J49" s="2157"/>
      <c r="K49" s="2159" t="str">
        <f>IF(AND(ISNUMBER(K50),ISNUMBER(K51)),K50+K51,"")</f>
        <v/>
      </c>
      <c r="L49" s="2157"/>
      <c r="M49" s="2159" t="str">
        <f>IF(AND(ISNUMBER(M50),ISNUMBER(M51)),M50+M51,"")</f>
        <v/>
      </c>
      <c r="N49" s="2157"/>
      <c r="O49" s="2157"/>
      <c r="P49" s="2157"/>
      <c r="Q49" s="2157"/>
      <c r="R49" s="1398"/>
      <c r="S49" s="1398"/>
      <c r="T49" s="1398"/>
      <c r="U49" s="1398"/>
      <c r="V49" s="1398"/>
      <c r="W49" s="1398"/>
      <c r="X49" s="1398"/>
      <c r="Y49" s="1398"/>
      <c r="Z49" s="1398"/>
      <c r="AA49" s="1398"/>
      <c r="AB49" s="1398"/>
      <c r="AC49" s="1398"/>
      <c r="AD49" s="1398"/>
      <c r="AE49" s="1398"/>
    </row>
    <row r="50" spans="1:31" ht="15" customHeight="1" x14ac:dyDescent="0.3">
      <c r="A50" s="1398"/>
      <c r="B50" s="2155" t="s">
        <v>2539</v>
      </c>
      <c r="C50" s="2151"/>
      <c r="D50" s="2151"/>
      <c r="E50" s="2151"/>
      <c r="F50" s="2151"/>
      <c r="G50" s="2151"/>
      <c r="H50" s="2151"/>
      <c r="I50" s="2151"/>
      <c r="J50" s="2157"/>
      <c r="K50" s="2151"/>
      <c r="L50" s="2157"/>
      <c r="M50" s="2151"/>
      <c r="N50" s="2157"/>
      <c r="O50" s="2157"/>
      <c r="P50" s="2157"/>
      <c r="Q50" s="2157"/>
      <c r="R50" s="1398"/>
      <c r="S50" s="1398"/>
      <c r="T50" s="1398"/>
      <c r="U50" s="1398"/>
      <c r="V50" s="1398"/>
      <c r="W50" s="1398"/>
      <c r="X50" s="1398"/>
      <c r="Y50" s="1398"/>
      <c r="Z50" s="1398"/>
      <c r="AA50" s="1398"/>
      <c r="AB50" s="1398"/>
      <c r="AC50" s="1398"/>
      <c r="AD50" s="1398"/>
      <c r="AE50" s="1398"/>
    </row>
    <row r="51" spans="1:31" ht="15" customHeight="1" x14ac:dyDescent="0.3">
      <c r="A51" s="1398"/>
      <c r="B51" s="2155" t="s">
        <v>1760</v>
      </c>
      <c r="C51" s="2151"/>
      <c r="D51" s="2151"/>
      <c r="E51" s="2151"/>
      <c r="F51" s="2151"/>
      <c r="G51" s="2151"/>
      <c r="H51" s="2151"/>
      <c r="I51" s="2151"/>
      <c r="J51" s="2157"/>
      <c r="K51" s="2151"/>
      <c r="L51" s="2157"/>
      <c r="M51" s="2151"/>
      <c r="N51" s="2157"/>
      <c r="O51" s="2157"/>
      <c r="P51" s="2157"/>
      <c r="Q51" s="2157"/>
      <c r="R51" s="1398"/>
      <c r="S51" s="1398"/>
      <c r="T51" s="1398"/>
      <c r="U51" s="1398"/>
      <c r="V51" s="1398"/>
      <c r="W51" s="1398"/>
      <c r="X51" s="1398"/>
      <c r="Y51" s="1398"/>
      <c r="Z51" s="1398"/>
      <c r="AA51" s="1398"/>
      <c r="AB51" s="1398"/>
      <c r="AC51" s="1398"/>
      <c r="AD51" s="1398"/>
      <c r="AE51" s="1398"/>
    </row>
    <row r="52" spans="1:31" ht="15" customHeight="1" x14ac:dyDescent="0.35">
      <c r="A52" s="1398"/>
      <c r="B52" s="569" t="s">
        <v>59</v>
      </c>
      <c r="C52" s="2156">
        <f t="shared" ref="C52:Q52" si="5">IF(AND(ISNUMBER(C54),ISNUMBER(C53)),SUM(C53:C54),0)</f>
        <v>0</v>
      </c>
      <c r="D52" s="2156">
        <f t="shared" si="5"/>
        <v>0</v>
      </c>
      <c r="E52" s="2156">
        <f t="shared" si="5"/>
        <v>0</v>
      </c>
      <c r="F52" s="2156">
        <f t="shared" si="5"/>
        <v>0</v>
      </c>
      <c r="G52" s="2156">
        <f t="shared" si="5"/>
        <v>0</v>
      </c>
      <c r="H52" s="2156">
        <f t="shared" si="5"/>
        <v>0</v>
      </c>
      <c r="I52" s="2156">
        <f t="shared" si="5"/>
        <v>0</v>
      </c>
      <c r="J52" s="2156">
        <f t="shared" si="5"/>
        <v>0</v>
      </c>
      <c r="K52" s="2156">
        <f t="shared" si="5"/>
        <v>0</v>
      </c>
      <c r="L52" s="2156">
        <f t="shared" si="5"/>
        <v>0</v>
      </c>
      <c r="M52" s="2156">
        <f t="shared" si="5"/>
        <v>0</v>
      </c>
      <c r="N52" s="2156">
        <f t="shared" si="5"/>
        <v>0</v>
      </c>
      <c r="O52" s="2156">
        <f t="shared" si="5"/>
        <v>0</v>
      </c>
      <c r="P52" s="2156">
        <f t="shared" si="5"/>
        <v>0</v>
      </c>
      <c r="Q52" s="2156">
        <f t="shared" si="5"/>
        <v>0</v>
      </c>
      <c r="R52" s="1398"/>
      <c r="S52" s="1398"/>
      <c r="T52" s="1398"/>
      <c r="U52" s="1398"/>
      <c r="V52" s="1398"/>
      <c r="W52" s="1398"/>
      <c r="X52" s="1398"/>
      <c r="Y52" s="1398"/>
      <c r="Z52" s="1398"/>
      <c r="AA52" s="1398"/>
      <c r="AB52" s="1398"/>
      <c r="AC52" s="1398"/>
      <c r="AD52" s="1398"/>
      <c r="AE52" s="1398"/>
    </row>
    <row r="53" spans="1:31" ht="15" customHeight="1" x14ac:dyDescent="0.3">
      <c r="A53" s="1398"/>
      <c r="B53" s="2155" t="s">
        <v>2538</v>
      </c>
      <c r="C53" s="2151"/>
      <c r="D53" s="2151"/>
      <c r="E53" s="2151"/>
      <c r="F53" s="2151"/>
      <c r="G53" s="2151"/>
      <c r="H53" s="2151"/>
      <c r="I53" s="23"/>
      <c r="J53" s="2151"/>
      <c r="K53" s="2151"/>
      <c r="L53" s="2151"/>
      <c r="M53" s="2151"/>
      <c r="N53" s="2151"/>
      <c r="O53" s="2151"/>
      <c r="P53" s="2151"/>
      <c r="Q53" s="2151"/>
      <c r="R53" s="1398"/>
      <c r="S53" s="1398"/>
      <c r="T53" s="1398"/>
      <c r="U53" s="1398"/>
      <c r="V53" s="1398"/>
      <c r="W53" s="1398"/>
      <c r="X53" s="1398"/>
      <c r="Y53" s="1398"/>
      <c r="Z53" s="1398"/>
      <c r="AA53" s="1398"/>
      <c r="AB53" s="1398"/>
      <c r="AC53" s="1398"/>
      <c r="AD53" s="1398"/>
      <c r="AE53" s="1398"/>
    </row>
    <row r="54" spans="1:31" ht="15" customHeight="1" x14ac:dyDescent="0.3">
      <c r="A54" s="1398"/>
      <c r="B54" s="2155" t="s">
        <v>2537</v>
      </c>
      <c r="C54" s="2151"/>
      <c r="D54" s="2151"/>
      <c r="E54" s="2151"/>
      <c r="F54" s="2151"/>
      <c r="G54" s="2151"/>
      <c r="H54" s="2151"/>
      <c r="I54" s="23"/>
      <c r="J54" s="2151"/>
      <c r="K54" s="2151"/>
      <c r="L54" s="2151"/>
      <c r="M54" s="2151"/>
      <c r="N54" s="2151"/>
      <c r="O54" s="2151"/>
      <c r="P54" s="2151"/>
      <c r="Q54" s="2151"/>
      <c r="R54" s="1398"/>
      <c r="S54" s="1398"/>
      <c r="T54" s="1398"/>
      <c r="U54" s="1398"/>
      <c r="V54" s="1398"/>
      <c r="W54" s="1398"/>
      <c r="X54" s="1398"/>
      <c r="Y54" s="1398"/>
      <c r="Z54" s="1398"/>
      <c r="AA54" s="1398"/>
      <c r="AB54" s="1398"/>
      <c r="AC54" s="1398"/>
      <c r="AD54" s="1398"/>
      <c r="AE54" s="1398"/>
    </row>
    <row r="55" spans="1:31" ht="15" customHeight="1" x14ac:dyDescent="0.3">
      <c r="A55" s="1398"/>
      <c r="B55" s="2154" t="str">
        <f>"Check: row " &amp; ROW(B52) &amp;" = sum(row " &amp; ROW(B53) &amp; ", row "&amp; ROW(B54)&amp;")"</f>
        <v>Check: row 52 = sum(row 53, row 54)</v>
      </c>
      <c r="C55" s="2153" t="str">
        <f t="shared" ref="C55:Q55" si="6">IF(AND(ISNUMBER(C53), ISNUMBER(C54)), IF(C52=SUM(C53:C54), "Pass", "Fail"), "")</f>
        <v/>
      </c>
      <c r="D55" s="2153" t="str">
        <f t="shared" si="6"/>
        <v/>
      </c>
      <c r="E55" s="2153" t="str">
        <f t="shared" si="6"/>
        <v/>
      </c>
      <c r="F55" s="2153" t="str">
        <f t="shared" si="6"/>
        <v/>
      </c>
      <c r="G55" s="2153" t="str">
        <f t="shared" si="6"/>
        <v/>
      </c>
      <c r="H55" s="2153" t="str">
        <f t="shared" si="6"/>
        <v/>
      </c>
      <c r="I55" s="2153" t="str">
        <f t="shared" si="6"/>
        <v/>
      </c>
      <c r="J55" s="2153" t="str">
        <f t="shared" si="6"/>
        <v/>
      </c>
      <c r="K55" s="2153" t="str">
        <f t="shared" si="6"/>
        <v/>
      </c>
      <c r="L55" s="2153" t="str">
        <f t="shared" si="6"/>
        <v/>
      </c>
      <c r="M55" s="2153" t="str">
        <f t="shared" si="6"/>
        <v/>
      </c>
      <c r="N55" s="2153" t="str">
        <f t="shared" si="6"/>
        <v/>
      </c>
      <c r="O55" s="2153" t="str">
        <f t="shared" si="6"/>
        <v/>
      </c>
      <c r="P55" s="2153" t="str">
        <f t="shared" si="6"/>
        <v/>
      </c>
      <c r="Q55" s="2153" t="str">
        <f t="shared" si="6"/>
        <v/>
      </c>
      <c r="R55" s="1398"/>
      <c r="S55" s="1398"/>
      <c r="T55" s="1398"/>
      <c r="U55" s="1398"/>
      <c r="V55" s="1398"/>
      <c r="W55" s="1398"/>
      <c r="X55" s="1398"/>
      <c r="Y55" s="1398"/>
      <c r="Z55" s="1398"/>
      <c r="AA55" s="1398"/>
      <c r="AB55" s="1398"/>
      <c r="AC55" s="1398"/>
      <c r="AD55" s="1398"/>
      <c r="AE55" s="1398"/>
    </row>
    <row r="56" spans="1:31" ht="15" customHeight="1" x14ac:dyDescent="0.3">
      <c r="A56" s="1398"/>
      <c r="B56" s="2152" t="s">
        <v>2536</v>
      </c>
      <c r="C56" s="2151"/>
      <c r="D56" s="1398"/>
      <c r="E56" s="1398"/>
      <c r="F56" s="1398"/>
      <c r="G56" s="1398"/>
      <c r="H56" s="1398"/>
      <c r="I56" s="1398"/>
      <c r="J56" s="1398"/>
      <c r="K56" s="1398"/>
      <c r="L56" s="1398"/>
      <c r="M56" s="1398"/>
      <c r="N56" s="1398"/>
      <c r="O56" s="1398"/>
      <c r="P56" s="1398"/>
      <c r="Q56" s="1398"/>
      <c r="R56" s="1398"/>
      <c r="S56" s="1398"/>
      <c r="T56" s="1398"/>
      <c r="U56" s="1398"/>
      <c r="V56" s="1398"/>
      <c r="W56" s="1398"/>
      <c r="X56" s="1398"/>
      <c r="Y56" s="1398"/>
      <c r="Z56" s="1398"/>
      <c r="AA56" s="1398"/>
      <c r="AB56" s="1398"/>
      <c r="AC56" s="1398"/>
      <c r="AD56" s="1398"/>
      <c r="AE56" s="1398"/>
    </row>
    <row r="57" spans="1:31" ht="15" customHeight="1" x14ac:dyDescent="0.3">
      <c r="A57" s="1398"/>
      <c r="B57" s="2150" t="s">
        <v>2535</v>
      </c>
      <c r="C57" s="2149"/>
      <c r="D57" s="1398"/>
      <c r="E57" s="1398"/>
      <c r="F57" s="1398"/>
      <c r="G57" s="1398"/>
      <c r="H57" s="1398"/>
      <c r="I57" s="1398"/>
      <c r="J57" s="1398"/>
      <c r="K57" s="1398"/>
      <c r="L57" s="1398"/>
      <c r="M57" s="1398"/>
      <c r="N57" s="1398"/>
      <c r="O57" s="1398"/>
      <c r="P57" s="1398"/>
      <c r="Q57" s="1398"/>
      <c r="R57" s="1398"/>
      <c r="S57" s="1398"/>
      <c r="T57" s="1398"/>
      <c r="U57" s="1398"/>
      <c r="V57" s="1398"/>
      <c r="W57" s="1398"/>
      <c r="X57" s="1398"/>
      <c r="Y57" s="1398"/>
      <c r="Z57" s="1398"/>
      <c r="AA57" s="1398"/>
      <c r="AB57" s="1398"/>
      <c r="AC57" s="1398"/>
      <c r="AD57" s="1398"/>
      <c r="AE57" s="1398"/>
    </row>
    <row r="58" spans="1:31" ht="15" customHeight="1" x14ac:dyDescent="0.35">
      <c r="A58" s="1398"/>
      <c r="D58" s="1398"/>
      <c r="E58" s="1398"/>
      <c r="F58" s="1398"/>
      <c r="G58" s="1398"/>
      <c r="H58" s="1398"/>
      <c r="I58" s="1398"/>
      <c r="J58" s="1398"/>
      <c r="K58" s="1398"/>
      <c r="L58" s="1398"/>
      <c r="M58" s="1398"/>
      <c r="N58" s="1398"/>
      <c r="O58" s="1398"/>
      <c r="P58" s="1398"/>
      <c r="Q58" s="1398"/>
      <c r="R58" s="1398"/>
      <c r="S58" s="1398"/>
      <c r="T58" s="1398"/>
      <c r="U58" s="1398"/>
      <c r="V58" s="1398"/>
      <c r="W58" s="1398"/>
      <c r="X58" s="1398"/>
      <c r="Y58" s="1398"/>
      <c r="Z58" s="1398"/>
      <c r="AA58" s="1398"/>
      <c r="AB58" s="1398"/>
      <c r="AC58" s="1398"/>
      <c r="AD58" s="1398"/>
      <c r="AE58" s="1398"/>
    </row>
    <row r="59" spans="1:31" ht="19.5" customHeight="1" x14ac:dyDescent="0.3">
      <c r="A59" s="2196" t="s">
        <v>2589</v>
      </c>
      <c r="B59" s="2195"/>
      <c r="C59" s="2194" t="s">
        <v>2566</v>
      </c>
      <c r="D59" s="2173" t="str">
        <f>IF(ISBLANK($D$7),"",IF($D$7="No","Please leave Panel B"&amp;COLUMN($D$7)-2&amp;" empty","Please fill in Panel B"&amp;COLUMN($D$7)-2))</f>
        <v/>
      </c>
      <c r="E59" s="2193"/>
      <c r="F59" s="2193"/>
      <c r="G59" s="2193"/>
      <c r="H59" s="2193"/>
      <c r="I59" s="2193"/>
      <c r="J59" s="2193"/>
      <c r="K59" s="2193"/>
      <c r="L59" s="2193"/>
      <c r="M59" s="2193"/>
      <c r="N59" s="2193"/>
      <c r="O59" s="2193"/>
      <c r="P59" s="2193"/>
      <c r="Q59" s="2193"/>
      <c r="R59" s="1398"/>
      <c r="S59" s="1398"/>
      <c r="T59" s="1398"/>
      <c r="U59" s="1398"/>
      <c r="V59" s="1398"/>
      <c r="W59" s="1398"/>
      <c r="X59" s="1398"/>
      <c r="Y59" s="1398"/>
      <c r="Z59" s="1398"/>
      <c r="AA59" s="1398"/>
      <c r="AB59" s="1398"/>
      <c r="AC59" s="1398"/>
      <c r="AD59" s="1398"/>
      <c r="AE59" s="1398"/>
    </row>
    <row r="60" spans="1:31" ht="15" customHeight="1" x14ac:dyDescent="0.35">
      <c r="A60" s="1398"/>
      <c r="C60" s="2980" t="s">
        <v>207</v>
      </c>
      <c r="D60" s="2980"/>
      <c r="E60" s="2980"/>
      <c r="F60" s="2980"/>
      <c r="G60" s="2980"/>
      <c r="H60" s="2980"/>
      <c r="I60" s="2980"/>
      <c r="J60" s="2980"/>
      <c r="K60" s="2980"/>
      <c r="L60" s="2981"/>
      <c r="M60" s="2982" t="s">
        <v>2559</v>
      </c>
      <c r="N60" s="2984" t="s">
        <v>2565</v>
      </c>
      <c r="O60" s="2985"/>
      <c r="P60" s="2985"/>
      <c r="Q60" s="2985"/>
      <c r="R60" s="1398"/>
      <c r="S60" s="1398"/>
      <c r="T60" s="1398"/>
      <c r="U60" s="1398"/>
      <c r="V60" s="1398"/>
      <c r="W60" s="1398"/>
      <c r="X60" s="1398"/>
      <c r="Y60" s="1398"/>
      <c r="Z60" s="1398"/>
      <c r="AA60" s="1398"/>
      <c r="AB60" s="1398"/>
      <c r="AC60" s="1398"/>
      <c r="AD60" s="1398"/>
      <c r="AE60" s="1398"/>
    </row>
    <row r="61" spans="1:31" ht="15" customHeight="1" x14ac:dyDescent="0.35">
      <c r="A61" s="1398"/>
      <c r="B61" s="2172"/>
      <c r="C61" s="2967" t="s">
        <v>2564</v>
      </c>
      <c r="D61" s="2973" t="s">
        <v>465</v>
      </c>
      <c r="E61" s="2974"/>
      <c r="F61" s="2974"/>
      <c r="G61" s="2974"/>
      <c r="H61" s="2975"/>
      <c r="I61" s="2969" t="s">
        <v>2563</v>
      </c>
      <c r="J61" s="2969" t="s">
        <v>2562</v>
      </c>
      <c r="K61" s="2969" t="s">
        <v>2561</v>
      </c>
      <c r="L61" s="2969" t="s">
        <v>2560</v>
      </c>
      <c r="M61" s="2983"/>
      <c r="N61" s="2978" t="s">
        <v>207</v>
      </c>
      <c r="O61" s="2978" t="s">
        <v>2559</v>
      </c>
      <c r="P61" s="2969" t="s">
        <v>59</v>
      </c>
      <c r="Q61" s="2971" t="s">
        <v>2558</v>
      </c>
      <c r="R61" s="1398"/>
      <c r="S61" s="1398"/>
      <c r="T61" s="1398"/>
      <c r="U61" s="1398"/>
      <c r="V61" s="1398"/>
      <c r="W61" s="1398"/>
      <c r="X61" s="1398"/>
      <c r="Y61" s="1398"/>
      <c r="Z61" s="1398"/>
      <c r="AA61" s="1398"/>
      <c r="AB61" s="1398"/>
      <c r="AC61" s="1398"/>
      <c r="AD61" s="1398"/>
      <c r="AE61" s="1398"/>
    </row>
    <row r="62" spans="1:31" ht="48.6" customHeight="1" x14ac:dyDescent="0.35">
      <c r="A62" s="1398"/>
      <c r="B62" s="2171"/>
      <c r="C62" s="2968"/>
      <c r="D62" s="2170" t="s">
        <v>2557</v>
      </c>
      <c r="E62" s="2170" t="s">
        <v>2556</v>
      </c>
      <c r="F62" s="2170" t="s">
        <v>2555</v>
      </c>
      <c r="G62" s="2170" t="s">
        <v>2554</v>
      </c>
      <c r="H62" s="2170" t="s">
        <v>59</v>
      </c>
      <c r="I62" s="2970"/>
      <c r="J62" s="2970"/>
      <c r="K62" s="2970"/>
      <c r="L62" s="2970"/>
      <c r="M62" s="2970"/>
      <c r="N62" s="2979"/>
      <c r="O62" s="2979"/>
      <c r="P62" s="2970"/>
      <c r="Q62" s="2972"/>
      <c r="R62" s="1398"/>
      <c r="S62" s="1398"/>
      <c r="T62" s="1398"/>
      <c r="U62" s="1398"/>
      <c r="V62" s="1398"/>
      <c r="W62" s="1398"/>
      <c r="X62" s="1398"/>
      <c r="Y62" s="1398"/>
      <c r="Z62" s="1398"/>
      <c r="AA62" s="1398"/>
      <c r="AB62" s="1398"/>
      <c r="AC62" s="1398"/>
      <c r="AD62" s="1398"/>
      <c r="AE62" s="1398"/>
    </row>
    <row r="63" spans="1:31" ht="15" customHeight="1" x14ac:dyDescent="0.35">
      <c r="A63" s="1398"/>
      <c r="B63" s="2179" t="s">
        <v>2553</v>
      </c>
      <c r="C63" s="2168" t="str">
        <f t="shared" ref="C63:I63" si="7">IF(AND(ISNUMBER(C76),ISNUMBER(C72),ISNUMBER(C74),ISNUMBER(C64),ISNUMBER(C68),ISNUMBER(C66),ISNUMBER(C70),ISNUMBER(C78)),SUM(C64,C66,C68,C70,C72,C74,C76,C78),"")</f>
        <v/>
      </c>
      <c r="D63" s="2168" t="str">
        <f t="shared" si="7"/>
        <v/>
      </c>
      <c r="E63" s="2168" t="str">
        <f t="shared" si="7"/>
        <v/>
      </c>
      <c r="F63" s="2168" t="str">
        <f t="shared" si="7"/>
        <v/>
      </c>
      <c r="G63" s="2168" t="str">
        <f t="shared" si="7"/>
        <v/>
      </c>
      <c r="H63" s="2168" t="str">
        <f t="shared" si="7"/>
        <v/>
      </c>
      <c r="I63" s="2168" t="str">
        <f t="shared" si="7"/>
        <v/>
      </c>
      <c r="J63" s="2157"/>
      <c r="K63" s="2168" t="str">
        <f>IF(AND(ISNUMBER(K76),ISNUMBER(K72),ISNUMBER(K74),ISNUMBER(K64),ISNUMBER(K68),ISNUMBER(K66),ISNUMBER(K70),ISNUMBER(K78)),SUM(K64,K66,K68,K70,K72,K74,K76,K78),"")</f>
        <v/>
      </c>
      <c r="L63" s="2157"/>
      <c r="M63" s="2168" t="str">
        <f>IF(AND(ISNUMBER(M76),ISNUMBER(M72),ISNUMBER(M74),ISNUMBER(M64),ISNUMBER(M68),ISNUMBER(M66),ISNUMBER(M70),ISNUMBER(M78)),SUM(M64,M66,M68,M70,M72,M74,M76,M78),"")</f>
        <v/>
      </c>
      <c r="N63" s="2167"/>
      <c r="O63" s="2167"/>
      <c r="P63" s="2167"/>
      <c r="Q63" s="2167"/>
      <c r="R63" s="1398"/>
      <c r="S63" s="1398"/>
      <c r="T63" s="1398"/>
      <c r="U63" s="1398"/>
      <c r="V63" s="1398"/>
      <c r="W63" s="1398"/>
      <c r="X63" s="1398"/>
      <c r="Y63" s="1398"/>
      <c r="Z63" s="1398"/>
      <c r="AA63" s="1398"/>
      <c r="AB63" s="1398"/>
      <c r="AC63" s="1398"/>
      <c r="AD63" s="1398"/>
      <c r="AE63" s="1398"/>
    </row>
    <row r="64" spans="1:31" ht="15" customHeight="1" x14ac:dyDescent="0.3">
      <c r="A64" s="1398"/>
      <c r="B64" s="2163" t="s">
        <v>2552</v>
      </c>
      <c r="C64" s="2151"/>
      <c r="D64" s="2151"/>
      <c r="E64" s="2151"/>
      <c r="F64" s="2151"/>
      <c r="G64" s="2151"/>
      <c r="H64" s="2151"/>
      <c r="I64" s="2151"/>
      <c r="J64" s="2157"/>
      <c r="K64" s="2151"/>
      <c r="L64" s="2157"/>
      <c r="M64" s="2151"/>
      <c r="N64" s="2157"/>
      <c r="O64" s="2157"/>
      <c r="P64" s="2157"/>
      <c r="Q64" s="2157"/>
      <c r="R64" s="1398"/>
      <c r="S64" s="1398"/>
      <c r="T64" s="1398"/>
      <c r="U64" s="1398"/>
      <c r="V64" s="1398"/>
      <c r="W64" s="1398"/>
      <c r="X64" s="1398"/>
      <c r="Y64" s="1398"/>
      <c r="Z64" s="1398"/>
      <c r="AA64" s="1398"/>
      <c r="AB64" s="1398"/>
      <c r="AC64" s="1398"/>
      <c r="AD64" s="1398"/>
      <c r="AE64" s="1398"/>
    </row>
    <row r="65" spans="1:31" ht="15" customHeight="1" x14ac:dyDescent="0.3">
      <c r="A65" s="1398"/>
      <c r="B65" s="2162" t="s">
        <v>2543</v>
      </c>
      <c r="C65" s="2151"/>
      <c r="D65" s="2151"/>
      <c r="E65" s="2151"/>
      <c r="F65" s="2151"/>
      <c r="G65" s="2151"/>
      <c r="H65" s="2151"/>
      <c r="I65" s="2151"/>
      <c r="J65" s="2157"/>
      <c r="K65" s="2151"/>
      <c r="L65" s="2157"/>
      <c r="M65" s="2151"/>
      <c r="N65" s="2157"/>
      <c r="O65" s="2157"/>
      <c r="P65" s="2157"/>
      <c r="Q65" s="2157"/>
      <c r="R65" s="1398"/>
      <c r="S65" s="1398"/>
      <c r="T65" s="1398"/>
      <c r="U65" s="1398"/>
      <c r="V65" s="1398"/>
      <c r="W65" s="1398"/>
      <c r="X65" s="1398"/>
      <c r="Y65" s="1398"/>
      <c r="Z65" s="1398"/>
      <c r="AA65" s="1398"/>
      <c r="AB65" s="1398"/>
      <c r="AC65" s="1398"/>
      <c r="AD65" s="1398"/>
      <c r="AE65" s="1398"/>
    </row>
    <row r="66" spans="1:31" ht="15" customHeight="1" x14ac:dyDescent="0.3">
      <c r="A66" s="1398"/>
      <c r="B66" s="2163" t="s">
        <v>2551</v>
      </c>
      <c r="C66" s="2151"/>
      <c r="D66" s="2151"/>
      <c r="E66" s="2151"/>
      <c r="F66" s="2151"/>
      <c r="G66" s="2151"/>
      <c r="H66" s="2151"/>
      <c r="I66" s="2151"/>
      <c r="J66" s="2157"/>
      <c r="K66" s="2151"/>
      <c r="L66" s="2157"/>
      <c r="M66" s="2151"/>
      <c r="N66" s="2157"/>
      <c r="O66" s="2157"/>
      <c r="P66" s="2157"/>
      <c r="Q66" s="2157"/>
      <c r="R66" s="1398"/>
      <c r="S66" s="1398"/>
      <c r="T66" s="1398"/>
      <c r="U66" s="1398"/>
      <c r="V66" s="1398"/>
      <c r="W66" s="1398"/>
      <c r="X66" s="1398"/>
      <c r="Y66" s="1398"/>
      <c r="Z66" s="1398"/>
      <c r="AA66" s="1398"/>
      <c r="AB66" s="1398"/>
      <c r="AC66" s="1398"/>
      <c r="AD66" s="1398"/>
      <c r="AE66" s="1398"/>
    </row>
    <row r="67" spans="1:31" ht="15" customHeight="1" x14ac:dyDescent="0.3">
      <c r="A67" s="1398"/>
      <c r="B67" s="2162" t="s">
        <v>2543</v>
      </c>
      <c r="C67" s="2151"/>
      <c r="D67" s="2151"/>
      <c r="E67" s="2151"/>
      <c r="F67" s="2151"/>
      <c r="G67" s="2151"/>
      <c r="H67" s="2151"/>
      <c r="I67" s="2151"/>
      <c r="J67" s="2157"/>
      <c r="K67" s="2151"/>
      <c r="L67" s="2157"/>
      <c r="M67" s="2151"/>
      <c r="N67" s="2157"/>
      <c r="O67" s="2157"/>
      <c r="P67" s="2157"/>
      <c r="Q67" s="2157"/>
      <c r="R67" s="1398"/>
      <c r="S67" s="1398"/>
      <c r="T67" s="1398"/>
      <c r="U67" s="1398"/>
      <c r="V67" s="1398"/>
      <c r="W67" s="1398"/>
      <c r="X67" s="1398"/>
      <c r="Y67" s="1398"/>
      <c r="Z67" s="1398"/>
      <c r="AA67" s="1398"/>
      <c r="AB67" s="1398"/>
      <c r="AC67" s="1398"/>
      <c r="AD67" s="1398"/>
      <c r="AE67" s="1398"/>
    </row>
    <row r="68" spans="1:31" ht="15" customHeight="1" x14ac:dyDescent="0.3">
      <c r="A68" s="1398"/>
      <c r="B68" s="2163" t="s">
        <v>2550</v>
      </c>
      <c r="C68" s="2151"/>
      <c r="D68" s="2151"/>
      <c r="E68" s="2151"/>
      <c r="F68" s="2151"/>
      <c r="G68" s="2151"/>
      <c r="H68" s="2151"/>
      <c r="I68" s="2151"/>
      <c r="J68" s="2157"/>
      <c r="K68" s="2151"/>
      <c r="L68" s="2157"/>
      <c r="M68" s="2151"/>
      <c r="N68" s="2157"/>
      <c r="O68" s="2157"/>
      <c r="P68" s="2157"/>
      <c r="Q68" s="2157"/>
      <c r="R68" s="1398"/>
      <c r="S68" s="1398"/>
      <c r="T68" s="1398"/>
      <c r="U68" s="1398"/>
      <c r="V68" s="1398"/>
      <c r="W68" s="1398"/>
      <c r="X68" s="1398"/>
      <c r="Y68" s="1398"/>
      <c r="Z68" s="1398"/>
      <c r="AA68" s="1398"/>
      <c r="AB68" s="1398"/>
      <c r="AC68" s="1398"/>
      <c r="AD68" s="1398"/>
      <c r="AE68" s="1398"/>
    </row>
    <row r="69" spans="1:31" ht="15" customHeight="1" x14ac:dyDescent="0.3">
      <c r="A69" s="1398"/>
      <c r="B69" s="2162" t="s">
        <v>2543</v>
      </c>
      <c r="C69" s="2151"/>
      <c r="D69" s="2151"/>
      <c r="E69" s="2151"/>
      <c r="F69" s="2151"/>
      <c r="G69" s="2151"/>
      <c r="H69" s="2151"/>
      <c r="I69" s="2151"/>
      <c r="J69" s="2157"/>
      <c r="K69" s="2151"/>
      <c r="L69" s="2157"/>
      <c r="M69" s="2151"/>
      <c r="N69" s="2157"/>
      <c r="O69" s="2157"/>
      <c r="P69" s="2157"/>
      <c r="Q69" s="2157"/>
      <c r="R69" s="1398"/>
      <c r="S69" s="1398"/>
      <c r="T69" s="1398"/>
      <c r="U69" s="1398"/>
      <c r="V69" s="1398"/>
      <c r="W69" s="1398"/>
      <c r="X69" s="1398"/>
      <c r="Y69" s="1398"/>
      <c r="Z69" s="1398"/>
      <c r="AA69" s="1398"/>
      <c r="AB69" s="1398"/>
      <c r="AC69" s="1398"/>
      <c r="AD69" s="1398"/>
      <c r="AE69" s="1398"/>
    </row>
    <row r="70" spans="1:31" ht="15" customHeight="1" x14ac:dyDescent="0.3">
      <c r="A70" s="1398"/>
      <c r="B70" s="2163" t="s">
        <v>2549</v>
      </c>
      <c r="C70" s="2151"/>
      <c r="D70" s="2151"/>
      <c r="E70" s="2151"/>
      <c r="F70" s="2151"/>
      <c r="G70" s="2151"/>
      <c r="H70" s="2151"/>
      <c r="I70" s="2151"/>
      <c r="J70" s="2157"/>
      <c r="K70" s="2151"/>
      <c r="L70" s="2157"/>
      <c r="M70" s="2151"/>
      <c r="N70" s="2157"/>
      <c r="O70" s="2157"/>
      <c r="P70" s="2157"/>
      <c r="Q70" s="2157"/>
      <c r="R70" s="1398"/>
      <c r="S70" s="1398"/>
      <c r="T70" s="1398"/>
      <c r="U70" s="1398"/>
      <c r="V70" s="1398"/>
      <c r="W70" s="1398"/>
      <c r="X70" s="1398"/>
      <c r="Y70" s="1398"/>
      <c r="Z70" s="1398"/>
      <c r="AA70" s="1398"/>
      <c r="AB70" s="1398"/>
      <c r="AC70" s="1398"/>
      <c r="AD70" s="1398"/>
      <c r="AE70" s="1398"/>
    </row>
    <row r="71" spans="1:31" ht="15" customHeight="1" x14ac:dyDescent="0.3">
      <c r="A71" s="1398"/>
      <c r="B71" s="2162" t="s">
        <v>2543</v>
      </c>
      <c r="C71" s="2151"/>
      <c r="D71" s="2151"/>
      <c r="E71" s="2151"/>
      <c r="F71" s="2151"/>
      <c r="G71" s="2151"/>
      <c r="H71" s="2151"/>
      <c r="I71" s="2151"/>
      <c r="J71" s="2157"/>
      <c r="K71" s="2151"/>
      <c r="L71" s="2157"/>
      <c r="M71" s="2151"/>
      <c r="N71" s="2157"/>
      <c r="O71" s="2157"/>
      <c r="P71" s="2157"/>
      <c r="Q71" s="2157"/>
      <c r="R71" s="1398"/>
      <c r="S71" s="1398"/>
      <c r="T71" s="1398"/>
      <c r="U71" s="1398"/>
      <c r="V71" s="1398"/>
      <c r="W71" s="1398"/>
      <c r="X71" s="1398"/>
      <c r="Y71" s="1398"/>
      <c r="Z71" s="1398"/>
      <c r="AA71" s="1398"/>
      <c r="AB71" s="1398"/>
      <c r="AC71" s="1398"/>
      <c r="AD71" s="1398"/>
      <c r="AE71" s="1398"/>
    </row>
    <row r="72" spans="1:31" ht="15" customHeight="1" x14ac:dyDescent="0.35">
      <c r="A72" s="1398"/>
      <c r="B72" s="2192" t="s">
        <v>2548</v>
      </c>
      <c r="C72" s="2151"/>
      <c r="D72" s="2151"/>
      <c r="E72" s="2151"/>
      <c r="F72" s="2151"/>
      <c r="G72" s="2151"/>
      <c r="H72" s="2151"/>
      <c r="I72" s="2151"/>
      <c r="J72" s="2157"/>
      <c r="K72" s="2151"/>
      <c r="L72" s="2157"/>
      <c r="M72" s="2151"/>
      <c r="N72" s="2157"/>
      <c r="O72" s="2157"/>
      <c r="P72" s="2157"/>
      <c r="Q72" s="2157"/>
      <c r="R72" s="1398"/>
      <c r="S72" s="1398"/>
      <c r="T72" s="1398"/>
      <c r="U72" s="1398"/>
      <c r="V72" s="1398"/>
      <c r="W72" s="1398"/>
      <c r="X72" s="1398"/>
      <c r="Y72" s="1398"/>
      <c r="Z72" s="1398"/>
      <c r="AA72" s="1398"/>
      <c r="AB72" s="1398"/>
      <c r="AC72" s="1398"/>
      <c r="AD72" s="1398"/>
      <c r="AE72" s="1398"/>
    </row>
    <row r="73" spans="1:31" ht="15" customHeight="1" x14ac:dyDescent="0.3">
      <c r="A73" s="1398"/>
      <c r="B73" s="2162" t="s">
        <v>2543</v>
      </c>
      <c r="C73" s="2151"/>
      <c r="D73" s="2151"/>
      <c r="E73" s="2151"/>
      <c r="F73" s="2151"/>
      <c r="G73" s="2151"/>
      <c r="H73" s="2151"/>
      <c r="I73" s="2151"/>
      <c r="J73" s="2157"/>
      <c r="K73" s="2151"/>
      <c r="L73" s="2157"/>
      <c r="M73" s="2151"/>
      <c r="N73" s="2157"/>
      <c r="O73" s="2157"/>
      <c r="P73" s="2157"/>
      <c r="Q73" s="2157"/>
      <c r="R73" s="1398"/>
      <c r="S73" s="1398"/>
      <c r="T73" s="1398"/>
      <c r="U73" s="1398"/>
      <c r="V73" s="1398"/>
      <c r="W73" s="1398"/>
      <c r="X73" s="1398"/>
      <c r="Y73" s="1398"/>
      <c r="Z73" s="1398"/>
      <c r="AA73" s="1398"/>
      <c r="AB73" s="1398"/>
      <c r="AC73" s="1398"/>
      <c r="AD73" s="1398"/>
      <c r="AE73" s="1398"/>
    </row>
    <row r="74" spans="1:31" ht="15" customHeight="1" x14ac:dyDescent="0.3">
      <c r="A74" s="1398"/>
      <c r="B74" s="2163" t="s">
        <v>2547</v>
      </c>
      <c r="C74" s="2151"/>
      <c r="D74" s="2151"/>
      <c r="E74" s="2151"/>
      <c r="F74" s="2151"/>
      <c r="G74" s="2151"/>
      <c r="H74" s="2151"/>
      <c r="I74" s="2151"/>
      <c r="J74" s="2157"/>
      <c r="K74" s="2151"/>
      <c r="L74" s="2157"/>
      <c r="M74" s="2151"/>
      <c r="N74" s="2157"/>
      <c r="O74" s="2157"/>
      <c r="P74" s="2157"/>
      <c r="Q74" s="2157"/>
      <c r="R74" s="1398"/>
      <c r="S74" s="1398"/>
      <c r="T74" s="1398"/>
      <c r="U74" s="1398"/>
      <c r="V74" s="1398"/>
      <c r="W74" s="1398"/>
      <c r="X74" s="1398"/>
      <c r="Y74" s="1398"/>
      <c r="Z74" s="1398"/>
      <c r="AA74" s="1398"/>
      <c r="AB74" s="1398"/>
      <c r="AC74" s="1398"/>
      <c r="AD74" s="1398"/>
      <c r="AE74" s="1398"/>
    </row>
    <row r="75" spans="1:31" ht="15" customHeight="1" x14ac:dyDescent="0.3">
      <c r="A75" s="1398"/>
      <c r="B75" s="2162" t="s">
        <v>2543</v>
      </c>
      <c r="C75" s="2151"/>
      <c r="D75" s="2151"/>
      <c r="E75" s="2151"/>
      <c r="F75" s="2151"/>
      <c r="G75" s="2151"/>
      <c r="H75" s="2151"/>
      <c r="I75" s="2151"/>
      <c r="J75" s="2157"/>
      <c r="K75" s="2151"/>
      <c r="L75" s="2157"/>
      <c r="M75" s="2151"/>
      <c r="N75" s="2157"/>
      <c r="O75" s="2157"/>
      <c r="P75" s="2157"/>
      <c r="Q75" s="2157"/>
      <c r="R75" s="1398"/>
      <c r="S75" s="1398"/>
      <c r="T75" s="1398"/>
      <c r="U75" s="1398"/>
      <c r="V75" s="1398"/>
      <c r="W75" s="1398"/>
      <c r="X75" s="1398"/>
      <c r="Y75" s="1398"/>
      <c r="Z75" s="1398"/>
      <c r="AA75" s="1398"/>
      <c r="AB75" s="1398"/>
      <c r="AC75" s="1398"/>
      <c r="AD75" s="1398"/>
      <c r="AE75" s="1398"/>
    </row>
    <row r="76" spans="1:31" ht="15" customHeight="1" x14ac:dyDescent="0.3">
      <c r="A76" s="1398"/>
      <c r="B76" s="2166" t="s">
        <v>2546</v>
      </c>
      <c r="C76" s="2151"/>
      <c r="D76" s="2151"/>
      <c r="E76" s="2151"/>
      <c r="F76" s="2151"/>
      <c r="G76" s="2151"/>
      <c r="H76" s="2151"/>
      <c r="I76" s="2151"/>
      <c r="J76" s="2157"/>
      <c r="K76" s="2151"/>
      <c r="L76" s="2157"/>
      <c r="M76" s="2151"/>
      <c r="N76" s="2157"/>
      <c r="O76" s="2157"/>
      <c r="P76" s="2157"/>
      <c r="Q76" s="2157"/>
      <c r="R76" s="1398"/>
      <c r="S76" s="1398"/>
      <c r="T76" s="1398"/>
      <c r="U76" s="1398"/>
      <c r="V76" s="1398"/>
      <c r="W76" s="1398"/>
      <c r="X76" s="1398"/>
      <c r="Y76" s="1398"/>
      <c r="Z76" s="1398"/>
      <c r="AA76" s="1398"/>
      <c r="AB76" s="1398"/>
      <c r="AC76" s="1398"/>
      <c r="AD76" s="1398"/>
      <c r="AE76" s="1398"/>
    </row>
    <row r="77" spans="1:31" ht="15" customHeight="1" x14ac:dyDescent="0.3">
      <c r="A77" s="1398"/>
      <c r="B77" s="2162" t="s">
        <v>2543</v>
      </c>
      <c r="C77" s="2151"/>
      <c r="D77" s="2151"/>
      <c r="E77" s="2151"/>
      <c r="F77" s="2151"/>
      <c r="G77" s="2151"/>
      <c r="H77" s="2151"/>
      <c r="I77" s="2151"/>
      <c r="J77" s="2157"/>
      <c r="K77" s="2151"/>
      <c r="L77" s="2157"/>
      <c r="M77" s="2151"/>
      <c r="N77" s="2157"/>
      <c r="O77" s="2157"/>
      <c r="P77" s="2157"/>
      <c r="Q77" s="2157"/>
      <c r="R77" s="1398"/>
      <c r="S77" s="1398"/>
      <c r="T77" s="1398"/>
      <c r="U77" s="1398"/>
      <c r="V77" s="1398"/>
      <c r="W77" s="1398"/>
      <c r="X77" s="1398"/>
      <c r="Y77" s="1398"/>
      <c r="Z77" s="1398"/>
      <c r="AA77" s="1398"/>
      <c r="AB77" s="1398"/>
      <c r="AC77" s="1398"/>
      <c r="AD77" s="1398"/>
      <c r="AE77" s="1398"/>
    </row>
    <row r="78" spans="1:31" ht="15" customHeight="1" x14ac:dyDescent="0.3">
      <c r="A78" s="1398"/>
      <c r="B78" s="2163" t="s">
        <v>1760</v>
      </c>
      <c r="C78" s="2151"/>
      <c r="D78" s="2151"/>
      <c r="E78" s="2151"/>
      <c r="F78" s="2151"/>
      <c r="G78" s="2151"/>
      <c r="H78" s="2151"/>
      <c r="I78" s="2151"/>
      <c r="J78" s="2157"/>
      <c r="K78" s="2151"/>
      <c r="L78" s="2157"/>
      <c r="M78" s="2151"/>
      <c r="N78" s="2157"/>
      <c r="O78" s="2157"/>
      <c r="P78" s="2157"/>
      <c r="Q78" s="2157"/>
      <c r="R78" s="1398"/>
      <c r="S78" s="1398"/>
      <c r="T78" s="1398"/>
      <c r="U78" s="1398"/>
      <c r="V78" s="1398"/>
      <c r="W78" s="1398"/>
      <c r="X78" s="1398"/>
      <c r="Y78" s="1398"/>
      <c r="Z78" s="1398"/>
      <c r="AA78" s="1398"/>
      <c r="AB78" s="1398"/>
      <c r="AC78" s="1398"/>
      <c r="AD78" s="1398"/>
      <c r="AE78" s="1398"/>
    </row>
    <row r="79" spans="1:31" ht="15" customHeight="1" x14ac:dyDescent="0.3">
      <c r="A79" s="1398"/>
      <c r="B79" s="2162" t="s">
        <v>2543</v>
      </c>
      <c r="C79" s="2151"/>
      <c r="D79" s="2151"/>
      <c r="E79" s="2151"/>
      <c r="F79" s="2151"/>
      <c r="G79" s="2151"/>
      <c r="H79" s="2151"/>
      <c r="I79" s="2151"/>
      <c r="J79" s="2157"/>
      <c r="K79" s="2151"/>
      <c r="L79" s="2157"/>
      <c r="M79" s="2151"/>
      <c r="N79" s="2157"/>
      <c r="O79" s="2157"/>
      <c r="P79" s="2157"/>
      <c r="Q79" s="2157"/>
      <c r="R79" s="1398"/>
      <c r="S79" s="1398"/>
      <c r="T79" s="1398"/>
      <c r="U79" s="1398"/>
      <c r="V79" s="1398"/>
      <c r="W79" s="1398"/>
      <c r="X79" s="1398"/>
      <c r="Y79" s="1398"/>
      <c r="Z79" s="1398"/>
      <c r="AA79" s="1398"/>
      <c r="AB79" s="1398"/>
      <c r="AC79" s="1398"/>
      <c r="AD79" s="1398"/>
      <c r="AE79" s="1398"/>
    </row>
    <row r="80" spans="1:31" ht="15" customHeight="1" x14ac:dyDescent="0.35">
      <c r="A80" s="1398"/>
      <c r="B80" s="2164" t="s">
        <v>2545</v>
      </c>
      <c r="C80" s="2159" t="str">
        <f t="shared" ref="C80:I80" si="8">IF(AND(ISNUMBER(C81),ISNUMBER(C83)),C81+C83,"")</f>
        <v/>
      </c>
      <c r="D80" s="2159" t="str">
        <f t="shared" si="8"/>
        <v/>
      </c>
      <c r="E80" s="2159" t="str">
        <f t="shared" si="8"/>
        <v/>
      </c>
      <c r="F80" s="2159" t="str">
        <f t="shared" si="8"/>
        <v/>
      </c>
      <c r="G80" s="2159" t="str">
        <f t="shared" si="8"/>
        <v/>
      </c>
      <c r="H80" s="2159" t="str">
        <f t="shared" si="8"/>
        <v/>
      </c>
      <c r="I80" s="2159" t="str">
        <f t="shared" si="8"/>
        <v/>
      </c>
      <c r="J80" s="2157"/>
      <c r="K80" s="2159" t="str">
        <f>IF(AND(ISNUMBER(K81),ISNUMBER(K83)),K81+K83,"")</f>
        <v/>
      </c>
      <c r="L80" s="2157"/>
      <c r="M80" s="2159" t="str">
        <f>IF(AND(ISNUMBER(M81),ISNUMBER(M83)),M81+M83,"")</f>
        <v/>
      </c>
      <c r="N80" s="2157"/>
      <c r="O80" s="2157"/>
      <c r="P80" s="2157"/>
      <c r="Q80" s="2157"/>
      <c r="R80" s="1398"/>
      <c r="S80" s="1398"/>
      <c r="T80" s="1398"/>
      <c r="U80" s="1398"/>
      <c r="V80" s="1398"/>
      <c r="W80" s="1398"/>
      <c r="X80" s="1398"/>
      <c r="Y80" s="1398"/>
      <c r="Z80" s="1398"/>
      <c r="AA80" s="1398"/>
      <c r="AB80" s="1398"/>
      <c r="AC80" s="1398"/>
      <c r="AD80" s="1398"/>
      <c r="AE80" s="1398"/>
    </row>
    <row r="81" spans="1:31" ht="15" customHeight="1" x14ac:dyDescent="0.3">
      <c r="A81" s="1398"/>
      <c r="B81" s="2163" t="s">
        <v>2544</v>
      </c>
      <c r="C81" s="2151"/>
      <c r="D81" s="2151"/>
      <c r="E81" s="2151"/>
      <c r="F81" s="2151"/>
      <c r="G81" s="2151"/>
      <c r="H81" s="2151"/>
      <c r="I81" s="2151"/>
      <c r="J81" s="2157"/>
      <c r="K81" s="2151"/>
      <c r="L81" s="2157"/>
      <c r="M81" s="2151"/>
      <c r="N81" s="2157"/>
      <c r="O81" s="2157"/>
      <c r="P81" s="2157"/>
      <c r="Q81" s="2157"/>
      <c r="R81" s="1398"/>
      <c r="S81" s="1398"/>
      <c r="T81" s="1398"/>
      <c r="U81" s="1398"/>
      <c r="V81" s="1398"/>
      <c r="W81" s="1398"/>
      <c r="X81" s="1398"/>
      <c r="Y81" s="1398"/>
      <c r="Z81" s="1398"/>
      <c r="AA81" s="1398"/>
      <c r="AB81" s="1398"/>
      <c r="AC81" s="1398"/>
      <c r="AD81" s="1398"/>
      <c r="AE81" s="1398"/>
    </row>
    <row r="82" spans="1:31" ht="15" customHeight="1" x14ac:dyDescent="0.3">
      <c r="A82" s="1398"/>
      <c r="B82" s="2162" t="s">
        <v>2543</v>
      </c>
      <c r="C82" s="2151"/>
      <c r="D82" s="2151"/>
      <c r="E82" s="2151"/>
      <c r="F82" s="2151"/>
      <c r="G82" s="2151"/>
      <c r="H82" s="2151"/>
      <c r="I82" s="2151"/>
      <c r="J82" s="2157"/>
      <c r="K82" s="2151"/>
      <c r="L82" s="2157"/>
      <c r="M82" s="2151"/>
      <c r="N82" s="2157"/>
      <c r="O82" s="2157"/>
      <c r="P82" s="2157"/>
      <c r="Q82" s="2157"/>
      <c r="R82" s="1398"/>
      <c r="S82" s="1398"/>
      <c r="T82" s="1398"/>
      <c r="U82" s="1398"/>
      <c r="V82" s="1398"/>
      <c r="W82" s="1398"/>
      <c r="X82" s="1398"/>
      <c r="Y82" s="1398"/>
      <c r="Z82" s="1398"/>
      <c r="AA82" s="1398"/>
      <c r="AB82" s="1398"/>
      <c r="AC82" s="1398"/>
      <c r="AD82" s="1398"/>
      <c r="AE82" s="1398"/>
    </row>
    <row r="83" spans="1:31" ht="15" customHeight="1" x14ac:dyDescent="0.3">
      <c r="A83" s="1398"/>
      <c r="B83" s="2163" t="s">
        <v>1760</v>
      </c>
      <c r="C83" s="2151"/>
      <c r="D83" s="2151"/>
      <c r="E83" s="2151"/>
      <c r="F83" s="2151"/>
      <c r="G83" s="2151"/>
      <c r="H83" s="2151"/>
      <c r="I83" s="2151"/>
      <c r="J83" s="2157"/>
      <c r="K83" s="2151"/>
      <c r="L83" s="2157"/>
      <c r="M83" s="2151"/>
      <c r="N83" s="2157"/>
      <c r="O83" s="2157"/>
      <c r="P83" s="2157"/>
      <c r="Q83" s="2157"/>
      <c r="R83" s="1398"/>
      <c r="S83" s="1398"/>
      <c r="T83" s="1398"/>
      <c r="U83" s="1398"/>
      <c r="V83" s="1398"/>
      <c r="W83" s="1398"/>
      <c r="X83" s="1398"/>
      <c r="Y83" s="1398"/>
      <c r="Z83" s="1398"/>
      <c r="AA83" s="1398"/>
      <c r="AB83" s="1398"/>
      <c r="AC83" s="1398"/>
      <c r="AD83" s="1398"/>
      <c r="AE83" s="1398"/>
    </row>
    <row r="84" spans="1:31" ht="15" customHeight="1" x14ac:dyDescent="0.3">
      <c r="A84" s="1398"/>
      <c r="B84" s="2162" t="s">
        <v>2543</v>
      </c>
      <c r="C84" s="2151"/>
      <c r="D84" s="2151"/>
      <c r="E84" s="2151"/>
      <c r="F84" s="2151"/>
      <c r="G84" s="2151"/>
      <c r="H84" s="2151"/>
      <c r="I84" s="2151"/>
      <c r="J84" s="2157"/>
      <c r="K84" s="2151"/>
      <c r="L84" s="2157"/>
      <c r="M84" s="2151"/>
      <c r="N84" s="2157"/>
      <c r="O84" s="2157"/>
      <c r="P84" s="2157"/>
      <c r="Q84" s="2157"/>
      <c r="R84" s="1398"/>
      <c r="S84" s="1398"/>
      <c r="T84" s="1398"/>
      <c r="U84" s="1398"/>
      <c r="V84" s="1398"/>
      <c r="W84" s="1398"/>
      <c r="X84" s="1398"/>
      <c r="Y84" s="1398"/>
      <c r="Z84" s="1398"/>
      <c r="AA84" s="1398"/>
      <c r="AB84" s="1398"/>
      <c r="AC84" s="1398"/>
      <c r="AD84" s="1398"/>
      <c r="AE84" s="1398"/>
    </row>
    <row r="85" spans="1:31" ht="15" customHeight="1" x14ac:dyDescent="0.3">
      <c r="A85" s="1398"/>
      <c r="B85" s="2164" t="s">
        <v>1941</v>
      </c>
      <c r="C85" s="2151"/>
      <c r="D85" s="2151"/>
      <c r="E85" s="2151"/>
      <c r="F85" s="2151"/>
      <c r="G85" s="2151"/>
      <c r="H85" s="2151"/>
      <c r="I85" s="2151"/>
      <c r="J85" s="2157"/>
      <c r="K85" s="2151"/>
      <c r="L85" s="2157"/>
      <c r="M85" s="2151"/>
      <c r="N85" s="2157"/>
      <c r="O85" s="2157"/>
      <c r="P85" s="2157"/>
      <c r="Q85" s="2157"/>
      <c r="R85" s="1398"/>
      <c r="S85" s="1398"/>
      <c r="T85" s="1398"/>
      <c r="U85" s="1398"/>
      <c r="V85" s="1398"/>
      <c r="W85" s="1398"/>
      <c r="X85" s="1398"/>
      <c r="Y85" s="1398"/>
      <c r="Z85" s="1398"/>
      <c r="AA85" s="1398"/>
      <c r="AB85" s="1398"/>
      <c r="AC85" s="1398"/>
      <c r="AD85" s="1398"/>
      <c r="AE85" s="1398"/>
    </row>
    <row r="86" spans="1:31" ht="15" customHeight="1" x14ac:dyDescent="0.35">
      <c r="A86" s="1398"/>
      <c r="B86" s="2181" t="s">
        <v>2542</v>
      </c>
      <c r="C86" s="2159" t="str">
        <f t="shared" ref="C86:I86" si="9">IF(AND(ISNUMBER(C87),ISNUMBER(C88)),C87+C88,"")</f>
        <v/>
      </c>
      <c r="D86" s="2159" t="str">
        <f t="shared" si="9"/>
        <v/>
      </c>
      <c r="E86" s="2159" t="str">
        <f t="shared" si="9"/>
        <v/>
      </c>
      <c r="F86" s="2159" t="str">
        <f t="shared" si="9"/>
        <v/>
      </c>
      <c r="G86" s="2159" t="str">
        <f t="shared" si="9"/>
        <v/>
      </c>
      <c r="H86" s="2159" t="str">
        <f t="shared" si="9"/>
        <v/>
      </c>
      <c r="I86" s="2159" t="str">
        <f t="shared" si="9"/>
        <v/>
      </c>
      <c r="J86" s="2157"/>
      <c r="K86" s="2159" t="str">
        <f>IF(AND(ISNUMBER(K87),ISNUMBER(K88)),K87+K88,"")</f>
        <v/>
      </c>
      <c r="L86" s="2157"/>
      <c r="M86" s="2159" t="str">
        <f>IF(AND(ISNUMBER(M87),ISNUMBER(M88)),M87+M88,"")</f>
        <v/>
      </c>
      <c r="N86" s="2157"/>
      <c r="O86" s="2157"/>
      <c r="P86" s="2157"/>
      <c r="Q86" s="2157"/>
      <c r="R86" s="1398"/>
      <c r="S86" s="1398"/>
      <c r="T86" s="1398"/>
      <c r="U86" s="1398"/>
      <c r="V86" s="1398"/>
      <c r="W86" s="1398"/>
      <c r="X86" s="1398"/>
      <c r="Y86" s="1398"/>
      <c r="Z86" s="1398"/>
      <c r="AA86" s="1398"/>
      <c r="AB86" s="1398"/>
      <c r="AC86" s="1398"/>
      <c r="AD86" s="1398"/>
      <c r="AE86" s="1398"/>
    </row>
    <row r="87" spans="1:31" ht="15" customHeight="1" x14ac:dyDescent="0.3">
      <c r="A87" s="1398"/>
      <c r="B87" s="2180" t="s">
        <v>2541</v>
      </c>
      <c r="C87" s="2151"/>
      <c r="D87" s="2151"/>
      <c r="E87" s="2151"/>
      <c r="F87" s="2151"/>
      <c r="G87" s="2151"/>
      <c r="H87" s="2151"/>
      <c r="I87" s="2151"/>
      <c r="J87" s="2157"/>
      <c r="K87" s="2151"/>
      <c r="L87" s="2157"/>
      <c r="M87" s="2151"/>
      <c r="N87" s="2157"/>
      <c r="O87" s="2157"/>
      <c r="P87" s="2157"/>
      <c r="Q87" s="2157"/>
      <c r="R87" s="1398"/>
      <c r="S87" s="1398"/>
      <c r="T87" s="1398"/>
      <c r="U87" s="1398"/>
      <c r="V87" s="1398"/>
      <c r="W87" s="1398"/>
      <c r="X87" s="1398"/>
      <c r="Y87" s="1398"/>
      <c r="Z87" s="1398"/>
      <c r="AA87" s="1398"/>
      <c r="AB87" s="1398"/>
      <c r="AC87" s="1398"/>
      <c r="AD87" s="1398"/>
      <c r="AE87" s="1398"/>
    </row>
    <row r="88" spans="1:31" ht="15" customHeight="1" x14ac:dyDescent="0.3">
      <c r="A88" s="1398"/>
      <c r="B88" s="2155" t="s">
        <v>1760</v>
      </c>
      <c r="C88" s="2151"/>
      <c r="D88" s="2151"/>
      <c r="E88" s="2151"/>
      <c r="F88" s="2151"/>
      <c r="G88" s="2151"/>
      <c r="H88" s="2151"/>
      <c r="I88" s="2151"/>
      <c r="J88" s="2157"/>
      <c r="K88" s="2151"/>
      <c r="L88" s="2157"/>
      <c r="M88" s="2151"/>
      <c r="N88" s="2157"/>
      <c r="O88" s="2157"/>
      <c r="P88" s="2157"/>
      <c r="Q88" s="2157"/>
      <c r="R88" s="1398"/>
      <c r="S88" s="1398"/>
      <c r="T88" s="1398"/>
      <c r="U88" s="1398"/>
      <c r="V88" s="1398"/>
      <c r="W88" s="1398"/>
      <c r="X88" s="1398"/>
      <c r="Y88" s="1398"/>
      <c r="Z88" s="1398"/>
      <c r="AA88" s="1398"/>
      <c r="AB88" s="1398"/>
      <c r="AC88" s="1398"/>
      <c r="AD88" s="1398"/>
      <c r="AE88" s="1398"/>
    </row>
    <row r="89" spans="1:31" ht="15" customHeight="1" x14ac:dyDescent="0.35">
      <c r="A89" s="1398"/>
      <c r="B89" s="2164" t="s">
        <v>2540</v>
      </c>
      <c r="C89" s="2159" t="str">
        <f t="shared" ref="C89:I89" si="10">IF(AND(ISNUMBER(C90),ISNUMBER(C91)),C90+C91,"")</f>
        <v/>
      </c>
      <c r="D89" s="2159" t="str">
        <f t="shared" si="10"/>
        <v/>
      </c>
      <c r="E89" s="2159" t="str">
        <f t="shared" si="10"/>
        <v/>
      </c>
      <c r="F89" s="2159" t="str">
        <f t="shared" si="10"/>
        <v/>
      </c>
      <c r="G89" s="2159" t="str">
        <f t="shared" si="10"/>
        <v/>
      </c>
      <c r="H89" s="2159" t="str">
        <f t="shared" si="10"/>
        <v/>
      </c>
      <c r="I89" s="2159" t="str">
        <f t="shared" si="10"/>
        <v/>
      </c>
      <c r="J89" s="2157"/>
      <c r="K89" s="2159" t="str">
        <f>IF(AND(ISNUMBER(K90),ISNUMBER(K91)),K90+K91,"")</f>
        <v/>
      </c>
      <c r="L89" s="2157"/>
      <c r="M89" s="2159" t="str">
        <f>IF(AND(ISNUMBER(M90),ISNUMBER(M91)),M90+M91,"")</f>
        <v/>
      </c>
      <c r="N89" s="2157"/>
      <c r="O89" s="2157"/>
      <c r="P89" s="2157"/>
      <c r="Q89" s="2157"/>
      <c r="R89" s="1398"/>
      <c r="S89" s="1398"/>
      <c r="T89" s="1398"/>
      <c r="U89" s="1398"/>
      <c r="V89" s="1398"/>
      <c r="W89" s="1398"/>
      <c r="X89" s="1398"/>
      <c r="Y89" s="1398"/>
      <c r="Z89" s="1398"/>
      <c r="AA89" s="1398"/>
      <c r="AB89" s="1398"/>
      <c r="AC89" s="1398"/>
      <c r="AD89" s="1398"/>
      <c r="AE89" s="1398"/>
    </row>
    <row r="90" spans="1:31" ht="15" customHeight="1" x14ac:dyDescent="0.3">
      <c r="A90" s="1398"/>
      <c r="B90" s="2163" t="s">
        <v>2539</v>
      </c>
      <c r="C90" s="2151"/>
      <c r="D90" s="2151"/>
      <c r="E90" s="2151"/>
      <c r="F90" s="2151"/>
      <c r="G90" s="2151"/>
      <c r="H90" s="2151"/>
      <c r="I90" s="2151"/>
      <c r="J90" s="2157"/>
      <c r="K90" s="2151"/>
      <c r="L90" s="2157"/>
      <c r="M90" s="2151"/>
      <c r="N90" s="2157"/>
      <c r="O90" s="2157"/>
      <c r="P90" s="2157"/>
      <c r="Q90" s="2157"/>
      <c r="R90" s="1398"/>
      <c r="S90" s="1398"/>
      <c r="T90" s="1398"/>
      <c r="U90" s="1398"/>
      <c r="V90" s="1398"/>
      <c r="W90" s="1398"/>
      <c r="X90" s="1398"/>
      <c r="Y90" s="1398"/>
      <c r="Z90" s="1398"/>
      <c r="AA90" s="1398"/>
      <c r="AB90" s="1398"/>
      <c r="AC90" s="1398"/>
      <c r="AD90" s="1398"/>
      <c r="AE90" s="1398"/>
    </row>
    <row r="91" spans="1:31" ht="15" customHeight="1" x14ac:dyDescent="0.3">
      <c r="A91" s="1398"/>
      <c r="B91" s="2163" t="s">
        <v>1760</v>
      </c>
      <c r="C91" s="2151"/>
      <c r="D91" s="2151"/>
      <c r="E91" s="2151"/>
      <c r="F91" s="2151"/>
      <c r="G91" s="2151"/>
      <c r="H91" s="2151"/>
      <c r="I91" s="2151"/>
      <c r="J91" s="2157"/>
      <c r="K91" s="2151"/>
      <c r="L91" s="2157"/>
      <c r="M91" s="2151"/>
      <c r="N91" s="2157"/>
      <c r="O91" s="2157"/>
      <c r="P91" s="2157"/>
      <c r="Q91" s="2157"/>
      <c r="R91" s="1398"/>
      <c r="S91" s="1398"/>
      <c r="T91" s="1398"/>
      <c r="U91" s="1398"/>
      <c r="V91" s="1398"/>
      <c r="W91" s="1398"/>
      <c r="X91" s="1398"/>
      <c r="Y91" s="1398"/>
      <c r="Z91" s="1398"/>
      <c r="AA91" s="1398"/>
      <c r="AB91" s="1398"/>
      <c r="AC91" s="1398"/>
      <c r="AD91" s="1398"/>
      <c r="AE91" s="1398"/>
    </row>
    <row r="92" spans="1:31" ht="15" customHeight="1" x14ac:dyDescent="0.35">
      <c r="A92" s="1398"/>
      <c r="B92" s="569" t="s">
        <v>59</v>
      </c>
      <c r="C92" s="2156">
        <f t="shared" ref="C92:Q92" si="11">IF(AND(ISNUMBER(C94),ISNUMBER(C93)),SUM(C93:C94),0)</f>
        <v>0</v>
      </c>
      <c r="D92" s="2156">
        <f t="shared" si="11"/>
        <v>0</v>
      </c>
      <c r="E92" s="2156">
        <f t="shared" si="11"/>
        <v>0</v>
      </c>
      <c r="F92" s="2156">
        <f t="shared" si="11"/>
        <v>0</v>
      </c>
      <c r="G92" s="2156">
        <f t="shared" si="11"/>
        <v>0</v>
      </c>
      <c r="H92" s="2156">
        <f t="shared" si="11"/>
        <v>0</v>
      </c>
      <c r="I92" s="2156">
        <f t="shared" si="11"/>
        <v>0</v>
      </c>
      <c r="J92" s="2156">
        <f t="shared" si="11"/>
        <v>0</v>
      </c>
      <c r="K92" s="2156">
        <f t="shared" si="11"/>
        <v>0</v>
      </c>
      <c r="L92" s="2156">
        <f t="shared" si="11"/>
        <v>0</v>
      </c>
      <c r="M92" s="2156">
        <f t="shared" si="11"/>
        <v>0</v>
      </c>
      <c r="N92" s="2156">
        <f t="shared" si="11"/>
        <v>0</v>
      </c>
      <c r="O92" s="2156">
        <f t="shared" si="11"/>
        <v>0</v>
      </c>
      <c r="P92" s="2156">
        <f t="shared" si="11"/>
        <v>0</v>
      </c>
      <c r="Q92" s="2156">
        <f t="shared" si="11"/>
        <v>0</v>
      </c>
      <c r="R92" s="1398"/>
      <c r="S92" s="1398"/>
      <c r="T92" s="1398"/>
      <c r="U92" s="1398"/>
      <c r="V92" s="1398"/>
      <c r="W92" s="1398"/>
      <c r="X92" s="1398"/>
      <c r="Y92" s="1398"/>
      <c r="Z92" s="1398"/>
      <c r="AA92" s="1398"/>
      <c r="AB92" s="1398"/>
      <c r="AC92" s="1398"/>
      <c r="AD92" s="1398"/>
      <c r="AE92" s="1398"/>
    </row>
    <row r="93" spans="1:31" ht="15" customHeight="1" x14ac:dyDescent="0.3">
      <c r="A93" s="1398"/>
      <c r="B93" s="2155" t="s">
        <v>2538</v>
      </c>
      <c r="C93" s="2151"/>
      <c r="D93" s="2151"/>
      <c r="E93" s="2151"/>
      <c r="F93" s="2151"/>
      <c r="G93" s="2151"/>
      <c r="H93" s="2151"/>
      <c r="I93" s="23"/>
      <c r="J93" s="2151"/>
      <c r="K93" s="2151"/>
      <c r="L93" s="2151"/>
      <c r="M93" s="2151"/>
      <c r="N93" s="2151"/>
      <c r="O93" s="2151"/>
      <c r="P93" s="2151"/>
      <c r="Q93" s="2151"/>
      <c r="R93" s="1398"/>
      <c r="S93" s="1398"/>
      <c r="T93" s="1398"/>
      <c r="U93" s="1398"/>
      <c r="V93" s="1398"/>
      <c r="W93" s="1398"/>
      <c r="X93" s="1398"/>
      <c r="Y93" s="1398"/>
      <c r="Z93" s="1398"/>
      <c r="AA93" s="1398"/>
      <c r="AB93" s="1398"/>
      <c r="AC93" s="1398"/>
      <c r="AD93" s="1398"/>
      <c r="AE93" s="1398"/>
    </row>
    <row r="94" spans="1:31" ht="15" customHeight="1" x14ac:dyDescent="0.3">
      <c r="A94" s="1398"/>
      <c r="B94" s="2155" t="s">
        <v>2537</v>
      </c>
      <c r="C94" s="2151"/>
      <c r="D94" s="2151"/>
      <c r="E94" s="2151"/>
      <c r="F94" s="2151"/>
      <c r="G94" s="2151"/>
      <c r="H94" s="2151"/>
      <c r="I94" s="23"/>
      <c r="J94" s="2151"/>
      <c r="K94" s="2151"/>
      <c r="L94" s="2151"/>
      <c r="M94" s="2151"/>
      <c r="N94" s="2151"/>
      <c r="O94" s="2151"/>
      <c r="P94" s="2151"/>
      <c r="Q94" s="2151"/>
      <c r="R94" s="1398"/>
      <c r="S94" s="1398"/>
      <c r="T94" s="1398"/>
      <c r="U94" s="1398"/>
      <c r="V94" s="1398"/>
      <c r="W94" s="1398"/>
      <c r="X94" s="1398"/>
      <c r="Y94" s="1398"/>
      <c r="Z94" s="1398"/>
      <c r="AA94" s="1398"/>
      <c r="AB94" s="1398"/>
      <c r="AC94" s="1398"/>
      <c r="AD94" s="1398"/>
      <c r="AE94" s="1398"/>
    </row>
    <row r="95" spans="1:31" ht="15" customHeight="1" x14ac:dyDescent="0.3">
      <c r="A95" s="1398"/>
      <c r="B95" s="2154" t="str">
        <f>"Check: row " &amp; ROW(B92) &amp;" = sum(row " &amp; ROW(B93) &amp; ", row "&amp; ROW(B94)&amp;")"</f>
        <v>Check: row 92 = sum(row 93, row 94)</v>
      </c>
      <c r="C95" s="2153" t="str">
        <f t="shared" ref="C95:Q95" si="12">IF(AND(ISNUMBER(C93), ISNUMBER(C94)), IF(C92=SUM(C93:C94), "Pass", "Fail"), "")</f>
        <v/>
      </c>
      <c r="D95" s="2153" t="str">
        <f t="shared" si="12"/>
        <v/>
      </c>
      <c r="E95" s="2153" t="str">
        <f t="shared" si="12"/>
        <v/>
      </c>
      <c r="F95" s="2153" t="str">
        <f t="shared" si="12"/>
        <v/>
      </c>
      <c r="G95" s="2153" t="str">
        <f t="shared" si="12"/>
        <v/>
      </c>
      <c r="H95" s="2153" t="str">
        <f t="shared" si="12"/>
        <v/>
      </c>
      <c r="I95" s="2153" t="str">
        <f t="shared" si="12"/>
        <v/>
      </c>
      <c r="J95" s="2153" t="str">
        <f t="shared" si="12"/>
        <v/>
      </c>
      <c r="K95" s="2153" t="str">
        <f t="shared" si="12"/>
        <v/>
      </c>
      <c r="L95" s="2153" t="str">
        <f t="shared" si="12"/>
        <v/>
      </c>
      <c r="M95" s="2153" t="str">
        <f t="shared" si="12"/>
        <v/>
      </c>
      <c r="N95" s="2153" t="str">
        <f t="shared" si="12"/>
        <v/>
      </c>
      <c r="O95" s="2153" t="str">
        <f t="shared" si="12"/>
        <v/>
      </c>
      <c r="P95" s="2153" t="str">
        <f t="shared" si="12"/>
        <v/>
      </c>
      <c r="Q95" s="2153" t="str">
        <f t="shared" si="12"/>
        <v/>
      </c>
      <c r="R95" s="1398"/>
      <c r="S95" s="1398"/>
      <c r="T95" s="1398"/>
      <c r="U95" s="1398"/>
      <c r="V95" s="1398"/>
      <c r="W95" s="1398"/>
      <c r="X95" s="1398"/>
      <c r="Y95" s="1398"/>
      <c r="Z95" s="1398"/>
      <c r="AA95" s="1398"/>
      <c r="AB95" s="1398"/>
      <c r="AC95" s="1398"/>
      <c r="AD95" s="1398"/>
      <c r="AE95" s="1398"/>
    </row>
    <row r="96" spans="1:31" ht="15" customHeight="1" x14ac:dyDescent="0.3">
      <c r="A96" s="1398"/>
      <c r="B96" s="2152" t="s">
        <v>2536</v>
      </c>
      <c r="C96" s="2151"/>
      <c r="D96" s="1398"/>
      <c r="E96" s="1398"/>
      <c r="F96" s="1398"/>
      <c r="G96" s="1398"/>
      <c r="H96" s="1398"/>
      <c r="I96" s="1398"/>
      <c r="J96" s="1398"/>
      <c r="K96" s="1398"/>
      <c r="L96" s="1398"/>
      <c r="M96" s="1398"/>
      <c r="N96" s="1398"/>
      <c r="O96" s="1398"/>
      <c r="P96" s="1398"/>
      <c r="Q96" s="1398"/>
      <c r="R96" s="1398"/>
      <c r="S96" s="1398"/>
      <c r="T96" s="1398"/>
      <c r="U96" s="1398"/>
      <c r="V96" s="1398"/>
      <c r="W96" s="1398"/>
      <c r="X96" s="1398"/>
      <c r="Y96" s="1398"/>
      <c r="Z96" s="1398"/>
      <c r="AA96" s="1398"/>
      <c r="AB96" s="1398"/>
      <c r="AC96" s="1398"/>
      <c r="AD96" s="1398"/>
      <c r="AE96" s="1398"/>
    </row>
    <row r="97" spans="1:31" ht="15" customHeight="1" x14ac:dyDescent="0.3">
      <c r="A97" s="1398"/>
      <c r="B97" s="2150" t="s">
        <v>2535</v>
      </c>
      <c r="C97" s="2149"/>
      <c r="D97" s="1398"/>
      <c r="E97" s="1398"/>
      <c r="F97" s="1398"/>
      <c r="G97" s="1398"/>
      <c r="H97" s="1398"/>
      <c r="I97" s="1398"/>
      <c r="J97" s="1398"/>
      <c r="K97" s="1398"/>
      <c r="L97" s="1398"/>
      <c r="M97" s="1398"/>
      <c r="N97" s="1398"/>
      <c r="O97" s="1398"/>
      <c r="P97" s="1398"/>
      <c r="Q97" s="1398"/>
      <c r="R97" s="1398"/>
      <c r="S97" s="1398"/>
      <c r="T97" s="1398"/>
      <c r="U97" s="1398"/>
      <c r="V97" s="1398"/>
      <c r="W97" s="1398"/>
      <c r="X97" s="1398"/>
      <c r="Y97" s="1398"/>
      <c r="Z97" s="1398"/>
      <c r="AA97" s="1398"/>
      <c r="AB97" s="1398"/>
      <c r="AC97" s="1398"/>
      <c r="AD97" s="1398"/>
      <c r="AE97" s="1398"/>
    </row>
    <row r="98" spans="1:31" ht="15" customHeight="1" x14ac:dyDescent="0.35">
      <c r="A98" s="1398"/>
      <c r="D98" s="1398"/>
      <c r="E98" s="1398"/>
      <c r="F98" s="1398"/>
      <c r="G98" s="1398"/>
      <c r="H98" s="1398"/>
      <c r="I98" s="1398"/>
      <c r="J98" s="1398"/>
      <c r="K98" s="1398"/>
      <c r="L98" s="1398"/>
      <c r="M98" s="1398"/>
      <c r="N98" s="1398"/>
      <c r="O98" s="1398"/>
      <c r="P98" s="1398"/>
      <c r="Q98" s="1398"/>
      <c r="R98" s="1398"/>
      <c r="S98" s="1398"/>
      <c r="T98" s="1398"/>
      <c r="U98" s="1398"/>
      <c r="V98" s="1398"/>
      <c r="W98" s="1398"/>
      <c r="X98" s="1398"/>
      <c r="Y98" s="1398"/>
      <c r="Z98" s="1398"/>
      <c r="AA98" s="1398"/>
      <c r="AB98" s="1398"/>
      <c r="AC98" s="1398"/>
      <c r="AD98" s="1398"/>
      <c r="AE98" s="1398"/>
    </row>
    <row r="99" spans="1:31" ht="19.5" customHeight="1" x14ac:dyDescent="0.3">
      <c r="A99" s="2196" t="s">
        <v>2588</v>
      </c>
      <c r="B99" s="2195"/>
      <c r="C99" s="2194" t="s">
        <v>2566</v>
      </c>
      <c r="D99" s="2173" t="str">
        <f>IF(ISBLANK($E$7),"",IF($E$7="No","Please leave Panel B"&amp;COLUMN($E$7)-2&amp;" empty","Please fill in Panel B"&amp;COLUMN($E$7)-2))</f>
        <v/>
      </c>
      <c r="E99" s="2193"/>
      <c r="F99" s="2193"/>
      <c r="G99" s="2193"/>
      <c r="H99" s="2193"/>
      <c r="I99" s="2193"/>
      <c r="J99" s="2193"/>
      <c r="K99" s="2193"/>
      <c r="L99" s="2193"/>
      <c r="M99" s="2193"/>
      <c r="N99" s="2193"/>
      <c r="O99" s="2193"/>
      <c r="P99" s="2193"/>
      <c r="Q99" s="2193"/>
      <c r="R99" s="1398"/>
      <c r="S99" s="1398"/>
      <c r="T99" s="1398"/>
      <c r="U99" s="1398"/>
      <c r="V99" s="1398"/>
      <c r="W99" s="1398"/>
      <c r="X99" s="1398"/>
      <c r="Y99" s="1398"/>
      <c r="Z99" s="1398"/>
      <c r="AA99" s="1398"/>
      <c r="AB99" s="1398"/>
      <c r="AC99" s="1398"/>
      <c r="AD99" s="1398"/>
      <c r="AE99" s="1398"/>
    </row>
    <row r="100" spans="1:31" ht="15" customHeight="1" x14ac:dyDescent="0.35">
      <c r="A100" s="1398"/>
      <c r="C100" s="2980" t="s">
        <v>207</v>
      </c>
      <c r="D100" s="2980"/>
      <c r="E100" s="2980"/>
      <c r="F100" s="2980"/>
      <c r="G100" s="2980"/>
      <c r="H100" s="2980"/>
      <c r="I100" s="2980"/>
      <c r="J100" s="2980"/>
      <c r="K100" s="2980"/>
      <c r="L100" s="2981"/>
      <c r="M100" s="2982" t="s">
        <v>2559</v>
      </c>
      <c r="N100" s="2984" t="s">
        <v>2565</v>
      </c>
      <c r="O100" s="2985"/>
      <c r="P100" s="2985"/>
      <c r="Q100" s="2985"/>
      <c r="R100" s="1398"/>
      <c r="S100" s="1398"/>
      <c r="T100" s="1398"/>
      <c r="U100" s="1398"/>
      <c r="V100" s="1398"/>
      <c r="W100" s="1398"/>
      <c r="X100" s="1398"/>
      <c r="Y100" s="1398"/>
      <c r="Z100" s="1398"/>
      <c r="AA100" s="1398"/>
      <c r="AB100" s="1398"/>
      <c r="AC100" s="1398"/>
      <c r="AD100" s="1398"/>
      <c r="AE100" s="1398"/>
    </row>
    <row r="101" spans="1:31" ht="15" customHeight="1" x14ac:dyDescent="0.35">
      <c r="A101" s="1398"/>
      <c r="B101" s="2172"/>
      <c r="C101" s="2967" t="s">
        <v>2564</v>
      </c>
      <c r="D101" s="2973" t="s">
        <v>465</v>
      </c>
      <c r="E101" s="2974"/>
      <c r="F101" s="2974"/>
      <c r="G101" s="2974"/>
      <c r="H101" s="2975"/>
      <c r="I101" s="2969" t="s">
        <v>2563</v>
      </c>
      <c r="J101" s="2969" t="s">
        <v>2562</v>
      </c>
      <c r="K101" s="2969" t="s">
        <v>2561</v>
      </c>
      <c r="L101" s="2969" t="s">
        <v>2560</v>
      </c>
      <c r="M101" s="2983"/>
      <c r="N101" s="2978" t="s">
        <v>207</v>
      </c>
      <c r="O101" s="2978" t="s">
        <v>2559</v>
      </c>
      <c r="P101" s="2969" t="s">
        <v>59</v>
      </c>
      <c r="Q101" s="2971" t="s">
        <v>2558</v>
      </c>
      <c r="R101" s="1398"/>
      <c r="S101" s="1398"/>
      <c r="T101" s="1398"/>
      <c r="U101" s="1398"/>
      <c r="V101" s="1398"/>
      <c r="W101" s="1398"/>
      <c r="X101" s="1398"/>
      <c r="Y101" s="1398"/>
      <c r="Z101" s="1398"/>
      <c r="AA101" s="1398"/>
      <c r="AB101" s="1398"/>
      <c r="AC101" s="1398"/>
      <c r="AD101" s="1398"/>
      <c r="AE101" s="1398"/>
    </row>
    <row r="102" spans="1:31" ht="48.6" customHeight="1" x14ac:dyDescent="0.35">
      <c r="A102" s="1398"/>
      <c r="B102" s="2171"/>
      <c r="C102" s="2968"/>
      <c r="D102" s="2170" t="s">
        <v>2557</v>
      </c>
      <c r="E102" s="2170" t="s">
        <v>2556</v>
      </c>
      <c r="F102" s="2170" t="s">
        <v>2555</v>
      </c>
      <c r="G102" s="2170" t="s">
        <v>2554</v>
      </c>
      <c r="H102" s="2170" t="s">
        <v>59</v>
      </c>
      <c r="I102" s="2970"/>
      <c r="J102" s="2970"/>
      <c r="K102" s="2970"/>
      <c r="L102" s="2970"/>
      <c r="M102" s="2970"/>
      <c r="N102" s="2979"/>
      <c r="O102" s="2979"/>
      <c r="P102" s="2970"/>
      <c r="Q102" s="2972"/>
      <c r="R102" s="1398"/>
      <c r="S102" s="1398"/>
      <c r="T102" s="1398"/>
      <c r="U102" s="1398"/>
      <c r="V102" s="1398"/>
      <c r="W102" s="1398"/>
      <c r="X102" s="1398"/>
      <c r="Y102" s="1398"/>
      <c r="Z102" s="1398"/>
      <c r="AA102" s="1398"/>
      <c r="AB102" s="1398"/>
      <c r="AC102" s="1398"/>
      <c r="AD102" s="1398"/>
      <c r="AE102" s="1398"/>
    </row>
    <row r="103" spans="1:31" ht="15" customHeight="1" x14ac:dyDescent="0.35">
      <c r="A103" s="1398"/>
      <c r="B103" s="2169" t="s">
        <v>2553</v>
      </c>
      <c r="C103" s="2168" t="str">
        <f t="shared" ref="C103:I103" si="13">IF(AND(ISNUMBER(C116),ISNUMBER(C112),ISNUMBER(C114),ISNUMBER(C104),ISNUMBER(C108),ISNUMBER(C106),ISNUMBER(C110),ISNUMBER(C118)),SUM(C104,C106,C108,C110,C112,C114,C116,C118),"")</f>
        <v/>
      </c>
      <c r="D103" s="2168" t="str">
        <f t="shared" si="13"/>
        <v/>
      </c>
      <c r="E103" s="2168" t="str">
        <f t="shared" si="13"/>
        <v/>
      </c>
      <c r="F103" s="2168" t="str">
        <f t="shared" si="13"/>
        <v/>
      </c>
      <c r="G103" s="2168" t="str">
        <f t="shared" si="13"/>
        <v/>
      </c>
      <c r="H103" s="2168" t="str">
        <f t="shared" si="13"/>
        <v/>
      </c>
      <c r="I103" s="2168" t="str">
        <f t="shared" si="13"/>
        <v/>
      </c>
      <c r="J103" s="2157"/>
      <c r="K103" s="2168" t="str">
        <f>IF(AND(ISNUMBER(K116),ISNUMBER(K112),ISNUMBER(K114),ISNUMBER(K104),ISNUMBER(K108),ISNUMBER(K106),ISNUMBER(K110),ISNUMBER(K118)),SUM(K104,K106,K108,K110,K112,K114,K116,K118),"")</f>
        <v/>
      </c>
      <c r="L103" s="2157"/>
      <c r="M103" s="2168" t="str">
        <f>IF(AND(ISNUMBER(M116),ISNUMBER(M112),ISNUMBER(M114),ISNUMBER(M104),ISNUMBER(M108),ISNUMBER(M106),ISNUMBER(M110),ISNUMBER(M118)),SUM(M104,M106,M108,M110,M112,M114,M116,M118),"")</f>
        <v/>
      </c>
      <c r="N103" s="2167"/>
      <c r="O103" s="2167"/>
      <c r="P103" s="2167"/>
      <c r="Q103" s="2167"/>
      <c r="R103" s="1398"/>
      <c r="S103" s="1398"/>
      <c r="T103" s="1398"/>
      <c r="U103" s="1398"/>
      <c r="V103" s="1398"/>
      <c r="W103" s="1398"/>
      <c r="X103" s="1398"/>
      <c r="Y103" s="1398"/>
      <c r="Z103" s="1398"/>
      <c r="AA103" s="1398"/>
      <c r="AB103" s="1398"/>
      <c r="AC103" s="1398"/>
      <c r="AD103" s="1398"/>
      <c r="AE103" s="1398"/>
    </row>
    <row r="104" spans="1:31" ht="15" customHeight="1" x14ac:dyDescent="0.3">
      <c r="A104" s="1398"/>
      <c r="B104" s="2155" t="s">
        <v>2552</v>
      </c>
      <c r="C104" s="2151"/>
      <c r="D104" s="2151"/>
      <c r="E104" s="2151"/>
      <c r="F104" s="2151"/>
      <c r="G104" s="2151"/>
      <c r="H104" s="2151"/>
      <c r="I104" s="2151"/>
      <c r="J104" s="2157"/>
      <c r="K104" s="2151"/>
      <c r="L104" s="2157"/>
      <c r="M104" s="2151"/>
      <c r="N104" s="2157"/>
      <c r="O104" s="2157"/>
      <c r="P104" s="2157"/>
      <c r="Q104" s="2157"/>
      <c r="R104" s="1398"/>
      <c r="S104" s="1398"/>
      <c r="T104" s="1398"/>
      <c r="U104" s="1398"/>
      <c r="V104" s="1398"/>
      <c r="W104" s="1398"/>
      <c r="X104" s="1398"/>
      <c r="Y104" s="1398"/>
      <c r="Z104" s="1398"/>
      <c r="AA104" s="1398"/>
      <c r="AB104" s="1398"/>
      <c r="AC104" s="1398"/>
      <c r="AD104" s="1398"/>
      <c r="AE104" s="1398"/>
    </row>
    <row r="105" spans="1:31" ht="15" customHeight="1" x14ac:dyDescent="0.3">
      <c r="A105" s="1398"/>
      <c r="B105" s="2165" t="s">
        <v>2543</v>
      </c>
      <c r="C105" s="2151"/>
      <c r="D105" s="2151"/>
      <c r="E105" s="2151"/>
      <c r="F105" s="2151"/>
      <c r="G105" s="2151"/>
      <c r="H105" s="2151"/>
      <c r="I105" s="2151"/>
      <c r="J105" s="2157"/>
      <c r="K105" s="2151"/>
      <c r="L105" s="2157"/>
      <c r="M105" s="2151"/>
      <c r="N105" s="2157"/>
      <c r="O105" s="2157"/>
      <c r="P105" s="2157"/>
      <c r="Q105" s="2157"/>
      <c r="R105" s="1398"/>
      <c r="S105" s="1398"/>
      <c r="T105" s="1398"/>
      <c r="U105" s="1398"/>
      <c r="V105" s="1398"/>
      <c r="W105" s="1398"/>
      <c r="X105" s="1398"/>
      <c r="Y105" s="1398"/>
      <c r="Z105" s="1398"/>
      <c r="AA105" s="1398"/>
      <c r="AB105" s="1398"/>
      <c r="AC105" s="1398"/>
      <c r="AD105" s="1398"/>
      <c r="AE105" s="1398"/>
    </row>
    <row r="106" spans="1:31" ht="15" customHeight="1" x14ac:dyDescent="0.3">
      <c r="A106" s="1398"/>
      <c r="B106" s="2155" t="s">
        <v>2551</v>
      </c>
      <c r="C106" s="2151"/>
      <c r="D106" s="2151"/>
      <c r="E106" s="2151"/>
      <c r="F106" s="2151"/>
      <c r="G106" s="2151"/>
      <c r="H106" s="2151"/>
      <c r="I106" s="2151"/>
      <c r="J106" s="2157"/>
      <c r="K106" s="2151"/>
      <c r="L106" s="2157"/>
      <c r="M106" s="2151"/>
      <c r="N106" s="2157"/>
      <c r="O106" s="2157"/>
      <c r="P106" s="2157"/>
      <c r="Q106" s="2157"/>
      <c r="R106" s="1398"/>
      <c r="S106" s="1398"/>
      <c r="T106" s="1398"/>
      <c r="U106" s="1398"/>
      <c r="V106" s="1398"/>
      <c r="W106" s="1398"/>
      <c r="X106" s="1398"/>
      <c r="Y106" s="1398"/>
      <c r="Z106" s="1398"/>
      <c r="AA106" s="1398"/>
      <c r="AB106" s="1398"/>
      <c r="AC106" s="1398"/>
      <c r="AD106" s="1398"/>
      <c r="AE106" s="1398"/>
    </row>
    <row r="107" spans="1:31" ht="15" customHeight="1" x14ac:dyDescent="0.3">
      <c r="A107" s="1398"/>
      <c r="B107" s="2165" t="s">
        <v>2543</v>
      </c>
      <c r="C107" s="2151"/>
      <c r="D107" s="2151"/>
      <c r="E107" s="2151"/>
      <c r="F107" s="2151"/>
      <c r="G107" s="2151"/>
      <c r="H107" s="2151"/>
      <c r="I107" s="2151"/>
      <c r="J107" s="2157"/>
      <c r="K107" s="2151"/>
      <c r="L107" s="2157"/>
      <c r="M107" s="2151"/>
      <c r="N107" s="2157"/>
      <c r="O107" s="2157"/>
      <c r="P107" s="2157"/>
      <c r="Q107" s="2157"/>
      <c r="R107" s="1398"/>
      <c r="S107" s="1398"/>
      <c r="T107" s="1398"/>
      <c r="U107" s="1398"/>
      <c r="V107" s="1398"/>
      <c r="W107" s="1398"/>
      <c r="X107" s="1398"/>
      <c r="Y107" s="1398"/>
      <c r="Z107" s="1398"/>
      <c r="AA107" s="1398"/>
      <c r="AB107" s="1398"/>
      <c r="AC107" s="1398"/>
      <c r="AD107" s="1398"/>
      <c r="AE107" s="1398"/>
    </row>
    <row r="108" spans="1:31" ht="15" customHeight="1" x14ac:dyDescent="0.3">
      <c r="A108" s="1398"/>
      <c r="B108" s="2155" t="s">
        <v>2550</v>
      </c>
      <c r="C108" s="2151"/>
      <c r="D108" s="2151"/>
      <c r="E108" s="2151"/>
      <c r="F108" s="2151"/>
      <c r="G108" s="2151"/>
      <c r="H108" s="2151"/>
      <c r="I108" s="2151"/>
      <c r="J108" s="2157"/>
      <c r="K108" s="2151"/>
      <c r="L108" s="2157"/>
      <c r="M108" s="2151"/>
      <c r="N108" s="2157"/>
      <c r="O108" s="2157"/>
      <c r="P108" s="2157"/>
      <c r="Q108" s="2157"/>
      <c r="R108" s="1398"/>
      <c r="S108" s="1398"/>
      <c r="T108" s="1398"/>
      <c r="U108" s="1398"/>
      <c r="V108" s="1398"/>
      <c r="W108" s="1398"/>
      <c r="X108" s="1398"/>
      <c r="Y108" s="1398"/>
      <c r="Z108" s="1398"/>
      <c r="AA108" s="1398"/>
      <c r="AB108" s="1398"/>
      <c r="AC108" s="1398"/>
      <c r="AD108" s="1398"/>
      <c r="AE108" s="1398"/>
    </row>
    <row r="109" spans="1:31" ht="15" customHeight="1" x14ac:dyDescent="0.3">
      <c r="A109" s="1398"/>
      <c r="B109" s="2165" t="s">
        <v>2543</v>
      </c>
      <c r="C109" s="2151"/>
      <c r="D109" s="2151"/>
      <c r="E109" s="2151"/>
      <c r="F109" s="2151"/>
      <c r="G109" s="2151"/>
      <c r="H109" s="2151"/>
      <c r="I109" s="2151"/>
      <c r="J109" s="2157"/>
      <c r="K109" s="2151"/>
      <c r="L109" s="2157"/>
      <c r="M109" s="2151"/>
      <c r="N109" s="2157"/>
      <c r="O109" s="2157"/>
      <c r="P109" s="2157"/>
      <c r="Q109" s="2157"/>
      <c r="R109" s="1398"/>
      <c r="S109" s="1398"/>
      <c r="T109" s="1398"/>
      <c r="U109" s="1398"/>
      <c r="V109" s="1398"/>
      <c r="W109" s="1398"/>
      <c r="X109" s="1398"/>
      <c r="Y109" s="1398"/>
      <c r="Z109" s="1398"/>
      <c r="AA109" s="1398"/>
      <c r="AB109" s="1398"/>
      <c r="AC109" s="1398"/>
      <c r="AD109" s="1398"/>
      <c r="AE109" s="1398"/>
    </row>
    <row r="110" spans="1:31" ht="15" customHeight="1" x14ac:dyDescent="0.3">
      <c r="A110" s="1398"/>
      <c r="B110" s="2155" t="s">
        <v>2549</v>
      </c>
      <c r="C110" s="2151"/>
      <c r="D110" s="2151"/>
      <c r="E110" s="2151"/>
      <c r="F110" s="2151"/>
      <c r="G110" s="2151"/>
      <c r="H110" s="2151"/>
      <c r="I110" s="2151"/>
      <c r="J110" s="2157"/>
      <c r="K110" s="2151"/>
      <c r="L110" s="2157"/>
      <c r="M110" s="2151"/>
      <c r="N110" s="2157"/>
      <c r="O110" s="2157"/>
      <c r="P110" s="2157"/>
      <c r="Q110" s="2157"/>
      <c r="R110" s="1398"/>
      <c r="S110" s="1398"/>
      <c r="T110" s="1398"/>
      <c r="U110" s="1398"/>
      <c r="V110" s="1398"/>
      <c r="W110" s="1398"/>
      <c r="X110" s="1398"/>
      <c r="Y110" s="1398"/>
      <c r="Z110" s="1398"/>
      <c r="AA110" s="1398"/>
      <c r="AB110" s="1398"/>
      <c r="AC110" s="1398"/>
      <c r="AD110" s="1398"/>
      <c r="AE110" s="1398"/>
    </row>
    <row r="111" spans="1:31" ht="15" customHeight="1" x14ac:dyDescent="0.3">
      <c r="A111" s="1398"/>
      <c r="B111" s="2165" t="s">
        <v>2543</v>
      </c>
      <c r="C111" s="2151"/>
      <c r="D111" s="2151"/>
      <c r="E111" s="2151"/>
      <c r="F111" s="2151"/>
      <c r="G111" s="2151"/>
      <c r="H111" s="2151"/>
      <c r="I111" s="2151"/>
      <c r="J111" s="2157"/>
      <c r="K111" s="2151"/>
      <c r="L111" s="2157"/>
      <c r="M111" s="2151"/>
      <c r="N111" s="2157"/>
      <c r="O111" s="2157"/>
      <c r="P111" s="2157"/>
      <c r="Q111" s="2157"/>
      <c r="R111" s="1398"/>
      <c r="S111" s="1398"/>
      <c r="T111" s="1398"/>
      <c r="U111" s="1398"/>
      <c r="V111" s="1398"/>
      <c r="W111" s="1398"/>
      <c r="X111" s="1398"/>
      <c r="Y111" s="1398"/>
      <c r="Z111" s="1398"/>
      <c r="AA111" s="1398"/>
      <c r="AB111" s="1398"/>
      <c r="AC111" s="1398"/>
      <c r="AD111" s="1398"/>
      <c r="AE111" s="1398"/>
    </row>
    <row r="112" spans="1:31" ht="15" customHeight="1" x14ac:dyDescent="0.35">
      <c r="A112" s="1398"/>
      <c r="B112" s="2183" t="s">
        <v>2548</v>
      </c>
      <c r="C112" s="2151"/>
      <c r="D112" s="2151"/>
      <c r="E112" s="2151"/>
      <c r="F112" s="2151"/>
      <c r="G112" s="2151"/>
      <c r="H112" s="2151"/>
      <c r="I112" s="2151"/>
      <c r="J112" s="2157"/>
      <c r="K112" s="2151"/>
      <c r="L112" s="2157"/>
      <c r="M112" s="2151"/>
      <c r="N112" s="2157"/>
      <c r="O112" s="2157"/>
      <c r="P112" s="2157"/>
      <c r="Q112" s="2157"/>
      <c r="R112" s="1398"/>
      <c r="S112" s="1398"/>
      <c r="T112" s="1398"/>
      <c r="U112" s="1398"/>
      <c r="V112" s="1398"/>
      <c r="W112" s="1398"/>
      <c r="X112" s="1398"/>
      <c r="Y112" s="1398"/>
      <c r="Z112" s="1398"/>
      <c r="AA112" s="1398"/>
      <c r="AB112" s="1398"/>
      <c r="AC112" s="1398"/>
      <c r="AD112" s="1398"/>
      <c r="AE112" s="1398"/>
    </row>
    <row r="113" spans="1:31" ht="15" customHeight="1" x14ac:dyDescent="0.3">
      <c r="A113" s="1398"/>
      <c r="B113" s="2165" t="s">
        <v>2543</v>
      </c>
      <c r="C113" s="2151"/>
      <c r="D113" s="2151"/>
      <c r="E113" s="2151"/>
      <c r="F113" s="2151"/>
      <c r="G113" s="2151"/>
      <c r="H113" s="2151"/>
      <c r="I113" s="2151"/>
      <c r="J113" s="2157"/>
      <c r="K113" s="2151"/>
      <c r="L113" s="2157"/>
      <c r="M113" s="2151"/>
      <c r="N113" s="2157"/>
      <c r="O113" s="2157"/>
      <c r="P113" s="2157"/>
      <c r="Q113" s="2157"/>
      <c r="R113" s="1398"/>
      <c r="S113" s="1398"/>
      <c r="T113" s="1398"/>
      <c r="U113" s="1398"/>
      <c r="V113" s="1398"/>
      <c r="W113" s="1398"/>
      <c r="X113" s="1398"/>
      <c r="Y113" s="1398"/>
      <c r="Z113" s="1398"/>
      <c r="AA113" s="1398"/>
      <c r="AB113" s="1398"/>
      <c r="AC113" s="1398"/>
      <c r="AD113" s="1398"/>
      <c r="AE113" s="1398"/>
    </row>
    <row r="114" spans="1:31" ht="15" customHeight="1" x14ac:dyDescent="0.3">
      <c r="A114" s="1398"/>
      <c r="B114" s="2155" t="s">
        <v>2547</v>
      </c>
      <c r="C114" s="2151"/>
      <c r="D114" s="2151"/>
      <c r="E114" s="2151"/>
      <c r="F114" s="2151"/>
      <c r="G114" s="2151"/>
      <c r="H114" s="2151"/>
      <c r="I114" s="2151"/>
      <c r="J114" s="2157"/>
      <c r="K114" s="2151"/>
      <c r="L114" s="2157"/>
      <c r="M114" s="2151"/>
      <c r="N114" s="2157"/>
      <c r="O114" s="2157"/>
      <c r="P114" s="2157"/>
      <c r="Q114" s="2157"/>
      <c r="R114" s="1398"/>
      <c r="S114" s="1398"/>
      <c r="T114" s="1398"/>
      <c r="U114" s="1398"/>
      <c r="V114" s="1398"/>
      <c r="W114" s="1398"/>
      <c r="X114" s="1398"/>
      <c r="Y114" s="1398"/>
      <c r="Z114" s="1398"/>
      <c r="AA114" s="1398"/>
      <c r="AB114" s="1398"/>
      <c r="AC114" s="1398"/>
      <c r="AD114" s="1398"/>
      <c r="AE114" s="1398"/>
    </row>
    <row r="115" spans="1:31" ht="15" customHeight="1" x14ac:dyDescent="0.3">
      <c r="A115" s="1398"/>
      <c r="B115" s="2165" t="s">
        <v>2543</v>
      </c>
      <c r="C115" s="2151"/>
      <c r="D115" s="2151"/>
      <c r="E115" s="2151"/>
      <c r="F115" s="2151"/>
      <c r="G115" s="2151"/>
      <c r="H115" s="2151"/>
      <c r="I115" s="2151"/>
      <c r="J115" s="2157"/>
      <c r="K115" s="2151"/>
      <c r="L115" s="2157"/>
      <c r="M115" s="2151"/>
      <c r="N115" s="2157"/>
      <c r="O115" s="2157"/>
      <c r="P115" s="2157"/>
      <c r="Q115" s="2157"/>
      <c r="R115" s="1398"/>
      <c r="S115" s="1398"/>
      <c r="T115" s="1398"/>
      <c r="U115" s="1398"/>
      <c r="V115" s="1398"/>
      <c r="W115" s="1398"/>
      <c r="X115" s="1398"/>
      <c r="Y115" s="1398"/>
      <c r="Z115" s="1398"/>
      <c r="AA115" s="1398"/>
      <c r="AB115" s="1398"/>
      <c r="AC115" s="1398"/>
      <c r="AD115" s="1398"/>
      <c r="AE115" s="1398"/>
    </row>
    <row r="116" spans="1:31" ht="15" customHeight="1" x14ac:dyDescent="0.3">
      <c r="A116" s="1398"/>
      <c r="B116" s="2180" t="s">
        <v>2546</v>
      </c>
      <c r="C116" s="2151"/>
      <c r="D116" s="2151"/>
      <c r="E116" s="2151"/>
      <c r="F116" s="2151"/>
      <c r="G116" s="2151"/>
      <c r="H116" s="2151"/>
      <c r="I116" s="2151"/>
      <c r="J116" s="2157"/>
      <c r="K116" s="2151"/>
      <c r="L116" s="2157"/>
      <c r="M116" s="2151"/>
      <c r="N116" s="2157"/>
      <c r="O116" s="2157"/>
      <c r="P116" s="2157"/>
      <c r="Q116" s="2157"/>
      <c r="R116" s="1398"/>
      <c r="S116" s="1398"/>
      <c r="T116" s="1398"/>
      <c r="U116" s="1398"/>
      <c r="V116" s="1398"/>
      <c r="W116" s="1398"/>
      <c r="X116" s="1398"/>
      <c r="Y116" s="1398"/>
      <c r="Z116" s="1398"/>
      <c r="AA116" s="1398"/>
      <c r="AB116" s="1398"/>
      <c r="AC116" s="1398"/>
      <c r="AD116" s="1398"/>
      <c r="AE116" s="1398"/>
    </row>
    <row r="117" spans="1:31" ht="15" customHeight="1" x14ac:dyDescent="0.3">
      <c r="A117" s="1398"/>
      <c r="B117" s="2165" t="s">
        <v>2543</v>
      </c>
      <c r="C117" s="2151"/>
      <c r="D117" s="2151"/>
      <c r="E117" s="2151"/>
      <c r="F117" s="2151"/>
      <c r="G117" s="2151"/>
      <c r="H117" s="2151"/>
      <c r="I117" s="2151"/>
      <c r="J117" s="2157"/>
      <c r="K117" s="2151"/>
      <c r="L117" s="2157"/>
      <c r="M117" s="2151"/>
      <c r="N117" s="2157"/>
      <c r="O117" s="2157"/>
      <c r="P117" s="2157"/>
      <c r="Q117" s="2157"/>
      <c r="R117" s="1398"/>
      <c r="S117" s="1398"/>
      <c r="T117" s="1398"/>
      <c r="U117" s="1398"/>
      <c r="V117" s="1398"/>
      <c r="W117" s="1398"/>
      <c r="X117" s="1398"/>
      <c r="Y117" s="1398"/>
      <c r="Z117" s="1398"/>
      <c r="AA117" s="1398"/>
      <c r="AB117" s="1398"/>
      <c r="AC117" s="1398"/>
      <c r="AD117" s="1398"/>
      <c r="AE117" s="1398"/>
    </row>
    <row r="118" spans="1:31" ht="15" customHeight="1" x14ac:dyDescent="0.3">
      <c r="A118" s="1398"/>
      <c r="B118" s="2155" t="s">
        <v>1760</v>
      </c>
      <c r="C118" s="2151"/>
      <c r="D118" s="2151"/>
      <c r="E118" s="2151"/>
      <c r="F118" s="2151"/>
      <c r="G118" s="2151"/>
      <c r="H118" s="2151"/>
      <c r="I118" s="2151"/>
      <c r="J118" s="2157"/>
      <c r="K118" s="2151"/>
      <c r="L118" s="2157"/>
      <c r="M118" s="2151"/>
      <c r="N118" s="2157"/>
      <c r="O118" s="2157"/>
      <c r="P118" s="2157"/>
      <c r="Q118" s="2157"/>
      <c r="R118" s="1398"/>
      <c r="S118" s="1398"/>
      <c r="T118" s="1398"/>
      <c r="U118" s="1398"/>
      <c r="V118" s="1398"/>
      <c r="W118" s="1398"/>
      <c r="X118" s="1398"/>
      <c r="Y118" s="1398"/>
      <c r="Z118" s="1398"/>
      <c r="AA118" s="1398"/>
      <c r="AB118" s="1398"/>
      <c r="AC118" s="1398"/>
      <c r="AD118" s="1398"/>
      <c r="AE118" s="1398"/>
    </row>
    <row r="119" spans="1:31" ht="15" customHeight="1" x14ac:dyDescent="0.3">
      <c r="A119" s="1398"/>
      <c r="B119" s="2165" t="s">
        <v>2543</v>
      </c>
      <c r="C119" s="2151"/>
      <c r="D119" s="2151"/>
      <c r="E119" s="2151"/>
      <c r="F119" s="2151"/>
      <c r="G119" s="2151"/>
      <c r="H119" s="2151"/>
      <c r="I119" s="2151"/>
      <c r="J119" s="2157"/>
      <c r="K119" s="2151"/>
      <c r="L119" s="2157"/>
      <c r="M119" s="2151"/>
      <c r="N119" s="2157"/>
      <c r="O119" s="2157"/>
      <c r="P119" s="2157"/>
      <c r="Q119" s="2157"/>
      <c r="R119" s="1398"/>
      <c r="S119" s="1398"/>
      <c r="T119" s="1398"/>
      <c r="U119" s="1398"/>
      <c r="V119" s="1398"/>
      <c r="W119" s="1398"/>
      <c r="X119" s="1398"/>
      <c r="Y119" s="1398"/>
      <c r="Z119" s="1398"/>
      <c r="AA119" s="1398"/>
      <c r="AB119" s="1398"/>
      <c r="AC119" s="1398"/>
      <c r="AD119" s="1398"/>
      <c r="AE119" s="1398"/>
    </row>
    <row r="120" spans="1:31" ht="15" customHeight="1" x14ac:dyDescent="0.35">
      <c r="A120" s="1398"/>
      <c r="B120" s="2164" t="s">
        <v>2545</v>
      </c>
      <c r="C120" s="2159" t="str">
        <f t="shared" ref="C120:I120" si="14">IF(AND(ISNUMBER(C121),ISNUMBER(C123)),C121+C123,"")</f>
        <v/>
      </c>
      <c r="D120" s="2159" t="str">
        <f t="shared" si="14"/>
        <v/>
      </c>
      <c r="E120" s="2159" t="str">
        <f t="shared" si="14"/>
        <v/>
      </c>
      <c r="F120" s="2159" t="str">
        <f t="shared" si="14"/>
        <v/>
      </c>
      <c r="G120" s="2159" t="str">
        <f t="shared" si="14"/>
        <v/>
      </c>
      <c r="H120" s="2159" t="str">
        <f t="shared" si="14"/>
        <v/>
      </c>
      <c r="I120" s="2159" t="str">
        <f t="shared" si="14"/>
        <v/>
      </c>
      <c r="J120" s="2157"/>
      <c r="K120" s="2159" t="str">
        <f>IF(AND(ISNUMBER(K121),ISNUMBER(K123)),K121+K123,"")</f>
        <v/>
      </c>
      <c r="L120" s="2157"/>
      <c r="M120" s="2159" t="str">
        <f>IF(AND(ISNUMBER(M121),ISNUMBER(M123)),M121+M123,"")</f>
        <v/>
      </c>
      <c r="N120" s="2157"/>
      <c r="O120" s="2157"/>
      <c r="P120" s="2157"/>
      <c r="Q120" s="2157"/>
      <c r="R120" s="1398"/>
      <c r="S120" s="1398"/>
      <c r="T120" s="1398"/>
      <c r="U120" s="1398"/>
      <c r="V120" s="1398"/>
      <c r="W120" s="1398"/>
      <c r="X120" s="1398"/>
      <c r="Y120" s="1398"/>
      <c r="Z120" s="1398"/>
      <c r="AA120" s="1398"/>
      <c r="AB120" s="1398"/>
      <c r="AC120" s="1398"/>
      <c r="AD120" s="1398"/>
      <c r="AE120" s="1398"/>
    </row>
    <row r="121" spans="1:31" ht="15" customHeight="1" x14ac:dyDescent="0.3">
      <c r="A121" s="1398"/>
      <c r="B121" s="2163" t="s">
        <v>2544</v>
      </c>
      <c r="C121" s="2151"/>
      <c r="D121" s="2151"/>
      <c r="E121" s="2151"/>
      <c r="F121" s="2151"/>
      <c r="G121" s="2151"/>
      <c r="H121" s="2151"/>
      <c r="I121" s="2151"/>
      <c r="J121" s="2157"/>
      <c r="K121" s="2151"/>
      <c r="L121" s="2157"/>
      <c r="M121" s="2151"/>
      <c r="N121" s="2157"/>
      <c r="O121" s="2157"/>
      <c r="P121" s="2157"/>
      <c r="Q121" s="2157"/>
      <c r="R121" s="1398"/>
      <c r="S121" s="1398"/>
      <c r="T121" s="1398"/>
      <c r="U121" s="1398"/>
      <c r="V121" s="1398"/>
      <c r="W121" s="1398"/>
      <c r="X121" s="1398"/>
      <c r="Y121" s="1398"/>
      <c r="Z121" s="1398"/>
      <c r="AA121" s="1398"/>
      <c r="AB121" s="1398"/>
      <c r="AC121" s="1398"/>
      <c r="AD121" s="1398"/>
      <c r="AE121" s="1398"/>
    </row>
    <row r="122" spans="1:31" ht="15" customHeight="1" x14ac:dyDescent="0.3">
      <c r="A122" s="1398"/>
      <c r="B122" s="2162" t="s">
        <v>2543</v>
      </c>
      <c r="C122" s="2151"/>
      <c r="D122" s="2151"/>
      <c r="E122" s="2151"/>
      <c r="F122" s="2151"/>
      <c r="G122" s="2151"/>
      <c r="H122" s="2151"/>
      <c r="I122" s="2151"/>
      <c r="J122" s="2157"/>
      <c r="K122" s="2151"/>
      <c r="L122" s="2157"/>
      <c r="M122" s="2151"/>
      <c r="N122" s="2157"/>
      <c r="O122" s="2157"/>
      <c r="P122" s="2157"/>
      <c r="Q122" s="2157"/>
      <c r="R122" s="1398"/>
      <c r="S122" s="1398"/>
      <c r="T122" s="1398"/>
      <c r="U122" s="1398"/>
      <c r="V122" s="1398"/>
      <c r="W122" s="1398"/>
      <c r="X122" s="1398"/>
      <c r="Y122" s="1398"/>
      <c r="Z122" s="1398"/>
      <c r="AA122" s="1398"/>
      <c r="AB122" s="1398"/>
      <c r="AC122" s="1398"/>
      <c r="AD122" s="1398"/>
      <c r="AE122" s="1398"/>
    </row>
    <row r="123" spans="1:31" ht="15" customHeight="1" x14ac:dyDescent="0.3">
      <c r="A123" s="1398"/>
      <c r="B123" s="2163" t="s">
        <v>1760</v>
      </c>
      <c r="C123" s="2151"/>
      <c r="D123" s="2151"/>
      <c r="E123" s="2151"/>
      <c r="F123" s="2151"/>
      <c r="G123" s="2151"/>
      <c r="H123" s="2151"/>
      <c r="I123" s="2151"/>
      <c r="J123" s="2157"/>
      <c r="K123" s="2151"/>
      <c r="L123" s="2157"/>
      <c r="M123" s="2151"/>
      <c r="N123" s="2157"/>
      <c r="O123" s="2157"/>
      <c r="P123" s="2157"/>
      <c r="Q123" s="2157"/>
      <c r="R123" s="1398"/>
      <c r="S123" s="1398"/>
      <c r="T123" s="1398"/>
      <c r="U123" s="1398"/>
      <c r="V123" s="1398"/>
      <c r="W123" s="1398"/>
      <c r="X123" s="1398"/>
      <c r="Y123" s="1398"/>
      <c r="Z123" s="1398"/>
      <c r="AA123" s="1398"/>
      <c r="AB123" s="1398"/>
      <c r="AC123" s="1398"/>
      <c r="AD123" s="1398"/>
      <c r="AE123" s="1398"/>
    </row>
    <row r="124" spans="1:31" ht="15" customHeight="1" x14ac:dyDescent="0.3">
      <c r="A124" s="1398"/>
      <c r="B124" s="2162" t="s">
        <v>2543</v>
      </c>
      <c r="C124" s="2151"/>
      <c r="D124" s="2151"/>
      <c r="E124" s="2151"/>
      <c r="F124" s="2151"/>
      <c r="G124" s="2151"/>
      <c r="H124" s="2151"/>
      <c r="I124" s="2151"/>
      <c r="J124" s="2157"/>
      <c r="K124" s="2151"/>
      <c r="L124" s="2157"/>
      <c r="M124" s="2151"/>
      <c r="N124" s="2157"/>
      <c r="O124" s="2157"/>
      <c r="P124" s="2157"/>
      <c r="Q124" s="2157"/>
      <c r="R124" s="1398"/>
      <c r="S124" s="1398"/>
      <c r="T124" s="1398"/>
      <c r="U124" s="1398"/>
      <c r="V124" s="1398"/>
      <c r="W124" s="1398"/>
      <c r="X124" s="1398"/>
      <c r="Y124" s="1398"/>
      <c r="Z124" s="1398"/>
      <c r="AA124" s="1398"/>
      <c r="AB124" s="1398"/>
      <c r="AC124" s="1398"/>
      <c r="AD124" s="1398"/>
      <c r="AE124" s="1398"/>
    </row>
    <row r="125" spans="1:31" ht="15" customHeight="1" x14ac:dyDescent="0.3">
      <c r="A125" s="1398"/>
      <c r="B125" s="2181" t="s">
        <v>1941</v>
      </c>
      <c r="C125" s="2151"/>
      <c r="D125" s="2151"/>
      <c r="E125" s="2151"/>
      <c r="F125" s="2151"/>
      <c r="G125" s="2151"/>
      <c r="H125" s="2151"/>
      <c r="I125" s="2151"/>
      <c r="J125" s="2157"/>
      <c r="K125" s="2151"/>
      <c r="L125" s="2157"/>
      <c r="M125" s="2151"/>
      <c r="N125" s="2157"/>
      <c r="O125" s="2157"/>
      <c r="P125" s="2157"/>
      <c r="Q125" s="2157"/>
      <c r="R125" s="1398"/>
      <c r="S125" s="1398"/>
      <c r="T125" s="1398"/>
      <c r="U125" s="1398"/>
      <c r="V125" s="1398"/>
      <c r="W125" s="1398"/>
      <c r="X125" s="1398"/>
      <c r="Y125" s="1398"/>
      <c r="Z125" s="1398"/>
      <c r="AA125" s="1398"/>
      <c r="AB125" s="1398"/>
      <c r="AC125" s="1398"/>
      <c r="AD125" s="1398"/>
      <c r="AE125" s="1398"/>
    </row>
    <row r="126" spans="1:31" ht="15" customHeight="1" x14ac:dyDescent="0.35">
      <c r="A126" s="1398"/>
      <c r="B126" s="2181" t="s">
        <v>2542</v>
      </c>
      <c r="C126" s="2159" t="str">
        <f t="shared" ref="C126:I126" si="15">IF(AND(ISNUMBER(C127),ISNUMBER(C128)),C127+C128,"")</f>
        <v/>
      </c>
      <c r="D126" s="2159" t="str">
        <f t="shared" si="15"/>
        <v/>
      </c>
      <c r="E126" s="2159" t="str">
        <f t="shared" si="15"/>
        <v/>
      </c>
      <c r="F126" s="2159" t="str">
        <f t="shared" si="15"/>
        <v/>
      </c>
      <c r="G126" s="2159" t="str">
        <f t="shared" si="15"/>
        <v/>
      </c>
      <c r="H126" s="2159" t="str">
        <f t="shared" si="15"/>
        <v/>
      </c>
      <c r="I126" s="2159" t="str">
        <f t="shared" si="15"/>
        <v/>
      </c>
      <c r="J126" s="2157"/>
      <c r="K126" s="2159" t="str">
        <f>IF(AND(ISNUMBER(K127),ISNUMBER(K128)),K127+K128,"")</f>
        <v/>
      </c>
      <c r="L126" s="2157"/>
      <c r="M126" s="2159" t="str">
        <f>IF(AND(ISNUMBER(M127),ISNUMBER(M128)),M127+M128,"")</f>
        <v/>
      </c>
      <c r="N126" s="2157"/>
      <c r="O126" s="2157"/>
      <c r="P126" s="2157"/>
      <c r="Q126" s="2157"/>
      <c r="R126" s="1398"/>
      <c r="S126" s="1398"/>
      <c r="T126" s="1398"/>
      <c r="U126" s="1398"/>
      <c r="V126" s="1398"/>
      <c r="W126" s="1398"/>
      <c r="X126" s="1398"/>
      <c r="Y126" s="1398"/>
      <c r="Z126" s="1398"/>
      <c r="AA126" s="1398"/>
      <c r="AB126" s="1398"/>
      <c r="AC126" s="1398"/>
      <c r="AD126" s="1398"/>
      <c r="AE126" s="1398"/>
    </row>
    <row r="127" spans="1:31" ht="15" customHeight="1" x14ac:dyDescent="0.3">
      <c r="A127" s="1398"/>
      <c r="B127" s="2163" t="s">
        <v>2541</v>
      </c>
      <c r="C127" s="2151"/>
      <c r="D127" s="2151"/>
      <c r="E127" s="2151"/>
      <c r="F127" s="2151"/>
      <c r="G127" s="2151"/>
      <c r="H127" s="2151"/>
      <c r="I127" s="2151"/>
      <c r="J127" s="2157"/>
      <c r="K127" s="2151"/>
      <c r="L127" s="2157"/>
      <c r="M127" s="2151"/>
      <c r="N127" s="2157"/>
      <c r="O127" s="2157"/>
      <c r="P127" s="2157"/>
      <c r="Q127" s="2157"/>
      <c r="R127" s="1398"/>
      <c r="S127" s="1398"/>
      <c r="T127" s="1398"/>
      <c r="U127" s="1398"/>
      <c r="V127" s="1398"/>
      <c r="W127" s="1398"/>
      <c r="X127" s="1398"/>
      <c r="Y127" s="1398"/>
      <c r="Z127" s="1398"/>
      <c r="AA127" s="1398"/>
      <c r="AB127" s="1398"/>
      <c r="AC127" s="1398"/>
      <c r="AD127" s="1398"/>
      <c r="AE127" s="1398"/>
    </row>
    <row r="128" spans="1:31" ht="15" customHeight="1" x14ac:dyDescent="0.3">
      <c r="A128" s="1398"/>
      <c r="B128" s="2155" t="s">
        <v>1760</v>
      </c>
      <c r="C128" s="2151"/>
      <c r="D128" s="2151"/>
      <c r="E128" s="2151"/>
      <c r="F128" s="2151"/>
      <c r="G128" s="2151"/>
      <c r="H128" s="2151"/>
      <c r="I128" s="2151"/>
      <c r="J128" s="2157"/>
      <c r="K128" s="2151"/>
      <c r="L128" s="2157"/>
      <c r="M128" s="2151"/>
      <c r="N128" s="2157"/>
      <c r="O128" s="2157"/>
      <c r="P128" s="2157"/>
      <c r="Q128" s="2157"/>
      <c r="R128" s="1398"/>
      <c r="S128" s="1398"/>
      <c r="T128" s="1398"/>
      <c r="U128" s="1398"/>
      <c r="V128" s="1398"/>
      <c r="W128" s="1398"/>
      <c r="X128" s="1398"/>
      <c r="Y128" s="1398"/>
      <c r="Z128" s="1398"/>
      <c r="AA128" s="1398"/>
      <c r="AB128" s="1398"/>
      <c r="AC128" s="1398"/>
      <c r="AD128" s="1398"/>
      <c r="AE128" s="1398"/>
    </row>
    <row r="129" spans="1:31" ht="15" customHeight="1" x14ac:dyDescent="0.35">
      <c r="A129" s="1398"/>
      <c r="B129" s="2164" t="s">
        <v>2540</v>
      </c>
      <c r="C129" s="2159" t="str">
        <f t="shared" ref="C129:I129" si="16">IF(AND(ISNUMBER(C130),ISNUMBER(C131)),C130+C131,"")</f>
        <v/>
      </c>
      <c r="D129" s="2159" t="str">
        <f t="shared" si="16"/>
        <v/>
      </c>
      <c r="E129" s="2159" t="str">
        <f t="shared" si="16"/>
        <v/>
      </c>
      <c r="F129" s="2159" t="str">
        <f t="shared" si="16"/>
        <v/>
      </c>
      <c r="G129" s="2159" t="str">
        <f t="shared" si="16"/>
        <v/>
      </c>
      <c r="H129" s="2159" t="str">
        <f t="shared" si="16"/>
        <v/>
      </c>
      <c r="I129" s="2159" t="str">
        <f t="shared" si="16"/>
        <v/>
      </c>
      <c r="J129" s="2157"/>
      <c r="K129" s="2159" t="str">
        <f>IF(AND(ISNUMBER(K130),ISNUMBER(K131)),K130+K131,"")</f>
        <v/>
      </c>
      <c r="L129" s="2157"/>
      <c r="M129" s="2159" t="str">
        <f>IF(AND(ISNUMBER(M130),ISNUMBER(M131)),M130+M131,"")</f>
        <v/>
      </c>
      <c r="N129" s="2157"/>
      <c r="O129" s="2157"/>
      <c r="P129" s="2157"/>
      <c r="Q129" s="2157"/>
      <c r="R129" s="1398"/>
      <c r="S129" s="1398"/>
      <c r="T129" s="1398"/>
      <c r="U129" s="1398"/>
      <c r="V129" s="1398"/>
      <c r="W129" s="1398"/>
      <c r="X129" s="1398"/>
      <c r="Y129" s="1398"/>
      <c r="Z129" s="1398"/>
      <c r="AA129" s="1398"/>
      <c r="AB129" s="1398"/>
      <c r="AC129" s="1398"/>
      <c r="AD129" s="1398"/>
      <c r="AE129" s="1398"/>
    </row>
    <row r="130" spans="1:31" ht="15" customHeight="1" x14ac:dyDescent="0.3">
      <c r="A130" s="1398"/>
      <c r="B130" s="2163" t="s">
        <v>2539</v>
      </c>
      <c r="C130" s="2151"/>
      <c r="D130" s="2151"/>
      <c r="E130" s="2151"/>
      <c r="F130" s="2151"/>
      <c r="G130" s="2151"/>
      <c r="H130" s="2151"/>
      <c r="I130" s="2151"/>
      <c r="J130" s="2157"/>
      <c r="K130" s="2151"/>
      <c r="L130" s="2157"/>
      <c r="M130" s="2151"/>
      <c r="N130" s="2157"/>
      <c r="O130" s="2157"/>
      <c r="P130" s="2157"/>
      <c r="Q130" s="2157"/>
      <c r="R130" s="1398"/>
      <c r="S130" s="1398"/>
      <c r="T130" s="1398"/>
      <c r="U130" s="1398"/>
      <c r="V130" s="1398"/>
      <c r="W130" s="1398"/>
      <c r="X130" s="1398"/>
      <c r="Y130" s="1398"/>
      <c r="Z130" s="1398"/>
      <c r="AA130" s="1398"/>
      <c r="AB130" s="1398"/>
      <c r="AC130" s="1398"/>
      <c r="AD130" s="1398"/>
      <c r="AE130" s="1398"/>
    </row>
    <row r="131" spans="1:31" ht="15" customHeight="1" x14ac:dyDescent="0.3">
      <c r="A131" s="1398"/>
      <c r="B131" s="2163" t="s">
        <v>1760</v>
      </c>
      <c r="C131" s="2151"/>
      <c r="D131" s="2151"/>
      <c r="E131" s="2151"/>
      <c r="F131" s="2151"/>
      <c r="G131" s="2151"/>
      <c r="H131" s="2151"/>
      <c r="I131" s="2151"/>
      <c r="J131" s="2157"/>
      <c r="K131" s="2151"/>
      <c r="L131" s="2157"/>
      <c r="M131" s="2151"/>
      <c r="N131" s="2157"/>
      <c r="O131" s="2157"/>
      <c r="P131" s="2157"/>
      <c r="Q131" s="2157"/>
      <c r="R131" s="1398"/>
      <c r="S131" s="1398"/>
      <c r="T131" s="1398"/>
      <c r="U131" s="1398"/>
      <c r="V131" s="1398"/>
      <c r="W131" s="1398"/>
      <c r="X131" s="1398"/>
      <c r="Y131" s="1398"/>
      <c r="Z131" s="1398"/>
      <c r="AA131" s="1398"/>
      <c r="AB131" s="1398"/>
      <c r="AC131" s="1398"/>
      <c r="AD131" s="1398"/>
      <c r="AE131" s="1398"/>
    </row>
    <row r="132" spans="1:31" ht="15" customHeight="1" x14ac:dyDescent="0.35">
      <c r="A132" s="1398"/>
      <c r="B132" s="569" t="s">
        <v>59</v>
      </c>
      <c r="C132" s="2156">
        <f t="shared" ref="C132:Q132" si="17">IF(AND(ISNUMBER(C134),ISNUMBER(C133)),SUM(C133:C134),0)</f>
        <v>0</v>
      </c>
      <c r="D132" s="2156">
        <f t="shared" si="17"/>
        <v>0</v>
      </c>
      <c r="E132" s="2156">
        <f t="shared" si="17"/>
        <v>0</v>
      </c>
      <c r="F132" s="2156">
        <f t="shared" si="17"/>
        <v>0</v>
      </c>
      <c r="G132" s="2156">
        <f t="shared" si="17"/>
        <v>0</v>
      </c>
      <c r="H132" s="2156">
        <f t="shared" si="17"/>
        <v>0</v>
      </c>
      <c r="I132" s="2156">
        <f t="shared" si="17"/>
        <v>0</v>
      </c>
      <c r="J132" s="2156">
        <f t="shared" si="17"/>
        <v>0</v>
      </c>
      <c r="K132" s="2156">
        <f t="shared" si="17"/>
        <v>0</v>
      </c>
      <c r="L132" s="2156">
        <f t="shared" si="17"/>
        <v>0</v>
      </c>
      <c r="M132" s="2156">
        <f t="shared" si="17"/>
        <v>0</v>
      </c>
      <c r="N132" s="2156">
        <f t="shared" si="17"/>
        <v>0</v>
      </c>
      <c r="O132" s="2156">
        <f t="shared" si="17"/>
        <v>0</v>
      </c>
      <c r="P132" s="2156">
        <f t="shared" si="17"/>
        <v>0</v>
      </c>
      <c r="Q132" s="2156">
        <f t="shared" si="17"/>
        <v>0</v>
      </c>
      <c r="R132" s="1398"/>
      <c r="S132" s="1398"/>
      <c r="T132" s="1398"/>
      <c r="U132" s="1398"/>
      <c r="V132" s="1398"/>
      <c r="W132" s="1398"/>
      <c r="X132" s="1398"/>
      <c r="Y132" s="1398"/>
      <c r="Z132" s="1398"/>
      <c r="AA132" s="1398"/>
      <c r="AB132" s="1398"/>
      <c r="AC132" s="1398"/>
      <c r="AD132" s="1398"/>
      <c r="AE132" s="1398"/>
    </row>
    <row r="133" spans="1:31" ht="15" customHeight="1" x14ac:dyDescent="0.3">
      <c r="A133" s="1398"/>
      <c r="B133" s="2155" t="s">
        <v>2538</v>
      </c>
      <c r="C133" s="2151"/>
      <c r="D133" s="2151"/>
      <c r="E133" s="2151"/>
      <c r="F133" s="2151"/>
      <c r="G133" s="2151"/>
      <c r="H133" s="2151"/>
      <c r="I133" s="23"/>
      <c r="J133" s="2151"/>
      <c r="K133" s="2151"/>
      <c r="L133" s="2151"/>
      <c r="M133" s="2151"/>
      <c r="N133" s="2151"/>
      <c r="O133" s="2151"/>
      <c r="P133" s="2151"/>
      <c r="Q133" s="2151"/>
      <c r="R133" s="1398"/>
      <c r="S133" s="1398"/>
      <c r="T133" s="1398"/>
      <c r="U133" s="1398"/>
      <c r="V133" s="1398"/>
      <c r="W133" s="1398"/>
      <c r="X133" s="1398"/>
      <c r="Y133" s="1398"/>
      <c r="Z133" s="1398"/>
      <c r="AA133" s="1398"/>
      <c r="AB133" s="1398"/>
      <c r="AC133" s="1398"/>
      <c r="AD133" s="1398"/>
      <c r="AE133" s="1398"/>
    </row>
    <row r="134" spans="1:31" ht="15" customHeight="1" x14ac:dyDescent="0.3">
      <c r="A134" s="1398"/>
      <c r="B134" s="2155" t="s">
        <v>2537</v>
      </c>
      <c r="C134" s="2151"/>
      <c r="D134" s="2151"/>
      <c r="E134" s="2151"/>
      <c r="F134" s="2151"/>
      <c r="G134" s="2151"/>
      <c r="H134" s="2151"/>
      <c r="I134" s="23"/>
      <c r="J134" s="2151"/>
      <c r="K134" s="2151"/>
      <c r="L134" s="2151"/>
      <c r="M134" s="2151"/>
      <c r="N134" s="2151"/>
      <c r="O134" s="2151"/>
      <c r="P134" s="2151"/>
      <c r="Q134" s="2151"/>
      <c r="R134" s="1398"/>
      <c r="S134" s="1398"/>
      <c r="T134" s="1398"/>
      <c r="U134" s="1398"/>
      <c r="V134" s="1398"/>
      <c r="W134" s="1398"/>
      <c r="X134" s="1398"/>
      <c r="Y134" s="1398"/>
      <c r="Z134" s="1398"/>
      <c r="AA134" s="1398"/>
      <c r="AB134" s="1398"/>
      <c r="AC134" s="1398"/>
      <c r="AD134" s="1398"/>
      <c r="AE134" s="1398"/>
    </row>
    <row r="135" spans="1:31" ht="15" customHeight="1" x14ac:dyDescent="0.3">
      <c r="A135" s="1398"/>
      <c r="B135" s="2154" t="str">
        <f>"Check: row " &amp; ROW(B132) &amp;" = sum(row " &amp; ROW(B133) &amp; ", row "&amp; ROW(B134)&amp;")"</f>
        <v>Check: row 132 = sum(row 133, row 134)</v>
      </c>
      <c r="C135" s="2153" t="str">
        <f t="shared" ref="C135:Q135" si="18">IF(AND(ISNUMBER(C133), ISNUMBER(C134)), IF(C132=SUM(C133:C134), "Pass", "Fail"), "")</f>
        <v/>
      </c>
      <c r="D135" s="2153" t="str">
        <f t="shared" si="18"/>
        <v/>
      </c>
      <c r="E135" s="2153" t="str">
        <f t="shared" si="18"/>
        <v/>
      </c>
      <c r="F135" s="2153" t="str">
        <f t="shared" si="18"/>
        <v/>
      </c>
      <c r="G135" s="2153" t="str">
        <f t="shared" si="18"/>
        <v/>
      </c>
      <c r="H135" s="2153" t="str">
        <f t="shared" si="18"/>
        <v/>
      </c>
      <c r="I135" s="2153" t="str">
        <f t="shared" si="18"/>
        <v/>
      </c>
      <c r="J135" s="2153" t="str">
        <f t="shared" si="18"/>
        <v/>
      </c>
      <c r="K135" s="2153" t="str">
        <f t="shared" si="18"/>
        <v/>
      </c>
      <c r="L135" s="2153" t="str">
        <f t="shared" si="18"/>
        <v/>
      </c>
      <c r="M135" s="2153" t="str">
        <f t="shared" si="18"/>
        <v/>
      </c>
      <c r="N135" s="2153" t="str">
        <f t="shared" si="18"/>
        <v/>
      </c>
      <c r="O135" s="2153" t="str">
        <f t="shared" si="18"/>
        <v/>
      </c>
      <c r="P135" s="2153" t="str">
        <f t="shared" si="18"/>
        <v/>
      </c>
      <c r="Q135" s="2153" t="str">
        <f t="shared" si="18"/>
        <v/>
      </c>
      <c r="R135" s="1398"/>
      <c r="S135" s="1398"/>
      <c r="T135" s="1398"/>
      <c r="U135" s="1398"/>
      <c r="V135" s="1398"/>
      <c r="W135" s="1398"/>
      <c r="X135" s="1398"/>
      <c r="Y135" s="1398"/>
      <c r="Z135" s="1398"/>
      <c r="AA135" s="1398"/>
      <c r="AB135" s="1398"/>
      <c r="AC135" s="1398"/>
      <c r="AD135" s="1398"/>
      <c r="AE135" s="1398"/>
    </row>
    <row r="136" spans="1:31" ht="15" customHeight="1" x14ac:dyDescent="0.3">
      <c r="A136" s="1398"/>
      <c r="B136" s="2152" t="s">
        <v>2536</v>
      </c>
      <c r="C136" s="2151"/>
      <c r="D136" s="1398"/>
      <c r="E136" s="1398"/>
      <c r="F136" s="1398"/>
      <c r="G136" s="1398"/>
      <c r="H136" s="1398"/>
      <c r="I136" s="1398"/>
      <c r="J136" s="1398"/>
      <c r="K136" s="1398"/>
      <c r="L136" s="1398"/>
      <c r="M136" s="1398"/>
      <c r="N136" s="1398"/>
      <c r="O136" s="1398"/>
      <c r="P136" s="1398"/>
      <c r="Q136" s="1398"/>
      <c r="R136" s="1398"/>
      <c r="S136" s="1398"/>
      <c r="T136" s="1398"/>
      <c r="U136" s="1398"/>
      <c r="V136" s="1398"/>
      <c r="W136" s="1398"/>
      <c r="X136" s="1398"/>
      <c r="Y136" s="1398"/>
      <c r="Z136" s="1398"/>
      <c r="AA136" s="1398"/>
      <c r="AB136" s="1398"/>
      <c r="AC136" s="1398"/>
      <c r="AD136" s="1398"/>
      <c r="AE136" s="1398"/>
    </row>
    <row r="137" spans="1:31" ht="15" customHeight="1" x14ac:dyDescent="0.3">
      <c r="A137" s="1398"/>
      <c r="B137" s="2150" t="s">
        <v>2535</v>
      </c>
      <c r="C137" s="2149"/>
      <c r="D137" s="1398"/>
      <c r="E137" s="1398"/>
      <c r="F137" s="1398"/>
      <c r="G137" s="1398"/>
      <c r="H137" s="1398"/>
      <c r="I137" s="1398"/>
      <c r="J137" s="1398"/>
      <c r="K137" s="1398"/>
      <c r="L137" s="1398"/>
      <c r="M137" s="1398"/>
      <c r="N137" s="1398"/>
      <c r="O137" s="1398"/>
      <c r="P137" s="1398"/>
      <c r="Q137" s="1398"/>
      <c r="R137" s="1398"/>
      <c r="S137" s="1398"/>
      <c r="T137" s="1398"/>
      <c r="U137" s="1398"/>
      <c r="V137" s="1398"/>
      <c r="W137" s="1398"/>
      <c r="X137" s="1398"/>
      <c r="Y137" s="1398"/>
      <c r="Z137" s="1398"/>
      <c r="AA137" s="1398"/>
      <c r="AB137" s="1398"/>
      <c r="AC137" s="1398"/>
      <c r="AD137" s="1398"/>
      <c r="AE137" s="1398"/>
    </row>
    <row r="138" spans="1:31" ht="15" customHeight="1" x14ac:dyDescent="0.35">
      <c r="A138" s="1398"/>
      <c r="D138" s="1398"/>
      <c r="E138" s="1398"/>
      <c r="F138" s="1398"/>
      <c r="G138" s="1398"/>
      <c r="H138" s="1398"/>
      <c r="I138" s="1398"/>
      <c r="J138" s="1398"/>
      <c r="K138" s="1398"/>
      <c r="L138" s="1398"/>
      <c r="M138" s="1398"/>
      <c r="N138" s="1398"/>
      <c r="O138" s="1398"/>
      <c r="P138" s="1398"/>
      <c r="Q138" s="1398"/>
      <c r="R138" s="1398"/>
      <c r="S138" s="1398"/>
      <c r="T138" s="1398"/>
      <c r="U138" s="1398"/>
      <c r="V138" s="1398"/>
      <c r="W138" s="1398"/>
      <c r="X138" s="1398"/>
      <c r="Y138" s="1398"/>
      <c r="Z138" s="1398"/>
      <c r="AA138" s="1398"/>
      <c r="AB138" s="1398"/>
      <c r="AC138" s="1398"/>
      <c r="AD138" s="1398"/>
      <c r="AE138" s="1398"/>
    </row>
    <row r="139" spans="1:31" ht="19.5" customHeight="1" x14ac:dyDescent="0.3">
      <c r="A139" s="2196" t="s">
        <v>2587</v>
      </c>
      <c r="B139" s="2195"/>
      <c r="C139" s="2194" t="s">
        <v>2566</v>
      </c>
      <c r="D139" s="2173" t="str">
        <f>IF(ISBLANK($F$7),"",IF($F$7="No","Please leave Panel B"&amp;COLUMN($F$7)-2&amp;" empty","Please fill in Panel B"&amp;COLUMN($F$7)-2))</f>
        <v/>
      </c>
      <c r="E139" s="2193"/>
      <c r="F139" s="2193"/>
      <c r="G139" s="2193"/>
      <c r="H139" s="2193"/>
      <c r="I139" s="2193"/>
      <c r="J139" s="2193"/>
      <c r="K139" s="2193"/>
      <c r="L139" s="2193"/>
      <c r="M139" s="2193"/>
      <c r="N139" s="2193"/>
      <c r="O139" s="2193"/>
      <c r="P139" s="2193"/>
      <c r="Q139" s="2193"/>
      <c r="R139" s="1398"/>
      <c r="S139" s="1398"/>
      <c r="T139" s="1398"/>
      <c r="U139" s="1398"/>
      <c r="V139" s="1398"/>
      <c r="W139" s="1398"/>
      <c r="X139" s="1398"/>
      <c r="Y139" s="1398"/>
      <c r="Z139" s="1398"/>
      <c r="AA139" s="1398"/>
      <c r="AB139" s="1398"/>
      <c r="AC139" s="1398"/>
      <c r="AD139" s="1398"/>
      <c r="AE139" s="1398"/>
    </row>
    <row r="140" spans="1:31" ht="15" customHeight="1" x14ac:dyDescent="0.35">
      <c r="A140" s="1398"/>
      <c r="C140" s="2980" t="s">
        <v>207</v>
      </c>
      <c r="D140" s="2980"/>
      <c r="E140" s="2980"/>
      <c r="F140" s="2980"/>
      <c r="G140" s="2980"/>
      <c r="H140" s="2980"/>
      <c r="I140" s="2980"/>
      <c r="J140" s="2980"/>
      <c r="K140" s="2980"/>
      <c r="L140" s="2981"/>
      <c r="M140" s="2982" t="s">
        <v>2559</v>
      </c>
      <c r="N140" s="2984" t="s">
        <v>2565</v>
      </c>
      <c r="O140" s="2985"/>
      <c r="P140" s="2985"/>
      <c r="Q140" s="2985"/>
      <c r="R140" s="1398"/>
      <c r="S140" s="1398"/>
      <c r="T140" s="1398"/>
      <c r="U140" s="1398"/>
      <c r="V140" s="1398"/>
      <c r="W140" s="1398"/>
      <c r="X140" s="1398"/>
      <c r="Y140" s="1398"/>
      <c r="Z140" s="1398"/>
      <c r="AA140" s="1398"/>
      <c r="AB140" s="1398"/>
      <c r="AC140" s="1398"/>
      <c r="AD140" s="1398"/>
      <c r="AE140" s="1398"/>
    </row>
    <row r="141" spans="1:31" ht="15" customHeight="1" x14ac:dyDescent="0.35">
      <c r="A141" s="1398"/>
      <c r="B141" s="2172"/>
      <c r="C141" s="2967" t="s">
        <v>2564</v>
      </c>
      <c r="D141" s="2973" t="s">
        <v>465</v>
      </c>
      <c r="E141" s="2974"/>
      <c r="F141" s="2974"/>
      <c r="G141" s="2974"/>
      <c r="H141" s="2975"/>
      <c r="I141" s="2969" t="s">
        <v>2563</v>
      </c>
      <c r="J141" s="2969" t="s">
        <v>2562</v>
      </c>
      <c r="K141" s="2969" t="s">
        <v>2561</v>
      </c>
      <c r="L141" s="2969" t="s">
        <v>2560</v>
      </c>
      <c r="M141" s="2983"/>
      <c r="N141" s="2978" t="s">
        <v>207</v>
      </c>
      <c r="O141" s="2978" t="s">
        <v>2559</v>
      </c>
      <c r="P141" s="2969" t="s">
        <v>59</v>
      </c>
      <c r="Q141" s="2971" t="s">
        <v>2558</v>
      </c>
      <c r="R141" s="1398"/>
      <c r="S141" s="1398"/>
      <c r="T141" s="1398"/>
      <c r="U141" s="1398"/>
      <c r="V141" s="1398"/>
      <c r="W141" s="1398"/>
      <c r="X141" s="1398"/>
      <c r="Y141" s="1398"/>
      <c r="Z141" s="1398"/>
      <c r="AA141" s="1398"/>
      <c r="AB141" s="1398"/>
      <c r="AC141" s="1398"/>
      <c r="AD141" s="1398"/>
      <c r="AE141" s="1398"/>
    </row>
    <row r="142" spans="1:31" ht="48.6" customHeight="1" x14ac:dyDescent="0.35">
      <c r="A142" s="1398"/>
      <c r="B142" s="2171"/>
      <c r="C142" s="2968"/>
      <c r="D142" s="2170" t="s">
        <v>2557</v>
      </c>
      <c r="E142" s="2170" t="s">
        <v>2556</v>
      </c>
      <c r="F142" s="2170" t="s">
        <v>2555</v>
      </c>
      <c r="G142" s="2170" t="s">
        <v>2554</v>
      </c>
      <c r="H142" s="2170" t="s">
        <v>59</v>
      </c>
      <c r="I142" s="2970"/>
      <c r="J142" s="2970"/>
      <c r="K142" s="2970"/>
      <c r="L142" s="2970"/>
      <c r="M142" s="2970"/>
      <c r="N142" s="2979"/>
      <c r="O142" s="2979"/>
      <c r="P142" s="2970"/>
      <c r="Q142" s="2972"/>
      <c r="R142" s="1398"/>
      <c r="S142" s="1398"/>
      <c r="T142" s="1398"/>
      <c r="U142" s="1398"/>
      <c r="V142" s="1398"/>
      <c r="W142" s="1398"/>
      <c r="X142" s="1398"/>
      <c r="Y142" s="1398"/>
      <c r="Z142" s="1398"/>
      <c r="AA142" s="1398"/>
      <c r="AB142" s="1398"/>
      <c r="AC142" s="1398"/>
      <c r="AD142" s="1398"/>
      <c r="AE142" s="1398"/>
    </row>
    <row r="143" spans="1:31" ht="15" customHeight="1" x14ac:dyDescent="0.35">
      <c r="A143" s="1398"/>
      <c r="B143" s="2169" t="s">
        <v>2553</v>
      </c>
      <c r="C143" s="2168" t="str">
        <f t="shared" ref="C143:I143" si="19">IF(AND(ISNUMBER(C156),ISNUMBER(C152),ISNUMBER(C154),ISNUMBER(C144),ISNUMBER(C148),ISNUMBER(C146),ISNUMBER(C150),ISNUMBER(C158)),SUM(C144,C146,C148,C150,C152,C154,C156,C158),"")</f>
        <v/>
      </c>
      <c r="D143" s="2168" t="str">
        <f t="shared" si="19"/>
        <v/>
      </c>
      <c r="E143" s="2168" t="str">
        <f t="shared" si="19"/>
        <v/>
      </c>
      <c r="F143" s="2168" t="str">
        <f t="shared" si="19"/>
        <v/>
      </c>
      <c r="G143" s="2168" t="str">
        <f t="shared" si="19"/>
        <v/>
      </c>
      <c r="H143" s="2168" t="str">
        <f t="shared" si="19"/>
        <v/>
      </c>
      <c r="I143" s="2168" t="str">
        <f t="shared" si="19"/>
        <v/>
      </c>
      <c r="J143" s="2157"/>
      <c r="K143" s="2168" t="str">
        <f>IF(AND(ISNUMBER(K156),ISNUMBER(K152),ISNUMBER(K154),ISNUMBER(K144),ISNUMBER(K148),ISNUMBER(K146),ISNUMBER(K150),ISNUMBER(K158)),SUM(K144,K146,K148,K150,K152,K154,K156,K158),"")</f>
        <v/>
      </c>
      <c r="L143" s="2157"/>
      <c r="M143" s="2168" t="str">
        <f>IF(AND(ISNUMBER(M156),ISNUMBER(M152),ISNUMBER(M154),ISNUMBER(M144),ISNUMBER(M148),ISNUMBER(M146),ISNUMBER(M150),ISNUMBER(M158)),SUM(M144,M146,M148,M150,M152,M154,M156,M158),"")</f>
        <v/>
      </c>
      <c r="N143" s="2167"/>
      <c r="O143" s="2167"/>
      <c r="P143" s="2167"/>
      <c r="Q143" s="2167"/>
      <c r="R143" s="1398"/>
      <c r="S143" s="1398"/>
      <c r="T143" s="1398"/>
      <c r="U143" s="1398"/>
      <c r="V143" s="1398"/>
      <c r="W143" s="1398"/>
      <c r="X143" s="1398"/>
      <c r="Y143" s="1398"/>
      <c r="Z143" s="1398"/>
      <c r="AA143" s="1398"/>
      <c r="AB143" s="1398"/>
      <c r="AC143" s="1398"/>
      <c r="AD143" s="1398"/>
      <c r="AE143" s="1398"/>
    </row>
    <row r="144" spans="1:31" ht="15" customHeight="1" x14ac:dyDescent="0.3">
      <c r="A144" s="1398"/>
      <c r="B144" s="2155" t="s">
        <v>2552</v>
      </c>
      <c r="C144" s="2151"/>
      <c r="D144" s="2151"/>
      <c r="E144" s="2151"/>
      <c r="F144" s="2151"/>
      <c r="G144" s="2151"/>
      <c r="H144" s="2151"/>
      <c r="I144" s="2151"/>
      <c r="J144" s="2157"/>
      <c r="K144" s="2151"/>
      <c r="L144" s="2157"/>
      <c r="M144" s="2151"/>
      <c r="N144" s="2157"/>
      <c r="O144" s="2157"/>
      <c r="P144" s="2157"/>
      <c r="Q144" s="2157"/>
      <c r="R144" s="1398"/>
      <c r="S144" s="1398"/>
      <c r="T144" s="1398"/>
      <c r="U144" s="1398"/>
      <c r="V144" s="1398"/>
      <c r="W144" s="1398"/>
      <c r="X144" s="1398"/>
      <c r="Y144" s="1398"/>
      <c r="Z144" s="1398"/>
      <c r="AA144" s="1398"/>
      <c r="AB144" s="1398"/>
      <c r="AC144" s="1398"/>
      <c r="AD144" s="1398"/>
      <c r="AE144" s="1398"/>
    </row>
    <row r="145" spans="1:31" ht="15" customHeight="1" x14ac:dyDescent="0.3">
      <c r="A145" s="1398"/>
      <c r="B145" s="2165" t="s">
        <v>2543</v>
      </c>
      <c r="C145" s="2151"/>
      <c r="D145" s="2151"/>
      <c r="E145" s="2151"/>
      <c r="F145" s="2151"/>
      <c r="G145" s="2151"/>
      <c r="H145" s="2151"/>
      <c r="I145" s="2151"/>
      <c r="J145" s="2157"/>
      <c r="K145" s="2151"/>
      <c r="L145" s="2157"/>
      <c r="M145" s="2151"/>
      <c r="N145" s="2157"/>
      <c r="O145" s="2157"/>
      <c r="P145" s="2157"/>
      <c r="Q145" s="2157"/>
      <c r="R145" s="1398"/>
      <c r="S145" s="1398"/>
      <c r="T145" s="1398"/>
      <c r="U145" s="1398"/>
      <c r="V145" s="1398"/>
      <c r="W145" s="1398"/>
      <c r="X145" s="1398"/>
      <c r="Y145" s="1398"/>
      <c r="Z145" s="1398"/>
      <c r="AA145" s="1398"/>
      <c r="AB145" s="1398"/>
      <c r="AC145" s="1398"/>
      <c r="AD145" s="1398"/>
      <c r="AE145" s="1398"/>
    </row>
    <row r="146" spans="1:31" ht="15" customHeight="1" x14ac:dyDescent="0.3">
      <c r="A146" s="1398"/>
      <c r="B146" s="2155" t="s">
        <v>2551</v>
      </c>
      <c r="C146" s="2151"/>
      <c r="D146" s="2151"/>
      <c r="E146" s="2151"/>
      <c r="F146" s="2151"/>
      <c r="G146" s="2151"/>
      <c r="H146" s="2151"/>
      <c r="I146" s="2151"/>
      <c r="J146" s="2157"/>
      <c r="K146" s="2151"/>
      <c r="L146" s="2157"/>
      <c r="M146" s="2151"/>
      <c r="N146" s="2157"/>
      <c r="O146" s="2157"/>
      <c r="P146" s="2157"/>
      <c r="Q146" s="2157"/>
      <c r="R146" s="1398"/>
      <c r="S146" s="1398"/>
      <c r="T146" s="1398"/>
      <c r="U146" s="1398"/>
      <c r="V146" s="1398"/>
      <c r="W146" s="1398"/>
      <c r="X146" s="1398"/>
      <c r="Y146" s="1398"/>
      <c r="Z146" s="1398"/>
      <c r="AA146" s="1398"/>
      <c r="AB146" s="1398"/>
      <c r="AC146" s="1398"/>
      <c r="AD146" s="1398"/>
      <c r="AE146" s="1398"/>
    </row>
    <row r="147" spans="1:31" ht="15" customHeight="1" x14ac:dyDescent="0.3">
      <c r="A147" s="1398"/>
      <c r="B147" s="2165" t="s">
        <v>2543</v>
      </c>
      <c r="C147" s="2151"/>
      <c r="D147" s="2151"/>
      <c r="E147" s="2151"/>
      <c r="F147" s="2151"/>
      <c r="G147" s="2151"/>
      <c r="H147" s="2151"/>
      <c r="I147" s="2151"/>
      <c r="J147" s="2157"/>
      <c r="K147" s="2151"/>
      <c r="L147" s="2157"/>
      <c r="M147" s="2151"/>
      <c r="N147" s="2157"/>
      <c r="O147" s="2157"/>
      <c r="P147" s="2157"/>
      <c r="Q147" s="2157"/>
      <c r="R147" s="1398"/>
      <c r="S147" s="1398"/>
      <c r="T147" s="1398"/>
      <c r="U147" s="1398"/>
      <c r="V147" s="1398"/>
      <c r="W147" s="1398"/>
      <c r="X147" s="1398"/>
      <c r="Y147" s="1398"/>
      <c r="Z147" s="1398"/>
      <c r="AA147" s="1398"/>
      <c r="AB147" s="1398"/>
      <c r="AC147" s="1398"/>
      <c r="AD147" s="1398"/>
      <c r="AE147" s="1398"/>
    </row>
    <row r="148" spans="1:31" ht="15" customHeight="1" x14ac:dyDescent="0.3">
      <c r="A148" s="1398"/>
      <c r="B148" s="2155" t="s">
        <v>2550</v>
      </c>
      <c r="C148" s="2151"/>
      <c r="D148" s="2151"/>
      <c r="E148" s="2151"/>
      <c r="F148" s="2151"/>
      <c r="G148" s="2151"/>
      <c r="H148" s="2151"/>
      <c r="I148" s="2151"/>
      <c r="J148" s="2157"/>
      <c r="K148" s="2151"/>
      <c r="L148" s="2157"/>
      <c r="M148" s="2151"/>
      <c r="N148" s="2157"/>
      <c r="O148" s="2157"/>
      <c r="P148" s="2157"/>
      <c r="Q148" s="2157"/>
      <c r="R148" s="1398"/>
      <c r="S148" s="1398"/>
      <c r="T148" s="1398"/>
      <c r="U148" s="1398"/>
      <c r="V148" s="1398"/>
      <c r="W148" s="1398"/>
      <c r="X148" s="1398"/>
      <c r="Y148" s="1398"/>
      <c r="Z148" s="1398"/>
      <c r="AA148" s="1398"/>
      <c r="AB148" s="1398"/>
      <c r="AC148" s="1398"/>
      <c r="AD148" s="1398"/>
      <c r="AE148" s="1398"/>
    </row>
    <row r="149" spans="1:31" ht="15" customHeight="1" x14ac:dyDescent="0.3">
      <c r="A149" s="1398"/>
      <c r="B149" s="2165" t="s">
        <v>2543</v>
      </c>
      <c r="C149" s="2151"/>
      <c r="D149" s="2151"/>
      <c r="E149" s="2151"/>
      <c r="F149" s="2151"/>
      <c r="G149" s="2151"/>
      <c r="H149" s="2151"/>
      <c r="I149" s="2151"/>
      <c r="J149" s="2157"/>
      <c r="K149" s="2151"/>
      <c r="L149" s="2157"/>
      <c r="M149" s="2151"/>
      <c r="N149" s="2157"/>
      <c r="O149" s="2157"/>
      <c r="P149" s="2157"/>
      <c r="Q149" s="2157"/>
      <c r="R149" s="1398"/>
      <c r="S149" s="1398"/>
      <c r="T149" s="1398"/>
      <c r="U149" s="1398"/>
      <c r="V149" s="1398"/>
      <c r="W149" s="1398"/>
      <c r="X149" s="1398"/>
      <c r="Y149" s="1398"/>
      <c r="Z149" s="1398"/>
      <c r="AA149" s="1398"/>
      <c r="AB149" s="1398"/>
      <c r="AC149" s="1398"/>
      <c r="AD149" s="1398"/>
      <c r="AE149" s="1398"/>
    </row>
    <row r="150" spans="1:31" ht="15" customHeight="1" x14ac:dyDescent="0.3">
      <c r="A150" s="1398"/>
      <c r="B150" s="2155" t="s">
        <v>2549</v>
      </c>
      <c r="C150" s="2151"/>
      <c r="D150" s="2151"/>
      <c r="E150" s="2151"/>
      <c r="F150" s="2151"/>
      <c r="G150" s="2151"/>
      <c r="H150" s="2151"/>
      <c r="I150" s="2151"/>
      <c r="J150" s="2157"/>
      <c r="K150" s="2151"/>
      <c r="L150" s="2157"/>
      <c r="M150" s="2151"/>
      <c r="N150" s="2157"/>
      <c r="O150" s="2157"/>
      <c r="P150" s="2157"/>
      <c r="Q150" s="2157"/>
      <c r="R150" s="1398"/>
      <c r="S150" s="1398"/>
      <c r="T150" s="1398"/>
      <c r="U150" s="1398"/>
      <c r="V150" s="1398"/>
      <c r="W150" s="1398"/>
      <c r="X150" s="1398"/>
      <c r="Y150" s="1398"/>
      <c r="Z150" s="1398"/>
      <c r="AA150" s="1398"/>
      <c r="AB150" s="1398"/>
      <c r="AC150" s="1398"/>
      <c r="AD150" s="1398"/>
      <c r="AE150" s="1398"/>
    </row>
    <row r="151" spans="1:31" ht="15" customHeight="1" x14ac:dyDescent="0.3">
      <c r="A151" s="1398"/>
      <c r="B151" s="2165" t="s">
        <v>2543</v>
      </c>
      <c r="C151" s="2151"/>
      <c r="D151" s="2151"/>
      <c r="E151" s="2151"/>
      <c r="F151" s="2151"/>
      <c r="G151" s="2151"/>
      <c r="H151" s="2151"/>
      <c r="I151" s="2151"/>
      <c r="J151" s="2157"/>
      <c r="K151" s="2151"/>
      <c r="L151" s="2157"/>
      <c r="M151" s="2151"/>
      <c r="N151" s="2157"/>
      <c r="O151" s="2157"/>
      <c r="P151" s="2157"/>
      <c r="Q151" s="2157"/>
      <c r="R151" s="1398"/>
      <c r="S151" s="1398"/>
      <c r="T151" s="1398"/>
      <c r="U151" s="1398"/>
      <c r="V151" s="1398"/>
      <c r="W151" s="1398"/>
      <c r="X151" s="1398"/>
      <c r="Y151" s="1398"/>
      <c r="Z151" s="1398"/>
      <c r="AA151" s="1398"/>
      <c r="AB151" s="1398"/>
      <c r="AC151" s="1398"/>
      <c r="AD151" s="1398"/>
      <c r="AE151" s="1398"/>
    </row>
    <row r="152" spans="1:31" ht="15" customHeight="1" x14ac:dyDescent="0.35">
      <c r="A152" s="1398"/>
      <c r="B152" s="2183" t="s">
        <v>2548</v>
      </c>
      <c r="C152" s="2151"/>
      <c r="D152" s="2151"/>
      <c r="E152" s="2151"/>
      <c r="F152" s="2151"/>
      <c r="G152" s="2151"/>
      <c r="H152" s="2151"/>
      <c r="I152" s="2151"/>
      <c r="J152" s="2157"/>
      <c r="K152" s="2151"/>
      <c r="L152" s="2157"/>
      <c r="M152" s="2151"/>
      <c r="N152" s="2157"/>
      <c r="O152" s="2157"/>
      <c r="P152" s="2157"/>
      <c r="Q152" s="2157"/>
      <c r="R152" s="1398"/>
      <c r="S152" s="1398"/>
      <c r="T152" s="1398"/>
      <c r="U152" s="1398"/>
      <c r="V152" s="1398"/>
      <c r="W152" s="1398"/>
      <c r="X152" s="1398"/>
      <c r="Y152" s="1398"/>
      <c r="Z152" s="1398"/>
      <c r="AA152" s="1398"/>
      <c r="AB152" s="1398"/>
      <c r="AC152" s="1398"/>
      <c r="AD152" s="1398"/>
      <c r="AE152" s="1398"/>
    </row>
    <row r="153" spans="1:31" ht="15" customHeight="1" x14ac:dyDescent="0.3">
      <c r="A153" s="1398"/>
      <c r="B153" s="2165" t="s">
        <v>2543</v>
      </c>
      <c r="C153" s="2151"/>
      <c r="D153" s="2151"/>
      <c r="E153" s="2151"/>
      <c r="F153" s="2151"/>
      <c r="G153" s="2151"/>
      <c r="H153" s="2151"/>
      <c r="I153" s="2151"/>
      <c r="J153" s="2157"/>
      <c r="K153" s="2151"/>
      <c r="L153" s="2157"/>
      <c r="M153" s="2151"/>
      <c r="N153" s="2157"/>
      <c r="O153" s="2157"/>
      <c r="P153" s="2157"/>
      <c r="Q153" s="2157"/>
      <c r="R153" s="1398"/>
      <c r="S153" s="1398"/>
      <c r="T153" s="1398"/>
      <c r="U153" s="1398"/>
      <c r="V153" s="1398"/>
      <c r="W153" s="1398"/>
      <c r="X153" s="1398"/>
      <c r="Y153" s="1398"/>
      <c r="Z153" s="1398"/>
      <c r="AA153" s="1398"/>
      <c r="AB153" s="1398"/>
      <c r="AC153" s="1398"/>
      <c r="AD153" s="1398"/>
      <c r="AE153" s="1398"/>
    </row>
    <row r="154" spans="1:31" ht="15" customHeight="1" x14ac:dyDescent="0.3">
      <c r="A154" s="1398"/>
      <c r="B154" s="2155" t="s">
        <v>2547</v>
      </c>
      <c r="C154" s="2151"/>
      <c r="D154" s="2151"/>
      <c r="E154" s="2151"/>
      <c r="F154" s="2151"/>
      <c r="G154" s="2151"/>
      <c r="H154" s="2151"/>
      <c r="I154" s="2151"/>
      <c r="J154" s="2157"/>
      <c r="K154" s="2151"/>
      <c r="L154" s="2157"/>
      <c r="M154" s="2151"/>
      <c r="N154" s="2157"/>
      <c r="O154" s="2157"/>
      <c r="P154" s="2157"/>
      <c r="Q154" s="2157"/>
      <c r="R154" s="1398"/>
      <c r="S154" s="1398"/>
      <c r="T154" s="1398"/>
      <c r="U154" s="1398"/>
      <c r="V154" s="1398"/>
      <c r="W154" s="1398"/>
      <c r="X154" s="1398"/>
      <c r="Y154" s="1398"/>
      <c r="Z154" s="1398"/>
      <c r="AA154" s="1398"/>
      <c r="AB154" s="1398"/>
      <c r="AC154" s="1398"/>
      <c r="AD154" s="1398"/>
      <c r="AE154" s="1398"/>
    </row>
    <row r="155" spans="1:31" ht="15" customHeight="1" x14ac:dyDescent="0.3">
      <c r="A155" s="1398"/>
      <c r="B155" s="2165" t="s">
        <v>2543</v>
      </c>
      <c r="C155" s="2151"/>
      <c r="D155" s="2151"/>
      <c r="E155" s="2151"/>
      <c r="F155" s="2151"/>
      <c r="G155" s="2151"/>
      <c r="H155" s="2151"/>
      <c r="I155" s="2151"/>
      <c r="J155" s="2157"/>
      <c r="K155" s="2151"/>
      <c r="L155" s="2157"/>
      <c r="M155" s="2151"/>
      <c r="N155" s="2157"/>
      <c r="O155" s="2157"/>
      <c r="P155" s="2157"/>
      <c r="Q155" s="2157"/>
      <c r="R155" s="1398"/>
      <c r="S155" s="1398"/>
      <c r="T155" s="1398"/>
      <c r="U155" s="1398"/>
      <c r="V155" s="1398"/>
      <c r="W155" s="1398"/>
      <c r="X155" s="1398"/>
      <c r="Y155" s="1398"/>
      <c r="Z155" s="1398"/>
      <c r="AA155" s="1398"/>
      <c r="AB155" s="1398"/>
      <c r="AC155" s="1398"/>
      <c r="AD155" s="1398"/>
      <c r="AE155" s="1398"/>
    </row>
    <row r="156" spans="1:31" ht="15" customHeight="1" x14ac:dyDescent="0.3">
      <c r="A156" s="1398"/>
      <c r="B156" s="2180" t="s">
        <v>2546</v>
      </c>
      <c r="C156" s="2151"/>
      <c r="D156" s="2151"/>
      <c r="E156" s="2151"/>
      <c r="F156" s="2151"/>
      <c r="G156" s="2151"/>
      <c r="H156" s="2151"/>
      <c r="I156" s="2151"/>
      <c r="J156" s="2157"/>
      <c r="K156" s="2151"/>
      <c r="L156" s="2157"/>
      <c r="M156" s="2151"/>
      <c r="N156" s="2157"/>
      <c r="O156" s="2157"/>
      <c r="P156" s="2157"/>
      <c r="Q156" s="2157"/>
      <c r="R156" s="1398"/>
      <c r="S156" s="1398"/>
      <c r="T156" s="1398"/>
      <c r="U156" s="1398"/>
      <c r="V156" s="1398"/>
      <c r="W156" s="1398"/>
      <c r="X156" s="1398"/>
      <c r="Y156" s="1398"/>
      <c r="Z156" s="1398"/>
      <c r="AA156" s="1398"/>
      <c r="AB156" s="1398"/>
      <c r="AC156" s="1398"/>
      <c r="AD156" s="1398"/>
      <c r="AE156" s="1398"/>
    </row>
    <row r="157" spans="1:31" ht="15" customHeight="1" x14ac:dyDescent="0.3">
      <c r="A157" s="1398"/>
      <c r="B157" s="2165" t="s">
        <v>2543</v>
      </c>
      <c r="C157" s="2151"/>
      <c r="D157" s="2151"/>
      <c r="E157" s="2151"/>
      <c r="F157" s="2151"/>
      <c r="G157" s="2151"/>
      <c r="H157" s="2151"/>
      <c r="I157" s="2151"/>
      <c r="J157" s="2157"/>
      <c r="K157" s="2151"/>
      <c r="L157" s="2157"/>
      <c r="M157" s="2151"/>
      <c r="N157" s="2157"/>
      <c r="O157" s="2157"/>
      <c r="P157" s="2157"/>
      <c r="Q157" s="2157"/>
      <c r="R157" s="1398"/>
      <c r="S157" s="1398"/>
      <c r="T157" s="1398"/>
      <c r="U157" s="1398"/>
      <c r="V157" s="1398"/>
      <c r="W157" s="1398"/>
      <c r="X157" s="1398"/>
      <c r="Y157" s="1398"/>
      <c r="Z157" s="1398"/>
      <c r="AA157" s="1398"/>
      <c r="AB157" s="1398"/>
      <c r="AC157" s="1398"/>
      <c r="AD157" s="1398"/>
      <c r="AE157" s="1398"/>
    </row>
    <row r="158" spans="1:31" ht="15" customHeight="1" x14ac:dyDescent="0.3">
      <c r="A158" s="1398"/>
      <c r="B158" s="2155" t="s">
        <v>1760</v>
      </c>
      <c r="C158" s="2151"/>
      <c r="D158" s="2151"/>
      <c r="E158" s="2151"/>
      <c r="F158" s="2151"/>
      <c r="G158" s="2151"/>
      <c r="H158" s="2151"/>
      <c r="I158" s="2151"/>
      <c r="J158" s="2157"/>
      <c r="K158" s="2151"/>
      <c r="L158" s="2157"/>
      <c r="M158" s="2151"/>
      <c r="N158" s="2157"/>
      <c r="O158" s="2157"/>
      <c r="P158" s="2157"/>
      <c r="Q158" s="2157"/>
      <c r="R158" s="1398"/>
      <c r="S158" s="1398"/>
      <c r="T158" s="1398"/>
      <c r="U158" s="1398"/>
      <c r="V158" s="1398"/>
      <c r="W158" s="1398"/>
      <c r="X158" s="1398"/>
      <c r="Y158" s="1398"/>
      <c r="Z158" s="1398"/>
      <c r="AA158" s="1398"/>
      <c r="AB158" s="1398"/>
      <c r="AC158" s="1398"/>
      <c r="AD158" s="1398"/>
      <c r="AE158" s="1398"/>
    </row>
    <row r="159" spans="1:31" ht="15" customHeight="1" x14ac:dyDescent="0.3">
      <c r="A159" s="1398"/>
      <c r="B159" s="2165" t="s">
        <v>2543</v>
      </c>
      <c r="C159" s="2151"/>
      <c r="D159" s="2151"/>
      <c r="E159" s="2151"/>
      <c r="F159" s="2151"/>
      <c r="G159" s="2151"/>
      <c r="H159" s="2151"/>
      <c r="I159" s="2151"/>
      <c r="J159" s="2157"/>
      <c r="K159" s="2151"/>
      <c r="L159" s="2157"/>
      <c r="M159" s="2151"/>
      <c r="N159" s="2157"/>
      <c r="O159" s="2157"/>
      <c r="P159" s="2157"/>
      <c r="Q159" s="2157"/>
      <c r="R159" s="1398"/>
      <c r="S159" s="1398"/>
      <c r="T159" s="1398"/>
      <c r="U159" s="1398"/>
      <c r="V159" s="1398"/>
      <c r="W159" s="1398"/>
      <c r="X159" s="1398"/>
      <c r="Y159" s="1398"/>
      <c r="Z159" s="1398"/>
      <c r="AA159" s="1398"/>
      <c r="AB159" s="1398"/>
      <c r="AC159" s="1398"/>
      <c r="AD159" s="1398"/>
      <c r="AE159" s="1398"/>
    </row>
    <row r="160" spans="1:31" ht="15" customHeight="1" x14ac:dyDescent="0.35">
      <c r="A160" s="1398"/>
      <c r="B160" s="2164" t="s">
        <v>2545</v>
      </c>
      <c r="C160" s="2159" t="str">
        <f t="shared" ref="C160:I160" si="20">IF(AND(ISNUMBER(C161),ISNUMBER(C163)),C161+C163,"")</f>
        <v/>
      </c>
      <c r="D160" s="2159" t="str">
        <f t="shared" si="20"/>
        <v/>
      </c>
      <c r="E160" s="2159" t="str">
        <f t="shared" si="20"/>
        <v/>
      </c>
      <c r="F160" s="2159" t="str">
        <f t="shared" si="20"/>
        <v/>
      </c>
      <c r="G160" s="2159" t="str">
        <f t="shared" si="20"/>
        <v/>
      </c>
      <c r="H160" s="2159" t="str">
        <f t="shared" si="20"/>
        <v/>
      </c>
      <c r="I160" s="2159" t="str">
        <f t="shared" si="20"/>
        <v/>
      </c>
      <c r="J160" s="2157"/>
      <c r="K160" s="2159" t="str">
        <f>IF(AND(ISNUMBER(K161),ISNUMBER(K163)),K161+K163,"")</f>
        <v/>
      </c>
      <c r="L160" s="2157"/>
      <c r="M160" s="2159" t="str">
        <f>IF(AND(ISNUMBER(M161),ISNUMBER(M163)),M161+M163,"")</f>
        <v/>
      </c>
      <c r="N160" s="2157"/>
      <c r="O160" s="2157"/>
      <c r="P160" s="2157"/>
      <c r="Q160" s="2157"/>
      <c r="R160" s="1398"/>
      <c r="S160" s="1398"/>
      <c r="T160" s="1398"/>
      <c r="U160" s="1398"/>
      <c r="V160" s="1398"/>
      <c r="W160" s="1398"/>
      <c r="X160" s="1398"/>
      <c r="Y160" s="1398"/>
      <c r="Z160" s="1398"/>
      <c r="AA160" s="1398"/>
      <c r="AB160" s="1398"/>
      <c r="AC160" s="1398"/>
      <c r="AD160" s="1398"/>
      <c r="AE160" s="1398"/>
    </row>
    <row r="161" spans="1:31" ht="15" customHeight="1" x14ac:dyDescent="0.3">
      <c r="A161" s="1398"/>
      <c r="B161" s="2163" t="s">
        <v>2544</v>
      </c>
      <c r="C161" s="2151"/>
      <c r="D161" s="2151"/>
      <c r="E161" s="2151"/>
      <c r="F161" s="2151"/>
      <c r="G161" s="2151"/>
      <c r="H161" s="2151"/>
      <c r="I161" s="2151"/>
      <c r="J161" s="2157"/>
      <c r="K161" s="2151"/>
      <c r="L161" s="2157"/>
      <c r="M161" s="2151"/>
      <c r="N161" s="2157"/>
      <c r="O161" s="2157"/>
      <c r="P161" s="2157"/>
      <c r="Q161" s="2157"/>
      <c r="R161" s="1398"/>
      <c r="S161" s="1398"/>
      <c r="T161" s="1398"/>
      <c r="U161" s="1398"/>
      <c r="V161" s="1398"/>
      <c r="W161" s="1398"/>
      <c r="X161" s="1398"/>
      <c r="Y161" s="1398"/>
      <c r="Z161" s="1398"/>
      <c r="AA161" s="1398"/>
      <c r="AB161" s="1398"/>
      <c r="AC161" s="1398"/>
      <c r="AD161" s="1398"/>
      <c r="AE161" s="1398"/>
    </row>
    <row r="162" spans="1:31" ht="15" customHeight="1" x14ac:dyDescent="0.3">
      <c r="A162" s="1398"/>
      <c r="B162" s="2162" t="s">
        <v>2543</v>
      </c>
      <c r="C162" s="2151"/>
      <c r="D162" s="2151"/>
      <c r="E162" s="2151"/>
      <c r="F162" s="2151"/>
      <c r="G162" s="2151"/>
      <c r="H162" s="2151"/>
      <c r="I162" s="2151"/>
      <c r="J162" s="2157"/>
      <c r="K162" s="2151"/>
      <c r="L162" s="2157"/>
      <c r="M162" s="2151"/>
      <c r="N162" s="2157"/>
      <c r="O162" s="2157"/>
      <c r="P162" s="2157"/>
      <c r="Q162" s="2157"/>
      <c r="R162" s="1398"/>
      <c r="S162" s="1398"/>
      <c r="T162" s="1398"/>
      <c r="U162" s="1398"/>
      <c r="V162" s="1398"/>
      <c r="W162" s="1398"/>
      <c r="X162" s="1398"/>
      <c r="Y162" s="1398"/>
      <c r="Z162" s="1398"/>
      <c r="AA162" s="1398"/>
      <c r="AB162" s="1398"/>
      <c r="AC162" s="1398"/>
      <c r="AD162" s="1398"/>
      <c r="AE162" s="1398"/>
    </row>
    <row r="163" spans="1:31" ht="15" customHeight="1" x14ac:dyDescent="0.3">
      <c r="A163" s="1398"/>
      <c r="B163" s="2163" t="s">
        <v>1760</v>
      </c>
      <c r="C163" s="2151"/>
      <c r="D163" s="2151"/>
      <c r="E163" s="2151"/>
      <c r="F163" s="2151"/>
      <c r="G163" s="2151"/>
      <c r="H163" s="2151"/>
      <c r="I163" s="2151"/>
      <c r="J163" s="2157"/>
      <c r="K163" s="2151"/>
      <c r="L163" s="2157"/>
      <c r="M163" s="2151"/>
      <c r="N163" s="2157"/>
      <c r="O163" s="2157"/>
      <c r="P163" s="2157"/>
      <c r="Q163" s="2157"/>
      <c r="R163" s="1398"/>
      <c r="S163" s="1398"/>
      <c r="T163" s="1398"/>
      <c r="U163" s="1398"/>
      <c r="V163" s="1398"/>
      <c r="W163" s="1398"/>
      <c r="X163" s="1398"/>
      <c r="Y163" s="1398"/>
      <c r="Z163" s="1398"/>
      <c r="AA163" s="1398"/>
      <c r="AB163" s="1398"/>
      <c r="AC163" s="1398"/>
      <c r="AD163" s="1398"/>
      <c r="AE163" s="1398"/>
    </row>
    <row r="164" spans="1:31" ht="15" customHeight="1" x14ac:dyDescent="0.3">
      <c r="A164" s="1398"/>
      <c r="B164" s="2162" t="s">
        <v>2543</v>
      </c>
      <c r="C164" s="2151"/>
      <c r="D164" s="2151"/>
      <c r="E164" s="2151"/>
      <c r="F164" s="2151"/>
      <c r="G164" s="2151"/>
      <c r="H164" s="2151"/>
      <c r="I164" s="2151"/>
      <c r="J164" s="2157"/>
      <c r="K164" s="2151"/>
      <c r="L164" s="2157"/>
      <c r="M164" s="2151"/>
      <c r="N164" s="2157"/>
      <c r="O164" s="2157"/>
      <c r="P164" s="2157"/>
      <c r="Q164" s="2157"/>
      <c r="R164" s="1398"/>
      <c r="S164" s="1398"/>
      <c r="T164" s="1398"/>
      <c r="U164" s="1398"/>
      <c r="V164" s="1398"/>
      <c r="W164" s="1398"/>
      <c r="X164" s="1398"/>
      <c r="Y164" s="1398"/>
      <c r="Z164" s="1398"/>
      <c r="AA164" s="1398"/>
      <c r="AB164" s="1398"/>
      <c r="AC164" s="1398"/>
      <c r="AD164" s="1398"/>
      <c r="AE164" s="1398"/>
    </row>
    <row r="165" spans="1:31" ht="15" customHeight="1" x14ac:dyDescent="0.3">
      <c r="A165" s="1398"/>
      <c r="B165" s="2181" t="s">
        <v>1941</v>
      </c>
      <c r="C165" s="2151"/>
      <c r="D165" s="2151"/>
      <c r="E165" s="2151"/>
      <c r="F165" s="2151"/>
      <c r="G165" s="2151"/>
      <c r="H165" s="2151"/>
      <c r="I165" s="2151"/>
      <c r="J165" s="2157"/>
      <c r="K165" s="2151"/>
      <c r="L165" s="2157"/>
      <c r="M165" s="2151"/>
      <c r="N165" s="2157"/>
      <c r="O165" s="2157"/>
      <c r="P165" s="2157"/>
      <c r="Q165" s="2157"/>
      <c r="R165" s="1398"/>
      <c r="S165" s="1398"/>
      <c r="T165" s="1398"/>
      <c r="U165" s="1398"/>
      <c r="V165" s="1398"/>
      <c r="W165" s="1398"/>
      <c r="X165" s="1398"/>
      <c r="Y165" s="1398"/>
      <c r="Z165" s="1398"/>
      <c r="AA165" s="1398"/>
      <c r="AB165" s="1398"/>
      <c r="AC165" s="1398"/>
      <c r="AD165" s="1398"/>
      <c r="AE165" s="1398"/>
    </row>
    <row r="166" spans="1:31" ht="15" customHeight="1" x14ac:dyDescent="0.35">
      <c r="A166" s="1398"/>
      <c r="B166" s="2181" t="s">
        <v>2542</v>
      </c>
      <c r="C166" s="2159" t="str">
        <f t="shared" ref="C166:I166" si="21">IF(AND(ISNUMBER(C167),ISNUMBER(C168)),C167+C168,"")</f>
        <v/>
      </c>
      <c r="D166" s="2159" t="str">
        <f t="shared" si="21"/>
        <v/>
      </c>
      <c r="E166" s="2159" t="str">
        <f t="shared" si="21"/>
        <v/>
      </c>
      <c r="F166" s="2159" t="str">
        <f t="shared" si="21"/>
        <v/>
      </c>
      <c r="G166" s="2159" t="str">
        <f t="shared" si="21"/>
        <v/>
      </c>
      <c r="H166" s="2159" t="str">
        <f t="shared" si="21"/>
        <v/>
      </c>
      <c r="I166" s="2159" t="str">
        <f t="shared" si="21"/>
        <v/>
      </c>
      <c r="J166" s="2157"/>
      <c r="K166" s="2159" t="str">
        <f>IF(AND(ISNUMBER(K167),ISNUMBER(K168)),K167+K168,"")</f>
        <v/>
      </c>
      <c r="L166" s="2157"/>
      <c r="M166" s="2159" t="str">
        <f>IF(AND(ISNUMBER(M167),ISNUMBER(M168)),M167+M168,"")</f>
        <v/>
      </c>
      <c r="N166" s="2157"/>
      <c r="O166" s="2157"/>
      <c r="P166" s="2157"/>
      <c r="Q166" s="2157"/>
      <c r="R166" s="1398"/>
      <c r="S166" s="1398"/>
      <c r="T166" s="1398"/>
      <c r="U166" s="1398"/>
      <c r="V166" s="1398"/>
      <c r="W166" s="1398"/>
      <c r="X166" s="1398"/>
      <c r="Y166" s="1398"/>
      <c r="Z166" s="1398"/>
      <c r="AA166" s="1398"/>
      <c r="AB166" s="1398"/>
      <c r="AC166" s="1398"/>
      <c r="AD166" s="1398"/>
      <c r="AE166" s="1398"/>
    </row>
    <row r="167" spans="1:31" ht="15" customHeight="1" x14ac:dyDescent="0.3">
      <c r="A167" s="1398"/>
      <c r="B167" s="2163" t="s">
        <v>2541</v>
      </c>
      <c r="C167" s="2151"/>
      <c r="D167" s="2151"/>
      <c r="E167" s="2151"/>
      <c r="F167" s="2151"/>
      <c r="G167" s="2151"/>
      <c r="H167" s="2151"/>
      <c r="I167" s="2151"/>
      <c r="J167" s="2157"/>
      <c r="K167" s="2151"/>
      <c r="L167" s="2157"/>
      <c r="M167" s="2151"/>
      <c r="N167" s="2157"/>
      <c r="O167" s="2157"/>
      <c r="P167" s="2157"/>
      <c r="Q167" s="2157"/>
      <c r="R167" s="1398"/>
      <c r="S167" s="1398"/>
      <c r="T167" s="1398"/>
      <c r="U167" s="1398"/>
      <c r="V167" s="1398"/>
      <c r="W167" s="1398"/>
      <c r="X167" s="1398"/>
      <c r="Y167" s="1398"/>
      <c r="Z167" s="1398"/>
      <c r="AA167" s="1398"/>
      <c r="AB167" s="1398"/>
      <c r="AC167" s="1398"/>
      <c r="AD167" s="1398"/>
      <c r="AE167" s="1398"/>
    </row>
    <row r="168" spans="1:31" ht="15" customHeight="1" x14ac:dyDescent="0.3">
      <c r="A168" s="1398"/>
      <c r="B168" s="2155" t="s">
        <v>1760</v>
      </c>
      <c r="C168" s="2151"/>
      <c r="D168" s="2151"/>
      <c r="E168" s="2151"/>
      <c r="F168" s="2151"/>
      <c r="G168" s="2151"/>
      <c r="H168" s="2151"/>
      <c r="I168" s="2151"/>
      <c r="J168" s="2157"/>
      <c r="K168" s="2151"/>
      <c r="L168" s="2157"/>
      <c r="M168" s="2151"/>
      <c r="N168" s="2157"/>
      <c r="O168" s="2157"/>
      <c r="P168" s="2157"/>
      <c r="Q168" s="2157"/>
      <c r="R168" s="1398"/>
      <c r="S168" s="1398"/>
      <c r="T168" s="1398"/>
      <c r="U168" s="1398"/>
      <c r="V168" s="1398"/>
      <c r="W168" s="1398"/>
      <c r="X168" s="1398"/>
      <c r="Y168" s="1398"/>
      <c r="Z168" s="1398"/>
      <c r="AA168" s="1398"/>
      <c r="AB168" s="1398"/>
      <c r="AC168" s="1398"/>
      <c r="AD168" s="1398"/>
      <c r="AE168" s="1398"/>
    </row>
    <row r="169" spans="1:31" ht="15" customHeight="1" x14ac:dyDescent="0.35">
      <c r="A169" s="1398"/>
      <c r="B169" s="2181" t="s">
        <v>2540</v>
      </c>
      <c r="C169" s="2159" t="str">
        <f t="shared" ref="C169:I169" si="22">IF(AND(ISNUMBER(C170),ISNUMBER(C171)),C170+C171,"")</f>
        <v/>
      </c>
      <c r="D169" s="2159" t="str">
        <f t="shared" si="22"/>
        <v/>
      </c>
      <c r="E169" s="2159" t="str">
        <f t="shared" si="22"/>
        <v/>
      </c>
      <c r="F169" s="2159" t="str">
        <f t="shared" si="22"/>
        <v/>
      </c>
      <c r="G169" s="2159" t="str">
        <f t="shared" si="22"/>
        <v/>
      </c>
      <c r="H169" s="2159" t="str">
        <f t="shared" si="22"/>
        <v/>
      </c>
      <c r="I169" s="2159" t="str">
        <f t="shared" si="22"/>
        <v/>
      </c>
      <c r="J169" s="2157"/>
      <c r="K169" s="2159" t="str">
        <f>IF(AND(ISNUMBER(K170),ISNUMBER(K171)),K170+K171,"")</f>
        <v/>
      </c>
      <c r="L169" s="2157"/>
      <c r="M169" s="2159" t="str">
        <f>IF(AND(ISNUMBER(M170),ISNUMBER(M171)),M170+M171,"")</f>
        <v/>
      </c>
      <c r="N169" s="2157"/>
      <c r="O169" s="2157"/>
      <c r="P169" s="2157"/>
      <c r="Q169" s="2157"/>
      <c r="R169" s="1398"/>
      <c r="S169" s="1398"/>
      <c r="T169" s="1398"/>
      <c r="U169" s="1398"/>
      <c r="V169" s="1398"/>
      <c r="W169" s="1398"/>
      <c r="X169" s="1398"/>
      <c r="Y169" s="1398"/>
      <c r="Z169" s="1398"/>
      <c r="AA169" s="1398"/>
      <c r="AB169" s="1398"/>
      <c r="AC169" s="1398"/>
      <c r="AD169" s="1398"/>
      <c r="AE169" s="1398"/>
    </row>
    <row r="170" spans="1:31" ht="15" customHeight="1" x14ac:dyDescent="0.3">
      <c r="A170" s="1398"/>
      <c r="B170" s="2155" t="s">
        <v>2539</v>
      </c>
      <c r="C170" s="2151"/>
      <c r="D170" s="2151"/>
      <c r="E170" s="2151"/>
      <c r="F170" s="2151"/>
      <c r="G170" s="2151"/>
      <c r="H170" s="2151"/>
      <c r="I170" s="2151"/>
      <c r="J170" s="2157"/>
      <c r="K170" s="2151"/>
      <c r="L170" s="2157"/>
      <c r="M170" s="2151"/>
      <c r="N170" s="2157"/>
      <c r="O170" s="2157"/>
      <c r="P170" s="2157"/>
      <c r="Q170" s="2157"/>
      <c r="R170" s="1398"/>
      <c r="S170" s="1398"/>
      <c r="T170" s="1398"/>
      <c r="U170" s="1398"/>
      <c r="V170" s="1398"/>
      <c r="W170" s="1398"/>
      <c r="X170" s="1398"/>
      <c r="Y170" s="1398"/>
      <c r="Z170" s="1398"/>
      <c r="AA170" s="1398"/>
      <c r="AB170" s="1398"/>
      <c r="AC170" s="1398"/>
      <c r="AD170" s="1398"/>
      <c r="AE170" s="1398"/>
    </row>
    <row r="171" spans="1:31" ht="15" customHeight="1" x14ac:dyDescent="0.3">
      <c r="A171" s="1398"/>
      <c r="B171" s="2155" t="s">
        <v>1760</v>
      </c>
      <c r="C171" s="2151"/>
      <c r="D171" s="2151"/>
      <c r="E171" s="2151"/>
      <c r="F171" s="2151"/>
      <c r="G171" s="2151"/>
      <c r="H171" s="2151"/>
      <c r="I171" s="2151"/>
      <c r="J171" s="2157"/>
      <c r="K171" s="2151"/>
      <c r="L171" s="2157"/>
      <c r="M171" s="2151"/>
      <c r="N171" s="2157"/>
      <c r="O171" s="2157"/>
      <c r="P171" s="2157"/>
      <c r="Q171" s="2157"/>
      <c r="R171" s="1398"/>
      <c r="S171" s="1398"/>
      <c r="T171" s="1398"/>
      <c r="U171" s="1398"/>
      <c r="V171" s="1398"/>
      <c r="W171" s="1398"/>
      <c r="X171" s="1398"/>
      <c r="Y171" s="1398"/>
      <c r="Z171" s="1398"/>
      <c r="AA171" s="1398"/>
      <c r="AB171" s="1398"/>
      <c r="AC171" s="1398"/>
      <c r="AD171" s="1398"/>
      <c r="AE171" s="1398"/>
    </row>
    <row r="172" spans="1:31" ht="15" customHeight="1" x14ac:dyDescent="0.35">
      <c r="A172" s="1398"/>
      <c r="B172" s="569" t="s">
        <v>59</v>
      </c>
      <c r="C172" s="2156">
        <f t="shared" ref="C172:Q172" si="23">IF(AND(ISNUMBER(C174),ISNUMBER(C173)),SUM(C173:C174),0)</f>
        <v>0</v>
      </c>
      <c r="D172" s="2156">
        <f t="shared" si="23"/>
        <v>0</v>
      </c>
      <c r="E172" s="2156">
        <f t="shared" si="23"/>
        <v>0</v>
      </c>
      <c r="F172" s="2156">
        <f t="shared" si="23"/>
        <v>0</v>
      </c>
      <c r="G172" s="2156">
        <f t="shared" si="23"/>
        <v>0</v>
      </c>
      <c r="H172" s="2156">
        <f t="shared" si="23"/>
        <v>0</v>
      </c>
      <c r="I172" s="2156">
        <f t="shared" si="23"/>
        <v>0</v>
      </c>
      <c r="J172" s="2156">
        <f t="shared" si="23"/>
        <v>0</v>
      </c>
      <c r="K172" s="2156">
        <f t="shared" si="23"/>
        <v>0</v>
      </c>
      <c r="L172" s="2156">
        <f t="shared" si="23"/>
        <v>0</v>
      </c>
      <c r="M172" s="2156">
        <f t="shared" si="23"/>
        <v>0</v>
      </c>
      <c r="N172" s="2156">
        <f t="shared" si="23"/>
        <v>0</v>
      </c>
      <c r="O172" s="2156">
        <f t="shared" si="23"/>
        <v>0</v>
      </c>
      <c r="P172" s="2156">
        <f t="shared" si="23"/>
        <v>0</v>
      </c>
      <c r="Q172" s="2156">
        <f t="shared" si="23"/>
        <v>0</v>
      </c>
      <c r="R172" s="1398"/>
      <c r="S172" s="1398"/>
      <c r="T172" s="1398"/>
      <c r="U172" s="1398"/>
      <c r="V172" s="1398"/>
      <c r="W172" s="1398"/>
      <c r="X172" s="1398"/>
      <c r="Y172" s="1398"/>
      <c r="Z172" s="1398"/>
      <c r="AA172" s="1398"/>
      <c r="AB172" s="1398"/>
      <c r="AC172" s="1398"/>
      <c r="AD172" s="1398"/>
      <c r="AE172" s="1398"/>
    </row>
    <row r="173" spans="1:31" ht="15" customHeight="1" x14ac:dyDescent="0.3">
      <c r="A173" s="1398"/>
      <c r="B173" s="2155" t="s">
        <v>2538</v>
      </c>
      <c r="C173" s="2151"/>
      <c r="D173" s="2151"/>
      <c r="E173" s="2151"/>
      <c r="F173" s="2151"/>
      <c r="G173" s="2151"/>
      <c r="H173" s="2151"/>
      <c r="I173" s="23"/>
      <c r="J173" s="2151"/>
      <c r="K173" s="2151"/>
      <c r="L173" s="2151"/>
      <c r="M173" s="2151"/>
      <c r="N173" s="2151"/>
      <c r="O173" s="2151"/>
      <c r="P173" s="2151"/>
      <c r="Q173" s="2151"/>
      <c r="R173" s="1398"/>
      <c r="S173" s="1398"/>
      <c r="T173" s="1398"/>
      <c r="U173" s="1398"/>
      <c r="V173" s="1398"/>
      <c r="W173" s="1398"/>
      <c r="X173" s="1398"/>
      <c r="Y173" s="1398"/>
      <c r="Z173" s="1398"/>
      <c r="AA173" s="1398"/>
      <c r="AB173" s="1398"/>
      <c r="AC173" s="1398"/>
      <c r="AD173" s="1398"/>
      <c r="AE173" s="1398"/>
    </row>
    <row r="174" spans="1:31" ht="15" customHeight="1" x14ac:dyDescent="0.3">
      <c r="A174" s="1398"/>
      <c r="B174" s="2155" t="s">
        <v>2537</v>
      </c>
      <c r="C174" s="2151"/>
      <c r="D174" s="2151"/>
      <c r="E174" s="2151"/>
      <c r="F174" s="2151"/>
      <c r="G174" s="2151"/>
      <c r="H174" s="2151"/>
      <c r="I174" s="23"/>
      <c r="J174" s="2151"/>
      <c r="K174" s="2151"/>
      <c r="L174" s="2151"/>
      <c r="M174" s="2151"/>
      <c r="N174" s="2151"/>
      <c r="O174" s="2151"/>
      <c r="P174" s="2151"/>
      <c r="Q174" s="2151"/>
      <c r="R174" s="1398"/>
      <c r="S174" s="1398"/>
      <c r="T174" s="1398"/>
      <c r="U174" s="1398"/>
      <c r="V174" s="1398"/>
      <c r="W174" s="1398"/>
      <c r="X174" s="1398"/>
      <c r="Y174" s="1398"/>
      <c r="Z174" s="1398"/>
      <c r="AA174" s="1398"/>
      <c r="AB174" s="1398"/>
      <c r="AC174" s="1398"/>
      <c r="AD174" s="1398"/>
      <c r="AE174" s="1398"/>
    </row>
    <row r="175" spans="1:31" ht="15" customHeight="1" x14ac:dyDescent="0.3">
      <c r="A175" s="1398"/>
      <c r="B175" s="2154" t="str">
        <f>"Check: row " &amp; ROW(B172) &amp;" = sum(row " &amp; ROW(B173) &amp; ", row "&amp; ROW(B174)&amp;")"</f>
        <v>Check: row 172 = sum(row 173, row 174)</v>
      </c>
      <c r="C175" s="2153" t="str">
        <f t="shared" ref="C175:Q175" si="24">IF(AND(ISNUMBER(C173), ISNUMBER(C174)), IF(C172=SUM(C173:C174), "Pass", "Fail"), "")</f>
        <v/>
      </c>
      <c r="D175" s="2153" t="str">
        <f t="shared" si="24"/>
        <v/>
      </c>
      <c r="E175" s="2153" t="str">
        <f t="shared" si="24"/>
        <v/>
      </c>
      <c r="F175" s="2153" t="str">
        <f t="shared" si="24"/>
        <v/>
      </c>
      <c r="G175" s="2153" t="str">
        <f t="shared" si="24"/>
        <v/>
      </c>
      <c r="H175" s="2153" t="str">
        <f t="shared" si="24"/>
        <v/>
      </c>
      <c r="I175" s="2153" t="str">
        <f t="shared" si="24"/>
        <v/>
      </c>
      <c r="J175" s="2153" t="str">
        <f t="shared" si="24"/>
        <v/>
      </c>
      <c r="K175" s="2153" t="str">
        <f t="shared" si="24"/>
        <v/>
      </c>
      <c r="L175" s="2153" t="str">
        <f t="shared" si="24"/>
        <v/>
      </c>
      <c r="M175" s="2153" t="str">
        <f t="shared" si="24"/>
        <v/>
      </c>
      <c r="N175" s="2153" t="str">
        <f t="shared" si="24"/>
        <v/>
      </c>
      <c r="O175" s="2153" t="str">
        <f t="shared" si="24"/>
        <v/>
      </c>
      <c r="P175" s="2153" t="str">
        <f t="shared" si="24"/>
        <v/>
      </c>
      <c r="Q175" s="2153" t="str">
        <f t="shared" si="24"/>
        <v/>
      </c>
      <c r="R175" s="1398"/>
      <c r="S175" s="1398"/>
      <c r="T175" s="1398"/>
      <c r="U175" s="1398"/>
      <c r="V175" s="1398"/>
      <c r="W175" s="1398"/>
      <c r="X175" s="1398"/>
      <c r="Y175" s="1398"/>
      <c r="Z175" s="1398"/>
      <c r="AA175" s="1398"/>
      <c r="AB175" s="1398"/>
      <c r="AC175" s="1398"/>
      <c r="AD175" s="1398"/>
      <c r="AE175" s="1398"/>
    </row>
    <row r="176" spans="1:31" ht="15" customHeight="1" x14ac:dyDescent="0.3">
      <c r="A176" s="1398"/>
      <c r="B176" s="2152" t="s">
        <v>2536</v>
      </c>
      <c r="C176" s="2151"/>
      <c r="D176" s="1398"/>
      <c r="E176" s="1398"/>
      <c r="F176" s="1398"/>
      <c r="G176" s="1398"/>
      <c r="H176" s="1398"/>
      <c r="I176" s="1398"/>
      <c r="J176" s="1398"/>
      <c r="K176" s="1398"/>
      <c r="L176" s="1398"/>
      <c r="M176" s="1398"/>
      <c r="N176" s="1398"/>
      <c r="O176" s="1398"/>
      <c r="P176" s="1398"/>
      <c r="Q176" s="1398"/>
      <c r="R176" s="1398"/>
      <c r="S176" s="1398"/>
      <c r="T176" s="1398"/>
      <c r="U176" s="1398"/>
      <c r="V176" s="1398"/>
      <c r="W176" s="1398"/>
      <c r="X176" s="1398"/>
      <c r="Y176" s="1398"/>
      <c r="Z176" s="1398"/>
      <c r="AA176" s="1398"/>
      <c r="AB176" s="1398"/>
      <c r="AC176" s="1398"/>
      <c r="AD176" s="1398"/>
      <c r="AE176" s="1398"/>
    </row>
    <row r="177" spans="1:31" ht="15" customHeight="1" x14ac:dyDescent="0.3">
      <c r="A177" s="1398"/>
      <c r="B177" s="2150" t="s">
        <v>2535</v>
      </c>
      <c r="C177" s="2149"/>
      <c r="D177" s="1398"/>
      <c r="E177" s="1398"/>
      <c r="F177" s="1398"/>
      <c r="G177" s="1398"/>
      <c r="H177" s="1398"/>
      <c r="I177" s="1398"/>
      <c r="J177" s="1398"/>
      <c r="K177" s="1398"/>
      <c r="L177" s="1398"/>
      <c r="M177" s="1398"/>
      <c r="N177" s="1398"/>
      <c r="O177" s="1398"/>
      <c r="P177" s="1398"/>
      <c r="Q177" s="1398"/>
      <c r="R177" s="1398"/>
      <c r="S177" s="1398"/>
      <c r="T177" s="1398"/>
      <c r="U177" s="1398"/>
      <c r="V177" s="1398"/>
      <c r="W177" s="1398"/>
      <c r="X177" s="1398"/>
      <c r="Y177" s="1398"/>
      <c r="Z177" s="1398"/>
      <c r="AA177" s="1398"/>
      <c r="AB177" s="1398"/>
      <c r="AC177" s="1398"/>
      <c r="AD177" s="1398"/>
      <c r="AE177" s="1398"/>
    </row>
    <row r="178" spans="1:31" ht="15" customHeight="1" x14ac:dyDescent="0.3">
      <c r="A178" s="1398"/>
      <c r="B178" s="1398"/>
      <c r="C178" s="1398"/>
      <c r="D178" s="1398"/>
      <c r="E178" s="1398"/>
      <c r="F178" s="1398"/>
      <c r="G178" s="1398"/>
      <c r="H178" s="1398"/>
      <c r="I178" s="1398"/>
      <c r="J178" s="1398"/>
      <c r="K178" s="1398"/>
      <c r="L178" s="1398"/>
      <c r="M178" s="1398"/>
      <c r="N178" s="1398"/>
      <c r="O178" s="1398"/>
      <c r="P178" s="1398"/>
      <c r="Q178" s="1398"/>
      <c r="R178" s="1398"/>
      <c r="S178" s="1398"/>
      <c r="T178" s="1398"/>
      <c r="U178" s="1398"/>
      <c r="V178" s="1398"/>
      <c r="W178" s="1398"/>
      <c r="X178" s="1398"/>
      <c r="Y178" s="1398"/>
      <c r="Z178" s="1398"/>
      <c r="AA178" s="1398"/>
      <c r="AB178" s="1398"/>
      <c r="AC178" s="1398"/>
      <c r="AD178" s="1398"/>
      <c r="AE178" s="1398"/>
    </row>
    <row r="179" spans="1:31" ht="19.5" customHeight="1" x14ac:dyDescent="0.3">
      <c r="A179" s="2196" t="s">
        <v>2586</v>
      </c>
      <c r="B179" s="2195"/>
      <c r="C179" s="2194" t="s">
        <v>2566</v>
      </c>
      <c r="D179" s="2173" t="str">
        <f>IF(ISBLANK($G$7),"",IF($G$7="No","Please leave Panel B"&amp;COLUMN($G$7)-2&amp;" empty","Please fill in Panel B"&amp;COLUMN($G$7)-2))</f>
        <v/>
      </c>
      <c r="E179" s="2193"/>
      <c r="F179" s="2193"/>
      <c r="G179" s="2193"/>
      <c r="H179" s="2193"/>
      <c r="I179" s="2193"/>
      <c r="J179" s="2193"/>
      <c r="K179" s="2193"/>
      <c r="L179" s="2193"/>
      <c r="M179" s="2193"/>
      <c r="N179" s="2193"/>
      <c r="O179" s="2193"/>
      <c r="P179" s="2193"/>
      <c r="Q179" s="2193"/>
      <c r="R179" s="1398"/>
      <c r="S179" s="1398"/>
      <c r="T179" s="1398"/>
      <c r="U179" s="1398"/>
      <c r="V179" s="1398"/>
      <c r="W179" s="1398"/>
      <c r="X179" s="1398"/>
      <c r="Y179" s="1398"/>
      <c r="Z179" s="1398"/>
      <c r="AA179" s="1398"/>
      <c r="AB179" s="1398"/>
      <c r="AC179" s="1398"/>
      <c r="AD179" s="1398"/>
      <c r="AE179" s="1398"/>
    </row>
    <row r="180" spans="1:31" ht="15" customHeight="1" x14ac:dyDescent="0.35">
      <c r="A180" s="1398"/>
      <c r="C180" s="2986" t="s">
        <v>207</v>
      </c>
      <c r="D180" s="2986"/>
      <c r="E180" s="2986"/>
      <c r="F180" s="2986"/>
      <c r="G180" s="2986"/>
      <c r="H180" s="2986"/>
      <c r="I180" s="2986"/>
      <c r="J180" s="2986"/>
      <c r="K180" s="2986"/>
      <c r="L180" s="2987"/>
      <c r="M180" s="2983" t="s">
        <v>2559</v>
      </c>
      <c r="N180" s="2988" t="s">
        <v>2565</v>
      </c>
      <c r="O180" s="2989"/>
      <c r="P180" s="2989"/>
      <c r="Q180" s="2989"/>
      <c r="R180" s="1398"/>
      <c r="S180" s="1398"/>
      <c r="T180" s="1398"/>
      <c r="U180" s="1398"/>
      <c r="V180" s="1398"/>
      <c r="W180" s="1398"/>
      <c r="X180" s="1398"/>
      <c r="Y180" s="1398"/>
      <c r="Z180" s="1398"/>
      <c r="AA180" s="1398"/>
      <c r="AB180" s="1398"/>
      <c r="AC180" s="1398"/>
      <c r="AD180" s="1398"/>
      <c r="AE180" s="1398"/>
    </row>
    <row r="181" spans="1:31" ht="15" customHeight="1" x14ac:dyDescent="0.35">
      <c r="A181" s="1398"/>
      <c r="B181" s="2172"/>
      <c r="C181" s="2967" t="s">
        <v>2564</v>
      </c>
      <c r="D181" s="2973" t="s">
        <v>465</v>
      </c>
      <c r="E181" s="2974"/>
      <c r="F181" s="2974"/>
      <c r="G181" s="2974"/>
      <c r="H181" s="2975"/>
      <c r="I181" s="2969" t="s">
        <v>2563</v>
      </c>
      <c r="J181" s="2969" t="s">
        <v>2562</v>
      </c>
      <c r="K181" s="2969" t="s">
        <v>2561</v>
      </c>
      <c r="L181" s="2969" t="s">
        <v>2560</v>
      </c>
      <c r="M181" s="2983"/>
      <c r="N181" s="2978" t="s">
        <v>207</v>
      </c>
      <c r="O181" s="2978" t="s">
        <v>2559</v>
      </c>
      <c r="P181" s="2969" t="s">
        <v>59</v>
      </c>
      <c r="Q181" s="2971" t="s">
        <v>2558</v>
      </c>
      <c r="R181" s="1398"/>
      <c r="S181" s="1398"/>
      <c r="T181" s="1398"/>
      <c r="U181" s="1398"/>
      <c r="V181" s="1398"/>
      <c r="W181" s="1398"/>
      <c r="X181" s="1398"/>
      <c r="Y181" s="1398"/>
      <c r="Z181" s="1398"/>
      <c r="AA181" s="1398"/>
      <c r="AB181" s="1398"/>
      <c r="AC181" s="1398"/>
      <c r="AD181" s="1398"/>
      <c r="AE181" s="1398"/>
    </row>
    <row r="182" spans="1:31" ht="50.4" customHeight="1" x14ac:dyDescent="0.35">
      <c r="A182" s="1398"/>
      <c r="B182" s="2171"/>
      <c r="C182" s="2968"/>
      <c r="D182" s="2170" t="s">
        <v>2557</v>
      </c>
      <c r="E182" s="2170" t="s">
        <v>2556</v>
      </c>
      <c r="F182" s="2170" t="s">
        <v>2555</v>
      </c>
      <c r="G182" s="2170" t="s">
        <v>2554</v>
      </c>
      <c r="H182" s="2170" t="s">
        <v>59</v>
      </c>
      <c r="I182" s="2970"/>
      <c r="J182" s="2970"/>
      <c r="K182" s="2970"/>
      <c r="L182" s="2970"/>
      <c r="M182" s="2970"/>
      <c r="N182" s="2979"/>
      <c r="O182" s="2979"/>
      <c r="P182" s="2970"/>
      <c r="Q182" s="2972"/>
      <c r="R182" s="1398"/>
      <c r="S182" s="1398"/>
      <c r="T182" s="1398"/>
      <c r="U182" s="1398"/>
      <c r="V182" s="1398"/>
      <c r="W182" s="1398"/>
      <c r="X182" s="1398"/>
      <c r="Y182" s="1398"/>
      <c r="Z182" s="1398"/>
      <c r="AA182" s="1398"/>
      <c r="AB182" s="1398"/>
      <c r="AC182" s="1398"/>
      <c r="AD182" s="1398"/>
      <c r="AE182" s="1398"/>
    </row>
    <row r="183" spans="1:31" ht="15" customHeight="1" x14ac:dyDescent="0.35">
      <c r="A183" s="1398"/>
      <c r="B183" s="2179" t="s">
        <v>2553</v>
      </c>
      <c r="C183" s="2168" t="str">
        <f t="shared" ref="C183:I183" si="25">IF(AND(ISNUMBER(C196),ISNUMBER(C192),ISNUMBER(C194),ISNUMBER(C184),ISNUMBER(C188),ISNUMBER(C186),ISNUMBER(C190),ISNUMBER(C198)),SUM(C184,C186,C188,C190,C192,C194,C196,C198),"")</f>
        <v/>
      </c>
      <c r="D183" s="2168" t="str">
        <f t="shared" si="25"/>
        <v/>
      </c>
      <c r="E183" s="2168" t="str">
        <f t="shared" si="25"/>
        <v/>
      </c>
      <c r="F183" s="2168" t="str">
        <f t="shared" si="25"/>
        <v/>
      </c>
      <c r="G183" s="2168" t="str">
        <f t="shared" si="25"/>
        <v/>
      </c>
      <c r="H183" s="2168" t="str">
        <f t="shared" si="25"/>
        <v/>
      </c>
      <c r="I183" s="2168" t="str">
        <f t="shared" si="25"/>
        <v/>
      </c>
      <c r="J183" s="2157"/>
      <c r="K183" s="2168" t="str">
        <f>IF(AND(ISNUMBER(K196),ISNUMBER(K192),ISNUMBER(K194),ISNUMBER(K184),ISNUMBER(K188),ISNUMBER(K186),ISNUMBER(K190),ISNUMBER(K198)),SUM(K184,K186,K188,K190,K192,K194,K196,K198),"")</f>
        <v/>
      </c>
      <c r="L183" s="2157"/>
      <c r="M183" s="2168" t="str">
        <f>IF(AND(ISNUMBER(M196),ISNUMBER(M192),ISNUMBER(M194),ISNUMBER(M184),ISNUMBER(M188),ISNUMBER(M186),ISNUMBER(M190),ISNUMBER(M198)),SUM(M184,M186,M188,M190,M192,M194,M196,M198),"")</f>
        <v/>
      </c>
      <c r="N183" s="2167"/>
      <c r="O183" s="2167"/>
      <c r="P183" s="2167"/>
      <c r="Q183" s="2167"/>
      <c r="R183" s="1398"/>
      <c r="S183" s="1398"/>
      <c r="T183" s="1398"/>
      <c r="U183" s="1398"/>
      <c r="V183" s="1398"/>
      <c r="W183" s="1398"/>
      <c r="X183" s="1398"/>
      <c r="Y183" s="1398"/>
      <c r="Z183" s="1398"/>
      <c r="AA183" s="1398"/>
      <c r="AB183" s="1398"/>
      <c r="AC183" s="1398"/>
      <c r="AD183" s="1398"/>
      <c r="AE183" s="1398"/>
    </row>
    <row r="184" spans="1:31" ht="15" customHeight="1" x14ac:dyDescent="0.3">
      <c r="A184" s="1398"/>
      <c r="B184" s="2163" t="s">
        <v>2552</v>
      </c>
      <c r="C184" s="2151"/>
      <c r="D184" s="2151"/>
      <c r="E184" s="2151"/>
      <c r="F184" s="2151"/>
      <c r="G184" s="2151"/>
      <c r="H184" s="2151"/>
      <c r="I184" s="2151"/>
      <c r="J184" s="2157"/>
      <c r="K184" s="2151"/>
      <c r="L184" s="2157"/>
      <c r="M184" s="2151"/>
      <c r="N184" s="2157"/>
      <c r="O184" s="2157"/>
      <c r="P184" s="2157"/>
      <c r="Q184" s="2157"/>
      <c r="R184" s="1398"/>
      <c r="S184" s="1398"/>
      <c r="T184" s="1398"/>
      <c r="U184" s="1398"/>
      <c r="V184" s="1398"/>
      <c r="W184" s="1398"/>
      <c r="X184" s="1398"/>
      <c r="Y184" s="1398"/>
      <c r="Z184" s="1398"/>
      <c r="AA184" s="1398"/>
      <c r="AB184" s="1398"/>
      <c r="AC184" s="1398"/>
      <c r="AD184" s="1398"/>
      <c r="AE184" s="1398"/>
    </row>
    <row r="185" spans="1:31" ht="15" customHeight="1" x14ac:dyDescent="0.3">
      <c r="A185" s="1398"/>
      <c r="B185" s="2162" t="s">
        <v>2543</v>
      </c>
      <c r="C185" s="2151"/>
      <c r="D185" s="2151"/>
      <c r="E185" s="2151"/>
      <c r="F185" s="2151"/>
      <c r="G185" s="2151"/>
      <c r="H185" s="2151"/>
      <c r="I185" s="2151"/>
      <c r="J185" s="2157"/>
      <c r="K185" s="2151"/>
      <c r="L185" s="2157"/>
      <c r="M185" s="2151"/>
      <c r="N185" s="2157"/>
      <c r="O185" s="2157"/>
      <c r="P185" s="2157"/>
      <c r="Q185" s="2157"/>
      <c r="R185" s="1398"/>
      <c r="S185" s="1398"/>
      <c r="T185" s="1398"/>
      <c r="U185" s="1398"/>
      <c r="V185" s="1398"/>
      <c r="W185" s="1398"/>
      <c r="X185" s="1398"/>
      <c r="Y185" s="1398"/>
      <c r="Z185" s="1398"/>
      <c r="AA185" s="1398"/>
      <c r="AB185" s="1398"/>
      <c r="AC185" s="1398"/>
      <c r="AD185" s="1398"/>
      <c r="AE185" s="1398"/>
    </row>
    <row r="186" spans="1:31" ht="15" customHeight="1" x14ac:dyDescent="0.3">
      <c r="A186" s="1398"/>
      <c r="B186" s="2163" t="s">
        <v>2551</v>
      </c>
      <c r="C186" s="2151"/>
      <c r="D186" s="2151"/>
      <c r="E186" s="2151"/>
      <c r="F186" s="2151"/>
      <c r="G186" s="2151"/>
      <c r="H186" s="2151"/>
      <c r="I186" s="2151"/>
      <c r="J186" s="2157"/>
      <c r="K186" s="2151"/>
      <c r="L186" s="2157"/>
      <c r="M186" s="2151"/>
      <c r="N186" s="2157"/>
      <c r="O186" s="2157"/>
      <c r="P186" s="2157"/>
      <c r="Q186" s="2157"/>
      <c r="R186" s="1398"/>
      <c r="S186" s="1398"/>
      <c r="T186" s="1398"/>
      <c r="U186" s="1398"/>
      <c r="V186" s="1398"/>
      <c r="W186" s="1398"/>
      <c r="X186" s="1398"/>
      <c r="Y186" s="1398"/>
      <c r="Z186" s="1398"/>
      <c r="AA186" s="1398"/>
      <c r="AB186" s="1398"/>
      <c r="AC186" s="1398"/>
      <c r="AD186" s="1398"/>
      <c r="AE186" s="1398"/>
    </row>
    <row r="187" spans="1:31" ht="15" customHeight="1" x14ac:dyDescent="0.3">
      <c r="A187" s="1398"/>
      <c r="B187" s="2162" t="s">
        <v>2543</v>
      </c>
      <c r="C187" s="2151"/>
      <c r="D187" s="2151"/>
      <c r="E187" s="2151"/>
      <c r="F187" s="2151"/>
      <c r="G187" s="2151"/>
      <c r="H187" s="2151"/>
      <c r="I187" s="2151"/>
      <c r="J187" s="2157"/>
      <c r="K187" s="2151"/>
      <c r="L187" s="2157"/>
      <c r="M187" s="2151"/>
      <c r="N187" s="2157"/>
      <c r="O187" s="2157"/>
      <c r="P187" s="2157"/>
      <c r="Q187" s="2157"/>
      <c r="R187" s="1398"/>
      <c r="S187" s="1398"/>
      <c r="T187" s="1398"/>
      <c r="U187" s="1398"/>
      <c r="V187" s="1398"/>
      <c r="W187" s="1398"/>
      <c r="X187" s="1398"/>
      <c r="Y187" s="1398"/>
      <c r="Z187" s="1398"/>
      <c r="AA187" s="1398"/>
      <c r="AB187" s="1398"/>
      <c r="AC187" s="1398"/>
      <c r="AD187" s="1398"/>
      <c r="AE187" s="1398"/>
    </row>
    <row r="188" spans="1:31" ht="15" customHeight="1" x14ac:dyDescent="0.3">
      <c r="A188" s="1398"/>
      <c r="B188" s="2163" t="s">
        <v>2550</v>
      </c>
      <c r="C188" s="2151"/>
      <c r="D188" s="2151"/>
      <c r="E188" s="2151"/>
      <c r="F188" s="2151"/>
      <c r="G188" s="2151"/>
      <c r="H188" s="2151"/>
      <c r="I188" s="2151"/>
      <c r="J188" s="2157"/>
      <c r="K188" s="2151"/>
      <c r="L188" s="2157"/>
      <c r="M188" s="2151"/>
      <c r="N188" s="2157"/>
      <c r="O188" s="2157"/>
      <c r="P188" s="2157"/>
      <c r="Q188" s="2157"/>
      <c r="R188" s="1398"/>
      <c r="S188" s="1398"/>
      <c r="T188" s="1398"/>
      <c r="U188" s="1398"/>
      <c r="V188" s="1398"/>
      <c r="W188" s="1398"/>
      <c r="X188" s="1398"/>
      <c r="Y188" s="1398"/>
      <c r="Z188" s="1398"/>
      <c r="AA188" s="1398"/>
      <c r="AB188" s="1398"/>
      <c r="AC188" s="1398"/>
      <c r="AD188" s="1398"/>
      <c r="AE188" s="1398"/>
    </row>
    <row r="189" spans="1:31" ht="15" customHeight="1" x14ac:dyDescent="0.3">
      <c r="A189" s="1398"/>
      <c r="B189" s="2162" t="s">
        <v>2543</v>
      </c>
      <c r="C189" s="2151"/>
      <c r="D189" s="2151"/>
      <c r="E189" s="2151"/>
      <c r="F189" s="2151"/>
      <c r="G189" s="2151"/>
      <c r="H189" s="2151"/>
      <c r="I189" s="2151"/>
      <c r="J189" s="2157"/>
      <c r="K189" s="2151"/>
      <c r="L189" s="2157"/>
      <c r="M189" s="2151"/>
      <c r="N189" s="2157"/>
      <c r="O189" s="2157"/>
      <c r="P189" s="2157"/>
      <c r="Q189" s="2157"/>
      <c r="R189" s="1398"/>
      <c r="S189" s="1398"/>
      <c r="T189" s="1398"/>
      <c r="U189" s="1398"/>
      <c r="V189" s="1398"/>
      <c r="W189" s="1398"/>
      <c r="X189" s="1398"/>
      <c r="Y189" s="1398"/>
      <c r="Z189" s="1398"/>
      <c r="AA189" s="1398"/>
      <c r="AB189" s="1398"/>
      <c r="AC189" s="1398"/>
      <c r="AD189" s="1398"/>
      <c r="AE189" s="1398"/>
    </row>
    <row r="190" spans="1:31" ht="15" customHeight="1" x14ac:dyDescent="0.3">
      <c r="A190" s="1398"/>
      <c r="B190" s="2163" t="s">
        <v>2549</v>
      </c>
      <c r="C190" s="2151"/>
      <c r="D190" s="2151"/>
      <c r="E190" s="2151"/>
      <c r="F190" s="2151"/>
      <c r="G190" s="2151"/>
      <c r="H190" s="2151"/>
      <c r="I190" s="2151"/>
      <c r="J190" s="2157"/>
      <c r="K190" s="2151"/>
      <c r="L190" s="2157"/>
      <c r="M190" s="2151"/>
      <c r="N190" s="2157"/>
      <c r="O190" s="2157"/>
      <c r="P190" s="2157"/>
      <c r="Q190" s="2157"/>
      <c r="R190" s="1398"/>
      <c r="S190" s="1398"/>
      <c r="T190" s="1398"/>
      <c r="U190" s="1398"/>
      <c r="V190" s="1398"/>
      <c r="W190" s="1398"/>
      <c r="X190" s="1398"/>
      <c r="Y190" s="1398"/>
      <c r="Z190" s="1398"/>
      <c r="AA190" s="1398"/>
      <c r="AB190" s="1398"/>
      <c r="AC190" s="1398"/>
      <c r="AD190" s="1398"/>
      <c r="AE190" s="1398"/>
    </row>
    <row r="191" spans="1:31" ht="15" customHeight="1" x14ac:dyDescent="0.3">
      <c r="A191" s="1398"/>
      <c r="B191" s="2162" t="s">
        <v>2543</v>
      </c>
      <c r="C191" s="2151"/>
      <c r="D191" s="2151"/>
      <c r="E191" s="2151"/>
      <c r="F191" s="2151"/>
      <c r="G191" s="2151"/>
      <c r="H191" s="2151"/>
      <c r="I191" s="2151"/>
      <c r="J191" s="2157"/>
      <c r="K191" s="2151"/>
      <c r="L191" s="2157"/>
      <c r="M191" s="2151"/>
      <c r="N191" s="2157"/>
      <c r="O191" s="2157"/>
      <c r="P191" s="2157"/>
      <c r="Q191" s="2157"/>
      <c r="R191" s="1398"/>
      <c r="S191" s="1398"/>
      <c r="T191" s="1398"/>
      <c r="U191" s="1398"/>
      <c r="V191" s="1398"/>
      <c r="W191" s="1398"/>
      <c r="X191" s="1398"/>
      <c r="Y191" s="1398"/>
      <c r="Z191" s="1398"/>
      <c r="AA191" s="1398"/>
      <c r="AB191" s="1398"/>
      <c r="AC191" s="1398"/>
      <c r="AD191" s="1398"/>
      <c r="AE191" s="1398"/>
    </row>
    <row r="192" spans="1:31" ht="15" customHeight="1" x14ac:dyDescent="0.35">
      <c r="A192" s="1398"/>
      <c r="B192" s="2192" t="s">
        <v>2548</v>
      </c>
      <c r="C192" s="2151"/>
      <c r="D192" s="2151"/>
      <c r="E192" s="2151"/>
      <c r="F192" s="2151"/>
      <c r="G192" s="2151"/>
      <c r="H192" s="2151"/>
      <c r="I192" s="2151"/>
      <c r="J192" s="2157"/>
      <c r="K192" s="2151"/>
      <c r="L192" s="2157"/>
      <c r="M192" s="2151"/>
      <c r="N192" s="2157"/>
      <c r="O192" s="2157"/>
      <c r="P192" s="2157"/>
      <c r="Q192" s="2157"/>
      <c r="R192" s="1398"/>
      <c r="S192" s="1398"/>
      <c r="T192" s="1398"/>
      <c r="U192" s="1398"/>
      <c r="V192" s="1398"/>
      <c r="W192" s="1398"/>
      <c r="X192" s="1398"/>
      <c r="Y192" s="1398"/>
      <c r="Z192" s="1398"/>
      <c r="AA192" s="1398"/>
      <c r="AB192" s="1398"/>
      <c r="AC192" s="1398"/>
      <c r="AD192" s="1398"/>
      <c r="AE192" s="1398"/>
    </row>
    <row r="193" spans="1:31" ht="15" customHeight="1" x14ac:dyDescent="0.3">
      <c r="A193" s="1398"/>
      <c r="B193" s="2162" t="s">
        <v>2543</v>
      </c>
      <c r="C193" s="2151"/>
      <c r="D193" s="2151"/>
      <c r="E193" s="2151"/>
      <c r="F193" s="2151"/>
      <c r="G193" s="2151"/>
      <c r="H193" s="2151"/>
      <c r="I193" s="2151"/>
      <c r="J193" s="2157"/>
      <c r="K193" s="2151"/>
      <c r="L193" s="2157"/>
      <c r="M193" s="2151"/>
      <c r="N193" s="2157"/>
      <c r="O193" s="2157"/>
      <c r="P193" s="2157"/>
      <c r="Q193" s="2157"/>
      <c r="R193" s="1398"/>
      <c r="S193" s="1398"/>
      <c r="T193" s="1398"/>
      <c r="U193" s="1398"/>
      <c r="V193" s="1398"/>
      <c r="W193" s="1398"/>
      <c r="X193" s="1398"/>
      <c r="Y193" s="1398"/>
      <c r="Z193" s="1398"/>
      <c r="AA193" s="1398"/>
      <c r="AB193" s="1398"/>
      <c r="AC193" s="1398"/>
      <c r="AD193" s="1398"/>
      <c r="AE193" s="1398"/>
    </row>
    <row r="194" spans="1:31" ht="15" customHeight="1" x14ac:dyDescent="0.3">
      <c r="A194" s="1398"/>
      <c r="B194" s="2163" t="s">
        <v>2547</v>
      </c>
      <c r="C194" s="2151"/>
      <c r="D194" s="2151"/>
      <c r="E194" s="2151"/>
      <c r="F194" s="2151"/>
      <c r="G194" s="2151"/>
      <c r="H194" s="2151"/>
      <c r="I194" s="2151"/>
      <c r="J194" s="2157"/>
      <c r="K194" s="2151"/>
      <c r="L194" s="2157"/>
      <c r="M194" s="2151"/>
      <c r="N194" s="2157"/>
      <c r="O194" s="2157"/>
      <c r="P194" s="2157"/>
      <c r="Q194" s="2157"/>
      <c r="R194" s="1398"/>
      <c r="S194" s="1398"/>
      <c r="T194" s="1398"/>
      <c r="U194" s="1398"/>
      <c r="V194" s="1398"/>
      <c r="W194" s="1398"/>
      <c r="X194" s="1398"/>
      <c r="Y194" s="1398"/>
      <c r="Z194" s="1398"/>
      <c r="AA194" s="1398"/>
      <c r="AB194" s="1398"/>
      <c r="AC194" s="1398"/>
      <c r="AD194" s="1398"/>
      <c r="AE194" s="1398"/>
    </row>
    <row r="195" spans="1:31" ht="15" customHeight="1" x14ac:dyDescent="0.3">
      <c r="A195" s="1398"/>
      <c r="B195" s="2162" t="s">
        <v>2543</v>
      </c>
      <c r="C195" s="2151"/>
      <c r="D195" s="2151"/>
      <c r="E195" s="2151"/>
      <c r="F195" s="2151"/>
      <c r="G195" s="2151"/>
      <c r="H195" s="2151"/>
      <c r="I195" s="2151"/>
      <c r="J195" s="2157"/>
      <c r="K195" s="2151"/>
      <c r="L195" s="2157"/>
      <c r="M195" s="2151"/>
      <c r="N195" s="2157"/>
      <c r="O195" s="2157"/>
      <c r="P195" s="2157"/>
      <c r="Q195" s="2157"/>
      <c r="R195" s="1398"/>
      <c r="S195" s="1398"/>
      <c r="T195" s="1398"/>
      <c r="U195" s="1398"/>
      <c r="V195" s="1398"/>
      <c r="W195" s="1398"/>
      <c r="X195" s="1398"/>
      <c r="Y195" s="1398"/>
      <c r="Z195" s="1398"/>
      <c r="AA195" s="1398"/>
      <c r="AB195" s="1398"/>
      <c r="AC195" s="1398"/>
      <c r="AD195" s="1398"/>
      <c r="AE195" s="1398"/>
    </row>
    <row r="196" spans="1:31" ht="15" customHeight="1" x14ac:dyDescent="0.3">
      <c r="A196" s="1398"/>
      <c r="B196" s="2166" t="s">
        <v>2546</v>
      </c>
      <c r="C196" s="2151"/>
      <c r="D196" s="2151"/>
      <c r="E196" s="2151"/>
      <c r="F196" s="2151"/>
      <c r="G196" s="2151"/>
      <c r="H196" s="2151"/>
      <c r="I196" s="2151"/>
      <c r="J196" s="2157"/>
      <c r="K196" s="2151"/>
      <c r="L196" s="2157"/>
      <c r="M196" s="2151"/>
      <c r="N196" s="2157"/>
      <c r="O196" s="2157"/>
      <c r="P196" s="2157"/>
      <c r="Q196" s="2157"/>
      <c r="R196" s="1398"/>
      <c r="S196" s="1398"/>
      <c r="T196" s="1398"/>
      <c r="U196" s="1398"/>
      <c r="V196" s="1398"/>
      <c r="W196" s="1398"/>
      <c r="X196" s="1398"/>
      <c r="Y196" s="1398"/>
      <c r="Z196" s="1398"/>
      <c r="AA196" s="1398"/>
      <c r="AB196" s="1398"/>
      <c r="AC196" s="1398"/>
      <c r="AD196" s="1398"/>
      <c r="AE196" s="1398"/>
    </row>
    <row r="197" spans="1:31" ht="15" customHeight="1" x14ac:dyDescent="0.3">
      <c r="A197" s="1398"/>
      <c r="B197" s="2162" t="s">
        <v>2543</v>
      </c>
      <c r="C197" s="2151"/>
      <c r="D197" s="2151"/>
      <c r="E197" s="2151"/>
      <c r="F197" s="2151"/>
      <c r="G197" s="2151"/>
      <c r="H197" s="2151"/>
      <c r="I197" s="2151"/>
      <c r="J197" s="2157"/>
      <c r="K197" s="2151"/>
      <c r="L197" s="2157"/>
      <c r="M197" s="2151"/>
      <c r="N197" s="2157"/>
      <c r="O197" s="2157"/>
      <c r="P197" s="2157"/>
      <c r="Q197" s="2157"/>
      <c r="R197" s="1398"/>
      <c r="S197" s="1398"/>
      <c r="T197" s="1398"/>
      <c r="U197" s="1398"/>
      <c r="V197" s="1398"/>
      <c r="W197" s="1398"/>
      <c r="X197" s="1398"/>
      <c r="Y197" s="1398"/>
      <c r="Z197" s="1398"/>
      <c r="AA197" s="1398"/>
      <c r="AB197" s="1398"/>
      <c r="AC197" s="1398"/>
      <c r="AD197" s="1398"/>
      <c r="AE197" s="1398"/>
    </row>
    <row r="198" spans="1:31" ht="15" customHeight="1" x14ac:dyDescent="0.3">
      <c r="A198" s="1398"/>
      <c r="B198" s="2163" t="s">
        <v>1760</v>
      </c>
      <c r="C198" s="2151"/>
      <c r="D198" s="2151"/>
      <c r="E198" s="2151"/>
      <c r="F198" s="2151"/>
      <c r="G198" s="2151"/>
      <c r="H198" s="2151"/>
      <c r="I198" s="2151"/>
      <c r="J198" s="2157"/>
      <c r="K198" s="2151"/>
      <c r="L198" s="2157"/>
      <c r="M198" s="2151"/>
      <c r="N198" s="2157"/>
      <c r="O198" s="2157"/>
      <c r="P198" s="2157"/>
      <c r="Q198" s="2157"/>
      <c r="R198" s="1398"/>
      <c r="S198" s="1398"/>
      <c r="T198" s="1398"/>
      <c r="U198" s="1398"/>
      <c r="V198" s="1398"/>
      <c r="W198" s="1398"/>
      <c r="X198" s="1398"/>
      <c r="Y198" s="1398"/>
      <c r="Z198" s="1398"/>
      <c r="AA198" s="1398"/>
      <c r="AB198" s="1398"/>
      <c r="AC198" s="1398"/>
      <c r="AD198" s="1398"/>
      <c r="AE198" s="1398"/>
    </row>
    <row r="199" spans="1:31" ht="15" customHeight="1" x14ac:dyDescent="0.3">
      <c r="A199" s="1398"/>
      <c r="B199" s="2162" t="s">
        <v>2543</v>
      </c>
      <c r="C199" s="2151"/>
      <c r="D199" s="2151"/>
      <c r="E199" s="2151"/>
      <c r="F199" s="2151"/>
      <c r="G199" s="2151"/>
      <c r="H199" s="2151"/>
      <c r="I199" s="2151"/>
      <c r="J199" s="2157"/>
      <c r="K199" s="2151"/>
      <c r="L199" s="2157"/>
      <c r="M199" s="2151"/>
      <c r="N199" s="2157"/>
      <c r="O199" s="2157"/>
      <c r="P199" s="2157"/>
      <c r="Q199" s="2157"/>
      <c r="R199" s="1398"/>
      <c r="S199" s="1398"/>
      <c r="T199" s="1398"/>
      <c r="U199" s="1398"/>
      <c r="V199" s="1398"/>
      <c r="W199" s="1398"/>
      <c r="X199" s="1398"/>
      <c r="Y199" s="1398"/>
      <c r="Z199" s="1398"/>
      <c r="AA199" s="1398"/>
      <c r="AB199" s="1398"/>
      <c r="AC199" s="1398"/>
      <c r="AD199" s="1398"/>
      <c r="AE199" s="1398"/>
    </row>
    <row r="200" spans="1:31" ht="15" customHeight="1" x14ac:dyDescent="0.35">
      <c r="A200" s="1398"/>
      <c r="B200" s="2164" t="s">
        <v>2545</v>
      </c>
      <c r="C200" s="2159" t="str">
        <f t="shared" ref="C200:I200" si="26">IF(AND(ISNUMBER(C201),ISNUMBER(C203)),C201+C203,"")</f>
        <v/>
      </c>
      <c r="D200" s="2159" t="str">
        <f t="shared" si="26"/>
        <v/>
      </c>
      <c r="E200" s="2159" t="str">
        <f t="shared" si="26"/>
        <v/>
      </c>
      <c r="F200" s="2159" t="str">
        <f t="shared" si="26"/>
        <v/>
      </c>
      <c r="G200" s="2159" t="str">
        <f t="shared" si="26"/>
        <v/>
      </c>
      <c r="H200" s="2159" t="str">
        <f t="shared" si="26"/>
        <v/>
      </c>
      <c r="I200" s="2159" t="str">
        <f t="shared" si="26"/>
        <v/>
      </c>
      <c r="J200" s="2157"/>
      <c r="K200" s="2159" t="str">
        <f>IF(AND(ISNUMBER(K201),ISNUMBER(K203)),K201+K203,"")</f>
        <v/>
      </c>
      <c r="L200" s="2157"/>
      <c r="M200" s="2159" t="str">
        <f>IF(AND(ISNUMBER(M201),ISNUMBER(M203)),M201+M203,"")</f>
        <v/>
      </c>
      <c r="N200" s="2157"/>
      <c r="O200" s="2157"/>
      <c r="P200" s="2157"/>
      <c r="Q200" s="2157"/>
      <c r="R200" s="1398"/>
      <c r="S200" s="1398"/>
      <c r="T200" s="1398"/>
      <c r="U200" s="1398"/>
      <c r="V200" s="1398"/>
      <c r="W200" s="1398"/>
      <c r="X200" s="1398"/>
      <c r="Y200" s="1398"/>
      <c r="Z200" s="1398"/>
      <c r="AA200" s="1398"/>
      <c r="AB200" s="1398"/>
      <c r="AC200" s="1398"/>
      <c r="AD200" s="1398"/>
      <c r="AE200" s="1398"/>
    </row>
    <row r="201" spans="1:31" ht="15" customHeight="1" x14ac:dyDescent="0.3">
      <c r="A201" s="1398"/>
      <c r="B201" s="2163" t="s">
        <v>2544</v>
      </c>
      <c r="C201" s="2151"/>
      <c r="D201" s="2151"/>
      <c r="E201" s="2151"/>
      <c r="F201" s="2151"/>
      <c r="G201" s="2151"/>
      <c r="H201" s="2151"/>
      <c r="I201" s="2151"/>
      <c r="J201" s="2157"/>
      <c r="K201" s="2151"/>
      <c r="L201" s="2157"/>
      <c r="M201" s="2151"/>
      <c r="N201" s="2157"/>
      <c r="O201" s="2157"/>
      <c r="P201" s="2157"/>
      <c r="Q201" s="2157"/>
      <c r="R201" s="1398"/>
      <c r="S201" s="1398"/>
      <c r="T201" s="1398"/>
      <c r="U201" s="1398"/>
      <c r="V201" s="1398"/>
      <c r="W201" s="1398"/>
      <c r="X201" s="1398"/>
      <c r="Y201" s="1398"/>
      <c r="Z201" s="1398"/>
      <c r="AA201" s="1398"/>
      <c r="AB201" s="1398"/>
      <c r="AC201" s="1398"/>
      <c r="AD201" s="1398"/>
      <c r="AE201" s="1398"/>
    </row>
    <row r="202" spans="1:31" ht="15" customHeight="1" x14ac:dyDescent="0.3">
      <c r="A202" s="1398"/>
      <c r="B202" s="2162" t="s">
        <v>2543</v>
      </c>
      <c r="C202" s="2151"/>
      <c r="D202" s="2151"/>
      <c r="E202" s="2151"/>
      <c r="F202" s="2151"/>
      <c r="G202" s="2151"/>
      <c r="H202" s="2151"/>
      <c r="I202" s="2151"/>
      <c r="J202" s="2157"/>
      <c r="K202" s="2151"/>
      <c r="L202" s="2157"/>
      <c r="M202" s="2151"/>
      <c r="N202" s="2157"/>
      <c r="O202" s="2157"/>
      <c r="P202" s="2157"/>
      <c r="Q202" s="2157"/>
      <c r="R202" s="1398"/>
      <c r="S202" s="1398"/>
      <c r="T202" s="1398"/>
      <c r="U202" s="1398"/>
      <c r="V202" s="1398"/>
      <c r="W202" s="1398"/>
      <c r="X202" s="1398"/>
      <c r="Y202" s="1398"/>
      <c r="Z202" s="1398"/>
      <c r="AA202" s="1398"/>
      <c r="AB202" s="1398"/>
      <c r="AC202" s="1398"/>
      <c r="AD202" s="1398"/>
      <c r="AE202" s="1398"/>
    </row>
    <row r="203" spans="1:31" ht="15" customHeight="1" x14ac:dyDescent="0.3">
      <c r="A203" s="1398"/>
      <c r="B203" s="2163" t="s">
        <v>1760</v>
      </c>
      <c r="C203" s="2151"/>
      <c r="D203" s="2151"/>
      <c r="E203" s="2151"/>
      <c r="F203" s="2151"/>
      <c r="G203" s="2151"/>
      <c r="H203" s="2151"/>
      <c r="I203" s="2151"/>
      <c r="J203" s="2157"/>
      <c r="K203" s="2151"/>
      <c r="L203" s="2157"/>
      <c r="M203" s="2151"/>
      <c r="N203" s="2157"/>
      <c r="O203" s="2157"/>
      <c r="P203" s="2157"/>
      <c r="Q203" s="2157"/>
      <c r="R203" s="1398"/>
      <c r="S203" s="1398"/>
      <c r="T203" s="1398"/>
      <c r="U203" s="1398"/>
      <c r="V203" s="1398"/>
      <c r="W203" s="1398"/>
      <c r="X203" s="1398"/>
      <c r="Y203" s="1398"/>
      <c r="Z203" s="1398"/>
      <c r="AA203" s="1398"/>
      <c r="AB203" s="1398"/>
      <c r="AC203" s="1398"/>
      <c r="AD203" s="1398"/>
      <c r="AE203" s="1398"/>
    </row>
    <row r="204" spans="1:31" ht="15" customHeight="1" x14ac:dyDescent="0.3">
      <c r="A204" s="1398"/>
      <c r="B204" s="2162" t="s">
        <v>2543</v>
      </c>
      <c r="C204" s="2151"/>
      <c r="D204" s="2151"/>
      <c r="E204" s="2151"/>
      <c r="F204" s="2151"/>
      <c r="G204" s="2151"/>
      <c r="H204" s="2151"/>
      <c r="I204" s="2151"/>
      <c r="J204" s="2157"/>
      <c r="K204" s="2151"/>
      <c r="L204" s="2157"/>
      <c r="M204" s="2151"/>
      <c r="N204" s="2157"/>
      <c r="O204" s="2157"/>
      <c r="P204" s="2157"/>
      <c r="Q204" s="2157"/>
      <c r="R204" s="1398"/>
      <c r="S204" s="1398"/>
      <c r="T204" s="1398"/>
      <c r="U204" s="1398"/>
      <c r="V204" s="1398"/>
      <c r="W204" s="1398"/>
      <c r="X204" s="1398"/>
      <c r="Y204" s="1398"/>
      <c r="Z204" s="1398"/>
      <c r="AA204" s="1398"/>
      <c r="AB204" s="1398"/>
      <c r="AC204" s="1398"/>
      <c r="AD204" s="1398"/>
      <c r="AE204" s="1398"/>
    </row>
    <row r="205" spans="1:31" ht="15" customHeight="1" x14ac:dyDescent="0.3">
      <c r="A205" s="1398"/>
      <c r="B205" s="2164" t="s">
        <v>1941</v>
      </c>
      <c r="C205" s="2151"/>
      <c r="D205" s="2151"/>
      <c r="E205" s="2151"/>
      <c r="F205" s="2151"/>
      <c r="G205" s="2151"/>
      <c r="H205" s="2151"/>
      <c r="I205" s="2151"/>
      <c r="J205" s="2157"/>
      <c r="K205" s="2151"/>
      <c r="L205" s="2157"/>
      <c r="M205" s="2151"/>
      <c r="N205" s="2157"/>
      <c r="O205" s="2157"/>
      <c r="P205" s="2157"/>
      <c r="Q205" s="2157"/>
      <c r="R205" s="1398"/>
      <c r="S205" s="1398"/>
      <c r="T205" s="1398"/>
      <c r="U205" s="1398"/>
      <c r="V205" s="1398"/>
      <c r="W205" s="1398"/>
      <c r="X205" s="1398"/>
      <c r="Y205" s="1398"/>
      <c r="Z205" s="1398"/>
      <c r="AA205" s="1398"/>
      <c r="AB205" s="1398"/>
      <c r="AC205" s="1398"/>
      <c r="AD205" s="1398"/>
      <c r="AE205" s="1398"/>
    </row>
    <row r="206" spans="1:31" ht="15" customHeight="1" x14ac:dyDescent="0.35">
      <c r="A206" s="1398"/>
      <c r="B206" s="2181" t="s">
        <v>2542</v>
      </c>
      <c r="C206" s="2159" t="str">
        <f t="shared" ref="C206:I206" si="27">IF(AND(ISNUMBER(C207),ISNUMBER(C208)),C207+C208,"")</f>
        <v/>
      </c>
      <c r="D206" s="2159" t="str">
        <f t="shared" si="27"/>
        <v/>
      </c>
      <c r="E206" s="2159" t="str">
        <f t="shared" si="27"/>
        <v/>
      </c>
      <c r="F206" s="2159" t="str">
        <f t="shared" si="27"/>
        <v/>
      </c>
      <c r="G206" s="2159" t="str">
        <f t="shared" si="27"/>
        <v/>
      </c>
      <c r="H206" s="2159" t="str">
        <f t="shared" si="27"/>
        <v/>
      </c>
      <c r="I206" s="2159" t="str">
        <f t="shared" si="27"/>
        <v/>
      </c>
      <c r="J206" s="2157"/>
      <c r="K206" s="2159" t="str">
        <f>IF(AND(ISNUMBER(K207),ISNUMBER(K208)),K207+K208,"")</f>
        <v/>
      </c>
      <c r="L206" s="2157"/>
      <c r="M206" s="2159" t="str">
        <f>IF(AND(ISNUMBER(M207),ISNUMBER(M208)),M207+M208,"")</f>
        <v/>
      </c>
      <c r="N206" s="2157"/>
      <c r="O206" s="2157"/>
      <c r="P206" s="2157"/>
      <c r="Q206" s="2157"/>
      <c r="R206" s="1398"/>
      <c r="S206" s="1398"/>
      <c r="T206" s="1398"/>
      <c r="U206" s="1398"/>
      <c r="V206" s="1398"/>
      <c r="W206" s="1398"/>
      <c r="X206" s="1398"/>
      <c r="Y206" s="1398"/>
      <c r="Z206" s="1398"/>
      <c r="AA206" s="1398"/>
      <c r="AB206" s="1398"/>
      <c r="AC206" s="1398"/>
      <c r="AD206" s="1398"/>
      <c r="AE206" s="1398"/>
    </row>
    <row r="207" spans="1:31" ht="15" customHeight="1" x14ac:dyDescent="0.3">
      <c r="A207" s="1398"/>
      <c r="B207" s="2163" t="s">
        <v>2541</v>
      </c>
      <c r="C207" s="2151"/>
      <c r="D207" s="2151"/>
      <c r="E207" s="2151"/>
      <c r="F207" s="2151"/>
      <c r="G207" s="2151"/>
      <c r="H207" s="2151"/>
      <c r="I207" s="2151"/>
      <c r="J207" s="2157"/>
      <c r="K207" s="2151"/>
      <c r="L207" s="2157"/>
      <c r="M207" s="2151"/>
      <c r="N207" s="2157"/>
      <c r="O207" s="2157"/>
      <c r="P207" s="2157"/>
      <c r="Q207" s="2157"/>
      <c r="R207" s="1398"/>
      <c r="S207" s="1398"/>
      <c r="T207" s="1398"/>
      <c r="U207" s="1398"/>
      <c r="V207" s="1398"/>
      <c r="W207" s="1398"/>
      <c r="X207" s="1398"/>
      <c r="Y207" s="1398"/>
      <c r="Z207" s="1398"/>
      <c r="AA207" s="1398"/>
      <c r="AB207" s="1398"/>
      <c r="AC207" s="1398"/>
      <c r="AD207" s="1398"/>
      <c r="AE207" s="1398"/>
    </row>
    <row r="208" spans="1:31" ht="15" customHeight="1" x14ac:dyDescent="0.3">
      <c r="A208" s="1398"/>
      <c r="B208" s="2155" t="s">
        <v>1760</v>
      </c>
      <c r="C208" s="2151"/>
      <c r="D208" s="2151"/>
      <c r="E208" s="2151"/>
      <c r="F208" s="2151"/>
      <c r="G208" s="2151"/>
      <c r="H208" s="2151"/>
      <c r="I208" s="2151"/>
      <c r="J208" s="2157"/>
      <c r="K208" s="2151"/>
      <c r="L208" s="2157"/>
      <c r="M208" s="2151"/>
      <c r="N208" s="2157"/>
      <c r="O208" s="2157"/>
      <c r="P208" s="2157"/>
      <c r="Q208" s="2157"/>
      <c r="R208" s="1398"/>
      <c r="S208" s="1398"/>
      <c r="T208" s="1398"/>
      <c r="U208" s="1398"/>
      <c r="V208" s="1398"/>
      <c r="W208" s="1398"/>
      <c r="X208" s="1398"/>
      <c r="Y208" s="1398"/>
      <c r="Z208" s="1398"/>
      <c r="AA208" s="1398"/>
      <c r="AB208" s="1398"/>
      <c r="AC208" s="1398"/>
      <c r="AD208" s="1398"/>
      <c r="AE208" s="1398"/>
    </row>
    <row r="209" spans="1:31" ht="15" customHeight="1" x14ac:dyDescent="0.35">
      <c r="A209" s="1398"/>
      <c r="B209" s="2181" t="s">
        <v>2540</v>
      </c>
      <c r="C209" s="2159" t="str">
        <f t="shared" ref="C209:I209" si="28">IF(AND(ISNUMBER(C210),ISNUMBER(C211)),C210+C211,"")</f>
        <v/>
      </c>
      <c r="D209" s="2159" t="str">
        <f t="shared" si="28"/>
        <v/>
      </c>
      <c r="E209" s="2159" t="str">
        <f t="shared" si="28"/>
        <v/>
      </c>
      <c r="F209" s="2159" t="str">
        <f t="shared" si="28"/>
        <v/>
      </c>
      <c r="G209" s="2159" t="str">
        <f t="shared" si="28"/>
        <v/>
      </c>
      <c r="H209" s="2159" t="str">
        <f t="shared" si="28"/>
        <v/>
      </c>
      <c r="I209" s="2159" t="str">
        <f t="shared" si="28"/>
        <v/>
      </c>
      <c r="J209" s="2157"/>
      <c r="K209" s="2159" t="str">
        <f>IF(AND(ISNUMBER(K210),ISNUMBER(K211)),K210+K211,"")</f>
        <v/>
      </c>
      <c r="L209" s="2157"/>
      <c r="M209" s="2159" t="str">
        <f>IF(AND(ISNUMBER(M210),ISNUMBER(M211)),M210+M211,"")</f>
        <v/>
      </c>
      <c r="N209" s="2157"/>
      <c r="O209" s="2157"/>
      <c r="P209" s="2157"/>
      <c r="Q209" s="2157"/>
      <c r="R209" s="1398"/>
      <c r="S209" s="1398"/>
      <c r="T209" s="1398"/>
      <c r="U209" s="1398"/>
      <c r="V209" s="1398"/>
      <c r="W209" s="1398"/>
      <c r="X209" s="1398"/>
      <c r="Y209" s="1398"/>
      <c r="Z209" s="1398"/>
      <c r="AA209" s="1398"/>
      <c r="AB209" s="1398"/>
      <c r="AC209" s="1398"/>
      <c r="AD209" s="1398"/>
      <c r="AE209" s="1398"/>
    </row>
    <row r="210" spans="1:31" ht="15" customHeight="1" x14ac:dyDescent="0.3">
      <c r="A210" s="1398"/>
      <c r="B210" s="2155" t="s">
        <v>2539</v>
      </c>
      <c r="C210" s="2151"/>
      <c r="D210" s="2151"/>
      <c r="E210" s="2151"/>
      <c r="F210" s="2151"/>
      <c r="G210" s="2151"/>
      <c r="H210" s="2151"/>
      <c r="I210" s="2151"/>
      <c r="J210" s="2157"/>
      <c r="K210" s="2151"/>
      <c r="L210" s="2157"/>
      <c r="M210" s="2151"/>
      <c r="N210" s="2157"/>
      <c r="O210" s="2157"/>
      <c r="P210" s="2157"/>
      <c r="Q210" s="2157"/>
      <c r="R210" s="1398"/>
      <c r="S210" s="1398"/>
      <c r="T210" s="1398"/>
      <c r="U210" s="1398"/>
      <c r="V210" s="1398"/>
      <c r="W210" s="1398"/>
      <c r="X210" s="1398"/>
      <c r="Y210" s="1398"/>
      <c r="Z210" s="1398"/>
      <c r="AA210" s="1398"/>
      <c r="AB210" s="1398"/>
      <c r="AC210" s="1398"/>
      <c r="AD210" s="1398"/>
      <c r="AE210" s="1398"/>
    </row>
    <row r="211" spans="1:31" ht="15" customHeight="1" x14ac:dyDescent="0.3">
      <c r="A211" s="1398"/>
      <c r="B211" s="2155" t="s">
        <v>1760</v>
      </c>
      <c r="C211" s="2151"/>
      <c r="D211" s="2151"/>
      <c r="E211" s="2151"/>
      <c r="F211" s="2151"/>
      <c r="G211" s="2151"/>
      <c r="H211" s="2151"/>
      <c r="I211" s="2151"/>
      <c r="J211" s="2157"/>
      <c r="K211" s="2151"/>
      <c r="L211" s="2157"/>
      <c r="M211" s="2151"/>
      <c r="N211" s="2157"/>
      <c r="O211" s="2157"/>
      <c r="P211" s="2157"/>
      <c r="Q211" s="2157"/>
      <c r="R211" s="1398"/>
      <c r="S211" s="1398"/>
      <c r="T211" s="1398"/>
      <c r="U211" s="1398"/>
      <c r="V211" s="1398"/>
      <c r="W211" s="1398"/>
      <c r="X211" s="1398"/>
      <c r="Y211" s="1398"/>
      <c r="Z211" s="1398"/>
      <c r="AA211" s="1398"/>
      <c r="AB211" s="1398"/>
      <c r="AC211" s="1398"/>
      <c r="AD211" s="1398"/>
      <c r="AE211" s="1398"/>
    </row>
    <row r="212" spans="1:31" ht="15" customHeight="1" x14ac:dyDescent="0.35">
      <c r="A212" s="1398"/>
      <c r="B212" s="569" t="s">
        <v>59</v>
      </c>
      <c r="C212" s="2156">
        <f t="shared" ref="C212:Q212" si="29">IF(AND(ISNUMBER(C214),ISNUMBER(C213)),SUM(C213:C214),0)</f>
        <v>0</v>
      </c>
      <c r="D212" s="2156">
        <f t="shared" si="29"/>
        <v>0</v>
      </c>
      <c r="E212" s="2156">
        <f t="shared" si="29"/>
        <v>0</v>
      </c>
      <c r="F212" s="2156">
        <f t="shared" si="29"/>
        <v>0</v>
      </c>
      <c r="G212" s="2156">
        <f t="shared" si="29"/>
        <v>0</v>
      </c>
      <c r="H212" s="2156">
        <f t="shared" si="29"/>
        <v>0</v>
      </c>
      <c r="I212" s="2156">
        <f t="shared" si="29"/>
        <v>0</v>
      </c>
      <c r="J212" s="2156">
        <f t="shared" si="29"/>
        <v>0</v>
      </c>
      <c r="K212" s="2156">
        <f t="shared" si="29"/>
        <v>0</v>
      </c>
      <c r="L212" s="2156">
        <f t="shared" si="29"/>
        <v>0</v>
      </c>
      <c r="M212" s="2156">
        <f t="shared" si="29"/>
        <v>0</v>
      </c>
      <c r="N212" s="2156">
        <f t="shared" si="29"/>
        <v>0</v>
      </c>
      <c r="O212" s="2156">
        <f t="shared" si="29"/>
        <v>0</v>
      </c>
      <c r="P212" s="2156">
        <f t="shared" si="29"/>
        <v>0</v>
      </c>
      <c r="Q212" s="2156">
        <f t="shared" si="29"/>
        <v>0</v>
      </c>
      <c r="R212" s="1398"/>
      <c r="S212" s="1398"/>
      <c r="T212" s="1398"/>
      <c r="U212" s="1398"/>
      <c r="V212" s="1398"/>
      <c r="W212" s="1398"/>
      <c r="X212" s="1398"/>
      <c r="Y212" s="1398"/>
      <c r="Z212" s="1398"/>
      <c r="AA212" s="1398"/>
      <c r="AB212" s="1398"/>
      <c r="AC212" s="1398"/>
      <c r="AD212" s="1398"/>
      <c r="AE212" s="1398"/>
    </row>
    <row r="213" spans="1:31" ht="15" customHeight="1" x14ac:dyDescent="0.3">
      <c r="A213" s="1398"/>
      <c r="B213" s="2155" t="s">
        <v>2538</v>
      </c>
      <c r="C213" s="2151"/>
      <c r="D213" s="2151"/>
      <c r="E213" s="2151"/>
      <c r="F213" s="2151"/>
      <c r="G213" s="2151"/>
      <c r="H213" s="2151"/>
      <c r="I213" s="23"/>
      <c r="J213" s="2151"/>
      <c r="K213" s="2151"/>
      <c r="L213" s="2151"/>
      <c r="M213" s="2151"/>
      <c r="N213" s="2151"/>
      <c r="O213" s="2151"/>
      <c r="P213" s="2151"/>
      <c r="Q213" s="2151"/>
      <c r="R213" s="1398"/>
      <c r="S213" s="1398"/>
      <c r="T213" s="1398"/>
      <c r="U213" s="1398"/>
      <c r="V213" s="1398"/>
      <c r="W213" s="1398"/>
      <c r="X213" s="1398"/>
      <c r="Y213" s="1398"/>
      <c r="Z213" s="1398"/>
      <c r="AA213" s="1398"/>
      <c r="AB213" s="1398"/>
      <c r="AC213" s="1398"/>
      <c r="AD213" s="1398"/>
      <c r="AE213" s="1398"/>
    </row>
    <row r="214" spans="1:31" ht="15" customHeight="1" x14ac:dyDescent="0.3">
      <c r="A214" s="1398"/>
      <c r="B214" s="2155" t="s">
        <v>2537</v>
      </c>
      <c r="C214" s="2151"/>
      <c r="D214" s="2151"/>
      <c r="E214" s="2151"/>
      <c r="F214" s="2151"/>
      <c r="G214" s="2151"/>
      <c r="H214" s="2151"/>
      <c r="I214" s="23"/>
      <c r="J214" s="2151"/>
      <c r="K214" s="2151"/>
      <c r="L214" s="2151"/>
      <c r="M214" s="2151"/>
      <c r="N214" s="2151"/>
      <c r="O214" s="2151"/>
      <c r="P214" s="2151"/>
      <c r="Q214" s="2151"/>
      <c r="R214" s="1398"/>
      <c r="S214" s="1398"/>
      <c r="T214" s="1398"/>
      <c r="U214" s="1398"/>
      <c r="V214" s="1398"/>
      <c r="W214" s="1398"/>
      <c r="X214" s="1398"/>
      <c r="Y214" s="1398"/>
      <c r="Z214" s="1398"/>
      <c r="AA214" s="1398"/>
      <c r="AB214" s="1398"/>
      <c r="AC214" s="1398"/>
      <c r="AD214" s="1398"/>
      <c r="AE214" s="1398"/>
    </row>
    <row r="215" spans="1:31" ht="15" customHeight="1" x14ac:dyDescent="0.3">
      <c r="A215" s="1398"/>
      <c r="B215" s="2154" t="str">
        <f>"Check: row " &amp; ROW(B212) &amp;" = sum(row " &amp; ROW(B213) &amp; ", row "&amp; ROW(B214)&amp;")"</f>
        <v>Check: row 212 = sum(row 213, row 214)</v>
      </c>
      <c r="C215" s="2153" t="str">
        <f t="shared" ref="C215:Q215" si="30">IF(AND(ISNUMBER(C213), ISNUMBER(C214)), IF(C212=SUM(C213:C214), "Pass", "Fail"), "")</f>
        <v/>
      </c>
      <c r="D215" s="2153" t="str">
        <f t="shared" si="30"/>
        <v/>
      </c>
      <c r="E215" s="2153" t="str">
        <f t="shared" si="30"/>
        <v/>
      </c>
      <c r="F215" s="2153" t="str">
        <f t="shared" si="30"/>
        <v/>
      </c>
      <c r="G215" s="2153" t="str">
        <f t="shared" si="30"/>
        <v/>
      </c>
      <c r="H215" s="2153" t="str">
        <f t="shared" si="30"/>
        <v/>
      </c>
      <c r="I215" s="2153" t="str">
        <f t="shared" si="30"/>
        <v/>
      </c>
      <c r="J215" s="2153" t="str">
        <f t="shared" si="30"/>
        <v/>
      </c>
      <c r="K215" s="2153" t="str">
        <f t="shared" si="30"/>
        <v/>
      </c>
      <c r="L215" s="2153" t="str">
        <f t="shared" si="30"/>
        <v/>
      </c>
      <c r="M215" s="2153" t="str">
        <f t="shared" si="30"/>
        <v/>
      </c>
      <c r="N215" s="2153" t="str">
        <f t="shared" si="30"/>
        <v/>
      </c>
      <c r="O215" s="2153" t="str">
        <f t="shared" si="30"/>
        <v/>
      </c>
      <c r="P215" s="2153" t="str">
        <f t="shared" si="30"/>
        <v/>
      </c>
      <c r="Q215" s="2153" t="str">
        <f t="shared" si="30"/>
        <v/>
      </c>
      <c r="R215" s="1398"/>
      <c r="S215" s="1398"/>
      <c r="T215" s="1398"/>
      <c r="U215" s="1398"/>
      <c r="V215" s="1398"/>
      <c r="W215" s="1398"/>
      <c r="X215" s="1398"/>
      <c r="Y215" s="1398"/>
      <c r="Z215" s="1398"/>
      <c r="AA215" s="1398"/>
      <c r="AB215" s="1398"/>
      <c r="AC215" s="1398"/>
      <c r="AD215" s="1398"/>
      <c r="AE215" s="1398"/>
    </row>
    <row r="216" spans="1:31" ht="15" customHeight="1" x14ac:dyDescent="0.3">
      <c r="A216" s="1398"/>
      <c r="B216" s="2152" t="s">
        <v>2536</v>
      </c>
      <c r="C216" s="2151"/>
      <c r="D216" s="1398"/>
      <c r="E216" s="1398"/>
      <c r="F216" s="1398"/>
      <c r="G216" s="1398"/>
      <c r="H216" s="1398"/>
      <c r="I216" s="1398"/>
      <c r="J216" s="1398"/>
      <c r="K216" s="1398"/>
      <c r="L216" s="1398"/>
      <c r="M216" s="1398"/>
      <c r="N216" s="1398"/>
      <c r="O216" s="1398"/>
      <c r="P216" s="1398"/>
      <c r="Q216" s="1398"/>
      <c r="R216" s="1398"/>
      <c r="S216" s="1398"/>
      <c r="T216" s="1398"/>
      <c r="U216" s="1398"/>
      <c r="V216" s="1398"/>
      <c r="W216" s="1398"/>
      <c r="X216" s="1398"/>
      <c r="Y216" s="1398"/>
      <c r="Z216" s="1398"/>
      <c r="AA216" s="1398"/>
      <c r="AB216" s="1398"/>
      <c r="AC216" s="1398"/>
      <c r="AD216" s="1398"/>
      <c r="AE216" s="1398"/>
    </row>
    <row r="217" spans="1:31" ht="15" customHeight="1" x14ac:dyDescent="0.3">
      <c r="A217" s="1398"/>
      <c r="B217" s="2150" t="s">
        <v>2535</v>
      </c>
      <c r="C217" s="2149"/>
      <c r="D217" s="1398"/>
      <c r="E217" s="1398"/>
      <c r="F217" s="1398"/>
      <c r="G217" s="1398"/>
      <c r="H217" s="1398"/>
      <c r="I217" s="1398"/>
      <c r="J217" s="1398"/>
      <c r="K217" s="1398"/>
      <c r="L217" s="1398"/>
      <c r="M217" s="1398"/>
      <c r="N217" s="1398"/>
      <c r="O217" s="1398"/>
      <c r="P217" s="1398"/>
      <c r="Q217" s="1398"/>
      <c r="R217" s="1398"/>
      <c r="S217" s="1398"/>
      <c r="T217" s="1398"/>
      <c r="U217" s="1398"/>
      <c r="V217" s="1398"/>
      <c r="W217" s="1398"/>
      <c r="X217" s="1398"/>
      <c r="Y217" s="1398"/>
      <c r="Z217" s="1398"/>
      <c r="AA217" s="1398"/>
      <c r="AB217" s="1398"/>
      <c r="AC217" s="1398"/>
      <c r="AD217" s="1398"/>
      <c r="AE217" s="1398"/>
    </row>
    <row r="218" spans="1:31" ht="15" customHeight="1" x14ac:dyDescent="0.35">
      <c r="A218" s="1398"/>
      <c r="D218" s="1398"/>
      <c r="E218" s="1398"/>
      <c r="F218" s="1398"/>
      <c r="G218" s="1398"/>
      <c r="H218" s="1398"/>
      <c r="I218" s="1398"/>
      <c r="J218" s="1398"/>
      <c r="K218" s="1398"/>
      <c r="L218" s="1398"/>
      <c r="M218" s="1398"/>
      <c r="N218" s="1398"/>
      <c r="O218" s="1398"/>
      <c r="P218" s="1398"/>
      <c r="Q218" s="1398"/>
      <c r="R218" s="1398"/>
      <c r="S218" s="1398"/>
      <c r="T218" s="1398"/>
      <c r="U218" s="1398"/>
      <c r="V218" s="1398"/>
      <c r="W218" s="1398"/>
      <c r="X218" s="1398"/>
      <c r="Y218" s="1398"/>
      <c r="Z218" s="1398"/>
      <c r="AA218" s="1398"/>
      <c r="AB218" s="1398"/>
      <c r="AC218" s="1398"/>
      <c r="AD218" s="1398"/>
      <c r="AE218" s="1398"/>
    </row>
    <row r="219" spans="1:31" ht="19.5" customHeight="1" x14ac:dyDescent="0.3">
      <c r="A219" s="2196" t="s">
        <v>2585</v>
      </c>
      <c r="B219" s="2195"/>
      <c r="C219" s="2194" t="s">
        <v>2566</v>
      </c>
      <c r="D219" s="2173" t="str">
        <f>IF(ISBLANK($H$7),"",IF($H$7="No","Please leave Panel B"&amp;COLUMN($H$7)-2&amp;" empty","Please fill in Panel B"&amp;COLUMN($H$7)-2))</f>
        <v/>
      </c>
      <c r="E219" s="2193"/>
      <c r="F219" s="2193"/>
      <c r="G219" s="2193"/>
      <c r="H219" s="2193"/>
      <c r="I219" s="2193"/>
      <c r="J219" s="2193"/>
      <c r="K219" s="2193"/>
      <c r="L219" s="2193"/>
      <c r="M219" s="2193"/>
      <c r="N219" s="2193"/>
      <c r="O219" s="2193"/>
      <c r="P219" s="2193"/>
      <c r="Q219" s="2193"/>
      <c r="R219" s="1398"/>
      <c r="S219" s="1398"/>
      <c r="T219" s="1398"/>
      <c r="U219" s="1398"/>
      <c r="V219" s="1398"/>
      <c r="W219" s="1398"/>
      <c r="X219" s="1398"/>
      <c r="Y219" s="1398"/>
      <c r="Z219" s="1398"/>
      <c r="AA219" s="1398"/>
      <c r="AB219" s="1398"/>
      <c r="AC219" s="1398"/>
      <c r="AD219" s="1398"/>
      <c r="AE219" s="1398"/>
    </row>
    <row r="220" spans="1:31" ht="15" customHeight="1" x14ac:dyDescent="0.35">
      <c r="A220" s="1398"/>
      <c r="C220" s="2980" t="s">
        <v>207</v>
      </c>
      <c r="D220" s="2980"/>
      <c r="E220" s="2980"/>
      <c r="F220" s="2980"/>
      <c r="G220" s="2980"/>
      <c r="H220" s="2980"/>
      <c r="I220" s="2980"/>
      <c r="J220" s="2980"/>
      <c r="K220" s="2980"/>
      <c r="L220" s="2981"/>
      <c r="M220" s="2982" t="s">
        <v>2559</v>
      </c>
      <c r="N220" s="2984" t="s">
        <v>2565</v>
      </c>
      <c r="O220" s="2985"/>
      <c r="P220" s="2985"/>
      <c r="Q220" s="2985"/>
      <c r="R220" s="1398"/>
      <c r="S220" s="1398"/>
      <c r="T220" s="1398"/>
      <c r="U220" s="1398"/>
      <c r="V220" s="1398"/>
      <c r="W220" s="1398"/>
      <c r="X220" s="1398"/>
      <c r="Y220" s="1398"/>
      <c r="Z220" s="1398"/>
      <c r="AA220" s="1398"/>
      <c r="AB220" s="1398"/>
      <c r="AC220" s="1398"/>
      <c r="AD220" s="1398"/>
      <c r="AE220" s="1398"/>
    </row>
    <row r="221" spans="1:31" ht="15" customHeight="1" x14ac:dyDescent="0.35">
      <c r="A221" s="1398"/>
      <c r="B221" s="2172"/>
      <c r="C221" s="2967" t="s">
        <v>2564</v>
      </c>
      <c r="D221" s="2973" t="s">
        <v>465</v>
      </c>
      <c r="E221" s="2974"/>
      <c r="F221" s="2974"/>
      <c r="G221" s="2974"/>
      <c r="H221" s="2975"/>
      <c r="I221" s="2969" t="s">
        <v>2563</v>
      </c>
      <c r="J221" s="2969" t="s">
        <v>2562</v>
      </c>
      <c r="K221" s="2969" t="s">
        <v>2561</v>
      </c>
      <c r="L221" s="2969" t="s">
        <v>2560</v>
      </c>
      <c r="M221" s="2983"/>
      <c r="N221" s="2978" t="s">
        <v>207</v>
      </c>
      <c r="O221" s="2978" t="s">
        <v>2559</v>
      </c>
      <c r="P221" s="2969" t="s">
        <v>59</v>
      </c>
      <c r="Q221" s="2971" t="s">
        <v>2558</v>
      </c>
      <c r="R221" s="1398"/>
      <c r="S221" s="1398"/>
      <c r="T221" s="1398"/>
      <c r="U221" s="1398"/>
      <c r="V221" s="1398"/>
      <c r="W221" s="1398"/>
      <c r="X221" s="1398"/>
      <c r="Y221" s="1398"/>
      <c r="Z221" s="1398"/>
      <c r="AA221" s="1398"/>
      <c r="AB221" s="1398"/>
      <c r="AC221" s="1398"/>
      <c r="AD221" s="1398"/>
      <c r="AE221" s="1398"/>
    </row>
    <row r="222" spans="1:31" ht="48.6" customHeight="1" x14ac:dyDescent="0.35">
      <c r="A222" s="1398"/>
      <c r="B222" s="2171"/>
      <c r="C222" s="2968"/>
      <c r="D222" s="2170" t="s">
        <v>2557</v>
      </c>
      <c r="E222" s="2170" t="s">
        <v>2556</v>
      </c>
      <c r="F222" s="2170" t="s">
        <v>2555</v>
      </c>
      <c r="G222" s="2170" t="s">
        <v>2554</v>
      </c>
      <c r="H222" s="2170" t="s">
        <v>59</v>
      </c>
      <c r="I222" s="2970"/>
      <c r="J222" s="2970"/>
      <c r="K222" s="2970"/>
      <c r="L222" s="2970"/>
      <c r="M222" s="2970"/>
      <c r="N222" s="2979"/>
      <c r="O222" s="2979"/>
      <c r="P222" s="2970"/>
      <c r="Q222" s="2972"/>
      <c r="R222" s="1398"/>
      <c r="S222" s="1398"/>
      <c r="T222" s="1398"/>
      <c r="U222" s="1398"/>
      <c r="V222" s="1398"/>
      <c r="W222" s="1398"/>
      <c r="X222" s="1398"/>
      <c r="Y222" s="1398"/>
      <c r="Z222" s="1398"/>
      <c r="AA222" s="1398"/>
      <c r="AB222" s="1398"/>
      <c r="AC222" s="1398"/>
      <c r="AD222" s="1398"/>
      <c r="AE222" s="1398"/>
    </row>
    <row r="223" spans="1:31" ht="15" customHeight="1" x14ac:dyDescent="0.35">
      <c r="A223" s="1398"/>
      <c r="B223" s="2179" t="s">
        <v>2553</v>
      </c>
      <c r="C223" s="2168" t="str">
        <f t="shared" ref="C223:I223" si="31">IF(AND(ISNUMBER(C236),ISNUMBER(C232),ISNUMBER(C234),ISNUMBER(C224),ISNUMBER(C228),ISNUMBER(C226),ISNUMBER(C230),ISNUMBER(C238)),SUM(C224,C226,C228,C230,C232,C234,C236,C238),"")</f>
        <v/>
      </c>
      <c r="D223" s="2168" t="str">
        <f t="shared" si="31"/>
        <v/>
      </c>
      <c r="E223" s="2168" t="str">
        <f t="shared" si="31"/>
        <v/>
      </c>
      <c r="F223" s="2168" t="str">
        <f t="shared" si="31"/>
        <v/>
      </c>
      <c r="G223" s="2168" t="str">
        <f t="shared" si="31"/>
        <v/>
      </c>
      <c r="H223" s="2168" t="str">
        <f t="shared" si="31"/>
        <v/>
      </c>
      <c r="I223" s="2168" t="str">
        <f t="shared" si="31"/>
        <v/>
      </c>
      <c r="J223" s="2157"/>
      <c r="K223" s="2168" t="str">
        <f>IF(AND(ISNUMBER(K236),ISNUMBER(K232),ISNUMBER(K234),ISNUMBER(K224),ISNUMBER(K228),ISNUMBER(K226),ISNUMBER(K230),ISNUMBER(K238)),SUM(K224,K226,K228,K230,K232,K234,K236,K238),"")</f>
        <v/>
      </c>
      <c r="L223" s="2157"/>
      <c r="M223" s="2168" t="str">
        <f>IF(AND(ISNUMBER(M236),ISNUMBER(M232),ISNUMBER(M234),ISNUMBER(M224),ISNUMBER(M228),ISNUMBER(M226),ISNUMBER(M230),ISNUMBER(M238)),SUM(M224,M226,M228,M230,M232,M234,M236,M238),"")</f>
        <v/>
      </c>
      <c r="N223" s="2167"/>
      <c r="O223" s="2167"/>
      <c r="P223" s="2167"/>
      <c r="Q223" s="2167"/>
      <c r="R223" s="1398"/>
      <c r="S223" s="1398"/>
      <c r="T223" s="1398"/>
      <c r="U223" s="1398"/>
      <c r="V223" s="1398"/>
      <c r="W223" s="1398"/>
      <c r="X223" s="1398"/>
      <c r="Y223" s="1398"/>
      <c r="Z223" s="1398"/>
      <c r="AA223" s="1398"/>
      <c r="AB223" s="1398"/>
      <c r="AC223" s="1398"/>
      <c r="AD223" s="1398"/>
      <c r="AE223" s="1398"/>
    </row>
    <row r="224" spans="1:31" ht="15" customHeight="1" x14ac:dyDescent="0.3">
      <c r="A224" s="1398"/>
      <c r="B224" s="2163" t="s">
        <v>2552</v>
      </c>
      <c r="C224" s="2151"/>
      <c r="D224" s="2151"/>
      <c r="E224" s="2151"/>
      <c r="F224" s="2151"/>
      <c r="G224" s="2151"/>
      <c r="H224" s="2151"/>
      <c r="I224" s="2151"/>
      <c r="J224" s="2157"/>
      <c r="K224" s="2151"/>
      <c r="L224" s="2157"/>
      <c r="M224" s="2151"/>
      <c r="N224" s="2157"/>
      <c r="O224" s="2157"/>
      <c r="P224" s="2157"/>
      <c r="Q224" s="2157"/>
      <c r="R224" s="1398"/>
      <c r="S224" s="1398"/>
      <c r="T224" s="1398"/>
      <c r="U224" s="1398"/>
      <c r="V224" s="1398"/>
      <c r="W224" s="1398"/>
      <c r="X224" s="1398"/>
      <c r="Y224" s="1398"/>
      <c r="Z224" s="1398"/>
      <c r="AA224" s="1398"/>
      <c r="AB224" s="1398"/>
      <c r="AC224" s="1398"/>
      <c r="AD224" s="1398"/>
      <c r="AE224" s="1398"/>
    </row>
    <row r="225" spans="1:31" ht="15" customHeight="1" x14ac:dyDescent="0.3">
      <c r="A225" s="1398"/>
      <c r="B225" s="2162" t="s">
        <v>2543</v>
      </c>
      <c r="C225" s="2151"/>
      <c r="D225" s="2151"/>
      <c r="E225" s="2151"/>
      <c r="F225" s="2151"/>
      <c r="G225" s="2151"/>
      <c r="H225" s="2151"/>
      <c r="I225" s="2151"/>
      <c r="J225" s="2157"/>
      <c r="K225" s="2151"/>
      <c r="L225" s="2157"/>
      <c r="M225" s="2151"/>
      <c r="N225" s="2157"/>
      <c r="O225" s="2157"/>
      <c r="P225" s="2157"/>
      <c r="Q225" s="2157"/>
      <c r="R225" s="1398"/>
      <c r="S225" s="1398"/>
      <c r="T225" s="1398"/>
      <c r="U225" s="1398"/>
      <c r="V225" s="1398"/>
      <c r="W225" s="1398"/>
      <c r="X225" s="1398"/>
      <c r="Y225" s="1398"/>
      <c r="Z225" s="1398"/>
      <c r="AA225" s="1398"/>
      <c r="AB225" s="1398"/>
      <c r="AC225" s="1398"/>
      <c r="AD225" s="1398"/>
      <c r="AE225" s="1398"/>
    </row>
    <row r="226" spans="1:31" ht="15" customHeight="1" x14ac:dyDescent="0.3">
      <c r="A226" s="1398"/>
      <c r="B226" s="2163" t="s">
        <v>2551</v>
      </c>
      <c r="C226" s="2151"/>
      <c r="D226" s="2151"/>
      <c r="E226" s="2151"/>
      <c r="F226" s="2151"/>
      <c r="G226" s="2151"/>
      <c r="H226" s="2151"/>
      <c r="I226" s="2151"/>
      <c r="J226" s="2157"/>
      <c r="K226" s="2151"/>
      <c r="L226" s="2157"/>
      <c r="M226" s="2151"/>
      <c r="N226" s="2157"/>
      <c r="O226" s="2157"/>
      <c r="P226" s="2157"/>
      <c r="Q226" s="2157"/>
      <c r="R226" s="1398"/>
      <c r="S226" s="1398"/>
      <c r="T226" s="1398"/>
      <c r="U226" s="1398"/>
      <c r="V226" s="1398"/>
      <c r="W226" s="1398"/>
      <c r="X226" s="1398"/>
      <c r="Y226" s="1398"/>
      <c r="Z226" s="1398"/>
      <c r="AA226" s="1398"/>
      <c r="AB226" s="1398"/>
      <c r="AC226" s="1398"/>
      <c r="AD226" s="1398"/>
      <c r="AE226" s="1398"/>
    </row>
    <row r="227" spans="1:31" ht="15" customHeight="1" x14ac:dyDescent="0.3">
      <c r="A227" s="1398"/>
      <c r="B227" s="2162" t="s">
        <v>2543</v>
      </c>
      <c r="C227" s="2151"/>
      <c r="D227" s="2151"/>
      <c r="E227" s="2151"/>
      <c r="F227" s="2151"/>
      <c r="G227" s="2151"/>
      <c r="H227" s="2151"/>
      <c r="I227" s="2151"/>
      <c r="J227" s="2157"/>
      <c r="K227" s="2151"/>
      <c r="L227" s="2157"/>
      <c r="M227" s="2151"/>
      <c r="N227" s="2157"/>
      <c r="O227" s="2157"/>
      <c r="P227" s="2157"/>
      <c r="Q227" s="2157"/>
      <c r="R227" s="1398"/>
      <c r="S227" s="1398"/>
      <c r="T227" s="1398"/>
      <c r="U227" s="1398"/>
      <c r="V227" s="1398"/>
      <c r="W227" s="1398"/>
      <c r="X227" s="1398"/>
      <c r="Y227" s="1398"/>
      <c r="Z227" s="1398"/>
      <c r="AA227" s="1398"/>
      <c r="AB227" s="1398"/>
      <c r="AC227" s="1398"/>
      <c r="AD227" s="1398"/>
      <c r="AE227" s="1398"/>
    </row>
    <row r="228" spans="1:31" ht="15" customHeight="1" x14ac:dyDescent="0.3">
      <c r="A228" s="1398"/>
      <c r="B228" s="2163" t="s">
        <v>2550</v>
      </c>
      <c r="C228" s="2151"/>
      <c r="D228" s="2151"/>
      <c r="E228" s="2151"/>
      <c r="F228" s="2151"/>
      <c r="G228" s="2151"/>
      <c r="H228" s="2151"/>
      <c r="I228" s="2151"/>
      <c r="J228" s="2157"/>
      <c r="K228" s="2151"/>
      <c r="L228" s="2157"/>
      <c r="M228" s="2151"/>
      <c r="N228" s="2157"/>
      <c r="O228" s="2157"/>
      <c r="P228" s="2157"/>
      <c r="Q228" s="2157"/>
      <c r="R228" s="1398"/>
      <c r="S228" s="1398"/>
      <c r="T228" s="1398"/>
      <c r="U228" s="1398"/>
      <c r="V228" s="1398"/>
      <c r="W228" s="1398"/>
      <c r="X228" s="1398"/>
      <c r="Y228" s="1398"/>
      <c r="Z228" s="1398"/>
      <c r="AA228" s="1398"/>
      <c r="AB228" s="1398"/>
      <c r="AC228" s="1398"/>
      <c r="AD228" s="1398"/>
      <c r="AE228" s="1398"/>
    </row>
    <row r="229" spans="1:31" ht="15" customHeight="1" x14ac:dyDescent="0.3">
      <c r="A229" s="1398"/>
      <c r="B229" s="2162" t="s">
        <v>2543</v>
      </c>
      <c r="C229" s="2151"/>
      <c r="D229" s="2151"/>
      <c r="E229" s="2151"/>
      <c r="F229" s="2151"/>
      <c r="G229" s="2151"/>
      <c r="H229" s="2151"/>
      <c r="I229" s="2151"/>
      <c r="J229" s="2157"/>
      <c r="K229" s="2151"/>
      <c r="L229" s="2157"/>
      <c r="M229" s="2151"/>
      <c r="N229" s="2157"/>
      <c r="O229" s="2157"/>
      <c r="P229" s="2157"/>
      <c r="Q229" s="2157"/>
      <c r="R229" s="1398"/>
      <c r="S229" s="1398"/>
      <c r="T229" s="1398"/>
      <c r="U229" s="1398"/>
      <c r="V229" s="1398"/>
      <c r="W229" s="1398"/>
      <c r="X229" s="1398"/>
      <c r="Y229" s="1398"/>
      <c r="Z229" s="1398"/>
      <c r="AA229" s="1398"/>
      <c r="AB229" s="1398"/>
      <c r="AC229" s="1398"/>
      <c r="AD229" s="1398"/>
      <c r="AE229" s="1398"/>
    </row>
    <row r="230" spans="1:31" ht="15" customHeight="1" x14ac:dyDescent="0.3">
      <c r="A230" s="1398"/>
      <c r="B230" s="2163" t="s">
        <v>2549</v>
      </c>
      <c r="C230" s="2151"/>
      <c r="D230" s="2151"/>
      <c r="E230" s="2151"/>
      <c r="F230" s="2151"/>
      <c r="G230" s="2151"/>
      <c r="H230" s="2151"/>
      <c r="I230" s="2151"/>
      <c r="J230" s="2157"/>
      <c r="K230" s="2151"/>
      <c r="L230" s="2157"/>
      <c r="M230" s="2151"/>
      <c r="N230" s="2157"/>
      <c r="O230" s="2157"/>
      <c r="P230" s="2157"/>
      <c r="Q230" s="2157"/>
      <c r="R230" s="1398"/>
      <c r="S230" s="1398"/>
      <c r="T230" s="1398"/>
      <c r="U230" s="1398"/>
      <c r="V230" s="1398"/>
      <c r="W230" s="1398"/>
      <c r="X230" s="1398"/>
      <c r="Y230" s="1398"/>
      <c r="Z230" s="1398"/>
      <c r="AA230" s="1398"/>
      <c r="AB230" s="1398"/>
      <c r="AC230" s="1398"/>
      <c r="AD230" s="1398"/>
      <c r="AE230" s="1398"/>
    </row>
    <row r="231" spans="1:31" ht="15" customHeight="1" x14ac:dyDescent="0.3">
      <c r="A231" s="1398"/>
      <c r="B231" s="2162" t="s">
        <v>2543</v>
      </c>
      <c r="C231" s="2151"/>
      <c r="D231" s="2151"/>
      <c r="E231" s="2151"/>
      <c r="F231" s="2151"/>
      <c r="G231" s="2151"/>
      <c r="H231" s="2151"/>
      <c r="I231" s="2151"/>
      <c r="J231" s="2157"/>
      <c r="K231" s="2151"/>
      <c r="L231" s="2157"/>
      <c r="M231" s="2151"/>
      <c r="N231" s="2157"/>
      <c r="O231" s="2157"/>
      <c r="P231" s="2157"/>
      <c r="Q231" s="2157"/>
      <c r="R231" s="1398"/>
      <c r="S231" s="1398"/>
      <c r="T231" s="1398"/>
      <c r="U231" s="1398"/>
      <c r="V231" s="1398"/>
      <c r="W231" s="1398"/>
      <c r="X231" s="1398"/>
      <c r="Y231" s="1398"/>
      <c r="Z231" s="1398"/>
      <c r="AA231" s="1398"/>
      <c r="AB231" s="1398"/>
      <c r="AC231" s="1398"/>
      <c r="AD231" s="1398"/>
      <c r="AE231" s="1398"/>
    </row>
    <row r="232" spans="1:31" ht="15" customHeight="1" x14ac:dyDescent="0.35">
      <c r="A232" s="1398"/>
      <c r="B232" s="2192" t="s">
        <v>2548</v>
      </c>
      <c r="C232" s="2151"/>
      <c r="D232" s="2151"/>
      <c r="E232" s="2151"/>
      <c r="F232" s="2151"/>
      <c r="G232" s="2151"/>
      <c r="H232" s="2151"/>
      <c r="I232" s="2151"/>
      <c r="J232" s="2157"/>
      <c r="K232" s="2151"/>
      <c r="L232" s="2157"/>
      <c r="M232" s="2151"/>
      <c r="N232" s="2157"/>
      <c r="O232" s="2157"/>
      <c r="P232" s="2157"/>
      <c r="Q232" s="2157"/>
      <c r="R232" s="1398"/>
      <c r="S232" s="1398"/>
      <c r="T232" s="1398"/>
      <c r="U232" s="1398"/>
      <c r="V232" s="1398"/>
      <c r="W232" s="1398"/>
      <c r="X232" s="1398"/>
      <c r="Y232" s="1398"/>
      <c r="Z232" s="1398"/>
      <c r="AA232" s="1398"/>
      <c r="AB232" s="1398"/>
      <c r="AC232" s="1398"/>
      <c r="AD232" s="1398"/>
      <c r="AE232" s="1398"/>
    </row>
    <row r="233" spans="1:31" ht="15" customHeight="1" x14ac:dyDescent="0.3">
      <c r="A233" s="1398"/>
      <c r="B233" s="2162" t="s">
        <v>2543</v>
      </c>
      <c r="C233" s="2151"/>
      <c r="D233" s="2151"/>
      <c r="E233" s="2151"/>
      <c r="F233" s="2151"/>
      <c r="G233" s="2151"/>
      <c r="H233" s="2151"/>
      <c r="I233" s="2151"/>
      <c r="J233" s="2157"/>
      <c r="K233" s="2151"/>
      <c r="L233" s="2157"/>
      <c r="M233" s="2151"/>
      <c r="N233" s="2157"/>
      <c r="O233" s="2157"/>
      <c r="P233" s="2157"/>
      <c r="Q233" s="2157"/>
      <c r="R233" s="1398"/>
      <c r="S233" s="1398"/>
      <c r="T233" s="1398"/>
      <c r="U233" s="1398"/>
      <c r="V233" s="1398"/>
      <c r="W233" s="1398"/>
      <c r="X233" s="1398"/>
      <c r="Y233" s="1398"/>
      <c r="Z233" s="1398"/>
      <c r="AA233" s="1398"/>
      <c r="AB233" s="1398"/>
      <c r="AC233" s="1398"/>
      <c r="AD233" s="1398"/>
      <c r="AE233" s="1398"/>
    </row>
    <row r="234" spans="1:31" ht="15" customHeight="1" x14ac:dyDescent="0.3">
      <c r="A234" s="1398"/>
      <c r="B234" s="2163" t="s">
        <v>2547</v>
      </c>
      <c r="C234" s="2151"/>
      <c r="D234" s="2151"/>
      <c r="E234" s="2151"/>
      <c r="F234" s="2151"/>
      <c r="G234" s="2151"/>
      <c r="H234" s="2151"/>
      <c r="I234" s="2151"/>
      <c r="J234" s="2157"/>
      <c r="K234" s="2151"/>
      <c r="L234" s="2157"/>
      <c r="M234" s="2151"/>
      <c r="N234" s="2157"/>
      <c r="O234" s="2157"/>
      <c r="P234" s="2157"/>
      <c r="Q234" s="2157"/>
      <c r="R234" s="1398"/>
      <c r="S234" s="1398"/>
      <c r="T234" s="1398"/>
      <c r="U234" s="1398"/>
      <c r="V234" s="1398"/>
      <c r="W234" s="1398"/>
      <c r="X234" s="1398"/>
      <c r="Y234" s="1398"/>
      <c r="Z234" s="1398"/>
      <c r="AA234" s="1398"/>
      <c r="AB234" s="1398"/>
      <c r="AC234" s="1398"/>
      <c r="AD234" s="1398"/>
      <c r="AE234" s="1398"/>
    </row>
    <row r="235" spans="1:31" ht="15" customHeight="1" x14ac:dyDescent="0.3">
      <c r="A235" s="1398"/>
      <c r="B235" s="2162" t="s">
        <v>2543</v>
      </c>
      <c r="C235" s="2151"/>
      <c r="D235" s="2151"/>
      <c r="E235" s="2151"/>
      <c r="F235" s="2151"/>
      <c r="G235" s="2151"/>
      <c r="H235" s="2151"/>
      <c r="I235" s="2151"/>
      <c r="J235" s="2157"/>
      <c r="K235" s="2151"/>
      <c r="L235" s="2157"/>
      <c r="M235" s="2151"/>
      <c r="N235" s="2157"/>
      <c r="O235" s="2157"/>
      <c r="P235" s="2157"/>
      <c r="Q235" s="2157"/>
      <c r="R235" s="1398"/>
      <c r="S235" s="1398"/>
      <c r="T235" s="1398"/>
      <c r="U235" s="1398"/>
      <c r="V235" s="1398"/>
      <c r="W235" s="1398"/>
      <c r="X235" s="1398"/>
      <c r="Y235" s="1398"/>
      <c r="Z235" s="1398"/>
      <c r="AA235" s="1398"/>
      <c r="AB235" s="1398"/>
      <c r="AC235" s="1398"/>
      <c r="AD235" s="1398"/>
      <c r="AE235" s="1398"/>
    </row>
    <row r="236" spans="1:31" ht="15" customHeight="1" x14ac:dyDescent="0.3">
      <c r="A236" s="1398"/>
      <c r="B236" s="2166" t="s">
        <v>2546</v>
      </c>
      <c r="C236" s="2151"/>
      <c r="D236" s="2151"/>
      <c r="E236" s="2151"/>
      <c r="F236" s="2151"/>
      <c r="G236" s="2151"/>
      <c r="H236" s="2151"/>
      <c r="I236" s="2151"/>
      <c r="J236" s="2157"/>
      <c r="K236" s="2151"/>
      <c r="L236" s="2157"/>
      <c r="M236" s="2151"/>
      <c r="N236" s="2157"/>
      <c r="O236" s="2157"/>
      <c r="P236" s="2157"/>
      <c r="Q236" s="2157"/>
      <c r="R236" s="1398"/>
      <c r="S236" s="1398"/>
      <c r="T236" s="1398"/>
      <c r="U236" s="1398"/>
      <c r="V236" s="1398"/>
      <c r="W236" s="1398"/>
      <c r="X236" s="1398"/>
      <c r="Y236" s="1398"/>
      <c r="Z236" s="1398"/>
      <c r="AA236" s="1398"/>
      <c r="AB236" s="1398"/>
      <c r="AC236" s="1398"/>
      <c r="AD236" s="1398"/>
      <c r="AE236" s="1398"/>
    </row>
    <row r="237" spans="1:31" ht="15" customHeight="1" x14ac:dyDescent="0.3">
      <c r="A237" s="1398"/>
      <c r="B237" s="2162" t="s">
        <v>2543</v>
      </c>
      <c r="C237" s="2151"/>
      <c r="D237" s="2151"/>
      <c r="E237" s="2151"/>
      <c r="F237" s="2151"/>
      <c r="G237" s="2151"/>
      <c r="H237" s="2151"/>
      <c r="I237" s="2151"/>
      <c r="J237" s="2157"/>
      <c r="K237" s="2151"/>
      <c r="L237" s="2157"/>
      <c r="M237" s="2151"/>
      <c r="N237" s="2157"/>
      <c r="O237" s="2157"/>
      <c r="P237" s="2157"/>
      <c r="Q237" s="2157"/>
      <c r="R237" s="1398"/>
      <c r="S237" s="1398"/>
      <c r="T237" s="1398"/>
      <c r="U237" s="1398"/>
      <c r="V237" s="1398"/>
      <c r="W237" s="1398"/>
      <c r="X237" s="1398"/>
      <c r="Y237" s="1398"/>
      <c r="Z237" s="1398"/>
      <c r="AA237" s="1398"/>
      <c r="AB237" s="1398"/>
      <c r="AC237" s="1398"/>
      <c r="AD237" s="1398"/>
      <c r="AE237" s="1398"/>
    </row>
    <row r="238" spans="1:31" ht="15" customHeight="1" x14ac:dyDescent="0.3">
      <c r="A238" s="1398"/>
      <c r="B238" s="2163" t="s">
        <v>1760</v>
      </c>
      <c r="C238" s="2151"/>
      <c r="D238" s="2151"/>
      <c r="E238" s="2151"/>
      <c r="F238" s="2151"/>
      <c r="G238" s="2151"/>
      <c r="H238" s="2151"/>
      <c r="I238" s="2151"/>
      <c r="J238" s="2157"/>
      <c r="K238" s="2151"/>
      <c r="L238" s="2157"/>
      <c r="M238" s="2151"/>
      <c r="N238" s="2157"/>
      <c r="O238" s="2157"/>
      <c r="P238" s="2157"/>
      <c r="Q238" s="2157"/>
      <c r="R238" s="1398"/>
      <c r="S238" s="1398"/>
      <c r="T238" s="1398"/>
      <c r="U238" s="1398"/>
      <c r="V238" s="1398"/>
      <c r="W238" s="1398"/>
      <c r="X238" s="1398"/>
      <c r="Y238" s="1398"/>
      <c r="Z238" s="1398"/>
      <c r="AA238" s="1398"/>
      <c r="AB238" s="1398"/>
      <c r="AC238" s="1398"/>
      <c r="AD238" s="1398"/>
      <c r="AE238" s="1398"/>
    </row>
    <row r="239" spans="1:31" ht="15" customHeight="1" x14ac:dyDescent="0.3">
      <c r="A239" s="1398"/>
      <c r="B239" s="2162" t="s">
        <v>2543</v>
      </c>
      <c r="C239" s="2151"/>
      <c r="D239" s="2151"/>
      <c r="E239" s="2151"/>
      <c r="F239" s="2151"/>
      <c r="G239" s="2151"/>
      <c r="H239" s="2151"/>
      <c r="I239" s="2151"/>
      <c r="J239" s="2157"/>
      <c r="K239" s="2151"/>
      <c r="L239" s="2157"/>
      <c r="M239" s="2151"/>
      <c r="N239" s="2157"/>
      <c r="O239" s="2157"/>
      <c r="P239" s="2157"/>
      <c r="Q239" s="2157"/>
      <c r="R239" s="1398"/>
      <c r="S239" s="1398"/>
      <c r="T239" s="1398"/>
      <c r="U239" s="1398"/>
      <c r="V239" s="1398"/>
      <c r="W239" s="1398"/>
      <c r="X239" s="1398"/>
      <c r="Y239" s="1398"/>
      <c r="Z239" s="1398"/>
      <c r="AA239" s="1398"/>
      <c r="AB239" s="1398"/>
      <c r="AC239" s="1398"/>
      <c r="AD239" s="1398"/>
      <c r="AE239" s="1398"/>
    </row>
    <row r="240" spans="1:31" ht="15" customHeight="1" x14ac:dyDescent="0.35">
      <c r="A240" s="1398"/>
      <c r="B240" s="2164" t="s">
        <v>2545</v>
      </c>
      <c r="C240" s="2159" t="str">
        <f t="shared" ref="C240:I240" si="32">IF(AND(ISNUMBER(C241),ISNUMBER(C243)),C241+C243,"")</f>
        <v/>
      </c>
      <c r="D240" s="2159" t="str">
        <f t="shared" si="32"/>
        <v/>
      </c>
      <c r="E240" s="2159" t="str">
        <f t="shared" si="32"/>
        <v/>
      </c>
      <c r="F240" s="2159" t="str">
        <f t="shared" si="32"/>
        <v/>
      </c>
      <c r="G240" s="2159" t="str">
        <f t="shared" si="32"/>
        <v/>
      </c>
      <c r="H240" s="2159" t="str">
        <f t="shared" si="32"/>
        <v/>
      </c>
      <c r="I240" s="2159" t="str">
        <f t="shared" si="32"/>
        <v/>
      </c>
      <c r="J240" s="2157"/>
      <c r="K240" s="2159" t="str">
        <f>IF(AND(ISNUMBER(K241),ISNUMBER(K243)),K241+K243,"")</f>
        <v/>
      </c>
      <c r="L240" s="2157"/>
      <c r="M240" s="2159" t="str">
        <f>IF(AND(ISNUMBER(M241),ISNUMBER(M243)),M241+M243,"")</f>
        <v/>
      </c>
      <c r="N240" s="2157"/>
      <c r="O240" s="2157"/>
      <c r="P240" s="2157"/>
      <c r="Q240" s="2157"/>
      <c r="R240" s="1398"/>
      <c r="S240" s="1398"/>
      <c r="T240" s="1398"/>
      <c r="U240" s="1398"/>
      <c r="V240" s="1398"/>
      <c r="W240" s="1398"/>
      <c r="X240" s="1398"/>
      <c r="Y240" s="1398"/>
      <c r="Z240" s="1398"/>
      <c r="AA240" s="1398"/>
      <c r="AB240" s="1398"/>
      <c r="AC240" s="1398"/>
      <c r="AD240" s="1398"/>
      <c r="AE240" s="1398"/>
    </row>
    <row r="241" spans="1:31" ht="15" customHeight="1" x14ac:dyDescent="0.3">
      <c r="A241" s="1398"/>
      <c r="B241" s="2155" t="s">
        <v>2544</v>
      </c>
      <c r="C241" s="2151"/>
      <c r="D241" s="2151"/>
      <c r="E241" s="2151"/>
      <c r="F241" s="2151"/>
      <c r="G241" s="2151"/>
      <c r="H241" s="2151"/>
      <c r="I241" s="2151"/>
      <c r="J241" s="2157"/>
      <c r="K241" s="2151"/>
      <c r="L241" s="2157"/>
      <c r="M241" s="2151"/>
      <c r="N241" s="2157"/>
      <c r="O241" s="2157"/>
      <c r="P241" s="2157"/>
      <c r="Q241" s="2157"/>
      <c r="R241" s="1398"/>
      <c r="S241" s="1398"/>
      <c r="T241" s="1398"/>
      <c r="U241" s="1398"/>
      <c r="V241" s="1398"/>
      <c r="W241" s="1398"/>
      <c r="X241" s="1398"/>
      <c r="Y241" s="1398"/>
      <c r="Z241" s="1398"/>
      <c r="AA241" s="1398"/>
      <c r="AB241" s="1398"/>
      <c r="AC241" s="1398"/>
      <c r="AD241" s="1398"/>
      <c r="AE241" s="1398"/>
    </row>
    <row r="242" spans="1:31" ht="15" customHeight="1" x14ac:dyDescent="0.3">
      <c r="A242" s="1398"/>
      <c r="B242" s="2165" t="s">
        <v>2543</v>
      </c>
      <c r="C242" s="2151"/>
      <c r="D242" s="2151"/>
      <c r="E242" s="2151"/>
      <c r="F242" s="2151"/>
      <c r="G242" s="2151"/>
      <c r="H242" s="2151"/>
      <c r="I242" s="2151"/>
      <c r="J242" s="2157"/>
      <c r="K242" s="2151"/>
      <c r="L242" s="2157"/>
      <c r="M242" s="2151"/>
      <c r="N242" s="2157"/>
      <c r="O242" s="2157"/>
      <c r="P242" s="2157"/>
      <c r="Q242" s="2157"/>
      <c r="R242" s="1398"/>
      <c r="S242" s="1398"/>
      <c r="T242" s="1398"/>
      <c r="U242" s="1398"/>
      <c r="V242" s="1398"/>
      <c r="W242" s="1398"/>
      <c r="X242" s="1398"/>
      <c r="Y242" s="1398"/>
      <c r="Z242" s="1398"/>
      <c r="AA242" s="1398"/>
      <c r="AB242" s="1398"/>
      <c r="AC242" s="1398"/>
      <c r="AD242" s="1398"/>
      <c r="AE242" s="1398"/>
    </row>
    <row r="243" spans="1:31" ht="15" customHeight="1" x14ac:dyDescent="0.3">
      <c r="A243" s="1398"/>
      <c r="B243" s="2163" t="s">
        <v>1760</v>
      </c>
      <c r="C243" s="2151"/>
      <c r="D243" s="2151"/>
      <c r="E243" s="2151"/>
      <c r="F243" s="2151"/>
      <c r="G243" s="2151"/>
      <c r="H243" s="2151"/>
      <c r="I243" s="2151"/>
      <c r="J243" s="2157"/>
      <c r="K243" s="2151"/>
      <c r="L243" s="2157"/>
      <c r="M243" s="2151"/>
      <c r="N243" s="2157"/>
      <c r="O243" s="2157"/>
      <c r="P243" s="2157"/>
      <c r="Q243" s="2157"/>
      <c r="R243" s="1398"/>
      <c r="S243" s="1398"/>
      <c r="T243" s="1398"/>
      <c r="U243" s="1398"/>
      <c r="V243" s="1398"/>
      <c r="W243" s="1398"/>
      <c r="X243" s="1398"/>
      <c r="Y243" s="1398"/>
      <c r="Z243" s="1398"/>
      <c r="AA243" s="1398"/>
      <c r="AB243" s="1398"/>
      <c r="AC243" s="1398"/>
      <c r="AD243" s="1398"/>
      <c r="AE243" s="1398"/>
    </row>
    <row r="244" spans="1:31" ht="15" customHeight="1" x14ac:dyDescent="0.3">
      <c r="A244" s="1398"/>
      <c r="B244" s="2162" t="s">
        <v>2543</v>
      </c>
      <c r="C244" s="2151"/>
      <c r="D244" s="2151"/>
      <c r="E244" s="2151"/>
      <c r="F244" s="2151"/>
      <c r="G244" s="2151"/>
      <c r="H244" s="2151"/>
      <c r="I244" s="2151"/>
      <c r="J244" s="2157"/>
      <c r="K244" s="2151"/>
      <c r="L244" s="2157"/>
      <c r="M244" s="2151"/>
      <c r="N244" s="2157"/>
      <c r="O244" s="2157"/>
      <c r="P244" s="2157"/>
      <c r="Q244" s="2157"/>
      <c r="R244" s="1398"/>
      <c r="S244" s="1398"/>
      <c r="T244" s="1398"/>
      <c r="U244" s="1398"/>
      <c r="V244" s="1398"/>
      <c r="W244" s="1398"/>
      <c r="X244" s="1398"/>
      <c r="Y244" s="1398"/>
      <c r="Z244" s="1398"/>
      <c r="AA244" s="1398"/>
      <c r="AB244" s="1398"/>
      <c r="AC244" s="1398"/>
      <c r="AD244" s="1398"/>
      <c r="AE244" s="1398"/>
    </row>
    <row r="245" spans="1:31" ht="15" customHeight="1" x14ac:dyDescent="0.3">
      <c r="A245" s="1398"/>
      <c r="B245" s="2181" t="s">
        <v>1941</v>
      </c>
      <c r="C245" s="2151"/>
      <c r="D245" s="2151"/>
      <c r="E245" s="2151"/>
      <c r="F245" s="2151"/>
      <c r="G245" s="2151"/>
      <c r="H245" s="2151"/>
      <c r="I245" s="2151"/>
      <c r="J245" s="2157"/>
      <c r="K245" s="2151"/>
      <c r="L245" s="2157"/>
      <c r="M245" s="2151"/>
      <c r="N245" s="2157"/>
      <c r="O245" s="2157"/>
      <c r="P245" s="2157"/>
      <c r="Q245" s="2157"/>
      <c r="R245" s="1398"/>
      <c r="S245" s="1398"/>
      <c r="T245" s="1398"/>
      <c r="U245" s="1398"/>
      <c r="V245" s="1398"/>
      <c r="W245" s="1398"/>
      <c r="X245" s="1398"/>
      <c r="Y245" s="1398"/>
      <c r="Z245" s="1398"/>
      <c r="AA245" s="1398"/>
      <c r="AB245" s="1398"/>
      <c r="AC245" s="1398"/>
      <c r="AD245" s="1398"/>
      <c r="AE245" s="1398"/>
    </row>
    <row r="246" spans="1:31" ht="15" customHeight="1" x14ac:dyDescent="0.35">
      <c r="A246" s="1398"/>
      <c r="B246" s="2181" t="s">
        <v>2542</v>
      </c>
      <c r="C246" s="2159" t="str">
        <f t="shared" ref="C246:I246" si="33">IF(AND(ISNUMBER(C247),ISNUMBER(C248)),C247+C248,"")</f>
        <v/>
      </c>
      <c r="D246" s="2159" t="str">
        <f t="shared" si="33"/>
        <v/>
      </c>
      <c r="E246" s="2159" t="str">
        <f t="shared" si="33"/>
        <v/>
      </c>
      <c r="F246" s="2159" t="str">
        <f t="shared" si="33"/>
        <v/>
      </c>
      <c r="G246" s="2159" t="str">
        <f t="shared" si="33"/>
        <v/>
      </c>
      <c r="H246" s="2159" t="str">
        <f t="shared" si="33"/>
        <v/>
      </c>
      <c r="I246" s="2159" t="str">
        <f t="shared" si="33"/>
        <v/>
      </c>
      <c r="J246" s="2157"/>
      <c r="K246" s="2159" t="str">
        <f>IF(AND(ISNUMBER(K247),ISNUMBER(K248)),K247+K248,"")</f>
        <v/>
      </c>
      <c r="L246" s="2157"/>
      <c r="M246" s="2159" t="str">
        <f>IF(AND(ISNUMBER(M247),ISNUMBER(M248)),M247+M248,"")</f>
        <v/>
      </c>
      <c r="N246" s="2157"/>
      <c r="O246" s="2157"/>
      <c r="P246" s="2157"/>
      <c r="Q246" s="2157"/>
      <c r="R246" s="1398"/>
      <c r="S246" s="1398"/>
      <c r="T246" s="1398"/>
      <c r="U246" s="1398"/>
      <c r="V246" s="1398"/>
      <c r="W246" s="1398"/>
      <c r="X246" s="1398"/>
      <c r="Y246" s="1398"/>
      <c r="Z246" s="1398"/>
      <c r="AA246" s="1398"/>
      <c r="AB246" s="1398"/>
      <c r="AC246" s="1398"/>
      <c r="AD246" s="1398"/>
      <c r="AE246" s="1398"/>
    </row>
    <row r="247" spans="1:31" ht="15" customHeight="1" x14ac:dyDescent="0.3">
      <c r="A247" s="1398"/>
      <c r="B247" s="2163" t="s">
        <v>2541</v>
      </c>
      <c r="C247" s="2151"/>
      <c r="D247" s="2151"/>
      <c r="E247" s="2151"/>
      <c r="F247" s="2151"/>
      <c r="G247" s="2151"/>
      <c r="H247" s="2151"/>
      <c r="I247" s="2151"/>
      <c r="J247" s="2157"/>
      <c r="K247" s="2151"/>
      <c r="L247" s="2157"/>
      <c r="M247" s="2151"/>
      <c r="N247" s="2157"/>
      <c r="O247" s="2157"/>
      <c r="P247" s="2157"/>
      <c r="Q247" s="2157"/>
      <c r="R247" s="1398"/>
      <c r="S247" s="1398"/>
      <c r="T247" s="1398"/>
      <c r="U247" s="1398"/>
      <c r="V247" s="1398"/>
      <c r="W247" s="1398"/>
      <c r="X247" s="1398"/>
      <c r="Y247" s="1398"/>
      <c r="Z247" s="1398"/>
      <c r="AA247" s="1398"/>
      <c r="AB247" s="1398"/>
      <c r="AC247" s="1398"/>
      <c r="AD247" s="1398"/>
      <c r="AE247" s="1398"/>
    </row>
    <row r="248" spans="1:31" ht="15" customHeight="1" x14ac:dyDescent="0.3">
      <c r="A248" s="1398"/>
      <c r="B248" s="2155" t="s">
        <v>1760</v>
      </c>
      <c r="C248" s="2151"/>
      <c r="D248" s="2151"/>
      <c r="E248" s="2151"/>
      <c r="F248" s="2151"/>
      <c r="G248" s="2151"/>
      <c r="H248" s="2151"/>
      <c r="I248" s="2151"/>
      <c r="J248" s="2157"/>
      <c r="K248" s="2151"/>
      <c r="L248" s="2157"/>
      <c r="M248" s="2151"/>
      <c r="N248" s="2157"/>
      <c r="O248" s="2157"/>
      <c r="P248" s="2157"/>
      <c r="Q248" s="2157"/>
      <c r="R248" s="1398"/>
      <c r="S248" s="1398"/>
      <c r="T248" s="1398"/>
      <c r="U248" s="1398"/>
      <c r="V248" s="1398"/>
      <c r="W248" s="1398"/>
      <c r="X248" s="1398"/>
      <c r="Y248" s="1398"/>
      <c r="Z248" s="1398"/>
      <c r="AA248" s="1398"/>
      <c r="AB248" s="1398"/>
      <c r="AC248" s="1398"/>
      <c r="AD248" s="1398"/>
      <c r="AE248" s="1398"/>
    </row>
    <row r="249" spans="1:31" ht="15" customHeight="1" x14ac:dyDescent="0.35">
      <c r="A249" s="1398"/>
      <c r="B249" s="2181" t="s">
        <v>2540</v>
      </c>
      <c r="C249" s="2159" t="str">
        <f t="shared" ref="C249:I249" si="34">IF(AND(ISNUMBER(C250),ISNUMBER(C251)),C250+C251,"")</f>
        <v/>
      </c>
      <c r="D249" s="2159" t="str">
        <f t="shared" si="34"/>
        <v/>
      </c>
      <c r="E249" s="2159" t="str">
        <f t="shared" si="34"/>
        <v/>
      </c>
      <c r="F249" s="2159" t="str">
        <f t="shared" si="34"/>
        <v/>
      </c>
      <c r="G249" s="2159" t="str">
        <f t="shared" si="34"/>
        <v/>
      </c>
      <c r="H249" s="2159" t="str">
        <f t="shared" si="34"/>
        <v/>
      </c>
      <c r="I249" s="2159" t="str">
        <f t="shared" si="34"/>
        <v/>
      </c>
      <c r="J249" s="2157"/>
      <c r="K249" s="2159" t="str">
        <f>IF(AND(ISNUMBER(K250),ISNUMBER(K251)),K250+K251,"")</f>
        <v/>
      </c>
      <c r="L249" s="2157"/>
      <c r="M249" s="2159" t="str">
        <f>IF(AND(ISNUMBER(M250),ISNUMBER(M251)),M250+M251,"")</f>
        <v/>
      </c>
      <c r="N249" s="2157"/>
      <c r="O249" s="2157"/>
      <c r="P249" s="2157"/>
      <c r="Q249" s="2157"/>
      <c r="R249" s="1398"/>
      <c r="S249" s="1398"/>
      <c r="T249" s="1398"/>
      <c r="U249" s="1398"/>
      <c r="V249" s="1398"/>
      <c r="W249" s="1398"/>
      <c r="X249" s="1398"/>
      <c r="Y249" s="1398"/>
      <c r="Z249" s="1398"/>
      <c r="AA249" s="1398"/>
      <c r="AB249" s="1398"/>
      <c r="AC249" s="1398"/>
      <c r="AD249" s="1398"/>
      <c r="AE249" s="1398"/>
    </row>
    <row r="250" spans="1:31" ht="15" customHeight="1" x14ac:dyDescent="0.3">
      <c r="A250" s="1398"/>
      <c r="B250" s="2155" t="s">
        <v>2539</v>
      </c>
      <c r="C250" s="2151"/>
      <c r="D250" s="2151"/>
      <c r="E250" s="2151"/>
      <c r="F250" s="2151"/>
      <c r="G250" s="2151"/>
      <c r="H250" s="2151"/>
      <c r="I250" s="2151"/>
      <c r="J250" s="2157"/>
      <c r="K250" s="2151"/>
      <c r="L250" s="2157"/>
      <c r="M250" s="2151"/>
      <c r="N250" s="2157"/>
      <c r="O250" s="2157"/>
      <c r="P250" s="2157"/>
      <c r="Q250" s="2157"/>
      <c r="R250" s="1398"/>
      <c r="S250" s="1398"/>
      <c r="T250" s="1398"/>
      <c r="U250" s="1398"/>
      <c r="V250" s="1398"/>
      <c r="W250" s="1398"/>
      <c r="X250" s="1398"/>
      <c r="Y250" s="1398"/>
      <c r="Z250" s="1398"/>
      <c r="AA250" s="1398"/>
      <c r="AB250" s="1398"/>
      <c r="AC250" s="1398"/>
      <c r="AD250" s="1398"/>
      <c r="AE250" s="1398"/>
    </row>
    <row r="251" spans="1:31" ht="15" customHeight="1" x14ac:dyDescent="0.3">
      <c r="A251" s="1398"/>
      <c r="B251" s="2155" t="s">
        <v>1760</v>
      </c>
      <c r="C251" s="2151"/>
      <c r="D251" s="2151"/>
      <c r="E251" s="2151"/>
      <c r="F251" s="2151"/>
      <c r="G251" s="2151"/>
      <c r="H251" s="2151"/>
      <c r="I251" s="2151"/>
      <c r="J251" s="2157"/>
      <c r="K251" s="2151"/>
      <c r="L251" s="2157"/>
      <c r="M251" s="2151"/>
      <c r="N251" s="2157"/>
      <c r="O251" s="2157"/>
      <c r="P251" s="2157"/>
      <c r="Q251" s="2157"/>
      <c r="R251" s="1398"/>
      <c r="S251" s="1398"/>
      <c r="T251" s="1398"/>
      <c r="U251" s="1398"/>
      <c r="V251" s="1398"/>
      <c r="W251" s="1398"/>
      <c r="X251" s="1398"/>
      <c r="Y251" s="1398"/>
      <c r="Z251" s="1398"/>
      <c r="AA251" s="1398"/>
      <c r="AB251" s="1398"/>
      <c r="AC251" s="1398"/>
      <c r="AD251" s="1398"/>
      <c r="AE251" s="1398"/>
    </row>
    <row r="252" spans="1:31" ht="15" customHeight="1" x14ac:dyDescent="0.35">
      <c r="A252" s="1398"/>
      <c r="B252" s="569" t="s">
        <v>59</v>
      </c>
      <c r="C252" s="2156">
        <f t="shared" ref="C252:Q252" si="35">IF(AND(ISNUMBER(C254),ISNUMBER(C253)),SUM(C253:C254),0)</f>
        <v>0</v>
      </c>
      <c r="D252" s="2156">
        <f t="shared" si="35"/>
        <v>0</v>
      </c>
      <c r="E252" s="2156">
        <f t="shared" si="35"/>
        <v>0</v>
      </c>
      <c r="F252" s="2156">
        <f t="shared" si="35"/>
        <v>0</v>
      </c>
      <c r="G252" s="2156">
        <f t="shared" si="35"/>
        <v>0</v>
      </c>
      <c r="H252" s="2156">
        <f t="shared" si="35"/>
        <v>0</v>
      </c>
      <c r="I252" s="2156">
        <f t="shared" si="35"/>
        <v>0</v>
      </c>
      <c r="J252" s="2156">
        <f t="shared" si="35"/>
        <v>0</v>
      </c>
      <c r="K252" s="2156">
        <f t="shared" si="35"/>
        <v>0</v>
      </c>
      <c r="L252" s="2156">
        <f t="shared" si="35"/>
        <v>0</v>
      </c>
      <c r="M252" s="2156">
        <f t="shared" si="35"/>
        <v>0</v>
      </c>
      <c r="N252" s="2156">
        <f t="shared" si="35"/>
        <v>0</v>
      </c>
      <c r="O252" s="2156">
        <f t="shared" si="35"/>
        <v>0</v>
      </c>
      <c r="P252" s="2156">
        <f t="shared" si="35"/>
        <v>0</v>
      </c>
      <c r="Q252" s="2156">
        <f t="shared" si="35"/>
        <v>0</v>
      </c>
      <c r="R252" s="1398"/>
      <c r="S252" s="1398"/>
      <c r="T252" s="1398"/>
      <c r="U252" s="1398"/>
      <c r="V252" s="1398"/>
      <c r="W252" s="1398"/>
      <c r="X252" s="1398"/>
      <c r="Y252" s="1398"/>
      <c r="Z252" s="1398"/>
      <c r="AA252" s="1398"/>
      <c r="AB252" s="1398"/>
      <c r="AC252" s="1398"/>
      <c r="AD252" s="1398"/>
      <c r="AE252" s="1398"/>
    </row>
    <row r="253" spans="1:31" ht="15" customHeight="1" x14ac:dyDescent="0.3">
      <c r="A253" s="1398"/>
      <c r="B253" s="2155" t="s">
        <v>2538</v>
      </c>
      <c r="C253" s="2151"/>
      <c r="D253" s="2151"/>
      <c r="E253" s="2151"/>
      <c r="F253" s="2151"/>
      <c r="G253" s="2151"/>
      <c r="H253" s="2151"/>
      <c r="I253" s="23"/>
      <c r="J253" s="2151"/>
      <c r="K253" s="2151"/>
      <c r="L253" s="2151"/>
      <c r="M253" s="2151"/>
      <c r="N253" s="2151"/>
      <c r="O253" s="2151"/>
      <c r="P253" s="2151"/>
      <c r="Q253" s="2151"/>
      <c r="R253" s="1398"/>
      <c r="S253" s="1398"/>
      <c r="T253" s="1398"/>
      <c r="U253" s="1398"/>
      <c r="V253" s="1398"/>
      <c r="W253" s="1398"/>
      <c r="X253" s="1398"/>
      <c r="Y253" s="1398"/>
      <c r="Z253" s="1398"/>
      <c r="AA253" s="1398"/>
      <c r="AB253" s="1398"/>
      <c r="AC253" s="1398"/>
      <c r="AD253" s="1398"/>
      <c r="AE253" s="1398"/>
    </row>
    <row r="254" spans="1:31" ht="15" customHeight="1" x14ac:dyDescent="0.3">
      <c r="A254" s="1398"/>
      <c r="B254" s="2155" t="s">
        <v>2537</v>
      </c>
      <c r="C254" s="2151"/>
      <c r="D254" s="2151"/>
      <c r="E254" s="2151"/>
      <c r="F254" s="2151"/>
      <c r="G254" s="2151"/>
      <c r="H254" s="2151"/>
      <c r="I254" s="23"/>
      <c r="J254" s="2151"/>
      <c r="K254" s="2151"/>
      <c r="L254" s="2151"/>
      <c r="M254" s="2151"/>
      <c r="N254" s="2151"/>
      <c r="O254" s="2151"/>
      <c r="P254" s="2151"/>
      <c r="Q254" s="2151"/>
      <c r="R254" s="1398"/>
      <c r="S254" s="1398"/>
      <c r="T254" s="1398"/>
      <c r="U254" s="1398"/>
      <c r="V254" s="1398"/>
      <c r="W254" s="1398"/>
      <c r="X254" s="1398"/>
      <c r="Y254" s="1398"/>
      <c r="Z254" s="1398"/>
      <c r="AA254" s="1398"/>
      <c r="AB254" s="1398"/>
      <c r="AC254" s="1398"/>
      <c r="AD254" s="1398"/>
      <c r="AE254" s="1398"/>
    </row>
    <row r="255" spans="1:31" ht="15" customHeight="1" x14ac:dyDescent="0.3">
      <c r="A255" s="1398"/>
      <c r="B255" s="2154" t="str">
        <f>"Check: row " &amp; ROW(B252) &amp;" = sum(row " &amp; ROW(B253) &amp; ", row "&amp; ROW(B254)&amp;")"</f>
        <v>Check: row 252 = sum(row 253, row 254)</v>
      </c>
      <c r="C255" s="2153" t="str">
        <f t="shared" ref="C255:Q255" si="36">IF(AND(ISNUMBER(C253), ISNUMBER(C254)), IF(C252=SUM(C253:C254), "Pass", "Fail"), "")</f>
        <v/>
      </c>
      <c r="D255" s="2153" t="str">
        <f t="shared" si="36"/>
        <v/>
      </c>
      <c r="E255" s="2153" t="str">
        <f t="shared" si="36"/>
        <v/>
      </c>
      <c r="F255" s="2153" t="str">
        <f t="shared" si="36"/>
        <v/>
      </c>
      <c r="G255" s="2153" t="str">
        <f t="shared" si="36"/>
        <v/>
      </c>
      <c r="H255" s="2153" t="str">
        <f t="shared" si="36"/>
        <v/>
      </c>
      <c r="I255" s="2153" t="str">
        <f t="shared" si="36"/>
        <v/>
      </c>
      <c r="J255" s="2153" t="str">
        <f t="shared" si="36"/>
        <v/>
      </c>
      <c r="K255" s="2153" t="str">
        <f t="shared" si="36"/>
        <v/>
      </c>
      <c r="L255" s="2153" t="str">
        <f t="shared" si="36"/>
        <v/>
      </c>
      <c r="M255" s="2153" t="str">
        <f t="shared" si="36"/>
        <v/>
      </c>
      <c r="N255" s="2153" t="str">
        <f t="shared" si="36"/>
        <v/>
      </c>
      <c r="O255" s="2153" t="str">
        <f t="shared" si="36"/>
        <v/>
      </c>
      <c r="P255" s="2153" t="str">
        <f t="shared" si="36"/>
        <v/>
      </c>
      <c r="Q255" s="2153" t="str">
        <f t="shared" si="36"/>
        <v/>
      </c>
      <c r="R255" s="1398"/>
      <c r="S255" s="1398"/>
      <c r="T255" s="1398"/>
      <c r="U255" s="1398"/>
      <c r="V255" s="1398"/>
      <c r="W255" s="1398"/>
      <c r="X255" s="1398"/>
      <c r="Y255" s="1398"/>
      <c r="Z255" s="1398"/>
      <c r="AA255" s="1398"/>
      <c r="AB255" s="1398"/>
      <c r="AC255" s="1398"/>
      <c r="AD255" s="1398"/>
      <c r="AE255" s="1398"/>
    </row>
    <row r="256" spans="1:31" ht="15" customHeight="1" x14ac:dyDescent="0.3">
      <c r="A256" s="1398"/>
      <c r="B256" s="2152" t="s">
        <v>2536</v>
      </c>
      <c r="C256" s="2151"/>
      <c r="D256" s="1398"/>
      <c r="E256" s="1398"/>
      <c r="F256" s="1398"/>
      <c r="G256" s="1398"/>
      <c r="H256" s="1398"/>
      <c r="I256" s="1398"/>
      <c r="J256" s="1398"/>
      <c r="K256" s="1398"/>
      <c r="L256" s="1398"/>
      <c r="M256" s="1398"/>
      <c r="N256" s="1398"/>
      <c r="O256" s="1398"/>
      <c r="P256" s="1398"/>
      <c r="Q256" s="1398"/>
      <c r="R256" s="1398"/>
      <c r="S256" s="1398"/>
      <c r="T256" s="1398"/>
      <c r="U256" s="1398"/>
      <c r="V256" s="1398"/>
      <c r="W256" s="1398"/>
      <c r="X256" s="1398"/>
      <c r="Y256" s="1398"/>
      <c r="Z256" s="1398"/>
      <c r="AA256" s="1398"/>
      <c r="AB256" s="1398"/>
      <c r="AC256" s="1398"/>
      <c r="AD256" s="1398"/>
      <c r="AE256" s="1398"/>
    </row>
    <row r="257" spans="1:31" ht="15" customHeight="1" x14ac:dyDescent="0.3">
      <c r="A257" s="1398"/>
      <c r="B257" s="2150" t="s">
        <v>2535</v>
      </c>
      <c r="C257" s="2149"/>
      <c r="D257" s="1398"/>
      <c r="E257" s="1398"/>
      <c r="F257" s="1398"/>
      <c r="G257" s="1398"/>
      <c r="H257" s="1398"/>
      <c r="I257" s="1398"/>
      <c r="J257" s="1398"/>
      <c r="K257" s="1398"/>
      <c r="L257" s="1398"/>
      <c r="M257" s="1398"/>
      <c r="N257" s="1398"/>
      <c r="O257" s="1398"/>
      <c r="P257" s="1398"/>
      <c r="Q257" s="1398"/>
      <c r="R257" s="1398"/>
      <c r="S257" s="1398"/>
      <c r="T257" s="1398"/>
      <c r="U257" s="1398"/>
      <c r="V257" s="1398"/>
      <c r="W257" s="1398"/>
      <c r="X257" s="1398"/>
      <c r="Y257" s="1398"/>
      <c r="Z257" s="1398"/>
      <c r="AA257" s="1398"/>
      <c r="AB257" s="1398"/>
      <c r="AC257" s="1398"/>
      <c r="AD257" s="1398"/>
      <c r="AE257" s="1398"/>
    </row>
    <row r="258" spans="1:31" ht="15" customHeight="1" x14ac:dyDescent="0.35">
      <c r="A258" s="1398"/>
      <c r="D258" s="1398"/>
      <c r="E258" s="1398"/>
      <c r="F258" s="1398"/>
      <c r="G258" s="1398"/>
      <c r="H258" s="1398"/>
      <c r="I258" s="1398"/>
      <c r="J258" s="1398"/>
      <c r="K258" s="1398"/>
      <c r="L258" s="1398"/>
      <c r="M258" s="1398"/>
      <c r="N258" s="1398"/>
      <c r="O258" s="1398"/>
      <c r="P258" s="1398"/>
      <c r="Q258" s="1398"/>
      <c r="R258" s="1398"/>
      <c r="S258" s="1398"/>
      <c r="T258" s="1398"/>
      <c r="U258" s="1398"/>
      <c r="V258" s="1398"/>
      <c r="W258" s="1398"/>
      <c r="X258" s="1398"/>
      <c r="Y258" s="1398"/>
      <c r="Z258" s="1398"/>
      <c r="AA258" s="1398"/>
      <c r="AB258" s="1398"/>
      <c r="AC258" s="1398"/>
      <c r="AD258" s="1398"/>
      <c r="AE258" s="1398"/>
    </row>
    <row r="259" spans="1:31" ht="19.5" customHeight="1" x14ac:dyDescent="0.3">
      <c r="A259" s="2196" t="s">
        <v>2584</v>
      </c>
      <c r="B259" s="2195"/>
      <c r="C259" s="2194" t="s">
        <v>2566</v>
      </c>
      <c r="D259" s="2173" t="str">
        <f>IF(ISBLANK($I$7),"",IF($I$7="No","Please leave Panel B"&amp;COLUMN($I$7)-2&amp;" empty","Please fill in Panel B"&amp;COLUMN($I$7)-2))</f>
        <v/>
      </c>
      <c r="E259" s="2193"/>
      <c r="F259" s="2193"/>
      <c r="G259" s="2193"/>
      <c r="H259" s="2193"/>
      <c r="I259" s="2193"/>
      <c r="J259" s="2193"/>
      <c r="K259" s="2193"/>
      <c r="L259" s="2193"/>
      <c r="M259" s="2193"/>
      <c r="N259" s="2193"/>
      <c r="O259" s="2193"/>
      <c r="P259" s="2193"/>
      <c r="Q259" s="2193"/>
      <c r="R259" s="1398"/>
      <c r="S259" s="1398"/>
      <c r="T259" s="1398"/>
      <c r="U259" s="1398"/>
      <c r="V259" s="1398"/>
      <c r="W259" s="1398"/>
      <c r="X259" s="1398"/>
      <c r="Y259" s="1398"/>
      <c r="Z259" s="1398"/>
      <c r="AA259" s="1398"/>
      <c r="AB259" s="1398"/>
      <c r="AC259" s="1398"/>
      <c r="AD259" s="1398"/>
      <c r="AE259" s="1398"/>
    </row>
    <row r="260" spans="1:31" ht="15" customHeight="1" x14ac:dyDescent="0.35">
      <c r="A260" s="1398"/>
      <c r="C260" s="2980" t="s">
        <v>207</v>
      </c>
      <c r="D260" s="2980"/>
      <c r="E260" s="2980"/>
      <c r="F260" s="2980"/>
      <c r="G260" s="2980"/>
      <c r="H260" s="2980"/>
      <c r="I260" s="2980"/>
      <c r="J260" s="2980"/>
      <c r="K260" s="2980"/>
      <c r="L260" s="2981"/>
      <c r="M260" s="2982" t="s">
        <v>2559</v>
      </c>
      <c r="N260" s="2984" t="s">
        <v>2565</v>
      </c>
      <c r="O260" s="2985"/>
      <c r="P260" s="2985"/>
      <c r="Q260" s="2985"/>
      <c r="R260" s="1398"/>
      <c r="S260" s="1398"/>
      <c r="T260" s="1398"/>
      <c r="U260" s="1398"/>
      <c r="V260" s="1398"/>
      <c r="W260" s="1398"/>
      <c r="X260" s="1398"/>
      <c r="Y260" s="1398"/>
      <c r="Z260" s="1398"/>
      <c r="AA260" s="1398"/>
      <c r="AB260" s="1398"/>
      <c r="AC260" s="1398"/>
      <c r="AD260" s="1398"/>
      <c r="AE260" s="1398"/>
    </row>
    <row r="261" spans="1:31" ht="15" customHeight="1" x14ac:dyDescent="0.35">
      <c r="A261" s="1398"/>
      <c r="B261" s="2172"/>
      <c r="C261" s="2967" t="s">
        <v>2564</v>
      </c>
      <c r="D261" s="2973" t="s">
        <v>465</v>
      </c>
      <c r="E261" s="2974"/>
      <c r="F261" s="2974"/>
      <c r="G261" s="2974"/>
      <c r="H261" s="2975"/>
      <c r="I261" s="2969" t="s">
        <v>2563</v>
      </c>
      <c r="J261" s="2969" t="s">
        <v>2562</v>
      </c>
      <c r="K261" s="2969" t="s">
        <v>2561</v>
      </c>
      <c r="L261" s="2969" t="s">
        <v>2560</v>
      </c>
      <c r="M261" s="2983"/>
      <c r="N261" s="2978" t="s">
        <v>207</v>
      </c>
      <c r="O261" s="2978" t="s">
        <v>2559</v>
      </c>
      <c r="P261" s="2969" t="s">
        <v>59</v>
      </c>
      <c r="Q261" s="2971" t="s">
        <v>2558</v>
      </c>
      <c r="R261" s="1398"/>
      <c r="S261" s="1398"/>
      <c r="T261" s="1398"/>
      <c r="U261" s="1398"/>
      <c r="V261" s="1398"/>
      <c r="W261" s="1398"/>
      <c r="X261" s="1398"/>
      <c r="Y261" s="1398"/>
      <c r="Z261" s="1398"/>
      <c r="AA261" s="1398"/>
      <c r="AB261" s="1398"/>
      <c r="AC261" s="1398"/>
      <c r="AD261" s="1398"/>
      <c r="AE261" s="1398"/>
    </row>
    <row r="262" spans="1:31" ht="48.6" customHeight="1" x14ac:dyDescent="0.35">
      <c r="A262" s="1398"/>
      <c r="B262" s="2171"/>
      <c r="C262" s="2968"/>
      <c r="D262" s="2170" t="s">
        <v>2557</v>
      </c>
      <c r="E262" s="2170" t="s">
        <v>2556</v>
      </c>
      <c r="F262" s="2170" t="s">
        <v>2555</v>
      </c>
      <c r="G262" s="2170" t="s">
        <v>2554</v>
      </c>
      <c r="H262" s="2170" t="s">
        <v>59</v>
      </c>
      <c r="I262" s="2970"/>
      <c r="J262" s="2970"/>
      <c r="K262" s="2970"/>
      <c r="L262" s="2970"/>
      <c r="M262" s="2970"/>
      <c r="N262" s="2979"/>
      <c r="O262" s="2979"/>
      <c r="P262" s="2970"/>
      <c r="Q262" s="2972"/>
      <c r="R262" s="1398"/>
      <c r="S262" s="1398"/>
      <c r="T262" s="1398"/>
      <c r="U262" s="1398"/>
      <c r="V262" s="1398"/>
      <c r="W262" s="1398"/>
      <c r="X262" s="1398"/>
      <c r="Y262" s="1398"/>
      <c r="Z262" s="1398"/>
      <c r="AA262" s="1398"/>
      <c r="AB262" s="1398"/>
      <c r="AC262" s="1398"/>
      <c r="AD262" s="1398"/>
      <c r="AE262" s="1398"/>
    </row>
    <row r="263" spans="1:31" ht="15" customHeight="1" x14ac:dyDescent="0.35">
      <c r="A263" s="1398"/>
      <c r="B263" s="2179" t="s">
        <v>2553</v>
      </c>
      <c r="C263" s="2168" t="str">
        <f t="shared" ref="C263:I263" si="37">IF(AND(ISNUMBER(C276),ISNUMBER(C272),ISNUMBER(C274),ISNUMBER(C264),ISNUMBER(C268),ISNUMBER(C266),ISNUMBER(C270),ISNUMBER(C278)),SUM(C264,C266,C268,C270,C272,C274,C276,C278),"")</f>
        <v/>
      </c>
      <c r="D263" s="2168" t="str">
        <f t="shared" si="37"/>
        <v/>
      </c>
      <c r="E263" s="2168" t="str">
        <f t="shared" si="37"/>
        <v/>
      </c>
      <c r="F263" s="2168" t="str">
        <f t="shared" si="37"/>
        <v/>
      </c>
      <c r="G263" s="2168" t="str">
        <f t="shared" si="37"/>
        <v/>
      </c>
      <c r="H263" s="2168" t="str">
        <f t="shared" si="37"/>
        <v/>
      </c>
      <c r="I263" s="2168" t="str">
        <f t="shared" si="37"/>
        <v/>
      </c>
      <c r="J263" s="2157"/>
      <c r="K263" s="2168" t="str">
        <f>IF(AND(ISNUMBER(K276),ISNUMBER(K272),ISNUMBER(K274),ISNUMBER(K264),ISNUMBER(K268),ISNUMBER(K266),ISNUMBER(K270),ISNUMBER(K278)),SUM(K264,K266,K268,K270,K272,K274,K276,K278),"")</f>
        <v/>
      </c>
      <c r="L263" s="2157"/>
      <c r="M263" s="2168" t="str">
        <f>IF(AND(ISNUMBER(M276),ISNUMBER(M272),ISNUMBER(M274),ISNUMBER(M264),ISNUMBER(M268),ISNUMBER(M266),ISNUMBER(M270),ISNUMBER(M278)),SUM(M264,M266,M268,M270,M272,M274,M276,M278),"")</f>
        <v/>
      </c>
      <c r="N263" s="2167"/>
      <c r="O263" s="2167"/>
      <c r="P263" s="2167"/>
      <c r="Q263" s="2167"/>
      <c r="R263" s="1398"/>
      <c r="S263" s="1398"/>
      <c r="T263" s="1398"/>
      <c r="U263" s="1398"/>
      <c r="V263" s="1398"/>
      <c r="W263" s="1398"/>
      <c r="X263" s="1398"/>
      <c r="Y263" s="1398"/>
      <c r="Z263" s="1398"/>
      <c r="AA263" s="1398"/>
      <c r="AB263" s="1398"/>
      <c r="AC263" s="1398"/>
      <c r="AD263" s="1398"/>
      <c r="AE263" s="1398"/>
    </row>
    <row r="264" spans="1:31" ht="15" customHeight="1" x14ac:dyDescent="0.3">
      <c r="A264" s="1398"/>
      <c r="B264" s="2163" t="s">
        <v>2552</v>
      </c>
      <c r="C264" s="2151"/>
      <c r="D264" s="2151"/>
      <c r="E264" s="2151"/>
      <c r="F264" s="2151"/>
      <c r="G264" s="2151"/>
      <c r="H264" s="2151"/>
      <c r="I264" s="2151"/>
      <c r="J264" s="2157"/>
      <c r="K264" s="2151"/>
      <c r="L264" s="2157"/>
      <c r="M264" s="2151"/>
      <c r="N264" s="2157"/>
      <c r="O264" s="2157"/>
      <c r="P264" s="2157"/>
      <c r="Q264" s="2157"/>
      <c r="R264" s="1398"/>
      <c r="S264" s="1398"/>
      <c r="T264" s="1398"/>
      <c r="U264" s="1398"/>
      <c r="V264" s="1398"/>
      <c r="W264" s="1398"/>
      <c r="X264" s="1398"/>
      <c r="Y264" s="1398"/>
      <c r="Z264" s="1398"/>
      <c r="AA264" s="1398"/>
      <c r="AB264" s="1398"/>
      <c r="AC264" s="1398"/>
      <c r="AD264" s="1398"/>
      <c r="AE264" s="1398"/>
    </row>
    <row r="265" spans="1:31" ht="15" customHeight="1" x14ac:dyDescent="0.3">
      <c r="A265" s="1398"/>
      <c r="B265" s="2162" t="s">
        <v>2543</v>
      </c>
      <c r="C265" s="2151"/>
      <c r="D265" s="2151"/>
      <c r="E265" s="2151"/>
      <c r="F265" s="2151"/>
      <c r="G265" s="2151"/>
      <c r="H265" s="2151"/>
      <c r="I265" s="2151"/>
      <c r="J265" s="2157"/>
      <c r="K265" s="2151"/>
      <c r="L265" s="2157"/>
      <c r="M265" s="2151"/>
      <c r="N265" s="2157"/>
      <c r="O265" s="2157"/>
      <c r="P265" s="2157"/>
      <c r="Q265" s="2157"/>
      <c r="R265" s="1398"/>
      <c r="S265" s="1398"/>
      <c r="T265" s="1398"/>
      <c r="U265" s="1398"/>
      <c r="V265" s="1398"/>
      <c r="W265" s="1398"/>
      <c r="X265" s="1398"/>
      <c r="Y265" s="1398"/>
      <c r="Z265" s="1398"/>
      <c r="AA265" s="1398"/>
      <c r="AB265" s="1398"/>
      <c r="AC265" s="1398"/>
      <c r="AD265" s="1398"/>
      <c r="AE265" s="1398"/>
    </row>
    <row r="266" spans="1:31" ht="15" customHeight="1" x14ac:dyDescent="0.3">
      <c r="A266" s="1398"/>
      <c r="B266" s="2163" t="s">
        <v>2551</v>
      </c>
      <c r="C266" s="2151"/>
      <c r="D266" s="2151"/>
      <c r="E266" s="2151"/>
      <c r="F266" s="2151"/>
      <c r="G266" s="2151"/>
      <c r="H266" s="2151"/>
      <c r="I266" s="2151"/>
      <c r="J266" s="2157"/>
      <c r="K266" s="2151"/>
      <c r="L266" s="2157"/>
      <c r="M266" s="2151"/>
      <c r="N266" s="2157"/>
      <c r="O266" s="2157"/>
      <c r="P266" s="2157"/>
      <c r="Q266" s="2157"/>
      <c r="R266" s="1398"/>
      <c r="S266" s="1398"/>
      <c r="T266" s="1398"/>
      <c r="U266" s="1398"/>
      <c r="V266" s="1398"/>
      <c r="W266" s="1398"/>
      <c r="X266" s="1398"/>
      <c r="Y266" s="1398"/>
      <c r="Z266" s="1398"/>
      <c r="AA266" s="1398"/>
      <c r="AB266" s="1398"/>
      <c r="AC266" s="1398"/>
      <c r="AD266" s="1398"/>
      <c r="AE266" s="1398"/>
    </row>
    <row r="267" spans="1:31" ht="15" customHeight="1" x14ac:dyDescent="0.3">
      <c r="A267" s="1398"/>
      <c r="B267" s="2162" t="s">
        <v>2543</v>
      </c>
      <c r="C267" s="2151"/>
      <c r="D267" s="2151"/>
      <c r="E267" s="2151"/>
      <c r="F267" s="2151"/>
      <c r="G267" s="2151"/>
      <c r="H267" s="2151"/>
      <c r="I267" s="2151"/>
      <c r="J267" s="2157"/>
      <c r="K267" s="2151"/>
      <c r="L267" s="2157"/>
      <c r="M267" s="2151"/>
      <c r="N267" s="2157"/>
      <c r="O267" s="2157"/>
      <c r="P267" s="2157"/>
      <c r="Q267" s="2157"/>
      <c r="R267" s="1398"/>
      <c r="S267" s="1398"/>
      <c r="T267" s="1398"/>
      <c r="U267" s="1398"/>
      <c r="V267" s="1398"/>
      <c r="W267" s="1398"/>
      <c r="X267" s="1398"/>
      <c r="Y267" s="1398"/>
      <c r="Z267" s="1398"/>
      <c r="AA267" s="1398"/>
      <c r="AB267" s="1398"/>
      <c r="AC267" s="1398"/>
      <c r="AD267" s="1398"/>
      <c r="AE267" s="1398"/>
    </row>
    <row r="268" spans="1:31" ht="15" customHeight="1" x14ac:dyDescent="0.3">
      <c r="A268" s="1398"/>
      <c r="B268" s="2163" t="s">
        <v>2550</v>
      </c>
      <c r="C268" s="2151"/>
      <c r="D268" s="2151"/>
      <c r="E268" s="2151"/>
      <c r="F268" s="2151"/>
      <c r="G268" s="2151"/>
      <c r="H268" s="2151"/>
      <c r="I268" s="2151"/>
      <c r="J268" s="2157"/>
      <c r="K268" s="2151"/>
      <c r="L268" s="2157"/>
      <c r="M268" s="2151"/>
      <c r="N268" s="2157"/>
      <c r="O268" s="2157"/>
      <c r="P268" s="2157"/>
      <c r="Q268" s="2157"/>
      <c r="R268" s="1398"/>
      <c r="S268" s="1398"/>
      <c r="T268" s="1398"/>
      <c r="U268" s="1398"/>
      <c r="V268" s="1398"/>
      <c r="W268" s="1398"/>
      <c r="X268" s="1398"/>
      <c r="Y268" s="1398"/>
      <c r="Z268" s="1398"/>
      <c r="AA268" s="1398"/>
      <c r="AB268" s="1398"/>
      <c r="AC268" s="1398"/>
      <c r="AD268" s="1398"/>
      <c r="AE268" s="1398"/>
    </row>
    <row r="269" spans="1:31" ht="15" customHeight="1" x14ac:dyDescent="0.3">
      <c r="A269" s="1398"/>
      <c r="B269" s="2162" t="s">
        <v>2543</v>
      </c>
      <c r="C269" s="2151"/>
      <c r="D269" s="2151"/>
      <c r="E269" s="2151"/>
      <c r="F269" s="2151"/>
      <c r="G269" s="2151"/>
      <c r="H269" s="2151"/>
      <c r="I269" s="2151"/>
      <c r="J269" s="2157"/>
      <c r="K269" s="2151"/>
      <c r="L269" s="2157"/>
      <c r="M269" s="2151"/>
      <c r="N269" s="2157"/>
      <c r="O269" s="2157"/>
      <c r="P269" s="2157"/>
      <c r="Q269" s="2157"/>
      <c r="R269" s="1398"/>
      <c r="S269" s="1398"/>
      <c r="T269" s="1398"/>
      <c r="U269" s="1398"/>
      <c r="V269" s="1398"/>
      <c r="W269" s="1398"/>
      <c r="X269" s="1398"/>
      <c r="Y269" s="1398"/>
      <c r="Z269" s="1398"/>
      <c r="AA269" s="1398"/>
      <c r="AB269" s="1398"/>
      <c r="AC269" s="1398"/>
      <c r="AD269" s="1398"/>
      <c r="AE269" s="1398"/>
    </row>
    <row r="270" spans="1:31" ht="15" customHeight="1" x14ac:dyDescent="0.3">
      <c r="A270" s="1398"/>
      <c r="B270" s="2163" t="s">
        <v>2549</v>
      </c>
      <c r="C270" s="2151"/>
      <c r="D270" s="2151"/>
      <c r="E270" s="2151"/>
      <c r="F270" s="2151"/>
      <c r="G270" s="2151"/>
      <c r="H270" s="2151"/>
      <c r="I270" s="2151"/>
      <c r="J270" s="2157"/>
      <c r="K270" s="2151"/>
      <c r="L270" s="2157"/>
      <c r="M270" s="2151"/>
      <c r="N270" s="2157"/>
      <c r="O270" s="2157"/>
      <c r="P270" s="2157"/>
      <c r="Q270" s="2157"/>
      <c r="R270" s="1398"/>
      <c r="S270" s="1398"/>
      <c r="T270" s="1398"/>
      <c r="U270" s="1398"/>
      <c r="V270" s="1398"/>
      <c r="W270" s="1398"/>
      <c r="X270" s="1398"/>
      <c r="Y270" s="1398"/>
      <c r="Z270" s="1398"/>
      <c r="AA270" s="1398"/>
      <c r="AB270" s="1398"/>
      <c r="AC270" s="1398"/>
      <c r="AD270" s="1398"/>
      <c r="AE270" s="1398"/>
    </row>
    <row r="271" spans="1:31" ht="15" customHeight="1" x14ac:dyDescent="0.3">
      <c r="A271" s="1398"/>
      <c r="B271" s="2162" t="s">
        <v>2543</v>
      </c>
      <c r="C271" s="2151"/>
      <c r="D271" s="2151"/>
      <c r="E271" s="2151"/>
      <c r="F271" s="2151"/>
      <c r="G271" s="2151"/>
      <c r="H271" s="2151"/>
      <c r="I271" s="2151"/>
      <c r="J271" s="2157"/>
      <c r="K271" s="2151"/>
      <c r="L271" s="2157"/>
      <c r="M271" s="2151"/>
      <c r="N271" s="2157"/>
      <c r="O271" s="2157"/>
      <c r="P271" s="2157"/>
      <c r="Q271" s="2157"/>
      <c r="R271" s="1398"/>
      <c r="S271" s="1398"/>
      <c r="T271" s="1398"/>
      <c r="U271" s="1398"/>
      <c r="V271" s="1398"/>
      <c r="W271" s="1398"/>
      <c r="X271" s="1398"/>
      <c r="Y271" s="1398"/>
      <c r="Z271" s="1398"/>
      <c r="AA271" s="1398"/>
      <c r="AB271" s="1398"/>
      <c r="AC271" s="1398"/>
      <c r="AD271" s="1398"/>
      <c r="AE271" s="1398"/>
    </row>
    <row r="272" spans="1:31" ht="15" customHeight="1" x14ac:dyDescent="0.35">
      <c r="A272" s="1398"/>
      <c r="B272" s="2192" t="s">
        <v>2548</v>
      </c>
      <c r="C272" s="2151"/>
      <c r="D272" s="2151"/>
      <c r="E272" s="2151"/>
      <c r="F272" s="2151"/>
      <c r="G272" s="2151"/>
      <c r="H272" s="2151"/>
      <c r="I272" s="2151"/>
      <c r="J272" s="2157"/>
      <c r="K272" s="2151"/>
      <c r="L272" s="2157"/>
      <c r="M272" s="2151"/>
      <c r="N272" s="2157"/>
      <c r="O272" s="2157"/>
      <c r="P272" s="2157"/>
      <c r="Q272" s="2157"/>
      <c r="R272" s="1398"/>
      <c r="S272" s="1398"/>
      <c r="T272" s="1398"/>
      <c r="U272" s="1398"/>
      <c r="V272" s="1398"/>
      <c r="W272" s="1398"/>
      <c r="X272" s="1398"/>
      <c r="Y272" s="1398"/>
      <c r="Z272" s="1398"/>
      <c r="AA272" s="1398"/>
      <c r="AB272" s="1398"/>
      <c r="AC272" s="1398"/>
      <c r="AD272" s="1398"/>
      <c r="AE272" s="1398"/>
    </row>
    <row r="273" spans="1:31" ht="15" customHeight="1" x14ac:dyDescent="0.3">
      <c r="A273" s="1398"/>
      <c r="B273" s="2162" t="s">
        <v>2543</v>
      </c>
      <c r="C273" s="2151"/>
      <c r="D273" s="2151"/>
      <c r="E273" s="2151"/>
      <c r="F273" s="2151"/>
      <c r="G273" s="2151"/>
      <c r="H273" s="2151"/>
      <c r="I273" s="2151"/>
      <c r="J273" s="2157"/>
      <c r="K273" s="2151"/>
      <c r="L273" s="2157"/>
      <c r="M273" s="2151"/>
      <c r="N273" s="2157"/>
      <c r="O273" s="2157"/>
      <c r="P273" s="2157"/>
      <c r="Q273" s="2157"/>
      <c r="R273" s="1398"/>
      <c r="S273" s="1398"/>
      <c r="T273" s="1398"/>
      <c r="U273" s="1398"/>
      <c r="V273" s="1398"/>
      <c r="W273" s="1398"/>
      <c r="X273" s="1398"/>
      <c r="Y273" s="1398"/>
      <c r="Z273" s="1398"/>
      <c r="AA273" s="1398"/>
      <c r="AB273" s="1398"/>
      <c r="AC273" s="1398"/>
      <c r="AD273" s="1398"/>
      <c r="AE273" s="1398"/>
    </row>
    <row r="274" spans="1:31" ht="15" customHeight="1" x14ac:dyDescent="0.3">
      <c r="A274" s="1398"/>
      <c r="B274" s="2163" t="s">
        <v>2547</v>
      </c>
      <c r="C274" s="2151"/>
      <c r="D274" s="2151"/>
      <c r="E274" s="2151"/>
      <c r="F274" s="2151"/>
      <c r="G274" s="2151"/>
      <c r="H274" s="2151"/>
      <c r="I274" s="2151"/>
      <c r="J274" s="2157"/>
      <c r="K274" s="2151"/>
      <c r="L274" s="2157"/>
      <c r="M274" s="2151"/>
      <c r="N274" s="2157"/>
      <c r="O274" s="2157"/>
      <c r="P274" s="2157"/>
      <c r="Q274" s="2157"/>
      <c r="R274" s="1398"/>
      <c r="S274" s="1398"/>
      <c r="T274" s="1398"/>
      <c r="U274" s="1398"/>
      <c r="V274" s="1398"/>
      <c r="W274" s="1398"/>
      <c r="X274" s="1398"/>
      <c r="Y274" s="1398"/>
      <c r="Z274" s="1398"/>
      <c r="AA274" s="1398"/>
      <c r="AB274" s="1398"/>
      <c r="AC274" s="1398"/>
      <c r="AD274" s="1398"/>
      <c r="AE274" s="1398"/>
    </row>
    <row r="275" spans="1:31" ht="15" customHeight="1" x14ac:dyDescent="0.3">
      <c r="A275" s="1398"/>
      <c r="B275" s="2162" t="s">
        <v>2543</v>
      </c>
      <c r="C275" s="2151"/>
      <c r="D275" s="2151"/>
      <c r="E275" s="2151"/>
      <c r="F275" s="2151"/>
      <c r="G275" s="2151"/>
      <c r="H275" s="2151"/>
      <c r="I275" s="2151"/>
      <c r="J275" s="2157"/>
      <c r="K275" s="2151"/>
      <c r="L275" s="2157"/>
      <c r="M275" s="2151"/>
      <c r="N275" s="2157"/>
      <c r="O275" s="2157"/>
      <c r="P275" s="2157"/>
      <c r="Q275" s="2157"/>
      <c r="R275" s="1398"/>
      <c r="S275" s="1398"/>
      <c r="T275" s="1398"/>
      <c r="U275" s="1398"/>
      <c r="V275" s="1398"/>
      <c r="W275" s="1398"/>
      <c r="X275" s="1398"/>
      <c r="Y275" s="1398"/>
      <c r="Z275" s="1398"/>
      <c r="AA275" s="1398"/>
      <c r="AB275" s="1398"/>
      <c r="AC275" s="1398"/>
      <c r="AD275" s="1398"/>
      <c r="AE275" s="1398"/>
    </row>
    <row r="276" spans="1:31" ht="15" customHeight="1" x14ac:dyDescent="0.3">
      <c r="A276" s="1398"/>
      <c r="B276" s="2166" t="s">
        <v>2546</v>
      </c>
      <c r="C276" s="2151"/>
      <c r="D276" s="2151"/>
      <c r="E276" s="2151"/>
      <c r="F276" s="2151"/>
      <c r="G276" s="2151"/>
      <c r="H276" s="2151"/>
      <c r="I276" s="2151"/>
      <c r="J276" s="2157"/>
      <c r="K276" s="2151"/>
      <c r="L276" s="2157"/>
      <c r="M276" s="2151"/>
      <c r="N276" s="2157"/>
      <c r="O276" s="2157"/>
      <c r="P276" s="2157"/>
      <c r="Q276" s="2157"/>
      <c r="R276" s="1398"/>
      <c r="S276" s="1398"/>
      <c r="T276" s="1398"/>
      <c r="U276" s="1398"/>
      <c r="V276" s="1398"/>
      <c r="W276" s="1398"/>
      <c r="X276" s="1398"/>
      <c r="Y276" s="1398"/>
      <c r="Z276" s="1398"/>
      <c r="AA276" s="1398"/>
      <c r="AB276" s="1398"/>
      <c r="AC276" s="1398"/>
      <c r="AD276" s="1398"/>
      <c r="AE276" s="1398"/>
    </row>
    <row r="277" spans="1:31" ht="15" customHeight="1" x14ac:dyDescent="0.3">
      <c r="A277" s="1398"/>
      <c r="B277" s="2162" t="s">
        <v>2543</v>
      </c>
      <c r="C277" s="2151"/>
      <c r="D277" s="2151"/>
      <c r="E277" s="2151"/>
      <c r="F277" s="2151"/>
      <c r="G277" s="2151"/>
      <c r="H277" s="2151"/>
      <c r="I277" s="2151"/>
      <c r="J277" s="2157"/>
      <c r="K277" s="2151"/>
      <c r="L277" s="2157"/>
      <c r="M277" s="2151"/>
      <c r="N277" s="2157"/>
      <c r="O277" s="2157"/>
      <c r="P277" s="2157"/>
      <c r="Q277" s="2157"/>
      <c r="R277" s="1398"/>
      <c r="S277" s="1398"/>
      <c r="T277" s="1398"/>
      <c r="U277" s="1398"/>
      <c r="V277" s="1398"/>
      <c r="W277" s="1398"/>
      <c r="X277" s="1398"/>
      <c r="Y277" s="1398"/>
      <c r="Z277" s="1398"/>
      <c r="AA277" s="1398"/>
      <c r="AB277" s="1398"/>
      <c r="AC277" s="1398"/>
      <c r="AD277" s="1398"/>
      <c r="AE277" s="1398"/>
    </row>
    <row r="278" spans="1:31" ht="15" customHeight="1" x14ac:dyDescent="0.3">
      <c r="A278" s="1398"/>
      <c r="B278" s="2163" t="s">
        <v>1760</v>
      </c>
      <c r="C278" s="2151"/>
      <c r="D278" s="2151"/>
      <c r="E278" s="2151"/>
      <c r="F278" s="2151"/>
      <c r="G278" s="2151"/>
      <c r="H278" s="2151"/>
      <c r="I278" s="2151"/>
      <c r="J278" s="2157"/>
      <c r="K278" s="2151"/>
      <c r="L278" s="2157"/>
      <c r="M278" s="2151"/>
      <c r="N278" s="2157"/>
      <c r="O278" s="2157"/>
      <c r="P278" s="2157"/>
      <c r="Q278" s="2157"/>
      <c r="R278" s="1398"/>
      <c r="S278" s="1398"/>
      <c r="T278" s="1398"/>
      <c r="U278" s="1398"/>
      <c r="V278" s="1398"/>
      <c r="W278" s="1398"/>
      <c r="X278" s="1398"/>
      <c r="Y278" s="1398"/>
      <c r="Z278" s="1398"/>
      <c r="AA278" s="1398"/>
      <c r="AB278" s="1398"/>
      <c r="AC278" s="1398"/>
      <c r="AD278" s="1398"/>
      <c r="AE278" s="1398"/>
    </row>
    <row r="279" spans="1:31" ht="15" customHeight="1" x14ac:dyDescent="0.3">
      <c r="A279" s="1398"/>
      <c r="B279" s="2162" t="s">
        <v>2543</v>
      </c>
      <c r="C279" s="2151"/>
      <c r="D279" s="2151"/>
      <c r="E279" s="2151"/>
      <c r="F279" s="2151"/>
      <c r="G279" s="2151"/>
      <c r="H279" s="2151"/>
      <c r="I279" s="2151"/>
      <c r="J279" s="2157"/>
      <c r="K279" s="2151"/>
      <c r="L279" s="2157"/>
      <c r="M279" s="2151"/>
      <c r="N279" s="2157"/>
      <c r="O279" s="2157"/>
      <c r="P279" s="2157"/>
      <c r="Q279" s="2157"/>
      <c r="R279" s="1398"/>
      <c r="S279" s="1398"/>
      <c r="T279" s="1398"/>
      <c r="U279" s="1398"/>
      <c r="V279" s="1398"/>
      <c r="W279" s="1398"/>
      <c r="X279" s="1398"/>
      <c r="Y279" s="1398"/>
      <c r="Z279" s="1398"/>
      <c r="AA279" s="1398"/>
      <c r="AB279" s="1398"/>
      <c r="AC279" s="1398"/>
      <c r="AD279" s="1398"/>
      <c r="AE279" s="1398"/>
    </row>
    <row r="280" spans="1:31" ht="15" customHeight="1" x14ac:dyDescent="0.35">
      <c r="A280" s="1398"/>
      <c r="B280" s="2164" t="s">
        <v>2545</v>
      </c>
      <c r="C280" s="2159" t="str">
        <f t="shared" ref="C280:I280" si="38">IF(AND(ISNUMBER(C281),ISNUMBER(C283)),C281+C283,"")</f>
        <v/>
      </c>
      <c r="D280" s="2159" t="str">
        <f t="shared" si="38"/>
        <v/>
      </c>
      <c r="E280" s="2159" t="str">
        <f t="shared" si="38"/>
        <v/>
      </c>
      <c r="F280" s="2159" t="str">
        <f t="shared" si="38"/>
        <v/>
      </c>
      <c r="G280" s="2159" t="str">
        <f t="shared" si="38"/>
        <v/>
      </c>
      <c r="H280" s="2159" t="str">
        <f t="shared" si="38"/>
        <v/>
      </c>
      <c r="I280" s="2159" t="str">
        <f t="shared" si="38"/>
        <v/>
      </c>
      <c r="J280" s="2157"/>
      <c r="K280" s="2159" t="str">
        <f>IF(AND(ISNUMBER(K281),ISNUMBER(K283)),K281+K283,"")</f>
        <v/>
      </c>
      <c r="L280" s="2157"/>
      <c r="M280" s="2159" t="str">
        <f>IF(AND(ISNUMBER(M281),ISNUMBER(M283)),M281+M283,"")</f>
        <v/>
      </c>
      <c r="N280" s="2157"/>
      <c r="O280" s="2157"/>
      <c r="P280" s="2157"/>
      <c r="Q280" s="2157"/>
      <c r="R280" s="1398"/>
      <c r="S280" s="1398"/>
      <c r="T280" s="1398"/>
      <c r="U280" s="1398"/>
      <c r="V280" s="1398"/>
      <c r="W280" s="1398"/>
      <c r="X280" s="1398"/>
      <c r="Y280" s="1398"/>
      <c r="Z280" s="1398"/>
      <c r="AA280" s="1398"/>
      <c r="AB280" s="1398"/>
      <c r="AC280" s="1398"/>
      <c r="AD280" s="1398"/>
      <c r="AE280" s="1398"/>
    </row>
    <row r="281" spans="1:31" ht="15" customHeight="1" x14ac:dyDescent="0.3">
      <c r="A281" s="1398"/>
      <c r="B281" s="2163" t="s">
        <v>2544</v>
      </c>
      <c r="C281" s="2151"/>
      <c r="D281" s="2151"/>
      <c r="E281" s="2151"/>
      <c r="F281" s="2151"/>
      <c r="G281" s="2151"/>
      <c r="H281" s="2151"/>
      <c r="I281" s="2151"/>
      <c r="J281" s="2157"/>
      <c r="K281" s="2151"/>
      <c r="L281" s="2157"/>
      <c r="M281" s="2151"/>
      <c r="N281" s="2157"/>
      <c r="O281" s="2157"/>
      <c r="P281" s="2157"/>
      <c r="Q281" s="2157"/>
      <c r="R281" s="1398"/>
      <c r="S281" s="1398"/>
      <c r="T281" s="1398"/>
      <c r="U281" s="1398"/>
      <c r="V281" s="1398"/>
      <c r="W281" s="1398"/>
      <c r="X281" s="1398"/>
      <c r="Y281" s="1398"/>
      <c r="Z281" s="1398"/>
      <c r="AA281" s="1398"/>
      <c r="AB281" s="1398"/>
      <c r="AC281" s="1398"/>
      <c r="AD281" s="1398"/>
      <c r="AE281" s="1398"/>
    </row>
    <row r="282" spans="1:31" ht="15" customHeight="1" x14ac:dyDescent="0.3">
      <c r="A282" s="1398"/>
      <c r="B282" s="2162" t="s">
        <v>2543</v>
      </c>
      <c r="C282" s="2151"/>
      <c r="D282" s="2151"/>
      <c r="E282" s="2151"/>
      <c r="F282" s="2151"/>
      <c r="G282" s="2151"/>
      <c r="H282" s="2151"/>
      <c r="I282" s="2151"/>
      <c r="J282" s="2157"/>
      <c r="K282" s="2151"/>
      <c r="L282" s="2157"/>
      <c r="M282" s="2151"/>
      <c r="N282" s="2157"/>
      <c r="O282" s="2157"/>
      <c r="P282" s="2157"/>
      <c r="Q282" s="2157"/>
      <c r="R282" s="1398"/>
      <c r="S282" s="1398"/>
      <c r="T282" s="1398"/>
      <c r="U282" s="1398"/>
      <c r="V282" s="1398"/>
      <c r="W282" s="1398"/>
      <c r="X282" s="1398"/>
      <c r="Y282" s="1398"/>
      <c r="Z282" s="1398"/>
      <c r="AA282" s="1398"/>
      <c r="AB282" s="1398"/>
      <c r="AC282" s="1398"/>
      <c r="AD282" s="1398"/>
      <c r="AE282" s="1398"/>
    </row>
    <row r="283" spans="1:31" ht="15" customHeight="1" x14ac:dyDescent="0.3">
      <c r="A283" s="1398"/>
      <c r="B283" s="2163" t="s">
        <v>1760</v>
      </c>
      <c r="C283" s="2151"/>
      <c r="D283" s="2151"/>
      <c r="E283" s="2151"/>
      <c r="F283" s="2151"/>
      <c r="G283" s="2151"/>
      <c r="H283" s="2151"/>
      <c r="I283" s="2151"/>
      <c r="J283" s="2157"/>
      <c r="K283" s="2151"/>
      <c r="L283" s="2157"/>
      <c r="M283" s="2151"/>
      <c r="N283" s="2157"/>
      <c r="O283" s="2157"/>
      <c r="P283" s="2157"/>
      <c r="Q283" s="2157"/>
      <c r="R283" s="1398"/>
      <c r="S283" s="1398"/>
      <c r="T283" s="1398"/>
      <c r="U283" s="1398"/>
      <c r="V283" s="1398"/>
      <c r="W283" s="1398"/>
      <c r="X283" s="1398"/>
      <c r="Y283" s="1398"/>
      <c r="Z283" s="1398"/>
      <c r="AA283" s="1398"/>
      <c r="AB283" s="1398"/>
      <c r="AC283" s="1398"/>
      <c r="AD283" s="1398"/>
      <c r="AE283" s="1398"/>
    </row>
    <row r="284" spans="1:31" ht="15" customHeight="1" x14ac:dyDescent="0.3">
      <c r="A284" s="1398"/>
      <c r="B284" s="2162" t="s">
        <v>2543</v>
      </c>
      <c r="C284" s="2151"/>
      <c r="D284" s="2151"/>
      <c r="E284" s="2151"/>
      <c r="F284" s="2151"/>
      <c r="G284" s="2151"/>
      <c r="H284" s="2151"/>
      <c r="I284" s="2151"/>
      <c r="J284" s="2157"/>
      <c r="K284" s="2151"/>
      <c r="L284" s="2157"/>
      <c r="M284" s="2151"/>
      <c r="N284" s="2157"/>
      <c r="O284" s="2157"/>
      <c r="P284" s="2157"/>
      <c r="Q284" s="2157"/>
      <c r="R284" s="1398"/>
      <c r="S284" s="1398"/>
      <c r="T284" s="1398"/>
      <c r="U284" s="1398"/>
      <c r="V284" s="1398"/>
      <c r="W284" s="1398"/>
      <c r="X284" s="1398"/>
      <c r="Y284" s="1398"/>
      <c r="Z284" s="1398"/>
      <c r="AA284" s="1398"/>
      <c r="AB284" s="1398"/>
      <c r="AC284" s="1398"/>
      <c r="AD284" s="1398"/>
      <c r="AE284" s="1398"/>
    </row>
    <row r="285" spans="1:31" ht="15" customHeight="1" x14ac:dyDescent="0.3">
      <c r="A285" s="1398"/>
      <c r="B285" s="2164" t="s">
        <v>1941</v>
      </c>
      <c r="C285" s="2151"/>
      <c r="D285" s="2151"/>
      <c r="E285" s="2151"/>
      <c r="F285" s="2151"/>
      <c r="G285" s="2151"/>
      <c r="H285" s="2151"/>
      <c r="I285" s="2151"/>
      <c r="J285" s="2157"/>
      <c r="K285" s="2151"/>
      <c r="L285" s="2157"/>
      <c r="M285" s="2151"/>
      <c r="N285" s="2157"/>
      <c r="O285" s="2157"/>
      <c r="P285" s="2157"/>
      <c r="Q285" s="2157"/>
      <c r="R285" s="1398"/>
      <c r="S285" s="1398"/>
      <c r="T285" s="1398"/>
      <c r="U285" s="1398"/>
      <c r="V285" s="1398"/>
      <c r="W285" s="1398"/>
      <c r="X285" s="1398"/>
      <c r="Y285" s="1398"/>
      <c r="Z285" s="1398"/>
      <c r="AA285" s="1398"/>
      <c r="AB285" s="1398"/>
      <c r="AC285" s="1398"/>
      <c r="AD285" s="1398"/>
      <c r="AE285" s="1398"/>
    </row>
    <row r="286" spans="1:31" ht="15" customHeight="1" x14ac:dyDescent="0.35">
      <c r="A286" s="1398"/>
      <c r="B286" s="2164" t="s">
        <v>2542</v>
      </c>
      <c r="C286" s="2159" t="str">
        <f t="shared" ref="C286:I286" si="39">IF(AND(ISNUMBER(C287),ISNUMBER(C288)),C287+C288,"")</f>
        <v/>
      </c>
      <c r="D286" s="2159" t="str">
        <f t="shared" si="39"/>
        <v/>
      </c>
      <c r="E286" s="2159" t="str">
        <f t="shared" si="39"/>
        <v/>
      </c>
      <c r="F286" s="2159" t="str">
        <f t="shared" si="39"/>
        <v/>
      </c>
      <c r="G286" s="2159" t="str">
        <f t="shared" si="39"/>
        <v/>
      </c>
      <c r="H286" s="2159" t="str">
        <f t="shared" si="39"/>
        <v/>
      </c>
      <c r="I286" s="2159" t="str">
        <f t="shared" si="39"/>
        <v/>
      </c>
      <c r="J286" s="2157"/>
      <c r="K286" s="2159" t="str">
        <f>IF(AND(ISNUMBER(K287),ISNUMBER(K288)),K287+K288,"")</f>
        <v/>
      </c>
      <c r="L286" s="2157"/>
      <c r="M286" s="2159" t="str">
        <f>IF(AND(ISNUMBER(M287),ISNUMBER(M288)),M287+M288,"")</f>
        <v/>
      </c>
      <c r="N286" s="2157"/>
      <c r="O286" s="2157"/>
      <c r="P286" s="2157"/>
      <c r="Q286" s="2157"/>
      <c r="R286" s="1398"/>
      <c r="S286" s="1398"/>
      <c r="T286" s="1398"/>
      <c r="U286" s="1398"/>
      <c r="V286" s="1398"/>
      <c r="W286" s="1398"/>
      <c r="X286" s="1398"/>
      <c r="Y286" s="1398"/>
      <c r="Z286" s="1398"/>
      <c r="AA286" s="1398"/>
      <c r="AB286" s="1398"/>
      <c r="AC286" s="1398"/>
      <c r="AD286" s="1398"/>
      <c r="AE286" s="1398"/>
    </row>
    <row r="287" spans="1:31" ht="15" customHeight="1" x14ac:dyDescent="0.3">
      <c r="A287" s="1398"/>
      <c r="B287" s="2163" t="s">
        <v>2541</v>
      </c>
      <c r="C287" s="2151"/>
      <c r="D287" s="2151"/>
      <c r="E287" s="2151"/>
      <c r="F287" s="2151"/>
      <c r="G287" s="2151"/>
      <c r="H287" s="2151"/>
      <c r="I287" s="2151"/>
      <c r="J287" s="2157"/>
      <c r="K287" s="2151"/>
      <c r="L287" s="2157"/>
      <c r="M287" s="2151"/>
      <c r="N287" s="2157"/>
      <c r="O287" s="2157"/>
      <c r="P287" s="2157"/>
      <c r="Q287" s="2157"/>
      <c r="R287" s="1398"/>
      <c r="S287" s="1398"/>
      <c r="T287" s="1398"/>
      <c r="U287" s="1398"/>
      <c r="V287" s="1398"/>
      <c r="W287" s="1398"/>
      <c r="X287" s="1398"/>
      <c r="Y287" s="1398"/>
      <c r="Z287" s="1398"/>
      <c r="AA287" s="1398"/>
      <c r="AB287" s="1398"/>
      <c r="AC287" s="1398"/>
      <c r="AD287" s="1398"/>
      <c r="AE287" s="1398"/>
    </row>
    <row r="288" spans="1:31" ht="15" customHeight="1" x14ac:dyDescent="0.3">
      <c r="A288" s="1398"/>
      <c r="B288" s="2163" t="s">
        <v>1760</v>
      </c>
      <c r="C288" s="2151"/>
      <c r="D288" s="2151"/>
      <c r="E288" s="2151"/>
      <c r="F288" s="2151"/>
      <c r="G288" s="2151"/>
      <c r="H288" s="2151"/>
      <c r="I288" s="2151"/>
      <c r="J288" s="2157"/>
      <c r="K288" s="2151"/>
      <c r="L288" s="2157"/>
      <c r="M288" s="2151"/>
      <c r="N288" s="2157"/>
      <c r="O288" s="2157"/>
      <c r="P288" s="2157"/>
      <c r="Q288" s="2157"/>
      <c r="R288" s="1398"/>
      <c r="S288" s="1398"/>
      <c r="T288" s="1398"/>
      <c r="U288" s="1398"/>
      <c r="V288" s="1398"/>
      <c r="W288" s="1398"/>
      <c r="X288" s="1398"/>
      <c r="Y288" s="1398"/>
      <c r="Z288" s="1398"/>
      <c r="AA288" s="1398"/>
      <c r="AB288" s="1398"/>
      <c r="AC288" s="1398"/>
      <c r="AD288" s="1398"/>
      <c r="AE288" s="1398"/>
    </row>
    <row r="289" spans="1:31" ht="15" customHeight="1" x14ac:dyDescent="0.35">
      <c r="A289" s="1398"/>
      <c r="B289" s="2181" t="s">
        <v>2540</v>
      </c>
      <c r="C289" s="2159" t="str">
        <f t="shared" ref="C289:I289" si="40">IF(AND(ISNUMBER(C290),ISNUMBER(C291)),C290+C291,"")</f>
        <v/>
      </c>
      <c r="D289" s="2159" t="str">
        <f t="shared" si="40"/>
        <v/>
      </c>
      <c r="E289" s="2159" t="str">
        <f t="shared" si="40"/>
        <v/>
      </c>
      <c r="F289" s="2159" t="str">
        <f t="shared" si="40"/>
        <v/>
      </c>
      <c r="G289" s="2159" t="str">
        <f t="shared" si="40"/>
        <v/>
      </c>
      <c r="H289" s="2159" t="str">
        <f t="shared" si="40"/>
        <v/>
      </c>
      <c r="I289" s="2159" t="str">
        <f t="shared" si="40"/>
        <v/>
      </c>
      <c r="J289" s="2157"/>
      <c r="K289" s="2159" t="str">
        <f>IF(AND(ISNUMBER(K290),ISNUMBER(K291)),K290+K291,"")</f>
        <v/>
      </c>
      <c r="L289" s="2157"/>
      <c r="M289" s="2159" t="str">
        <f>IF(AND(ISNUMBER(M290),ISNUMBER(M291)),M290+M291,"")</f>
        <v/>
      </c>
      <c r="N289" s="2157"/>
      <c r="O289" s="2157"/>
      <c r="P289" s="2157"/>
      <c r="Q289" s="2157"/>
      <c r="R289" s="1398"/>
      <c r="S289" s="1398"/>
      <c r="T289" s="1398"/>
      <c r="U289" s="1398"/>
      <c r="V289" s="1398"/>
      <c r="W289" s="1398"/>
      <c r="X289" s="1398"/>
      <c r="Y289" s="1398"/>
      <c r="Z289" s="1398"/>
      <c r="AA289" s="1398"/>
      <c r="AB289" s="1398"/>
      <c r="AC289" s="1398"/>
      <c r="AD289" s="1398"/>
      <c r="AE289" s="1398"/>
    </row>
    <row r="290" spans="1:31" ht="15" customHeight="1" x14ac:dyDescent="0.3">
      <c r="A290" s="1398"/>
      <c r="B290" s="2155" t="s">
        <v>2539</v>
      </c>
      <c r="C290" s="2151"/>
      <c r="D290" s="2151"/>
      <c r="E290" s="2151"/>
      <c r="F290" s="2151"/>
      <c r="G290" s="2151"/>
      <c r="H290" s="2151"/>
      <c r="I290" s="2151"/>
      <c r="J290" s="2157"/>
      <c r="K290" s="2151"/>
      <c r="L290" s="2157"/>
      <c r="M290" s="2151"/>
      <c r="N290" s="2157"/>
      <c r="O290" s="2157"/>
      <c r="P290" s="2157"/>
      <c r="Q290" s="2157"/>
      <c r="R290" s="1398"/>
      <c r="S290" s="1398"/>
      <c r="T290" s="1398"/>
      <c r="U290" s="1398"/>
      <c r="V290" s="1398"/>
      <c r="W290" s="1398"/>
      <c r="X290" s="1398"/>
      <c r="Y290" s="1398"/>
      <c r="Z290" s="1398"/>
      <c r="AA290" s="1398"/>
      <c r="AB290" s="1398"/>
      <c r="AC290" s="1398"/>
      <c r="AD290" s="1398"/>
      <c r="AE290" s="1398"/>
    </row>
    <row r="291" spans="1:31" ht="15" customHeight="1" x14ac:dyDescent="0.3">
      <c r="A291" s="1398"/>
      <c r="B291" s="2155" t="s">
        <v>1760</v>
      </c>
      <c r="C291" s="2151"/>
      <c r="D291" s="2151"/>
      <c r="E291" s="2151"/>
      <c r="F291" s="2151"/>
      <c r="G291" s="2151"/>
      <c r="H291" s="2151"/>
      <c r="I291" s="2151"/>
      <c r="J291" s="2157"/>
      <c r="K291" s="2151"/>
      <c r="L291" s="2157"/>
      <c r="M291" s="2151"/>
      <c r="N291" s="2157"/>
      <c r="O291" s="2157"/>
      <c r="P291" s="2157"/>
      <c r="Q291" s="2157"/>
      <c r="R291" s="1398"/>
      <c r="S291" s="1398"/>
      <c r="T291" s="1398"/>
      <c r="U291" s="1398"/>
      <c r="V291" s="1398"/>
      <c r="W291" s="1398"/>
      <c r="X291" s="1398"/>
      <c r="Y291" s="1398"/>
      <c r="Z291" s="1398"/>
      <c r="AA291" s="1398"/>
      <c r="AB291" s="1398"/>
      <c r="AC291" s="1398"/>
      <c r="AD291" s="1398"/>
      <c r="AE291" s="1398"/>
    </row>
    <row r="292" spans="1:31" ht="15" customHeight="1" x14ac:dyDescent="0.35">
      <c r="A292" s="1398"/>
      <c r="B292" s="569" t="s">
        <v>59</v>
      </c>
      <c r="C292" s="2156">
        <f t="shared" ref="C292:Q292" si="41">IF(AND(ISNUMBER(C294),ISNUMBER(C293)),SUM(C293:C294),0)</f>
        <v>0</v>
      </c>
      <c r="D292" s="2156">
        <f t="shared" si="41"/>
        <v>0</v>
      </c>
      <c r="E292" s="2156">
        <f t="shared" si="41"/>
        <v>0</v>
      </c>
      <c r="F292" s="2156">
        <f t="shared" si="41"/>
        <v>0</v>
      </c>
      <c r="G292" s="2156">
        <f t="shared" si="41"/>
        <v>0</v>
      </c>
      <c r="H292" s="2156">
        <f t="shared" si="41"/>
        <v>0</v>
      </c>
      <c r="I292" s="2156">
        <f t="shared" si="41"/>
        <v>0</v>
      </c>
      <c r="J292" s="2156">
        <f t="shared" si="41"/>
        <v>0</v>
      </c>
      <c r="K292" s="2156">
        <f t="shared" si="41"/>
        <v>0</v>
      </c>
      <c r="L292" s="2156">
        <f t="shared" si="41"/>
        <v>0</v>
      </c>
      <c r="M292" s="2156">
        <f t="shared" si="41"/>
        <v>0</v>
      </c>
      <c r="N292" s="2156">
        <f t="shared" si="41"/>
        <v>0</v>
      </c>
      <c r="O292" s="2156">
        <f t="shared" si="41"/>
        <v>0</v>
      </c>
      <c r="P292" s="2156">
        <f t="shared" si="41"/>
        <v>0</v>
      </c>
      <c r="Q292" s="2156">
        <f t="shared" si="41"/>
        <v>0</v>
      </c>
      <c r="R292" s="1398"/>
      <c r="S292" s="1398"/>
      <c r="T292" s="1398"/>
      <c r="U292" s="1398"/>
      <c r="V292" s="1398"/>
      <c r="W292" s="1398"/>
      <c r="X292" s="1398"/>
      <c r="Y292" s="1398"/>
      <c r="Z292" s="1398"/>
      <c r="AA292" s="1398"/>
      <c r="AB292" s="1398"/>
      <c r="AC292" s="1398"/>
      <c r="AD292" s="1398"/>
      <c r="AE292" s="1398"/>
    </row>
    <row r="293" spans="1:31" ht="15" customHeight="1" x14ac:dyDescent="0.3">
      <c r="A293" s="1398"/>
      <c r="B293" s="2155" t="s">
        <v>2538</v>
      </c>
      <c r="C293" s="2151"/>
      <c r="D293" s="2151"/>
      <c r="E293" s="2151"/>
      <c r="F293" s="2151"/>
      <c r="G293" s="2151"/>
      <c r="H293" s="2151"/>
      <c r="I293" s="23"/>
      <c r="J293" s="2151"/>
      <c r="K293" s="2151"/>
      <c r="L293" s="2151"/>
      <c r="M293" s="2151"/>
      <c r="N293" s="2151"/>
      <c r="O293" s="2151"/>
      <c r="P293" s="2151"/>
      <c r="Q293" s="2151"/>
      <c r="R293" s="1398"/>
      <c r="S293" s="1398"/>
      <c r="T293" s="1398"/>
      <c r="U293" s="1398"/>
      <c r="V293" s="1398"/>
      <c r="W293" s="1398"/>
      <c r="X293" s="1398"/>
      <c r="Y293" s="1398"/>
      <c r="Z293" s="1398"/>
      <c r="AA293" s="1398"/>
      <c r="AB293" s="1398"/>
      <c r="AC293" s="1398"/>
      <c r="AD293" s="1398"/>
      <c r="AE293" s="1398"/>
    </row>
    <row r="294" spans="1:31" ht="15" customHeight="1" x14ac:dyDescent="0.3">
      <c r="A294" s="1398"/>
      <c r="B294" s="2155" t="s">
        <v>2537</v>
      </c>
      <c r="C294" s="2151"/>
      <c r="D294" s="2151"/>
      <c r="E294" s="2151"/>
      <c r="F294" s="2151"/>
      <c r="G294" s="2151"/>
      <c r="H294" s="2151"/>
      <c r="I294" s="23"/>
      <c r="J294" s="2151"/>
      <c r="K294" s="2151"/>
      <c r="L294" s="2151"/>
      <c r="M294" s="2151"/>
      <c r="N294" s="2151"/>
      <c r="O294" s="2151"/>
      <c r="P294" s="2151"/>
      <c r="Q294" s="2151"/>
      <c r="R294" s="1398"/>
      <c r="S294" s="1398"/>
      <c r="T294" s="1398"/>
      <c r="U294" s="1398"/>
      <c r="V294" s="1398"/>
      <c r="W294" s="1398"/>
      <c r="X294" s="1398"/>
      <c r="Y294" s="1398"/>
      <c r="Z294" s="1398"/>
      <c r="AA294" s="1398"/>
      <c r="AB294" s="1398"/>
      <c r="AC294" s="1398"/>
      <c r="AD294" s="1398"/>
      <c r="AE294" s="1398"/>
    </row>
    <row r="295" spans="1:31" ht="15" customHeight="1" x14ac:dyDescent="0.3">
      <c r="A295" s="1398"/>
      <c r="B295" s="2154" t="str">
        <f>"Check: row " &amp; ROW(B292) &amp;" = sum(row " &amp; ROW(B293) &amp; ", row "&amp; ROW(B294)&amp;")"</f>
        <v>Check: row 292 = sum(row 293, row 294)</v>
      </c>
      <c r="C295" s="2153" t="str">
        <f t="shared" ref="C295:Q295" si="42">IF(AND(ISNUMBER(C293), ISNUMBER(C294)), IF(C292=SUM(C293:C294), "Pass", "Fail"), "")</f>
        <v/>
      </c>
      <c r="D295" s="2153" t="str">
        <f t="shared" si="42"/>
        <v/>
      </c>
      <c r="E295" s="2153" t="str">
        <f t="shared" si="42"/>
        <v/>
      </c>
      <c r="F295" s="2153" t="str">
        <f t="shared" si="42"/>
        <v/>
      </c>
      <c r="G295" s="2153" t="str">
        <f t="shared" si="42"/>
        <v/>
      </c>
      <c r="H295" s="2153" t="str">
        <f t="shared" si="42"/>
        <v/>
      </c>
      <c r="I295" s="2153" t="str">
        <f t="shared" si="42"/>
        <v/>
      </c>
      <c r="J295" s="2153" t="str">
        <f t="shared" si="42"/>
        <v/>
      </c>
      <c r="K295" s="2153" t="str">
        <f t="shared" si="42"/>
        <v/>
      </c>
      <c r="L295" s="2153" t="str">
        <f t="shared" si="42"/>
        <v/>
      </c>
      <c r="M295" s="2153" t="str">
        <f t="shared" si="42"/>
        <v/>
      </c>
      <c r="N295" s="2153" t="str">
        <f t="shared" si="42"/>
        <v/>
      </c>
      <c r="O295" s="2153" t="str">
        <f t="shared" si="42"/>
        <v/>
      </c>
      <c r="P295" s="2153" t="str">
        <f t="shared" si="42"/>
        <v/>
      </c>
      <c r="Q295" s="2153" t="str">
        <f t="shared" si="42"/>
        <v/>
      </c>
      <c r="R295" s="1398"/>
      <c r="S295" s="1398"/>
      <c r="T295" s="1398"/>
      <c r="U295" s="1398"/>
      <c r="V295" s="1398"/>
      <c r="W295" s="1398"/>
      <c r="X295" s="1398"/>
      <c r="Y295" s="1398"/>
      <c r="Z295" s="1398"/>
      <c r="AA295" s="1398"/>
      <c r="AB295" s="1398"/>
      <c r="AC295" s="1398"/>
      <c r="AD295" s="1398"/>
      <c r="AE295" s="1398"/>
    </row>
    <row r="296" spans="1:31" ht="15" customHeight="1" x14ac:dyDescent="0.3">
      <c r="A296" s="1398"/>
      <c r="B296" s="2152" t="s">
        <v>2536</v>
      </c>
      <c r="C296" s="2151"/>
      <c r="D296" s="1398"/>
      <c r="E296" s="1398"/>
      <c r="F296" s="1398"/>
      <c r="G296" s="1398"/>
      <c r="H296" s="1398"/>
      <c r="I296" s="1398"/>
      <c r="J296" s="1398"/>
      <c r="K296" s="1398"/>
      <c r="L296" s="1398"/>
      <c r="M296" s="1398"/>
      <c r="N296" s="1398"/>
      <c r="O296" s="1398"/>
      <c r="P296" s="1398"/>
      <c r="Q296" s="1398"/>
      <c r="R296" s="1398"/>
      <c r="S296" s="1398"/>
      <c r="T296" s="1398"/>
      <c r="U296" s="1398"/>
      <c r="V296" s="1398"/>
      <c r="W296" s="1398"/>
      <c r="X296" s="1398"/>
      <c r="Y296" s="1398"/>
      <c r="Z296" s="1398"/>
      <c r="AA296" s="1398"/>
      <c r="AB296" s="1398"/>
      <c r="AC296" s="1398"/>
      <c r="AD296" s="1398"/>
      <c r="AE296" s="1398"/>
    </row>
    <row r="297" spans="1:31" ht="15" customHeight="1" x14ac:dyDescent="0.3">
      <c r="A297" s="1398"/>
      <c r="B297" s="2150" t="s">
        <v>2535</v>
      </c>
      <c r="C297" s="2149"/>
      <c r="D297" s="1398"/>
      <c r="E297" s="1398"/>
      <c r="F297" s="1398"/>
      <c r="G297" s="1398"/>
      <c r="H297" s="1398"/>
      <c r="I297" s="1398"/>
      <c r="J297" s="1398"/>
      <c r="K297" s="1398"/>
      <c r="L297" s="1398"/>
      <c r="M297" s="1398"/>
      <c r="N297" s="1398"/>
      <c r="O297" s="1398"/>
      <c r="P297" s="1398"/>
      <c r="Q297" s="1398"/>
      <c r="R297" s="1398"/>
      <c r="S297" s="1398"/>
      <c r="T297" s="1398"/>
      <c r="U297" s="1398"/>
      <c r="V297" s="1398"/>
      <c r="W297" s="1398"/>
      <c r="X297" s="1398"/>
      <c r="Y297" s="1398"/>
      <c r="Z297" s="1398"/>
      <c r="AA297" s="1398"/>
      <c r="AB297" s="1398"/>
      <c r="AC297" s="1398"/>
      <c r="AD297" s="1398"/>
      <c r="AE297" s="1398"/>
    </row>
    <row r="298" spans="1:31" ht="15" customHeight="1" x14ac:dyDescent="0.35">
      <c r="A298" s="1398"/>
      <c r="D298" s="1398"/>
      <c r="E298" s="1398"/>
      <c r="F298" s="1398"/>
      <c r="G298" s="1398"/>
      <c r="H298" s="1398"/>
      <c r="I298" s="1398"/>
      <c r="J298" s="1398"/>
      <c r="K298" s="1398"/>
      <c r="L298" s="1398"/>
      <c r="M298" s="1398"/>
      <c r="N298" s="1398"/>
      <c r="O298" s="1398"/>
      <c r="P298" s="1398"/>
      <c r="Q298" s="1398"/>
      <c r="R298" s="1398"/>
      <c r="S298" s="1398"/>
      <c r="T298" s="1398"/>
      <c r="U298" s="1398"/>
      <c r="V298" s="1398"/>
      <c r="W298" s="1398"/>
      <c r="X298" s="1398"/>
      <c r="Y298" s="1398"/>
      <c r="Z298" s="1398"/>
      <c r="AA298" s="1398"/>
      <c r="AB298" s="1398"/>
      <c r="AC298" s="1398"/>
      <c r="AD298" s="1398"/>
      <c r="AE298" s="1398"/>
    </row>
    <row r="299" spans="1:31" ht="19.5" customHeight="1" x14ac:dyDescent="0.3">
      <c r="A299" s="2196" t="s">
        <v>2583</v>
      </c>
      <c r="B299" s="2195"/>
      <c r="C299" s="2194" t="s">
        <v>2566</v>
      </c>
      <c r="D299" s="2173" t="str">
        <f>IF(ISBLANK($J$7),"",IF($J$7="No","Please leave Panel B"&amp;COLUMN($J$7)-2&amp;" empty","Please fill in Panel B"&amp;COLUMN($J$7)-2))</f>
        <v/>
      </c>
      <c r="E299" s="2193"/>
      <c r="F299" s="2193"/>
      <c r="G299" s="2193"/>
      <c r="H299" s="2193"/>
      <c r="I299" s="2193"/>
      <c r="J299" s="2193"/>
      <c r="K299" s="2193"/>
      <c r="L299" s="2193"/>
      <c r="M299" s="2193"/>
      <c r="N299" s="2193"/>
      <c r="O299" s="2193"/>
      <c r="P299" s="2193"/>
      <c r="Q299" s="2193"/>
      <c r="R299" s="1398"/>
      <c r="S299" s="1398"/>
      <c r="T299" s="1398"/>
      <c r="U299" s="1398"/>
      <c r="V299" s="1398"/>
      <c r="W299" s="1398"/>
      <c r="X299" s="1398"/>
      <c r="Y299" s="1398"/>
      <c r="Z299" s="1398"/>
      <c r="AA299" s="1398"/>
      <c r="AB299" s="1398"/>
      <c r="AC299" s="1398"/>
      <c r="AD299" s="1398"/>
      <c r="AE299" s="1398"/>
    </row>
    <row r="300" spans="1:31" ht="15" customHeight="1" x14ac:dyDescent="0.35">
      <c r="A300" s="1398"/>
      <c r="C300" s="2980" t="s">
        <v>207</v>
      </c>
      <c r="D300" s="2980"/>
      <c r="E300" s="2980"/>
      <c r="F300" s="2980"/>
      <c r="G300" s="2980"/>
      <c r="H300" s="2980"/>
      <c r="I300" s="2980"/>
      <c r="J300" s="2980"/>
      <c r="K300" s="2980"/>
      <c r="L300" s="2981"/>
      <c r="M300" s="2982" t="s">
        <v>2559</v>
      </c>
      <c r="N300" s="2984" t="s">
        <v>2565</v>
      </c>
      <c r="O300" s="2985"/>
      <c r="P300" s="2985"/>
      <c r="Q300" s="2985"/>
      <c r="R300" s="1398"/>
      <c r="S300" s="1398"/>
      <c r="T300" s="1398"/>
      <c r="U300" s="1398"/>
      <c r="V300" s="1398"/>
      <c r="W300" s="1398"/>
      <c r="X300" s="1398"/>
      <c r="Y300" s="1398"/>
      <c r="Z300" s="1398"/>
      <c r="AA300" s="1398"/>
      <c r="AB300" s="1398"/>
      <c r="AC300" s="1398"/>
      <c r="AD300" s="1398"/>
      <c r="AE300" s="1398"/>
    </row>
    <row r="301" spans="1:31" ht="15" customHeight="1" x14ac:dyDescent="0.35">
      <c r="A301" s="1398"/>
      <c r="B301" s="2172"/>
      <c r="C301" s="2967" t="s">
        <v>2564</v>
      </c>
      <c r="D301" s="2973" t="s">
        <v>465</v>
      </c>
      <c r="E301" s="2974"/>
      <c r="F301" s="2974"/>
      <c r="G301" s="2974"/>
      <c r="H301" s="2975"/>
      <c r="I301" s="2969" t="s">
        <v>2563</v>
      </c>
      <c r="J301" s="2969" t="s">
        <v>2562</v>
      </c>
      <c r="K301" s="2969" t="s">
        <v>2561</v>
      </c>
      <c r="L301" s="2969" t="s">
        <v>2560</v>
      </c>
      <c r="M301" s="2983"/>
      <c r="N301" s="2978" t="s">
        <v>207</v>
      </c>
      <c r="O301" s="2978" t="s">
        <v>2559</v>
      </c>
      <c r="P301" s="2969" t="s">
        <v>59</v>
      </c>
      <c r="Q301" s="2971" t="s">
        <v>2558</v>
      </c>
      <c r="R301" s="1398"/>
      <c r="S301" s="1398"/>
      <c r="T301" s="1398"/>
      <c r="U301" s="1398"/>
      <c r="V301" s="1398"/>
      <c r="W301" s="1398"/>
      <c r="X301" s="1398"/>
      <c r="Y301" s="1398"/>
      <c r="Z301" s="1398"/>
      <c r="AA301" s="1398"/>
      <c r="AB301" s="1398"/>
      <c r="AC301" s="1398"/>
      <c r="AD301" s="1398"/>
      <c r="AE301" s="1398"/>
    </row>
    <row r="302" spans="1:31" ht="48.6" customHeight="1" x14ac:dyDescent="0.35">
      <c r="A302" s="1398"/>
      <c r="B302" s="2171"/>
      <c r="C302" s="2968"/>
      <c r="D302" s="2170" t="s">
        <v>2557</v>
      </c>
      <c r="E302" s="2170" t="s">
        <v>2556</v>
      </c>
      <c r="F302" s="2170" t="s">
        <v>2555</v>
      </c>
      <c r="G302" s="2170" t="s">
        <v>2554</v>
      </c>
      <c r="H302" s="2170" t="s">
        <v>59</v>
      </c>
      <c r="I302" s="2970"/>
      <c r="J302" s="2970"/>
      <c r="K302" s="2970"/>
      <c r="L302" s="2970"/>
      <c r="M302" s="2970"/>
      <c r="N302" s="2979"/>
      <c r="O302" s="2979"/>
      <c r="P302" s="2970"/>
      <c r="Q302" s="2972"/>
      <c r="R302" s="1398"/>
      <c r="S302" s="1398"/>
      <c r="T302" s="1398"/>
      <c r="U302" s="1398"/>
      <c r="V302" s="1398"/>
      <c r="W302" s="1398"/>
      <c r="X302" s="1398"/>
      <c r="Y302" s="1398"/>
      <c r="Z302" s="1398"/>
      <c r="AA302" s="1398"/>
      <c r="AB302" s="1398"/>
      <c r="AC302" s="1398"/>
      <c r="AD302" s="1398"/>
      <c r="AE302" s="1398"/>
    </row>
    <row r="303" spans="1:31" ht="15" customHeight="1" x14ac:dyDescent="0.35">
      <c r="A303" s="1398"/>
      <c r="B303" s="2169" t="s">
        <v>2553</v>
      </c>
      <c r="C303" s="2168" t="str">
        <f t="shared" ref="C303:I303" si="43">IF(AND(ISNUMBER(C316),ISNUMBER(C312),ISNUMBER(C314),ISNUMBER(C304),ISNUMBER(C308),ISNUMBER(C306),ISNUMBER(C310),ISNUMBER(C318)),SUM(C304,C306,C308,C310,C312,C314,C316,C318),"")</f>
        <v/>
      </c>
      <c r="D303" s="2168" t="str">
        <f t="shared" si="43"/>
        <v/>
      </c>
      <c r="E303" s="2168" t="str">
        <f t="shared" si="43"/>
        <v/>
      </c>
      <c r="F303" s="2168" t="str">
        <f t="shared" si="43"/>
        <v/>
      </c>
      <c r="G303" s="2168" t="str">
        <f t="shared" si="43"/>
        <v/>
      </c>
      <c r="H303" s="2168" t="str">
        <f t="shared" si="43"/>
        <v/>
      </c>
      <c r="I303" s="2168" t="str">
        <f t="shared" si="43"/>
        <v/>
      </c>
      <c r="J303" s="2157"/>
      <c r="K303" s="2168" t="str">
        <f>IF(AND(ISNUMBER(K316),ISNUMBER(K312),ISNUMBER(K314),ISNUMBER(K304),ISNUMBER(K308),ISNUMBER(K306),ISNUMBER(K310),ISNUMBER(K318)),SUM(K304,K306,K308,K310,K312,K314,K316,K318),"")</f>
        <v/>
      </c>
      <c r="L303" s="2157"/>
      <c r="M303" s="2168" t="str">
        <f>IF(AND(ISNUMBER(M316),ISNUMBER(M312),ISNUMBER(M314),ISNUMBER(M304),ISNUMBER(M308),ISNUMBER(M306),ISNUMBER(M310),ISNUMBER(M318)),SUM(M304,M306,M308,M310,M312,M314,M316,M318),"")</f>
        <v/>
      </c>
      <c r="N303" s="2167"/>
      <c r="O303" s="2167"/>
      <c r="P303" s="2167"/>
      <c r="Q303" s="2167"/>
      <c r="R303" s="1398"/>
      <c r="S303" s="1398"/>
      <c r="T303" s="1398"/>
      <c r="U303" s="1398"/>
      <c r="V303" s="1398"/>
      <c r="W303" s="1398"/>
      <c r="X303" s="1398"/>
      <c r="Y303" s="1398"/>
      <c r="Z303" s="1398"/>
      <c r="AA303" s="1398"/>
      <c r="AB303" s="1398"/>
      <c r="AC303" s="1398"/>
      <c r="AD303" s="1398"/>
      <c r="AE303" s="1398"/>
    </row>
    <row r="304" spans="1:31" ht="15" customHeight="1" x14ac:dyDescent="0.3">
      <c r="A304" s="1398"/>
      <c r="B304" s="2163" t="s">
        <v>2552</v>
      </c>
      <c r="C304" s="2151"/>
      <c r="D304" s="2151"/>
      <c r="E304" s="2151"/>
      <c r="F304" s="2151"/>
      <c r="G304" s="2151"/>
      <c r="H304" s="2151"/>
      <c r="I304" s="2151"/>
      <c r="J304" s="2157"/>
      <c r="K304" s="2151"/>
      <c r="L304" s="2157"/>
      <c r="M304" s="2151"/>
      <c r="N304" s="2157"/>
      <c r="O304" s="2157"/>
      <c r="P304" s="2157"/>
      <c r="Q304" s="2157"/>
      <c r="R304" s="1398"/>
      <c r="S304" s="1398"/>
      <c r="T304" s="1398"/>
      <c r="U304" s="1398"/>
      <c r="V304" s="1398"/>
      <c r="W304" s="1398"/>
      <c r="X304" s="1398"/>
      <c r="Y304" s="1398"/>
      <c r="Z304" s="1398"/>
      <c r="AA304" s="1398"/>
      <c r="AB304" s="1398"/>
      <c r="AC304" s="1398"/>
      <c r="AD304" s="1398"/>
      <c r="AE304" s="1398"/>
    </row>
    <row r="305" spans="1:31" ht="15" customHeight="1" x14ac:dyDescent="0.3">
      <c r="A305" s="1398"/>
      <c r="B305" s="2162" t="s">
        <v>2543</v>
      </c>
      <c r="C305" s="2151"/>
      <c r="D305" s="2151"/>
      <c r="E305" s="2151"/>
      <c r="F305" s="2151"/>
      <c r="G305" s="2151"/>
      <c r="H305" s="2151"/>
      <c r="I305" s="2151"/>
      <c r="J305" s="2157"/>
      <c r="K305" s="2151"/>
      <c r="L305" s="2157"/>
      <c r="M305" s="2151"/>
      <c r="N305" s="2157"/>
      <c r="O305" s="2157"/>
      <c r="P305" s="2157"/>
      <c r="Q305" s="2157"/>
      <c r="R305" s="1398"/>
      <c r="S305" s="1398"/>
      <c r="T305" s="1398"/>
      <c r="U305" s="1398"/>
      <c r="V305" s="1398"/>
      <c r="W305" s="1398"/>
      <c r="X305" s="1398"/>
      <c r="Y305" s="1398"/>
      <c r="Z305" s="1398"/>
      <c r="AA305" s="1398"/>
      <c r="AB305" s="1398"/>
      <c r="AC305" s="1398"/>
      <c r="AD305" s="1398"/>
      <c r="AE305" s="1398"/>
    </row>
    <row r="306" spans="1:31" ht="15" customHeight="1" x14ac:dyDescent="0.3">
      <c r="A306" s="1398"/>
      <c r="B306" s="2155" t="s">
        <v>2551</v>
      </c>
      <c r="C306" s="2151"/>
      <c r="D306" s="2151"/>
      <c r="E306" s="2151"/>
      <c r="F306" s="2151"/>
      <c r="G306" s="2151"/>
      <c r="H306" s="2151"/>
      <c r="I306" s="2151"/>
      <c r="J306" s="2157"/>
      <c r="K306" s="2151"/>
      <c r="L306" s="2157"/>
      <c r="M306" s="2151"/>
      <c r="N306" s="2157"/>
      <c r="O306" s="2157"/>
      <c r="P306" s="2157"/>
      <c r="Q306" s="2157"/>
      <c r="R306" s="1398"/>
      <c r="S306" s="1398"/>
      <c r="T306" s="1398"/>
      <c r="U306" s="1398"/>
      <c r="V306" s="1398"/>
      <c r="W306" s="1398"/>
      <c r="X306" s="1398"/>
      <c r="Y306" s="1398"/>
      <c r="Z306" s="1398"/>
      <c r="AA306" s="1398"/>
      <c r="AB306" s="1398"/>
      <c r="AC306" s="1398"/>
      <c r="AD306" s="1398"/>
      <c r="AE306" s="1398"/>
    </row>
    <row r="307" spans="1:31" ht="15" customHeight="1" x14ac:dyDescent="0.3">
      <c r="A307" s="1398"/>
      <c r="B307" s="2165" t="s">
        <v>2543</v>
      </c>
      <c r="C307" s="2151"/>
      <c r="D307" s="2151"/>
      <c r="E307" s="2151"/>
      <c r="F307" s="2151"/>
      <c r="G307" s="2151"/>
      <c r="H307" s="2151"/>
      <c r="I307" s="2151"/>
      <c r="J307" s="2157"/>
      <c r="K307" s="2151"/>
      <c r="L307" s="2157"/>
      <c r="M307" s="2151"/>
      <c r="N307" s="2157"/>
      <c r="O307" s="2157"/>
      <c r="P307" s="2157"/>
      <c r="Q307" s="2157"/>
      <c r="R307" s="1398"/>
      <c r="S307" s="1398"/>
      <c r="T307" s="1398"/>
      <c r="U307" s="1398"/>
      <c r="V307" s="1398"/>
      <c r="W307" s="1398"/>
      <c r="X307" s="1398"/>
      <c r="Y307" s="1398"/>
      <c r="Z307" s="1398"/>
      <c r="AA307" s="1398"/>
      <c r="AB307" s="1398"/>
      <c r="AC307" s="1398"/>
      <c r="AD307" s="1398"/>
      <c r="AE307" s="1398"/>
    </row>
    <row r="308" spans="1:31" ht="15" customHeight="1" x14ac:dyDescent="0.3">
      <c r="A308" s="1398"/>
      <c r="B308" s="2163" t="s">
        <v>2550</v>
      </c>
      <c r="C308" s="2151"/>
      <c r="D308" s="2151"/>
      <c r="E308" s="2151"/>
      <c r="F308" s="2151"/>
      <c r="G308" s="2151"/>
      <c r="H308" s="2151"/>
      <c r="I308" s="2151"/>
      <c r="J308" s="2157"/>
      <c r="K308" s="2151"/>
      <c r="L308" s="2157"/>
      <c r="M308" s="2151"/>
      <c r="N308" s="2157"/>
      <c r="O308" s="2157"/>
      <c r="P308" s="2157"/>
      <c r="Q308" s="2157"/>
      <c r="R308" s="1398"/>
      <c r="S308" s="1398"/>
      <c r="T308" s="1398"/>
      <c r="U308" s="1398"/>
      <c r="V308" s="1398"/>
      <c r="W308" s="1398"/>
      <c r="X308" s="1398"/>
      <c r="Y308" s="1398"/>
      <c r="Z308" s="1398"/>
      <c r="AA308" s="1398"/>
      <c r="AB308" s="1398"/>
      <c r="AC308" s="1398"/>
      <c r="AD308" s="1398"/>
      <c r="AE308" s="1398"/>
    </row>
    <row r="309" spans="1:31" ht="15" customHeight="1" x14ac:dyDescent="0.3">
      <c r="A309" s="1398"/>
      <c r="B309" s="2162" t="s">
        <v>2543</v>
      </c>
      <c r="C309" s="2151"/>
      <c r="D309" s="2151"/>
      <c r="E309" s="2151"/>
      <c r="F309" s="2151"/>
      <c r="G309" s="2151"/>
      <c r="H309" s="2151"/>
      <c r="I309" s="2151"/>
      <c r="J309" s="2157"/>
      <c r="K309" s="2151"/>
      <c r="L309" s="2157"/>
      <c r="M309" s="2151"/>
      <c r="N309" s="2157"/>
      <c r="O309" s="2157"/>
      <c r="P309" s="2157"/>
      <c r="Q309" s="2157"/>
      <c r="R309" s="1398"/>
      <c r="S309" s="1398"/>
      <c r="T309" s="1398"/>
      <c r="U309" s="1398"/>
      <c r="V309" s="1398"/>
      <c r="W309" s="1398"/>
      <c r="X309" s="1398"/>
      <c r="Y309" s="1398"/>
      <c r="Z309" s="1398"/>
      <c r="AA309" s="1398"/>
      <c r="AB309" s="1398"/>
      <c r="AC309" s="1398"/>
      <c r="AD309" s="1398"/>
      <c r="AE309" s="1398"/>
    </row>
    <row r="310" spans="1:31" ht="15" customHeight="1" x14ac:dyDescent="0.3">
      <c r="A310" s="1398"/>
      <c r="B310" s="2155" t="s">
        <v>2549</v>
      </c>
      <c r="C310" s="2151"/>
      <c r="D310" s="2151"/>
      <c r="E310" s="2151"/>
      <c r="F310" s="2151"/>
      <c r="G310" s="2151"/>
      <c r="H310" s="2151"/>
      <c r="I310" s="2151"/>
      <c r="J310" s="2157"/>
      <c r="K310" s="2151"/>
      <c r="L310" s="2157"/>
      <c r="M310" s="2151"/>
      <c r="N310" s="2157"/>
      <c r="O310" s="2157"/>
      <c r="P310" s="2157"/>
      <c r="Q310" s="2157"/>
      <c r="R310" s="1398"/>
      <c r="S310" s="1398"/>
      <c r="T310" s="1398"/>
      <c r="U310" s="1398"/>
      <c r="V310" s="1398"/>
      <c r="W310" s="1398"/>
      <c r="X310" s="1398"/>
      <c r="Y310" s="1398"/>
      <c r="Z310" s="1398"/>
      <c r="AA310" s="1398"/>
      <c r="AB310" s="1398"/>
      <c r="AC310" s="1398"/>
      <c r="AD310" s="1398"/>
      <c r="AE310" s="1398"/>
    </row>
    <row r="311" spans="1:31" ht="15" customHeight="1" x14ac:dyDescent="0.3">
      <c r="A311" s="1398"/>
      <c r="B311" s="2165" t="s">
        <v>2543</v>
      </c>
      <c r="C311" s="2151"/>
      <c r="D311" s="2151"/>
      <c r="E311" s="2151"/>
      <c r="F311" s="2151"/>
      <c r="G311" s="2151"/>
      <c r="H311" s="2151"/>
      <c r="I311" s="2151"/>
      <c r="J311" s="2157"/>
      <c r="K311" s="2151"/>
      <c r="L311" s="2157"/>
      <c r="M311" s="2151"/>
      <c r="N311" s="2157"/>
      <c r="O311" s="2157"/>
      <c r="P311" s="2157"/>
      <c r="Q311" s="2157"/>
      <c r="R311" s="1398"/>
      <c r="S311" s="1398"/>
      <c r="T311" s="1398"/>
      <c r="U311" s="1398"/>
      <c r="V311" s="1398"/>
      <c r="W311" s="1398"/>
      <c r="X311" s="1398"/>
      <c r="Y311" s="1398"/>
      <c r="Z311" s="1398"/>
      <c r="AA311" s="1398"/>
      <c r="AB311" s="1398"/>
      <c r="AC311" s="1398"/>
      <c r="AD311" s="1398"/>
      <c r="AE311" s="1398"/>
    </row>
    <row r="312" spans="1:31" ht="15" customHeight="1" x14ac:dyDescent="0.35">
      <c r="A312" s="1398"/>
      <c r="B312" s="2192" t="s">
        <v>2548</v>
      </c>
      <c r="C312" s="2151"/>
      <c r="D312" s="2151"/>
      <c r="E312" s="2151"/>
      <c r="F312" s="2151"/>
      <c r="G312" s="2151"/>
      <c r="H312" s="2151"/>
      <c r="I312" s="2151"/>
      <c r="J312" s="2157"/>
      <c r="K312" s="2151"/>
      <c r="L312" s="2157"/>
      <c r="M312" s="2151"/>
      <c r="N312" s="2157"/>
      <c r="O312" s="2157"/>
      <c r="P312" s="2157"/>
      <c r="Q312" s="2157"/>
      <c r="R312" s="1398"/>
      <c r="S312" s="1398"/>
      <c r="T312" s="1398"/>
      <c r="U312" s="1398"/>
      <c r="V312" s="1398"/>
      <c r="W312" s="1398"/>
      <c r="X312" s="1398"/>
      <c r="Y312" s="1398"/>
      <c r="Z312" s="1398"/>
      <c r="AA312" s="1398"/>
      <c r="AB312" s="1398"/>
      <c r="AC312" s="1398"/>
      <c r="AD312" s="1398"/>
      <c r="AE312" s="1398"/>
    </row>
    <row r="313" spans="1:31" ht="15" customHeight="1" x14ac:dyDescent="0.3">
      <c r="A313" s="1398"/>
      <c r="B313" s="2162" t="s">
        <v>2543</v>
      </c>
      <c r="C313" s="2151"/>
      <c r="D313" s="2151"/>
      <c r="E313" s="2151"/>
      <c r="F313" s="2151"/>
      <c r="G313" s="2151"/>
      <c r="H313" s="2151"/>
      <c r="I313" s="2151"/>
      <c r="J313" s="2157"/>
      <c r="K313" s="2151"/>
      <c r="L313" s="2157"/>
      <c r="M313" s="2151"/>
      <c r="N313" s="2157"/>
      <c r="O313" s="2157"/>
      <c r="P313" s="2157"/>
      <c r="Q313" s="2157"/>
      <c r="R313" s="1398"/>
      <c r="S313" s="1398"/>
      <c r="T313" s="1398"/>
      <c r="U313" s="1398"/>
      <c r="V313" s="1398"/>
      <c r="W313" s="1398"/>
      <c r="X313" s="1398"/>
      <c r="Y313" s="1398"/>
      <c r="Z313" s="1398"/>
      <c r="AA313" s="1398"/>
      <c r="AB313" s="1398"/>
      <c r="AC313" s="1398"/>
      <c r="AD313" s="1398"/>
      <c r="AE313" s="1398"/>
    </row>
    <row r="314" spans="1:31" ht="15" customHeight="1" x14ac:dyDescent="0.3">
      <c r="A314" s="1398"/>
      <c r="B314" s="2155" t="s">
        <v>2547</v>
      </c>
      <c r="C314" s="2151"/>
      <c r="D314" s="2151"/>
      <c r="E314" s="2151"/>
      <c r="F314" s="2151"/>
      <c r="G314" s="2151"/>
      <c r="H314" s="2151"/>
      <c r="I314" s="2151"/>
      <c r="J314" s="2157"/>
      <c r="K314" s="2151"/>
      <c r="L314" s="2157"/>
      <c r="M314" s="2151"/>
      <c r="N314" s="2157"/>
      <c r="O314" s="2157"/>
      <c r="P314" s="2157"/>
      <c r="Q314" s="2157"/>
      <c r="R314" s="1398"/>
      <c r="S314" s="1398"/>
      <c r="T314" s="1398"/>
      <c r="U314" s="1398"/>
      <c r="V314" s="1398"/>
      <c r="W314" s="1398"/>
      <c r="X314" s="1398"/>
      <c r="Y314" s="1398"/>
      <c r="Z314" s="1398"/>
      <c r="AA314" s="1398"/>
      <c r="AB314" s="1398"/>
      <c r="AC314" s="1398"/>
      <c r="AD314" s="1398"/>
      <c r="AE314" s="1398"/>
    </row>
    <row r="315" spans="1:31" ht="15" customHeight="1" x14ac:dyDescent="0.3">
      <c r="A315" s="1398"/>
      <c r="B315" s="2165" t="s">
        <v>2543</v>
      </c>
      <c r="C315" s="2151"/>
      <c r="D315" s="2151"/>
      <c r="E315" s="2151"/>
      <c r="F315" s="2151"/>
      <c r="G315" s="2151"/>
      <c r="H315" s="2151"/>
      <c r="I315" s="2151"/>
      <c r="J315" s="2157"/>
      <c r="K315" s="2151"/>
      <c r="L315" s="2157"/>
      <c r="M315" s="2151"/>
      <c r="N315" s="2157"/>
      <c r="O315" s="2157"/>
      <c r="P315" s="2157"/>
      <c r="Q315" s="2157"/>
      <c r="R315" s="1398"/>
      <c r="S315" s="1398"/>
      <c r="T315" s="1398"/>
      <c r="U315" s="1398"/>
      <c r="V315" s="1398"/>
      <c r="W315" s="1398"/>
      <c r="X315" s="1398"/>
      <c r="Y315" s="1398"/>
      <c r="Z315" s="1398"/>
      <c r="AA315" s="1398"/>
      <c r="AB315" s="1398"/>
      <c r="AC315" s="1398"/>
      <c r="AD315" s="1398"/>
      <c r="AE315" s="1398"/>
    </row>
    <row r="316" spans="1:31" ht="15" customHeight="1" x14ac:dyDescent="0.3">
      <c r="A316" s="1398"/>
      <c r="B316" s="2166" t="s">
        <v>2546</v>
      </c>
      <c r="C316" s="2151"/>
      <c r="D316" s="2151"/>
      <c r="E316" s="2151"/>
      <c r="F316" s="2151"/>
      <c r="G316" s="2151"/>
      <c r="H316" s="2151"/>
      <c r="I316" s="2151"/>
      <c r="J316" s="2157"/>
      <c r="K316" s="2151"/>
      <c r="L316" s="2157"/>
      <c r="M316" s="2151"/>
      <c r="N316" s="2157"/>
      <c r="O316" s="2157"/>
      <c r="P316" s="2157"/>
      <c r="Q316" s="2157"/>
      <c r="R316" s="1398"/>
      <c r="S316" s="1398"/>
      <c r="T316" s="1398"/>
      <c r="U316" s="1398"/>
      <c r="V316" s="1398"/>
      <c r="W316" s="1398"/>
      <c r="X316" s="1398"/>
      <c r="Y316" s="1398"/>
      <c r="Z316" s="1398"/>
      <c r="AA316" s="1398"/>
      <c r="AB316" s="1398"/>
      <c r="AC316" s="1398"/>
      <c r="AD316" s="1398"/>
      <c r="AE316" s="1398"/>
    </row>
    <row r="317" spans="1:31" ht="15" customHeight="1" x14ac:dyDescent="0.3">
      <c r="A317" s="1398"/>
      <c r="B317" s="2162" t="s">
        <v>2543</v>
      </c>
      <c r="C317" s="2151"/>
      <c r="D317" s="2151"/>
      <c r="E317" s="2151"/>
      <c r="F317" s="2151"/>
      <c r="G317" s="2151"/>
      <c r="H317" s="2151"/>
      <c r="I317" s="2151"/>
      <c r="J317" s="2157"/>
      <c r="K317" s="2151"/>
      <c r="L317" s="2157"/>
      <c r="M317" s="2151"/>
      <c r="N317" s="2157"/>
      <c r="O317" s="2157"/>
      <c r="P317" s="2157"/>
      <c r="Q317" s="2157"/>
      <c r="R317" s="1398"/>
      <c r="S317" s="1398"/>
      <c r="T317" s="1398"/>
      <c r="U317" s="1398"/>
      <c r="V317" s="1398"/>
      <c r="W317" s="1398"/>
      <c r="X317" s="1398"/>
      <c r="Y317" s="1398"/>
      <c r="Z317" s="1398"/>
      <c r="AA317" s="1398"/>
      <c r="AB317" s="1398"/>
      <c r="AC317" s="1398"/>
      <c r="AD317" s="1398"/>
      <c r="AE317" s="1398"/>
    </row>
    <row r="318" spans="1:31" ht="15" customHeight="1" x14ac:dyDescent="0.3">
      <c r="A318" s="1398"/>
      <c r="B318" s="2155" t="s">
        <v>1760</v>
      </c>
      <c r="C318" s="2151"/>
      <c r="D318" s="2151"/>
      <c r="E318" s="2151"/>
      <c r="F318" s="2151"/>
      <c r="G318" s="2151"/>
      <c r="H318" s="2151"/>
      <c r="I318" s="2151"/>
      <c r="J318" s="2157"/>
      <c r="K318" s="2151"/>
      <c r="L318" s="2157"/>
      <c r="M318" s="2151"/>
      <c r="N318" s="2157"/>
      <c r="O318" s="2157"/>
      <c r="P318" s="2157"/>
      <c r="Q318" s="2157"/>
      <c r="R318" s="1398"/>
      <c r="S318" s="1398"/>
      <c r="T318" s="1398"/>
      <c r="U318" s="1398"/>
      <c r="V318" s="1398"/>
      <c r="W318" s="1398"/>
      <c r="X318" s="1398"/>
      <c r="Y318" s="1398"/>
      <c r="Z318" s="1398"/>
      <c r="AA318" s="1398"/>
      <c r="AB318" s="1398"/>
      <c r="AC318" s="1398"/>
      <c r="AD318" s="1398"/>
      <c r="AE318" s="1398"/>
    </row>
    <row r="319" spans="1:31" ht="15" customHeight="1" x14ac:dyDescent="0.3">
      <c r="A319" s="1398"/>
      <c r="B319" s="2165" t="s">
        <v>2543</v>
      </c>
      <c r="C319" s="2151"/>
      <c r="D319" s="2151"/>
      <c r="E319" s="2151"/>
      <c r="F319" s="2151"/>
      <c r="G319" s="2151"/>
      <c r="H319" s="2151"/>
      <c r="I319" s="2151"/>
      <c r="J319" s="2157"/>
      <c r="K319" s="2151"/>
      <c r="L319" s="2157"/>
      <c r="M319" s="2151"/>
      <c r="N319" s="2157"/>
      <c r="O319" s="2157"/>
      <c r="P319" s="2157"/>
      <c r="Q319" s="2157"/>
      <c r="R319" s="1398"/>
      <c r="S319" s="1398"/>
      <c r="T319" s="1398"/>
      <c r="U319" s="1398"/>
      <c r="V319" s="1398"/>
      <c r="W319" s="1398"/>
      <c r="X319" s="1398"/>
      <c r="Y319" s="1398"/>
      <c r="Z319" s="1398"/>
      <c r="AA319" s="1398"/>
      <c r="AB319" s="1398"/>
      <c r="AC319" s="1398"/>
      <c r="AD319" s="1398"/>
      <c r="AE319" s="1398"/>
    </row>
    <row r="320" spans="1:31" ht="15" customHeight="1" x14ac:dyDescent="0.35">
      <c r="A320" s="1398"/>
      <c r="B320" s="2164" t="s">
        <v>2545</v>
      </c>
      <c r="C320" s="2159" t="str">
        <f t="shared" ref="C320:I320" si="44">IF(AND(ISNUMBER(C321),ISNUMBER(C323)),C321+C323,"")</f>
        <v/>
      </c>
      <c r="D320" s="2159" t="str">
        <f t="shared" si="44"/>
        <v/>
      </c>
      <c r="E320" s="2159" t="str">
        <f t="shared" si="44"/>
        <v/>
      </c>
      <c r="F320" s="2159" t="str">
        <f t="shared" si="44"/>
        <v/>
      </c>
      <c r="G320" s="2159" t="str">
        <f t="shared" si="44"/>
        <v/>
      </c>
      <c r="H320" s="2159" t="str">
        <f t="shared" si="44"/>
        <v/>
      </c>
      <c r="I320" s="2159" t="str">
        <f t="shared" si="44"/>
        <v/>
      </c>
      <c r="J320" s="2157"/>
      <c r="K320" s="2159" t="str">
        <f>IF(AND(ISNUMBER(K321),ISNUMBER(K323)),K321+K323,"")</f>
        <v/>
      </c>
      <c r="L320" s="2157"/>
      <c r="M320" s="2159" t="str">
        <f>IF(AND(ISNUMBER(M321),ISNUMBER(M323)),M321+M323,"")</f>
        <v/>
      </c>
      <c r="N320" s="2157"/>
      <c r="O320" s="2157"/>
      <c r="P320" s="2157"/>
      <c r="Q320" s="2157"/>
      <c r="R320" s="1398"/>
      <c r="S320" s="1398"/>
      <c r="T320" s="1398"/>
      <c r="U320" s="1398"/>
      <c r="V320" s="1398"/>
      <c r="W320" s="1398"/>
      <c r="X320" s="1398"/>
      <c r="Y320" s="1398"/>
      <c r="Z320" s="1398"/>
      <c r="AA320" s="1398"/>
      <c r="AB320" s="1398"/>
      <c r="AC320" s="1398"/>
      <c r="AD320" s="1398"/>
      <c r="AE320" s="1398"/>
    </row>
    <row r="321" spans="1:31" ht="15" customHeight="1" x14ac:dyDescent="0.3">
      <c r="A321" s="1398"/>
      <c r="B321" s="2163" t="s">
        <v>2544</v>
      </c>
      <c r="C321" s="2151"/>
      <c r="D321" s="2151"/>
      <c r="E321" s="2151"/>
      <c r="F321" s="2151"/>
      <c r="G321" s="2151"/>
      <c r="H321" s="2151"/>
      <c r="I321" s="2151"/>
      <c r="J321" s="2157"/>
      <c r="K321" s="2151"/>
      <c r="L321" s="2157"/>
      <c r="M321" s="2151"/>
      <c r="N321" s="2157"/>
      <c r="O321" s="2157"/>
      <c r="P321" s="2157"/>
      <c r="Q321" s="2157"/>
      <c r="R321" s="1398"/>
      <c r="S321" s="1398"/>
      <c r="T321" s="1398"/>
      <c r="U321" s="1398"/>
      <c r="V321" s="1398"/>
      <c r="W321" s="1398"/>
      <c r="X321" s="1398"/>
      <c r="Y321" s="1398"/>
      <c r="Z321" s="1398"/>
      <c r="AA321" s="1398"/>
      <c r="AB321" s="1398"/>
      <c r="AC321" s="1398"/>
      <c r="AD321" s="1398"/>
      <c r="AE321" s="1398"/>
    </row>
    <row r="322" spans="1:31" ht="15" customHeight="1" x14ac:dyDescent="0.3">
      <c r="A322" s="1398"/>
      <c r="B322" s="2162" t="s">
        <v>2543</v>
      </c>
      <c r="C322" s="2151"/>
      <c r="D322" s="2151"/>
      <c r="E322" s="2151"/>
      <c r="F322" s="2151"/>
      <c r="G322" s="2151"/>
      <c r="H322" s="2151"/>
      <c r="I322" s="2151"/>
      <c r="J322" s="2157"/>
      <c r="K322" s="2151"/>
      <c r="L322" s="2157"/>
      <c r="M322" s="2151"/>
      <c r="N322" s="2157"/>
      <c r="O322" s="2157"/>
      <c r="P322" s="2157"/>
      <c r="Q322" s="2157"/>
      <c r="R322" s="1398"/>
      <c r="S322" s="1398"/>
      <c r="T322" s="1398"/>
      <c r="U322" s="1398"/>
      <c r="V322" s="1398"/>
      <c r="W322" s="1398"/>
      <c r="X322" s="1398"/>
      <c r="Y322" s="1398"/>
      <c r="Z322" s="1398"/>
      <c r="AA322" s="1398"/>
      <c r="AB322" s="1398"/>
      <c r="AC322" s="1398"/>
      <c r="AD322" s="1398"/>
      <c r="AE322" s="1398"/>
    </row>
    <row r="323" spans="1:31" ht="15" customHeight="1" x14ac:dyDescent="0.3">
      <c r="A323" s="1398"/>
      <c r="B323" s="2163" t="s">
        <v>1760</v>
      </c>
      <c r="C323" s="2151"/>
      <c r="D323" s="2151"/>
      <c r="E323" s="2151"/>
      <c r="F323" s="2151"/>
      <c r="G323" s="2151"/>
      <c r="H323" s="2151"/>
      <c r="I323" s="2151"/>
      <c r="J323" s="2157"/>
      <c r="K323" s="2151"/>
      <c r="L323" s="2157"/>
      <c r="M323" s="2151"/>
      <c r="N323" s="2157"/>
      <c r="O323" s="2157"/>
      <c r="P323" s="2157"/>
      <c r="Q323" s="2157"/>
      <c r="R323" s="1398"/>
      <c r="S323" s="1398"/>
      <c r="T323" s="1398"/>
      <c r="U323" s="1398"/>
      <c r="V323" s="1398"/>
      <c r="W323" s="1398"/>
      <c r="X323" s="1398"/>
      <c r="Y323" s="1398"/>
      <c r="Z323" s="1398"/>
      <c r="AA323" s="1398"/>
      <c r="AB323" s="1398"/>
      <c r="AC323" s="1398"/>
      <c r="AD323" s="1398"/>
      <c r="AE323" s="1398"/>
    </row>
    <row r="324" spans="1:31" ht="15" customHeight="1" x14ac:dyDescent="0.3">
      <c r="A324" s="1398"/>
      <c r="B324" s="2162" t="s">
        <v>2543</v>
      </c>
      <c r="C324" s="2151"/>
      <c r="D324" s="2151"/>
      <c r="E324" s="2151"/>
      <c r="F324" s="2151"/>
      <c r="G324" s="2151"/>
      <c r="H324" s="2151"/>
      <c r="I324" s="2151"/>
      <c r="J324" s="2157"/>
      <c r="K324" s="2151"/>
      <c r="L324" s="2157"/>
      <c r="M324" s="2151"/>
      <c r="N324" s="2157"/>
      <c r="O324" s="2157"/>
      <c r="P324" s="2157"/>
      <c r="Q324" s="2157"/>
      <c r="R324" s="1398"/>
      <c r="S324" s="1398"/>
      <c r="T324" s="1398"/>
      <c r="U324" s="1398"/>
      <c r="V324" s="1398"/>
      <c r="W324" s="1398"/>
      <c r="X324" s="1398"/>
      <c r="Y324" s="1398"/>
      <c r="Z324" s="1398"/>
      <c r="AA324" s="1398"/>
      <c r="AB324" s="1398"/>
      <c r="AC324" s="1398"/>
      <c r="AD324" s="1398"/>
      <c r="AE324" s="1398"/>
    </row>
    <row r="325" spans="1:31" ht="15" customHeight="1" x14ac:dyDescent="0.3">
      <c r="A325" s="1398"/>
      <c r="B325" s="2181" t="s">
        <v>1941</v>
      </c>
      <c r="C325" s="2151"/>
      <c r="D325" s="2151"/>
      <c r="E325" s="2151"/>
      <c r="F325" s="2151"/>
      <c r="G325" s="2151"/>
      <c r="H325" s="2151"/>
      <c r="I325" s="2151"/>
      <c r="J325" s="2157"/>
      <c r="K325" s="2151"/>
      <c r="L325" s="2157"/>
      <c r="M325" s="2151"/>
      <c r="N325" s="2157"/>
      <c r="O325" s="2157"/>
      <c r="P325" s="2157"/>
      <c r="Q325" s="2157"/>
      <c r="R325" s="1398"/>
      <c r="S325" s="1398"/>
      <c r="T325" s="1398"/>
      <c r="U325" s="1398"/>
      <c r="V325" s="1398"/>
      <c r="W325" s="1398"/>
      <c r="X325" s="1398"/>
      <c r="Y325" s="1398"/>
      <c r="Z325" s="1398"/>
      <c r="AA325" s="1398"/>
      <c r="AB325" s="1398"/>
      <c r="AC325" s="1398"/>
      <c r="AD325" s="1398"/>
      <c r="AE325" s="1398"/>
    </row>
    <row r="326" spans="1:31" ht="15" customHeight="1" x14ac:dyDescent="0.35">
      <c r="A326" s="1398"/>
      <c r="B326" s="2181" t="s">
        <v>2542</v>
      </c>
      <c r="C326" s="2159" t="str">
        <f t="shared" ref="C326:I326" si="45">IF(AND(ISNUMBER(C327),ISNUMBER(C328)),C327+C328,"")</f>
        <v/>
      </c>
      <c r="D326" s="2159" t="str">
        <f t="shared" si="45"/>
        <v/>
      </c>
      <c r="E326" s="2159" t="str">
        <f t="shared" si="45"/>
        <v/>
      </c>
      <c r="F326" s="2159" t="str">
        <f t="shared" si="45"/>
        <v/>
      </c>
      <c r="G326" s="2159" t="str">
        <f t="shared" si="45"/>
        <v/>
      </c>
      <c r="H326" s="2159" t="str">
        <f t="shared" si="45"/>
        <v/>
      </c>
      <c r="I326" s="2159" t="str">
        <f t="shared" si="45"/>
        <v/>
      </c>
      <c r="J326" s="2157"/>
      <c r="K326" s="2159" t="str">
        <f>IF(AND(ISNUMBER(K327),ISNUMBER(K328)),K327+K328,"")</f>
        <v/>
      </c>
      <c r="L326" s="2157"/>
      <c r="M326" s="2159" t="str">
        <f>IF(AND(ISNUMBER(M327),ISNUMBER(M328)),M327+M328,"")</f>
        <v/>
      </c>
      <c r="N326" s="2157"/>
      <c r="O326" s="2157"/>
      <c r="P326" s="2157"/>
      <c r="Q326" s="2157"/>
      <c r="R326" s="1398"/>
      <c r="S326" s="1398"/>
      <c r="T326" s="1398"/>
      <c r="U326" s="1398"/>
      <c r="V326" s="1398"/>
      <c r="W326" s="1398"/>
      <c r="X326" s="1398"/>
      <c r="Y326" s="1398"/>
      <c r="Z326" s="1398"/>
      <c r="AA326" s="1398"/>
      <c r="AB326" s="1398"/>
      <c r="AC326" s="1398"/>
      <c r="AD326" s="1398"/>
      <c r="AE326" s="1398"/>
    </row>
    <row r="327" spans="1:31" ht="15" customHeight="1" x14ac:dyDescent="0.3">
      <c r="A327" s="1398"/>
      <c r="B327" s="2163" t="s">
        <v>2541</v>
      </c>
      <c r="C327" s="2151"/>
      <c r="D327" s="2151"/>
      <c r="E327" s="2151"/>
      <c r="F327" s="2151"/>
      <c r="G327" s="2151"/>
      <c r="H327" s="2151"/>
      <c r="I327" s="2151"/>
      <c r="J327" s="2157"/>
      <c r="K327" s="2151"/>
      <c r="L327" s="2157"/>
      <c r="M327" s="2151"/>
      <c r="N327" s="2157"/>
      <c r="O327" s="2157"/>
      <c r="P327" s="2157"/>
      <c r="Q327" s="2157"/>
      <c r="R327" s="1398"/>
      <c r="S327" s="1398"/>
      <c r="T327" s="1398"/>
      <c r="U327" s="1398"/>
      <c r="V327" s="1398"/>
      <c r="W327" s="1398"/>
      <c r="X327" s="1398"/>
      <c r="Y327" s="1398"/>
      <c r="Z327" s="1398"/>
      <c r="AA327" s="1398"/>
      <c r="AB327" s="1398"/>
      <c r="AC327" s="1398"/>
      <c r="AD327" s="1398"/>
      <c r="AE327" s="1398"/>
    </row>
    <row r="328" spans="1:31" ht="15" customHeight="1" x14ac:dyDescent="0.3">
      <c r="A328" s="1398"/>
      <c r="B328" s="2155" t="s">
        <v>1760</v>
      </c>
      <c r="C328" s="2151"/>
      <c r="D328" s="2151"/>
      <c r="E328" s="2151"/>
      <c r="F328" s="2151"/>
      <c r="G328" s="2151"/>
      <c r="H328" s="2151"/>
      <c r="I328" s="2151"/>
      <c r="J328" s="2157"/>
      <c r="K328" s="2151"/>
      <c r="L328" s="2157"/>
      <c r="M328" s="2151"/>
      <c r="N328" s="2157"/>
      <c r="O328" s="2157"/>
      <c r="P328" s="2157"/>
      <c r="Q328" s="2157"/>
      <c r="R328" s="1398"/>
      <c r="S328" s="1398"/>
      <c r="T328" s="1398"/>
      <c r="U328" s="1398"/>
      <c r="V328" s="1398"/>
      <c r="W328" s="1398"/>
      <c r="X328" s="1398"/>
      <c r="Y328" s="1398"/>
      <c r="Z328" s="1398"/>
      <c r="AA328" s="1398"/>
      <c r="AB328" s="1398"/>
      <c r="AC328" s="1398"/>
      <c r="AD328" s="1398"/>
      <c r="AE328" s="1398"/>
    </row>
    <row r="329" spans="1:31" ht="15" customHeight="1" x14ac:dyDescent="0.35">
      <c r="A329" s="1398"/>
      <c r="B329" s="2181" t="s">
        <v>2540</v>
      </c>
      <c r="C329" s="2159" t="str">
        <f t="shared" ref="C329:I329" si="46">IF(AND(ISNUMBER(C330),ISNUMBER(C331)),C330+C331,"")</f>
        <v/>
      </c>
      <c r="D329" s="2159" t="str">
        <f t="shared" si="46"/>
        <v/>
      </c>
      <c r="E329" s="2159" t="str">
        <f t="shared" si="46"/>
        <v/>
      </c>
      <c r="F329" s="2159" t="str">
        <f t="shared" si="46"/>
        <v/>
      </c>
      <c r="G329" s="2159" t="str">
        <f t="shared" si="46"/>
        <v/>
      </c>
      <c r="H329" s="2159" t="str">
        <f t="shared" si="46"/>
        <v/>
      </c>
      <c r="I329" s="2159" t="str">
        <f t="shared" si="46"/>
        <v/>
      </c>
      <c r="J329" s="2157"/>
      <c r="K329" s="2159" t="str">
        <f>IF(AND(ISNUMBER(K330),ISNUMBER(K331)),K330+K331,"")</f>
        <v/>
      </c>
      <c r="L329" s="2157"/>
      <c r="M329" s="2159" t="str">
        <f>IF(AND(ISNUMBER(M330),ISNUMBER(M331)),M330+M331,"")</f>
        <v/>
      </c>
      <c r="N329" s="2157"/>
      <c r="O329" s="2157"/>
      <c r="P329" s="2157"/>
      <c r="Q329" s="2157"/>
      <c r="R329" s="1398"/>
      <c r="S329" s="1398"/>
      <c r="T329" s="1398"/>
      <c r="U329" s="1398"/>
      <c r="V329" s="1398"/>
      <c r="W329" s="1398"/>
      <c r="X329" s="1398"/>
      <c r="Y329" s="1398"/>
      <c r="Z329" s="1398"/>
      <c r="AA329" s="1398"/>
      <c r="AB329" s="1398"/>
      <c r="AC329" s="1398"/>
      <c r="AD329" s="1398"/>
      <c r="AE329" s="1398"/>
    </row>
    <row r="330" spans="1:31" ht="15" customHeight="1" x14ac:dyDescent="0.3">
      <c r="A330" s="1398"/>
      <c r="B330" s="2155" t="s">
        <v>2539</v>
      </c>
      <c r="C330" s="2151"/>
      <c r="D330" s="2151"/>
      <c r="E330" s="2151"/>
      <c r="F330" s="2151"/>
      <c r="G330" s="2151"/>
      <c r="H330" s="2151"/>
      <c r="I330" s="2151"/>
      <c r="J330" s="2157"/>
      <c r="K330" s="2151"/>
      <c r="L330" s="2157"/>
      <c r="M330" s="2151"/>
      <c r="N330" s="2157"/>
      <c r="O330" s="2157"/>
      <c r="P330" s="2157"/>
      <c r="Q330" s="2157"/>
      <c r="R330" s="1398"/>
      <c r="S330" s="1398"/>
      <c r="T330" s="1398"/>
      <c r="U330" s="1398"/>
      <c r="V330" s="1398"/>
      <c r="W330" s="1398"/>
      <c r="X330" s="1398"/>
      <c r="Y330" s="1398"/>
      <c r="Z330" s="1398"/>
      <c r="AA330" s="1398"/>
      <c r="AB330" s="1398"/>
      <c r="AC330" s="1398"/>
      <c r="AD330" s="1398"/>
      <c r="AE330" s="1398"/>
    </row>
    <row r="331" spans="1:31" ht="15" customHeight="1" x14ac:dyDescent="0.3">
      <c r="A331" s="1398"/>
      <c r="B331" s="2155" t="s">
        <v>1760</v>
      </c>
      <c r="C331" s="2151"/>
      <c r="D331" s="2151"/>
      <c r="E331" s="2151"/>
      <c r="F331" s="2151"/>
      <c r="G331" s="2151"/>
      <c r="H331" s="2151"/>
      <c r="I331" s="2151"/>
      <c r="J331" s="2157"/>
      <c r="K331" s="2151"/>
      <c r="L331" s="2157"/>
      <c r="M331" s="2151"/>
      <c r="N331" s="2157"/>
      <c r="O331" s="2157"/>
      <c r="P331" s="2157"/>
      <c r="Q331" s="2157"/>
      <c r="R331" s="1398"/>
      <c r="S331" s="1398"/>
      <c r="T331" s="1398"/>
      <c r="U331" s="1398"/>
      <c r="V331" s="1398"/>
      <c r="W331" s="1398"/>
      <c r="X331" s="1398"/>
      <c r="Y331" s="1398"/>
      <c r="Z331" s="1398"/>
      <c r="AA331" s="1398"/>
      <c r="AB331" s="1398"/>
      <c r="AC331" s="1398"/>
      <c r="AD331" s="1398"/>
      <c r="AE331" s="1398"/>
    </row>
    <row r="332" spans="1:31" ht="15" customHeight="1" x14ac:dyDescent="0.35">
      <c r="A332" s="1398"/>
      <c r="B332" s="569" t="s">
        <v>59</v>
      </c>
      <c r="C332" s="2156">
        <f t="shared" ref="C332:Q332" si="47">IF(AND(ISNUMBER(C334),ISNUMBER(C333)),SUM(C333:C334),0)</f>
        <v>0</v>
      </c>
      <c r="D332" s="2156">
        <f t="shared" si="47"/>
        <v>0</v>
      </c>
      <c r="E332" s="2156">
        <f t="shared" si="47"/>
        <v>0</v>
      </c>
      <c r="F332" s="2156">
        <f t="shared" si="47"/>
        <v>0</v>
      </c>
      <c r="G332" s="2156">
        <f t="shared" si="47"/>
        <v>0</v>
      </c>
      <c r="H332" s="2156">
        <f t="shared" si="47"/>
        <v>0</v>
      </c>
      <c r="I332" s="2156">
        <f t="shared" si="47"/>
        <v>0</v>
      </c>
      <c r="J332" s="2156">
        <f t="shared" si="47"/>
        <v>0</v>
      </c>
      <c r="K332" s="2156">
        <f t="shared" si="47"/>
        <v>0</v>
      </c>
      <c r="L332" s="2156">
        <f t="shared" si="47"/>
        <v>0</v>
      </c>
      <c r="M332" s="2156">
        <f t="shared" si="47"/>
        <v>0</v>
      </c>
      <c r="N332" s="2156">
        <f t="shared" si="47"/>
        <v>0</v>
      </c>
      <c r="O332" s="2156">
        <f t="shared" si="47"/>
        <v>0</v>
      </c>
      <c r="P332" s="2156">
        <f t="shared" si="47"/>
        <v>0</v>
      </c>
      <c r="Q332" s="2156">
        <f t="shared" si="47"/>
        <v>0</v>
      </c>
      <c r="R332" s="1398"/>
      <c r="S332" s="1398"/>
      <c r="T332" s="1398"/>
      <c r="U332" s="1398"/>
      <c r="V332" s="1398"/>
      <c r="W332" s="1398"/>
      <c r="X332" s="1398"/>
      <c r="Y332" s="1398"/>
      <c r="Z332" s="1398"/>
      <c r="AA332" s="1398"/>
      <c r="AB332" s="1398"/>
      <c r="AC332" s="1398"/>
      <c r="AD332" s="1398"/>
      <c r="AE332" s="1398"/>
    </row>
    <row r="333" spans="1:31" ht="15" customHeight="1" x14ac:dyDescent="0.3">
      <c r="A333" s="1398"/>
      <c r="B333" s="2155" t="s">
        <v>2538</v>
      </c>
      <c r="C333" s="2151"/>
      <c r="D333" s="2151"/>
      <c r="E333" s="2151"/>
      <c r="F333" s="2151"/>
      <c r="G333" s="2151"/>
      <c r="H333" s="2151"/>
      <c r="I333" s="23"/>
      <c r="J333" s="2151"/>
      <c r="K333" s="2151"/>
      <c r="L333" s="2151"/>
      <c r="M333" s="2151"/>
      <c r="N333" s="2151"/>
      <c r="O333" s="2151"/>
      <c r="P333" s="2151"/>
      <c r="Q333" s="2151"/>
      <c r="R333" s="1398"/>
      <c r="S333" s="1398"/>
      <c r="T333" s="1398"/>
      <c r="U333" s="1398"/>
      <c r="V333" s="1398"/>
      <c r="W333" s="1398"/>
      <c r="X333" s="1398"/>
      <c r="Y333" s="1398"/>
      <c r="Z333" s="1398"/>
      <c r="AA333" s="1398"/>
      <c r="AB333" s="1398"/>
      <c r="AC333" s="1398"/>
      <c r="AD333" s="1398"/>
      <c r="AE333" s="1398"/>
    </row>
    <row r="334" spans="1:31" ht="15" customHeight="1" x14ac:dyDescent="0.3">
      <c r="A334" s="1398"/>
      <c r="B334" s="2155" t="s">
        <v>2537</v>
      </c>
      <c r="C334" s="2151"/>
      <c r="D334" s="2151"/>
      <c r="E334" s="2151"/>
      <c r="F334" s="2151"/>
      <c r="G334" s="2151"/>
      <c r="H334" s="2151"/>
      <c r="I334" s="23"/>
      <c r="J334" s="2151"/>
      <c r="K334" s="2151"/>
      <c r="L334" s="2151"/>
      <c r="M334" s="2151"/>
      <c r="N334" s="2151"/>
      <c r="O334" s="2151"/>
      <c r="P334" s="2151"/>
      <c r="Q334" s="2151"/>
      <c r="R334" s="1398"/>
      <c r="S334" s="1398"/>
      <c r="T334" s="1398"/>
      <c r="U334" s="1398"/>
      <c r="V334" s="1398"/>
      <c r="W334" s="1398"/>
      <c r="X334" s="1398"/>
      <c r="Y334" s="1398"/>
      <c r="Z334" s="1398"/>
      <c r="AA334" s="1398"/>
      <c r="AB334" s="1398"/>
      <c r="AC334" s="1398"/>
      <c r="AD334" s="1398"/>
      <c r="AE334" s="1398"/>
    </row>
    <row r="335" spans="1:31" ht="15" customHeight="1" x14ac:dyDescent="0.3">
      <c r="A335" s="1398"/>
      <c r="B335" s="2154" t="str">
        <f>"Check: row " &amp; ROW(B332) &amp;" = sum(row " &amp; ROW(B333) &amp; ", row "&amp; ROW(B334)&amp;")"</f>
        <v>Check: row 332 = sum(row 333, row 334)</v>
      </c>
      <c r="C335" s="2153" t="str">
        <f t="shared" ref="C335:Q335" si="48">IF(AND(ISNUMBER(C333), ISNUMBER(C334)), IF(C332=SUM(C333:C334), "Pass", "Fail"), "")</f>
        <v/>
      </c>
      <c r="D335" s="2153" t="str">
        <f t="shared" si="48"/>
        <v/>
      </c>
      <c r="E335" s="2153" t="str">
        <f t="shared" si="48"/>
        <v/>
      </c>
      <c r="F335" s="2153" t="str">
        <f t="shared" si="48"/>
        <v/>
      </c>
      <c r="G335" s="2153" t="str">
        <f t="shared" si="48"/>
        <v/>
      </c>
      <c r="H335" s="2153" t="str">
        <f t="shared" si="48"/>
        <v/>
      </c>
      <c r="I335" s="2153" t="str">
        <f t="shared" si="48"/>
        <v/>
      </c>
      <c r="J335" s="2153" t="str">
        <f t="shared" si="48"/>
        <v/>
      </c>
      <c r="K335" s="2153" t="str">
        <f t="shared" si="48"/>
        <v/>
      </c>
      <c r="L335" s="2153" t="str">
        <f t="shared" si="48"/>
        <v/>
      </c>
      <c r="M335" s="2153" t="str">
        <f t="shared" si="48"/>
        <v/>
      </c>
      <c r="N335" s="2153" t="str">
        <f t="shared" si="48"/>
        <v/>
      </c>
      <c r="O335" s="2153" t="str">
        <f t="shared" si="48"/>
        <v/>
      </c>
      <c r="P335" s="2153" t="str">
        <f t="shared" si="48"/>
        <v/>
      </c>
      <c r="Q335" s="2153" t="str">
        <f t="shared" si="48"/>
        <v/>
      </c>
      <c r="R335" s="1398"/>
      <c r="S335" s="1398"/>
      <c r="T335" s="1398"/>
      <c r="U335" s="1398"/>
      <c r="V335" s="1398"/>
      <c r="W335" s="1398"/>
      <c r="X335" s="1398"/>
      <c r="Y335" s="1398"/>
      <c r="Z335" s="1398"/>
      <c r="AA335" s="1398"/>
      <c r="AB335" s="1398"/>
      <c r="AC335" s="1398"/>
      <c r="AD335" s="1398"/>
      <c r="AE335" s="1398"/>
    </row>
    <row r="336" spans="1:31" ht="15" customHeight="1" x14ac:dyDescent="0.3">
      <c r="A336" s="1398"/>
      <c r="B336" s="2152" t="s">
        <v>2536</v>
      </c>
      <c r="C336" s="2151"/>
      <c r="D336" s="1398"/>
      <c r="E336" s="1398"/>
      <c r="F336" s="1398"/>
      <c r="G336" s="1398"/>
      <c r="H336" s="1398"/>
      <c r="I336" s="1398"/>
      <c r="J336" s="1398"/>
      <c r="K336" s="1398"/>
      <c r="L336" s="1398"/>
      <c r="M336" s="1398"/>
      <c r="N336" s="1398"/>
      <c r="O336" s="1398"/>
      <c r="P336" s="1398"/>
      <c r="Q336" s="1398"/>
      <c r="R336" s="1398"/>
      <c r="S336" s="1398"/>
      <c r="T336" s="1398"/>
      <c r="U336" s="1398"/>
      <c r="V336" s="1398"/>
      <c r="W336" s="1398"/>
      <c r="X336" s="1398"/>
      <c r="Y336" s="1398"/>
      <c r="Z336" s="1398"/>
      <c r="AA336" s="1398"/>
      <c r="AB336" s="1398"/>
      <c r="AC336" s="1398"/>
      <c r="AD336" s="1398"/>
      <c r="AE336" s="1398"/>
    </row>
    <row r="337" spans="1:31" ht="15" customHeight="1" x14ac:dyDescent="0.3">
      <c r="A337" s="1398"/>
      <c r="B337" s="2150" t="s">
        <v>2535</v>
      </c>
      <c r="C337" s="2149"/>
      <c r="D337" s="1398"/>
      <c r="E337" s="1398"/>
      <c r="F337" s="1398"/>
      <c r="G337" s="1398"/>
      <c r="H337" s="1398"/>
      <c r="I337" s="1398"/>
      <c r="J337" s="1398"/>
      <c r="K337" s="1398"/>
      <c r="L337" s="1398"/>
      <c r="M337" s="1398"/>
      <c r="N337" s="1398"/>
      <c r="O337" s="1398"/>
      <c r="P337" s="1398"/>
      <c r="Q337" s="1398"/>
      <c r="R337" s="1398"/>
      <c r="S337" s="1398"/>
      <c r="T337" s="1398"/>
      <c r="U337" s="1398"/>
      <c r="V337" s="1398"/>
      <c r="W337" s="1398"/>
      <c r="X337" s="1398"/>
      <c r="Y337" s="1398"/>
      <c r="Z337" s="1398"/>
      <c r="AA337" s="1398"/>
      <c r="AB337" s="1398"/>
      <c r="AC337" s="1398"/>
      <c r="AD337" s="1398"/>
      <c r="AE337" s="1398"/>
    </row>
    <row r="338" spans="1:31" ht="15" customHeight="1" x14ac:dyDescent="0.3">
      <c r="A338" s="1398"/>
      <c r="B338" s="1398"/>
      <c r="C338" s="1398"/>
      <c r="D338" s="1398"/>
      <c r="E338" s="1398"/>
      <c r="F338" s="1398"/>
      <c r="G338" s="1398"/>
      <c r="H338" s="1398"/>
      <c r="I338" s="1398"/>
      <c r="J338" s="1398"/>
      <c r="K338" s="1398"/>
      <c r="L338" s="1398"/>
      <c r="M338" s="1398"/>
      <c r="N338" s="1398"/>
      <c r="O338" s="1398"/>
      <c r="P338" s="1398"/>
      <c r="Q338" s="1398"/>
      <c r="R338" s="1398"/>
      <c r="S338" s="1398"/>
      <c r="T338" s="1398"/>
      <c r="U338" s="1398"/>
      <c r="V338" s="1398"/>
      <c r="W338" s="1398"/>
      <c r="X338" s="1398"/>
      <c r="Y338" s="1398"/>
      <c r="Z338" s="1398"/>
      <c r="AA338" s="1398"/>
      <c r="AB338" s="1398"/>
      <c r="AC338" s="1398"/>
      <c r="AD338" s="1398"/>
      <c r="AE338" s="1398"/>
    </row>
    <row r="339" spans="1:31" ht="19.5" customHeight="1" x14ac:dyDescent="0.3">
      <c r="A339" s="2196" t="s">
        <v>2582</v>
      </c>
      <c r="B339" s="2195"/>
      <c r="C339" s="2194" t="s">
        <v>2566</v>
      </c>
      <c r="D339" s="2173" t="str">
        <f>IF(ISBLANK($K$7),"",IF($K$7="No","Please leave Panel B"&amp;COLUMN($K$7)-2&amp;" empty","Please fill in Panel B"&amp;COLUMN($K$7)-2))</f>
        <v/>
      </c>
      <c r="E339" s="2193"/>
      <c r="F339" s="2193"/>
      <c r="G339" s="2193"/>
      <c r="H339" s="2193"/>
      <c r="I339" s="2193"/>
      <c r="J339" s="2193"/>
      <c r="K339" s="2193"/>
      <c r="L339" s="2193"/>
      <c r="M339" s="2193"/>
      <c r="N339" s="2193"/>
      <c r="O339" s="2193"/>
      <c r="P339" s="2193"/>
      <c r="Q339" s="2193"/>
      <c r="R339" s="1398"/>
      <c r="S339" s="1398"/>
      <c r="T339" s="1398"/>
      <c r="U339" s="1398"/>
      <c r="V339" s="1398"/>
      <c r="W339" s="1398"/>
      <c r="X339" s="1398"/>
      <c r="Y339" s="1398"/>
      <c r="Z339" s="1398"/>
      <c r="AA339" s="1398"/>
      <c r="AB339" s="1398"/>
      <c r="AC339" s="1398"/>
      <c r="AD339" s="1398"/>
      <c r="AE339" s="1398"/>
    </row>
    <row r="340" spans="1:31" ht="15" customHeight="1" x14ac:dyDescent="0.35">
      <c r="A340" s="1398"/>
      <c r="C340" s="2986" t="s">
        <v>207</v>
      </c>
      <c r="D340" s="2986"/>
      <c r="E340" s="2986"/>
      <c r="F340" s="2986"/>
      <c r="G340" s="2986"/>
      <c r="H340" s="2986"/>
      <c r="I340" s="2986"/>
      <c r="J340" s="2986"/>
      <c r="K340" s="2986"/>
      <c r="L340" s="2987"/>
      <c r="M340" s="2983" t="s">
        <v>2559</v>
      </c>
      <c r="N340" s="2988" t="s">
        <v>2565</v>
      </c>
      <c r="O340" s="2989"/>
      <c r="P340" s="2989"/>
      <c r="Q340" s="2989"/>
      <c r="R340" s="1398"/>
      <c r="S340" s="1398"/>
      <c r="T340" s="1398"/>
      <c r="U340" s="1398"/>
      <c r="V340" s="1398"/>
      <c r="W340" s="1398"/>
      <c r="X340" s="1398"/>
      <c r="Y340" s="1398"/>
      <c r="Z340" s="1398"/>
      <c r="AA340" s="1398"/>
      <c r="AB340" s="1398"/>
      <c r="AC340" s="1398"/>
      <c r="AD340" s="1398"/>
      <c r="AE340" s="1398"/>
    </row>
    <row r="341" spans="1:31" ht="15" customHeight="1" x14ac:dyDescent="0.35">
      <c r="A341" s="1398"/>
      <c r="B341" s="2172"/>
      <c r="C341" s="2967" t="s">
        <v>2564</v>
      </c>
      <c r="D341" s="2973" t="s">
        <v>465</v>
      </c>
      <c r="E341" s="2974"/>
      <c r="F341" s="2974"/>
      <c r="G341" s="2974"/>
      <c r="H341" s="2975"/>
      <c r="I341" s="2969" t="s">
        <v>2563</v>
      </c>
      <c r="J341" s="2969" t="s">
        <v>2562</v>
      </c>
      <c r="K341" s="2969" t="s">
        <v>2561</v>
      </c>
      <c r="L341" s="2969" t="s">
        <v>2560</v>
      </c>
      <c r="M341" s="2983"/>
      <c r="N341" s="2978" t="s">
        <v>207</v>
      </c>
      <c r="O341" s="2978" t="s">
        <v>2559</v>
      </c>
      <c r="P341" s="2969" t="s">
        <v>59</v>
      </c>
      <c r="Q341" s="2971" t="s">
        <v>2558</v>
      </c>
      <c r="R341" s="1398"/>
      <c r="S341" s="1398"/>
      <c r="T341" s="1398"/>
      <c r="U341" s="1398"/>
      <c r="V341" s="1398"/>
      <c r="W341" s="1398"/>
      <c r="X341" s="1398"/>
      <c r="Y341" s="1398"/>
      <c r="Z341" s="1398"/>
      <c r="AA341" s="1398"/>
      <c r="AB341" s="1398"/>
      <c r="AC341" s="1398"/>
      <c r="AD341" s="1398"/>
      <c r="AE341" s="1398"/>
    </row>
    <row r="342" spans="1:31" ht="50.4" customHeight="1" x14ac:dyDescent="0.35">
      <c r="A342" s="1398"/>
      <c r="B342" s="2171"/>
      <c r="C342" s="2968"/>
      <c r="D342" s="2170" t="s">
        <v>2557</v>
      </c>
      <c r="E342" s="2170" t="s">
        <v>2556</v>
      </c>
      <c r="F342" s="2170" t="s">
        <v>2555</v>
      </c>
      <c r="G342" s="2170" t="s">
        <v>2554</v>
      </c>
      <c r="H342" s="2170" t="s">
        <v>59</v>
      </c>
      <c r="I342" s="2970"/>
      <c r="J342" s="2970"/>
      <c r="K342" s="2970"/>
      <c r="L342" s="2970"/>
      <c r="M342" s="2970"/>
      <c r="N342" s="2979"/>
      <c r="O342" s="2979"/>
      <c r="P342" s="2970"/>
      <c r="Q342" s="2972"/>
      <c r="R342" s="1398"/>
      <c r="S342" s="1398"/>
      <c r="T342" s="1398"/>
      <c r="U342" s="1398"/>
      <c r="V342" s="1398"/>
      <c r="W342" s="1398"/>
      <c r="X342" s="1398"/>
      <c r="Y342" s="1398"/>
      <c r="Z342" s="1398"/>
      <c r="AA342" s="1398"/>
      <c r="AB342" s="1398"/>
      <c r="AC342" s="1398"/>
      <c r="AD342" s="1398"/>
      <c r="AE342" s="1398"/>
    </row>
    <row r="343" spans="1:31" ht="15" customHeight="1" x14ac:dyDescent="0.35">
      <c r="A343" s="1398"/>
      <c r="B343" s="2179" t="s">
        <v>2553</v>
      </c>
      <c r="C343" s="2168" t="str">
        <f t="shared" ref="C343:I343" si="49">IF(AND(ISNUMBER(C356),ISNUMBER(C352),ISNUMBER(C354),ISNUMBER(C344),ISNUMBER(C348),ISNUMBER(C346),ISNUMBER(C350),ISNUMBER(C358)),SUM(C344,C346,C348,C350,C352,C354,C356,C358),"")</f>
        <v/>
      </c>
      <c r="D343" s="2168" t="str">
        <f t="shared" si="49"/>
        <v/>
      </c>
      <c r="E343" s="2168" t="str">
        <f t="shared" si="49"/>
        <v/>
      </c>
      <c r="F343" s="2168" t="str">
        <f t="shared" si="49"/>
        <v/>
      </c>
      <c r="G343" s="2168" t="str">
        <f t="shared" si="49"/>
        <v/>
      </c>
      <c r="H343" s="2168" t="str">
        <f t="shared" si="49"/>
        <v/>
      </c>
      <c r="I343" s="2168" t="str">
        <f t="shared" si="49"/>
        <v/>
      </c>
      <c r="J343" s="2157"/>
      <c r="K343" s="2168" t="str">
        <f>IF(AND(ISNUMBER(K356),ISNUMBER(K352),ISNUMBER(K354),ISNUMBER(K344),ISNUMBER(K348),ISNUMBER(K346),ISNUMBER(K350),ISNUMBER(K358)),SUM(K344,K346,K348,K350,K352,K354,K356,K358),"")</f>
        <v/>
      </c>
      <c r="L343" s="2157"/>
      <c r="M343" s="2168" t="str">
        <f>IF(AND(ISNUMBER(M356),ISNUMBER(M352),ISNUMBER(M354),ISNUMBER(M344),ISNUMBER(M348),ISNUMBER(M346),ISNUMBER(M350),ISNUMBER(M358)),SUM(M344,M346,M348,M350,M352,M354,M356,M358),"")</f>
        <v/>
      </c>
      <c r="N343" s="2167"/>
      <c r="O343" s="2167"/>
      <c r="P343" s="2167"/>
      <c r="Q343" s="2167"/>
      <c r="R343" s="1398"/>
      <c r="S343" s="1398"/>
      <c r="T343" s="1398"/>
      <c r="U343" s="1398"/>
      <c r="V343" s="1398"/>
      <c r="W343" s="1398"/>
      <c r="X343" s="1398"/>
      <c r="Y343" s="1398"/>
      <c r="Z343" s="1398"/>
      <c r="AA343" s="1398"/>
      <c r="AB343" s="1398"/>
      <c r="AC343" s="1398"/>
      <c r="AD343" s="1398"/>
      <c r="AE343" s="1398"/>
    </row>
    <row r="344" spans="1:31" ht="15" customHeight="1" x14ac:dyDescent="0.3">
      <c r="A344" s="1398"/>
      <c r="B344" s="2163" t="s">
        <v>2552</v>
      </c>
      <c r="C344" s="2151"/>
      <c r="D344" s="2151"/>
      <c r="E344" s="2151"/>
      <c r="F344" s="2151"/>
      <c r="G344" s="2151"/>
      <c r="H344" s="2151"/>
      <c r="I344" s="2151"/>
      <c r="J344" s="2157"/>
      <c r="K344" s="2151"/>
      <c r="L344" s="2157"/>
      <c r="M344" s="2151"/>
      <c r="N344" s="2157"/>
      <c r="O344" s="2157"/>
      <c r="P344" s="2157"/>
      <c r="Q344" s="2157"/>
      <c r="R344" s="1398"/>
      <c r="S344" s="1398"/>
      <c r="T344" s="1398"/>
      <c r="U344" s="1398"/>
      <c r="V344" s="1398"/>
      <c r="W344" s="1398"/>
      <c r="X344" s="1398"/>
      <c r="Y344" s="1398"/>
      <c r="Z344" s="1398"/>
      <c r="AA344" s="1398"/>
      <c r="AB344" s="1398"/>
      <c r="AC344" s="1398"/>
      <c r="AD344" s="1398"/>
      <c r="AE344" s="1398"/>
    </row>
    <row r="345" spans="1:31" ht="15" customHeight="1" x14ac:dyDescent="0.3">
      <c r="A345" s="1398"/>
      <c r="B345" s="2162" t="s">
        <v>2543</v>
      </c>
      <c r="C345" s="2151"/>
      <c r="D345" s="2151"/>
      <c r="E345" s="2151"/>
      <c r="F345" s="2151"/>
      <c r="G345" s="2151"/>
      <c r="H345" s="2151"/>
      <c r="I345" s="2151"/>
      <c r="J345" s="2157"/>
      <c r="K345" s="2151"/>
      <c r="L345" s="2157"/>
      <c r="M345" s="2151"/>
      <c r="N345" s="2157"/>
      <c r="O345" s="2157"/>
      <c r="P345" s="2157"/>
      <c r="Q345" s="2157"/>
      <c r="R345" s="1398"/>
      <c r="S345" s="1398"/>
      <c r="T345" s="1398"/>
      <c r="U345" s="1398"/>
      <c r="V345" s="1398"/>
      <c r="W345" s="1398"/>
      <c r="X345" s="1398"/>
      <c r="Y345" s="1398"/>
      <c r="Z345" s="1398"/>
      <c r="AA345" s="1398"/>
      <c r="AB345" s="1398"/>
      <c r="AC345" s="1398"/>
      <c r="AD345" s="1398"/>
      <c r="AE345" s="1398"/>
    </row>
    <row r="346" spans="1:31" ht="15" customHeight="1" x14ac:dyDescent="0.3">
      <c r="A346" s="1398"/>
      <c r="B346" s="2163" t="s">
        <v>2551</v>
      </c>
      <c r="C346" s="2151"/>
      <c r="D346" s="2151"/>
      <c r="E346" s="2151"/>
      <c r="F346" s="2151"/>
      <c r="G346" s="2151"/>
      <c r="H346" s="2151"/>
      <c r="I346" s="2151"/>
      <c r="J346" s="2157"/>
      <c r="K346" s="2151"/>
      <c r="L346" s="2157"/>
      <c r="M346" s="2151"/>
      <c r="N346" s="2157"/>
      <c r="O346" s="2157"/>
      <c r="P346" s="2157"/>
      <c r="Q346" s="2157"/>
      <c r="R346" s="1398"/>
      <c r="S346" s="1398"/>
      <c r="T346" s="1398"/>
      <c r="U346" s="1398"/>
      <c r="V346" s="1398"/>
      <c r="W346" s="1398"/>
      <c r="X346" s="1398"/>
      <c r="Y346" s="1398"/>
      <c r="Z346" s="1398"/>
      <c r="AA346" s="1398"/>
      <c r="AB346" s="1398"/>
      <c r="AC346" s="1398"/>
      <c r="AD346" s="1398"/>
      <c r="AE346" s="1398"/>
    </row>
    <row r="347" spans="1:31" ht="15" customHeight="1" x14ac:dyDescent="0.3">
      <c r="A347" s="1398"/>
      <c r="B347" s="2162" t="s">
        <v>2543</v>
      </c>
      <c r="C347" s="2151"/>
      <c r="D347" s="2151"/>
      <c r="E347" s="2151"/>
      <c r="F347" s="2151"/>
      <c r="G347" s="2151"/>
      <c r="H347" s="2151"/>
      <c r="I347" s="2151"/>
      <c r="J347" s="2157"/>
      <c r="K347" s="2151"/>
      <c r="L347" s="2157"/>
      <c r="M347" s="2151"/>
      <c r="N347" s="2157"/>
      <c r="O347" s="2157"/>
      <c r="P347" s="2157"/>
      <c r="Q347" s="2157"/>
      <c r="R347" s="1398"/>
      <c r="S347" s="1398"/>
      <c r="T347" s="1398"/>
      <c r="U347" s="1398"/>
      <c r="V347" s="1398"/>
      <c r="W347" s="1398"/>
      <c r="X347" s="1398"/>
      <c r="Y347" s="1398"/>
      <c r="Z347" s="1398"/>
      <c r="AA347" s="1398"/>
      <c r="AB347" s="1398"/>
      <c r="AC347" s="1398"/>
      <c r="AD347" s="1398"/>
      <c r="AE347" s="1398"/>
    </row>
    <row r="348" spans="1:31" ht="15" customHeight="1" x14ac:dyDescent="0.3">
      <c r="A348" s="1398"/>
      <c r="B348" s="2163" t="s">
        <v>2550</v>
      </c>
      <c r="C348" s="2151"/>
      <c r="D348" s="2151"/>
      <c r="E348" s="2151"/>
      <c r="F348" s="2151"/>
      <c r="G348" s="2151"/>
      <c r="H348" s="2151"/>
      <c r="I348" s="2151"/>
      <c r="J348" s="2157"/>
      <c r="K348" s="2151"/>
      <c r="L348" s="2157"/>
      <c r="M348" s="2151"/>
      <c r="N348" s="2157"/>
      <c r="O348" s="2157"/>
      <c r="P348" s="2157"/>
      <c r="Q348" s="2157"/>
      <c r="R348" s="1398"/>
      <c r="S348" s="1398"/>
      <c r="T348" s="1398"/>
      <c r="U348" s="1398"/>
      <c r="V348" s="1398"/>
      <c r="W348" s="1398"/>
      <c r="X348" s="1398"/>
      <c r="Y348" s="1398"/>
      <c r="Z348" s="1398"/>
      <c r="AA348" s="1398"/>
      <c r="AB348" s="1398"/>
      <c r="AC348" s="1398"/>
      <c r="AD348" s="1398"/>
      <c r="AE348" s="1398"/>
    </row>
    <row r="349" spans="1:31" ht="15" customHeight="1" x14ac:dyDescent="0.3">
      <c r="A349" s="1398"/>
      <c r="B349" s="2162" t="s">
        <v>2543</v>
      </c>
      <c r="C349" s="2151"/>
      <c r="D349" s="2151"/>
      <c r="E349" s="2151"/>
      <c r="F349" s="2151"/>
      <c r="G349" s="2151"/>
      <c r="H349" s="2151"/>
      <c r="I349" s="2151"/>
      <c r="J349" s="2157"/>
      <c r="K349" s="2151"/>
      <c r="L349" s="2157"/>
      <c r="M349" s="2151"/>
      <c r="N349" s="2157"/>
      <c r="O349" s="2157"/>
      <c r="P349" s="2157"/>
      <c r="Q349" s="2157"/>
      <c r="R349" s="1398"/>
      <c r="S349" s="1398"/>
      <c r="T349" s="1398"/>
      <c r="U349" s="1398"/>
      <c r="V349" s="1398"/>
      <c r="W349" s="1398"/>
      <c r="X349" s="1398"/>
      <c r="Y349" s="1398"/>
      <c r="Z349" s="1398"/>
      <c r="AA349" s="1398"/>
      <c r="AB349" s="1398"/>
      <c r="AC349" s="1398"/>
      <c r="AD349" s="1398"/>
      <c r="AE349" s="1398"/>
    </row>
    <row r="350" spans="1:31" ht="15" customHeight="1" x14ac:dyDescent="0.3">
      <c r="A350" s="1398"/>
      <c r="B350" s="2163" t="s">
        <v>2549</v>
      </c>
      <c r="C350" s="2151"/>
      <c r="D350" s="2151"/>
      <c r="E350" s="2151"/>
      <c r="F350" s="2151"/>
      <c r="G350" s="2151"/>
      <c r="H350" s="2151"/>
      <c r="I350" s="2151"/>
      <c r="J350" s="2157"/>
      <c r="K350" s="2151"/>
      <c r="L350" s="2157"/>
      <c r="M350" s="2151"/>
      <c r="N350" s="2157"/>
      <c r="O350" s="2157"/>
      <c r="P350" s="2157"/>
      <c r="Q350" s="2157"/>
      <c r="R350" s="1398"/>
      <c r="S350" s="1398"/>
      <c r="T350" s="1398"/>
      <c r="U350" s="1398"/>
      <c r="V350" s="1398"/>
      <c r="W350" s="1398"/>
      <c r="X350" s="1398"/>
      <c r="Y350" s="1398"/>
      <c r="Z350" s="1398"/>
      <c r="AA350" s="1398"/>
      <c r="AB350" s="1398"/>
      <c r="AC350" s="1398"/>
      <c r="AD350" s="1398"/>
      <c r="AE350" s="1398"/>
    </row>
    <row r="351" spans="1:31" ht="15" customHeight="1" x14ac:dyDescent="0.3">
      <c r="A351" s="1398"/>
      <c r="B351" s="2162" t="s">
        <v>2543</v>
      </c>
      <c r="C351" s="2151"/>
      <c r="D351" s="2151"/>
      <c r="E351" s="2151"/>
      <c r="F351" s="2151"/>
      <c r="G351" s="2151"/>
      <c r="H351" s="2151"/>
      <c r="I351" s="2151"/>
      <c r="J351" s="2157"/>
      <c r="K351" s="2151"/>
      <c r="L351" s="2157"/>
      <c r="M351" s="2151"/>
      <c r="N351" s="2157"/>
      <c r="O351" s="2157"/>
      <c r="P351" s="2157"/>
      <c r="Q351" s="2157"/>
      <c r="R351" s="1398"/>
      <c r="S351" s="1398"/>
      <c r="T351" s="1398"/>
      <c r="U351" s="1398"/>
      <c r="V351" s="1398"/>
      <c r="W351" s="1398"/>
      <c r="X351" s="1398"/>
      <c r="Y351" s="1398"/>
      <c r="Z351" s="1398"/>
      <c r="AA351" s="1398"/>
      <c r="AB351" s="1398"/>
      <c r="AC351" s="1398"/>
      <c r="AD351" s="1398"/>
      <c r="AE351" s="1398"/>
    </row>
    <row r="352" spans="1:31" ht="15" customHeight="1" x14ac:dyDescent="0.35">
      <c r="A352" s="1398"/>
      <c r="B352" s="2192" t="s">
        <v>2548</v>
      </c>
      <c r="C352" s="2151"/>
      <c r="D352" s="2151"/>
      <c r="E352" s="2151"/>
      <c r="F352" s="2151"/>
      <c r="G352" s="2151"/>
      <c r="H352" s="2151"/>
      <c r="I352" s="2151"/>
      <c r="J352" s="2157"/>
      <c r="K352" s="2151"/>
      <c r="L352" s="2157"/>
      <c r="M352" s="2151"/>
      <c r="N352" s="2157"/>
      <c r="O352" s="2157"/>
      <c r="P352" s="2157"/>
      <c r="Q352" s="2157"/>
      <c r="R352" s="1398"/>
      <c r="S352" s="1398"/>
      <c r="T352" s="1398"/>
      <c r="U352" s="1398"/>
      <c r="V352" s="1398"/>
      <c r="W352" s="1398"/>
      <c r="X352" s="1398"/>
      <c r="Y352" s="1398"/>
      <c r="Z352" s="1398"/>
      <c r="AA352" s="1398"/>
      <c r="AB352" s="1398"/>
      <c r="AC352" s="1398"/>
      <c r="AD352" s="1398"/>
      <c r="AE352" s="1398"/>
    </row>
    <row r="353" spans="1:31" ht="15" customHeight="1" x14ac:dyDescent="0.3">
      <c r="A353" s="1398"/>
      <c r="B353" s="2162" t="s">
        <v>2543</v>
      </c>
      <c r="C353" s="2151"/>
      <c r="D353" s="2151"/>
      <c r="E353" s="2151"/>
      <c r="F353" s="2151"/>
      <c r="G353" s="2151"/>
      <c r="H353" s="2151"/>
      <c r="I353" s="2151"/>
      <c r="J353" s="2157"/>
      <c r="K353" s="2151"/>
      <c r="L353" s="2157"/>
      <c r="M353" s="2151"/>
      <c r="N353" s="2157"/>
      <c r="O353" s="2157"/>
      <c r="P353" s="2157"/>
      <c r="Q353" s="2157"/>
      <c r="R353" s="1398"/>
      <c r="S353" s="1398"/>
      <c r="T353" s="1398"/>
      <c r="U353" s="1398"/>
      <c r="V353" s="1398"/>
      <c r="W353" s="1398"/>
      <c r="X353" s="1398"/>
      <c r="Y353" s="1398"/>
      <c r="Z353" s="1398"/>
      <c r="AA353" s="1398"/>
      <c r="AB353" s="1398"/>
      <c r="AC353" s="1398"/>
      <c r="AD353" s="1398"/>
      <c r="AE353" s="1398"/>
    </row>
    <row r="354" spans="1:31" ht="15" customHeight="1" x14ac:dyDescent="0.3">
      <c r="A354" s="1398"/>
      <c r="B354" s="2163" t="s">
        <v>2547</v>
      </c>
      <c r="C354" s="2151"/>
      <c r="D354" s="2151"/>
      <c r="E354" s="2151"/>
      <c r="F354" s="2151"/>
      <c r="G354" s="2151"/>
      <c r="H354" s="2151"/>
      <c r="I354" s="2151"/>
      <c r="J354" s="2157"/>
      <c r="K354" s="2151"/>
      <c r="L354" s="2157"/>
      <c r="M354" s="2151"/>
      <c r="N354" s="2157"/>
      <c r="O354" s="2157"/>
      <c r="P354" s="2157"/>
      <c r="Q354" s="2157"/>
      <c r="R354" s="1398"/>
      <c r="S354" s="1398"/>
      <c r="T354" s="1398"/>
      <c r="U354" s="1398"/>
      <c r="V354" s="1398"/>
      <c r="W354" s="1398"/>
      <c r="X354" s="1398"/>
      <c r="Y354" s="1398"/>
      <c r="Z354" s="1398"/>
      <c r="AA354" s="1398"/>
      <c r="AB354" s="1398"/>
      <c r="AC354" s="1398"/>
      <c r="AD354" s="1398"/>
      <c r="AE354" s="1398"/>
    </row>
    <row r="355" spans="1:31" ht="15" customHeight="1" x14ac:dyDescent="0.3">
      <c r="A355" s="1398"/>
      <c r="B355" s="2162" t="s">
        <v>2543</v>
      </c>
      <c r="C355" s="2151"/>
      <c r="D355" s="2151"/>
      <c r="E355" s="2151"/>
      <c r="F355" s="2151"/>
      <c r="G355" s="2151"/>
      <c r="H355" s="2151"/>
      <c r="I355" s="2151"/>
      <c r="J355" s="2157"/>
      <c r="K355" s="2151"/>
      <c r="L355" s="2157"/>
      <c r="M355" s="2151"/>
      <c r="N355" s="2157"/>
      <c r="O355" s="2157"/>
      <c r="P355" s="2157"/>
      <c r="Q355" s="2157"/>
      <c r="R355" s="1398"/>
      <c r="S355" s="1398"/>
      <c r="T355" s="1398"/>
      <c r="U355" s="1398"/>
      <c r="V355" s="1398"/>
      <c r="W355" s="1398"/>
      <c r="X355" s="1398"/>
      <c r="Y355" s="1398"/>
      <c r="Z355" s="1398"/>
      <c r="AA355" s="1398"/>
      <c r="AB355" s="1398"/>
      <c r="AC355" s="1398"/>
      <c r="AD355" s="1398"/>
      <c r="AE355" s="1398"/>
    </row>
    <row r="356" spans="1:31" ht="15" customHeight="1" x14ac:dyDescent="0.3">
      <c r="A356" s="1398"/>
      <c r="B356" s="2166" t="s">
        <v>2546</v>
      </c>
      <c r="C356" s="2151"/>
      <c r="D356" s="2151"/>
      <c r="E356" s="2151"/>
      <c r="F356" s="2151"/>
      <c r="G356" s="2151"/>
      <c r="H356" s="2151"/>
      <c r="I356" s="2151"/>
      <c r="J356" s="2157"/>
      <c r="K356" s="2151"/>
      <c r="L356" s="2157"/>
      <c r="M356" s="2151"/>
      <c r="N356" s="2157"/>
      <c r="O356" s="2157"/>
      <c r="P356" s="2157"/>
      <c r="Q356" s="2157"/>
      <c r="R356" s="1398"/>
      <c r="S356" s="1398"/>
      <c r="T356" s="1398"/>
      <c r="U356" s="1398"/>
      <c r="V356" s="1398"/>
      <c r="W356" s="1398"/>
      <c r="X356" s="1398"/>
      <c r="Y356" s="1398"/>
      <c r="Z356" s="1398"/>
      <c r="AA356" s="1398"/>
      <c r="AB356" s="1398"/>
      <c r="AC356" s="1398"/>
      <c r="AD356" s="1398"/>
      <c r="AE356" s="1398"/>
    </row>
    <row r="357" spans="1:31" ht="15" customHeight="1" x14ac:dyDescent="0.3">
      <c r="A357" s="1398"/>
      <c r="B357" s="2162" t="s">
        <v>2543</v>
      </c>
      <c r="C357" s="2151"/>
      <c r="D357" s="2151"/>
      <c r="E357" s="2151"/>
      <c r="F357" s="2151"/>
      <c r="G357" s="2151"/>
      <c r="H357" s="2151"/>
      <c r="I357" s="2151"/>
      <c r="J357" s="2157"/>
      <c r="K357" s="2151"/>
      <c r="L357" s="2157"/>
      <c r="M357" s="2151"/>
      <c r="N357" s="2157"/>
      <c r="O357" s="2157"/>
      <c r="P357" s="2157"/>
      <c r="Q357" s="2157"/>
      <c r="R357" s="1398"/>
      <c r="S357" s="1398"/>
      <c r="T357" s="1398"/>
      <c r="U357" s="1398"/>
      <c r="V357" s="1398"/>
      <c r="W357" s="1398"/>
      <c r="X357" s="1398"/>
      <c r="Y357" s="1398"/>
      <c r="Z357" s="1398"/>
      <c r="AA357" s="1398"/>
      <c r="AB357" s="1398"/>
      <c r="AC357" s="1398"/>
      <c r="AD357" s="1398"/>
      <c r="AE357" s="1398"/>
    </row>
    <row r="358" spans="1:31" ht="15" customHeight="1" x14ac:dyDescent="0.3">
      <c r="A358" s="1398"/>
      <c r="B358" s="2163" t="s">
        <v>1760</v>
      </c>
      <c r="C358" s="2151"/>
      <c r="D358" s="2151"/>
      <c r="E358" s="2151"/>
      <c r="F358" s="2151"/>
      <c r="G358" s="2151"/>
      <c r="H358" s="2151"/>
      <c r="I358" s="2151"/>
      <c r="J358" s="2157"/>
      <c r="K358" s="2151"/>
      <c r="L358" s="2157"/>
      <c r="M358" s="2151"/>
      <c r="N358" s="2157"/>
      <c r="O358" s="2157"/>
      <c r="P358" s="2157"/>
      <c r="Q358" s="2157"/>
      <c r="R358" s="1398"/>
      <c r="S358" s="1398"/>
      <c r="T358" s="1398"/>
      <c r="U358" s="1398"/>
      <c r="V358" s="1398"/>
      <c r="W358" s="1398"/>
      <c r="X358" s="1398"/>
      <c r="Y358" s="1398"/>
      <c r="Z358" s="1398"/>
      <c r="AA358" s="1398"/>
      <c r="AB358" s="1398"/>
      <c r="AC358" s="1398"/>
      <c r="AD358" s="1398"/>
      <c r="AE358" s="1398"/>
    </row>
    <row r="359" spans="1:31" ht="15" customHeight="1" x14ac:dyDescent="0.3">
      <c r="A359" s="1398"/>
      <c r="B359" s="2162" t="s">
        <v>2543</v>
      </c>
      <c r="C359" s="2151"/>
      <c r="D359" s="2151"/>
      <c r="E359" s="2151"/>
      <c r="F359" s="2151"/>
      <c r="G359" s="2151"/>
      <c r="H359" s="2151"/>
      <c r="I359" s="2151"/>
      <c r="J359" s="2157"/>
      <c r="K359" s="2151"/>
      <c r="L359" s="2157"/>
      <c r="M359" s="2151"/>
      <c r="N359" s="2157"/>
      <c r="O359" s="2157"/>
      <c r="P359" s="2157"/>
      <c r="Q359" s="2157"/>
      <c r="R359" s="1398"/>
      <c r="S359" s="1398"/>
      <c r="T359" s="1398"/>
      <c r="U359" s="1398"/>
      <c r="V359" s="1398"/>
      <c r="W359" s="1398"/>
      <c r="X359" s="1398"/>
      <c r="Y359" s="1398"/>
      <c r="Z359" s="1398"/>
      <c r="AA359" s="1398"/>
      <c r="AB359" s="1398"/>
      <c r="AC359" s="1398"/>
      <c r="AD359" s="1398"/>
      <c r="AE359" s="1398"/>
    </row>
    <row r="360" spans="1:31" ht="15" customHeight="1" x14ac:dyDescent="0.35">
      <c r="A360" s="1398"/>
      <c r="B360" s="2164" t="s">
        <v>2545</v>
      </c>
      <c r="C360" s="2159" t="str">
        <f t="shared" ref="C360:I360" si="50">IF(AND(ISNUMBER(C361),ISNUMBER(C363)),C361+C363,"")</f>
        <v/>
      </c>
      <c r="D360" s="2159" t="str">
        <f t="shared" si="50"/>
        <v/>
      </c>
      <c r="E360" s="2159" t="str">
        <f t="shared" si="50"/>
        <v/>
      </c>
      <c r="F360" s="2159" t="str">
        <f t="shared" si="50"/>
        <v/>
      </c>
      <c r="G360" s="2159" t="str">
        <f t="shared" si="50"/>
        <v/>
      </c>
      <c r="H360" s="2159" t="str">
        <f t="shared" si="50"/>
        <v/>
      </c>
      <c r="I360" s="2159" t="str">
        <f t="shared" si="50"/>
        <v/>
      </c>
      <c r="J360" s="2157"/>
      <c r="K360" s="2159" t="str">
        <f>IF(AND(ISNUMBER(K361),ISNUMBER(K363)),K361+K363,"")</f>
        <v/>
      </c>
      <c r="L360" s="2157"/>
      <c r="M360" s="2159" t="str">
        <f>IF(AND(ISNUMBER(M361),ISNUMBER(M363)),M361+M363,"")</f>
        <v/>
      </c>
      <c r="N360" s="2157"/>
      <c r="O360" s="2157"/>
      <c r="P360" s="2157"/>
      <c r="Q360" s="2157"/>
      <c r="R360" s="1398"/>
      <c r="S360" s="1398"/>
      <c r="T360" s="1398"/>
      <c r="U360" s="1398"/>
      <c r="V360" s="1398"/>
      <c r="W360" s="1398"/>
      <c r="X360" s="1398"/>
      <c r="Y360" s="1398"/>
      <c r="Z360" s="1398"/>
      <c r="AA360" s="1398"/>
      <c r="AB360" s="1398"/>
      <c r="AC360" s="1398"/>
      <c r="AD360" s="1398"/>
      <c r="AE360" s="1398"/>
    </row>
    <row r="361" spans="1:31" ht="15" customHeight="1" x14ac:dyDescent="0.3">
      <c r="A361" s="1398"/>
      <c r="B361" s="2163" t="s">
        <v>2544</v>
      </c>
      <c r="C361" s="2151"/>
      <c r="D361" s="2151"/>
      <c r="E361" s="2151"/>
      <c r="F361" s="2151"/>
      <c r="G361" s="2151"/>
      <c r="H361" s="2151"/>
      <c r="I361" s="2151"/>
      <c r="J361" s="2157"/>
      <c r="K361" s="2151"/>
      <c r="L361" s="2157"/>
      <c r="M361" s="2151"/>
      <c r="N361" s="2157"/>
      <c r="O361" s="2157"/>
      <c r="P361" s="2157"/>
      <c r="Q361" s="2157"/>
      <c r="R361" s="1398"/>
      <c r="S361" s="1398"/>
      <c r="T361" s="1398"/>
      <c r="U361" s="1398"/>
      <c r="V361" s="1398"/>
      <c r="W361" s="1398"/>
      <c r="X361" s="1398"/>
      <c r="Y361" s="1398"/>
      <c r="Z361" s="1398"/>
      <c r="AA361" s="1398"/>
      <c r="AB361" s="1398"/>
      <c r="AC361" s="1398"/>
      <c r="AD361" s="1398"/>
      <c r="AE361" s="1398"/>
    </row>
    <row r="362" spans="1:31" ht="15" customHeight="1" x14ac:dyDescent="0.3">
      <c r="A362" s="1398"/>
      <c r="B362" s="2162" t="s">
        <v>2543</v>
      </c>
      <c r="C362" s="2151"/>
      <c r="D362" s="2151"/>
      <c r="E362" s="2151"/>
      <c r="F362" s="2151"/>
      <c r="G362" s="2151"/>
      <c r="H362" s="2151"/>
      <c r="I362" s="2151"/>
      <c r="J362" s="2157"/>
      <c r="K362" s="2151"/>
      <c r="L362" s="2157"/>
      <c r="M362" s="2151"/>
      <c r="N362" s="2157"/>
      <c r="O362" s="2157"/>
      <c r="P362" s="2157"/>
      <c r="Q362" s="2157"/>
      <c r="R362" s="1398"/>
      <c r="S362" s="1398"/>
      <c r="T362" s="1398"/>
      <c r="U362" s="1398"/>
      <c r="V362" s="1398"/>
      <c r="W362" s="1398"/>
      <c r="X362" s="1398"/>
      <c r="Y362" s="1398"/>
      <c r="Z362" s="1398"/>
      <c r="AA362" s="1398"/>
      <c r="AB362" s="1398"/>
      <c r="AC362" s="1398"/>
      <c r="AD362" s="1398"/>
      <c r="AE362" s="1398"/>
    </row>
    <row r="363" spans="1:31" ht="15" customHeight="1" x14ac:dyDescent="0.3">
      <c r="A363" s="1398"/>
      <c r="B363" s="2163" t="s">
        <v>1760</v>
      </c>
      <c r="C363" s="2151"/>
      <c r="D363" s="2151"/>
      <c r="E363" s="2151"/>
      <c r="F363" s="2151"/>
      <c r="G363" s="2151"/>
      <c r="H363" s="2151"/>
      <c r="I363" s="2151"/>
      <c r="J363" s="2157"/>
      <c r="K363" s="2151"/>
      <c r="L363" s="2157"/>
      <c r="M363" s="2151"/>
      <c r="N363" s="2157"/>
      <c r="O363" s="2157"/>
      <c r="P363" s="2157"/>
      <c r="Q363" s="2157"/>
      <c r="R363" s="1398"/>
      <c r="S363" s="1398"/>
      <c r="T363" s="1398"/>
      <c r="U363" s="1398"/>
      <c r="V363" s="1398"/>
      <c r="W363" s="1398"/>
      <c r="X363" s="1398"/>
      <c r="Y363" s="1398"/>
      <c r="Z363" s="1398"/>
      <c r="AA363" s="1398"/>
      <c r="AB363" s="1398"/>
      <c r="AC363" s="1398"/>
      <c r="AD363" s="1398"/>
      <c r="AE363" s="1398"/>
    </row>
    <row r="364" spans="1:31" ht="15" customHeight="1" x14ac:dyDescent="0.3">
      <c r="A364" s="1398"/>
      <c r="B364" s="2162" t="s">
        <v>2543</v>
      </c>
      <c r="C364" s="2151"/>
      <c r="D364" s="2151"/>
      <c r="E364" s="2151"/>
      <c r="F364" s="2151"/>
      <c r="G364" s="2151"/>
      <c r="H364" s="2151"/>
      <c r="I364" s="2151"/>
      <c r="J364" s="2157"/>
      <c r="K364" s="2151"/>
      <c r="L364" s="2157"/>
      <c r="M364" s="2151"/>
      <c r="N364" s="2157"/>
      <c r="O364" s="2157"/>
      <c r="P364" s="2157"/>
      <c r="Q364" s="2157"/>
      <c r="R364" s="1398"/>
      <c r="S364" s="1398"/>
      <c r="T364" s="1398"/>
      <c r="U364" s="1398"/>
      <c r="V364" s="1398"/>
      <c r="W364" s="1398"/>
      <c r="X364" s="1398"/>
      <c r="Y364" s="1398"/>
      <c r="Z364" s="1398"/>
      <c r="AA364" s="1398"/>
      <c r="AB364" s="1398"/>
      <c r="AC364" s="1398"/>
      <c r="AD364" s="1398"/>
      <c r="AE364" s="1398"/>
    </row>
    <row r="365" spans="1:31" ht="15" customHeight="1" x14ac:dyDescent="0.3">
      <c r="A365" s="1398"/>
      <c r="B365" s="2164" t="s">
        <v>1941</v>
      </c>
      <c r="C365" s="2151"/>
      <c r="D365" s="2151"/>
      <c r="E365" s="2151"/>
      <c r="F365" s="2151"/>
      <c r="G365" s="2151"/>
      <c r="H365" s="2151"/>
      <c r="I365" s="2151"/>
      <c r="J365" s="2157"/>
      <c r="K365" s="2151"/>
      <c r="L365" s="2157"/>
      <c r="M365" s="2151"/>
      <c r="N365" s="2157"/>
      <c r="O365" s="2157"/>
      <c r="P365" s="2157"/>
      <c r="Q365" s="2157"/>
      <c r="R365" s="1398"/>
      <c r="S365" s="1398"/>
      <c r="T365" s="1398"/>
      <c r="U365" s="1398"/>
      <c r="V365" s="1398"/>
      <c r="W365" s="1398"/>
      <c r="X365" s="1398"/>
      <c r="Y365" s="1398"/>
      <c r="Z365" s="1398"/>
      <c r="AA365" s="1398"/>
      <c r="AB365" s="1398"/>
      <c r="AC365" s="1398"/>
      <c r="AD365" s="1398"/>
      <c r="AE365" s="1398"/>
    </row>
    <row r="366" spans="1:31" ht="15" customHeight="1" x14ac:dyDescent="0.35">
      <c r="A366" s="1398"/>
      <c r="B366" s="2164" t="s">
        <v>2542</v>
      </c>
      <c r="C366" s="2159" t="str">
        <f t="shared" ref="C366:I366" si="51">IF(AND(ISNUMBER(C367),ISNUMBER(C368)),C367+C368,"")</f>
        <v/>
      </c>
      <c r="D366" s="2159" t="str">
        <f t="shared" si="51"/>
        <v/>
      </c>
      <c r="E366" s="2159" t="str">
        <f t="shared" si="51"/>
        <v/>
      </c>
      <c r="F366" s="2159" t="str">
        <f t="shared" si="51"/>
        <v/>
      </c>
      <c r="G366" s="2159" t="str">
        <f t="shared" si="51"/>
        <v/>
      </c>
      <c r="H366" s="2159" t="str">
        <f t="shared" si="51"/>
        <v/>
      </c>
      <c r="I366" s="2159" t="str">
        <f t="shared" si="51"/>
        <v/>
      </c>
      <c r="J366" s="2157"/>
      <c r="K366" s="2159" t="str">
        <f>IF(AND(ISNUMBER(K367),ISNUMBER(K368)),K367+K368,"")</f>
        <v/>
      </c>
      <c r="L366" s="2157"/>
      <c r="M366" s="2159" t="str">
        <f>IF(AND(ISNUMBER(M367),ISNUMBER(M368)),M367+M368,"")</f>
        <v/>
      </c>
      <c r="N366" s="2157"/>
      <c r="O366" s="2157"/>
      <c r="P366" s="2157"/>
      <c r="Q366" s="2157"/>
      <c r="R366" s="1398"/>
      <c r="S366" s="1398"/>
      <c r="T366" s="1398"/>
      <c r="U366" s="1398"/>
      <c r="V366" s="1398"/>
      <c r="W366" s="1398"/>
      <c r="X366" s="1398"/>
      <c r="Y366" s="1398"/>
      <c r="Z366" s="1398"/>
      <c r="AA366" s="1398"/>
      <c r="AB366" s="1398"/>
      <c r="AC366" s="1398"/>
      <c r="AD366" s="1398"/>
      <c r="AE366" s="1398"/>
    </row>
    <row r="367" spans="1:31" ht="15" customHeight="1" x14ac:dyDescent="0.3">
      <c r="A367" s="1398"/>
      <c r="B367" s="2163" t="s">
        <v>2541</v>
      </c>
      <c r="C367" s="2151"/>
      <c r="D367" s="2151"/>
      <c r="E367" s="2151"/>
      <c r="F367" s="2151"/>
      <c r="G367" s="2151"/>
      <c r="H367" s="2151"/>
      <c r="I367" s="2151"/>
      <c r="J367" s="2157"/>
      <c r="K367" s="2151"/>
      <c r="L367" s="2157"/>
      <c r="M367" s="2151"/>
      <c r="N367" s="2157"/>
      <c r="O367" s="2157"/>
      <c r="P367" s="2157"/>
      <c r="Q367" s="2157"/>
      <c r="R367" s="1398"/>
      <c r="S367" s="1398"/>
      <c r="T367" s="1398"/>
      <c r="U367" s="1398"/>
      <c r="V367" s="1398"/>
      <c r="W367" s="1398"/>
      <c r="X367" s="1398"/>
      <c r="Y367" s="1398"/>
      <c r="Z367" s="1398"/>
      <c r="AA367" s="1398"/>
      <c r="AB367" s="1398"/>
      <c r="AC367" s="1398"/>
      <c r="AD367" s="1398"/>
      <c r="AE367" s="1398"/>
    </row>
    <row r="368" spans="1:31" ht="15" customHeight="1" x14ac:dyDescent="0.3">
      <c r="A368" s="1398"/>
      <c r="B368" s="2163" t="s">
        <v>1760</v>
      </c>
      <c r="C368" s="2151"/>
      <c r="D368" s="2151"/>
      <c r="E368" s="2151"/>
      <c r="F368" s="2151"/>
      <c r="G368" s="2151"/>
      <c r="H368" s="2151"/>
      <c r="I368" s="2151"/>
      <c r="J368" s="2157"/>
      <c r="K368" s="2151"/>
      <c r="L368" s="2157"/>
      <c r="M368" s="2151"/>
      <c r="N368" s="2157"/>
      <c r="O368" s="2157"/>
      <c r="P368" s="2157"/>
      <c r="Q368" s="2157"/>
      <c r="R368" s="1398"/>
      <c r="S368" s="1398"/>
      <c r="T368" s="1398"/>
      <c r="U368" s="1398"/>
      <c r="V368" s="1398"/>
      <c r="W368" s="1398"/>
      <c r="X368" s="1398"/>
      <c r="Y368" s="1398"/>
      <c r="Z368" s="1398"/>
      <c r="AA368" s="1398"/>
      <c r="AB368" s="1398"/>
      <c r="AC368" s="1398"/>
      <c r="AD368" s="1398"/>
      <c r="AE368" s="1398"/>
    </row>
    <row r="369" spans="1:31" ht="15" customHeight="1" x14ac:dyDescent="0.35">
      <c r="A369" s="1398"/>
      <c r="B369" s="2164" t="s">
        <v>2540</v>
      </c>
      <c r="C369" s="2159" t="str">
        <f t="shared" ref="C369:I369" si="52">IF(AND(ISNUMBER(C370),ISNUMBER(C371)),C370+C371,"")</f>
        <v/>
      </c>
      <c r="D369" s="2159" t="str">
        <f t="shared" si="52"/>
        <v/>
      </c>
      <c r="E369" s="2159" t="str">
        <f t="shared" si="52"/>
        <v/>
      </c>
      <c r="F369" s="2159" t="str">
        <f t="shared" si="52"/>
        <v/>
      </c>
      <c r="G369" s="2159" t="str">
        <f t="shared" si="52"/>
        <v/>
      </c>
      <c r="H369" s="2159" t="str">
        <f t="shared" si="52"/>
        <v/>
      </c>
      <c r="I369" s="2159" t="str">
        <f t="shared" si="52"/>
        <v/>
      </c>
      <c r="J369" s="2157"/>
      <c r="K369" s="2159" t="str">
        <f>IF(AND(ISNUMBER(K370),ISNUMBER(K371)),K370+K371,"")</f>
        <v/>
      </c>
      <c r="L369" s="2157"/>
      <c r="M369" s="2159" t="str">
        <f>IF(AND(ISNUMBER(M370),ISNUMBER(M371)),M370+M371,"")</f>
        <v/>
      </c>
      <c r="N369" s="2157"/>
      <c r="O369" s="2157"/>
      <c r="P369" s="2157"/>
      <c r="Q369" s="2157"/>
      <c r="R369" s="1398"/>
      <c r="S369" s="1398"/>
      <c r="T369" s="1398"/>
      <c r="U369" s="1398"/>
      <c r="V369" s="1398"/>
      <c r="W369" s="1398"/>
      <c r="X369" s="1398"/>
      <c r="Y369" s="1398"/>
      <c r="Z369" s="1398"/>
      <c r="AA369" s="1398"/>
      <c r="AB369" s="1398"/>
      <c r="AC369" s="1398"/>
      <c r="AD369" s="1398"/>
      <c r="AE369" s="1398"/>
    </row>
    <row r="370" spans="1:31" ht="15" customHeight="1" x14ac:dyDescent="0.3">
      <c r="A370" s="1398"/>
      <c r="B370" s="2163" t="s">
        <v>2539</v>
      </c>
      <c r="C370" s="2151"/>
      <c r="D370" s="2151"/>
      <c r="E370" s="2151"/>
      <c r="F370" s="2151"/>
      <c r="G370" s="2151"/>
      <c r="H370" s="2151"/>
      <c r="I370" s="2151"/>
      <c r="J370" s="2157"/>
      <c r="K370" s="2151"/>
      <c r="L370" s="2157"/>
      <c r="M370" s="2151"/>
      <c r="N370" s="2157"/>
      <c r="O370" s="2157"/>
      <c r="P370" s="2157"/>
      <c r="Q370" s="2157"/>
      <c r="R370" s="1398"/>
      <c r="S370" s="1398"/>
      <c r="T370" s="1398"/>
      <c r="U370" s="1398"/>
      <c r="V370" s="1398"/>
      <c r="W370" s="1398"/>
      <c r="X370" s="1398"/>
      <c r="Y370" s="1398"/>
      <c r="Z370" s="1398"/>
      <c r="AA370" s="1398"/>
      <c r="AB370" s="1398"/>
      <c r="AC370" s="1398"/>
      <c r="AD370" s="1398"/>
      <c r="AE370" s="1398"/>
    </row>
    <row r="371" spans="1:31" ht="15" customHeight="1" x14ac:dyDescent="0.3">
      <c r="A371" s="1398"/>
      <c r="B371" s="2163" t="s">
        <v>1760</v>
      </c>
      <c r="C371" s="2151"/>
      <c r="D371" s="2151"/>
      <c r="E371" s="2151"/>
      <c r="F371" s="2151"/>
      <c r="G371" s="2151"/>
      <c r="H371" s="2151"/>
      <c r="I371" s="2151"/>
      <c r="J371" s="2157"/>
      <c r="K371" s="2151"/>
      <c r="L371" s="2157"/>
      <c r="M371" s="2151"/>
      <c r="N371" s="2157"/>
      <c r="O371" s="2157"/>
      <c r="P371" s="2157"/>
      <c r="Q371" s="2157"/>
      <c r="R371" s="1398"/>
      <c r="S371" s="1398"/>
      <c r="T371" s="1398"/>
      <c r="U371" s="1398"/>
      <c r="V371" s="1398"/>
      <c r="W371" s="1398"/>
      <c r="X371" s="1398"/>
      <c r="Y371" s="1398"/>
      <c r="Z371" s="1398"/>
      <c r="AA371" s="1398"/>
      <c r="AB371" s="1398"/>
      <c r="AC371" s="1398"/>
      <c r="AD371" s="1398"/>
      <c r="AE371" s="1398"/>
    </row>
    <row r="372" spans="1:31" ht="15" customHeight="1" x14ac:dyDescent="0.35">
      <c r="A372" s="1398"/>
      <c r="B372" s="569" t="s">
        <v>59</v>
      </c>
      <c r="C372" s="2156">
        <f t="shared" ref="C372:Q372" si="53">IF(AND(ISNUMBER(C374),ISNUMBER(C373)),SUM(C373:C374),0)</f>
        <v>0</v>
      </c>
      <c r="D372" s="2156">
        <f t="shared" si="53"/>
        <v>0</v>
      </c>
      <c r="E372" s="2156">
        <f t="shared" si="53"/>
        <v>0</v>
      </c>
      <c r="F372" s="2156">
        <f t="shared" si="53"/>
        <v>0</v>
      </c>
      <c r="G372" s="2156">
        <f t="shared" si="53"/>
        <v>0</v>
      </c>
      <c r="H372" s="2156">
        <f t="shared" si="53"/>
        <v>0</v>
      </c>
      <c r="I372" s="2156">
        <f t="shared" si="53"/>
        <v>0</v>
      </c>
      <c r="J372" s="2156">
        <f t="shared" si="53"/>
        <v>0</v>
      </c>
      <c r="K372" s="2156">
        <f t="shared" si="53"/>
        <v>0</v>
      </c>
      <c r="L372" s="2156">
        <f t="shared" si="53"/>
        <v>0</v>
      </c>
      <c r="M372" s="2156">
        <f t="shared" si="53"/>
        <v>0</v>
      </c>
      <c r="N372" s="2156">
        <f t="shared" si="53"/>
        <v>0</v>
      </c>
      <c r="O372" s="2156">
        <f t="shared" si="53"/>
        <v>0</v>
      </c>
      <c r="P372" s="2156">
        <f t="shared" si="53"/>
        <v>0</v>
      </c>
      <c r="Q372" s="2156">
        <f t="shared" si="53"/>
        <v>0</v>
      </c>
      <c r="R372" s="1398"/>
      <c r="S372" s="1398"/>
      <c r="T372" s="1398"/>
      <c r="U372" s="1398"/>
      <c r="V372" s="1398"/>
      <c r="W372" s="1398"/>
      <c r="X372" s="1398"/>
      <c r="Y372" s="1398"/>
      <c r="Z372" s="1398"/>
      <c r="AA372" s="1398"/>
      <c r="AB372" s="1398"/>
      <c r="AC372" s="1398"/>
      <c r="AD372" s="1398"/>
      <c r="AE372" s="1398"/>
    </row>
    <row r="373" spans="1:31" ht="15" customHeight="1" x14ac:dyDescent="0.3">
      <c r="A373" s="1398"/>
      <c r="B373" s="2155" t="s">
        <v>2538</v>
      </c>
      <c r="C373" s="2151"/>
      <c r="D373" s="2151"/>
      <c r="E373" s="2151"/>
      <c r="F373" s="2151"/>
      <c r="G373" s="2151"/>
      <c r="H373" s="2151"/>
      <c r="I373" s="23"/>
      <c r="J373" s="2151"/>
      <c r="K373" s="2151"/>
      <c r="L373" s="2151"/>
      <c r="M373" s="2151"/>
      <c r="N373" s="2151"/>
      <c r="O373" s="2151"/>
      <c r="P373" s="2151"/>
      <c r="Q373" s="2151"/>
      <c r="R373" s="1398"/>
      <c r="S373" s="1398"/>
      <c r="T373" s="1398"/>
      <c r="U373" s="1398"/>
      <c r="V373" s="1398"/>
      <c r="W373" s="1398"/>
      <c r="X373" s="1398"/>
      <c r="Y373" s="1398"/>
      <c r="Z373" s="1398"/>
      <c r="AA373" s="1398"/>
      <c r="AB373" s="1398"/>
      <c r="AC373" s="1398"/>
      <c r="AD373" s="1398"/>
      <c r="AE373" s="1398"/>
    </row>
    <row r="374" spans="1:31" ht="15" customHeight="1" x14ac:dyDescent="0.3">
      <c r="A374" s="1398"/>
      <c r="B374" s="2155" t="s">
        <v>2537</v>
      </c>
      <c r="C374" s="2151"/>
      <c r="D374" s="2151"/>
      <c r="E374" s="2151"/>
      <c r="F374" s="2151"/>
      <c r="G374" s="2151"/>
      <c r="H374" s="2151"/>
      <c r="I374" s="23"/>
      <c r="J374" s="2151"/>
      <c r="K374" s="2151"/>
      <c r="L374" s="2151"/>
      <c r="M374" s="2151"/>
      <c r="N374" s="2151"/>
      <c r="O374" s="2151"/>
      <c r="P374" s="2151"/>
      <c r="Q374" s="2151"/>
      <c r="R374" s="1398"/>
      <c r="S374" s="1398"/>
      <c r="T374" s="1398"/>
      <c r="U374" s="1398"/>
      <c r="V374" s="1398"/>
      <c r="W374" s="1398"/>
      <c r="X374" s="1398"/>
      <c r="Y374" s="1398"/>
      <c r="Z374" s="1398"/>
      <c r="AA374" s="1398"/>
      <c r="AB374" s="1398"/>
      <c r="AC374" s="1398"/>
      <c r="AD374" s="1398"/>
      <c r="AE374" s="1398"/>
    </row>
    <row r="375" spans="1:31" ht="15" customHeight="1" x14ac:dyDescent="0.3">
      <c r="A375" s="1398"/>
      <c r="B375" s="2154" t="str">
        <f>"Check: row " &amp; ROW(B372) &amp;" = sum(row " &amp; ROW(B373) &amp; ", row "&amp; ROW(B374)&amp;")"</f>
        <v>Check: row 372 = sum(row 373, row 374)</v>
      </c>
      <c r="C375" s="2153" t="str">
        <f t="shared" ref="C375:Q375" si="54">IF(AND(ISNUMBER(C373), ISNUMBER(C374)), IF(C372=SUM(C373:C374), "Pass", "Fail"), "")</f>
        <v/>
      </c>
      <c r="D375" s="2153" t="str">
        <f t="shared" si="54"/>
        <v/>
      </c>
      <c r="E375" s="2153" t="str">
        <f t="shared" si="54"/>
        <v/>
      </c>
      <c r="F375" s="2153" t="str">
        <f t="shared" si="54"/>
        <v/>
      </c>
      <c r="G375" s="2153" t="str">
        <f t="shared" si="54"/>
        <v/>
      </c>
      <c r="H375" s="2153" t="str">
        <f t="shared" si="54"/>
        <v/>
      </c>
      <c r="I375" s="2153" t="str">
        <f t="shared" si="54"/>
        <v/>
      </c>
      <c r="J375" s="2153" t="str">
        <f t="shared" si="54"/>
        <v/>
      </c>
      <c r="K375" s="2153" t="str">
        <f t="shared" si="54"/>
        <v/>
      </c>
      <c r="L375" s="2153" t="str">
        <f t="shared" si="54"/>
        <v/>
      </c>
      <c r="M375" s="2153" t="str">
        <f t="shared" si="54"/>
        <v/>
      </c>
      <c r="N375" s="2153" t="str">
        <f t="shared" si="54"/>
        <v/>
      </c>
      <c r="O375" s="2153" t="str">
        <f t="shared" si="54"/>
        <v/>
      </c>
      <c r="P375" s="2153" t="str">
        <f t="shared" si="54"/>
        <v/>
      </c>
      <c r="Q375" s="2153" t="str">
        <f t="shared" si="54"/>
        <v/>
      </c>
      <c r="R375" s="1398"/>
      <c r="S375" s="1398"/>
      <c r="T375" s="1398"/>
      <c r="U375" s="1398"/>
      <c r="V375" s="1398"/>
      <c r="W375" s="1398"/>
      <c r="X375" s="1398"/>
      <c r="Y375" s="1398"/>
      <c r="Z375" s="1398"/>
      <c r="AA375" s="1398"/>
      <c r="AB375" s="1398"/>
      <c r="AC375" s="1398"/>
      <c r="AD375" s="1398"/>
      <c r="AE375" s="1398"/>
    </row>
    <row r="376" spans="1:31" ht="15" customHeight="1" x14ac:dyDescent="0.3">
      <c r="A376" s="1398"/>
      <c r="B376" s="2152" t="s">
        <v>2536</v>
      </c>
      <c r="C376" s="2151"/>
      <c r="D376" s="1398"/>
      <c r="E376" s="1398"/>
      <c r="F376" s="1398"/>
      <c r="G376" s="1398"/>
      <c r="H376" s="1398"/>
      <c r="I376" s="1398"/>
      <c r="J376" s="1398"/>
      <c r="K376" s="1398"/>
      <c r="L376" s="1398"/>
      <c r="M376" s="1398"/>
      <c r="N376" s="1398"/>
      <c r="O376" s="1398"/>
      <c r="P376" s="1398"/>
      <c r="Q376" s="1398"/>
      <c r="R376" s="1398"/>
      <c r="S376" s="1398"/>
      <c r="T376" s="1398"/>
      <c r="U376" s="1398"/>
      <c r="V376" s="1398"/>
      <c r="W376" s="1398"/>
      <c r="X376" s="1398"/>
      <c r="Y376" s="1398"/>
      <c r="Z376" s="1398"/>
      <c r="AA376" s="1398"/>
      <c r="AB376" s="1398"/>
      <c r="AC376" s="1398"/>
      <c r="AD376" s="1398"/>
      <c r="AE376" s="1398"/>
    </row>
    <row r="377" spans="1:31" ht="15" customHeight="1" x14ac:dyDescent="0.3">
      <c r="A377" s="1398"/>
      <c r="B377" s="2150" t="s">
        <v>2535</v>
      </c>
      <c r="C377" s="2149"/>
      <c r="D377" s="1398"/>
      <c r="E377" s="1398"/>
      <c r="F377" s="1398"/>
      <c r="G377" s="1398"/>
      <c r="H377" s="1398"/>
      <c r="I377" s="1398"/>
      <c r="J377" s="1398"/>
      <c r="K377" s="1398"/>
      <c r="L377" s="1398"/>
      <c r="M377" s="1398"/>
      <c r="N377" s="1398"/>
      <c r="O377" s="1398"/>
      <c r="P377" s="1398"/>
      <c r="Q377" s="1398"/>
      <c r="R377" s="1398"/>
      <c r="S377" s="1398"/>
      <c r="T377" s="1398"/>
      <c r="U377" s="1398"/>
      <c r="V377" s="1398"/>
      <c r="W377" s="1398"/>
      <c r="X377" s="1398"/>
      <c r="Y377" s="1398"/>
      <c r="Z377" s="1398"/>
      <c r="AA377" s="1398"/>
      <c r="AB377" s="1398"/>
      <c r="AC377" s="1398"/>
      <c r="AD377" s="1398"/>
      <c r="AE377" s="1398"/>
    </row>
    <row r="378" spans="1:31" ht="15" customHeight="1" x14ac:dyDescent="0.35">
      <c r="A378" s="1398"/>
      <c r="D378" s="1398"/>
      <c r="E378" s="1398"/>
      <c r="F378" s="1398"/>
      <c r="G378" s="1398"/>
      <c r="H378" s="1398"/>
      <c r="I378" s="1398"/>
      <c r="J378" s="1398"/>
      <c r="K378" s="1398"/>
      <c r="L378" s="1398"/>
      <c r="M378" s="1398"/>
      <c r="N378" s="1398"/>
      <c r="O378" s="1398"/>
      <c r="P378" s="1398"/>
      <c r="Q378" s="1398"/>
      <c r="R378" s="1398"/>
      <c r="S378" s="1398"/>
      <c r="T378" s="1398"/>
      <c r="U378" s="1398"/>
      <c r="V378" s="1398"/>
      <c r="W378" s="1398"/>
      <c r="X378" s="1398"/>
      <c r="Y378" s="1398"/>
      <c r="Z378" s="1398"/>
      <c r="AA378" s="1398"/>
      <c r="AB378" s="1398"/>
      <c r="AC378" s="1398"/>
      <c r="AD378" s="1398"/>
      <c r="AE378" s="1398"/>
    </row>
    <row r="379" spans="1:31" ht="19.5" customHeight="1" x14ac:dyDescent="0.3">
      <c r="A379" s="2196" t="s">
        <v>2581</v>
      </c>
      <c r="B379" s="2195"/>
      <c r="C379" s="2194" t="s">
        <v>2566</v>
      </c>
      <c r="D379" s="2173" t="str">
        <f>IF(ISBLANK($L$7),"",IF($L$7="No","Please leave Panel B"&amp;COLUMN($L$7)-2&amp;" empty","Please fill in Panel B"&amp;COLUMN($L$7)-2))</f>
        <v/>
      </c>
      <c r="E379" s="2193"/>
      <c r="F379" s="2193"/>
      <c r="G379" s="2193"/>
      <c r="H379" s="2193"/>
      <c r="I379" s="2193"/>
      <c r="J379" s="2193"/>
      <c r="K379" s="2193"/>
      <c r="L379" s="2193"/>
      <c r="M379" s="2193"/>
      <c r="N379" s="2193"/>
      <c r="O379" s="2193"/>
      <c r="P379" s="2193"/>
      <c r="Q379" s="2193"/>
      <c r="R379" s="1398"/>
      <c r="S379" s="1398"/>
      <c r="T379" s="1398"/>
      <c r="U379" s="1398"/>
      <c r="V379" s="1398"/>
      <c r="W379" s="1398"/>
      <c r="X379" s="1398"/>
      <c r="Y379" s="1398"/>
      <c r="Z379" s="1398"/>
      <c r="AA379" s="1398"/>
      <c r="AB379" s="1398"/>
      <c r="AC379" s="1398"/>
      <c r="AD379" s="1398"/>
      <c r="AE379" s="1398"/>
    </row>
    <row r="380" spans="1:31" ht="15" customHeight="1" x14ac:dyDescent="0.35">
      <c r="A380" s="1398"/>
      <c r="C380" s="2980" t="s">
        <v>207</v>
      </c>
      <c r="D380" s="2980"/>
      <c r="E380" s="2980"/>
      <c r="F380" s="2980"/>
      <c r="G380" s="2980"/>
      <c r="H380" s="2980"/>
      <c r="I380" s="2980"/>
      <c r="J380" s="2980"/>
      <c r="K380" s="2980"/>
      <c r="L380" s="2981"/>
      <c r="M380" s="2982" t="s">
        <v>2559</v>
      </c>
      <c r="N380" s="2984" t="s">
        <v>2565</v>
      </c>
      <c r="O380" s="2985"/>
      <c r="P380" s="2985"/>
      <c r="Q380" s="2985"/>
      <c r="R380" s="1398"/>
      <c r="S380" s="1398"/>
      <c r="T380" s="1398"/>
      <c r="U380" s="1398"/>
      <c r="V380" s="1398"/>
      <c r="W380" s="1398"/>
      <c r="X380" s="1398"/>
      <c r="Y380" s="1398"/>
      <c r="Z380" s="1398"/>
      <c r="AA380" s="1398"/>
      <c r="AB380" s="1398"/>
      <c r="AC380" s="1398"/>
      <c r="AD380" s="1398"/>
      <c r="AE380" s="1398"/>
    </row>
    <row r="381" spans="1:31" ht="15" customHeight="1" x14ac:dyDescent="0.35">
      <c r="A381" s="1398"/>
      <c r="B381" s="2172"/>
      <c r="C381" s="2967" t="s">
        <v>2564</v>
      </c>
      <c r="D381" s="2973" t="s">
        <v>465</v>
      </c>
      <c r="E381" s="2974"/>
      <c r="F381" s="2974"/>
      <c r="G381" s="2974"/>
      <c r="H381" s="2975"/>
      <c r="I381" s="2969" t="s">
        <v>2563</v>
      </c>
      <c r="J381" s="2969" t="s">
        <v>2562</v>
      </c>
      <c r="K381" s="2969" t="s">
        <v>2561</v>
      </c>
      <c r="L381" s="2969" t="s">
        <v>2560</v>
      </c>
      <c r="M381" s="2983"/>
      <c r="N381" s="2978" t="s">
        <v>207</v>
      </c>
      <c r="O381" s="2978" t="s">
        <v>2559</v>
      </c>
      <c r="P381" s="2969" t="s">
        <v>59</v>
      </c>
      <c r="Q381" s="2971" t="s">
        <v>2558</v>
      </c>
      <c r="R381" s="1398"/>
      <c r="S381" s="1398"/>
      <c r="T381" s="1398"/>
      <c r="U381" s="1398"/>
      <c r="V381" s="1398"/>
      <c r="W381" s="1398"/>
      <c r="X381" s="1398"/>
      <c r="Y381" s="1398"/>
      <c r="Z381" s="1398"/>
      <c r="AA381" s="1398"/>
      <c r="AB381" s="1398"/>
      <c r="AC381" s="1398"/>
      <c r="AD381" s="1398"/>
      <c r="AE381" s="1398"/>
    </row>
    <row r="382" spans="1:31" ht="48.6" customHeight="1" x14ac:dyDescent="0.35">
      <c r="A382" s="1398"/>
      <c r="B382" s="2171"/>
      <c r="C382" s="2968"/>
      <c r="D382" s="2170" t="s">
        <v>2557</v>
      </c>
      <c r="E382" s="2170" t="s">
        <v>2556</v>
      </c>
      <c r="F382" s="2170" t="s">
        <v>2555</v>
      </c>
      <c r="G382" s="2170" t="s">
        <v>2554</v>
      </c>
      <c r="H382" s="2170" t="s">
        <v>59</v>
      </c>
      <c r="I382" s="2970"/>
      <c r="J382" s="2970"/>
      <c r="K382" s="2970"/>
      <c r="L382" s="2970"/>
      <c r="M382" s="2970"/>
      <c r="N382" s="2979"/>
      <c r="O382" s="2979"/>
      <c r="P382" s="2970"/>
      <c r="Q382" s="2972"/>
      <c r="R382" s="1398"/>
      <c r="S382" s="1398"/>
      <c r="T382" s="1398"/>
      <c r="U382" s="1398"/>
      <c r="V382" s="1398"/>
      <c r="W382" s="1398"/>
      <c r="X382" s="1398"/>
      <c r="Y382" s="1398"/>
      <c r="Z382" s="1398"/>
      <c r="AA382" s="1398"/>
      <c r="AB382" s="1398"/>
      <c r="AC382" s="1398"/>
      <c r="AD382" s="1398"/>
      <c r="AE382" s="1398"/>
    </row>
    <row r="383" spans="1:31" ht="15" customHeight="1" x14ac:dyDescent="0.35">
      <c r="A383" s="1398"/>
      <c r="B383" s="2169" t="s">
        <v>2553</v>
      </c>
      <c r="C383" s="2168" t="str">
        <f t="shared" ref="C383:I383" si="55">IF(AND(ISNUMBER(C396),ISNUMBER(C392),ISNUMBER(C394),ISNUMBER(C384),ISNUMBER(C388),ISNUMBER(C386),ISNUMBER(C390),ISNUMBER(C398)),SUM(C384,C386,C388,C390,C392,C394,C396,C398),"")</f>
        <v/>
      </c>
      <c r="D383" s="2168" t="str">
        <f t="shared" si="55"/>
        <v/>
      </c>
      <c r="E383" s="2168" t="str">
        <f t="shared" si="55"/>
        <v/>
      </c>
      <c r="F383" s="2168" t="str">
        <f t="shared" si="55"/>
        <v/>
      </c>
      <c r="G383" s="2168" t="str">
        <f t="shared" si="55"/>
        <v/>
      </c>
      <c r="H383" s="2168" t="str">
        <f t="shared" si="55"/>
        <v/>
      </c>
      <c r="I383" s="2168" t="str">
        <f t="shared" si="55"/>
        <v/>
      </c>
      <c r="J383" s="2157"/>
      <c r="K383" s="2168" t="str">
        <f>IF(AND(ISNUMBER(K396),ISNUMBER(K392),ISNUMBER(K394),ISNUMBER(K384),ISNUMBER(K388),ISNUMBER(K386),ISNUMBER(K390),ISNUMBER(K398)),SUM(K384,K386,K388,K390,K392,K394,K396,K398),"")</f>
        <v/>
      </c>
      <c r="L383" s="2157"/>
      <c r="M383" s="2168" t="str">
        <f>IF(AND(ISNUMBER(M396),ISNUMBER(M392),ISNUMBER(M394),ISNUMBER(M384),ISNUMBER(M388),ISNUMBER(M386),ISNUMBER(M390),ISNUMBER(M398)),SUM(M384,M386,M388,M390,M392,M394,M396,M398),"")</f>
        <v/>
      </c>
      <c r="N383" s="2167"/>
      <c r="O383" s="2167"/>
      <c r="P383" s="2167"/>
      <c r="Q383" s="2167"/>
      <c r="R383" s="1398"/>
      <c r="S383" s="1398"/>
      <c r="T383" s="1398"/>
      <c r="U383" s="1398"/>
      <c r="V383" s="1398"/>
      <c r="W383" s="1398"/>
      <c r="X383" s="1398"/>
      <c r="Y383" s="1398"/>
      <c r="Z383" s="1398"/>
      <c r="AA383" s="1398"/>
      <c r="AB383" s="1398"/>
      <c r="AC383" s="1398"/>
      <c r="AD383" s="1398"/>
      <c r="AE383" s="1398"/>
    </row>
    <row r="384" spans="1:31" ht="15" customHeight="1" x14ac:dyDescent="0.3">
      <c r="A384" s="1398"/>
      <c r="B384" s="2155" t="s">
        <v>2552</v>
      </c>
      <c r="C384" s="2151"/>
      <c r="D384" s="2151"/>
      <c r="E384" s="2151"/>
      <c r="F384" s="2151"/>
      <c r="G384" s="2151"/>
      <c r="H384" s="2151"/>
      <c r="I384" s="2151"/>
      <c r="J384" s="2157"/>
      <c r="K384" s="2151"/>
      <c r="L384" s="2157"/>
      <c r="M384" s="2151"/>
      <c r="N384" s="2157"/>
      <c r="O384" s="2157"/>
      <c r="P384" s="2157"/>
      <c r="Q384" s="2157"/>
      <c r="R384" s="1398"/>
      <c r="S384" s="1398"/>
      <c r="T384" s="1398"/>
      <c r="U384" s="1398"/>
      <c r="V384" s="1398"/>
      <c r="W384" s="1398"/>
      <c r="X384" s="1398"/>
      <c r="Y384" s="1398"/>
      <c r="Z384" s="1398"/>
      <c r="AA384" s="1398"/>
      <c r="AB384" s="1398"/>
      <c r="AC384" s="1398"/>
      <c r="AD384" s="1398"/>
      <c r="AE384" s="1398"/>
    </row>
    <row r="385" spans="1:31" ht="15" customHeight="1" x14ac:dyDescent="0.3">
      <c r="A385" s="1398"/>
      <c r="B385" s="2165" t="s">
        <v>2543</v>
      </c>
      <c r="C385" s="2151"/>
      <c r="D385" s="2151"/>
      <c r="E385" s="2151"/>
      <c r="F385" s="2151"/>
      <c r="G385" s="2151"/>
      <c r="H385" s="2151"/>
      <c r="I385" s="2151"/>
      <c r="J385" s="2157"/>
      <c r="K385" s="2151"/>
      <c r="L385" s="2157"/>
      <c r="M385" s="2151"/>
      <c r="N385" s="2157"/>
      <c r="O385" s="2157"/>
      <c r="P385" s="2157"/>
      <c r="Q385" s="2157"/>
      <c r="R385" s="1398"/>
      <c r="S385" s="1398"/>
      <c r="T385" s="1398"/>
      <c r="U385" s="1398"/>
      <c r="V385" s="1398"/>
      <c r="W385" s="1398"/>
      <c r="X385" s="1398"/>
      <c r="Y385" s="1398"/>
      <c r="Z385" s="1398"/>
      <c r="AA385" s="1398"/>
      <c r="AB385" s="1398"/>
      <c r="AC385" s="1398"/>
      <c r="AD385" s="1398"/>
      <c r="AE385" s="1398"/>
    </row>
    <row r="386" spans="1:31" ht="15" customHeight="1" x14ac:dyDescent="0.3">
      <c r="A386" s="1398"/>
      <c r="B386" s="2163" t="s">
        <v>2551</v>
      </c>
      <c r="C386" s="2151"/>
      <c r="D386" s="2151"/>
      <c r="E386" s="2151"/>
      <c r="F386" s="2151"/>
      <c r="G386" s="2151"/>
      <c r="H386" s="2151"/>
      <c r="I386" s="2151"/>
      <c r="J386" s="2157"/>
      <c r="K386" s="2151"/>
      <c r="L386" s="2157"/>
      <c r="M386" s="2151"/>
      <c r="N386" s="2157"/>
      <c r="O386" s="2157"/>
      <c r="P386" s="2157"/>
      <c r="Q386" s="2157"/>
      <c r="R386" s="1398"/>
      <c r="S386" s="1398"/>
      <c r="T386" s="1398"/>
      <c r="U386" s="1398"/>
      <c r="V386" s="1398"/>
      <c r="W386" s="1398"/>
      <c r="X386" s="1398"/>
      <c r="Y386" s="1398"/>
      <c r="Z386" s="1398"/>
      <c r="AA386" s="1398"/>
      <c r="AB386" s="1398"/>
      <c r="AC386" s="1398"/>
      <c r="AD386" s="1398"/>
      <c r="AE386" s="1398"/>
    </row>
    <row r="387" spans="1:31" ht="15" customHeight="1" x14ac:dyDescent="0.3">
      <c r="A387" s="1398"/>
      <c r="B387" s="2162" t="s">
        <v>2543</v>
      </c>
      <c r="C387" s="2151"/>
      <c r="D387" s="2151"/>
      <c r="E387" s="2151"/>
      <c r="F387" s="2151"/>
      <c r="G387" s="2151"/>
      <c r="H387" s="2151"/>
      <c r="I387" s="2151"/>
      <c r="J387" s="2157"/>
      <c r="K387" s="2151"/>
      <c r="L387" s="2157"/>
      <c r="M387" s="2151"/>
      <c r="N387" s="2157"/>
      <c r="O387" s="2157"/>
      <c r="P387" s="2157"/>
      <c r="Q387" s="2157"/>
      <c r="R387" s="1398"/>
      <c r="S387" s="1398"/>
      <c r="T387" s="1398"/>
      <c r="U387" s="1398"/>
      <c r="V387" s="1398"/>
      <c r="W387" s="1398"/>
      <c r="X387" s="1398"/>
      <c r="Y387" s="1398"/>
      <c r="Z387" s="1398"/>
      <c r="AA387" s="1398"/>
      <c r="AB387" s="1398"/>
      <c r="AC387" s="1398"/>
      <c r="AD387" s="1398"/>
      <c r="AE387" s="1398"/>
    </row>
    <row r="388" spans="1:31" ht="15" customHeight="1" x14ac:dyDescent="0.3">
      <c r="A388" s="1398"/>
      <c r="B388" s="2155" t="s">
        <v>2550</v>
      </c>
      <c r="C388" s="2151"/>
      <c r="D388" s="2151"/>
      <c r="E388" s="2151"/>
      <c r="F388" s="2151"/>
      <c r="G388" s="2151"/>
      <c r="H388" s="2151"/>
      <c r="I388" s="2151"/>
      <c r="J388" s="2157"/>
      <c r="K388" s="2151"/>
      <c r="L388" s="2157"/>
      <c r="M388" s="2151"/>
      <c r="N388" s="2157"/>
      <c r="O388" s="2157"/>
      <c r="P388" s="2157"/>
      <c r="Q388" s="2157"/>
      <c r="R388" s="1398"/>
      <c r="S388" s="1398"/>
      <c r="T388" s="1398"/>
      <c r="U388" s="1398"/>
      <c r="V388" s="1398"/>
      <c r="W388" s="1398"/>
      <c r="X388" s="1398"/>
      <c r="Y388" s="1398"/>
      <c r="Z388" s="1398"/>
      <c r="AA388" s="1398"/>
      <c r="AB388" s="1398"/>
      <c r="AC388" s="1398"/>
      <c r="AD388" s="1398"/>
      <c r="AE388" s="1398"/>
    </row>
    <row r="389" spans="1:31" ht="15" customHeight="1" x14ac:dyDescent="0.3">
      <c r="A389" s="1398"/>
      <c r="B389" s="2165" t="s">
        <v>2543</v>
      </c>
      <c r="C389" s="2151"/>
      <c r="D389" s="2151"/>
      <c r="E389" s="2151"/>
      <c r="F389" s="2151"/>
      <c r="G389" s="2151"/>
      <c r="H389" s="2151"/>
      <c r="I389" s="2151"/>
      <c r="J389" s="2157"/>
      <c r="K389" s="2151"/>
      <c r="L389" s="2157"/>
      <c r="M389" s="2151"/>
      <c r="N389" s="2157"/>
      <c r="O389" s="2157"/>
      <c r="P389" s="2157"/>
      <c r="Q389" s="2157"/>
      <c r="R389" s="1398"/>
      <c r="S389" s="1398"/>
      <c r="T389" s="1398"/>
      <c r="U389" s="1398"/>
      <c r="V389" s="1398"/>
      <c r="W389" s="1398"/>
      <c r="X389" s="1398"/>
      <c r="Y389" s="1398"/>
      <c r="Z389" s="1398"/>
      <c r="AA389" s="1398"/>
      <c r="AB389" s="1398"/>
      <c r="AC389" s="1398"/>
      <c r="AD389" s="1398"/>
      <c r="AE389" s="1398"/>
    </row>
    <row r="390" spans="1:31" ht="15" customHeight="1" x14ac:dyDescent="0.3">
      <c r="A390" s="1398"/>
      <c r="B390" s="2163" t="s">
        <v>2549</v>
      </c>
      <c r="C390" s="2151"/>
      <c r="D390" s="2151"/>
      <c r="E390" s="2151"/>
      <c r="F390" s="2151"/>
      <c r="G390" s="2151"/>
      <c r="H390" s="2151"/>
      <c r="I390" s="2151"/>
      <c r="J390" s="2157"/>
      <c r="K390" s="2151"/>
      <c r="L390" s="2157"/>
      <c r="M390" s="2151"/>
      <c r="N390" s="2157"/>
      <c r="O390" s="2157"/>
      <c r="P390" s="2157"/>
      <c r="Q390" s="2157"/>
      <c r="R390" s="1398"/>
      <c r="S390" s="1398"/>
      <c r="T390" s="1398"/>
      <c r="U390" s="1398"/>
      <c r="V390" s="1398"/>
      <c r="W390" s="1398"/>
      <c r="X390" s="1398"/>
      <c r="Y390" s="1398"/>
      <c r="Z390" s="1398"/>
      <c r="AA390" s="1398"/>
      <c r="AB390" s="1398"/>
      <c r="AC390" s="1398"/>
      <c r="AD390" s="1398"/>
      <c r="AE390" s="1398"/>
    </row>
    <row r="391" spans="1:31" ht="15" customHeight="1" x14ac:dyDescent="0.3">
      <c r="A391" s="1398"/>
      <c r="B391" s="2162" t="s">
        <v>2543</v>
      </c>
      <c r="C391" s="2151"/>
      <c r="D391" s="2151"/>
      <c r="E391" s="2151"/>
      <c r="F391" s="2151"/>
      <c r="G391" s="2151"/>
      <c r="H391" s="2151"/>
      <c r="I391" s="2151"/>
      <c r="J391" s="2157"/>
      <c r="K391" s="2151"/>
      <c r="L391" s="2157"/>
      <c r="M391" s="2151"/>
      <c r="N391" s="2157"/>
      <c r="O391" s="2157"/>
      <c r="P391" s="2157"/>
      <c r="Q391" s="2157"/>
      <c r="R391" s="1398"/>
      <c r="S391" s="1398"/>
      <c r="T391" s="1398"/>
      <c r="U391" s="1398"/>
      <c r="V391" s="1398"/>
      <c r="W391" s="1398"/>
      <c r="X391" s="1398"/>
      <c r="Y391" s="1398"/>
      <c r="Z391" s="1398"/>
      <c r="AA391" s="1398"/>
      <c r="AB391" s="1398"/>
      <c r="AC391" s="1398"/>
      <c r="AD391" s="1398"/>
      <c r="AE391" s="1398"/>
    </row>
    <row r="392" spans="1:31" ht="15" customHeight="1" x14ac:dyDescent="0.35">
      <c r="A392" s="1398"/>
      <c r="B392" s="2183" t="s">
        <v>2548</v>
      </c>
      <c r="C392" s="2151"/>
      <c r="D392" s="2151"/>
      <c r="E392" s="2151"/>
      <c r="F392" s="2151"/>
      <c r="G392" s="2151"/>
      <c r="H392" s="2151"/>
      <c r="I392" s="2151"/>
      <c r="J392" s="2157"/>
      <c r="K392" s="2151"/>
      <c r="L392" s="2157"/>
      <c r="M392" s="2151"/>
      <c r="N392" s="2157"/>
      <c r="O392" s="2157"/>
      <c r="P392" s="2157"/>
      <c r="Q392" s="2157"/>
      <c r="R392" s="1398"/>
      <c r="S392" s="1398"/>
      <c r="T392" s="1398"/>
      <c r="U392" s="1398"/>
      <c r="V392" s="1398"/>
      <c r="W392" s="1398"/>
      <c r="X392" s="1398"/>
      <c r="Y392" s="1398"/>
      <c r="Z392" s="1398"/>
      <c r="AA392" s="1398"/>
      <c r="AB392" s="1398"/>
      <c r="AC392" s="1398"/>
      <c r="AD392" s="1398"/>
      <c r="AE392" s="1398"/>
    </row>
    <row r="393" spans="1:31" ht="15" customHeight="1" x14ac:dyDescent="0.3">
      <c r="A393" s="1398"/>
      <c r="B393" s="2165" t="s">
        <v>2543</v>
      </c>
      <c r="C393" s="2151"/>
      <c r="D393" s="2151"/>
      <c r="E393" s="2151"/>
      <c r="F393" s="2151"/>
      <c r="G393" s="2151"/>
      <c r="H393" s="2151"/>
      <c r="I393" s="2151"/>
      <c r="J393" s="2157"/>
      <c r="K393" s="2151"/>
      <c r="L393" s="2157"/>
      <c r="M393" s="2151"/>
      <c r="N393" s="2157"/>
      <c r="O393" s="2157"/>
      <c r="P393" s="2157"/>
      <c r="Q393" s="2157"/>
      <c r="R393" s="1398"/>
      <c r="S393" s="1398"/>
      <c r="T393" s="1398"/>
      <c r="U393" s="1398"/>
      <c r="V393" s="1398"/>
      <c r="W393" s="1398"/>
      <c r="X393" s="1398"/>
      <c r="Y393" s="1398"/>
      <c r="Z393" s="1398"/>
      <c r="AA393" s="1398"/>
      <c r="AB393" s="1398"/>
      <c r="AC393" s="1398"/>
      <c r="AD393" s="1398"/>
      <c r="AE393" s="1398"/>
    </row>
    <row r="394" spans="1:31" ht="15" customHeight="1" x14ac:dyDescent="0.3">
      <c r="A394" s="1398"/>
      <c r="B394" s="2163" t="s">
        <v>2547</v>
      </c>
      <c r="C394" s="2151"/>
      <c r="D394" s="2151"/>
      <c r="E394" s="2151"/>
      <c r="F394" s="2151"/>
      <c r="G394" s="2151"/>
      <c r="H394" s="2151"/>
      <c r="I394" s="2151"/>
      <c r="J394" s="2157"/>
      <c r="K394" s="2151"/>
      <c r="L394" s="2157"/>
      <c r="M394" s="2151"/>
      <c r="N394" s="2157"/>
      <c r="O394" s="2157"/>
      <c r="P394" s="2157"/>
      <c r="Q394" s="2157"/>
      <c r="R394" s="1398"/>
      <c r="S394" s="1398"/>
      <c r="T394" s="1398"/>
      <c r="U394" s="1398"/>
      <c r="V394" s="1398"/>
      <c r="W394" s="1398"/>
      <c r="X394" s="1398"/>
      <c r="Y394" s="1398"/>
      <c r="Z394" s="1398"/>
      <c r="AA394" s="1398"/>
      <c r="AB394" s="1398"/>
      <c r="AC394" s="1398"/>
      <c r="AD394" s="1398"/>
      <c r="AE394" s="1398"/>
    </row>
    <row r="395" spans="1:31" ht="15" customHeight="1" x14ac:dyDescent="0.3">
      <c r="A395" s="1398"/>
      <c r="B395" s="2162" t="s">
        <v>2543</v>
      </c>
      <c r="C395" s="2151"/>
      <c r="D395" s="2151"/>
      <c r="E395" s="2151"/>
      <c r="F395" s="2151"/>
      <c r="G395" s="2151"/>
      <c r="H395" s="2151"/>
      <c r="I395" s="2151"/>
      <c r="J395" s="2157"/>
      <c r="K395" s="2151"/>
      <c r="L395" s="2157"/>
      <c r="M395" s="2151"/>
      <c r="N395" s="2157"/>
      <c r="O395" s="2157"/>
      <c r="P395" s="2157"/>
      <c r="Q395" s="2157"/>
      <c r="R395" s="1398"/>
      <c r="S395" s="1398"/>
      <c r="T395" s="1398"/>
      <c r="U395" s="1398"/>
      <c r="V395" s="1398"/>
      <c r="W395" s="1398"/>
      <c r="X395" s="1398"/>
      <c r="Y395" s="1398"/>
      <c r="Z395" s="1398"/>
      <c r="AA395" s="1398"/>
      <c r="AB395" s="1398"/>
      <c r="AC395" s="1398"/>
      <c r="AD395" s="1398"/>
      <c r="AE395" s="1398"/>
    </row>
    <row r="396" spans="1:31" ht="15" customHeight="1" x14ac:dyDescent="0.3">
      <c r="A396" s="1398"/>
      <c r="B396" s="2180" t="s">
        <v>2546</v>
      </c>
      <c r="C396" s="2151"/>
      <c r="D396" s="2151"/>
      <c r="E396" s="2151"/>
      <c r="F396" s="2151"/>
      <c r="G396" s="2151"/>
      <c r="H396" s="2151"/>
      <c r="I396" s="2151"/>
      <c r="J396" s="2157"/>
      <c r="K396" s="2151"/>
      <c r="L396" s="2157"/>
      <c r="M396" s="2151"/>
      <c r="N396" s="2157"/>
      <c r="O396" s="2157"/>
      <c r="P396" s="2157"/>
      <c r="Q396" s="2157"/>
      <c r="R396" s="1398"/>
      <c r="S396" s="1398"/>
      <c r="T396" s="1398"/>
      <c r="U396" s="1398"/>
      <c r="V396" s="1398"/>
      <c r="W396" s="1398"/>
      <c r="X396" s="1398"/>
      <c r="Y396" s="1398"/>
      <c r="Z396" s="1398"/>
      <c r="AA396" s="1398"/>
      <c r="AB396" s="1398"/>
      <c r="AC396" s="1398"/>
      <c r="AD396" s="1398"/>
      <c r="AE396" s="1398"/>
    </row>
    <row r="397" spans="1:31" ht="15" customHeight="1" x14ac:dyDescent="0.3">
      <c r="A397" s="1398"/>
      <c r="B397" s="2165" t="s">
        <v>2543</v>
      </c>
      <c r="C397" s="2151"/>
      <c r="D397" s="2151"/>
      <c r="E397" s="2151"/>
      <c r="F397" s="2151"/>
      <c r="G397" s="2151"/>
      <c r="H397" s="2151"/>
      <c r="I397" s="2151"/>
      <c r="J397" s="2157"/>
      <c r="K397" s="2151"/>
      <c r="L397" s="2157"/>
      <c r="M397" s="2151"/>
      <c r="N397" s="2157"/>
      <c r="O397" s="2157"/>
      <c r="P397" s="2157"/>
      <c r="Q397" s="2157"/>
      <c r="R397" s="1398"/>
      <c r="S397" s="1398"/>
      <c r="T397" s="1398"/>
      <c r="U397" s="1398"/>
      <c r="V397" s="1398"/>
      <c r="W397" s="1398"/>
      <c r="X397" s="1398"/>
      <c r="Y397" s="1398"/>
      <c r="Z397" s="1398"/>
      <c r="AA397" s="1398"/>
      <c r="AB397" s="1398"/>
      <c r="AC397" s="1398"/>
      <c r="AD397" s="1398"/>
      <c r="AE397" s="1398"/>
    </row>
    <row r="398" spans="1:31" ht="15" customHeight="1" x14ac:dyDescent="0.3">
      <c r="A398" s="1398"/>
      <c r="B398" s="2163" t="s">
        <v>1760</v>
      </c>
      <c r="C398" s="2151"/>
      <c r="D398" s="2151"/>
      <c r="E398" s="2151"/>
      <c r="F398" s="2151"/>
      <c r="G398" s="2151"/>
      <c r="H398" s="2151"/>
      <c r="I398" s="2151"/>
      <c r="J398" s="2157"/>
      <c r="K398" s="2151"/>
      <c r="L398" s="2157"/>
      <c r="M398" s="2151"/>
      <c r="N398" s="2157"/>
      <c r="O398" s="2157"/>
      <c r="P398" s="2157"/>
      <c r="Q398" s="2157"/>
      <c r="R398" s="1398"/>
      <c r="S398" s="1398"/>
      <c r="T398" s="1398"/>
      <c r="U398" s="1398"/>
      <c r="V398" s="1398"/>
      <c r="W398" s="1398"/>
      <c r="X398" s="1398"/>
      <c r="Y398" s="1398"/>
      <c r="Z398" s="1398"/>
      <c r="AA398" s="1398"/>
      <c r="AB398" s="1398"/>
      <c r="AC398" s="1398"/>
      <c r="AD398" s="1398"/>
      <c r="AE398" s="1398"/>
    </row>
    <row r="399" spans="1:31" ht="15" customHeight="1" x14ac:dyDescent="0.3">
      <c r="A399" s="1398"/>
      <c r="B399" s="2162" t="s">
        <v>2543</v>
      </c>
      <c r="C399" s="2151"/>
      <c r="D399" s="2151"/>
      <c r="E399" s="2151"/>
      <c r="F399" s="2151"/>
      <c r="G399" s="2151"/>
      <c r="H399" s="2151"/>
      <c r="I399" s="2151"/>
      <c r="J399" s="2157"/>
      <c r="K399" s="2151"/>
      <c r="L399" s="2157"/>
      <c r="M399" s="2151"/>
      <c r="N399" s="2157"/>
      <c r="O399" s="2157"/>
      <c r="P399" s="2157"/>
      <c r="Q399" s="2157"/>
      <c r="R399" s="1398"/>
      <c r="S399" s="1398"/>
      <c r="T399" s="1398"/>
      <c r="U399" s="1398"/>
      <c r="V399" s="1398"/>
      <c r="W399" s="1398"/>
      <c r="X399" s="1398"/>
      <c r="Y399" s="1398"/>
      <c r="Z399" s="1398"/>
      <c r="AA399" s="1398"/>
      <c r="AB399" s="1398"/>
      <c r="AC399" s="1398"/>
      <c r="AD399" s="1398"/>
      <c r="AE399" s="1398"/>
    </row>
    <row r="400" spans="1:31" ht="15" customHeight="1" x14ac:dyDescent="0.35">
      <c r="A400" s="1398"/>
      <c r="B400" s="2164" t="s">
        <v>2545</v>
      </c>
      <c r="C400" s="2159" t="str">
        <f t="shared" ref="C400:I400" si="56">IF(AND(ISNUMBER(C401),ISNUMBER(C403)),C401+C403,"")</f>
        <v/>
      </c>
      <c r="D400" s="2159" t="str">
        <f t="shared" si="56"/>
        <v/>
      </c>
      <c r="E400" s="2159" t="str">
        <f t="shared" si="56"/>
        <v/>
      </c>
      <c r="F400" s="2159" t="str">
        <f t="shared" si="56"/>
        <v/>
      </c>
      <c r="G400" s="2159" t="str">
        <f t="shared" si="56"/>
        <v/>
      </c>
      <c r="H400" s="2159" t="str">
        <f t="shared" si="56"/>
        <v/>
      </c>
      <c r="I400" s="2159" t="str">
        <f t="shared" si="56"/>
        <v/>
      </c>
      <c r="J400" s="2157"/>
      <c r="K400" s="2159" t="str">
        <f>IF(AND(ISNUMBER(K401),ISNUMBER(K403)),K401+K403,"")</f>
        <v/>
      </c>
      <c r="L400" s="2157"/>
      <c r="M400" s="2159" t="str">
        <f>IF(AND(ISNUMBER(M401),ISNUMBER(M403)),M401+M403,"")</f>
        <v/>
      </c>
      <c r="N400" s="2157"/>
      <c r="O400" s="2157"/>
      <c r="P400" s="2157"/>
      <c r="Q400" s="2157"/>
      <c r="R400" s="1398"/>
      <c r="S400" s="1398"/>
      <c r="T400" s="1398"/>
      <c r="U400" s="1398"/>
      <c r="V400" s="1398"/>
      <c r="W400" s="1398"/>
      <c r="X400" s="1398"/>
      <c r="Y400" s="1398"/>
      <c r="Z400" s="1398"/>
      <c r="AA400" s="1398"/>
      <c r="AB400" s="1398"/>
      <c r="AC400" s="1398"/>
      <c r="AD400" s="1398"/>
      <c r="AE400" s="1398"/>
    </row>
    <row r="401" spans="1:31" ht="15" customHeight="1" x14ac:dyDescent="0.3">
      <c r="A401" s="1398"/>
      <c r="B401" s="2163" t="s">
        <v>2544</v>
      </c>
      <c r="C401" s="2151"/>
      <c r="D401" s="2151"/>
      <c r="E401" s="2151"/>
      <c r="F401" s="2151"/>
      <c r="G401" s="2151"/>
      <c r="H401" s="2151"/>
      <c r="I401" s="2151"/>
      <c r="J401" s="2157"/>
      <c r="K401" s="2151"/>
      <c r="L401" s="2157"/>
      <c r="M401" s="2151"/>
      <c r="N401" s="2157"/>
      <c r="O401" s="2157"/>
      <c r="P401" s="2157"/>
      <c r="Q401" s="2157"/>
      <c r="R401" s="1398"/>
      <c r="S401" s="1398"/>
      <c r="T401" s="1398"/>
      <c r="U401" s="1398"/>
      <c r="V401" s="1398"/>
      <c r="W401" s="1398"/>
      <c r="X401" s="1398"/>
      <c r="Y401" s="1398"/>
      <c r="Z401" s="1398"/>
      <c r="AA401" s="1398"/>
      <c r="AB401" s="1398"/>
      <c r="AC401" s="1398"/>
      <c r="AD401" s="1398"/>
      <c r="AE401" s="1398"/>
    </row>
    <row r="402" spans="1:31" ht="15" customHeight="1" x14ac:dyDescent="0.3">
      <c r="A402" s="1398"/>
      <c r="B402" s="2162" t="s">
        <v>2543</v>
      </c>
      <c r="C402" s="2151"/>
      <c r="D402" s="2151"/>
      <c r="E402" s="2151"/>
      <c r="F402" s="2151"/>
      <c r="G402" s="2151"/>
      <c r="H402" s="2151"/>
      <c r="I402" s="2151"/>
      <c r="J402" s="2157"/>
      <c r="K402" s="2151"/>
      <c r="L402" s="2157"/>
      <c r="M402" s="2151"/>
      <c r="N402" s="2157"/>
      <c r="O402" s="2157"/>
      <c r="P402" s="2157"/>
      <c r="Q402" s="2157"/>
      <c r="R402" s="1398"/>
      <c r="S402" s="1398"/>
      <c r="T402" s="1398"/>
      <c r="U402" s="1398"/>
      <c r="V402" s="1398"/>
      <c r="W402" s="1398"/>
      <c r="X402" s="1398"/>
      <c r="Y402" s="1398"/>
      <c r="Z402" s="1398"/>
      <c r="AA402" s="1398"/>
      <c r="AB402" s="1398"/>
      <c r="AC402" s="1398"/>
      <c r="AD402" s="1398"/>
      <c r="AE402" s="1398"/>
    </row>
    <row r="403" spans="1:31" ht="15" customHeight="1" x14ac:dyDescent="0.3">
      <c r="A403" s="1398"/>
      <c r="B403" s="2163" t="s">
        <v>1760</v>
      </c>
      <c r="C403" s="2151"/>
      <c r="D403" s="2151"/>
      <c r="E403" s="2151"/>
      <c r="F403" s="2151"/>
      <c r="G403" s="2151"/>
      <c r="H403" s="2151"/>
      <c r="I403" s="2151"/>
      <c r="J403" s="2157"/>
      <c r="K403" s="2151"/>
      <c r="L403" s="2157"/>
      <c r="M403" s="2151"/>
      <c r="N403" s="2157"/>
      <c r="O403" s="2157"/>
      <c r="P403" s="2157"/>
      <c r="Q403" s="2157"/>
      <c r="R403" s="1398"/>
      <c r="S403" s="1398"/>
      <c r="T403" s="1398"/>
      <c r="U403" s="1398"/>
      <c r="V403" s="1398"/>
      <c r="W403" s="1398"/>
      <c r="X403" s="1398"/>
      <c r="Y403" s="1398"/>
      <c r="Z403" s="1398"/>
      <c r="AA403" s="1398"/>
      <c r="AB403" s="1398"/>
      <c r="AC403" s="1398"/>
      <c r="AD403" s="1398"/>
      <c r="AE403" s="1398"/>
    </row>
    <row r="404" spans="1:31" ht="15" customHeight="1" x14ac:dyDescent="0.3">
      <c r="A404" s="1398"/>
      <c r="B404" s="2162" t="s">
        <v>2543</v>
      </c>
      <c r="C404" s="2151"/>
      <c r="D404" s="2151"/>
      <c r="E404" s="2151"/>
      <c r="F404" s="2151"/>
      <c r="G404" s="2151"/>
      <c r="H404" s="2151"/>
      <c r="I404" s="2151"/>
      <c r="J404" s="2157"/>
      <c r="K404" s="2151"/>
      <c r="L404" s="2157"/>
      <c r="M404" s="2151"/>
      <c r="N404" s="2157"/>
      <c r="O404" s="2157"/>
      <c r="P404" s="2157"/>
      <c r="Q404" s="2157"/>
      <c r="R404" s="1398"/>
      <c r="S404" s="1398"/>
      <c r="T404" s="1398"/>
      <c r="U404" s="1398"/>
      <c r="V404" s="1398"/>
      <c r="W404" s="1398"/>
      <c r="X404" s="1398"/>
      <c r="Y404" s="1398"/>
      <c r="Z404" s="1398"/>
      <c r="AA404" s="1398"/>
      <c r="AB404" s="1398"/>
      <c r="AC404" s="1398"/>
      <c r="AD404" s="1398"/>
      <c r="AE404" s="1398"/>
    </row>
    <row r="405" spans="1:31" ht="15" customHeight="1" x14ac:dyDescent="0.3">
      <c r="A405" s="1398"/>
      <c r="B405" s="2164" t="s">
        <v>1941</v>
      </c>
      <c r="C405" s="2151"/>
      <c r="D405" s="2151"/>
      <c r="E405" s="2151"/>
      <c r="F405" s="2151"/>
      <c r="G405" s="2151"/>
      <c r="H405" s="2151"/>
      <c r="I405" s="2151"/>
      <c r="J405" s="2157"/>
      <c r="K405" s="2151"/>
      <c r="L405" s="2157"/>
      <c r="M405" s="2151"/>
      <c r="N405" s="2157"/>
      <c r="O405" s="2157"/>
      <c r="P405" s="2157"/>
      <c r="Q405" s="2157"/>
      <c r="R405" s="1398"/>
      <c r="S405" s="1398"/>
      <c r="T405" s="1398"/>
      <c r="U405" s="1398"/>
      <c r="V405" s="1398"/>
      <c r="W405" s="1398"/>
      <c r="X405" s="1398"/>
      <c r="Y405" s="1398"/>
      <c r="Z405" s="1398"/>
      <c r="AA405" s="1398"/>
      <c r="AB405" s="1398"/>
      <c r="AC405" s="1398"/>
      <c r="AD405" s="1398"/>
      <c r="AE405" s="1398"/>
    </row>
    <row r="406" spans="1:31" ht="15" customHeight="1" x14ac:dyDescent="0.35">
      <c r="A406" s="1398"/>
      <c r="B406" s="2181" t="s">
        <v>2542</v>
      </c>
      <c r="C406" s="2159" t="str">
        <f t="shared" ref="C406:I406" si="57">IF(AND(ISNUMBER(C407),ISNUMBER(C408)),C407+C408,"")</f>
        <v/>
      </c>
      <c r="D406" s="2159" t="str">
        <f t="shared" si="57"/>
        <v/>
      </c>
      <c r="E406" s="2159" t="str">
        <f t="shared" si="57"/>
        <v/>
      </c>
      <c r="F406" s="2159" t="str">
        <f t="shared" si="57"/>
        <v/>
      </c>
      <c r="G406" s="2159" t="str">
        <f t="shared" si="57"/>
        <v/>
      </c>
      <c r="H406" s="2159" t="str">
        <f t="shared" si="57"/>
        <v/>
      </c>
      <c r="I406" s="2159" t="str">
        <f t="shared" si="57"/>
        <v/>
      </c>
      <c r="J406" s="2157"/>
      <c r="K406" s="2159" t="str">
        <f>IF(AND(ISNUMBER(K407),ISNUMBER(K408)),K407+K408,"")</f>
        <v/>
      </c>
      <c r="L406" s="2157"/>
      <c r="M406" s="2159" t="str">
        <f>IF(AND(ISNUMBER(M407),ISNUMBER(M408)),M407+M408,"")</f>
        <v/>
      </c>
      <c r="N406" s="2157"/>
      <c r="O406" s="2157"/>
      <c r="P406" s="2157"/>
      <c r="Q406" s="2157"/>
      <c r="R406" s="1398"/>
      <c r="S406" s="1398"/>
      <c r="T406" s="1398"/>
      <c r="U406" s="1398"/>
      <c r="V406" s="1398"/>
      <c r="W406" s="1398"/>
      <c r="X406" s="1398"/>
      <c r="Y406" s="1398"/>
      <c r="Z406" s="1398"/>
      <c r="AA406" s="1398"/>
      <c r="AB406" s="1398"/>
      <c r="AC406" s="1398"/>
      <c r="AD406" s="1398"/>
      <c r="AE406" s="1398"/>
    </row>
    <row r="407" spans="1:31" ht="15" customHeight="1" x14ac:dyDescent="0.3">
      <c r="A407" s="1398"/>
      <c r="B407" s="2163" t="s">
        <v>2541</v>
      </c>
      <c r="C407" s="2151"/>
      <c r="D407" s="2151"/>
      <c r="E407" s="2151"/>
      <c r="F407" s="2151"/>
      <c r="G407" s="2151"/>
      <c r="H407" s="2151"/>
      <c r="I407" s="2151"/>
      <c r="J407" s="2157"/>
      <c r="K407" s="2151"/>
      <c r="L407" s="2157"/>
      <c r="M407" s="2151"/>
      <c r="N407" s="2157"/>
      <c r="O407" s="2157"/>
      <c r="P407" s="2157"/>
      <c r="Q407" s="2157"/>
      <c r="R407" s="1398"/>
      <c r="S407" s="1398"/>
      <c r="T407" s="1398"/>
      <c r="U407" s="1398"/>
      <c r="V407" s="1398"/>
      <c r="W407" s="1398"/>
      <c r="X407" s="1398"/>
      <c r="Y407" s="1398"/>
      <c r="Z407" s="1398"/>
      <c r="AA407" s="1398"/>
      <c r="AB407" s="1398"/>
      <c r="AC407" s="1398"/>
      <c r="AD407" s="1398"/>
      <c r="AE407" s="1398"/>
    </row>
    <row r="408" spans="1:31" ht="15" customHeight="1" x14ac:dyDescent="0.3">
      <c r="A408" s="1398"/>
      <c r="B408" s="2155" t="s">
        <v>1760</v>
      </c>
      <c r="C408" s="2151"/>
      <c r="D408" s="2151"/>
      <c r="E408" s="2151"/>
      <c r="F408" s="2151"/>
      <c r="G408" s="2151"/>
      <c r="H408" s="2151"/>
      <c r="I408" s="2151"/>
      <c r="J408" s="2157"/>
      <c r="K408" s="2151"/>
      <c r="L408" s="2157"/>
      <c r="M408" s="2151"/>
      <c r="N408" s="2157"/>
      <c r="O408" s="2157"/>
      <c r="P408" s="2157"/>
      <c r="Q408" s="2157"/>
      <c r="R408" s="1398"/>
      <c r="S408" s="1398"/>
      <c r="T408" s="1398"/>
      <c r="U408" s="1398"/>
      <c r="V408" s="1398"/>
      <c r="W408" s="1398"/>
      <c r="X408" s="1398"/>
      <c r="Y408" s="1398"/>
      <c r="Z408" s="1398"/>
      <c r="AA408" s="1398"/>
      <c r="AB408" s="1398"/>
      <c r="AC408" s="1398"/>
      <c r="AD408" s="1398"/>
      <c r="AE408" s="1398"/>
    </row>
    <row r="409" spans="1:31" ht="15" customHeight="1" x14ac:dyDescent="0.35">
      <c r="A409" s="1398"/>
      <c r="B409" s="2181" t="s">
        <v>2540</v>
      </c>
      <c r="C409" s="2159" t="str">
        <f t="shared" ref="C409:I409" si="58">IF(AND(ISNUMBER(C410),ISNUMBER(C411)),C410+C411,"")</f>
        <v/>
      </c>
      <c r="D409" s="2159" t="str">
        <f t="shared" si="58"/>
        <v/>
      </c>
      <c r="E409" s="2159" t="str">
        <f t="shared" si="58"/>
        <v/>
      </c>
      <c r="F409" s="2159" t="str">
        <f t="shared" si="58"/>
        <v/>
      </c>
      <c r="G409" s="2159" t="str">
        <f t="shared" si="58"/>
        <v/>
      </c>
      <c r="H409" s="2159" t="str">
        <f t="shared" si="58"/>
        <v/>
      </c>
      <c r="I409" s="2159" t="str">
        <f t="shared" si="58"/>
        <v/>
      </c>
      <c r="J409" s="2157"/>
      <c r="K409" s="2159" t="str">
        <f>IF(AND(ISNUMBER(K410),ISNUMBER(K411)),K410+K411,"")</f>
        <v/>
      </c>
      <c r="L409" s="2157"/>
      <c r="M409" s="2159" t="str">
        <f>IF(AND(ISNUMBER(M410),ISNUMBER(M411)),M410+M411,"")</f>
        <v/>
      </c>
      <c r="N409" s="2157"/>
      <c r="O409" s="2157"/>
      <c r="P409" s="2157"/>
      <c r="Q409" s="2157"/>
      <c r="R409" s="1398"/>
      <c r="S409" s="1398"/>
      <c r="T409" s="1398"/>
      <c r="U409" s="1398"/>
      <c r="V409" s="1398"/>
      <c r="W409" s="1398"/>
      <c r="X409" s="1398"/>
      <c r="Y409" s="1398"/>
      <c r="Z409" s="1398"/>
      <c r="AA409" s="1398"/>
      <c r="AB409" s="1398"/>
      <c r="AC409" s="1398"/>
      <c r="AD409" s="1398"/>
      <c r="AE409" s="1398"/>
    </row>
    <row r="410" spans="1:31" ht="15" customHeight="1" x14ac:dyDescent="0.3">
      <c r="A410" s="1398"/>
      <c r="B410" s="2155" t="s">
        <v>2539</v>
      </c>
      <c r="C410" s="2151"/>
      <c r="D410" s="2151"/>
      <c r="E410" s="2151"/>
      <c r="F410" s="2151"/>
      <c r="G410" s="2151"/>
      <c r="H410" s="2151"/>
      <c r="I410" s="2151"/>
      <c r="J410" s="2157"/>
      <c r="K410" s="2151"/>
      <c r="L410" s="2157"/>
      <c r="M410" s="2151"/>
      <c r="N410" s="2157"/>
      <c r="O410" s="2157"/>
      <c r="P410" s="2157"/>
      <c r="Q410" s="2157"/>
      <c r="R410" s="1398"/>
      <c r="S410" s="1398"/>
      <c r="T410" s="1398"/>
      <c r="U410" s="1398"/>
      <c r="V410" s="1398"/>
      <c r="W410" s="1398"/>
      <c r="X410" s="1398"/>
      <c r="Y410" s="1398"/>
      <c r="Z410" s="1398"/>
      <c r="AA410" s="1398"/>
      <c r="AB410" s="1398"/>
      <c r="AC410" s="1398"/>
      <c r="AD410" s="1398"/>
      <c r="AE410" s="1398"/>
    </row>
    <row r="411" spans="1:31" ht="15" customHeight="1" x14ac:dyDescent="0.3">
      <c r="A411" s="1398"/>
      <c r="B411" s="2155" t="s">
        <v>1760</v>
      </c>
      <c r="C411" s="2151"/>
      <c r="D411" s="2151"/>
      <c r="E411" s="2151"/>
      <c r="F411" s="2151"/>
      <c r="G411" s="2151"/>
      <c r="H411" s="2151"/>
      <c r="I411" s="2151"/>
      <c r="J411" s="2157"/>
      <c r="K411" s="2151"/>
      <c r="L411" s="2157"/>
      <c r="M411" s="2151"/>
      <c r="N411" s="2157"/>
      <c r="O411" s="2157"/>
      <c r="P411" s="2157"/>
      <c r="Q411" s="2157"/>
      <c r="R411" s="1398"/>
      <c r="S411" s="1398"/>
      <c r="T411" s="1398"/>
      <c r="U411" s="1398"/>
      <c r="V411" s="1398"/>
      <c r="W411" s="1398"/>
      <c r="X411" s="1398"/>
      <c r="Y411" s="1398"/>
      <c r="Z411" s="1398"/>
      <c r="AA411" s="1398"/>
      <c r="AB411" s="1398"/>
      <c r="AC411" s="1398"/>
      <c r="AD411" s="1398"/>
      <c r="AE411" s="1398"/>
    </row>
    <row r="412" spans="1:31" ht="15" customHeight="1" x14ac:dyDescent="0.35">
      <c r="A412" s="1398"/>
      <c r="B412" s="569" t="s">
        <v>59</v>
      </c>
      <c r="C412" s="2156">
        <f t="shared" ref="C412:Q412" si="59">IF(AND(ISNUMBER(C414),ISNUMBER(C413)),SUM(C413:C414),0)</f>
        <v>0</v>
      </c>
      <c r="D412" s="2156">
        <f t="shared" si="59"/>
        <v>0</v>
      </c>
      <c r="E412" s="2156">
        <f t="shared" si="59"/>
        <v>0</v>
      </c>
      <c r="F412" s="2156">
        <f t="shared" si="59"/>
        <v>0</v>
      </c>
      <c r="G412" s="2156">
        <f t="shared" si="59"/>
        <v>0</v>
      </c>
      <c r="H412" s="2156">
        <f t="shared" si="59"/>
        <v>0</v>
      </c>
      <c r="I412" s="2156">
        <f t="shared" si="59"/>
        <v>0</v>
      </c>
      <c r="J412" s="2156">
        <f t="shared" si="59"/>
        <v>0</v>
      </c>
      <c r="K412" s="2156">
        <f t="shared" si="59"/>
        <v>0</v>
      </c>
      <c r="L412" s="2156">
        <f t="shared" si="59"/>
        <v>0</v>
      </c>
      <c r="M412" s="2156">
        <f t="shared" si="59"/>
        <v>0</v>
      </c>
      <c r="N412" s="2156">
        <f t="shared" si="59"/>
        <v>0</v>
      </c>
      <c r="O412" s="2156">
        <f t="shared" si="59"/>
        <v>0</v>
      </c>
      <c r="P412" s="2156">
        <f t="shared" si="59"/>
        <v>0</v>
      </c>
      <c r="Q412" s="2156">
        <f t="shared" si="59"/>
        <v>0</v>
      </c>
      <c r="R412" s="1398"/>
      <c r="S412" s="1398"/>
      <c r="T412" s="1398"/>
      <c r="U412" s="1398"/>
      <c r="V412" s="1398"/>
      <c r="W412" s="1398"/>
      <c r="X412" s="1398"/>
      <c r="Y412" s="1398"/>
      <c r="Z412" s="1398"/>
      <c r="AA412" s="1398"/>
      <c r="AB412" s="1398"/>
      <c r="AC412" s="1398"/>
      <c r="AD412" s="1398"/>
      <c r="AE412" s="1398"/>
    </row>
    <row r="413" spans="1:31" ht="15" customHeight="1" x14ac:dyDescent="0.3">
      <c r="A413" s="1398"/>
      <c r="B413" s="2155" t="s">
        <v>2538</v>
      </c>
      <c r="C413" s="2151"/>
      <c r="D413" s="2151"/>
      <c r="E413" s="2151"/>
      <c r="F413" s="2151"/>
      <c r="G413" s="2151"/>
      <c r="H413" s="2151"/>
      <c r="I413" s="23"/>
      <c r="J413" s="2151"/>
      <c r="K413" s="2151"/>
      <c r="L413" s="2151"/>
      <c r="M413" s="2151"/>
      <c r="N413" s="2151"/>
      <c r="O413" s="2151"/>
      <c r="P413" s="2151"/>
      <c r="Q413" s="2151"/>
      <c r="R413" s="1398"/>
      <c r="S413" s="1398"/>
      <c r="T413" s="1398"/>
      <c r="U413" s="1398"/>
      <c r="V413" s="1398"/>
      <c r="W413" s="1398"/>
      <c r="X413" s="1398"/>
      <c r="Y413" s="1398"/>
      <c r="Z413" s="1398"/>
      <c r="AA413" s="1398"/>
      <c r="AB413" s="1398"/>
      <c r="AC413" s="1398"/>
      <c r="AD413" s="1398"/>
      <c r="AE413" s="1398"/>
    </row>
    <row r="414" spans="1:31" ht="15" customHeight="1" x14ac:dyDescent="0.3">
      <c r="A414" s="1398"/>
      <c r="B414" s="2155" t="s">
        <v>2537</v>
      </c>
      <c r="C414" s="2151"/>
      <c r="D414" s="2151"/>
      <c r="E414" s="2151"/>
      <c r="F414" s="2151"/>
      <c r="G414" s="2151"/>
      <c r="H414" s="2151"/>
      <c r="I414" s="23"/>
      <c r="J414" s="2151"/>
      <c r="K414" s="2151"/>
      <c r="L414" s="2151"/>
      <c r="M414" s="2151"/>
      <c r="N414" s="2151"/>
      <c r="O414" s="2151"/>
      <c r="P414" s="2151"/>
      <c r="Q414" s="2151"/>
      <c r="R414" s="1398"/>
      <c r="S414" s="1398"/>
      <c r="T414" s="1398"/>
      <c r="U414" s="1398"/>
      <c r="V414" s="1398"/>
      <c r="W414" s="1398"/>
      <c r="X414" s="1398"/>
      <c r="Y414" s="1398"/>
      <c r="Z414" s="1398"/>
      <c r="AA414" s="1398"/>
      <c r="AB414" s="1398"/>
      <c r="AC414" s="1398"/>
      <c r="AD414" s="1398"/>
      <c r="AE414" s="1398"/>
    </row>
    <row r="415" spans="1:31" ht="15" customHeight="1" x14ac:dyDescent="0.3">
      <c r="A415" s="1398"/>
      <c r="B415" s="2154" t="str">
        <f>"Check: row " &amp; ROW(B412) &amp;" = sum(row " &amp; ROW(B413) &amp; ", row "&amp; ROW(B414)&amp;")"</f>
        <v>Check: row 412 = sum(row 413, row 414)</v>
      </c>
      <c r="C415" s="2153" t="str">
        <f t="shared" ref="C415:Q415" si="60">IF(AND(ISNUMBER(C413), ISNUMBER(C414)), IF(C412=SUM(C413:C414), "Pass", "Fail"), "")</f>
        <v/>
      </c>
      <c r="D415" s="2153" t="str">
        <f t="shared" si="60"/>
        <v/>
      </c>
      <c r="E415" s="2153" t="str">
        <f t="shared" si="60"/>
        <v/>
      </c>
      <c r="F415" s="2153" t="str">
        <f t="shared" si="60"/>
        <v/>
      </c>
      <c r="G415" s="2153" t="str">
        <f t="shared" si="60"/>
        <v/>
      </c>
      <c r="H415" s="2153" t="str">
        <f t="shared" si="60"/>
        <v/>
      </c>
      <c r="I415" s="2153" t="str">
        <f t="shared" si="60"/>
        <v/>
      </c>
      <c r="J415" s="2153" t="str">
        <f t="shared" si="60"/>
        <v/>
      </c>
      <c r="K415" s="2153" t="str">
        <f t="shared" si="60"/>
        <v/>
      </c>
      <c r="L415" s="2153" t="str">
        <f t="shared" si="60"/>
        <v/>
      </c>
      <c r="M415" s="2153" t="str">
        <f t="shared" si="60"/>
        <v/>
      </c>
      <c r="N415" s="2153" t="str">
        <f t="shared" si="60"/>
        <v/>
      </c>
      <c r="O415" s="2153" t="str">
        <f t="shared" si="60"/>
        <v/>
      </c>
      <c r="P415" s="2153" t="str">
        <f t="shared" si="60"/>
        <v/>
      </c>
      <c r="Q415" s="2153" t="str">
        <f t="shared" si="60"/>
        <v/>
      </c>
      <c r="R415" s="1398"/>
      <c r="S415" s="1398"/>
      <c r="T415" s="1398"/>
      <c r="U415" s="1398"/>
      <c r="V415" s="1398"/>
      <c r="W415" s="1398"/>
      <c r="X415" s="1398"/>
      <c r="Y415" s="1398"/>
      <c r="Z415" s="1398"/>
      <c r="AA415" s="1398"/>
      <c r="AB415" s="1398"/>
      <c r="AC415" s="1398"/>
      <c r="AD415" s="1398"/>
      <c r="AE415" s="1398"/>
    </row>
    <row r="416" spans="1:31" ht="15" customHeight="1" x14ac:dyDescent="0.3">
      <c r="A416" s="1398"/>
      <c r="B416" s="2152" t="s">
        <v>2536</v>
      </c>
      <c r="C416" s="2151"/>
      <c r="D416" s="1398"/>
      <c r="E416" s="1398"/>
      <c r="F416" s="1398"/>
      <c r="G416" s="1398"/>
      <c r="H416" s="1398"/>
      <c r="I416" s="1398"/>
      <c r="J416" s="1398"/>
      <c r="K416" s="1398"/>
      <c r="L416" s="1398"/>
      <c r="M416" s="1398"/>
      <c r="N416" s="1398"/>
      <c r="O416" s="1398"/>
      <c r="P416" s="1398"/>
      <c r="Q416" s="1398"/>
      <c r="R416" s="1398"/>
      <c r="S416" s="1398"/>
      <c r="T416" s="1398"/>
      <c r="U416" s="1398"/>
      <c r="V416" s="1398"/>
      <c r="W416" s="1398"/>
      <c r="X416" s="1398"/>
      <c r="Y416" s="1398"/>
      <c r="Z416" s="1398"/>
      <c r="AA416" s="1398"/>
      <c r="AB416" s="1398"/>
      <c r="AC416" s="1398"/>
      <c r="AD416" s="1398"/>
      <c r="AE416" s="1398"/>
    </row>
    <row r="417" spans="1:31" ht="15" customHeight="1" x14ac:dyDescent="0.3">
      <c r="A417" s="1398"/>
      <c r="B417" s="2150" t="s">
        <v>2535</v>
      </c>
      <c r="C417" s="2149"/>
      <c r="D417" s="1398"/>
      <c r="E417" s="1398"/>
      <c r="F417" s="1398"/>
      <c r="G417" s="1398"/>
      <c r="H417" s="1398"/>
      <c r="I417" s="1398"/>
      <c r="J417" s="1398"/>
      <c r="K417" s="1398"/>
      <c r="L417" s="1398"/>
      <c r="M417" s="1398"/>
      <c r="N417" s="1398"/>
      <c r="O417" s="1398"/>
      <c r="P417" s="1398"/>
      <c r="Q417" s="1398"/>
      <c r="R417" s="1398"/>
      <c r="S417" s="1398"/>
      <c r="T417" s="1398"/>
      <c r="U417" s="1398"/>
      <c r="V417" s="1398"/>
      <c r="W417" s="1398"/>
      <c r="X417" s="1398"/>
      <c r="Y417" s="1398"/>
      <c r="Z417" s="1398"/>
      <c r="AA417" s="1398"/>
      <c r="AB417" s="1398"/>
      <c r="AC417" s="1398"/>
      <c r="AD417" s="1398"/>
      <c r="AE417" s="1398"/>
    </row>
    <row r="418" spans="1:31" ht="15" customHeight="1" x14ac:dyDescent="0.35">
      <c r="A418" s="1398"/>
      <c r="D418" s="1398"/>
      <c r="E418" s="1398"/>
      <c r="F418" s="1398"/>
      <c r="G418" s="1398"/>
      <c r="H418" s="1398"/>
      <c r="I418" s="1398"/>
      <c r="J418" s="1398"/>
      <c r="K418" s="1398"/>
      <c r="L418" s="1398"/>
      <c r="M418" s="1398"/>
      <c r="N418" s="1398"/>
      <c r="O418" s="1398"/>
      <c r="P418" s="1398"/>
      <c r="Q418" s="1398"/>
      <c r="R418" s="1398"/>
      <c r="S418" s="1398"/>
      <c r="T418" s="1398"/>
      <c r="U418" s="1398"/>
      <c r="V418" s="1398"/>
      <c r="W418" s="1398"/>
      <c r="X418" s="1398"/>
      <c r="Y418" s="1398"/>
      <c r="Z418" s="1398"/>
      <c r="AA418" s="1398"/>
      <c r="AB418" s="1398"/>
      <c r="AC418" s="1398"/>
      <c r="AD418" s="1398"/>
      <c r="AE418" s="1398"/>
    </row>
    <row r="419" spans="1:31" ht="19.5" customHeight="1" x14ac:dyDescent="0.3">
      <c r="A419" s="2196" t="s">
        <v>2580</v>
      </c>
      <c r="B419" s="2195"/>
      <c r="C419" s="2194" t="s">
        <v>2566</v>
      </c>
      <c r="D419" s="2173" t="str">
        <f>IF(ISBLANK($M$7),"",IF($M$7="No","Please leave Panel B"&amp;COLUMN($M$7)-2&amp;" empty","Please fill in Panel B"&amp;COLUMN($M$7)-2))</f>
        <v/>
      </c>
      <c r="E419" s="2193"/>
      <c r="F419" s="2193"/>
      <c r="G419" s="2193"/>
      <c r="H419" s="2193"/>
      <c r="I419" s="2193"/>
      <c r="J419" s="2193"/>
      <c r="K419" s="2193"/>
      <c r="L419" s="2193"/>
      <c r="M419" s="2193"/>
      <c r="N419" s="2193"/>
      <c r="O419" s="2193"/>
      <c r="P419" s="2193"/>
      <c r="Q419" s="2193"/>
      <c r="R419" s="1398"/>
      <c r="S419" s="1398"/>
      <c r="T419" s="1398"/>
      <c r="U419" s="1398"/>
      <c r="V419" s="1398"/>
      <c r="W419" s="1398"/>
      <c r="X419" s="1398"/>
      <c r="Y419" s="1398"/>
      <c r="Z419" s="1398"/>
      <c r="AA419" s="1398"/>
      <c r="AB419" s="1398"/>
      <c r="AC419" s="1398"/>
      <c r="AD419" s="1398"/>
      <c r="AE419" s="1398"/>
    </row>
    <row r="420" spans="1:31" ht="15" customHeight="1" x14ac:dyDescent="0.35">
      <c r="A420" s="1398"/>
      <c r="C420" s="2980" t="s">
        <v>207</v>
      </c>
      <c r="D420" s="2980"/>
      <c r="E420" s="2980"/>
      <c r="F420" s="2980"/>
      <c r="G420" s="2980"/>
      <c r="H420" s="2980"/>
      <c r="I420" s="2980"/>
      <c r="J420" s="2980"/>
      <c r="K420" s="2980"/>
      <c r="L420" s="2981"/>
      <c r="M420" s="2982" t="s">
        <v>2559</v>
      </c>
      <c r="N420" s="2984" t="s">
        <v>2565</v>
      </c>
      <c r="O420" s="2985"/>
      <c r="P420" s="2985"/>
      <c r="Q420" s="2985"/>
      <c r="R420" s="1398"/>
      <c r="S420" s="1398"/>
      <c r="T420" s="1398"/>
      <c r="U420" s="1398"/>
      <c r="V420" s="1398"/>
      <c r="W420" s="1398"/>
      <c r="X420" s="1398"/>
      <c r="Y420" s="1398"/>
      <c r="Z420" s="1398"/>
      <c r="AA420" s="1398"/>
      <c r="AB420" s="1398"/>
      <c r="AC420" s="1398"/>
      <c r="AD420" s="1398"/>
      <c r="AE420" s="1398"/>
    </row>
    <row r="421" spans="1:31" ht="15" customHeight="1" x14ac:dyDescent="0.35">
      <c r="A421" s="1398"/>
      <c r="B421" s="2172"/>
      <c r="C421" s="2967" t="s">
        <v>2564</v>
      </c>
      <c r="D421" s="2973" t="s">
        <v>465</v>
      </c>
      <c r="E421" s="2974"/>
      <c r="F421" s="2974"/>
      <c r="G421" s="2974"/>
      <c r="H421" s="2975"/>
      <c r="I421" s="2969" t="s">
        <v>2563</v>
      </c>
      <c r="J421" s="2969" t="s">
        <v>2562</v>
      </c>
      <c r="K421" s="2969" t="s">
        <v>2561</v>
      </c>
      <c r="L421" s="2969" t="s">
        <v>2560</v>
      </c>
      <c r="M421" s="2983"/>
      <c r="N421" s="2978" t="s">
        <v>207</v>
      </c>
      <c r="O421" s="2978" t="s">
        <v>2559</v>
      </c>
      <c r="P421" s="2969" t="s">
        <v>59</v>
      </c>
      <c r="Q421" s="2971" t="s">
        <v>2558</v>
      </c>
      <c r="R421" s="1398"/>
      <c r="S421" s="1398"/>
      <c r="T421" s="1398"/>
      <c r="U421" s="1398"/>
      <c r="V421" s="1398"/>
      <c r="W421" s="1398"/>
      <c r="X421" s="1398"/>
      <c r="Y421" s="1398"/>
      <c r="Z421" s="1398"/>
      <c r="AA421" s="1398"/>
      <c r="AB421" s="1398"/>
      <c r="AC421" s="1398"/>
      <c r="AD421" s="1398"/>
      <c r="AE421" s="1398"/>
    </row>
    <row r="422" spans="1:31" ht="48.6" customHeight="1" x14ac:dyDescent="0.35">
      <c r="A422" s="1398"/>
      <c r="B422" s="2171"/>
      <c r="C422" s="2968"/>
      <c r="D422" s="2170" t="s">
        <v>2557</v>
      </c>
      <c r="E422" s="2170" t="s">
        <v>2556</v>
      </c>
      <c r="F422" s="2170" t="s">
        <v>2555</v>
      </c>
      <c r="G422" s="2170" t="s">
        <v>2554</v>
      </c>
      <c r="H422" s="2170" t="s">
        <v>59</v>
      </c>
      <c r="I422" s="2970"/>
      <c r="J422" s="2970"/>
      <c r="K422" s="2970"/>
      <c r="L422" s="2970"/>
      <c r="M422" s="2970"/>
      <c r="N422" s="2979"/>
      <c r="O422" s="2979"/>
      <c r="P422" s="2970"/>
      <c r="Q422" s="2972"/>
      <c r="R422" s="1398"/>
      <c r="S422" s="1398"/>
      <c r="T422" s="1398"/>
      <c r="U422" s="1398"/>
      <c r="V422" s="1398"/>
      <c r="W422" s="1398"/>
      <c r="X422" s="1398"/>
      <c r="Y422" s="1398"/>
      <c r="Z422" s="1398"/>
      <c r="AA422" s="1398"/>
      <c r="AB422" s="1398"/>
      <c r="AC422" s="1398"/>
      <c r="AD422" s="1398"/>
      <c r="AE422" s="1398"/>
    </row>
    <row r="423" spans="1:31" ht="15" customHeight="1" x14ac:dyDescent="0.35">
      <c r="A423" s="1398"/>
      <c r="B423" s="2179" t="s">
        <v>2553</v>
      </c>
      <c r="C423" s="2168" t="str">
        <f t="shared" ref="C423:I423" si="61">IF(AND(ISNUMBER(C436),ISNUMBER(C432),ISNUMBER(C434),ISNUMBER(C424),ISNUMBER(C428),ISNUMBER(C426),ISNUMBER(C430),ISNUMBER(C438)),SUM(C424,C426,C428,C430,C432,C434,C436,C438),"")</f>
        <v/>
      </c>
      <c r="D423" s="2168" t="str">
        <f t="shared" si="61"/>
        <v/>
      </c>
      <c r="E423" s="2168" t="str">
        <f t="shared" si="61"/>
        <v/>
      </c>
      <c r="F423" s="2168" t="str">
        <f t="shared" si="61"/>
        <v/>
      </c>
      <c r="G423" s="2168" t="str">
        <f t="shared" si="61"/>
        <v/>
      </c>
      <c r="H423" s="2168" t="str">
        <f t="shared" si="61"/>
        <v/>
      </c>
      <c r="I423" s="2168" t="str">
        <f t="shared" si="61"/>
        <v/>
      </c>
      <c r="J423" s="2157"/>
      <c r="K423" s="2168" t="str">
        <f>IF(AND(ISNUMBER(K436),ISNUMBER(K432),ISNUMBER(K434),ISNUMBER(K424),ISNUMBER(K428),ISNUMBER(K426),ISNUMBER(K430),ISNUMBER(K438)),SUM(K424,K426,K428,K430,K432,K434,K436,K438),"")</f>
        <v/>
      </c>
      <c r="L423" s="2157"/>
      <c r="M423" s="2168" t="str">
        <f>IF(AND(ISNUMBER(M436),ISNUMBER(M432),ISNUMBER(M434),ISNUMBER(M424),ISNUMBER(M428),ISNUMBER(M426),ISNUMBER(M430),ISNUMBER(M438)),SUM(M424,M426,M428,M430,M432,M434,M436,M438),"")</f>
        <v/>
      </c>
      <c r="N423" s="2167"/>
      <c r="O423" s="2167"/>
      <c r="P423" s="2167"/>
      <c r="Q423" s="2167"/>
      <c r="R423" s="1398"/>
      <c r="S423" s="1398"/>
      <c r="T423" s="1398"/>
      <c r="U423" s="1398"/>
      <c r="V423" s="1398"/>
      <c r="W423" s="1398"/>
      <c r="X423" s="1398"/>
      <c r="Y423" s="1398"/>
      <c r="Z423" s="1398"/>
      <c r="AA423" s="1398"/>
      <c r="AB423" s="1398"/>
      <c r="AC423" s="1398"/>
      <c r="AD423" s="1398"/>
      <c r="AE423" s="1398"/>
    </row>
    <row r="424" spans="1:31" ht="15" customHeight="1" x14ac:dyDescent="0.3">
      <c r="A424" s="1398"/>
      <c r="B424" s="2163" t="s">
        <v>2552</v>
      </c>
      <c r="C424" s="2151"/>
      <c r="D424" s="2151"/>
      <c r="E424" s="2151"/>
      <c r="F424" s="2151"/>
      <c r="G424" s="2151"/>
      <c r="H424" s="2151"/>
      <c r="I424" s="2151"/>
      <c r="J424" s="2157"/>
      <c r="K424" s="2151"/>
      <c r="L424" s="2157"/>
      <c r="M424" s="2151"/>
      <c r="N424" s="2157"/>
      <c r="O424" s="2157"/>
      <c r="P424" s="2157"/>
      <c r="Q424" s="2157"/>
      <c r="R424" s="1398"/>
      <c r="S424" s="1398"/>
      <c r="T424" s="1398"/>
      <c r="U424" s="1398"/>
      <c r="V424" s="1398"/>
      <c r="W424" s="1398"/>
      <c r="X424" s="1398"/>
      <c r="Y424" s="1398"/>
      <c r="Z424" s="1398"/>
      <c r="AA424" s="1398"/>
      <c r="AB424" s="1398"/>
      <c r="AC424" s="1398"/>
      <c r="AD424" s="1398"/>
      <c r="AE424" s="1398"/>
    </row>
    <row r="425" spans="1:31" ht="15" customHeight="1" x14ac:dyDescent="0.3">
      <c r="A425" s="1398"/>
      <c r="B425" s="2162" t="s">
        <v>2543</v>
      </c>
      <c r="C425" s="2151"/>
      <c r="D425" s="2151"/>
      <c r="E425" s="2151"/>
      <c r="F425" s="2151"/>
      <c r="G425" s="2151"/>
      <c r="H425" s="2151"/>
      <c r="I425" s="2151"/>
      <c r="J425" s="2157"/>
      <c r="K425" s="2151"/>
      <c r="L425" s="2157"/>
      <c r="M425" s="2151"/>
      <c r="N425" s="2157"/>
      <c r="O425" s="2157"/>
      <c r="P425" s="2157"/>
      <c r="Q425" s="2157"/>
      <c r="R425" s="1398"/>
      <c r="S425" s="1398"/>
      <c r="T425" s="1398"/>
      <c r="U425" s="1398"/>
      <c r="V425" s="1398"/>
      <c r="W425" s="1398"/>
      <c r="X425" s="1398"/>
      <c r="Y425" s="1398"/>
      <c r="Z425" s="1398"/>
      <c r="AA425" s="1398"/>
      <c r="AB425" s="1398"/>
      <c r="AC425" s="1398"/>
      <c r="AD425" s="1398"/>
      <c r="AE425" s="1398"/>
    </row>
    <row r="426" spans="1:31" ht="15" customHeight="1" x14ac:dyDescent="0.3">
      <c r="A426" s="1398"/>
      <c r="B426" s="2163" t="s">
        <v>2551</v>
      </c>
      <c r="C426" s="2151"/>
      <c r="D426" s="2151"/>
      <c r="E426" s="2151"/>
      <c r="F426" s="2151"/>
      <c r="G426" s="2151"/>
      <c r="H426" s="2151"/>
      <c r="I426" s="2151"/>
      <c r="J426" s="2157"/>
      <c r="K426" s="2151"/>
      <c r="L426" s="2157"/>
      <c r="M426" s="2151"/>
      <c r="N426" s="2157"/>
      <c r="O426" s="2157"/>
      <c r="P426" s="2157"/>
      <c r="Q426" s="2157"/>
      <c r="R426" s="1398"/>
      <c r="S426" s="1398"/>
      <c r="T426" s="1398"/>
      <c r="U426" s="1398"/>
      <c r="V426" s="1398"/>
      <c r="W426" s="1398"/>
      <c r="X426" s="1398"/>
      <c r="Y426" s="1398"/>
      <c r="Z426" s="1398"/>
      <c r="AA426" s="1398"/>
      <c r="AB426" s="1398"/>
      <c r="AC426" s="1398"/>
      <c r="AD426" s="1398"/>
      <c r="AE426" s="1398"/>
    </row>
    <row r="427" spans="1:31" ht="15" customHeight="1" x14ac:dyDescent="0.3">
      <c r="A427" s="1398"/>
      <c r="B427" s="2162" t="s">
        <v>2543</v>
      </c>
      <c r="C427" s="2151"/>
      <c r="D427" s="2151"/>
      <c r="E427" s="2151"/>
      <c r="F427" s="2151"/>
      <c r="G427" s="2151"/>
      <c r="H427" s="2151"/>
      <c r="I427" s="2151"/>
      <c r="J427" s="2157"/>
      <c r="K427" s="2151"/>
      <c r="L427" s="2157"/>
      <c r="M427" s="2151"/>
      <c r="N427" s="2157"/>
      <c r="O427" s="2157"/>
      <c r="P427" s="2157"/>
      <c r="Q427" s="2157"/>
      <c r="R427" s="1398"/>
      <c r="S427" s="1398"/>
      <c r="T427" s="1398"/>
      <c r="U427" s="1398"/>
      <c r="V427" s="1398"/>
      <c r="W427" s="1398"/>
      <c r="X427" s="1398"/>
      <c r="Y427" s="1398"/>
      <c r="Z427" s="1398"/>
      <c r="AA427" s="1398"/>
      <c r="AB427" s="1398"/>
      <c r="AC427" s="1398"/>
      <c r="AD427" s="1398"/>
      <c r="AE427" s="1398"/>
    </row>
    <row r="428" spans="1:31" ht="15" customHeight="1" x14ac:dyDescent="0.3">
      <c r="A428" s="1398"/>
      <c r="B428" s="2163" t="s">
        <v>2550</v>
      </c>
      <c r="C428" s="2151"/>
      <c r="D428" s="2151"/>
      <c r="E428" s="2151"/>
      <c r="F428" s="2151"/>
      <c r="G428" s="2151"/>
      <c r="H428" s="2151"/>
      <c r="I428" s="2151"/>
      <c r="J428" s="2157"/>
      <c r="K428" s="2151"/>
      <c r="L428" s="2157"/>
      <c r="M428" s="2151"/>
      <c r="N428" s="2157"/>
      <c r="O428" s="2157"/>
      <c r="P428" s="2157"/>
      <c r="Q428" s="2157"/>
      <c r="R428" s="1398"/>
      <c r="S428" s="1398"/>
      <c r="T428" s="1398"/>
      <c r="U428" s="1398"/>
      <c r="V428" s="1398"/>
      <c r="W428" s="1398"/>
      <c r="X428" s="1398"/>
      <c r="Y428" s="1398"/>
      <c r="Z428" s="1398"/>
      <c r="AA428" s="1398"/>
      <c r="AB428" s="1398"/>
      <c r="AC428" s="1398"/>
      <c r="AD428" s="1398"/>
      <c r="AE428" s="1398"/>
    </row>
    <row r="429" spans="1:31" ht="15" customHeight="1" x14ac:dyDescent="0.3">
      <c r="A429" s="1398"/>
      <c r="B429" s="2162" t="s">
        <v>2543</v>
      </c>
      <c r="C429" s="2151"/>
      <c r="D429" s="2151"/>
      <c r="E429" s="2151"/>
      <c r="F429" s="2151"/>
      <c r="G429" s="2151"/>
      <c r="H429" s="2151"/>
      <c r="I429" s="2151"/>
      <c r="J429" s="2157"/>
      <c r="K429" s="2151"/>
      <c r="L429" s="2157"/>
      <c r="M429" s="2151"/>
      <c r="N429" s="2157"/>
      <c r="O429" s="2157"/>
      <c r="P429" s="2157"/>
      <c r="Q429" s="2157"/>
      <c r="R429" s="1398"/>
      <c r="S429" s="1398"/>
      <c r="T429" s="1398"/>
      <c r="U429" s="1398"/>
      <c r="V429" s="1398"/>
      <c r="W429" s="1398"/>
      <c r="X429" s="1398"/>
      <c r="Y429" s="1398"/>
      <c r="Z429" s="1398"/>
      <c r="AA429" s="1398"/>
      <c r="AB429" s="1398"/>
      <c r="AC429" s="1398"/>
      <c r="AD429" s="1398"/>
      <c r="AE429" s="1398"/>
    </row>
    <row r="430" spans="1:31" ht="15" customHeight="1" x14ac:dyDescent="0.3">
      <c r="A430" s="1398"/>
      <c r="B430" s="2163" t="s">
        <v>2549</v>
      </c>
      <c r="C430" s="2151"/>
      <c r="D430" s="2151"/>
      <c r="E430" s="2151"/>
      <c r="F430" s="2151"/>
      <c r="G430" s="2151"/>
      <c r="H430" s="2151"/>
      <c r="I430" s="2151"/>
      <c r="J430" s="2157"/>
      <c r="K430" s="2151"/>
      <c r="L430" s="2157"/>
      <c r="M430" s="2151"/>
      <c r="N430" s="2157"/>
      <c r="O430" s="2157"/>
      <c r="P430" s="2157"/>
      <c r="Q430" s="2157"/>
      <c r="R430" s="1398"/>
      <c r="S430" s="1398"/>
      <c r="T430" s="1398"/>
      <c r="U430" s="1398"/>
      <c r="V430" s="1398"/>
      <c r="W430" s="1398"/>
      <c r="X430" s="1398"/>
      <c r="Y430" s="1398"/>
      <c r="Z430" s="1398"/>
      <c r="AA430" s="1398"/>
      <c r="AB430" s="1398"/>
      <c r="AC430" s="1398"/>
      <c r="AD430" s="1398"/>
      <c r="AE430" s="1398"/>
    </row>
    <row r="431" spans="1:31" ht="15" customHeight="1" x14ac:dyDescent="0.3">
      <c r="A431" s="1398"/>
      <c r="B431" s="2162" t="s">
        <v>2543</v>
      </c>
      <c r="C431" s="2151"/>
      <c r="D431" s="2151"/>
      <c r="E431" s="2151"/>
      <c r="F431" s="2151"/>
      <c r="G431" s="2151"/>
      <c r="H431" s="2151"/>
      <c r="I431" s="2151"/>
      <c r="J431" s="2157"/>
      <c r="K431" s="2151"/>
      <c r="L431" s="2157"/>
      <c r="M431" s="2151"/>
      <c r="N431" s="2157"/>
      <c r="O431" s="2157"/>
      <c r="P431" s="2157"/>
      <c r="Q431" s="2157"/>
      <c r="R431" s="1398"/>
      <c r="S431" s="1398"/>
      <c r="T431" s="1398"/>
      <c r="U431" s="1398"/>
      <c r="V431" s="1398"/>
      <c r="W431" s="1398"/>
      <c r="X431" s="1398"/>
      <c r="Y431" s="1398"/>
      <c r="Z431" s="1398"/>
      <c r="AA431" s="1398"/>
      <c r="AB431" s="1398"/>
      <c r="AC431" s="1398"/>
      <c r="AD431" s="1398"/>
      <c r="AE431" s="1398"/>
    </row>
    <row r="432" spans="1:31" ht="15" customHeight="1" x14ac:dyDescent="0.35">
      <c r="A432" s="1398"/>
      <c r="B432" s="2192" t="s">
        <v>2548</v>
      </c>
      <c r="C432" s="2151"/>
      <c r="D432" s="2151"/>
      <c r="E432" s="2151"/>
      <c r="F432" s="2151"/>
      <c r="G432" s="2151"/>
      <c r="H432" s="2151"/>
      <c r="I432" s="2151"/>
      <c r="J432" s="2157"/>
      <c r="K432" s="2151"/>
      <c r="L432" s="2157"/>
      <c r="M432" s="2151"/>
      <c r="N432" s="2157"/>
      <c r="O432" s="2157"/>
      <c r="P432" s="2157"/>
      <c r="Q432" s="2157"/>
      <c r="R432" s="1398"/>
      <c r="S432" s="1398"/>
      <c r="T432" s="1398"/>
      <c r="U432" s="1398"/>
      <c r="V432" s="1398"/>
      <c r="W432" s="1398"/>
      <c r="X432" s="1398"/>
      <c r="Y432" s="1398"/>
      <c r="Z432" s="1398"/>
      <c r="AA432" s="1398"/>
      <c r="AB432" s="1398"/>
      <c r="AC432" s="1398"/>
      <c r="AD432" s="1398"/>
      <c r="AE432" s="1398"/>
    </row>
    <row r="433" spans="1:31" ht="15" customHeight="1" x14ac:dyDescent="0.3">
      <c r="A433" s="1398"/>
      <c r="B433" s="2162" t="s">
        <v>2543</v>
      </c>
      <c r="C433" s="2151"/>
      <c r="D433" s="2151"/>
      <c r="E433" s="2151"/>
      <c r="F433" s="2151"/>
      <c r="G433" s="2151"/>
      <c r="H433" s="2151"/>
      <c r="I433" s="2151"/>
      <c r="J433" s="2157"/>
      <c r="K433" s="2151"/>
      <c r="L433" s="2157"/>
      <c r="M433" s="2151"/>
      <c r="N433" s="2157"/>
      <c r="O433" s="2157"/>
      <c r="P433" s="2157"/>
      <c r="Q433" s="2157"/>
      <c r="R433" s="1398"/>
      <c r="S433" s="1398"/>
      <c r="T433" s="1398"/>
      <c r="U433" s="1398"/>
      <c r="V433" s="1398"/>
      <c r="W433" s="1398"/>
      <c r="X433" s="1398"/>
      <c r="Y433" s="1398"/>
      <c r="Z433" s="1398"/>
      <c r="AA433" s="1398"/>
      <c r="AB433" s="1398"/>
      <c r="AC433" s="1398"/>
      <c r="AD433" s="1398"/>
      <c r="AE433" s="1398"/>
    </row>
    <row r="434" spans="1:31" ht="15" customHeight="1" x14ac:dyDescent="0.3">
      <c r="A434" s="1398"/>
      <c r="B434" s="2163" t="s">
        <v>2547</v>
      </c>
      <c r="C434" s="2151"/>
      <c r="D434" s="2151"/>
      <c r="E434" s="2151"/>
      <c r="F434" s="2151"/>
      <c r="G434" s="2151"/>
      <c r="H434" s="2151"/>
      <c r="I434" s="2151"/>
      <c r="J434" s="2157"/>
      <c r="K434" s="2151"/>
      <c r="L434" s="2157"/>
      <c r="M434" s="2151"/>
      <c r="N434" s="2157"/>
      <c r="O434" s="2157"/>
      <c r="P434" s="2157"/>
      <c r="Q434" s="2157"/>
      <c r="R434" s="1398"/>
      <c r="S434" s="1398"/>
      <c r="T434" s="1398"/>
      <c r="U434" s="1398"/>
      <c r="V434" s="1398"/>
      <c r="W434" s="1398"/>
      <c r="X434" s="1398"/>
      <c r="Y434" s="1398"/>
      <c r="Z434" s="1398"/>
      <c r="AA434" s="1398"/>
      <c r="AB434" s="1398"/>
      <c r="AC434" s="1398"/>
      <c r="AD434" s="1398"/>
      <c r="AE434" s="1398"/>
    </row>
    <row r="435" spans="1:31" ht="15" customHeight="1" x14ac:dyDescent="0.3">
      <c r="A435" s="1398"/>
      <c r="B435" s="2162" t="s">
        <v>2543</v>
      </c>
      <c r="C435" s="2151"/>
      <c r="D435" s="2151"/>
      <c r="E435" s="2151"/>
      <c r="F435" s="2151"/>
      <c r="G435" s="2151"/>
      <c r="H435" s="2151"/>
      <c r="I435" s="2151"/>
      <c r="J435" s="2157"/>
      <c r="K435" s="2151"/>
      <c r="L435" s="2157"/>
      <c r="M435" s="2151"/>
      <c r="N435" s="2157"/>
      <c r="O435" s="2157"/>
      <c r="P435" s="2157"/>
      <c r="Q435" s="2157"/>
      <c r="R435" s="1398"/>
      <c r="S435" s="1398"/>
      <c r="T435" s="1398"/>
      <c r="U435" s="1398"/>
      <c r="V435" s="1398"/>
      <c r="W435" s="1398"/>
      <c r="X435" s="1398"/>
      <c r="Y435" s="1398"/>
      <c r="Z435" s="1398"/>
      <c r="AA435" s="1398"/>
      <c r="AB435" s="1398"/>
      <c r="AC435" s="1398"/>
      <c r="AD435" s="1398"/>
      <c r="AE435" s="1398"/>
    </row>
    <row r="436" spans="1:31" ht="15" customHeight="1" x14ac:dyDescent="0.3">
      <c r="A436" s="1398"/>
      <c r="B436" s="2166" t="s">
        <v>2546</v>
      </c>
      <c r="C436" s="2151"/>
      <c r="D436" s="2151"/>
      <c r="E436" s="2151"/>
      <c r="F436" s="2151"/>
      <c r="G436" s="2151"/>
      <c r="H436" s="2151"/>
      <c r="I436" s="2151"/>
      <c r="J436" s="2157"/>
      <c r="K436" s="2151"/>
      <c r="L436" s="2157"/>
      <c r="M436" s="2151"/>
      <c r="N436" s="2157"/>
      <c r="O436" s="2157"/>
      <c r="P436" s="2157"/>
      <c r="Q436" s="2157"/>
      <c r="R436" s="1398"/>
      <c r="S436" s="1398"/>
      <c r="T436" s="1398"/>
      <c r="U436" s="1398"/>
      <c r="V436" s="1398"/>
      <c r="W436" s="1398"/>
      <c r="X436" s="1398"/>
      <c r="Y436" s="1398"/>
      <c r="Z436" s="1398"/>
      <c r="AA436" s="1398"/>
      <c r="AB436" s="1398"/>
      <c r="AC436" s="1398"/>
      <c r="AD436" s="1398"/>
      <c r="AE436" s="1398"/>
    </row>
    <row r="437" spans="1:31" ht="15" customHeight="1" x14ac:dyDescent="0.3">
      <c r="A437" s="1398"/>
      <c r="B437" s="2162" t="s">
        <v>2543</v>
      </c>
      <c r="C437" s="2151"/>
      <c r="D437" s="2151"/>
      <c r="E437" s="2151"/>
      <c r="F437" s="2151"/>
      <c r="G437" s="2151"/>
      <c r="H437" s="2151"/>
      <c r="I437" s="2151"/>
      <c r="J437" s="2157"/>
      <c r="K437" s="2151"/>
      <c r="L437" s="2157"/>
      <c r="M437" s="2151"/>
      <c r="N437" s="2157"/>
      <c r="O437" s="2157"/>
      <c r="P437" s="2157"/>
      <c r="Q437" s="2157"/>
      <c r="R437" s="1398"/>
      <c r="S437" s="1398"/>
      <c r="T437" s="1398"/>
      <c r="U437" s="1398"/>
      <c r="V437" s="1398"/>
      <c r="W437" s="1398"/>
      <c r="X437" s="1398"/>
      <c r="Y437" s="1398"/>
      <c r="Z437" s="1398"/>
      <c r="AA437" s="1398"/>
      <c r="AB437" s="1398"/>
      <c r="AC437" s="1398"/>
      <c r="AD437" s="1398"/>
      <c r="AE437" s="1398"/>
    </row>
    <row r="438" spans="1:31" ht="15" customHeight="1" x14ac:dyDescent="0.3">
      <c r="A438" s="1398"/>
      <c r="B438" s="2163" t="s">
        <v>1760</v>
      </c>
      <c r="C438" s="2151"/>
      <c r="D438" s="2151"/>
      <c r="E438" s="2151"/>
      <c r="F438" s="2151"/>
      <c r="G438" s="2151"/>
      <c r="H438" s="2151"/>
      <c r="I438" s="2151"/>
      <c r="J438" s="2157"/>
      <c r="K438" s="2151"/>
      <c r="L438" s="2157"/>
      <c r="M438" s="2151"/>
      <c r="N438" s="2157"/>
      <c r="O438" s="2157"/>
      <c r="P438" s="2157"/>
      <c r="Q438" s="2157"/>
      <c r="R438" s="1398"/>
      <c r="S438" s="1398"/>
      <c r="T438" s="1398"/>
      <c r="U438" s="1398"/>
      <c r="V438" s="1398"/>
      <c r="W438" s="1398"/>
      <c r="X438" s="1398"/>
      <c r="Y438" s="1398"/>
      <c r="Z438" s="1398"/>
      <c r="AA438" s="1398"/>
      <c r="AB438" s="1398"/>
      <c r="AC438" s="1398"/>
      <c r="AD438" s="1398"/>
      <c r="AE438" s="1398"/>
    </row>
    <row r="439" spans="1:31" ht="15" customHeight="1" x14ac:dyDescent="0.3">
      <c r="A439" s="1398"/>
      <c r="B439" s="2162" t="s">
        <v>2543</v>
      </c>
      <c r="C439" s="2151"/>
      <c r="D439" s="2151"/>
      <c r="E439" s="2151"/>
      <c r="F439" s="2151"/>
      <c r="G439" s="2151"/>
      <c r="H439" s="2151"/>
      <c r="I439" s="2151"/>
      <c r="J439" s="2157"/>
      <c r="K439" s="2151"/>
      <c r="L439" s="2157"/>
      <c r="M439" s="2151"/>
      <c r="N439" s="2157"/>
      <c r="O439" s="2157"/>
      <c r="P439" s="2157"/>
      <c r="Q439" s="2157"/>
      <c r="R439" s="1398"/>
      <c r="S439" s="1398"/>
      <c r="T439" s="1398"/>
      <c r="U439" s="1398"/>
      <c r="V439" s="1398"/>
      <c r="W439" s="1398"/>
      <c r="X439" s="1398"/>
      <c r="Y439" s="1398"/>
      <c r="Z439" s="1398"/>
      <c r="AA439" s="1398"/>
      <c r="AB439" s="1398"/>
      <c r="AC439" s="1398"/>
      <c r="AD439" s="1398"/>
      <c r="AE439" s="1398"/>
    </row>
    <row r="440" spans="1:31" ht="15" customHeight="1" x14ac:dyDescent="0.35">
      <c r="A440" s="1398"/>
      <c r="B440" s="2164" t="s">
        <v>2545</v>
      </c>
      <c r="C440" s="2159" t="str">
        <f t="shared" ref="C440:I440" si="62">IF(AND(ISNUMBER(C441),ISNUMBER(C443)),C441+C443,"")</f>
        <v/>
      </c>
      <c r="D440" s="2159" t="str">
        <f t="shared" si="62"/>
        <v/>
      </c>
      <c r="E440" s="2159" t="str">
        <f t="shared" si="62"/>
        <v/>
      </c>
      <c r="F440" s="2159" t="str">
        <f t="shared" si="62"/>
        <v/>
      </c>
      <c r="G440" s="2159" t="str">
        <f t="shared" si="62"/>
        <v/>
      </c>
      <c r="H440" s="2159" t="str">
        <f t="shared" si="62"/>
        <v/>
      </c>
      <c r="I440" s="2159" t="str">
        <f t="shared" si="62"/>
        <v/>
      </c>
      <c r="J440" s="2157"/>
      <c r="K440" s="2159" t="str">
        <f>IF(AND(ISNUMBER(K441),ISNUMBER(K443)),K441+K443,"")</f>
        <v/>
      </c>
      <c r="L440" s="2157"/>
      <c r="M440" s="2159" t="str">
        <f>IF(AND(ISNUMBER(M441),ISNUMBER(M443)),M441+M443,"")</f>
        <v/>
      </c>
      <c r="N440" s="2157"/>
      <c r="O440" s="2157"/>
      <c r="P440" s="2157"/>
      <c r="Q440" s="2157"/>
      <c r="R440" s="1398"/>
      <c r="S440" s="1398"/>
      <c r="T440" s="1398"/>
      <c r="U440" s="1398"/>
      <c r="V440" s="1398"/>
      <c r="W440" s="1398"/>
      <c r="X440" s="1398"/>
      <c r="Y440" s="1398"/>
      <c r="Z440" s="1398"/>
      <c r="AA440" s="1398"/>
      <c r="AB440" s="1398"/>
      <c r="AC440" s="1398"/>
      <c r="AD440" s="1398"/>
      <c r="AE440" s="1398"/>
    </row>
    <row r="441" spans="1:31" ht="15" customHeight="1" x14ac:dyDescent="0.3">
      <c r="A441" s="1398"/>
      <c r="B441" s="2163" t="s">
        <v>2544</v>
      </c>
      <c r="C441" s="2151"/>
      <c r="D441" s="2151"/>
      <c r="E441" s="2151"/>
      <c r="F441" s="2151"/>
      <c r="G441" s="2151"/>
      <c r="H441" s="2151"/>
      <c r="I441" s="2151"/>
      <c r="J441" s="2157"/>
      <c r="K441" s="2151"/>
      <c r="L441" s="2157"/>
      <c r="M441" s="2151"/>
      <c r="N441" s="2157"/>
      <c r="O441" s="2157"/>
      <c r="P441" s="2157"/>
      <c r="Q441" s="2157"/>
      <c r="R441" s="1398"/>
      <c r="S441" s="1398"/>
      <c r="T441" s="1398"/>
      <c r="U441" s="1398"/>
      <c r="V441" s="1398"/>
      <c r="W441" s="1398"/>
      <c r="X441" s="1398"/>
      <c r="Y441" s="1398"/>
      <c r="Z441" s="1398"/>
      <c r="AA441" s="1398"/>
      <c r="AB441" s="1398"/>
      <c r="AC441" s="1398"/>
      <c r="AD441" s="1398"/>
      <c r="AE441" s="1398"/>
    </row>
    <row r="442" spans="1:31" ht="15" customHeight="1" x14ac:dyDescent="0.3">
      <c r="A442" s="1398"/>
      <c r="B442" s="2162" t="s">
        <v>2543</v>
      </c>
      <c r="C442" s="2151"/>
      <c r="D442" s="2151"/>
      <c r="E442" s="2151"/>
      <c r="F442" s="2151"/>
      <c r="G442" s="2151"/>
      <c r="H442" s="2151"/>
      <c r="I442" s="2151"/>
      <c r="J442" s="2157"/>
      <c r="K442" s="2151"/>
      <c r="L442" s="2157"/>
      <c r="M442" s="2151"/>
      <c r="N442" s="2157"/>
      <c r="O442" s="2157"/>
      <c r="P442" s="2157"/>
      <c r="Q442" s="2157"/>
      <c r="R442" s="1398"/>
      <c r="S442" s="1398"/>
      <c r="T442" s="1398"/>
      <c r="U442" s="1398"/>
      <c r="V442" s="1398"/>
      <c r="W442" s="1398"/>
      <c r="X442" s="1398"/>
      <c r="Y442" s="1398"/>
      <c r="Z442" s="1398"/>
      <c r="AA442" s="1398"/>
      <c r="AB442" s="1398"/>
      <c r="AC442" s="1398"/>
      <c r="AD442" s="1398"/>
      <c r="AE442" s="1398"/>
    </row>
    <row r="443" spans="1:31" ht="15" customHeight="1" x14ac:dyDescent="0.3">
      <c r="A443" s="1398"/>
      <c r="B443" s="2163" t="s">
        <v>1760</v>
      </c>
      <c r="C443" s="2151"/>
      <c r="D443" s="2151"/>
      <c r="E443" s="2151"/>
      <c r="F443" s="2151"/>
      <c r="G443" s="2151"/>
      <c r="H443" s="2151"/>
      <c r="I443" s="2151"/>
      <c r="J443" s="2157"/>
      <c r="K443" s="2151"/>
      <c r="L443" s="2157"/>
      <c r="M443" s="2151"/>
      <c r="N443" s="2157"/>
      <c r="O443" s="2157"/>
      <c r="P443" s="2157"/>
      <c r="Q443" s="2157"/>
      <c r="R443" s="1398"/>
      <c r="S443" s="1398"/>
      <c r="T443" s="1398"/>
      <c r="U443" s="1398"/>
      <c r="V443" s="1398"/>
      <c r="W443" s="1398"/>
      <c r="X443" s="1398"/>
      <c r="Y443" s="1398"/>
      <c r="Z443" s="1398"/>
      <c r="AA443" s="1398"/>
      <c r="AB443" s="1398"/>
      <c r="AC443" s="1398"/>
      <c r="AD443" s="1398"/>
      <c r="AE443" s="1398"/>
    </row>
    <row r="444" spans="1:31" ht="15" customHeight="1" x14ac:dyDescent="0.3">
      <c r="A444" s="1398"/>
      <c r="B444" s="2162" t="s">
        <v>2543</v>
      </c>
      <c r="C444" s="2151"/>
      <c r="D444" s="2151"/>
      <c r="E444" s="2151"/>
      <c r="F444" s="2151"/>
      <c r="G444" s="2151"/>
      <c r="H444" s="2151"/>
      <c r="I444" s="2151"/>
      <c r="J444" s="2157"/>
      <c r="K444" s="2151"/>
      <c r="L444" s="2157"/>
      <c r="M444" s="2151"/>
      <c r="N444" s="2157"/>
      <c r="O444" s="2157"/>
      <c r="P444" s="2157"/>
      <c r="Q444" s="2157"/>
      <c r="R444" s="1398"/>
      <c r="S444" s="1398"/>
      <c r="T444" s="1398"/>
      <c r="U444" s="1398"/>
      <c r="V444" s="1398"/>
      <c r="W444" s="1398"/>
      <c r="X444" s="1398"/>
      <c r="Y444" s="1398"/>
      <c r="Z444" s="1398"/>
      <c r="AA444" s="1398"/>
      <c r="AB444" s="1398"/>
      <c r="AC444" s="1398"/>
      <c r="AD444" s="1398"/>
      <c r="AE444" s="1398"/>
    </row>
    <row r="445" spans="1:31" ht="15" customHeight="1" x14ac:dyDescent="0.3">
      <c r="A445" s="1398"/>
      <c r="B445" s="2164" t="s">
        <v>1941</v>
      </c>
      <c r="C445" s="2151"/>
      <c r="D445" s="2151"/>
      <c r="E445" s="2151"/>
      <c r="F445" s="2151"/>
      <c r="G445" s="2151"/>
      <c r="H445" s="2151"/>
      <c r="I445" s="2151"/>
      <c r="J445" s="2157"/>
      <c r="K445" s="2151"/>
      <c r="L445" s="2157"/>
      <c r="M445" s="2151"/>
      <c r="N445" s="2157"/>
      <c r="O445" s="2157"/>
      <c r="P445" s="2157"/>
      <c r="Q445" s="2157"/>
      <c r="R445" s="1398"/>
      <c r="S445" s="1398"/>
      <c r="T445" s="1398"/>
      <c r="U445" s="1398"/>
      <c r="V445" s="1398"/>
      <c r="W445" s="1398"/>
      <c r="X445" s="1398"/>
      <c r="Y445" s="1398"/>
      <c r="Z445" s="1398"/>
      <c r="AA445" s="1398"/>
      <c r="AB445" s="1398"/>
      <c r="AC445" s="1398"/>
      <c r="AD445" s="1398"/>
      <c r="AE445" s="1398"/>
    </row>
    <row r="446" spans="1:31" ht="15" customHeight="1" x14ac:dyDescent="0.35">
      <c r="A446" s="1398"/>
      <c r="B446" s="2164" t="s">
        <v>2542</v>
      </c>
      <c r="C446" s="2159" t="str">
        <f t="shared" ref="C446:I446" si="63">IF(AND(ISNUMBER(C447),ISNUMBER(C448)),C447+C448,"")</f>
        <v/>
      </c>
      <c r="D446" s="2159" t="str">
        <f t="shared" si="63"/>
        <v/>
      </c>
      <c r="E446" s="2159" t="str">
        <f t="shared" si="63"/>
        <v/>
      </c>
      <c r="F446" s="2159" t="str">
        <f t="shared" si="63"/>
        <v/>
      </c>
      <c r="G446" s="2159" t="str">
        <f t="shared" si="63"/>
        <v/>
      </c>
      <c r="H446" s="2159" t="str">
        <f t="shared" si="63"/>
        <v/>
      </c>
      <c r="I446" s="2159" t="str">
        <f t="shared" si="63"/>
        <v/>
      </c>
      <c r="J446" s="2157"/>
      <c r="K446" s="2159" t="str">
        <f>IF(AND(ISNUMBER(K447),ISNUMBER(K448)),K447+K448,"")</f>
        <v/>
      </c>
      <c r="L446" s="2157"/>
      <c r="M446" s="2159" t="str">
        <f>IF(AND(ISNUMBER(M447),ISNUMBER(M448)),M447+M448,"")</f>
        <v/>
      </c>
      <c r="N446" s="2157"/>
      <c r="O446" s="2157"/>
      <c r="P446" s="2157"/>
      <c r="Q446" s="2157"/>
      <c r="R446" s="1398"/>
      <c r="S446" s="1398"/>
      <c r="T446" s="1398"/>
      <c r="U446" s="1398"/>
      <c r="V446" s="1398"/>
      <c r="W446" s="1398"/>
      <c r="X446" s="1398"/>
      <c r="Y446" s="1398"/>
      <c r="Z446" s="1398"/>
      <c r="AA446" s="1398"/>
      <c r="AB446" s="1398"/>
      <c r="AC446" s="1398"/>
      <c r="AD446" s="1398"/>
      <c r="AE446" s="1398"/>
    </row>
    <row r="447" spans="1:31" ht="15" customHeight="1" x14ac:dyDescent="0.3">
      <c r="A447" s="1398"/>
      <c r="B447" s="2163" t="s">
        <v>2541</v>
      </c>
      <c r="C447" s="2151"/>
      <c r="D447" s="2151"/>
      <c r="E447" s="2151"/>
      <c r="F447" s="2151"/>
      <c r="G447" s="2151"/>
      <c r="H447" s="2151"/>
      <c r="I447" s="2151"/>
      <c r="J447" s="2157"/>
      <c r="K447" s="2151"/>
      <c r="L447" s="2157"/>
      <c r="M447" s="2151"/>
      <c r="N447" s="2157"/>
      <c r="O447" s="2157"/>
      <c r="P447" s="2157"/>
      <c r="Q447" s="2157"/>
      <c r="R447" s="1398"/>
      <c r="S447" s="1398"/>
      <c r="T447" s="1398"/>
      <c r="U447" s="1398"/>
      <c r="V447" s="1398"/>
      <c r="W447" s="1398"/>
      <c r="X447" s="1398"/>
      <c r="Y447" s="1398"/>
      <c r="Z447" s="1398"/>
      <c r="AA447" s="1398"/>
      <c r="AB447" s="1398"/>
      <c r="AC447" s="1398"/>
      <c r="AD447" s="1398"/>
      <c r="AE447" s="1398"/>
    </row>
    <row r="448" spans="1:31" ht="15" customHeight="1" x14ac:dyDescent="0.3">
      <c r="A448" s="1398"/>
      <c r="B448" s="2163" t="s">
        <v>1760</v>
      </c>
      <c r="C448" s="2151"/>
      <c r="D448" s="2151"/>
      <c r="E448" s="2151"/>
      <c r="F448" s="2151"/>
      <c r="G448" s="2151"/>
      <c r="H448" s="2151"/>
      <c r="I448" s="2151"/>
      <c r="J448" s="2157"/>
      <c r="K448" s="2151"/>
      <c r="L448" s="2157"/>
      <c r="M448" s="2151"/>
      <c r="N448" s="2157"/>
      <c r="O448" s="2157"/>
      <c r="P448" s="2157"/>
      <c r="Q448" s="2157"/>
      <c r="R448" s="1398"/>
      <c r="S448" s="1398"/>
      <c r="T448" s="1398"/>
      <c r="U448" s="1398"/>
      <c r="V448" s="1398"/>
      <c r="W448" s="1398"/>
      <c r="X448" s="1398"/>
      <c r="Y448" s="1398"/>
      <c r="Z448" s="1398"/>
      <c r="AA448" s="1398"/>
      <c r="AB448" s="1398"/>
      <c r="AC448" s="1398"/>
      <c r="AD448" s="1398"/>
      <c r="AE448" s="1398"/>
    </row>
    <row r="449" spans="1:31" ht="15" customHeight="1" x14ac:dyDescent="0.35">
      <c r="A449" s="1398"/>
      <c r="B449" s="2181" t="s">
        <v>2540</v>
      </c>
      <c r="C449" s="2159" t="str">
        <f t="shared" ref="C449:I449" si="64">IF(AND(ISNUMBER(C450),ISNUMBER(C451)),C450+C451,"")</f>
        <v/>
      </c>
      <c r="D449" s="2159" t="str">
        <f t="shared" si="64"/>
        <v/>
      </c>
      <c r="E449" s="2159" t="str">
        <f t="shared" si="64"/>
        <v/>
      </c>
      <c r="F449" s="2159" t="str">
        <f t="shared" si="64"/>
        <v/>
      </c>
      <c r="G449" s="2159" t="str">
        <f t="shared" si="64"/>
        <v/>
      </c>
      <c r="H449" s="2159" t="str">
        <f t="shared" si="64"/>
        <v/>
      </c>
      <c r="I449" s="2159" t="str">
        <f t="shared" si="64"/>
        <v/>
      </c>
      <c r="J449" s="2157"/>
      <c r="K449" s="2159" t="str">
        <f>IF(AND(ISNUMBER(K450),ISNUMBER(K451)),K450+K451,"")</f>
        <v/>
      </c>
      <c r="L449" s="2157"/>
      <c r="M449" s="2159" t="str">
        <f>IF(AND(ISNUMBER(M450),ISNUMBER(M451)),M450+M451,"")</f>
        <v/>
      </c>
      <c r="N449" s="2157"/>
      <c r="O449" s="2157"/>
      <c r="P449" s="2157"/>
      <c r="Q449" s="2157"/>
      <c r="R449" s="1398"/>
      <c r="S449" s="1398"/>
      <c r="T449" s="1398"/>
      <c r="U449" s="1398"/>
      <c r="V449" s="1398"/>
      <c r="W449" s="1398"/>
      <c r="X449" s="1398"/>
      <c r="Y449" s="1398"/>
      <c r="Z449" s="1398"/>
      <c r="AA449" s="1398"/>
      <c r="AB449" s="1398"/>
      <c r="AC449" s="1398"/>
      <c r="AD449" s="1398"/>
      <c r="AE449" s="1398"/>
    </row>
    <row r="450" spans="1:31" ht="15" customHeight="1" x14ac:dyDescent="0.3">
      <c r="A450" s="1398"/>
      <c r="B450" s="2155" t="s">
        <v>2539</v>
      </c>
      <c r="C450" s="2151"/>
      <c r="D450" s="2151"/>
      <c r="E450" s="2151"/>
      <c r="F450" s="2151"/>
      <c r="G450" s="2151"/>
      <c r="H450" s="2151"/>
      <c r="I450" s="2151"/>
      <c r="J450" s="2157"/>
      <c r="K450" s="2151"/>
      <c r="L450" s="2157"/>
      <c r="M450" s="2151"/>
      <c r="N450" s="2157"/>
      <c r="O450" s="2157"/>
      <c r="P450" s="2157"/>
      <c r="Q450" s="2157"/>
      <c r="R450" s="1398"/>
      <c r="S450" s="1398"/>
      <c r="T450" s="1398"/>
      <c r="U450" s="1398"/>
      <c r="V450" s="1398"/>
      <c r="W450" s="1398"/>
      <c r="X450" s="1398"/>
      <c r="Y450" s="1398"/>
      <c r="Z450" s="1398"/>
      <c r="AA450" s="1398"/>
      <c r="AB450" s="1398"/>
      <c r="AC450" s="1398"/>
      <c r="AD450" s="1398"/>
      <c r="AE450" s="1398"/>
    </row>
    <row r="451" spans="1:31" ht="15" customHeight="1" x14ac:dyDescent="0.3">
      <c r="A451" s="1398"/>
      <c r="B451" s="2155" t="s">
        <v>1760</v>
      </c>
      <c r="C451" s="2151"/>
      <c r="D451" s="2151"/>
      <c r="E451" s="2151"/>
      <c r="F451" s="2151"/>
      <c r="G451" s="2151"/>
      <c r="H451" s="2151"/>
      <c r="I451" s="2151"/>
      <c r="J451" s="2157"/>
      <c r="K451" s="2151"/>
      <c r="L451" s="2157"/>
      <c r="M451" s="2151"/>
      <c r="N451" s="2157"/>
      <c r="O451" s="2157"/>
      <c r="P451" s="2157"/>
      <c r="Q451" s="2157"/>
      <c r="R451" s="1398"/>
      <c r="S451" s="1398"/>
      <c r="T451" s="1398"/>
      <c r="U451" s="1398"/>
      <c r="V451" s="1398"/>
      <c r="W451" s="1398"/>
      <c r="X451" s="1398"/>
      <c r="Y451" s="1398"/>
      <c r="Z451" s="1398"/>
      <c r="AA451" s="1398"/>
      <c r="AB451" s="1398"/>
      <c r="AC451" s="1398"/>
      <c r="AD451" s="1398"/>
      <c r="AE451" s="1398"/>
    </row>
    <row r="452" spans="1:31" ht="15" customHeight="1" x14ac:dyDescent="0.35">
      <c r="A452" s="1398"/>
      <c r="B452" s="569" t="s">
        <v>59</v>
      </c>
      <c r="C452" s="2156">
        <f t="shared" ref="C452:Q452" si="65">IF(AND(ISNUMBER(C454),ISNUMBER(C453)),SUM(C453:C454),0)</f>
        <v>0</v>
      </c>
      <c r="D452" s="2156">
        <f t="shared" si="65"/>
        <v>0</v>
      </c>
      <c r="E452" s="2156">
        <f t="shared" si="65"/>
        <v>0</v>
      </c>
      <c r="F452" s="2156">
        <f t="shared" si="65"/>
        <v>0</v>
      </c>
      <c r="G452" s="2156">
        <f t="shared" si="65"/>
        <v>0</v>
      </c>
      <c r="H452" s="2156">
        <f t="shared" si="65"/>
        <v>0</v>
      </c>
      <c r="I452" s="2156">
        <f t="shared" si="65"/>
        <v>0</v>
      </c>
      <c r="J452" s="2156">
        <f t="shared" si="65"/>
        <v>0</v>
      </c>
      <c r="K452" s="2156">
        <f t="shared" si="65"/>
        <v>0</v>
      </c>
      <c r="L452" s="2156">
        <f t="shared" si="65"/>
        <v>0</v>
      </c>
      <c r="M452" s="2156">
        <f t="shared" si="65"/>
        <v>0</v>
      </c>
      <c r="N452" s="2156">
        <f t="shared" si="65"/>
        <v>0</v>
      </c>
      <c r="O452" s="2156">
        <f t="shared" si="65"/>
        <v>0</v>
      </c>
      <c r="P452" s="2156">
        <f t="shared" si="65"/>
        <v>0</v>
      </c>
      <c r="Q452" s="2156">
        <f t="shared" si="65"/>
        <v>0</v>
      </c>
      <c r="R452" s="1398"/>
      <c r="S452" s="1398"/>
      <c r="T452" s="1398"/>
      <c r="U452" s="1398"/>
      <c r="V452" s="1398"/>
      <c r="W452" s="1398"/>
      <c r="X452" s="1398"/>
      <c r="Y452" s="1398"/>
      <c r="Z452" s="1398"/>
      <c r="AA452" s="1398"/>
      <c r="AB452" s="1398"/>
      <c r="AC452" s="1398"/>
      <c r="AD452" s="1398"/>
      <c r="AE452" s="1398"/>
    </row>
    <row r="453" spans="1:31" ht="15" customHeight="1" x14ac:dyDescent="0.3">
      <c r="A453" s="1398"/>
      <c r="B453" s="2155" t="s">
        <v>2538</v>
      </c>
      <c r="C453" s="2151"/>
      <c r="D453" s="2151"/>
      <c r="E453" s="2151"/>
      <c r="F453" s="2151"/>
      <c r="G453" s="2151"/>
      <c r="H453" s="2151"/>
      <c r="I453" s="23"/>
      <c r="J453" s="2151"/>
      <c r="K453" s="2151"/>
      <c r="L453" s="2151"/>
      <c r="M453" s="2151"/>
      <c r="N453" s="2151"/>
      <c r="O453" s="2151"/>
      <c r="P453" s="2151"/>
      <c r="Q453" s="2151"/>
      <c r="R453" s="1398"/>
      <c r="S453" s="1398"/>
      <c r="T453" s="1398"/>
      <c r="U453" s="1398"/>
      <c r="V453" s="1398"/>
      <c r="W453" s="1398"/>
      <c r="X453" s="1398"/>
      <c r="Y453" s="1398"/>
      <c r="Z453" s="1398"/>
      <c r="AA453" s="1398"/>
      <c r="AB453" s="1398"/>
      <c r="AC453" s="1398"/>
      <c r="AD453" s="1398"/>
      <c r="AE453" s="1398"/>
    </row>
    <row r="454" spans="1:31" ht="15" customHeight="1" x14ac:dyDescent="0.3">
      <c r="A454" s="1398"/>
      <c r="B454" s="2155" t="s">
        <v>2537</v>
      </c>
      <c r="C454" s="2151"/>
      <c r="D454" s="2151"/>
      <c r="E454" s="2151"/>
      <c r="F454" s="2151"/>
      <c r="G454" s="2151"/>
      <c r="H454" s="2151"/>
      <c r="I454" s="23"/>
      <c r="J454" s="2151"/>
      <c r="K454" s="2151"/>
      <c r="L454" s="2151"/>
      <c r="M454" s="2151"/>
      <c r="N454" s="2151"/>
      <c r="O454" s="2151"/>
      <c r="P454" s="2151"/>
      <c r="Q454" s="2151"/>
      <c r="R454" s="1398"/>
      <c r="S454" s="1398"/>
      <c r="T454" s="1398"/>
      <c r="U454" s="1398"/>
      <c r="V454" s="1398"/>
      <c r="W454" s="1398"/>
      <c r="X454" s="1398"/>
      <c r="Y454" s="1398"/>
      <c r="Z454" s="1398"/>
      <c r="AA454" s="1398"/>
      <c r="AB454" s="1398"/>
      <c r="AC454" s="1398"/>
      <c r="AD454" s="1398"/>
      <c r="AE454" s="1398"/>
    </row>
    <row r="455" spans="1:31" ht="15" customHeight="1" x14ac:dyDescent="0.3">
      <c r="A455" s="1398"/>
      <c r="B455" s="2154" t="str">
        <f>"Check: row " &amp; ROW(B452) &amp;" = sum(row " &amp; ROW(B453) &amp; ", row "&amp; ROW(B454)&amp;")"</f>
        <v>Check: row 452 = sum(row 453, row 454)</v>
      </c>
      <c r="C455" s="2153" t="str">
        <f t="shared" ref="C455:Q455" si="66">IF(AND(ISNUMBER(C453), ISNUMBER(C454)), IF(C452=SUM(C453:C454), "Pass", "Fail"), "")</f>
        <v/>
      </c>
      <c r="D455" s="2153" t="str">
        <f t="shared" si="66"/>
        <v/>
      </c>
      <c r="E455" s="2153" t="str">
        <f t="shared" si="66"/>
        <v/>
      </c>
      <c r="F455" s="2153" t="str">
        <f t="shared" si="66"/>
        <v/>
      </c>
      <c r="G455" s="2153" t="str">
        <f t="shared" si="66"/>
        <v/>
      </c>
      <c r="H455" s="2153" t="str">
        <f t="shared" si="66"/>
        <v/>
      </c>
      <c r="I455" s="2153" t="str">
        <f t="shared" si="66"/>
        <v/>
      </c>
      <c r="J455" s="2153" t="str">
        <f t="shared" si="66"/>
        <v/>
      </c>
      <c r="K455" s="2153" t="str">
        <f t="shared" si="66"/>
        <v/>
      </c>
      <c r="L455" s="2153" t="str">
        <f t="shared" si="66"/>
        <v/>
      </c>
      <c r="M455" s="2153" t="str">
        <f t="shared" si="66"/>
        <v/>
      </c>
      <c r="N455" s="2153" t="str">
        <f t="shared" si="66"/>
        <v/>
      </c>
      <c r="O455" s="2153" t="str">
        <f t="shared" si="66"/>
        <v/>
      </c>
      <c r="P455" s="2153" t="str">
        <f t="shared" si="66"/>
        <v/>
      </c>
      <c r="Q455" s="2153" t="str">
        <f t="shared" si="66"/>
        <v/>
      </c>
      <c r="R455" s="1398"/>
      <c r="S455" s="1398"/>
      <c r="T455" s="1398"/>
      <c r="U455" s="1398"/>
      <c r="V455" s="1398"/>
      <c r="W455" s="1398"/>
      <c r="X455" s="1398"/>
      <c r="Y455" s="1398"/>
      <c r="Z455" s="1398"/>
      <c r="AA455" s="1398"/>
      <c r="AB455" s="1398"/>
      <c r="AC455" s="1398"/>
      <c r="AD455" s="1398"/>
      <c r="AE455" s="1398"/>
    </row>
    <row r="456" spans="1:31" ht="15" customHeight="1" x14ac:dyDescent="0.3">
      <c r="A456" s="1398"/>
      <c r="B456" s="2152" t="s">
        <v>2536</v>
      </c>
      <c r="C456" s="2151"/>
      <c r="D456" s="1398"/>
      <c r="E456" s="1398"/>
      <c r="F456" s="1398"/>
      <c r="G456" s="1398"/>
      <c r="H456" s="1398"/>
      <c r="I456" s="1398"/>
      <c r="J456" s="1398"/>
      <c r="K456" s="1398"/>
      <c r="L456" s="1398"/>
      <c r="M456" s="1398"/>
      <c r="N456" s="1398"/>
      <c r="O456" s="1398"/>
      <c r="P456" s="1398"/>
      <c r="Q456" s="1398"/>
      <c r="R456" s="1398"/>
      <c r="S456" s="1398"/>
      <c r="T456" s="1398"/>
      <c r="U456" s="1398"/>
      <c r="V456" s="1398"/>
      <c r="W456" s="1398"/>
      <c r="X456" s="1398"/>
      <c r="Y456" s="1398"/>
      <c r="Z456" s="1398"/>
      <c r="AA456" s="1398"/>
      <c r="AB456" s="1398"/>
      <c r="AC456" s="1398"/>
      <c r="AD456" s="1398"/>
      <c r="AE456" s="1398"/>
    </row>
    <row r="457" spans="1:31" ht="15" customHeight="1" x14ac:dyDescent="0.3">
      <c r="A457" s="1398"/>
      <c r="B457" s="2150" t="s">
        <v>2535</v>
      </c>
      <c r="C457" s="2149"/>
      <c r="D457" s="1398"/>
      <c r="E457" s="1398"/>
      <c r="F457" s="1398"/>
      <c r="G457" s="1398"/>
      <c r="H457" s="1398"/>
      <c r="I457" s="1398"/>
      <c r="J457" s="1398"/>
      <c r="K457" s="1398"/>
      <c r="L457" s="1398"/>
      <c r="M457" s="1398"/>
      <c r="N457" s="1398"/>
      <c r="O457" s="1398"/>
      <c r="P457" s="1398"/>
      <c r="Q457" s="1398"/>
      <c r="R457" s="1398"/>
      <c r="S457" s="1398"/>
      <c r="T457" s="1398"/>
      <c r="U457" s="1398"/>
      <c r="V457" s="1398"/>
      <c r="W457" s="1398"/>
      <c r="X457" s="1398"/>
      <c r="Y457" s="1398"/>
      <c r="Z457" s="1398"/>
      <c r="AA457" s="1398"/>
      <c r="AB457" s="1398"/>
      <c r="AC457" s="1398"/>
      <c r="AD457" s="1398"/>
      <c r="AE457" s="1398"/>
    </row>
    <row r="458" spans="1:31" ht="15" customHeight="1" x14ac:dyDescent="0.35">
      <c r="A458" s="1398"/>
      <c r="D458" s="1398"/>
      <c r="E458" s="1398"/>
      <c r="F458" s="1398"/>
      <c r="G458" s="1398"/>
      <c r="H458" s="1398"/>
      <c r="I458" s="1398"/>
      <c r="J458" s="1398"/>
      <c r="K458" s="1398"/>
      <c r="L458" s="1398"/>
      <c r="M458" s="1398"/>
      <c r="N458" s="1398"/>
      <c r="O458" s="1398"/>
      <c r="P458" s="1398"/>
      <c r="Q458" s="1398"/>
      <c r="R458" s="1398"/>
      <c r="S458" s="1398"/>
      <c r="T458" s="1398"/>
      <c r="U458" s="1398"/>
      <c r="V458" s="1398"/>
      <c r="W458" s="1398"/>
      <c r="X458" s="1398"/>
      <c r="Y458" s="1398"/>
      <c r="Z458" s="1398"/>
      <c r="AA458" s="1398"/>
      <c r="AB458" s="1398"/>
      <c r="AC458" s="1398"/>
      <c r="AD458" s="1398"/>
      <c r="AE458" s="1398"/>
    </row>
    <row r="459" spans="1:31" ht="19.5" customHeight="1" x14ac:dyDescent="0.3">
      <c r="A459" s="2196" t="s">
        <v>2579</v>
      </c>
      <c r="B459" s="2195"/>
      <c r="C459" s="2194" t="s">
        <v>2566</v>
      </c>
      <c r="D459" s="2173" t="str">
        <f>IF(ISBLANK($N$7),"",IF($N$7="No","Please leave Panel B"&amp;COLUMN($N$7)-2&amp;" empty","Please fill in Panel B"&amp;COLUMN($N$7)-2))</f>
        <v/>
      </c>
      <c r="E459" s="2193"/>
      <c r="F459" s="2193"/>
      <c r="G459" s="2193"/>
      <c r="H459" s="2193"/>
      <c r="I459" s="2193"/>
      <c r="J459" s="2193"/>
      <c r="K459" s="2193"/>
      <c r="L459" s="2193"/>
      <c r="M459" s="2193"/>
      <c r="N459" s="2193"/>
      <c r="O459" s="2193"/>
      <c r="P459" s="2193"/>
      <c r="Q459" s="2193"/>
      <c r="R459" s="1398"/>
      <c r="S459" s="1398"/>
      <c r="T459" s="1398"/>
      <c r="U459" s="1398"/>
      <c r="V459" s="1398"/>
      <c r="W459" s="1398"/>
      <c r="X459" s="1398"/>
      <c r="Y459" s="1398"/>
      <c r="Z459" s="1398"/>
      <c r="AA459" s="1398"/>
      <c r="AB459" s="1398"/>
      <c r="AC459" s="1398"/>
      <c r="AD459" s="1398"/>
      <c r="AE459" s="1398"/>
    </row>
    <row r="460" spans="1:31" ht="15" customHeight="1" x14ac:dyDescent="0.35">
      <c r="A460" s="1398"/>
      <c r="C460" s="2980" t="s">
        <v>207</v>
      </c>
      <c r="D460" s="2980"/>
      <c r="E460" s="2980"/>
      <c r="F460" s="2980"/>
      <c r="G460" s="2980"/>
      <c r="H460" s="2980"/>
      <c r="I460" s="2980"/>
      <c r="J460" s="2980"/>
      <c r="K460" s="2980"/>
      <c r="L460" s="2981"/>
      <c r="M460" s="2982" t="s">
        <v>2559</v>
      </c>
      <c r="N460" s="2984" t="s">
        <v>2565</v>
      </c>
      <c r="O460" s="2985"/>
      <c r="P460" s="2985"/>
      <c r="Q460" s="2985"/>
      <c r="R460" s="1398"/>
      <c r="S460" s="1398"/>
      <c r="T460" s="1398"/>
      <c r="U460" s="1398"/>
      <c r="V460" s="1398"/>
      <c r="W460" s="1398"/>
      <c r="X460" s="1398"/>
      <c r="Y460" s="1398"/>
      <c r="Z460" s="1398"/>
      <c r="AA460" s="1398"/>
      <c r="AB460" s="1398"/>
      <c r="AC460" s="1398"/>
      <c r="AD460" s="1398"/>
      <c r="AE460" s="1398"/>
    </row>
    <row r="461" spans="1:31" ht="15" customHeight="1" x14ac:dyDescent="0.35">
      <c r="A461" s="1398"/>
      <c r="B461" s="2172"/>
      <c r="C461" s="2967" t="s">
        <v>2564</v>
      </c>
      <c r="D461" s="2973" t="s">
        <v>465</v>
      </c>
      <c r="E461" s="2974"/>
      <c r="F461" s="2974"/>
      <c r="G461" s="2974"/>
      <c r="H461" s="2975"/>
      <c r="I461" s="2969" t="s">
        <v>2563</v>
      </c>
      <c r="J461" s="2969" t="s">
        <v>2562</v>
      </c>
      <c r="K461" s="2969" t="s">
        <v>2561</v>
      </c>
      <c r="L461" s="2969" t="s">
        <v>2560</v>
      </c>
      <c r="M461" s="2983"/>
      <c r="N461" s="2978" t="s">
        <v>207</v>
      </c>
      <c r="O461" s="2978" t="s">
        <v>2559</v>
      </c>
      <c r="P461" s="2969" t="s">
        <v>59</v>
      </c>
      <c r="Q461" s="2971" t="s">
        <v>2558</v>
      </c>
      <c r="R461" s="1398"/>
      <c r="S461" s="1398"/>
      <c r="T461" s="1398"/>
      <c r="U461" s="1398"/>
      <c r="V461" s="1398"/>
      <c r="W461" s="1398"/>
      <c r="X461" s="1398"/>
      <c r="Y461" s="1398"/>
      <c r="Z461" s="1398"/>
      <c r="AA461" s="1398"/>
      <c r="AB461" s="1398"/>
      <c r="AC461" s="1398"/>
      <c r="AD461" s="1398"/>
      <c r="AE461" s="1398"/>
    </row>
    <row r="462" spans="1:31" ht="48.6" customHeight="1" x14ac:dyDescent="0.35">
      <c r="A462" s="1398"/>
      <c r="B462" s="2171"/>
      <c r="C462" s="2968"/>
      <c r="D462" s="2170" t="s">
        <v>2557</v>
      </c>
      <c r="E462" s="2170" t="s">
        <v>2556</v>
      </c>
      <c r="F462" s="2170" t="s">
        <v>2555</v>
      </c>
      <c r="G462" s="2170" t="s">
        <v>2554</v>
      </c>
      <c r="H462" s="2170" t="s">
        <v>59</v>
      </c>
      <c r="I462" s="2970"/>
      <c r="J462" s="2970"/>
      <c r="K462" s="2970"/>
      <c r="L462" s="2970"/>
      <c r="M462" s="2970"/>
      <c r="N462" s="2979"/>
      <c r="O462" s="2979"/>
      <c r="P462" s="2970"/>
      <c r="Q462" s="2972"/>
      <c r="R462" s="1398"/>
      <c r="S462" s="1398"/>
      <c r="T462" s="1398"/>
      <c r="U462" s="1398"/>
      <c r="V462" s="1398"/>
      <c r="W462" s="1398"/>
      <c r="X462" s="1398"/>
      <c r="Y462" s="1398"/>
      <c r="Z462" s="1398"/>
      <c r="AA462" s="1398"/>
      <c r="AB462" s="1398"/>
      <c r="AC462" s="1398"/>
      <c r="AD462" s="1398"/>
      <c r="AE462" s="1398"/>
    </row>
    <row r="463" spans="1:31" ht="15" customHeight="1" x14ac:dyDescent="0.35">
      <c r="A463" s="1398"/>
      <c r="B463" s="2179" t="s">
        <v>2553</v>
      </c>
      <c r="C463" s="2168" t="str">
        <f t="shared" ref="C463:I463" si="67">IF(AND(ISNUMBER(C476),ISNUMBER(C472),ISNUMBER(C474),ISNUMBER(C464),ISNUMBER(C468),ISNUMBER(C466),ISNUMBER(C470),ISNUMBER(C478)),SUM(C464,C466,C468,C470,C472,C474,C476,C478),"")</f>
        <v/>
      </c>
      <c r="D463" s="2168" t="str">
        <f t="shared" si="67"/>
        <v/>
      </c>
      <c r="E463" s="2168" t="str">
        <f t="shared" si="67"/>
        <v/>
      </c>
      <c r="F463" s="2168" t="str">
        <f t="shared" si="67"/>
        <v/>
      </c>
      <c r="G463" s="2168" t="str">
        <f t="shared" si="67"/>
        <v/>
      </c>
      <c r="H463" s="2168" t="str">
        <f t="shared" si="67"/>
        <v/>
      </c>
      <c r="I463" s="2168" t="str">
        <f t="shared" si="67"/>
        <v/>
      </c>
      <c r="J463" s="2157"/>
      <c r="K463" s="2168" t="str">
        <f>IF(AND(ISNUMBER(K476),ISNUMBER(K472),ISNUMBER(K474),ISNUMBER(K464),ISNUMBER(K468),ISNUMBER(K466),ISNUMBER(K470),ISNUMBER(K478)),SUM(K464,K466,K468,K470,K472,K474,K476,K478),"")</f>
        <v/>
      </c>
      <c r="L463" s="2157"/>
      <c r="M463" s="2168" t="str">
        <f>IF(AND(ISNUMBER(M476),ISNUMBER(M472),ISNUMBER(M474),ISNUMBER(M464),ISNUMBER(M468),ISNUMBER(M466),ISNUMBER(M470),ISNUMBER(M478)),SUM(M464,M466,M468,M470,M472,M474,M476,M478),"")</f>
        <v/>
      </c>
      <c r="N463" s="2167"/>
      <c r="O463" s="2167"/>
      <c r="P463" s="2167"/>
      <c r="Q463" s="2167"/>
      <c r="R463" s="1398"/>
      <c r="S463" s="1398"/>
      <c r="T463" s="1398"/>
      <c r="U463" s="1398"/>
      <c r="V463" s="1398"/>
      <c r="W463" s="1398"/>
      <c r="X463" s="1398"/>
      <c r="Y463" s="1398"/>
      <c r="Z463" s="1398"/>
      <c r="AA463" s="1398"/>
      <c r="AB463" s="1398"/>
      <c r="AC463" s="1398"/>
      <c r="AD463" s="1398"/>
      <c r="AE463" s="1398"/>
    </row>
    <row r="464" spans="1:31" ht="15" customHeight="1" x14ac:dyDescent="0.3">
      <c r="A464" s="1398"/>
      <c r="B464" s="2163" t="s">
        <v>2552</v>
      </c>
      <c r="C464" s="2151"/>
      <c r="D464" s="2151"/>
      <c r="E464" s="2151"/>
      <c r="F464" s="2151"/>
      <c r="G464" s="2151"/>
      <c r="H464" s="2151"/>
      <c r="I464" s="2151"/>
      <c r="J464" s="2157"/>
      <c r="K464" s="2151"/>
      <c r="L464" s="2157"/>
      <c r="M464" s="2151"/>
      <c r="N464" s="2157"/>
      <c r="O464" s="2157"/>
      <c r="P464" s="2157"/>
      <c r="Q464" s="2157"/>
      <c r="R464" s="1398"/>
      <c r="S464" s="1398"/>
      <c r="T464" s="1398"/>
      <c r="U464" s="1398"/>
      <c r="V464" s="1398"/>
      <c r="W464" s="1398"/>
      <c r="X464" s="1398"/>
      <c r="Y464" s="1398"/>
      <c r="Z464" s="1398"/>
      <c r="AA464" s="1398"/>
      <c r="AB464" s="1398"/>
      <c r="AC464" s="1398"/>
      <c r="AD464" s="1398"/>
      <c r="AE464" s="1398"/>
    </row>
    <row r="465" spans="1:31" ht="15" customHeight="1" x14ac:dyDescent="0.3">
      <c r="A465" s="1398"/>
      <c r="B465" s="2162" t="s">
        <v>2543</v>
      </c>
      <c r="C465" s="2151"/>
      <c r="D465" s="2151"/>
      <c r="E465" s="2151"/>
      <c r="F465" s="2151"/>
      <c r="G465" s="2151"/>
      <c r="H465" s="2151"/>
      <c r="I465" s="2151"/>
      <c r="J465" s="2157"/>
      <c r="K465" s="2151"/>
      <c r="L465" s="2157"/>
      <c r="M465" s="2151"/>
      <c r="N465" s="2157"/>
      <c r="O465" s="2157"/>
      <c r="P465" s="2157"/>
      <c r="Q465" s="2157"/>
      <c r="R465" s="1398"/>
      <c r="S465" s="1398"/>
      <c r="T465" s="1398"/>
      <c r="U465" s="1398"/>
      <c r="V465" s="1398"/>
      <c r="W465" s="1398"/>
      <c r="X465" s="1398"/>
      <c r="Y465" s="1398"/>
      <c r="Z465" s="1398"/>
      <c r="AA465" s="1398"/>
      <c r="AB465" s="1398"/>
      <c r="AC465" s="1398"/>
      <c r="AD465" s="1398"/>
      <c r="AE465" s="1398"/>
    </row>
    <row r="466" spans="1:31" ht="15" customHeight="1" x14ac:dyDescent="0.3">
      <c r="A466" s="1398"/>
      <c r="B466" s="2163" t="s">
        <v>2551</v>
      </c>
      <c r="C466" s="2151"/>
      <c r="D466" s="2151"/>
      <c r="E466" s="2151"/>
      <c r="F466" s="2151"/>
      <c r="G466" s="2151"/>
      <c r="H466" s="2151"/>
      <c r="I466" s="2151"/>
      <c r="J466" s="2157"/>
      <c r="K466" s="2151"/>
      <c r="L466" s="2157"/>
      <c r="M466" s="2151"/>
      <c r="N466" s="2157"/>
      <c r="O466" s="2157"/>
      <c r="P466" s="2157"/>
      <c r="Q466" s="2157"/>
      <c r="R466" s="1398"/>
      <c r="S466" s="1398"/>
      <c r="T466" s="1398"/>
      <c r="U466" s="1398"/>
      <c r="V466" s="1398"/>
      <c r="W466" s="1398"/>
      <c r="X466" s="1398"/>
      <c r="Y466" s="1398"/>
      <c r="Z466" s="1398"/>
      <c r="AA466" s="1398"/>
      <c r="AB466" s="1398"/>
      <c r="AC466" s="1398"/>
      <c r="AD466" s="1398"/>
      <c r="AE466" s="1398"/>
    </row>
    <row r="467" spans="1:31" ht="15" customHeight="1" x14ac:dyDescent="0.3">
      <c r="A467" s="1398"/>
      <c r="B467" s="2162" t="s">
        <v>2543</v>
      </c>
      <c r="C467" s="2151"/>
      <c r="D467" s="2151"/>
      <c r="E467" s="2151"/>
      <c r="F467" s="2151"/>
      <c r="G467" s="2151"/>
      <c r="H467" s="2151"/>
      <c r="I467" s="2151"/>
      <c r="J467" s="2157"/>
      <c r="K467" s="2151"/>
      <c r="L467" s="2157"/>
      <c r="M467" s="2151"/>
      <c r="N467" s="2157"/>
      <c r="O467" s="2157"/>
      <c r="P467" s="2157"/>
      <c r="Q467" s="2157"/>
      <c r="R467" s="1398"/>
      <c r="S467" s="1398"/>
      <c r="T467" s="1398"/>
      <c r="U467" s="1398"/>
      <c r="V467" s="1398"/>
      <c r="W467" s="1398"/>
      <c r="X467" s="1398"/>
      <c r="Y467" s="1398"/>
      <c r="Z467" s="1398"/>
      <c r="AA467" s="1398"/>
      <c r="AB467" s="1398"/>
      <c r="AC467" s="1398"/>
      <c r="AD467" s="1398"/>
      <c r="AE467" s="1398"/>
    </row>
    <row r="468" spans="1:31" ht="15" customHeight="1" x14ac:dyDescent="0.3">
      <c r="A468" s="1398"/>
      <c r="B468" s="2163" t="s">
        <v>2550</v>
      </c>
      <c r="C468" s="2151"/>
      <c r="D468" s="2151"/>
      <c r="E468" s="2151"/>
      <c r="F468" s="2151"/>
      <c r="G468" s="2151"/>
      <c r="H468" s="2151"/>
      <c r="I468" s="2151"/>
      <c r="J468" s="2157"/>
      <c r="K468" s="2151"/>
      <c r="L468" s="2157"/>
      <c r="M468" s="2151"/>
      <c r="N468" s="2157"/>
      <c r="O468" s="2157"/>
      <c r="P468" s="2157"/>
      <c r="Q468" s="2157"/>
      <c r="R468" s="1398"/>
      <c r="S468" s="1398"/>
      <c r="T468" s="1398"/>
      <c r="U468" s="1398"/>
      <c r="V468" s="1398"/>
      <c r="W468" s="1398"/>
      <c r="X468" s="1398"/>
      <c r="Y468" s="1398"/>
      <c r="Z468" s="1398"/>
      <c r="AA468" s="1398"/>
      <c r="AB468" s="1398"/>
      <c r="AC468" s="1398"/>
      <c r="AD468" s="1398"/>
      <c r="AE468" s="1398"/>
    </row>
    <row r="469" spans="1:31" ht="15" customHeight="1" x14ac:dyDescent="0.3">
      <c r="A469" s="1398"/>
      <c r="B469" s="2162" t="s">
        <v>2543</v>
      </c>
      <c r="C469" s="2151"/>
      <c r="D469" s="2151"/>
      <c r="E469" s="2151"/>
      <c r="F469" s="2151"/>
      <c r="G469" s="2151"/>
      <c r="H469" s="2151"/>
      <c r="I469" s="2151"/>
      <c r="J469" s="2157"/>
      <c r="K469" s="2151"/>
      <c r="L469" s="2157"/>
      <c r="M469" s="2151"/>
      <c r="N469" s="2157"/>
      <c r="O469" s="2157"/>
      <c r="P469" s="2157"/>
      <c r="Q469" s="2157"/>
      <c r="R469" s="1398"/>
      <c r="S469" s="1398"/>
      <c r="T469" s="1398"/>
      <c r="U469" s="1398"/>
      <c r="V469" s="1398"/>
      <c r="W469" s="1398"/>
      <c r="X469" s="1398"/>
      <c r="Y469" s="1398"/>
      <c r="Z469" s="1398"/>
      <c r="AA469" s="1398"/>
      <c r="AB469" s="1398"/>
      <c r="AC469" s="1398"/>
      <c r="AD469" s="1398"/>
      <c r="AE469" s="1398"/>
    </row>
    <row r="470" spans="1:31" ht="15" customHeight="1" x14ac:dyDescent="0.3">
      <c r="A470" s="1398"/>
      <c r="B470" s="2163" t="s">
        <v>2549</v>
      </c>
      <c r="C470" s="2151"/>
      <c r="D470" s="2151"/>
      <c r="E470" s="2151"/>
      <c r="F470" s="2151"/>
      <c r="G470" s="2151"/>
      <c r="H470" s="2151"/>
      <c r="I470" s="2151"/>
      <c r="J470" s="2157"/>
      <c r="K470" s="2151"/>
      <c r="L470" s="2157"/>
      <c r="M470" s="2151"/>
      <c r="N470" s="2157"/>
      <c r="O470" s="2157"/>
      <c r="P470" s="2157"/>
      <c r="Q470" s="2157"/>
      <c r="R470" s="1398"/>
      <c r="S470" s="1398"/>
      <c r="T470" s="1398"/>
      <c r="U470" s="1398"/>
      <c r="V470" s="1398"/>
      <c r="W470" s="1398"/>
      <c r="X470" s="1398"/>
      <c r="Y470" s="1398"/>
      <c r="Z470" s="1398"/>
      <c r="AA470" s="1398"/>
      <c r="AB470" s="1398"/>
      <c r="AC470" s="1398"/>
      <c r="AD470" s="1398"/>
      <c r="AE470" s="1398"/>
    </row>
    <row r="471" spans="1:31" ht="15" customHeight="1" x14ac:dyDescent="0.3">
      <c r="A471" s="1398"/>
      <c r="B471" s="2162" t="s">
        <v>2543</v>
      </c>
      <c r="C471" s="2151"/>
      <c r="D471" s="2151"/>
      <c r="E471" s="2151"/>
      <c r="F471" s="2151"/>
      <c r="G471" s="2151"/>
      <c r="H471" s="2151"/>
      <c r="I471" s="2151"/>
      <c r="J471" s="2157"/>
      <c r="K471" s="2151"/>
      <c r="L471" s="2157"/>
      <c r="M471" s="2151"/>
      <c r="N471" s="2157"/>
      <c r="O471" s="2157"/>
      <c r="P471" s="2157"/>
      <c r="Q471" s="2157"/>
      <c r="R471" s="1398"/>
      <c r="S471" s="1398"/>
      <c r="T471" s="1398"/>
      <c r="U471" s="1398"/>
      <c r="V471" s="1398"/>
      <c r="W471" s="1398"/>
      <c r="X471" s="1398"/>
      <c r="Y471" s="1398"/>
      <c r="Z471" s="1398"/>
      <c r="AA471" s="1398"/>
      <c r="AB471" s="1398"/>
      <c r="AC471" s="1398"/>
      <c r="AD471" s="1398"/>
      <c r="AE471" s="1398"/>
    </row>
    <row r="472" spans="1:31" ht="15" customHeight="1" x14ac:dyDescent="0.35">
      <c r="A472" s="1398"/>
      <c r="B472" s="2192" t="s">
        <v>2548</v>
      </c>
      <c r="C472" s="2151"/>
      <c r="D472" s="2151"/>
      <c r="E472" s="2151"/>
      <c r="F472" s="2151"/>
      <c r="G472" s="2151"/>
      <c r="H472" s="2151"/>
      <c r="I472" s="2151"/>
      <c r="J472" s="2157"/>
      <c r="K472" s="2151"/>
      <c r="L472" s="2157"/>
      <c r="M472" s="2151"/>
      <c r="N472" s="2157"/>
      <c r="O472" s="2157"/>
      <c r="P472" s="2157"/>
      <c r="Q472" s="2157"/>
      <c r="R472" s="1398"/>
      <c r="S472" s="1398"/>
      <c r="T472" s="1398"/>
      <c r="U472" s="1398"/>
      <c r="V472" s="1398"/>
      <c r="W472" s="1398"/>
      <c r="X472" s="1398"/>
      <c r="Y472" s="1398"/>
      <c r="Z472" s="1398"/>
      <c r="AA472" s="1398"/>
      <c r="AB472" s="1398"/>
      <c r="AC472" s="1398"/>
      <c r="AD472" s="1398"/>
      <c r="AE472" s="1398"/>
    </row>
    <row r="473" spans="1:31" ht="15" customHeight="1" x14ac:dyDescent="0.3">
      <c r="A473" s="1398"/>
      <c r="B473" s="2162" t="s">
        <v>2543</v>
      </c>
      <c r="C473" s="2151"/>
      <c r="D473" s="2151"/>
      <c r="E473" s="2151"/>
      <c r="F473" s="2151"/>
      <c r="G473" s="2151"/>
      <c r="H473" s="2151"/>
      <c r="I473" s="2151"/>
      <c r="J473" s="2157"/>
      <c r="K473" s="2151"/>
      <c r="L473" s="2157"/>
      <c r="M473" s="2151"/>
      <c r="N473" s="2157"/>
      <c r="O473" s="2157"/>
      <c r="P473" s="2157"/>
      <c r="Q473" s="2157"/>
      <c r="R473" s="1398"/>
      <c r="S473" s="1398"/>
      <c r="T473" s="1398"/>
      <c r="U473" s="1398"/>
      <c r="V473" s="1398"/>
      <c r="W473" s="1398"/>
      <c r="X473" s="1398"/>
      <c r="Y473" s="1398"/>
      <c r="Z473" s="1398"/>
      <c r="AA473" s="1398"/>
      <c r="AB473" s="1398"/>
      <c r="AC473" s="1398"/>
      <c r="AD473" s="1398"/>
      <c r="AE473" s="1398"/>
    </row>
    <row r="474" spans="1:31" ht="15" customHeight="1" x14ac:dyDescent="0.3">
      <c r="A474" s="1398"/>
      <c r="B474" s="2163" t="s">
        <v>2547</v>
      </c>
      <c r="C474" s="2151"/>
      <c r="D474" s="2151"/>
      <c r="E474" s="2151"/>
      <c r="F474" s="2151"/>
      <c r="G474" s="2151"/>
      <c r="H474" s="2151"/>
      <c r="I474" s="2151"/>
      <c r="J474" s="2157"/>
      <c r="K474" s="2151"/>
      <c r="L474" s="2157"/>
      <c r="M474" s="2151"/>
      <c r="N474" s="2157"/>
      <c r="O474" s="2157"/>
      <c r="P474" s="2157"/>
      <c r="Q474" s="2157"/>
      <c r="R474" s="1398"/>
      <c r="S474" s="1398"/>
      <c r="T474" s="1398"/>
      <c r="U474" s="1398"/>
      <c r="V474" s="1398"/>
      <c r="W474" s="1398"/>
      <c r="X474" s="1398"/>
      <c r="Y474" s="1398"/>
      <c r="Z474" s="1398"/>
      <c r="AA474" s="1398"/>
      <c r="AB474" s="1398"/>
      <c r="AC474" s="1398"/>
      <c r="AD474" s="1398"/>
      <c r="AE474" s="1398"/>
    </row>
    <row r="475" spans="1:31" ht="15" customHeight="1" x14ac:dyDescent="0.3">
      <c r="A475" s="1398"/>
      <c r="B475" s="2162" t="s">
        <v>2543</v>
      </c>
      <c r="C475" s="2151"/>
      <c r="D475" s="2151"/>
      <c r="E475" s="2151"/>
      <c r="F475" s="2151"/>
      <c r="G475" s="2151"/>
      <c r="H475" s="2151"/>
      <c r="I475" s="2151"/>
      <c r="J475" s="2157"/>
      <c r="K475" s="2151"/>
      <c r="L475" s="2157"/>
      <c r="M475" s="2151"/>
      <c r="N475" s="2157"/>
      <c r="O475" s="2157"/>
      <c r="P475" s="2157"/>
      <c r="Q475" s="2157"/>
      <c r="R475" s="1398"/>
      <c r="S475" s="1398"/>
      <c r="T475" s="1398"/>
      <c r="U475" s="1398"/>
      <c r="V475" s="1398"/>
      <c r="W475" s="1398"/>
      <c r="X475" s="1398"/>
      <c r="Y475" s="1398"/>
      <c r="Z475" s="1398"/>
      <c r="AA475" s="1398"/>
      <c r="AB475" s="1398"/>
      <c r="AC475" s="1398"/>
      <c r="AD475" s="1398"/>
      <c r="AE475" s="1398"/>
    </row>
    <row r="476" spans="1:31" ht="15" customHeight="1" x14ac:dyDescent="0.3">
      <c r="A476" s="1398"/>
      <c r="B476" s="2166" t="s">
        <v>2546</v>
      </c>
      <c r="C476" s="2151"/>
      <c r="D476" s="2151"/>
      <c r="E476" s="2151"/>
      <c r="F476" s="2151"/>
      <c r="G476" s="2151"/>
      <c r="H476" s="2151"/>
      <c r="I476" s="2151"/>
      <c r="J476" s="2157"/>
      <c r="K476" s="2151"/>
      <c r="L476" s="2157"/>
      <c r="M476" s="2151"/>
      <c r="N476" s="2157"/>
      <c r="O476" s="2157"/>
      <c r="P476" s="2157"/>
      <c r="Q476" s="2157"/>
      <c r="R476" s="1398"/>
      <c r="S476" s="1398"/>
      <c r="T476" s="1398"/>
      <c r="U476" s="1398"/>
      <c r="V476" s="1398"/>
      <c r="W476" s="1398"/>
      <c r="X476" s="1398"/>
      <c r="Y476" s="1398"/>
      <c r="Z476" s="1398"/>
      <c r="AA476" s="1398"/>
      <c r="AB476" s="1398"/>
      <c r="AC476" s="1398"/>
      <c r="AD476" s="1398"/>
      <c r="AE476" s="1398"/>
    </row>
    <row r="477" spans="1:31" ht="15" customHeight="1" x14ac:dyDescent="0.3">
      <c r="A477" s="1398"/>
      <c r="B477" s="2162" t="s">
        <v>2543</v>
      </c>
      <c r="C477" s="2151"/>
      <c r="D477" s="2151"/>
      <c r="E477" s="2151"/>
      <c r="F477" s="2151"/>
      <c r="G477" s="2151"/>
      <c r="H477" s="2151"/>
      <c r="I477" s="2151"/>
      <c r="J477" s="2157"/>
      <c r="K477" s="2151"/>
      <c r="L477" s="2157"/>
      <c r="M477" s="2151"/>
      <c r="N477" s="2157"/>
      <c r="O477" s="2157"/>
      <c r="P477" s="2157"/>
      <c r="Q477" s="2157"/>
      <c r="R477" s="1398"/>
      <c r="S477" s="1398"/>
      <c r="T477" s="1398"/>
      <c r="U477" s="1398"/>
      <c r="V477" s="1398"/>
      <c r="W477" s="1398"/>
      <c r="X477" s="1398"/>
      <c r="Y477" s="1398"/>
      <c r="Z477" s="1398"/>
      <c r="AA477" s="1398"/>
      <c r="AB477" s="1398"/>
      <c r="AC477" s="1398"/>
      <c r="AD477" s="1398"/>
      <c r="AE477" s="1398"/>
    </row>
    <row r="478" spans="1:31" ht="15" customHeight="1" x14ac:dyDescent="0.3">
      <c r="A478" s="1398"/>
      <c r="B478" s="2163" t="s">
        <v>1760</v>
      </c>
      <c r="C478" s="2151"/>
      <c r="D478" s="2151"/>
      <c r="E478" s="2151"/>
      <c r="F478" s="2151"/>
      <c r="G478" s="2151"/>
      <c r="H478" s="2151"/>
      <c r="I478" s="2151"/>
      <c r="J478" s="2157"/>
      <c r="K478" s="2151"/>
      <c r="L478" s="2157"/>
      <c r="M478" s="2151"/>
      <c r="N478" s="2157"/>
      <c r="O478" s="2157"/>
      <c r="P478" s="2157"/>
      <c r="Q478" s="2157"/>
      <c r="R478" s="1398"/>
      <c r="S478" s="1398"/>
      <c r="T478" s="1398"/>
      <c r="U478" s="1398"/>
      <c r="V478" s="1398"/>
      <c r="W478" s="1398"/>
      <c r="X478" s="1398"/>
      <c r="Y478" s="1398"/>
      <c r="Z478" s="1398"/>
      <c r="AA478" s="1398"/>
      <c r="AB478" s="1398"/>
      <c r="AC478" s="1398"/>
      <c r="AD478" s="1398"/>
      <c r="AE478" s="1398"/>
    </row>
    <row r="479" spans="1:31" ht="15" customHeight="1" x14ac:dyDescent="0.3">
      <c r="A479" s="1398"/>
      <c r="B479" s="2162" t="s">
        <v>2543</v>
      </c>
      <c r="C479" s="2151"/>
      <c r="D479" s="2151"/>
      <c r="E479" s="2151"/>
      <c r="F479" s="2151"/>
      <c r="G479" s="2151"/>
      <c r="H479" s="2151"/>
      <c r="I479" s="2151"/>
      <c r="J479" s="2157"/>
      <c r="K479" s="2151"/>
      <c r="L479" s="2157"/>
      <c r="M479" s="2151"/>
      <c r="N479" s="2157"/>
      <c r="O479" s="2157"/>
      <c r="P479" s="2157"/>
      <c r="Q479" s="2157"/>
      <c r="R479" s="1398"/>
      <c r="S479" s="1398"/>
      <c r="T479" s="1398"/>
      <c r="U479" s="1398"/>
      <c r="V479" s="1398"/>
      <c r="W479" s="1398"/>
      <c r="X479" s="1398"/>
      <c r="Y479" s="1398"/>
      <c r="Z479" s="1398"/>
      <c r="AA479" s="1398"/>
      <c r="AB479" s="1398"/>
      <c r="AC479" s="1398"/>
      <c r="AD479" s="1398"/>
      <c r="AE479" s="1398"/>
    </row>
    <row r="480" spans="1:31" ht="15" customHeight="1" x14ac:dyDescent="0.35">
      <c r="A480" s="1398"/>
      <c r="B480" s="2164" t="s">
        <v>2545</v>
      </c>
      <c r="C480" s="2159" t="str">
        <f t="shared" ref="C480:I480" si="68">IF(AND(ISNUMBER(C481),ISNUMBER(C483)),C481+C483,"")</f>
        <v/>
      </c>
      <c r="D480" s="2159" t="str">
        <f t="shared" si="68"/>
        <v/>
      </c>
      <c r="E480" s="2159" t="str">
        <f t="shared" si="68"/>
        <v/>
      </c>
      <c r="F480" s="2159" t="str">
        <f t="shared" si="68"/>
        <v/>
      </c>
      <c r="G480" s="2159" t="str">
        <f t="shared" si="68"/>
        <v/>
      </c>
      <c r="H480" s="2159" t="str">
        <f t="shared" si="68"/>
        <v/>
      </c>
      <c r="I480" s="2159" t="str">
        <f t="shared" si="68"/>
        <v/>
      </c>
      <c r="J480" s="2157"/>
      <c r="K480" s="2159" t="str">
        <f>IF(AND(ISNUMBER(K481),ISNUMBER(K483)),K481+K483,"")</f>
        <v/>
      </c>
      <c r="L480" s="2157"/>
      <c r="M480" s="2159" t="str">
        <f>IF(AND(ISNUMBER(M481),ISNUMBER(M483)),M481+M483,"")</f>
        <v/>
      </c>
      <c r="N480" s="2157"/>
      <c r="O480" s="2157"/>
      <c r="P480" s="2157"/>
      <c r="Q480" s="2157"/>
      <c r="R480" s="1398"/>
      <c r="S480" s="1398"/>
      <c r="T480" s="1398"/>
      <c r="U480" s="1398"/>
      <c r="V480" s="1398"/>
      <c r="W480" s="1398"/>
      <c r="X480" s="1398"/>
      <c r="Y480" s="1398"/>
      <c r="Z480" s="1398"/>
      <c r="AA480" s="1398"/>
      <c r="AB480" s="1398"/>
      <c r="AC480" s="1398"/>
      <c r="AD480" s="1398"/>
      <c r="AE480" s="1398"/>
    </row>
    <row r="481" spans="1:31" ht="15" customHeight="1" x14ac:dyDescent="0.3">
      <c r="A481" s="1398"/>
      <c r="B481" s="2163" t="s">
        <v>2544</v>
      </c>
      <c r="C481" s="2151"/>
      <c r="D481" s="2151"/>
      <c r="E481" s="2151"/>
      <c r="F481" s="2151"/>
      <c r="G481" s="2151"/>
      <c r="H481" s="2151"/>
      <c r="I481" s="2151"/>
      <c r="J481" s="2157"/>
      <c r="K481" s="2151"/>
      <c r="L481" s="2157"/>
      <c r="M481" s="2151"/>
      <c r="N481" s="2157"/>
      <c r="O481" s="2157"/>
      <c r="P481" s="2157"/>
      <c r="Q481" s="2157"/>
      <c r="R481" s="1398"/>
      <c r="S481" s="1398"/>
      <c r="T481" s="1398"/>
      <c r="U481" s="1398"/>
      <c r="V481" s="1398"/>
      <c r="W481" s="1398"/>
      <c r="X481" s="1398"/>
      <c r="Y481" s="1398"/>
      <c r="Z481" s="1398"/>
      <c r="AA481" s="1398"/>
      <c r="AB481" s="1398"/>
      <c r="AC481" s="1398"/>
      <c r="AD481" s="1398"/>
      <c r="AE481" s="1398"/>
    </row>
    <row r="482" spans="1:31" ht="15" customHeight="1" x14ac:dyDescent="0.3">
      <c r="A482" s="1398"/>
      <c r="B482" s="2162" t="s">
        <v>2543</v>
      </c>
      <c r="C482" s="2151"/>
      <c r="D482" s="2151"/>
      <c r="E482" s="2151"/>
      <c r="F482" s="2151"/>
      <c r="G482" s="2151"/>
      <c r="H482" s="2151"/>
      <c r="I482" s="2151"/>
      <c r="J482" s="2157"/>
      <c r="K482" s="2151"/>
      <c r="L482" s="2157"/>
      <c r="M482" s="2151"/>
      <c r="N482" s="2157"/>
      <c r="O482" s="2157"/>
      <c r="P482" s="2157"/>
      <c r="Q482" s="2157"/>
      <c r="R482" s="1398"/>
      <c r="S482" s="1398"/>
      <c r="T482" s="1398"/>
      <c r="U482" s="1398"/>
      <c r="V482" s="1398"/>
      <c r="W482" s="1398"/>
      <c r="X482" s="1398"/>
      <c r="Y482" s="1398"/>
      <c r="Z482" s="1398"/>
      <c r="AA482" s="1398"/>
      <c r="AB482" s="1398"/>
      <c r="AC482" s="1398"/>
      <c r="AD482" s="1398"/>
      <c r="AE482" s="1398"/>
    </row>
    <row r="483" spans="1:31" ht="15" customHeight="1" x14ac:dyDescent="0.3">
      <c r="A483" s="1398"/>
      <c r="B483" s="2163" t="s">
        <v>1760</v>
      </c>
      <c r="C483" s="2151"/>
      <c r="D483" s="2151"/>
      <c r="E483" s="2151"/>
      <c r="F483" s="2151"/>
      <c r="G483" s="2151"/>
      <c r="H483" s="2151"/>
      <c r="I483" s="2151"/>
      <c r="J483" s="2157"/>
      <c r="K483" s="2151"/>
      <c r="L483" s="2157"/>
      <c r="M483" s="2151"/>
      <c r="N483" s="2157"/>
      <c r="O483" s="2157"/>
      <c r="P483" s="2157"/>
      <c r="Q483" s="2157"/>
      <c r="R483" s="1398"/>
      <c r="S483" s="1398"/>
      <c r="T483" s="1398"/>
      <c r="U483" s="1398"/>
      <c r="V483" s="1398"/>
      <c r="W483" s="1398"/>
      <c r="X483" s="1398"/>
      <c r="Y483" s="1398"/>
      <c r="Z483" s="1398"/>
      <c r="AA483" s="1398"/>
      <c r="AB483" s="1398"/>
      <c r="AC483" s="1398"/>
      <c r="AD483" s="1398"/>
      <c r="AE483" s="1398"/>
    </row>
    <row r="484" spans="1:31" ht="15" customHeight="1" x14ac:dyDescent="0.3">
      <c r="A484" s="1398"/>
      <c r="B484" s="2162" t="s">
        <v>2543</v>
      </c>
      <c r="C484" s="2151"/>
      <c r="D484" s="2151"/>
      <c r="E484" s="2151"/>
      <c r="F484" s="2151"/>
      <c r="G484" s="2151"/>
      <c r="H484" s="2151"/>
      <c r="I484" s="2151"/>
      <c r="J484" s="2157"/>
      <c r="K484" s="2151"/>
      <c r="L484" s="2157"/>
      <c r="M484" s="2151"/>
      <c r="N484" s="2157"/>
      <c r="O484" s="2157"/>
      <c r="P484" s="2157"/>
      <c r="Q484" s="2157"/>
      <c r="R484" s="1398"/>
      <c r="S484" s="1398"/>
      <c r="T484" s="1398"/>
      <c r="U484" s="1398"/>
      <c r="V484" s="1398"/>
      <c r="W484" s="1398"/>
      <c r="X484" s="1398"/>
      <c r="Y484" s="1398"/>
      <c r="Z484" s="1398"/>
      <c r="AA484" s="1398"/>
      <c r="AB484" s="1398"/>
      <c r="AC484" s="1398"/>
      <c r="AD484" s="1398"/>
      <c r="AE484" s="1398"/>
    </row>
    <row r="485" spans="1:31" ht="15" customHeight="1" x14ac:dyDescent="0.3">
      <c r="A485" s="1398"/>
      <c r="B485" s="2164" t="s">
        <v>1941</v>
      </c>
      <c r="C485" s="2151"/>
      <c r="D485" s="2151"/>
      <c r="E485" s="2151"/>
      <c r="F485" s="2151"/>
      <c r="G485" s="2151"/>
      <c r="H485" s="2151"/>
      <c r="I485" s="2151"/>
      <c r="J485" s="2157"/>
      <c r="K485" s="2151"/>
      <c r="L485" s="2157"/>
      <c r="M485" s="2151"/>
      <c r="N485" s="2157"/>
      <c r="O485" s="2157"/>
      <c r="P485" s="2157"/>
      <c r="Q485" s="2157"/>
      <c r="R485" s="1398"/>
      <c r="S485" s="1398"/>
      <c r="T485" s="1398"/>
      <c r="U485" s="1398"/>
      <c r="V485" s="1398"/>
      <c r="W485" s="1398"/>
      <c r="X485" s="1398"/>
      <c r="Y485" s="1398"/>
      <c r="Z485" s="1398"/>
      <c r="AA485" s="1398"/>
      <c r="AB485" s="1398"/>
      <c r="AC485" s="1398"/>
      <c r="AD485" s="1398"/>
      <c r="AE485" s="1398"/>
    </row>
    <row r="486" spans="1:31" ht="15" customHeight="1" x14ac:dyDescent="0.35">
      <c r="A486" s="1398"/>
      <c r="B486" s="2181" t="s">
        <v>2542</v>
      </c>
      <c r="C486" s="2159" t="str">
        <f t="shared" ref="C486:I486" si="69">IF(AND(ISNUMBER(C487),ISNUMBER(C488)),C487+C488,"")</f>
        <v/>
      </c>
      <c r="D486" s="2159" t="str">
        <f t="shared" si="69"/>
        <v/>
      </c>
      <c r="E486" s="2159" t="str">
        <f t="shared" si="69"/>
        <v/>
      </c>
      <c r="F486" s="2159" t="str">
        <f t="shared" si="69"/>
        <v/>
      </c>
      <c r="G486" s="2159" t="str">
        <f t="shared" si="69"/>
        <v/>
      </c>
      <c r="H486" s="2159" t="str">
        <f t="shared" si="69"/>
        <v/>
      </c>
      <c r="I486" s="2159" t="str">
        <f t="shared" si="69"/>
        <v/>
      </c>
      <c r="J486" s="2157"/>
      <c r="K486" s="2159" t="str">
        <f>IF(AND(ISNUMBER(K487),ISNUMBER(K488)),K487+K488,"")</f>
        <v/>
      </c>
      <c r="L486" s="2157"/>
      <c r="M486" s="2159" t="str">
        <f>IF(AND(ISNUMBER(M487),ISNUMBER(M488)),M487+M488,"")</f>
        <v/>
      </c>
      <c r="N486" s="2157"/>
      <c r="O486" s="2157"/>
      <c r="P486" s="2157"/>
      <c r="Q486" s="2157"/>
      <c r="R486" s="1398"/>
      <c r="S486" s="1398"/>
      <c r="T486" s="1398"/>
      <c r="U486" s="1398"/>
      <c r="V486" s="1398"/>
      <c r="W486" s="1398"/>
      <c r="X486" s="1398"/>
      <c r="Y486" s="1398"/>
      <c r="Z486" s="1398"/>
      <c r="AA486" s="1398"/>
      <c r="AB486" s="1398"/>
      <c r="AC486" s="1398"/>
      <c r="AD486" s="1398"/>
      <c r="AE486" s="1398"/>
    </row>
    <row r="487" spans="1:31" ht="15" customHeight="1" x14ac:dyDescent="0.3">
      <c r="A487" s="1398"/>
      <c r="B487" s="2180" t="s">
        <v>2541</v>
      </c>
      <c r="C487" s="2151"/>
      <c r="D487" s="2151"/>
      <c r="E487" s="2151"/>
      <c r="F487" s="2151"/>
      <c r="G487" s="2151"/>
      <c r="H487" s="2151"/>
      <c r="I487" s="2151"/>
      <c r="J487" s="2157"/>
      <c r="K487" s="2151"/>
      <c r="L487" s="2157"/>
      <c r="M487" s="2151"/>
      <c r="N487" s="2157"/>
      <c r="O487" s="2157"/>
      <c r="P487" s="2157"/>
      <c r="Q487" s="2157"/>
      <c r="R487" s="1398"/>
      <c r="S487" s="1398"/>
      <c r="T487" s="1398"/>
      <c r="U487" s="1398"/>
      <c r="V487" s="1398"/>
      <c r="W487" s="1398"/>
      <c r="X487" s="1398"/>
      <c r="Y487" s="1398"/>
      <c r="Z487" s="1398"/>
      <c r="AA487" s="1398"/>
      <c r="AB487" s="1398"/>
      <c r="AC487" s="1398"/>
      <c r="AD487" s="1398"/>
      <c r="AE487" s="1398"/>
    </row>
    <row r="488" spans="1:31" ht="15" customHeight="1" x14ac:dyDescent="0.3">
      <c r="A488" s="1398"/>
      <c r="B488" s="2155" t="s">
        <v>1760</v>
      </c>
      <c r="C488" s="2151"/>
      <c r="D488" s="2151"/>
      <c r="E488" s="2151"/>
      <c r="F488" s="2151"/>
      <c r="G488" s="2151"/>
      <c r="H488" s="2151"/>
      <c r="I488" s="2151"/>
      <c r="J488" s="2157"/>
      <c r="K488" s="2151"/>
      <c r="L488" s="2157"/>
      <c r="M488" s="2151"/>
      <c r="N488" s="2157"/>
      <c r="O488" s="2157"/>
      <c r="P488" s="2157"/>
      <c r="Q488" s="2157"/>
      <c r="R488" s="1398"/>
      <c r="S488" s="1398"/>
      <c r="T488" s="1398"/>
      <c r="U488" s="1398"/>
      <c r="V488" s="1398"/>
      <c r="W488" s="1398"/>
      <c r="X488" s="1398"/>
      <c r="Y488" s="1398"/>
      <c r="Z488" s="1398"/>
      <c r="AA488" s="1398"/>
      <c r="AB488" s="1398"/>
      <c r="AC488" s="1398"/>
      <c r="AD488" s="1398"/>
      <c r="AE488" s="1398"/>
    </row>
    <row r="489" spans="1:31" ht="15" customHeight="1" x14ac:dyDescent="0.35">
      <c r="A489" s="1398"/>
      <c r="B489" s="2164" t="s">
        <v>2540</v>
      </c>
      <c r="C489" s="2159" t="str">
        <f t="shared" ref="C489:I489" si="70">IF(AND(ISNUMBER(C490),ISNUMBER(C491)),C490+C491,"")</f>
        <v/>
      </c>
      <c r="D489" s="2159" t="str">
        <f t="shared" si="70"/>
        <v/>
      </c>
      <c r="E489" s="2159" t="str">
        <f t="shared" si="70"/>
        <v/>
      </c>
      <c r="F489" s="2159" t="str">
        <f t="shared" si="70"/>
        <v/>
      </c>
      <c r="G489" s="2159" t="str">
        <f t="shared" si="70"/>
        <v/>
      </c>
      <c r="H489" s="2159" t="str">
        <f t="shared" si="70"/>
        <v/>
      </c>
      <c r="I489" s="2159" t="str">
        <f t="shared" si="70"/>
        <v/>
      </c>
      <c r="J489" s="2157"/>
      <c r="K489" s="2159" t="str">
        <f>IF(AND(ISNUMBER(K490),ISNUMBER(K491)),K490+K491,"")</f>
        <v/>
      </c>
      <c r="L489" s="2157"/>
      <c r="M489" s="2159" t="str">
        <f>IF(AND(ISNUMBER(M490),ISNUMBER(M491)),M490+M491,"")</f>
        <v/>
      </c>
      <c r="N489" s="2157"/>
      <c r="O489" s="2157"/>
      <c r="P489" s="2157"/>
      <c r="Q489" s="2157"/>
      <c r="R489" s="1398"/>
      <c r="S489" s="1398"/>
      <c r="T489" s="1398"/>
      <c r="U489" s="1398"/>
      <c r="V489" s="1398"/>
      <c r="W489" s="1398"/>
      <c r="X489" s="1398"/>
      <c r="Y489" s="1398"/>
      <c r="Z489" s="1398"/>
      <c r="AA489" s="1398"/>
      <c r="AB489" s="1398"/>
      <c r="AC489" s="1398"/>
      <c r="AD489" s="1398"/>
      <c r="AE489" s="1398"/>
    </row>
    <row r="490" spans="1:31" ht="15" customHeight="1" x14ac:dyDescent="0.3">
      <c r="A490" s="1398"/>
      <c r="B490" s="2163" t="s">
        <v>2539</v>
      </c>
      <c r="C490" s="2151"/>
      <c r="D490" s="2151"/>
      <c r="E490" s="2151"/>
      <c r="F490" s="2151"/>
      <c r="G490" s="2151"/>
      <c r="H490" s="2151"/>
      <c r="I490" s="2151"/>
      <c r="J490" s="2157"/>
      <c r="K490" s="2151"/>
      <c r="L490" s="2157"/>
      <c r="M490" s="2151"/>
      <c r="N490" s="2157"/>
      <c r="O490" s="2157"/>
      <c r="P490" s="2157"/>
      <c r="Q490" s="2157"/>
      <c r="R490" s="1398"/>
      <c r="S490" s="1398"/>
      <c r="T490" s="1398"/>
      <c r="U490" s="1398"/>
      <c r="V490" s="1398"/>
      <c r="W490" s="1398"/>
      <c r="X490" s="1398"/>
      <c r="Y490" s="1398"/>
      <c r="Z490" s="1398"/>
      <c r="AA490" s="1398"/>
      <c r="AB490" s="1398"/>
      <c r="AC490" s="1398"/>
      <c r="AD490" s="1398"/>
      <c r="AE490" s="1398"/>
    </row>
    <row r="491" spans="1:31" ht="15" customHeight="1" x14ac:dyDescent="0.3">
      <c r="A491" s="1398"/>
      <c r="B491" s="2163" t="s">
        <v>1760</v>
      </c>
      <c r="C491" s="2151"/>
      <c r="D491" s="2151"/>
      <c r="E491" s="2151"/>
      <c r="F491" s="2151"/>
      <c r="G491" s="2151"/>
      <c r="H491" s="2151"/>
      <c r="I491" s="2151"/>
      <c r="J491" s="2157"/>
      <c r="K491" s="2151"/>
      <c r="L491" s="2157"/>
      <c r="M491" s="2151"/>
      <c r="N491" s="2157"/>
      <c r="O491" s="2157"/>
      <c r="P491" s="2157"/>
      <c r="Q491" s="2157"/>
      <c r="R491" s="1398"/>
      <c r="S491" s="1398"/>
      <c r="T491" s="1398"/>
      <c r="U491" s="1398"/>
      <c r="V491" s="1398"/>
      <c r="W491" s="1398"/>
      <c r="X491" s="1398"/>
      <c r="Y491" s="1398"/>
      <c r="Z491" s="1398"/>
      <c r="AA491" s="1398"/>
      <c r="AB491" s="1398"/>
      <c r="AC491" s="1398"/>
      <c r="AD491" s="1398"/>
      <c r="AE491" s="1398"/>
    </row>
    <row r="492" spans="1:31" ht="15" customHeight="1" x14ac:dyDescent="0.35">
      <c r="A492" s="1398"/>
      <c r="B492" s="569" t="s">
        <v>59</v>
      </c>
      <c r="C492" s="2156">
        <f t="shared" ref="C492:Q492" si="71">IF(AND(ISNUMBER(C494),ISNUMBER(C493)),SUM(C493:C494),0)</f>
        <v>0</v>
      </c>
      <c r="D492" s="2156">
        <f t="shared" si="71"/>
        <v>0</v>
      </c>
      <c r="E492" s="2156">
        <f t="shared" si="71"/>
        <v>0</v>
      </c>
      <c r="F492" s="2156">
        <f t="shared" si="71"/>
        <v>0</v>
      </c>
      <c r="G492" s="2156">
        <f t="shared" si="71"/>
        <v>0</v>
      </c>
      <c r="H492" s="2156">
        <f t="shared" si="71"/>
        <v>0</v>
      </c>
      <c r="I492" s="2156">
        <f t="shared" si="71"/>
        <v>0</v>
      </c>
      <c r="J492" s="2156">
        <f t="shared" si="71"/>
        <v>0</v>
      </c>
      <c r="K492" s="2156">
        <f t="shared" si="71"/>
        <v>0</v>
      </c>
      <c r="L492" s="2156">
        <f t="shared" si="71"/>
        <v>0</v>
      </c>
      <c r="M492" s="2156">
        <f t="shared" si="71"/>
        <v>0</v>
      </c>
      <c r="N492" s="2156">
        <f t="shared" si="71"/>
        <v>0</v>
      </c>
      <c r="O492" s="2156">
        <f t="shared" si="71"/>
        <v>0</v>
      </c>
      <c r="P492" s="2156">
        <f t="shared" si="71"/>
        <v>0</v>
      </c>
      <c r="Q492" s="2156">
        <f t="shared" si="71"/>
        <v>0</v>
      </c>
      <c r="R492" s="1398"/>
      <c r="S492" s="1398"/>
      <c r="T492" s="1398"/>
      <c r="U492" s="1398"/>
      <c r="V492" s="1398"/>
      <c r="W492" s="1398"/>
      <c r="X492" s="1398"/>
      <c r="Y492" s="1398"/>
      <c r="Z492" s="1398"/>
      <c r="AA492" s="1398"/>
      <c r="AB492" s="1398"/>
      <c r="AC492" s="1398"/>
      <c r="AD492" s="1398"/>
      <c r="AE492" s="1398"/>
    </row>
    <row r="493" spans="1:31" ht="15" customHeight="1" x14ac:dyDescent="0.3">
      <c r="A493" s="1398"/>
      <c r="B493" s="2155" t="s">
        <v>2538</v>
      </c>
      <c r="C493" s="2151"/>
      <c r="D493" s="2151"/>
      <c r="E493" s="2151"/>
      <c r="F493" s="2151"/>
      <c r="G493" s="2151"/>
      <c r="H493" s="2151"/>
      <c r="I493" s="23"/>
      <c r="J493" s="2151"/>
      <c r="K493" s="2151"/>
      <c r="L493" s="2151"/>
      <c r="M493" s="2151"/>
      <c r="N493" s="2151"/>
      <c r="O493" s="2151"/>
      <c r="P493" s="2151"/>
      <c r="Q493" s="2151"/>
      <c r="R493" s="1398"/>
      <c r="S493" s="1398"/>
      <c r="T493" s="1398"/>
      <c r="U493" s="1398"/>
      <c r="V493" s="1398"/>
      <c r="W493" s="1398"/>
      <c r="X493" s="1398"/>
      <c r="Y493" s="1398"/>
      <c r="Z493" s="1398"/>
      <c r="AA493" s="1398"/>
      <c r="AB493" s="1398"/>
      <c r="AC493" s="1398"/>
      <c r="AD493" s="1398"/>
      <c r="AE493" s="1398"/>
    </row>
    <row r="494" spans="1:31" ht="15" customHeight="1" x14ac:dyDescent="0.3">
      <c r="A494" s="1398"/>
      <c r="B494" s="2155" t="s">
        <v>2537</v>
      </c>
      <c r="C494" s="2151"/>
      <c r="D494" s="2151"/>
      <c r="E494" s="2151"/>
      <c r="F494" s="2151"/>
      <c r="G494" s="2151"/>
      <c r="H494" s="2151"/>
      <c r="I494" s="23"/>
      <c r="J494" s="2151"/>
      <c r="K494" s="2151"/>
      <c r="L494" s="2151"/>
      <c r="M494" s="2151"/>
      <c r="N494" s="2151"/>
      <c r="O494" s="2151"/>
      <c r="P494" s="2151"/>
      <c r="Q494" s="2151"/>
      <c r="R494" s="1398"/>
      <c r="S494" s="1398"/>
      <c r="T494" s="1398"/>
      <c r="U494" s="1398"/>
      <c r="V494" s="1398"/>
      <c r="W494" s="1398"/>
      <c r="X494" s="1398"/>
      <c r="Y494" s="1398"/>
      <c r="Z494" s="1398"/>
      <c r="AA494" s="1398"/>
      <c r="AB494" s="1398"/>
      <c r="AC494" s="1398"/>
      <c r="AD494" s="1398"/>
      <c r="AE494" s="1398"/>
    </row>
    <row r="495" spans="1:31" ht="15" customHeight="1" x14ac:dyDescent="0.3">
      <c r="A495" s="1398"/>
      <c r="B495" s="2154" t="str">
        <f>"Check: row " &amp; ROW(B492) &amp;" = sum(row " &amp; ROW(B493) &amp; ", row "&amp; ROW(B494)&amp;")"</f>
        <v>Check: row 492 = sum(row 493, row 494)</v>
      </c>
      <c r="C495" s="2153" t="str">
        <f t="shared" ref="C495:Q495" si="72">IF(AND(ISNUMBER(C493), ISNUMBER(C494)), IF(C492=SUM(C493:C494), "Pass", "Fail"), "")</f>
        <v/>
      </c>
      <c r="D495" s="2153" t="str">
        <f t="shared" si="72"/>
        <v/>
      </c>
      <c r="E495" s="2153" t="str">
        <f t="shared" si="72"/>
        <v/>
      </c>
      <c r="F495" s="2153" t="str">
        <f t="shared" si="72"/>
        <v/>
      </c>
      <c r="G495" s="2153" t="str">
        <f t="shared" si="72"/>
        <v/>
      </c>
      <c r="H495" s="2153" t="str">
        <f t="shared" si="72"/>
        <v/>
      </c>
      <c r="I495" s="2153" t="str">
        <f t="shared" si="72"/>
        <v/>
      </c>
      <c r="J495" s="2153" t="str">
        <f t="shared" si="72"/>
        <v/>
      </c>
      <c r="K495" s="2153" t="str">
        <f t="shared" si="72"/>
        <v/>
      </c>
      <c r="L495" s="2153" t="str">
        <f t="shared" si="72"/>
        <v/>
      </c>
      <c r="M495" s="2153" t="str">
        <f t="shared" si="72"/>
        <v/>
      </c>
      <c r="N495" s="2153" t="str">
        <f t="shared" si="72"/>
        <v/>
      </c>
      <c r="O495" s="2153" t="str">
        <f t="shared" si="72"/>
        <v/>
      </c>
      <c r="P495" s="2153" t="str">
        <f t="shared" si="72"/>
        <v/>
      </c>
      <c r="Q495" s="2153" t="str">
        <f t="shared" si="72"/>
        <v/>
      </c>
      <c r="R495" s="1398"/>
      <c r="S495" s="1398"/>
      <c r="T495" s="1398"/>
      <c r="U495" s="1398"/>
      <c r="V495" s="1398"/>
      <c r="W495" s="1398"/>
      <c r="X495" s="1398"/>
      <c r="Y495" s="1398"/>
      <c r="Z495" s="1398"/>
      <c r="AA495" s="1398"/>
      <c r="AB495" s="1398"/>
      <c r="AC495" s="1398"/>
      <c r="AD495" s="1398"/>
      <c r="AE495" s="1398"/>
    </row>
    <row r="496" spans="1:31" ht="15" customHeight="1" x14ac:dyDescent="0.3">
      <c r="A496" s="1398"/>
      <c r="B496" s="2152" t="s">
        <v>2536</v>
      </c>
      <c r="C496" s="2151"/>
      <c r="D496" s="1398"/>
      <c r="E496" s="1398"/>
      <c r="F496" s="1398"/>
      <c r="G496" s="1398"/>
      <c r="H496" s="1398"/>
      <c r="I496" s="1398"/>
      <c r="J496" s="1398"/>
      <c r="K496" s="1398"/>
      <c r="L496" s="1398"/>
      <c r="M496" s="1398"/>
      <c r="N496" s="1398"/>
      <c r="O496" s="1398"/>
      <c r="P496" s="1398"/>
      <c r="Q496" s="1398"/>
      <c r="R496" s="1398"/>
      <c r="S496" s="1398"/>
      <c r="T496" s="1398"/>
      <c r="U496" s="1398"/>
      <c r="V496" s="1398"/>
      <c r="W496" s="1398"/>
      <c r="X496" s="1398"/>
      <c r="Y496" s="1398"/>
      <c r="Z496" s="1398"/>
      <c r="AA496" s="1398"/>
      <c r="AB496" s="1398"/>
      <c r="AC496" s="1398"/>
      <c r="AD496" s="1398"/>
      <c r="AE496" s="1398"/>
    </row>
    <row r="497" spans="1:31" ht="15" customHeight="1" x14ac:dyDescent="0.3">
      <c r="A497" s="1398"/>
      <c r="B497" s="2150" t="s">
        <v>2535</v>
      </c>
      <c r="C497" s="2149"/>
      <c r="D497" s="1398"/>
      <c r="E497" s="1398"/>
      <c r="F497" s="1398"/>
      <c r="G497" s="1398"/>
      <c r="H497" s="1398"/>
      <c r="I497" s="1398"/>
      <c r="J497" s="1398"/>
      <c r="K497" s="1398"/>
      <c r="L497" s="1398"/>
      <c r="M497" s="1398"/>
      <c r="N497" s="1398"/>
      <c r="O497" s="1398"/>
      <c r="P497" s="1398"/>
      <c r="Q497" s="1398"/>
      <c r="R497" s="1398"/>
      <c r="S497" s="1398"/>
      <c r="T497" s="1398"/>
      <c r="U497" s="1398"/>
      <c r="V497" s="1398"/>
      <c r="W497" s="1398"/>
      <c r="X497" s="1398"/>
      <c r="Y497" s="1398"/>
      <c r="Z497" s="1398"/>
      <c r="AA497" s="1398"/>
      <c r="AB497" s="1398"/>
      <c r="AC497" s="1398"/>
      <c r="AD497" s="1398"/>
      <c r="AE497" s="1398"/>
    </row>
    <row r="498" spans="1:31" ht="15" customHeight="1" x14ac:dyDescent="0.3">
      <c r="A498" s="1398"/>
      <c r="B498" s="1398"/>
      <c r="C498" s="1398"/>
      <c r="D498" s="1398"/>
      <c r="E498" s="1398"/>
      <c r="F498" s="1398"/>
      <c r="G498" s="1398"/>
      <c r="H498" s="1398"/>
      <c r="I498" s="1398"/>
      <c r="J498" s="1398"/>
      <c r="K498" s="1398"/>
      <c r="L498" s="1398"/>
      <c r="M498" s="1398"/>
      <c r="N498" s="1398"/>
      <c r="O498" s="1398"/>
      <c r="P498" s="1398"/>
      <c r="Q498" s="1398"/>
      <c r="R498" s="1398"/>
      <c r="S498" s="1398"/>
      <c r="T498" s="1398"/>
      <c r="U498" s="1398"/>
      <c r="V498" s="1398"/>
      <c r="W498" s="1398"/>
      <c r="X498" s="1398"/>
      <c r="Y498" s="1398"/>
      <c r="Z498" s="1398"/>
      <c r="AA498" s="1398"/>
      <c r="AB498" s="1398"/>
      <c r="AC498" s="1398"/>
      <c r="AD498" s="1398"/>
      <c r="AE498" s="1398"/>
    </row>
    <row r="499" spans="1:31" ht="19.5" customHeight="1" x14ac:dyDescent="0.3">
      <c r="A499" s="2197" t="s">
        <v>2578</v>
      </c>
      <c r="B499" s="2195"/>
      <c r="C499" s="2194" t="s">
        <v>2566</v>
      </c>
      <c r="D499" s="2173" t="str">
        <f>IF(ISBLANK($O$7),"",IF($O$7="No","Please leave Panel B"&amp;COLUMN($O$7)-2&amp;" empty","Please fill in Panel B"&amp;COLUMN($O$7)-2))</f>
        <v/>
      </c>
      <c r="E499" s="2193"/>
      <c r="F499" s="2193"/>
      <c r="G499" s="2193"/>
      <c r="H499" s="2193"/>
      <c r="I499" s="2193"/>
      <c r="J499" s="2193"/>
      <c r="K499" s="2193"/>
      <c r="L499" s="2193"/>
      <c r="M499" s="2193"/>
      <c r="N499" s="2193"/>
      <c r="O499" s="2193"/>
      <c r="P499" s="2193"/>
      <c r="Q499" s="2193"/>
      <c r="R499" s="1398"/>
      <c r="S499" s="1398"/>
      <c r="T499" s="1398"/>
      <c r="U499" s="1398"/>
      <c r="V499" s="1398"/>
      <c r="W499" s="1398"/>
      <c r="X499" s="1398"/>
      <c r="Y499" s="1398"/>
      <c r="Z499" s="1398"/>
      <c r="AA499" s="1398"/>
      <c r="AB499" s="1398"/>
      <c r="AC499" s="1398"/>
      <c r="AD499" s="1398"/>
      <c r="AE499" s="1398"/>
    </row>
    <row r="500" spans="1:31" ht="15" customHeight="1" x14ac:dyDescent="0.35">
      <c r="A500" s="1398"/>
      <c r="C500" s="2980" t="s">
        <v>207</v>
      </c>
      <c r="D500" s="2980"/>
      <c r="E500" s="2980"/>
      <c r="F500" s="2980"/>
      <c r="G500" s="2980"/>
      <c r="H500" s="2980"/>
      <c r="I500" s="2980"/>
      <c r="J500" s="2980"/>
      <c r="K500" s="2980"/>
      <c r="L500" s="2981"/>
      <c r="M500" s="2982" t="s">
        <v>2559</v>
      </c>
      <c r="N500" s="2984" t="s">
        <v>2565</v>
      </c>
      <c r="O500" s="2985"/>
      <c r="P500" s="2985"/>
      <c r="Q500" s="2985"/>
      <c r="R500" s="1398"/>
      <c r="S500" s="1398"/>
      <c r="T500" s="1398"/>
      <c r="U500" s="1398"/>
      <c r="V500" s="1398"/>
      <c r="W500" s="1398"/>
      <c r="X500" s="1398"/>
      <c r="Y500" s="1398"/>
      <c r="Z500" s="1398"/>
      <c r="AA500" s="1398"/>
      <c r="AB500" s="1398"/>
      <c r="AC500" s="1398"/>
      <c r="AD500" s="1398"/>
      <c r="AE500" s="1398"/>
    </row>
    <row r="501" spans="1:31" ht="15" customHeight="1" x14ac:dyDescent="0.35">
      <c r="A501" s="1398"/>
      <c r="B501" s="2172"/>
      <c r="C501" s="2967" t="s">
        <v>2564</v>
      </c>
      <c r="D501" s="2973" t="s">
        <v>465</v>
      </c>
      <c r="E501" s="2974"/>
      <c r="F501" s="2974"/>
      <c r="G501" s="2974"/>
      <c r="H501" s="2975"/>
      <c r="I501" s="2969" t="s">
        <v>2563</v>
      </c>
      <c r="J501" s="2969" t="s">
        <v>2562</v>
      </c>
      <c r="K501" s="2969" t="s">
        <v>2561</v>
      </c>
      <c r="L501" s="2969" t="s">
        <v>2560</v>
      </c>
      <c r="M501" s="2983"/>
      <c r="N501" s="2978" t="s">
        <v>207</v>
      </c>
      <c r="O501" s="2978" t="s">
        <v>2559</v>
      </c>
      <c r="P501" s="2969" t="s">
        <v>59</v>
      </c>
      <c r="Q501" s="2971" t="s">
        <v>2558</v>
      </c>
      <c r="R501" s="1398"/>
      <c r="S501" s="1398"/>
      <c r="T501" s="1398"/>
      <c r="U501" s="1398"/>
      <c r="V501" s="1398"/>
      <c r="W501" s="1398"/>
      <c r="X501" s="1398"/>
      <c r="Y501" s="1398"/>
      <c r="Z501" s="1398"/>
      <c r="AA501" s="1398"/>
      <c r="AB501" s="1398"/>
      <c r="AC501" s="1398"/>
      <c r="AD501" s="1398"/>
      <c r="AE501" s="1398"/>
    </row>
    <row r="502" spans="1:31" ht="45" customHeight="1" x14ac:dyDescent="0.35">
      <c r="A502" s="1398"/>
      <c r="B502" s="2171"/>
      <c r="C502" s="2968"/>
      <c r="D502" s="2170" t="s">
        <v>2557</v>
      </c>
      <c r="E502" s="2170" t="s">
        <v>2556</v>
      </c>
      <c r="F502" s="2170" t="s">
        <v>2555</v>
      </c>
      <c r="G502" s="2170" t="s">
        <v>2554</v>
      </c>
      <c r="H502" s="2170" t="s">
        <v>59</v>
      </c>
      <c r="I502" s="2970"/>
      <c r="J502" s="2970"/>
      <c r="K502" s="2970"/>
      <c r="L502" s="2970"/>
      <c r="M502" s="2970"/>
      <c r="N502" s="2979"/>
      <c r="O502" s="2979"/>
      <c r="P502" s="2970"/>
      <c r="Q502" s="2972"/>
      <c r="R502" s="1398"/>
      <c r="S502" s="1398"/>
      <c r="T502" s="1398"/>
      <c r="U502" s="1398"/>
      <c r="V502" s="1398"/>
      <c r="W502" s="1398"/>
      <c r="X502" s="1398"/>
      <c r="Y502" s="1398"/>
      <c r="Z502" s="1398"/>
      <c r="AA502" s="1398"/>
      <c r="AB502" s="1398"/>
      <c r="AC502" s="1398"/>
      <c r="AD502" s="1398"/>
      <c r="AE502" s="1398"/>
    </row>
    <row r="503" spans="1:31" ht="15" customHeight="1" x14ac:dyDescent="0.35">
      <c r="A503" s="1398"/>
      <c r="B503" s="2179" t="s">
        <v>2553</v>
      </c>
      <c r="C503" s="2168" t="str">
        <f t="shared" ref="C503:I503" si="73">IF(AND(ISNUMBER(C516),ISNUMBER(C512),ISNUMBER(C514),ISNUMBER(C504),ISNUMBER(C508),ISNUMBER(C506),ISNUMBER(C510),ISNUMBER(C518)),SUM(C504,C506,C508,C510,C512,C514,C516,C518),"")</f>
        <v/>
      </c>
      <c r="D503" s="2168" t="str">
        <f t="shared" si="73"/>
        <v/>
      </c>
      <c r="E503" s="2168" t="str">
        <f t="shared" si="73"/>
        <v/>
      </c>
      <c r="F503" s="2168" t="str">
        <f t="shared" si="73"/>
        <v/>
      </c>
      <c r="G503" s="2168" t="str">
        <f t="shared" si="73"/>
        <v/>
      </c>
      <c r="H503" s="2168" t="str">
        <f t="shared" si="73"/>
        <v/>
      </c>
      <c r="I503" s="2168" t="str">
        <f t="shared" si="73"/>
        <v/>
      </c>
      <c r="J503" s="2157"/>
      <c r="K503" s="2168" t="str">
        <f>IF(AND(ISNUMBER(K516),ISNUMBER(K512),ISNUMBER(K514),ISNUMBER(K504),ISNUMBER(K508),ISNUMBER(K506),ISNUMBER(K510),ISNUMBER(K518)),SUM(K504,K506,K508,K510,K512,K514,K516,K518),"")</f>
        <v/>
      </c>
      <c r="L503" s="2157"/>
      <c r="M503" s="2168" t="str">
        <f>IF(AND(ISNUMBER(M516),ISNUMBER(M512),ISNUMBER(M514),ISNUMBER(M504),ISNUMBER(M508),ISNUMBER(M506),ISNUMBER(M510),ISNUMBER(M518)),SUM(M504,M506,M508,M510,M512,M514,M516,M518),"")</f>
        <v/>
      </c>
      <c r="N503" s="2167"/>
      <c r="O503" s="2167"/>
      <c r="P503" s="2167"/>
      <c r="Q503" s="2167"/>
      <c r="R503" s="1398"/>
      <c r="S503" s="1398"/>
      <c r="T503" s="1398"/>
      <c r="U503" s="1398"/>
      <c r="V503" s="1398"/>
      <c r="W503" s="1398"/>
      <c r="X503" s="1398"/>
      <c r="Y503" s="1398"/>
      <c r="Z503" s="1398"/>
      <c r="AA503" s="1398"/>
      <c r="AB503" s="1398"/>
      <c r="AC503" s="1398"/>
      <c r="AD503" s="1398"/>
      <c r="AE503" s="1398"/>
    </row>
    <row r="504" spans="1:31" ht="15" customHeight="1" x14ac:dyDescent="0.3">
      <c r="A504" s="1398"/>
      <c r="B504" s="2163" t="s">
        <v>2552</v>
      </c>
      <c r="C504" s="2151"/>
      <c r="D504" s="2151"/>
      <c r="E504" s="2151"/>
      <c r="F504" s="2151"/>
      <c r="G504" s="2151"/>
      <c r="H504" s="2151"/>
      <c r="I504" s="2151"/>
      <c r="J504" s="2157"/>
      <c r="K504" s="23"/>
      <c r="L504" s="2157"/>
      <c r="M504" s="2151"/>
      <c r="N504" s="2157"/>
      <c r="O504" s="2157"/>
      <c r="P504" s="2157"/>
      <c r="Q504" s="2157"/>
      <c r="R504" s="1398"/>
      <c r="S504" s="1398"/>
      <c r="T504" s="1398"/>
      <c r="U504" s="1398"/>
      <c r="V504" s="1398"/>
      <c r="W504" s="1398"/>
      <c r="X504" s="1398"/>
      <c r="Y504" s="1398"/>
      <c r="Z504" s="1398"/>
      <c r="AA504" s="1398"/>
      <c r="AB504" s="1398"/>
      <c r="AC504" s="1398"/>
      <c r="AD504" s="1398"/>
      <c r="AE504" s="1398"/>
    </row>
    <row r="505" spans="1:31" ht="15" customHeight="1" x14ac:dyDescent="0.3">
      <c r="A505" s="1398"/>
      <c r="B505" s="2162" t="s">
        <v>2543</v>
      </c>
      <c r="C505" s="2151"/>
      <c r="D505" s="2151"/>
      <c r="E505" s="2151"/>
      <c r="F505" s="2151"/>
      <c r="G505" s="2151"/>
      <c r="H505" s="2151"/>
      <c r="I505" s="2151"/>
      <c r="J505" s="2157"/>
      <c r="K505" s="23"/>
      <c r="L505" s="2157"/>
      <c r="M505" s="2151"/>
      <c r="N505" s="2157"/>
      <c r="O505" s="2157"/>
      <c r="P505" s="2157"/>
      <c r="Q505" s="2157"/>
      <c r="R505" s="1398"/>
      <c r="S505" s="1398"/>
      <c r="T505" s="1398"/>
      <c r="U505" s="1398"/>
      <c r="V505" s="1398"/>
      <c r="W505" s="1398"/>
      <c r="X505" s="1398"/>
      <c r="Y505" s="1398"/>
      <c r="Z505" s="1398"/>
      <c r="AA505" s="1398"/>
      <c r="AB505" s="1398"/>
      <c r="AC505" s="1398"/>
      <c r="AD505" s="1398"/>
      <c r="AE505" s="1398"/>
    </row>
    <row r="506" spans="1:31" ht="15" customHeight="1" x14ac:dyDescent="0.3">
      <c r="A506" s="1398"/>
      <c r="B506" s="2163" t="s">
        <v>2551</v>
      </c>
      <c r="C506" s="2151"/>
      <c r="D506" s="2151"/>
      <c r="E506" s="2151"/>
      <c r="F506" s="2151"/>
      <c r="G506" s="2151"/>
      <c r="H506" s="2151"/>
      <c r="I506" s="2151"/>
      <c r="J506" s="2157"/>
      <c r="K506" s="23"/>
      <c r="L506" s="2157"/>
      <c r="M506" s="2151"/>
      <c r="N506" s="2157"/>
      <c r="O506" s="2157"/>
      <c r="P506" s="2157"/>
      <c r="Q506" s="2157"/>
      <c r="R506" s="1398"/>
      <c r="S506" s="1398"/>
      <c r="T506" s="1398"/>
      <c r="U506" s="1398"/>
      <c r="V506" s="1398"/>
      <c r="W506" s="1398"/>
      <c r="X506" s="1398"/>
      <c r="Y506" s="1398"/>
      <c r="Z506" s="1398"/>
      <c r="AA506" s="1398"/>
      <c r="AB506" s="1398"/>
      <c r="AC506" s="1398"/>
      <c r="AD506" s="1398"/>
      <c r="AE506" s="1398"/>
    </row>
    <row r="507" spans="1:31" ht="15" customHeight="1" x14ac:dyDescent="0.3">
      <c r="A507" s="1398"/>
      <c r="B507" s="2162" t="s">
        <v>2543</v>
      </c>
      <c r="C507" s="2151"/>
      <c r="D507" s="2151"/>
      <c r="E507" s="2151"/>
      <c r="F507" s="2151"/>
      <c r="G507" s="2151"/>
      <c r="H507" s="2151"/>
      <c r="I507" s="2151"/>
      <c r="J507" s="2157"/>
      <c r="K507" s="23"/>
      <c r="L507" s="2157"/>
      <c r="M507" s="2151"/>
      <c r="N507" s="2157"/>
      <c r="O507" s="2157"/>
      <c r="P507" s="2157"/>
      <c r="Q507" s="2157"/>
      <c r="R507" s="1398"/>
      <c r="S507" s="1398"/>
      <c r="T507" s="1398"/>
      <c r="U507" s="1398"/>
      <c r="V507" s="1398"/>
      <c r="W507" s="1398"/>
      <c r="X507" s="1398"/>
      <c r="Y507" s="1398"/>
      <c r="Z507" s="1398"/>
      <c r="AA507" s="1398"/>
      <c r="AB507" s="1398"/>
      <c r="AC507" s="1398"/>
      <c r="AD507" s="1398"/>
      <c r="AE507" s="1398"/>
    </row>
    <row r="508" spans="1:31" ht="15" customHeight="1" x14ac:dyDescent="0.3">
      <c r="A508" s="1398"/>
      <c r="B508" s="2163" t="s">
        <v>2550</v>
      </c>
      <c r="C508" s="2151"/>
      <c r="D508" s="2151"/>
      <c r="E508" s="2151"/>
      <c r="F508" s="2151"/>
      <c r="G508" s="2151"/>
      <c r="H508" s="2151"/>
      <c r="I508" s="2151"/>
      <c r="J508" s="2157"/>
      <c r="K508" s="23"/>
      <c r="L508" s="2157"/>
      <c r="M508" s="2151"/>
      <c r="N508" s="2157"/>
      <c r="O508" s="2157"/>
      <c r="P508" s="2157"/>
      <c r="Q508" s="2157"/>
      <c r="R508" s="1398"/>
      <c r="S508" s="1398"/>
      <c r="T508" s="1398"/>
      <c r="U508" s="1398"/>
      <c r="V508" s="1398"/>
      <c r="W508" s="1398"/>
      <c r="X508" s="1398"/>
      <c r="Y508" s="1398"/>
      <c r="Z508" s="1398"/>
      <c r="AA508" s="1398"/>
      <c r="AB508" s="1398"/>
      <c r="AC508" s="1398"/>
      <c r="AD508" s="1398"/>
      <c r="AE508" s="1398"/>
    </row>
    <row r="509" spans="1:31" ht="15" customHeight="1" x14ac:dyDescent="0.3">
      <c r="A509" s="1398"/>
      <c r="B509" s="2162" t="s">
        <v>2543</v>
      </c>
      <c r="C509" s="2151"/>
      <c r="D509" s="2151"/>
      <c r="E509" s="2151"/>
      <c r="F509" s="2151"/>
      <c r="G509" s="2151"/>
      <c r="H509" s="2151"/>
      <c r="I509" s="2151"/>
      <c r="J509" s="2157"/>
      <c r="K509" s="23"/>
      <c r="L509" s="2157"/>
      <c r="M509" s="2151"/>
      <c r="N509" s="2157"/>
      <c r="O509" s="2157"/>
      <c r="P509" s="2157"/>
      <c r="Q509" s="2157"/>
      <c r="R509" s="1398"/>
      <c r="S509" s="1398"/>
      <c r="T509" s="1398"/>
      <c r="U509" s="1398"/>
      <c r="V509" s="1398"/>
      <c r="W509" s="1398"/>
      <c r="X509" s="1398"/>
      <c r="Y509" s="1398"/>
      <c r="Z509" s="1398"/>
      <c r="AA509" s="1398"/>
      <c r="AB509" s="1398"/>
      <c r="AC509" s="1398"/>
      <c r="AD509" s="1398"/>
      <c r="AE509" s="1398"/>
    </row>
    <row r="510" spans="1:31" ht="15" customHeight="1" x14ac:dyDescent="0.3">
      <c r="A510" s="1398"/>
      <c r="B510" s="2163" t="s">
        <v>2549</v>
      </c>
      <c r="C510" s="2151"/>
      <c r="D510" s="2151"/>
      <c r="E510" s="2151"/>
      <c r="F510" s="2151"/>
      <c r="G510" s="2151"/>
      <c r="H510" s="2151"/>
      <c r="I510" s="2151"/>
      <c r="J510" s="2157"/>
      <c r="K510" s="23"/>
      <c r="L510" s="2157"/>
      <c r="M510" s="2151"/>
      <c r="N510" s="2157"/>
      <c r="O510" s="2157"/>
      <c r="P510" s="2157"/>
      <c r="Q510" s="2157"/>
      <c r="R510" s="1398"/>
      <c r="S510" s="1398"/>
      <c r="T510" s="1398"/>
      <c r="U510" s="1398"/>
      <c r="V510" s="1398"/>
      <c r="W510" s="1398"/>
      <c r="X510" s="1398"/>
      <c r="Y510" s="1398"/>
      <c r="Z510" s="1398"/>
      <c r="AA510" s="1398"/>
      <c r="AB510" s="1398"/>
      <c r="AC510" s="1398"/>
      <c r="AD510" s="1398"/>
      <c r="AE510" s="1398"/>
    </row>
    <row r="511" spans="1:31" ht="15" customHeight="1" x14ac:dyDescent="0.3">
      <c r="A511" s="1398"/>
      <c r="B511" s="2162" t="s">
        <v>2543</v>
      </c>
      <c r="C511" s="2151"/>
      <c r="D511" s="2151"/>
      <c r="E511" s="2151"/>
      <c r="F511" s="2151"/>
      <c r="G511" s="2151"/>
      <c r="H511" s="2151"/>
      <c r="I511" s="2151"/>
      <c r="J511" s="2157"/>
      <c r="K511" s="23"/>
      <c r="L511" s="2157"/>
      <c r="M511" s="2151"/>
      <c r="N511" s="2157"/>
      <c r="O511" s="2157"/>
      <c r="P511" s="2157"/>
      <c r="Q511" s="2157"/>
      <c r="R511" s="1398"/>
      <c r="S511" s="1398"/>
      <c r="T511" s="1398"/>
      <c r="U511" s="1398"/>
      <c r="V511" s="1398"/>
      <c r="W511" s="1398"/>
      <c r="X511" s="1398"/>
      <c r="Y511" s="1398"/>
      <c r="Z511" s="1398"/>
      <c r="AA511" s="1398"/>
      <c r="AB511" s="1398"/>
      <c r="AC511" s="1398"/>
      <c r="AD511" s="1398"/>
      <c r="AE511" s="1398"/>
    </row>
    <row r="512" spans="1:31" ht="15" customHeight="1" x14ac:dyDescent="0.35">
      <c r="A512" s="1398"/>
      <c r="B512" s="2192" t="s">
        <v>2548</v>
      </c>
      <c r="C512" s="2151"/>
      <c r="D512" s="2151"/>
      <c r="E512" s="2151"/>
      <c r="F512" s="2151"/>
      <c r="G512" s="2151"/>
      <c r="H512" s="2151"/>
      <c r="I512" s="2151"/>
      <c r="J512" s="2157"/>
      <c r="K512" s="23"/>
      <c r="L512" s="2157"/>
      <c r="M512" s="2151"/>
      <c r="N512" s="2157"/>
      <c r="O512" s="2157"/>
      <c r="P512" s="2157"/>
      <c r="Q512" s="2157"/>
      <c r="R512" s="1398"/>
      <c r="S512" s="1398"/>
      <c r="T512" s="1398"/>
      <c r="U512" s="1398"/>
      <c r="V512" s="1398"/>
      <c r="W512" s="1398"/>
      <c r="X512" s="1398"/>
      <c r="Y512" s="1398"/>
      <c r="Z512" s="1398"/>
      <c r="AA512" s="1398"/>
      <c r="AB512" s="1398"/>
      <c r="AC512" s="1398"/>
      <c r="AD512" s="1398"/>
      <c r="AE512" s="1398"/>
    </row>
    <row r="513" spans="1:31" ht="15" customHeight="1" x14ac:dyDescent="0.3">
      <c r="A513" s="1398"/>
      <c r="B513" s="2162" t="s">
        <v>2543</v>
      </c>
      <c r="C513" s="2151"/>
      <c r="D513" s="2151"/>
      <c r="E513" s="2151"/>
      <c r="F513" s="2151"/>
      <c r="G513" s="2151"/>
      <c r="H513" s="2151"/>
      <c r="I513" s="2151"/>
      <c r="J513" s="2157"/>
      <c r="K513" s="23"/>
      <c r="L513" s="2157"/>
      <c r="M513" s="2151"/>
      <c r="N513" s="2157"/>
      <c r="O513" s="2157"/>
      <c r="P513" s="2157"/>
      <c r="Q513" s="2157"/>
      <c r="R513" s="1398"/>
      <c r="S513" s="1398"/>
      <c r="T513" s="1398"/>
      <c r="U513" s="1398"/>
      <c r="V513" s="1398"/>
      <c r="W513" s="1398"/>
      <c r="X513" s="1398"/>
      <c r="Y513" s="1398"/>
      <c r="Z513" s="1398"/>
      <c r="AA513" s="1398"/>
      <c r="AB513" s="1398"/>
      <c r="AC513" s="1398"/>
      <c r="AD513" s="1398"/>
      <c r="AE513" s="1398"/>
    </row>
    <row r="514" spans="1:31" ht="15" customHeight="1" x14ac:dyDescent="0.3">
      <c r="A514" s="1398"/>
      <c r="B514" s="2163" t="s">
        <v>2547</v>
      </c>
      <c r="C514" s="2151"/>
      <c r="D514" s="2151"/>
      <c r="E514" s="2151"/>
      <c r="F514" s="2151"/>
      <c r="G514" s="2151"/>
      <c r="H514" s="2151"/>
      <c r="I514" s="2151"/>
      <c r="J514" s="2157"/>
      <c r="K514" s="23"/>
      <c r="L514" s="2157"/>
      <c r="M514" s="2151"/>
      <c r="N514" s="2157"/>
      <c r="O514" s="2157"/>
      <c r="P514" s="2157"/>
      <c r="Q514" s="2157"/>
      <c r="R514" s="1398"/>
      <c r="S514" s="1398"/>
      <c r="T514" s="1398"/>
      <c r="U514" s="1398"/>
      <c r="V514" s="1398"/>
      <c r="W514" s="1398"/>
      <c r="X514" s="1398"/>
      <c r="Y514" s="1398"/>
      <c r="Z514" s="1398"/>
      <c r="AA514" s="1398"/>
      <c r="AB514" s="1398"/>
      <c r="AC514" s="1398"/>
      <c r="AD514" s="1398"/>
      <c r="AE514" s="1398"/>
    </row>
    <row r="515" spans="1:31" ht="15" customHeight="1" x14ac:dyDescent="0.3">
      <c r="A515" s="1398"/>
      <c r="B515" s="2162" t="s">
        <v>2543</v>
      </c>
      <c r="C515" s="2151"/>
      <c r="D515" s="2151"/>
      <c r="E515" s="2151"/>
      <c r="F515" s="2151"/>
      <c r="G515" s="2151"/>
      <c r="H515" s="2151"/>
      <c r="I515" s="2151"/>
      <c r="J515" s="2157"/>
      <c r="K515" s="23"/>
      <c r="L515" s="2157"/>
      <c r="M515" s="2151"/>
      <c r="N515" s="2157"/>
      <c r="O515" s="2157"/>
      <c r="P515" s="2157"/>
      <c r="Q515" s="2157"/>
      <c r="R515" s="1398"/>
      <c r="S515" s="1398"/>
      <c r="T515" s="1398"/>
      <c r="U515" s="1398"/>
      <c r="V515" s="1398"/>
      <c r="W515" s="1398"/>
      <c r="X515" s="1398"/>
      <c r="Y515" s="1398"/>
      <c r="Z515" s="1398"/>
      <c r="AA515" s="1398"/>
      <c r="AB515" s="1398"/>
      <c r="AC515" s="1398"/>
      <c r="AD515" s="1398"/>
      <c r="AE515" s="1398"/>
    </row>
    <row r="516" spans="1:31" ht="15" customHeight="1" x14ac:dyDescent="0.3">
      <c r="A516" s="1398"/>
      <c r="B516" s="2166" t="s">
        <v>2546</v>
      </c>
      <c r="C516" s="2151"/>
      <c r="D516" s="2151"/>
      <c r="E516" s="2151"/>
      <c r="F516" s="2151"/>
      <c r="G516" s="2151"/>
      <c r="H516" s="2151"/>
      <c r="I516" s="2151"/>
      <c r="J516" s="2157"/>
      <c r="K516" s="23"/>
      <c r="L516" s="2157"/>
      <c r="M516" s="2151"/>
      <c r="N516" s="2157"/>
      <c r="O516" s="2157"/>
      <c r="P516" s="2157"/>
      <c r="Q516" s="2157"/>
      <c r="R516" s="1398"/>
      <c r="S516" s="1398"/>
      <c r="T516" s="1398"/>
      <c r="U516" s="1398"/>
      <c r="V516" s="1398"/>
      <c r="W516" s="1398"/>
      <c r="X516" s="1398"/>
      <c r="Y516" s="1398"/>
      <c r="Z516" s="1398"/>
      <c r="AA516" s="1398"/>
      <c r="AB516" s="1398"/>
      <c r="AC516" s="1398"/>
      <c r="AD516" s="1398"/>
      <c r="AE516" s="1398"/>
    </row>
    <row r="517" spans="1:31" ht="15" customHeight="1" x14ac:dyDescent="0.3">
      <c r="A517" s="1398"/>
      <c r="B517" s="2162" t="s">
        <v>2543</v>
      </c>
      <c r="C517" s="2151"/>
      <c r="D517" s="2151"/>
      <c r="E517" s="2151"/>
      <c r="F517" s="2151"/>
      <c r="G517" s="2151"/>
      <c r="H517" s="2151"/>
      <c r="I517" s="2151"/>
      <c r="J517" s="2157"/>
      <c r="K517" s="23"/>
      <c r="L517" s="2157"/>
      <c r="M517" s="2151"/>
      <c r="N517" s="2157"/>
      <c r="O517" s="2157"/>
      <c r="P517" s="2157"/>
      <c r="Q517" s="2157"/>
      <c r="R517" s="1398"/>
      <c r="S517" s="1398"/>
      <c r="T517" s="1398"/>
      <c r="U517" s="1398"/>
      <c r="V517" s="1398"/>
      <c r="W517" s="1398"/>
      <c r="X517" s="1398"/>
      <c r="Y517" s="1398"/>
      <c r="Z517" s="1398"/>
      <c r="AA517" s="1398"/>
      <c r="AB517" s="1398"/>
      <c r="AC517" s="1398"/>
      <c r="AD517" s="1398"/>
      <c r="AE517" s="1398"/>
    </row>
    <row r="518" spans="1:31" ht="15" customHeight="1" x14ac:dyDescent="0.3">
      <c r="A518" s="1398"/>
      <c r="B518" s="2163" t="s">
        <v>1760</v>
      </c>
      <c r="C518" s="2151"/>
      <c r="D518" s="2151"/>
      <c r="E518" s="2151"/>
      <c r="F518" s="2151"/>
      <c r="G518" s="2151"/>
      <c r="H518" s="2151"/>
      <c r="I518" s="2151"/>
      <c r="J518" s="2157"/>
      <c r="K518" s="23"/>
      <c r="L518" s="2157"/>
      <c r="M518" s="2151"/>
      <c r="N518" s="2157"/>
      <c r="O518" s="2157"/>
      <c r="P518" s="2157"/>
      <c r="Q518" s="2157"/>
      <c r="R518" s="1398"/>
      <c r="S518" s="1398"/>
      <c r="T518" s="1398"/>
      <c r="U518" s="1398"/>
      <c r="V518" s="1398"/>
      <c r="W518" s="1398"/>
      <c r="X518" s="1398"/>
      <c r="Y518" s="1398"/>
      <c r="Z518" s="1398"/>
      <c r="AA518" s="1398"/>
      <c r="AB518" s="1398"/>
      <c r="AC518" s="1398"/>
      <c r="AD518" s="1398"/>
      <c r="AE518" s="1398"/>
    </row>
    <row r="519" spans="1:31" ht="15" customHeight="1" x14ac:dyDescent="0.3">
      <c r="A519" s="1398"/>
      <c r="B519" s="2162" t="s">
        <v>2543</v>
      </c>
      <c r="C519" s="2151"/>
      <c r="D519" s="2151"/>
      <c r="E519" s="2151"/>
      <c r="F519" s="2151"/>
      <c r="G519" s="2151"/>
      <c r="H519" s="2151"/>
      <c r="I519" s="2151"/>
      <c r="J519" s="2157"/>
      <c r="K519" s="23"/>
      <c r="L519" s="2157"/>
      <c r="M519" s="2151"/>
      <c r="N519" s="2157"/>
      <c r="O519" s="2157"/>
      <c r="P519" s="2157"/>
      <c r="Q519" s="2157"/>
      <c r="R519" s="1398"/>
      <c r="S519" s="1398"/>
      <c r="T519" s="1398"/>
      <c r="U519" s="1398"/>
      <c r="V519" s="1398"/>
      <c r="W519" s="1398"/>
      <c r="X519" s="1398"/>
      <c r="Y519" s="1398"/>
      <c r="Z519" s="1398"/>
      <c r="AA519" s="1398"/>
      <c r="AB519" s="1398"/>
      <c r="AC519" s="1398"/>
      <c r="AD519" s="1398"/>
      <c r="AE519" s="1398"/>
    </row>
    <row r="520" spans="1:31" ht="15" customHeight="1" x14ac:dyDescent="0.35">
      <c r="A520" s="1398"/>
      <c r="B520" s="2164" t="s">
        <v>2545</v>
      </c>
      <c r="C520" s="2159" t="str">
        <f t="shared" ref="C520:I520" si="74">IF(AND(ISNUMBER(C521),ISNUMBER(C523)),C521+C523,"")</f>
        <v/>
      </c>
      <c r="D520" s="2159" t="str">
        <f t="shared" si="74"/>
        <v/>
      </c>
      <c r="E520" s="2159" t="str">
        <f t="shared" si="74"/>
        <v/>
      </c>
      <c r="F520" s="2159" t="str">
        <f t="shared" si="74"/>
        <v/>
      </c>
      <c r="G520" s="2159" t="str">
        <f t="shared" si="74"/>
        <v/>
      </c>
      <c r="H520" s="2159" t="str">
        <f t="shared" si="74"/>
        <v/>
      </c>
      <c r="I520" s="2159" t="str">
        <f t="shared" si="74"/>
        <v/>
      </c>
      <c r="J520" s="2157"/>
      <c r="K520" s="2159" t="str">
        <f>IF(AND(ISNUMBER(K521),ISNUMBER(K523)),K521+K523,"")</f>
        <v/>
      </c>
      <c r="L520" s="2157"/>
      <c r="M520" s="2159" t="str">
        <f>IF(AND(ISNUMBER(M521),ISNUMBER(M523)),M521+M523,"")</f>
        <v/>
      </c>
      <c r="N520" s="2157"/>
      <c r="O520" s="2157"/>
      <c r="P520" s="2157"/>
      <c r="Q520" s="2157"/>
      <c r="R520" s="1398"/>
      <c r="S520" s="1398"/>
      <c r="T520" s="1398"/>
      <c r="U520" s="1398"/>
      <c r="V520" s="1398"/>
      <c r="W520" s="1398"/>
      <c r="X520" s="1398"/>
      <c r="Y520" s="1398"/>
      <c r="Z520" s="1398"/>
      <c r="AA520" s="1398"/>
      <c r="AB520" s="1398"/>
      <c r="AC520" s="1398"/>
      <c r="AD520" s="1398"/>
      <c r="AE520" s="1398"/>
    </row>
    <row r="521" spans="1:31" ht="15" customHeight="1" x14ac:dyDescent="0.3">
      <c r="A521" s="1398"/>
      <c r="B521" s="2163" t="s">
        <v>2544</v>
      </c>
      <c r="C521" s="2151"/>
      <c r="D521" s="2151"/>
      <c r="E521" s="2151"/>
      <c r="F521" s="2151"/>
      <c r="G521" s="2151"/>
      <c r="H521" s="2151"/>
      <c r="I521" s="2151"/>
      <c r="J521" s="2157"/>
      <c r="K521" s="2151"/>
      <c r="L521" s="2157"/>
      <c r="M521" s="2151"/>
      <c r="N521" s="2157"/>
      <c r="O521" s="2157"/>
      <c r="P521" s="2157"/>
      <c r="Q521" s="2157"/>
      <c r="R521" s="1398"/>
      <c r="S521" s="1398"/>
      <c r="T521" s="1398"/>
      <c r="U521" s="1398"/>
      <c r="V521" s="1398"/>
      <c r="W521" s="1398"/>
      <c r="X521" s="1398"/>
      <c r="Y521" s="1398"/>
      <c r="Z521" s="1398"/>
      <c r="AA521" s="1398"/>
      <c r="AB521" s="1398"/>
      <c r="AC521" s="1398"/>
      <c r="AD521" s="1398"/>
      <c r="AE521" s="1398"/>
    </row>
    <row r="522" spans="1:31" ht="15" customHeight="1" x14ac:dyDescent="0.3">
      <c r="A522" s="1398"/>
      <c r="B522" s="2162" t="s">
        <v>2543</v>
      </c>
      <c r="C522" s="2151"/>
      <c r="D522" s="2151"/>
      <c r="E522" s="2151"/>
      <c r="F522" s="2151"/>
      <c r="G522" s="2151"/>
      <c r="H522" s="2151"/>
      <c r="I522" s="2151"/>
      <c r="J522" s="2157"/>
      <c r="K522" s="2151"/>
      <c r="L522" s="2157"/>
      <c r="M522" s="2151"/>
      <c r="N522" s="2157"/>
      <c r="O522" s="2157"/>
      <c r="P522" s="2157"/>
      <c r="Q522" s="2157"/>
      <c r="R522" s="1398"/>
      <c r="S522" s="1398"/>
      <c r="T522" s="1398"/>
      <c r="U522" s="1398"/>
      <c r="V522" s="1398"/>
      <c r="W522" s="1398"/>
      <c r="X522" s="1398"/>
      <c r="Y522" s="1398"/>
      <c r="Z522" s="1398"/>
      <c r="AA522" s="1398"/>
      <c r="AB522" s="1398"/>
      <c r="AC522" s="1398"/>
      <c r="AD522" s="1398"/>
      <c r="AE522" s="1398"/>
    </row>
    <row r="523" spans="1:31" ht="15" customHeight="1" x14ac:dyDescent="0.3">
      <c r="A523" s="1398"/>
      <c r="B523" s="2163" t="s">
        <v>1760</v>
      </c>
      <c r="C523" s="2151"/>
      <c r="D523" s="2151"/>
      <c r="E523" s="2151"/>
      <c r="F523" s="2151"/>
      <c r="G523" s="2151"/>
      <c r="H523" s="2151"/>
      <c r="I523" s="2151"/>
      <c r="J523" s="2157"/>
      <c r="K523" s="2151"/>
      <c r="L523" s="2157"/>
      <c r="M523" s="2151"/>
      <c r="N523" s="2157"/>
      <c r="O523" s="2157"/>
      <c r="P523" s="2157"/>
      <c r="Q523" s="2157"/>
      <c r="R523" s="1398"/>
      <c r="S523" s="1398"/>
      <c r="T523" s="1398"/>
      <c r="U523" s="1398"/>
      <c r="V523" s="1398"/>
      <c r="W523" s="1398"/>
      <c r="X523" s="1398"/>
      <c r="Y523" s="1398"/>
      <c r="Z523" s="1398"/>
      <c r="AA523" s="1398"/>
      <c r="AB523" s="1398"/>
      <c r="AC523" s="1398"/>
      <c r="AD523" s="1398"/>
      <c r="AE523" s="1398"/>
    </row>
    <row r="524" spans="1:31" ht="15" customHeight="1" x14ac:dyDescent="0.3">
      <c r="A524" s="1398"/>
      <c r="B524" s="2162" t="s">
        <v>2543</v>
      </c>
      <c r="C524" s="2151"/>
      <c r="D524" s="2151"/>
      <c r="E524" s="2151"/>
      <c r="F524" s="2151"/>
      <c r="G524" s="2151"/>
      <c r="H524" s="2151"/>
      <c r="I524" s="2151"/>
      <c r="J524" s="2157"/>
      <c r="K524" s="2151"/>
      <c r="L524" s="2157"/>
      <c r="M524" s="2151"/>
      <c r="N524" s="2157"/>
      <c r="O524" s="2157"/>
      <c r="P524" s="2157"/>
      <c r="Q524" s="2157"/>
      <c r="R524" s="1398"/>
      <c r="S524" s="1398"/>
      <c r="T524" s="1398"/>
      <c r="U524" s="1398"/>
      <c r="V524" s="1398"/>
      <c r="W524" s="1398"/>
      <c r="X524" s="1398"/>
      <c r="Y524" s="1398"/>
      <c r="Z524" s="1398"/>
      <c r="AA524" s="1398"/>
      <c r="AB524" s="1398"/>
      <c r="AC524" s="1398"/>
      <c r="AD524" s="1398"/>
      <c r="AE524" s="1398"/>
    </row>
    <row r="525" spans="1:31" ht="15" customHeight="1" x14ac:dyDescent="0.3">
      <c r="A525" s="1398"/>
      <c r="B525" s="2181" t="s">
        <v>1941</v>
      </c>
      <c r="C525" s="2151"/>
      <c r="D525" s="2151"/>
      <c r="E525" s="2151"/>
      <c r="F525" s="2151"/>
      <c r="G525" s="2151"/>
      <c r="H525" s="2151"/>
      <c r="I525" s="2151"/>
      <c r="J525" s="2157"/>
      <c r="K525" s="2151"/>
      <c r="L525" s="2157"/>
      <c r="M525" s="2151"/>
      <c r="N525" s="2157"/>
      <c r="O525" s="2157"/>
      <c r="P525" s="2157"/>
      <c r="Q525" s="2157"/>
      <c r="R525" s="1398"/>
      <c r="S525" s="1398"/>
      <c r="T525" s="1398"/>
      <c r="U525" s="1398"/>
      <c r="V525" s="1398"/>
      <c r="W525" s="1398"/>
      <c r="X525" s="1398"/>
      <c r="Y525" s="1398"/>
      <c r="Z525" s="1398"/>
      <c r="AA525" s="1398"/>
      <c r="AB525" s="1398"/>
      <c r="AC525" s="1398"/>
      <c r="AD525" s="1398"/>
      <c r="AE525" s="1398"/>
    </row>
    <row r="526" spans="1:31" ht="15" customHeight="1" x14ac:dyDescent="0.35">
      <c r="A526" s="1398"/>
      <c r="B526" s="2181" t="s">
        <v>2542</v>
      </c>
      <c r="C526" s="2159" t="str">
        <f t="shared" ref="C526:I526" si="75">IF(AND(ISNUMBER(C527),ISNUMBER(C528)),C527+C528,"")</f>
        <v/>
      </c>
      <c r="D526" s="2159" t="str">
        <f t="shared" si="75"/>
        <v/>
      </c>
      <c r="E526" s="2159" t="str">
        <f t="shared" si="75"/>
        <v/>
      </c>
      <c r="F526" s="2159" t="str">
        <f t="shared" si="75"/>
        <v/>
      </c>
      <c r="G526" s="2159" t="str">
        <f t="shared" si="75"/>
        <v/>
      </c>
      <c r="H526" s="2159" t="str">
        <f t="shared" si="75"/>
        <v/>
      </c>
      <c r="I526" s="2159" t="str">
        <f t="shared" si="75"/>
        <v/>
      </c>
      <c r="J526" s="2157"/>
      <c r="K526" s="2159" t="str">
        <f>IF(AND(ISNUMBER(K527),ISNUMBER(K528)),K527+K528,"")</f>
        <v/>
      </c>
      <c r="L526" s="2157"/>
      <c r="M526" s="2159" t="str">
        <f>IF(AND(ISNUMBER(M527),ISNUMBER(M528)),M527+M528,"")</f>
        <v/>
      </c>
      <c r="N526" s="2157"/>
      <c r="O526" s="2157"/>
      <c r="P526" s="2157"/>
      <c r="Q526" s="2157"/>
      <c r="R526" s="1398"/>
      <c r="S526" s="1398"/>
      <c r="T526" s="1398"/>
      <c r="U526" s="1398"/>
      <c r="V526" s="1398"/>
      <c r="W526" s="1398"/>
      <c r="X526" s="1398"/>
      <c r="Y526" s="1398"/>
      <c r="Z526" s="1398"/>
      <c r="AA526" s="1398"/>
      <c r="AB526" s="1398"/>
      <c r="AC526" s="1398"/>
      <c r="AD526" s="1398"/>
      <c r="AE526" s="1398"/>
    </row>
    <row r="527" spans="1:31" ht="15" customHeight="1" x14ac:dyDescent="0.3">
      <c r="A527" s="1398"/>
      <c r="B527" s="2163" t="s">
        <v>2541</v>
      </c>
      <c r="C527" s="2151"/>
      <c r="D527" s="2151"/>
      <c r="E527" s="2151"/>
      <c r="F527" s="2151"/>
      <c r="G527" s="2151"/>
      <c r="H527" s="2151"/>
      <c r="I527" s="2151"/>
      <c r="J527" s="2157"/>
      <c r="K527" s="2151"/>
      <c r="L527" s="2157"/>
      <c r="M527" s="2151"/>
      <c r="N527" s="2157"/>
      <c r="O527" s="2157"/>
      <c r="P527" s="2157"/>
      <c r="Q527" s="2157"/>
      <c r="R527" s="1398"/>
      <c r="S527" s="1398"/>
      <c r="T527" s="1398"/>
      <c r="U527" s="1398"/>
      <c r="V527" s="1398"/>
      <c r="W527" s="1398"/>
      <c r="X527" s="1398"/>
      <c r="Y527" s="1398"/>
      <c r="Z527" s="1398"/>
      <c r="AA527" s="1398"/>
      <c r="AB527" s="1398"/>
      <c r="AC527" s="1398"/>
      <c r="AD527" s="1398"/>
      <c r="AE527" s="1398"/>
    </row>
    <row r="528" spans="1:31" ht="15" customHeight="1" x14ac:dyDescent="0.3">
      <c r="A528" s="1398"/>
      <c r="B528" s="2155" t="s">
        <v>1760</v>
      </c>
      <c r="C528" s="2151"/>
      <c r="D528" s="2151"/>
      <c r="E528" s="2151"/>
      <c r="F528" s="2151"/>
      <c r="G528" s="2151"/>
      <c r="H528" s="2151"/>
      <c r="I528" s="2151"/>
      <c r="J528" s="2157"/>
      <c r="K528" s="2151"/>
      <c r="L528" s="2157"/>
      <c r="M528" s="2151"/>
      <c r="N528" s="2157"/>
      <c r="O528" s="2157"/>
      <c r="P528" s="2157"/>
      <c r="Q528" s="2157"/>
      <c r="R528" s="1398"/>
      <c r="S528" s="1398"/>
      <c r="T528" s="1398"/>
      <c r="U528" s="1398"/>
      <c r="V528" s="1398"/>
      <c r="W528" s="1398"/>
      <c r="X528" s="1398"/>
      <c r="Y528" s="1398"/>
      <c r="Z528" s="1398"/>
      <c r="AA528" s="1398"/>
      <c r="AB528" s="1398"/>
      <c r="AC528" s="1398"/>
      <c r="AD528" s="1398"/>
      <c r="AE528" s="1398"/>
    </row>
    <row r="529" spans="1:31" ht="15" customHeight="1" x14ac:dyDescent="0.35">
      <c r="A529" s="1398"/>
      <c r="B529" s="2181" t="s">
        <v>2540</v>
      </c>
      <c r="C529" s="2159" t="str">
        <f t="shared" ref="C529:I529" si="76">IF(AND(ISNUMBER(C530),ISNUMBER(C531)),C530+C531,"")</f>
        <v/>
      </c>
      <c r="D529" s="2159" t="str">
        <f t="shared" si="76"/>
        <v/>
      </c>
      <c r="E529" s="2159" t="str">
        <f t="shared" si="76"/>
        <v/>
      </c>
      <c r="F529" s="2159" t="str">
        <f t="shared" si="76"/>
        <v/>
      </c>
      <c r="G529" s="2159" t="str">
        <f t="shared" si="76"/>
        <v/>
      </c>
      <c r="H529" s="2159" t="str">
        <f t="shared" si="76"/>
        <v/>
      </c>
      <c r="I529" s="2159" t="str">
        <f t="shared" si="76"/>
        <v/>
      </c>
      <c r="J529" s="2157"/>
      <c r="K529" s="2159" t="str">
        <f>IF(AND(ISNUMBER(K530),ISNUMBER(K531)),K530+K531,"")</f>
        <v/>
      </c>
      <c r="L529" s="2157"/>
      <c r="M529" s="2159" t="str">
        <f>IF(AND(ISNUMBER(M530),ISNUMBER(M531)),M530+M531,"")</f>
        <v/>
      </c>
      <c r="N529" s="2157"/>
      <c r="O529" s="2157"/>
      <c r="P529" s="2157"/>
      <c r="Q529" s="2157"/>
      <c r="R529" s="1398"/>
      <c r="S529" s="1398"/>
      <c r="T529" s="1398"/>
      <c r="U529" s="1398"/>
      <c r="V529" s="1398"/>
      <c r="W529" s="1398"/>
      <c r="X529" s="1398"/>
      <c r="Y529" s="1398"/>
      <c r="Z529" s="1398"/>
      <c r="AA529" s="1398"/>
      <c r="AB529" s="1398"/>
      <c r="AC529" s="1398"/>
      <c r="AD529" s="1398"/>
      <c r="AE529" s="1398"/>
    </row>
    <row r="530" spans="1:31" ht="15" customHeight="1" x14ac:dyDescent="0.3">
      <c r="A530" s="1398"/>
      <c r="B530" s="2155" t="s">
        <v>2539</v>
      </c>
      <c r="C530" s="2151"/>
      <c r="D530" s="2151"/>
      <c r="E530" s="2151"/>
      <c r="F530" s="2151"/>
      <c r="G530" s="2151"/>
      <c r="H530" s="2151"/>
      <c r="I530" s="2151"/>
      <c r="J530" s="2157"/>
      <c r="K530" s="2151"/>
      <c r="L530" s="2157"/>
      <c r="M530" s="2151"/>
      <c r="N530" s="2157"/>
      <c r="O530" s="2157"/>
      <c r="P530" s="2157"/>
      <c r="Q530" s="2157"/>
      <c r="R530" s="1398"/>
      <c r="S530" s="1398"/>
      <c r="T530" s="1398"/>
      <c r="U530" s="1398"/>
      <c r="V530" s="1398"/>
      <c r="W530" s="1398"/>
      <c r="X530" s="1398"/>
      <c r="Y530" s="1398"/>
      <c r="Z530" s="1398"/>
      <c r="AA530" s="1398"/>
      <c r="AB530" s="1398"/>
      <c r="AC530" s="1398"/>
      <c r="AD530" s="1398"/>
      <c r="AE530" s="1398"/>
    </row>
    <row r="531" spans="1:31" ht="15" customHeight="1" x14ac:dyDescent="0.3">
      <c r="A531" s="1398"/>
      <c r="B531" s="2155" t="s">
        <v>1760</v>
      </c>
      <c r="C531" s="2151"/>
      <c r="D531" s="2151"/>
      <c r="E531" s="2151"/>
      <c r="F531" s="2151"/>
      <c r="G531" s="2151"/>
      <c r="H531" s="2151"/>
      <c r="I531" s="2151"/>
      <c r="J531" s="2157"/>
      <c r="K531" s="2151"/>
      <c r="L531" s="2157"/>
      <c r="M531" s="2151"/>
      <c r="N531" s="2157"/>
      <c r="O531" s="2157"/>
      <c r="P531" s="2157"/>
      <c r="Q531" s="2157"/>
      <c r="R531" s="1398"/>
      <c r="S531" s="1398"/>
      <c r="T531" s="1398"/>
      <c r="U531" s="1398"/>
      <c r="V531" s="1398"/>
      <c r="W531" s="1398"/>
      <c r="X531" s="1398"/>
      <c r="Y531" s="1398"/>
      <c r="Z531" s="1398"/>
      <c r="AA531" s="1398"/>
      <c r="AB531" s="1398"/>
      <c r="AC531" s="1398"/>
      <c r="AD531" s="1398"/>
      <c r="AE531" s="1398"/>
    </row>
    <row r="532" spans="1:31" ht="15" customHeight="1" x14ac:dyDescent="0.35">
      <c r="A532" s="1398"/>
      <c r="B532" s="569" t="s">
        <v>59</v>
      </c>
      <c r="C532" s="2156">
        <f t="shared" ref="C532:Q532" si="77">IF(AND(ISNUMBER(C534),ISNUMBER(C533)),SUM(C533:C534),0)</f>
        <v>0</v>
      </c>
      <c r="D532" s="2156">
        <f t="shared" si="77"/>
        <v>0</v>
      </c>
      <c r="E532" s="2156">
        <f t="shared" si="77"/>
        <v>0</v>
      </c>
      <c r="F532" s="2156">
        <f t="shared" si="77"/>
        <v>0</v>
      </c>
      <c r="G532" s="2156">
        <f t="shared" si="77"/>
        <v>0</v>
      </c>
      <c r="H532" s="2156">
        <f t="shared" si="77"/>
        <v>0</v>
      </c>
      <c r="I532" s="2156">
        <f t="shared" si="77"/>
        <v>0</v>
      </c>
      <c r="J532" s="2156">
        <f t="shared" si="77"/>
        <v>0</v>
      </c>
      <c r="K532" s="2156">
        <f t="shared" si="77"/>
        <v>0</v>
      </c>
      <c r="L532" s="2156">
        <f t="shared" si="77"/>
        <v>0</v>
      </c>
      <c r="M532" s="2156">
        <f t="shared" si="77"/>
        <v>0</v>
      </c>
      <c r="N532" s="2156">
        <f t="shared" si="77"/>
        <v>0</v>
      </c>
      <c r="O532" s="2156">
        <f t="shared" si="77"/>
        <v>0</v>
      </c>
      <c r="P532" s="2156">
        <f t="shared" si="77"/>
        <v>0</v>
      </c>
      <c r="Q532" s="2156">
        <f t="shared" si="77"/>
        <v>0</v>
      </c>
      <c r="R532" s="1398"/>
      <c r="S532" s="1398"/>
      <c r="T532" s="1398"/>
      <c r="U532" s="1398"/>
      <c r="V532" s="1398"/>
      <c r="W532" s="1398"/>
      <c r="X532" s="1398"/>
      <c r="Y532" s="1398"/>
      <c r="Z532" s="1398"/>
      <c r="AA532" s="1398"/>
      <c r="AB532" s="1398"/>
      <c r="AC532" s="1398"/>
      <c r="AD532" s="1398"/>
      <c r="AE532" s="1398"/>
    </row>
    <row r="533" spans="1:31" ht="15" customHeight="1" x14ac:dyDescent="0.3">
      <c r="A533" s="1398"/>
      <c r="B533" s="2155" t="s">
        <v>2538</v>
      </c>
      <c r="C533" s="2151"/>
      <c r="D533" s="2151"/>
      <c r="E533" s="2151"/>
      <c r="F533" s="2151"/>
      <c r="G533" s="2151"/>
      <c r="H533" s="2151"/>
      <c r="I533" s="23"/>
      <c r="J533" s="2151"/>
      <c r="K533" s="2151"/>
      <c r="L533" s="2151"/>
      <c r="M533" s="2151"/>
      <c r="N533" s="2151"/>
      <c r="O533" s="2151"/>
      <c r="P533" s="2151"/>
      <c r="Q533" s="2151"/>
      <c r="R533" s="1398"/>
      <c r="S533" s="1398"/>
      <c r="T533" s="1398"/>
      <c r="U533" s="1398"/>
      <c r="V533" s="1398"/>
      <c r="W533" s="1398"/>
      <c r="X533" s="1398"/>
      <c r="Y533" s="1398"/>
      <c r="Z533" s="1398"/>
      <c r="AA533" s="1398"/>
      <c r="AB533" s="1398"/>
      <c r="AC533" s="1398"/>
      <c r="AD533" s="1398"/>
      <c r="AE533" s="1398"/>
    </row>
    <row r="534" spans="1:31" ht="15" customHeight="1" x14ac:dyDescent="0.3">
      <c r="A534" s="1398"/>
      <c r="B534" s="2155" t="s">
        <v>2537</v>
      </c>
      <c r="C534" s="2151"/>
      <c r="D534" s="2151"/>
      <c r="E534" s="2151"/>
      <c r="F534" s="2151"/>
      <c r="G534" s="2151"/>
      <c r="H534" s="2151"/>
      <c r="I534" s="23"/>
      <c r="J534" s="2151"/>
      <c r="K534" s="2151"/>
      <c r="L534" s="2151"/>
      <c r="M534" s="2151"/>
      <c r="N534" s="2151"/>
      <c r="O534" s="2151"/>
      <c r="P534" s="2151"/>
      <c r="Q534" s="2151"/>
      <c r="R534" s="1398"/>
      <c r="S534" s="1398"/>
      <c r="T534" s="1398"/>
      <c r="U534" s="1398"/>
      <c r="V534" s="1398"/>
      <c r="W534" s="1398"/>
      <c r="X534" s="1398"/>
      <c r="Y534" s="1398"/>
      <c r="Z534" s="1398"/>
      <c r="AA534" s="1398"/>
      <c r="AB534" s="1398"/>
      <c r="AC534" s="1398"/>
      <c r="AD534" s="1398"/>
      <c r="AE534" s="1398"/>
    </row>
    <row r="535" spans="1:31" ht="15" customHeight="1" x14ac:dyDescent="0.3">
      <c r="A535" s="1398"/>
      <c r="B535" s="2154" t="str">
        <f>"Check: row " &amp; ROW(B532) &amp;" = sum(row " &amp; ROW(B533) &amp; ", row "&amp; ROW(B534)&amp;")"</f>
        <v>Check: row 532 = sum(row 533, row 534)</v>
      </c>
      <c r="C535" s="2153" t="str">
        <f t="shared" ref="C535:Q535" si="78">IF(AND(ISNUMBER(C533), ISNUMBER(C534)), IF(C532=SUM(C533:C534), "Pass", "Fail"), "")</f>
        <v/>
      </c>
      <c r="D535" s="2153" t="str">
        <f t="shared" si="78"/>
        <v/>
      </c>
      <c r="E535" s="2153" t="str">
        <f t="shared" si="78"/>
        <v/>
      </c>
      <c r="F535" s="2153" t="str">
        <f t="shared" si="78"/>
        <v/>
      </c>
      <c r="G535" s="2153" t="str">
        <f t="shared" si="78"/>
        <v/>
      </c>
      <c r="H535" s="2153" t="str">
        <f t="shared" si="78"/>
        <v/>
      </c>
      <c r="I535" s="2153" t="str">
        <f t="shared" si="78"/>
        <v/>
      </c>
      <c r="J535" s="2153" t="str">
        <f t="shared" si="78"/>
        <v/>
      </c>
      <c r="K535" s="2153" t="str">
        <f t="shared" si="78"/>
        <v/>
      </c>
      <c r="L535" s="2153" t="str">
        <f t="shared" si="78"/>
        <v/>
      </c>
      <c r="M535" s="2153" t="str">
        <f t="shared" si="78"/>
        <v/>
      </c>
      <c r="N535" s="2153" t="str">
        <f t="shared" si="78"/>
        <v/>
      </c>
      <c r="O535" s="2153" t="str">
        <f t="shared" si="78"/>
        <v/>
      </c>
      <c r="P535" s="2153" t="str">
        <f t="shared" si="78"/>
        <v/>
      </c>
      <c r="Q535" s="2153" t="str">
        <f t="shared" si="78"/>
        <v/>
      </c>
      <c r="R535" s="1398"/>
      <c r="S535" s="1398"/>
      <c r="T535" s="1398"/>
      <c r="U535" s="1398"/>
      <c r="V535" s="1398"/>
      <c r="W535" s="1398"/>
      <c r="X535" s="1398"/>
      <c r="Y535" s="1398"/>
      <c r="Z535" s="1398"/>
      <c r="AA535" s="1398"/>
      <c r="AB535" s="1398"/>
      <c r="AC535" s="1398"/>
      <c r="AD535" s="1398"/>
      <c r="AE535" s="1398"/>
    </row>
    <row r="536" spans="1:31" ht="15" customHeight="1" x14ac:dyDescent="0.3">
      <c r="A536" s="1398"/>
      <c r="B536" s="2152" t="s">
        <v>2536</v>
      </c>
      <c r="C536" s="2151"/>
      <c r="D536" s="1398"/>
      <c r="E536" s="1398"/>
      <c r="F536" s="1398"/>
      <c r="G536" s="1398"/>
      <c r="H536" s="1398"/>
      <c r="I536" s="1398"/>
      <c r="J536" s="1398"/>
      <c r="K536" s="1398"/>
      <c r="L536" s="1398"/>
      <c r="M536" s="1398"/>
      <c r="N536" s="1398"/>
      <c r="O536" s="1398"/>
      <c r="P536" s="1398"/>
      <c r="Q536" s="1398"/>
      <c r="R536" s="1398"/>
      <c r="S536" s="1398"/>
      <c r="T536" s="1398"/>
      <c r="U536" s="1398"/>
      <c r="V536" s="1398"/>
      <c r="W536" s="1398"/>
      <c r="X536" s="1398"/>
      <c r="Y536" s="1398"/>
      <c r="Z536" s="1398"/>
      <c r="AA536" s="1398"/>
      <c r="AB536" s="1398"/>
      <c r="AC536" s="1398"/>
      <c r="AD536" s="1398"/>
      <c r="AE536" s="1398"/>
    </row>
    <row r="537" spans="1:31" ht="15" customHeight="1" x14ac:dyDescent="0.3">
      <c r="A537" s="1398"/>
      <c r="B537" s="2150" t="s">
        <v>2535</v>
      </c>
      <c r="C537" s="2149"/>
      <c r="D537" s="1398"/>
      <c r="E537" s="1398"/>
      <c r="F537" s="1398"/>
      <c r="G537" s="1398"/>
      <c r="H537" s="1398"/>
      <c r="I537" s="1398"/>
      <c r="J537" s="1398"/>
      <c r="K537" s="1398"/>
      <c r="L537" s="1398"/>
      <c r="M537" s="1398"/>
      <c r="N537" s="1398"/>
      <c r="O537" s="1398"/>
      <c r="P537" s="1398"/>
      <c r="Q537" s="1398"/>
      <c r="R537" s="1398"/>
      <c r="S537" s="1398"/>
      <c r="T537" s="1398"/>
      <c r="U537" s="1398"/>
      <c r="V537" s="1398"/>
      <c r="W537" s="1398"/>
      <c r="X537" s="1398"/>
      <c r="Y537" s="1398"/>
      <c r="Z537" s="1398"/>
      <c r="AA537" s="1398"/>
      <c r="AB537" s="1398"/>
      <c r="AC537" s="1398"/>
      <c r="AD537" s="1398"/>
      <c r="AE537" s="1398"/>
    </row>
    <row r="538" spans="1:31" ht="15" customHeight="1" x14ac:dyDescent="0.35">
      <c r="A538" s="1398"/>
      <c r="D538" s="1398"/>
      <c r="E538" s="1398"/>
      <c r="F538" s="1398"/>
      <c r="G538" s="1398"/>
      <c r="H538" s="1398"/>
      <c r="I538" s="1398"/>
      <c r="J538" s="1398"/>
      <c r="K538" s="1398"/>
      <c r="L538" s="1398"/>
      <c r="M538" s="1398"/>
      <c r="N538" s="1398"/>
      <c r="O538" s="1398"/>
      <c r="P538" s="1398"/>
      <c r="Q538" s="1398"/>
      <c r="R538" s="1398"/>
      <c r="S538" s="1398"/>
      <c r="T538" s="1398"/>
      <c r="U538" s="1398"/>
      <c r="V538" s="1398"/>
      <c r="W538" s="1398"/>
      <c r="X538" s="1398"/>
      <c r="Y538" s="1398"/>
      <c r="Z538" s="1398"/>
      <c r="AA538" s="1398"/>
      <c r="AB538" s="1398"/>
      <c r="AC538" s="1398"/>
      <c r="AD538" s="1398"/>
      <c r="AE538" s="1398"/>
    </row>
    <row r="539" spans="1:31" ht="19.5" customHeight="1" x14ac:dyDescent="0.3">
      <c r="A539" s="2196" t="s">
        <v>2577</v>
      </c>
      <c r="B539" s="2195"/>
      <c r="C539" s="2194" t="s">
        <v>2566</v>
      </c>
      <c r="D539" s="2173" t="str">
        <f>IF(ISBLANK($P$7),"",IF($P$7="No","Please leave Panel B"&amp;COLUMN($P$7)-2&amp;" empty","Please fill in Panel B"&amp;COLUMN($P$7)-2))</f>
        <v/>
      </c>
      <c r="E539" s="2193"/>
      <c r="F539" s="2193"/>
      <c r="G539" s="2193"/>
      <c r="H539" s="2193"/>
      <c r="I539" s="2193"/>
      <c r="J539" s="2193"/>
      <c r="K539" s="2193"/>
      <c r="L539" s="2193"/>
      <c r="M539" s="2193"/>
      <c r="N539" s="2193"/>
      <c r="O539" s="2193"/>
      <c r="P539" s="2193"/>
      <c r="Q539" s="2193"/>
      <c r="R539" s="1398"/>
      <c r="S539" s="1398"/>
      <c r="T539" s="1398"/>
      <c r="U539" s="1398"/>
      <c r="V539" s="1398"/>
      <c r="W539" s="1398"/>
      <c r="X539" s="1398"/>
      <c r="Y539" s="1398"/>
      <c r="Z539" s="1398"/>
      <c r="AA539" s="1398"/>
      <c r="AB539" s="1398"/>
      <c r="AC539" s="1398"/>
      <c r="AD539" s="1398"/>
      <c r="AE539" s="1398"/>
    </row>
    <row r="540" spans="1:31" ht="15" customHeight="1" x14ac:dyDescent="0.35">
      <c r="A540" s="1398"/>
      <c r="C540" s="2980" t="s">
        <v>207</v>
      </c>
      <c r="D540" s="2980"/>
      <c r="E540" s="2980"/>
      <c r="F540" s="2980"/>
      <c r="G540" s="2980"/>
      <c r="H540" s="2980"/>
      <c r="I540" s="2980"/>
      <c r="J540" s="2980"/>
      <c r="K540" s="2980"/>
      <c r="L540" s="2981"/>
      <c r="M540" s="2982" t="s">
        <v>2559</v>
      </c>
      <c r="N540" s="2984" t="s">
        <v>2565</v>
      </c>
      <c r="O540" s="2985"/>
      <c r="P540" s="2985"/>
      <c r="Q540" s="2985"/>
      <c r="R540" s="1398"/>
      <c r="S540" s="1398"/>
      <c r="T540" s="1398"/>
      <c r="U540" s="1398"/>
      <c r="V540" s="1398"/>
      <c r="W540" s="1398"/>
      <c r="X540" s="1398"/>
      <c r="Y540" s="1398"/>
      <c r="Z540" s="1398"/>
      <c r="AA540" s="1398"/>
      <c r="AB540" s="1398"/>
      <c r="AC540" s="1398"/>
      <c r="AD540" s="1398"/>
      <c r="AE540" s="1398"/>
    </row>
    <row r="541" spans="1:31" ht="15" customHeight="1" x14ac:dyDescent="0.35">
      <c r="A541" s="1398"/>
      <c r="B541" s="2172"/>
      <c r="C541" s="2967" t="s">
        <v>2564</v>
      </c>
      <c r="D541" s="2973" t="s">
        <v>465</v>
      </c>
      <c r="E541" s="2974"/>
      <c r="F541" s="2974"/>
      <c r="G541" s="2974"/>
      <c r="H541" s="2975"/>
      <c r="I541" s="2969" t="s">
        <v>2563</v>
      </c>
      <c r="J541" s="2969" t="s">
        <v>2562</v>
      </c>
      <c r="K541" s="2969" t="s">
        <v>2561</v>
      </c>
      <c r="L541" s="2969" t="s">
        <v>2560</v>
      </c>
      <c r="M541" s="2983"/>
      <c r="N541" s="2978" t="s">
        <v>207</v>
      </c>
      <c r="O541" s="2978" t="s">
        <v>2559</v>
      </c>
      <c r="P541" s="2969" t="s">
        <v>59</v>
      </c>
      <c r="Q541" s="2971" t="s">
        <v>2558</v>
      </c>
      <c r="R541" s="1398"/>
      <c r="S541" s="1398"/>
      <c r="T541" s="1398"/>
      <c r="U541" s="1398"/>
      <c r="V541" s="1398"/>
      <c r="W541" s="1398"/>
      <c r="X541" s="1398"/>
      <c r="Y541" s="1398"/>
      <c r="Z541" s="1398"/>
      <c r="AA541" s="1398"/>
      <c r="AB541" s="1398"/>
      <c r="AC541" s="1398"/>
      <c r="AD541" s="1398"/>
      <c r="AE541" s="1398"/>
    </row>
    <row r="542" spans="1:31" ht="30" customHeight="1" x14ac:dyDescent="0.35">
      <c r="A542" s="1398"/>
      <c r="B542" s="2171"/>
      <c r="C542" s="2968"/>
      <c r="D542" s="2170" t="s">
        <v>2557</v>
      </c>
      <c r="E542" s="2170" t="s">
        <v>2556</v>
      </c>
      <c r="F542" s="2170" t="s">
        <v>2555</v>
      </c>
      <c r="G542" s="2170" t="s">
        <v>2554</v>
      </c>
      <c r="H542" s="2170" t="s">
        <v>59</v>
      </c>
      <c r="I542" s="2970"/>
      <c r="J542" s="2970"/>
      <c r="K542" s="2970"/>
      <c r="L542" s="2970"/>
      <c r="M542" s="2970"/>
      <c r="N542" s="2979"/>
      <c r="O542" s="2979"/>
      <c r="P542" s="2970"/>
      <c r="Q542" s="2972"/>
      <c r="R542" s="1398"/>
      <c r="S542" s="1398"/>
      <c r="T542" s="1398"/>
      <c r="U542" s="1398"/>
      <c r="V542" s="1398"/>
      <c r="W542" s="1398"/>
      <c r="X542" s="1398"/>
      <c r="Y542" s="1398"/>
      <c r="Z542" s="1398"/>
      <c r="AA542" s="1398"/>
      <c r="AB542" s="1398"/>
      <c r="AC542" s="1398"/>
      <c r="AD542" s="1398"/>
      <c r="AE542" s="1398"/>
    </row>
    <row r="543" spans="1:31" ht="15" customHeight="1" x14ac:dyDescent="0.35">
      <c r="A543" s="1398"/>
      <c r="B543" s="2179" t="s">
        <v>2553</v>
      </c>
      <c r="C543" s="2168" t="str">
        <f t="shared" ref="C543:I543" si="79">IF(AND(ISNUMBER(C556),ISNUMBER(C552),ISNUMBER(C554),ISNUMBER(C544),ISNUMBER(C548),ISNUMBER(C546),ISNUMBER(C550),ISNUMBER(C558)),SUM(C544,C546,C548,C550,C552,C554,C556,C558),"")</f>
        <v/>
      </c>
      <c r="D543" s="2168" t="str">
        <f t="shared" si="79"/>
        <v/>
      </c>
      <c r="E543" s="2168" t="str">
        <f t="shared" si="79"/>
        <v/>
      </c>
      <c r="F543" s="2168" t="str">
        <f t="shared" si="79"/>
        <v/>
      </c>
      <c r="G543" s="2168" t="str">
        <f t="shared" si="79"/>
        <v/>
      </c>
      <c r="H543" s="2168" t="str">
        <f t="shared" si="79"/>
        <v/>
      </c>
      <c r="I543" s="2168" t="str">
        <f t="shared" si="79"/>
        <v/>
      </c>
      <c r="J543" s="2157"/>
      <c r="K543" s="2168" t="str">
        <f>IF(AND(ISNUMBER(K556),ISNUMBER(K552),ISNUMBER(K554),ISNUMBER(K544),ISNUMBER(K548),ISNUMBER(K546),ISNUMBER(K550),ISNUMBER(K558)),SUM(K544,K546,K548,K550,K552,K554,K556,K558),"")</f>
        <v/>
      </c>
      <c r="L543" s="2157"/>
      <c r="M543" s="2168" t="str">
        <f>IF(AND(ISNUMBER(M556),ISNUMBER(M552),ISNUMBER(M554),ISNUMBER(M544),ISNUMBER(M548),ISNUMBER(M546),ISNUMBER(M550),ISNUMBER(M558)),SUM(M544,M546,M548,M550,M552,M554,M556,M558),"")</f>
        <v/>
      </c>
      <c r="N543" s="2167"/>
      <c r="O543" s="2167"/>
      <c r="P543" s="2167"/>
      <c r="Q543" s="2167"/>
      <c r="R543" s="1398"/>
      <c r="S543" s="1398"/>
      <c r="T543" s="1398"/>
      <c r="U543" s="1398"/>
      <c r="V543" s="1398"/>
      <c r="W543" s="1398"/>
      <c r="X543" s="1398"/>
      <c r="Y543" s="1398"/>
      <c r="Z543" s="1398"/>
      <c r="AA543" s="1398"/>
      <c r="AB543" s="1398"/>
      <c r="AC543" s="1398"/>
      <c r="AD543" s="1398"/>
      <c r="AE543" s="1398"/>
    </row>
    <row r="544" spans="1:31" ht="15" customHeight="1" x14ac:dyDescent="0.3">
      <c r="A544" s="1398"/>
      <c r="B544" s="2163" t="s">
        <v>2552</v>
      </c>
      <c r="C544" s="2151"/>
      <c r="D544" s="2151"/>
      <c r="E544" s="2151"/>
      <c r="F544" s="2151"/>
      <c r="G544" s="2151"/>
      <c r="H544" s="2151"/>
      <c r="I544" s="2151"/>
      <c r="J544" s="2157"/>
      <c r="K544" s="23"/>
      <c r="L544" s="2157"/>
      <c r="M544" s="2151"/>
      <c r="N544" s="2157"/>
      <c r="O544" s="2157"/>
      <c r="P544" s="2157"/>
      <c r="Q544" s="2157"/>
      <c r="R544" s="1398"/>
      <c r="S544" s="1398"/>
      <c r="T544" s="1398"/>
      <c r="U544" s="1398"/>
      <c r="V544" s="1398"/>
      <c r="W544" s="1398"/>
      <c r="X544" s="1398"/>
      <c r="Y544" s="1398"/>
      <c r="Z544" s="1398"/>
      <c r="AA544" s="1398"/>
      <c r="AB544" s="1398"/>
      <c r="AC544" s="1398"/>
      <c r="AD544" s="1398"/>
      <c r="AE544" s="1398"/>
    </row>
    <row r="545" spans="1:31" ht="15" customHeight="1" x14ac:dyDescent="0.3">
      <c r="A545" s="1398"/>
      <c r="B545" s="2162" t="s">
        <v>2543</v>
      </c>
      <c r="C545" s="2151"/>
      <c r="D545" s="2151"/>
      <c r="E545" s="2151"/>
      <c r="F545" s="2151"/>
      <c r="G545" s="2151"/>
      <c r="H545" s="2151"/>
      <c r="I545" s="2151"/>
      <c r="J545" s="2157"/>
      <c r="K545" s="23"/>
      <c r="L545" s="2157"/>
      <c r="M545" s="2151"/>
      <c r="N545" s="2157"/>
      <c r="O545" s="2157"/>
      <c r="P545" s="2157"/>
      <c r="Q545" s="2157"/>
      <c r="R545" s="1398"/>
      <c r="S545" s="1398"/>
      <c r="T545" s="1398"/>
      <c r="U545" s="1398"/>
      <c r="V545" s="1398"/>
      <c r="W545" s="1398"/>
      <c r="X545" s="1398"/>
      <c r="Y545" s="1398"/>
      <c r="Z545" s="1398"/>
      <c r="AA545" s="1398"/>
      <c r="AB545" s="1398"/>
      <c r="AC545" s="1398"/>
      <c r="AD545" s="1398"/>
      <c r="AE545" s="1398"/>
    </row>
    <row r="546" spans="1:31" ht="15" customHeight="1" x14ac:dyDescent="0.3">
      <c r="A546" s="1398"/>
      <c r="B546" s="2163" t="s">
        <v>2551</v>
      </c>
      <c r="C546" s="2151"/>
      <c r="D546" s="2151"/>
      <c r="E546" s="2151"/>
      <c r="F546" s="2151"/>
      <c r="G546" s="2151"/>
      <c r="H546" s="2151"/>
      <c r="I546" s="2151"/>
      <c r="J546" s="2157"/>
      <c r="K546" s="23"/>
      <c r="L546" s="2157"/>
      <c r="M546" s="2151"/>
      <c r="N546" s="2157"/>
      <c r="O546" s="2157"/>
      <c r="P546" s="2157"/>
      <c r="Q546" s="2157"/>
      <c r="R546" s="1398"/>
      <c r="S546" s="1398"/>
      <c r="T546" s="1398"/>
      <c r="U546" s="1398"/>
      <c r="V546" s="1398"/>
      <c r="W546" s="1398"/>
      <c r="X546" s="1398"/>
      <c r="Y546" s="1398"/>
      <c r="Z546" s="1398"/>
      <c r="AA546" s="1398"/>
      <c r="AB546" s="1398"/>
      <c r="AC546" s="1398"/>
      <c r="AD546" s="1398"/>
      <c r="AE546" s="1398"/>
    </row>
    <row r="547" spans="1:31" ht="15" customHeight="1" x14ac:dyDescent="0.3">
      <c r="A547" s="1398"/>
      <c r="B547" s="2162" t="s">
        <v>2543</v>
      </c>
      <c r="C547" s="2151"/>
      <c r="D547" s="2151"/>
      <c r="E547" s="2151"/>
      <c r="F547" s="2151"/>
      <c r="G547" s="2151"/>
      <c r="H547" s="2151"/>
      <c r="I547" s="2151"/>
      <c r="J547" s="2157"/>
      <c r="K547" s="23"/>
      <c r="L547" s="2157"/>
      <c r="M547" s="2151"/>
      <c r="N547" s="2157"/>
      <c r="O547" s="2157"/>
      <c r="P547" s="2157"/>
      <c r="Q547" s="2157"/>
      <c r="R547" s="1398"/>
      <c r="S547" s="1398"/>
      <c r="T547" s="1398"/>
      <c r="U547" s="1398"/>
      <c r="V547" s="1398"/>
      <c r="W547" s="1398"/>
      <c r="X547" s="1398"/>
      <c r="Y547" s="1398"/>
      <c r="Z547" s="1398"/>
      <c r="AA547" s="1398"/>
      <c r="AB547" s="1398"/>
      <c r="AC547" s="1398"/>
      <c r="AD547" s="1398"/>
      <c r="AE547" s="1398"/>
    </row>
    <row r="548" spans="1:31" ht="15" customHeight="1" x14ac:dyDescent="0.3">
      <c r="A548" s="1398"/>
      <c r="B548" s="2163" t="s">
        <v>2550</v>
      </c>
      <c r="C548" s="2151"/>
      <c r="D548" s="2151"/>
      <c r="E548" s="2151"/>
      <c r="F548" s="2151"/>
      <c r="G548" s="2151"/>
      <c r="H548" s="2151"/>
      <c r="I548" s="2151"/>
      <c r="J548" s="2157"/>
      <c r="K548" s="23"/>
      <c r="L548" s="2157"/>
      <c r="M548" s="2151"/>
      <c r="N548" s="2157"/>
      <c r="O548" s="2157"/>
      <c r="P548" s="2157"/>
      <c r="Q548" s="2157"/>
      <c r="R548" s="1398"/>
      <c r="S548" s="1398"/>
      <c r="T548" s="1398"/>
      <c r="U548" s="1398"/>
      <c r="V548" s="1398"/>
      <c r="W548" s="1398"/>
      <c r="X548" s="1398"/>
      <c r="Y548" s="1398"/>
      <c r="Z548" s="1398"/>
      <c r="AA548" s="1398"/>
      <c r="AB548" s="1398"/>
      <c r="AC548" s="1398"/>
      <c r="AD548" s="1398"/>
      <c r="AE548" s="1398"/>
    </row>
    <row r="549" spans="1:31" ht="15" customHeight="1" x14ac:dyDescent="0.3">
      <c r="A549" s="1398"/>
      <c r="B549" s="2162" t="s">
        <v>2543</v>
      </c>
      <c r="C549" s="2151"/>
      <c r="D549" s="2151"/>
      <c r="E549" s="2151"/>
      <c r="F549" s="2151"/>
      <c r="G549" s="2151"/>
      <c r="H549" s="2151"/>
      <c r="I549" s="2151"/>
      <c r="J549" s="2157"/>
      <c r="K549" s="23"/>
      <c r="L549" s="2157"/>
      <c r="M549" s="2151"/>
      <c r="N549" s="2157"/>
      <c r="O549" s="2157"/>
      <c r="P549" s="2157"/>
      <c r="Q549" s="2157"/>
      <c r="R549" s="1398"/>
      <c r="S549" s="1398"/>
      <c r="T549" s="1398"/>
      <c r="U549" s="1398"/>
      <c r="V549" s="1398"/>
      <c r="W549" s="1398"/>
      <c r="X549" s="1398"/>
      <c r="Y549" s="1398"/>
      <c r="Z549" s="1398"/>
      <c r="AA549" s="1398"/>
      <c r="AB549" s="1398"/>
      <c r="AC549" s="1398"/>
      <c r="AD549" s="1398"/>
      <c r="AE549" s="1398"/>
    </row>
    <row r="550" spans="1:31" ht="15" customHeight="1" x14ac:dyDescent="0.3">
      <c r="A550" s="1398"/>
      <c r="B550" s="2163" t="s">
        <v>2549</v>
      </c>
      <c r="C550" s="2151"/>
      <c r="D550" s="2151"/>
      <c r="E550" s="2151"/>
      <c r="F550" s="2151"/>
      <c r="G550" s="2151"/>
      <c r="H550" s="2151"/>
      <c r="I550" s="2151"/>
      <c r="J550" s="2157"/>
      <c r="K550" s="23"/>
      <c r="L550" s="2157"/>
      <c r="M550" s="2151"/>
      <c r="N550" s="2157"/>
      <c r="O550" s="2157"/>
      <c r="P550" s="2157"/>
      <c r="Q550" s="2157"/>
      <c r="R550" s="1398"/>
      <c r="S550" s="1398"/>
      <c r="T550" s="1398"/>
      <c r="U550" s="1398"/>
      <c r="V550" s="1398"/>
      <c r="W550" s="1398"/>
      <c r="X550" s="1398"/>
      <c r="Y550" s="1398"/>
      <c r="Z550" s="1398"/>
      <c r="AA550" s="1398"/>
      <c r="AB550" s="1398"/>
      <c r="AC550" s="1398"/>
      <c r="AD550" s="1398"/>
      <c r="AE550" s="1398"/>
    </row>
    <row r="551" spans="1:31" ht="15" customHeight="1" x14ac:dyDescent="0.3">
      <c r="A551" s="1398"/>
      <c r="B551" s="2162" t="s">
        <v>2543</v>
      </c>
      <c r="C551" s="2151"/>
      <c r="D551" s="2151"/>
      <c r="E551" s="2151"/>
      <c r="F551" s="2151"/>
      <c r="G551" s="2151"/>
      <c r="H551" s="2151"/>
      <c r="I551" s="2151"/>
      <c r="J551" s="2157"/>
      <c r="K551" s="23"/>
      <c r="L551" s="2157"/>
      <c r="M551" s="2151"/>
      <c r="N551" s="2157"/>
      <c r="O551" s="2157"/>
      <c r="P551" s="2157"/>
      <c r="Q551" s="2157"/>
      <c r="R551" s="1398"/>
      <c r="S551" s="1398"/>
      <c r="T551" s="1398"/>
      <c r="U551" s="1398"/>
      <c r="V551" s="1398"/>
      <c r="W551" s="1398"/>
      <c r="X551" s="1398"/>
      <c r="Y551" s="1398"/>
      <c r="Z551" s="1398"/>
      <c r="AA551" s="1398"/>
      <c r="AB551" s="1398"/>
      <c r="AC551" s="1398"/>
      <c r="AD551" s="1398"/>
      <c r="AE551" s="1398"/>
    </row>
    <row r="552" spans="1:31" ht="15" customHeight="1" x14ac:dyDescent="0.35">
      <c r="A552" s="1398"/>
      <c r="B552" s="2192" t="s">
        <v>2548</v>
      </c>
      <c r="C552" s="2151"/>
      <c r="D552" s="2151"/>
      <c r="E552" s="2151"/>
      <c r="F552" s="2151"/>
      <c r="G552" s="2151"/>
      <c r="H552" s="2151"/>
      <c r="I552" s="2151"/>
      <c r="J552" s="2157"/>
      <c r="K552" s="23"/>
      <c r="L552" s="2157"/>
      <c r="M552" s="2151"/>
      <c r="N552" s="2157"/>
      <c r="O552" s="2157"/>
      <c r="P552" s="2157"/>
      <c r="Q552" s="2157"/>
      <c r="R552" s="1398"/>
      <c r="S552" s="1398"/>
      <c r="T552" s="1398"/>
      <c r="U552" s="1398"/>
      <c r="V552" s="1398"/>
      <c r="W552" s="1398"/>
      <c r="X552" s="1398"/>
      <c r="Y552" s="1398"/>
      <c r="Z552" s="1398"/>
      <c r="AA552" s="1398"/>
      <c r="AB552" s="1398"/>
      <c r="AC552" s="1398"/>
      <c r="AD552" s="1398"/>
      <c r="AE552" s="1398"/>
    </row>
    <row r="553" spans="1:31" ht="15" customHeight="1" x14ac:dyDescent="0.3">
      <c r="A553" s="1398"/>
      <c r="B553" s="2162" t="s">
        <v>2543</v>
      </c>
      <c r="C553" s="2151"/>
      <c r="D553" s="2151"/>
      <c r="E553" s="2151"/>
      <c r="F553" s="2151"/>
      <c r="G553" s="2151"/>
      <c r="H553" s="2151"/>
      <c r="I553" s="2151"/>
      <c r="J553" s="2157"/>
      <c r="K553" s="23"/>
      <c r="L553" s="2157"/>
      <c r="M553" s="2151"/>
      <c r="N553" s="2157"/>
      <c r="O553" s="2157"/>
      <c r="P553" s="2157"/>
      <c r="Q553" s="2157"/>
      <c r="R553" s="1398"/>
      <c r="S553" s="1398"/>
      <c r="T553" s="1398"/>
      <c r="U553" s="1398"/>
      <c r="V553" s="1398"/>
      <c r="W553" s="1398"/>
      <c r="X553" s="1398"/>
      <c r="Y553" s="1398"/>
      <c r="Z553" s="1398"/>
      <c r="AA553" s="1398"/>
      <c r="AB553" s="1398"/>
      <c r="AC553" s="1398"/>
      <c r="AD553" s="1398"/>
      <c r="AE553" s="1398"/>
    </row>
    <row r="554" spans="1:31" ht="15" customHeight="1" x14ac:dyDescent="0.3">
      <c r="A554" s="1398"/>
      <c r="B554" s="2163" t="s">
        <v>2547</v>
      </c>
      <c r="C554" s="2151"/>
      <c r="D554" s="2151"/>
      <c r="E554" s="2151"/>
      <c r="F554" s="2151"/>
      <c r="G554" s="2151"/>
      <c r="H554" s="2151"/>
      <c r="I554" s="2151"/>
      <c r="J554" s="2157"/>
      <c r="K554" s="23"/>
      <c r="L554" s="2157"/>
      <c r="M554" s="2151"/>
      <c r="N554" s="2157"/>
      <c r="O554" s="2157"/>
      <c r="P554" s="2157"/>
      <c r="Q554" s="2157"/>
      <c r="R554" s="1398"/>
      <c r="S554" s="1398"/>
      <c r="T554" s="1398"/>
      <c r="U554" s="1398"/>
      <c r="V554" s="1398"/>
      <c r="W554" s="1398"/>
      <c r="X554" s="1398"/>
      <c r="Y554" s="1398"/>
      <c r="Z554" s="1398"/>
      <c r="AA554" s="1398"/>
      <c r="AB554" s="1398"/>
      <c r="AC554" s="1398"/>
      <c r="AD554" s="1398"/>
      <c r="AE554" s="1398"/>
    </row>
    <row r="555" spans="1:31" ht="15" customHeight="1" x14ac:dyDescent="0.3">
      <c r="A555" s="1398"/>
      <c r="B555" s="2162" t="s">
        <v>2543</v>
      </c>
      <c r="C555" s="2151"/>
      <c r="D555" s="2151"/>
      <c r="E555" s="2151"/>
      <c r="F555" s="2151"/>
      <c r="G555" s="2151"/>
      <c r="H555" s="2151"/>
      <c r="I555" s="2151"/>
      <c r="J555" s="2157"/>
      <c r="K555" s="23"/>
      <c r="L555" s="2157"/>
      <c r="M555" s="2151"/>
      <c r="N555" s="2157"/>
      <c r="O555" s="2157"/>
      <c r="P555" s="2157"/>
      <c r="Q555" s="2157"/>
      <c r="R555" s="1398"/>
      <c r="S555" s="1398"/>
      <c r="T555" s="1398"/>
      <c r="U555" s="1398"/>
      <c r="V555" s="1398"/>
      <c r="W555" s="1398"/>
      <c r="X555" s="1398"/>
      <c r="Y555" s="1398"/>
      <c r="Z555" s="1398"/>
      <c r="AA555" s="1398"/>
      <c r="AB555" s="1398"/>
      <c r="AC555" s="1398"/>
      <c r="AD555" s="1398"/>
      <c r="AE555" s="1398"/>
    </row>
    <row r="556" spans="1:31" ht="15" customHeight="1" x14ac:dyDescent="0.3">
      <c r="A556" s="1398"/>
      <c r="B556" s="2166" t="s">
        <v>2546</v>
      </c>
      <c r="C556" s="2151"/>
      <c r="D556" s="2151"/>
      <c r="E556" s="2151"/>
      <c r="F556" s="2151"/>
      <c r="G556" s="2151"/>
      <c r="H556" s="2151"/>
      <c r="I556" s="2151"/>
      <c r="J556" s="2157"/>
      <c r="K556" s="23"/>
      <c r="L556" s="2157"/>
      <c r="M556" s="2151"/>
      <c r="N556" s="2157"/>
      <c r="O556" s="2157"/>
      <c r="P556" s="2157"/>
      <c r="Q556" s="2157"/>
      <c r="R556" s="1398"/>
      <c r="S556" s="1398"/>
      <c r="T556" s="1398"/>
      <c r="U556" s="1398"/>
      <c r="V556" s="1398"/>
      <c r="W556" s="1398"/>
      <c r="X556" s="1398"/>
      <c r="Y556" s="1398"/>
      <c r="Z556" s="1398"/>
      <c r="AA556" s="1398"/>
      <c r="AB556" s="1398"/>
      <c r="AC556" s="1398"/>
      <c r="AD556" s="1398"/>
      <c r="AE556" s="1398"/>
    </row>
    <row r="557" spans="1:31" ht="15" customHeight="1" x14ac:dyDescent="0.3">
      <c r="A557" s="1398"/>
      <c r="B557" s="2162" t="s">
        <v>2543</v>
      </c>
      <c r="C557" s="2151"/>
      <c r="D557" s="2151"/>
      <c r="E557" s="2151"/>
      <c r="F557" s="2151"/>
      <c r="G557" s="2151"/>
      <c r="H557" s="2151"/>
      <c r="I557" s="2151"/>
      <c r="J557" s="2157"/>
      <c r="K557" s="23"/>
      <c r="L557" s="2157"/>
      <c r="M557" s="2151"/>
      <c r="N557" s="2157"/>
      <c r="O557" s="2157"/>
      <c r="P557" s="2157"/>
      <c r="Q557" s="2157"/>
      <c r="R557" s="1398"/>
      <c r="S557" s="1398"/>
      <c r="T557" s="1398"/>
      <c r="U557" s="1398"/>
      <c r="V557" s="1398"/>
      <c r="W557" s="1398"/>
      <c r="X557" s="1398"/>
      <c r="Y557" s="1398"/>
      <c r="Z557" s="1398"/>
      <c r="AA557" s="1398"/>
      <c r="AB557" s="1398"/>
      <c r="AC557" s="1398"/>
      <c r="AD557" s="1398"/>
      <c r="AE557" s="1398"/>
    </row>
    <row r="558" spans="1:31" ht="15" customHeight="1" x14ac:dyDescent="0.3">
      <c r="A558" s="1398"/>
      <c r="B558" s="2163" t="s">
        <v>1760</v>
      </c>
      <c r="C558" s="2151"/>
      <c r="D558" s="2151"/>
      <c r="E558" s="2151"/>
      <c r="F558" s="2151"/>
      <c r="G558" s="2151"/>
      <c r="H558" s="2151"/>
      <c r="I558" s="2151"/>
      <c r="J558" s="2157"/>
      <c r="K558" s="23"/>
      <c r="L558" s="2157"/>
      <c r="M558" s="2151"/>
      <c r="N558" s="2157"/>
      <c r="O558" s="2157"/>
      <c r="P558" s="2157"/>
      <c r="Q558" s="2157"/>
      <c r="R558" s="1398"/>
      <c r="S558" s="1398"/>
      <c r="T558" s="1398"/>
      <c r="U558" s="1398"/>
      <c r="V558" s="1398"/>
      <c r="W558" s="1398"/>
      <c r="X558" s="1398"/>
      <c r="Y558" s="1398"/>
      <c r="Z558" s="1398"/>
      <c r="AA558" s="1398"/>
      <c r="AB558" s="1398"/>
      <c r="AC558" s="1398"/>
      <c r="AD558" s="1398"/>
      <c r="AE558" s="1398"/>
    </row>
    <row r="559" spans="1:31" ht="15" customHeight="1" x14ac:dyDescent="0.3">
      <c r="A559" s="1398"/>
      <c r="B559" s="2162" t="s">
        <v>2543</v>
      </c>
      <c r="C559" s="2151"/>
      <c r="D559" s="2151"/>
      <c r="E559" s="2151"/>
      <c r="F559" s="2151"/>
      <c r="G559" s="2151"/>
      <c r="H559" s="2151"/>
      <c r="I559" s="2151"/>
      <c r="J559" s="2157"/>
      <c r="K559" s="23"/>
      <c r="L559" s="2157"/>
      <c r="M559" s="2151"/>
      <c r="N559" s="2157"/>
      <c r="O559" s="2157"/>
      <c r="P559" s="2157"/>
      <c r="Q559" s="2157"/>
      <c r="R559" s="1398"/>
      <c r="S559" s="1398"/>
      <c r="T559" s="1398"/>
      <c r="U559" s="1398"/>
      <c r="V559" s="1398"/>
      <c r="W559" s="1398"/>
      <c r="X559" s="1398"/>
      <c r="Y559" s="1398"/>
      <c r="Z559" s="1398"/>
      <c r="AA559" s="1398"/>
      <c r="AB559" s="1398"/>
      <c r="AC559" s="1398"/>
      <c r="AD559" s="1398"/>
      <c r="AE559" s="1398"/>
    </row>
    <row r="560" spans="1:31" ht="15" customHeight="1" x14ac:dyDescent="0.35">
      <c r="A560" s="1398"/>
      <c r="B560" s="2164" t="s">
        <v>2545</v>
      </c>
      <c r="C560" s="2159" t="str">
        <f t="shared" ref="C560:I560" si="80">IF(AND(ISNUMBER(C561),ISNUMBER(C563)),C561+C563,"")</f>
        <v/>
      </c>
      <c r="D560" s="2159" t="str">
        <f t="shared" si="80"/>
        <v/>
      </c>
      <c r="E560" s="2159" t="str">
        <f t="shared" si="80"/>
        <v/>
      </c>
      <c r="F560" s="2159" t="str">
        <f t="shared" si="80"/>
        <v/>
      </c>
      <c r="G560" s="2159" t="str">
        <f t="shared" si="80"/>
        <v/>
      </c>
      <c r="H560" s="2159" t="str">
        <f t="shared" si="80"/>
        <v/>
      </c>
      <c r="I560" s="2159" t="str">
        <f t="shared" si="80"/>
        <v/>
      </c>
      <c r="J560" s="2157"/>
      <c r="K560" s="2159" t="str">
        <f>IF(AND(ISNUMBER(K561),ISNUMBER(K563)),K561+K563,"")</f>
        <v/>
      </c>
      <c r="L560" s="2157"/>
      <c r="M560" s="2159" t="str">
        <f>IF(AND(ISNUMBER(M561),ISNUMBER(M563)),M561+M563,"")</f>
        <v/>
      </c>
      <c r="N560" s="2157"/>
      <c r="O560" s="2157"/>
      <c r="P560" s="2157"/>
      <c r="Q560" s="2157"/>
      <c r="R560" s="1398"/>
      <c r="S560" s="1398"/>
      <c r="T560" s="1398"/>
      <c r="U560" s="1398"/>
      <c r="V560" s="1398"/>
      <c r="W560" s="1398"/>
      <c r="X560" s="1398"/>
      <c r="Y560" s="1398"/>
      <c r="Z560" s="1398"/>
      <c r="AA560" s="1398"/>
      <c r="AB560" s="1398"/>
      <c r="AC560" s="1398"/>
      <c r="AD560" s="1398"/>
      <c r="AE560" s="1398"/>
    </row>
    <row r="561" spans="1:31" ht="15" customHeight="1" x14ac:dyDescent="0.3">
      <c r="A561" s="1398"/>
      <c r="B561" s="2163" t="s">
        <v>2544</v>
      </c>
      <c r="C561" s="2151"/>
      <c r="D561" s="2151"/>
      <c r="E561" s="2151"/>
      <c r="F561" s="2151"/>
      <c r="G561" s="2151"/>
      <c r="H561" s="2151"/>
      <c r="I561" s="2151"/>
      <c r="J561" s="2157"/>
      <c r="K561" s="2151"/>
      <c r="L561" s="2157"/>
      <c r="M561" s="2151"/>
      <c r="N561" s="2157"/>
      <c r="O561" s="2157"/>
      <c r="P561" s="2157"/>
      <c r="Q561" s="2157"/>
      <c r="R561" s="1398"/>
      <c r="S561" s="1398"/>
      <c r="T561" s="1398"/>
      <c r="U561" s="1398"/>
      <c r="V561" s="1398"/>
      <c r="W561" s="1398"/>
      <c r="X561" s="1398"/>
      <c r="Y561" s="1398"/>
      <c r="Z561" s="1398"/>
      <c r="AA561" s="1398"/>
      <c r="AB561" s="1398"/>
      <c r="AC561" s="1398"/>
      <c r="AD561" s="1398"/>
      <c r="AE561" s="1398"/>
    </row>
    <row r="562" spans="1:31" ht="15" customHeight="1" x14ac:dyDescent="0.3">
      <c r="A562" s="1398"/>
      <c r="B562" s="2162" t="s">
        <v>2543</v>
      </c>
      <c r="C562" s="2151"/>
      <c r="D562" s="2151"/>
      <c r="E562" s="2151"/>
      <c r="F562" s="2151"/>
      <c r="G562" s="2151"/>
      <c r="H562" s="2151"/>
      <c r="I562" s="2151"/>
      <c r="J562" s="2157"/>
      <c r="K562" s="2151"/>
      <c r="L562" s="2157"/>
      <c r="M562" s="2151"/>
      <c r="N562" s="2157"/>
      <c r="O562" s="2157"/>
      <c r="P562" s="2157"/>
      <c r="Q562" s="2157"/>
      <c r="R562" s="1398"/>
      <c r="S562" s="1398"/>
      <c r="T562" s="1398"/>
      <c r="U562" s="1398"/>
      <c r="V562" s="1398"/>
      <c r="W562" s="1398"/>
      <c r="X562" s="1398"/>
      <c r="Y562" s="1398"/>
      <c r="Z562" s="1398"/>
      <c r="AA562" s="1398"/>
      <c r="AB562" s="1398"/>
      <c r="AC562" s="1398"/>
      <c r="AD562" s="1398"/>
      <c r="AE562" s="1398"/>
    </row>
    <row r="563" spans="1:31" ht="15" customHeight="1" x14ac:dyDescent="0.3">
      <c r="A563" s="1398"/>
      <c r="B563" s="2163" t="s">
        <v>1760</v>
      </c>
      <c r="C563" s="2151"/>
      <c r="D563" s="2151"/>
      <c r="E563" s="2151"/>
      <c r="F563" s="2151"/>
      <c r="G563" s="2151"/>
      <c r="H563" s="2151"/>
      <c r="I563" s="2151"/>
      <c r="J563" s="2157"/>
      <c r="K563" s="2151"/>
      <c r="L563" s="2157"/>
      <c r="M563" s="2151"/>
      <c r="N563" s="2157"/>
      <c r="O563" s="2157"/>
      <c r="P563" s="2157"/>
      <c r="Q563" s="2157"/>
      <c r="R563" s="1398"/>
      <c r="S563" s="1398"/>
      <c r="T563" s="1398"/>
      <c r="U563" s="1398"/>
      <c r="V563" s="1398"/>
      <c r="W563" s="1398"/>
      <c r="X563" s="1398"/>
      <c r="Y563" s="1398"/>
      <c r="Z563" s="1398"/>
      <c r="AA563" s="1398"/>
      <c r="AB563" s="1398"/>
      <c r="AC563" s="1398"/>
      <c r="AD563" s="1398"/>
      <c r="AE563" s="1398"/>
    </row>
    <row r="564" spans="1:31" ht="15" customHeight="1" x14ac:dyDescent="0.3">
      <c r="A564" s="1398"/>
      <c r="B564" s="2162" t="s">
        <v>2543</v>
      </c>
      <c r="C564" s="2151"/>
      <c r="D564" s="2151"/>
      <c r="E564" s="2151"/>
      <c r="F564" s="2151"/>
      <c r="G564" s="2151"/>
      <c r="H564" s="2151"/>
      <c r="I564" s="2151"/>
      <c r="J564" s="2157"/>
      <c r="K564" s="2151"/>
      <c r="L564" s="2157"/>
      <c r="M564" s="2151"/>
      <c r="N564" s="2157"/>
      <c r="O564" s="2157"/>
      <c r="P564" s="2157"/>
      <c r="Q564" s="2157"/>
      <c r="R564" s="1398"/>
      <c r="S564" s="1398"/>
      <c r="T564" s="1398"/>
      <c r="U564" s="1398"/>
      <c r="V564" s="1398"/>
      <c r="W564" s="1398"/>
      <c r="X564" s="1398"/>
      <c r="Y564" s="1398"/>
      <c r="Z564" s="1398"/>
      <c r="AA564" s="1398"/>
      <c r="AB564" s="1398"/>
      <c r="AC564" s="1398"/>
      <c r="AD564" s="1398"/>
      <c r="AE564" s="1398"/>
    </row>
    <row r="565" spans="1:31" ht="15" customHeight="1" x14ac:dyDescent="0.3">
      <c r="A565" s="1398"/>
      <c r="B565" s="2164" t="s">
        <v>1941</v>
      </c>
      <c r="C565" s="2151"/>
      <c r="D565" s="2151"/>
      <c r="E565" s="2151"/>
      <c r="F565" s="2151"/>
      <c r="G565" s="2151"/>
      <c r="H565" s="2151"/>
      <c r="I565" s="2151"/>
      <c r="J565" s="2157"/>
      <c r="K565" s="2151"/>
      <c r="L565" s="2157"/>
      <c r="M565" s="2151"/>
      <c r="N565" s="2157"/>
      <c r="O565" s="2157"/>
      <c r="P565" s="2157"/>
      <c r="Q565" s="2157"/>
      <c r="R565" s="1398"/>
      <c r="S565" s="1398"/>
      <c r="T565" s="1398"/>
      <c r="U565" s="1398"/>
      <c r="V565" s="1398"/>
      <c r="W565" s="1398"/>
      <c r="X565" s="1398"/>
      <c r="Y565" s="1398"/>
      <c r="Z565" s="1398"/>
      <c r="AA565" s="1398"/>
      <c r="AB565" s="1398"/>
      <c r="AC565" s="1398"/>
      <c r="AD565" s="1398"/>
      <c r="AE565" s="1398"/>
    </row>
    <row r="566" spans="1:31" ht="15" customHeight="1" x14ac:dyDescent="0.35">
      <c r="A566" s="1398"/>
      <c r="B566" s="2164" t="s">
        <v>2542</v>
      </c>
      <c r="C566" s="2159" t="str">
        <f t="shared" ref="C566:I566" si="81">IF(AND(ISNUMBER(C567),ISNUMBER(C568)),C567+C568,"")</f>
        <v/>
      </c>
      <c r="D566" s="2159" t="str">
        <f t="shared" si="81"/>
        <v/>
      </c>
      <c r="E566" s="2159" t="str">
        <f t="shared" si="81"/>
        <v/>
      </c>
      <c r="F566" s="2159" t="str">
        <f t="shared" si="81"/>
        <v/>
      </c>
      <c r="G566" s="2159" t="str">
        <f t="shared" si="81"/>
        <v/>
      </c>
      <c r="H566" s="2159" t="str">
        <f t="shared" si="81"/>
        <v/>
      </c>
      <c r="I566" s="2159" t="str">
        <f t="shared" si="81"/>
        <v/>
      </c>
      <c r="J566" s="2157"/>
      <c r="K566" s="2159" t="str">
        <f>IF(AND(ISNUMBER(K567),ISNUMBER(K568)),K567+K568,"")</f>
        <v/>
      </c>
      <c r="L566" s="2157"/>
      <c r="M566" s="2159" t="str">
        <f>IF(AND(ISNUMBER(M567),ISNUMBER(M568)),M567+M568,"")</f>
        <v/>
      </c>
      <c r="N566" s="2157"/>
      <c r="O566" s="2157"/>
      <c r="P566" s="2157"/>
      <c r="Q566" s="2157"/>
      <c r="R566" s="1398"/>
      <c r="S566" s="1398"/>
      <c r="T566" s="1398"/>
      <c r="U566" s="1398"/>
      <c r="V566" s="1398"/>
      <c r="W566" s="1398"/>
      <c r="X566" s="1398"/>
      <c r="Y566" s="1398"/>
      <c r="Z566" s="1398"/>
      <c r="AA566" s="1398"/>
      <c r="AB566" s="1398"/>
      <c r="AC566" s="1398"/>
      <c r="AD566" s="1398"/>
      <c r="AE566" s="1398"/>
    </row>
    <row r="567" spans="1:31" ht="15" customHeight="1" x14ac:dyDescent="0.3">
      <c r="A567" s="1398"/>
      <c r="B567" s="2163" t="s">
        <v>2541</v>
      </c>
      <c r="C567" s="2151"/>
      <c r="D567" s="2151"/>
      <c r="E567" s="2151"/>
      <c r="F567" s="2151"/>
      <c r="G567" s="2151"/>
      <c r="H567" s="2151"/>
      <c r="I567" s="2151"/>
      <c r="J567" s="2157"/>
      <c r="K567" s="2151"/>
      <c r="L567" s="2157"/>
      <c r="M567" s="2151"/>
      <c r="N567" s="2157"/>
      <c r="O567" s="2157"/>
      <c r="P567" s="2157"/>
      <c r="Q567" s="2157"/>
      <c r="R567" s="1398"/>
      <c r="S567" s="1398"/>
      <c r="T567" s="1398"/>
      <c r="U567" s="1398"/>
      <c r="V567" s="1398"/>
      <c r="W567" s="1398"/>
      <c r="X567" s="1398"/>
      <c r="Y567" s="1398"/>
      <c r="Z567" s="1398"/>
      <c r="AA567" s="1398"/>
      <c r="AB567" s="1398"/>
      <c r="AC567" s="1398"/>
      <c r="AD567" s="1398"/>
      <c r="AE567" s="1398"/>
    </row>
    <row r="568" spans="1:31" ht="15" customHeight="1" x14ac:dyDescent="0.3">
      <c r="A568" s="1398"/>
      <c r="B568" s="2163" t="s">
        <v>1760</v>
      </c>
      <c r="C568" s="2151"/>
      <c r="D568" s="2151"/>
      <c r="E568" s="2151"/>
      <c r="F568" s="2151"/>
      <c r="G568" s="2151"/>
      <c r="H568" s="2151"/>
      <c r="I568" s="2151"/>
      <c r="J568" s="2157"/>
      <c r="K568" s="2151"/>
      <c r="L568" s="2157"/>
      <c r="M568" s="2151"/>
      <c r="N568" s="2157"/>
      <c r="O568" s="2157"/>
      <c r="P568" s="2157"/>
      <c r="Q568" s="2157"/>
      <c r="R568" s="1398"/>
      <c r="S568" s="1398"/>
      <c r="T568" s="1398"/>
      <c r="U568" s="1398"/>
      <c r="V568" s="1398"/>
      <c r="W568" s="1398"/>
      <c r="X568" s="1398"/>
      <c r="Y568" s="1398"/>
      <c r="Z568" s="1398"/>
      <c r="AA568" s="1398"/>
      <c r="AB568" s="1398"/>
      <c r="AC568" s="1398"/>
      <c r="AD568" s="1398"/>
      <c r="AE568" s="1398"/>
    </row>
    <row r="569" spans="1:31" ht="15" customHeight="1" x14ac:dyDescent="0.35">
      <c r="A569" s="1398"/>
      <c r="B569" s="2164" t="s">
        <v>2540</v>
      </c>
      <c r="C569" s="2159" t="str">
        <f t="shared" ref="C569:I569" si="82">IF(AND(ISNUMBER(C570),ISNUMBER(C571)),C570+C571,"")</f>
        <v/>
      </c>
      <c r="D569" s="2159" t="str">
        <f t="shared" si="82"/>
        <v/>
      </c>
      <c r="E569" s="2159" t="str">
        <f t="shared" si="82"/>
        <v/>
      </c>
      <c r="F569" s="2159" t="str">
        <f t="shared" si="82"/>
        <v/>
      </c>
      <c r="G569" s="2159" t="str">
        <f t="shared" si="82"/>
        <v/>
      </c>
      <c r="H569" s="2159" t="str">
        <f t="shared" si="82"/>
        <v/>
      </c>
      <c r="I569" s="2159" t="str">
        <f t="shared" si="82"/>
        <v/>
      </c>
      <c r="J569" s="2157"/>
      <c r="K569" s="2159" t="str">
        <f>IF(AND(ISNUMBER(K570),ISNUMBER(K571)),K570+K571,"")</f>
        <v/>
      </c>
      <c r="L569" s="2157"/>
      <c r="M569" s="2159" t="str">
        <f>IF(AND(ISNUMBER(M570),ISNUMBER(M571)),M570+M571,"")</f>
        <v/>
      </c>
      <c r="N569" s="2157"/>
      <c r="O569" s="2157"/>
      <c r="P569" s="2157"/>
      <c r="Q569" s="2157"/>
      <c r="R569" s="1398"/>
      <c r="S569" s="1398"/>
      <c r="T569" s="1398"/>
      <c r="U569" s="1398"/>
      <c r="V569" s="1398"/>
      <c r="W569" s="1398"/>
      <c r="X569" s="1398"/>
      <c r="Y569" s="1398"/>
      <c r="Z569" s="1398"/>
      <c r="AA569" s="1398"/>
      <c r="AB569" s="1398"/>
      <c r="AC569" s="1398"/>
      <c r="AD569" s="1398"/>
      <c r="AE569" s="1398"/>
    </row>
    <row r="570" spans="1:31" ht="15" customHeight="1" x14ac:dyDescent="0.3">
      <c r="A570" s="1398"/>
      <c r="B570" s="2163" t="s">
        <v>2539</v>
      </c>
      <c r="C570" s="2151"/>
      <c r="D570" s="2151"/>
      <c r="E570" s="2151"/>
      <c r="F570" s="2151"/>
      <c r="G570" s="2151"/>
      <c r="H570" s="2151"/>
      <c r="I570" s="2151"/>
      <c r="J570" s="2157"/>
      <c r="K570" s="2151"/>
      <c r="L570" s="2157"/>
      <c r="M570" s="2151"/>
      <c r="N570" s="2157"/>
      <c r="O570" s="2157"/>
      <c r="P570" s="2157"/>
      <c r="Q570" s="2157"/>
      <c r="R570" s="1398"/>
      <c r="S570" s="1398"/>
      <c r="T570" s="1398"/>
      <c r="U570" s="1398"/>
      <c r="V570" s="1398"/>
      <c r="W570" s="1398"/>
      <c r="X570" s="1398"/>
      <c r="Y570" s="1398"/>
      <c r="Z570" s="1398"/>
      <c r="AA570" s="1398"/>
      <c r="AB570" s="1398"/>
      <c r="AC570" s="1398"/>
      <c r="AD570" s="1398"/>
      <c r="AE570" s="1398"/>
    </row>
    <row r="571" spans="1:31" ht="15" customHeight="1" x14ac:dyDescent="0.3">
      <c r="A571" s="1398"/>
      <c r="B571" s="2163" t="s">
        <v>1760</v>
      </c>
      <c r="C571" s="2151"/>
      <c r="D571" s="2151"/>
      <c r="E571" s="2151"/>
      <c r="F571" s="2151"/>
      <c r="G571" s="2151"/>
      <c r="H571" s="2151"/>
      <c r="I571" s="2151"/>
      <c r="J571" s="2157"/>
      <c r="K571" s="2151"/>
      <c r="L571" s="2157"/>
      <c r="M571" s="2151"/>
      <c r="N571" s="2157"/>
      <c r="O571" s="2157"/>
      <c r="P571" s="2157"/>
      <c r="Q571" s="2157"/>
      <c r="R571" s="1398"/>
      <c r="S571" s="1398"/>
      <c r="T571" s="1398"/>
      <c r="U571" s="1398"/>
      <c r="V571" s="1398"/>
      <c r="W571" s="1398"/>
      <c r="X571" s="1398"/>
      <c r="Y571" s="1398"/>
      <c r="Z571" s="1398"/>
      <c r="AA571" s="1398"/>
      <c r="AB571" s="1398"/>
      <c r="AC571" s="1398"/>
      <c r="AD571" s="1398"/>
      <c r="AE571" s="1398"/>
    </row>
    <row r="572" spans="1:31" ht="15" customHeight="1" x14ac:dyDescent="0.35">
      <c r="A572" s="1398"/>
      <c r="B572" s="569" t="s">
        <v>59</v>
      </c>
      <c r="C572" s="2156">
        <f t="shared" ref="C572:Q572" si="83">IF(AND(ISNUMBER(C574),ISNUMBER(C573)),SUM(C573:C574),0)</f>
        <v>0</v>
      </c>
      <c r="D572" s="2156">
        <f t="shared" si="83"/>
        <v>0</v>
      </c>
      <c r="E572" s="2156">
        <f t="shared" si="83"/>
        <v>0</v>
      </c>
      <c r="F572" s="2156">
        <f t="shared" si="83"/>
        <v>0</v>
      </c>
      <c r="G572" s="2156">
        <f t="shared" si="83"/>
        <v>0</v>
      </c>
      <c r="H572" s="2156">
        <f t="shared" si="83"/>
        <v>0</v>
      </c>
      <c r="I572" s="2156">
        <f t="shared" si="83"/>
        <v>0</v>
      </c>
      <c r="J572" s="2156">
        <f t="shared" si="83"/>
        <v>0</v>
      </c>
      <c r="K572" s="2156">
        <f t="shared" si="83"/>
        <v>0</v>
      </c>
      <c r="L572" s="2156">
        <f t="shared" si="83"/>
        <v>0</v>
      </c>
      <c r="M572" s="2156">
        <f t="shared" si="83"/>
        <v>0</v>
      </c>
      <c r="N572" s="2156">
        <f t="shared" si="83"/>
        <v>0</v>
      </c>
      <c r="O572" s="2156">
        <f t="shared" si="83"/>
        <v>0</v>
      </c>
      <c r="P572" s="2156">
        <f t="shared" si="83"/>
        <v>0</v>
      </c>
      <c r="Q572" s="2156">
        <f t="shared" si="83"/>
        <v>0</v>
      </c>
      <c r="R572" s="1398"/>
      <c r="S572" s="1398"/>
      <c r="T572" s="1398"/>
      <c r="U572" s="1398"/>
      <c r="V572" s="1398"/>
      <c r="W572" s="1398"/>
      <c r="X572" s="1398"/>
      <c r="Y572" s="1398"/>
      <c r="Z572" s="1398"/>
      <c r="AA572" s="1398"/>
      <c r="AB572" s="1398"/>
      <c r="AC572" s="1398"/>
      <c r="AD572" s="1398"/>
      <c r="AE572" s="1398"/>
    </row>
    <row r="573" spans="1:31" ht="15" customHeight="1" x14ac:dyDescent="0.3">
      <c r="A573" s="1398"/>
      <c r="B573" s="2155" t="s">
        <v>2538</v>
      </c>
      <c r="C573" s="2151"/>
      <c r="D573" s="2151"/>
      <c r="E573" s="2151"/>
      <c r="F573" s="2151"/>
      <c r="G573" s="2151"/>
      <c r="H573" s="2151"/>
      <c r="I573" s="23"/>
      <c r="J573" s="2151"/>
      <c r="K573" s="2151"/>
      <c r="L573" s="2151"/>
      <c r="M573" s="2151"/>
      <c r="N573" s="2151"/>
      <c r="O573" s="2151"/>
      <c r="P573" s="2151"/>
      <c r="Q573" s="2151"/>
      <c r="R573" s="1398"/>
      <c r="S573" s="1398"/>
      <c r="T573" s="1398"/>
      <c r="U573" s="1398"/>
      <c r="V573" s="1398"/>
      <c r="W573" s="1398"/>
      <c r="X573" s="1398"/>
      <c r="Y573" s="1398"/>
      <c r="Z573" s="1398"/>
      <c r="AA573" s="1398"/>
      <c r="AB573" s="1398"/>
      <c r="AC573" s="1398"/>
      <c r="AD573" s="1398"/>
      <c r="AE573" s="1398"/>
    </row>
    <row r="574" spans="1:31" ht="15" customHeight="1" x14ac:dyDescent="0.3">
      <c r="A574" s="1398"/>
      <c r="B574" s="2155" t="s">
        <v>2537</v>
      </c>
      <c r="C574" s="2151"/>
      <c r="D574" s="2151"/>
      <c r="E574" s="2151"/>
      <c r="F574" s="2151"/>
      <c r="G574" s="2151"/>
      <c r="H574" s="2151"/>
      <c r="I574" s="23"/>
      <c r="J574" s="2151"/>
      <c r="K574" s="2151"/>
      <c r="L574" s="2151"/>
      <c r="M574" s="2151"/>
      <c r="N574" s="2151"/>
      <c r="O574" s="2151"/>
      <c r="P574" s="2151"/>
      <c r="Q574" s="2151"/>
      <c r="R574" s="1398"/>
      <c r="S574" s="1398"/>
      <c r="T574" s="1398"/>
      <c r="U574" s="1398"/>
      <c r="V574" s="1398"/>
      <c r="W574" s="1398"/>
      <c r="X574" s="1398"/>
      <c r="Y574" s="1398"/>
      <c r="Z574" s="1398"/>
      <c r="AA574" s="1398"/>
      <c r="AB574" s="1398"/>
      <c r="AC574" s="1398"/>
      <c r="AD574" s="1398"/>
      <c r="AE574" s="1398"/>
    </row>
    <row r="575" spans="1:31" ht="15" customHeight="1" x14ac:dyDescent="0.3">
      <c r="A575" s="1398"/>
      <c r="B575" s="2154" t="str">
        <f>"Check: row " &amp; ROW(B572) &amp;" = sum(row " &amp; ROW(B573) &amp; ", row "&amp; ROW(B574)&amp;")"</f>
        <v>Check: row 572 = sum(row 573, row 574)</v>
      </c>
      <c r="C575" s="2153" t="str">
        <f t="shared" ref="C575:Q575" si="84">IF(AND(ISNUMBER(C573), ISNUMBER(C574)), IF(C572=SUM(C573:C574), "Pass", "Fail"), "")</f>
        <v/>
      </c>
      <c r="D575" s="2153" t="str">
        <f t="shared" si="84"/>
        <v/>
      </c>
      <c r="E575" s="2153" t="str">
        <f t="shared" si="84"/>
        <v/>
      </c>
      <c r="F575" s="2153" t="str">
        <f t="shared" si="84"/>
        <v/>
      </c>
      <c r="G575" s="2153" t="str">
        <f t="shared" si="84"/>
        <v/>
      </c>
      <c r="H575" s="2153" t="str">
        <f t="shared" si="84"/>
        <v/>
      </c>
      <c r="I575" s="2153" t="str">
        <f t="shared" si="84"/>
        <v/>
      </c>
      <c r="J575" s="2153" t="str">
        <f t="shared" si="84"/>
        <v/>
      </c>
      <c r="K575" s="2153" t="str">
        <f t="shared" si="84"/>
        <v/>
      </c>
      <c r="L575" s="2153" t="str">
        <f t="shared" si="84"/>
        <v/>
      </c>
      <c r="M575" s="2153" t="str">
        <f t="shared" si="84"/>
        <v/>
      </c>
      <c r="N575" s="2153" t="str">
        <f t="shared" si="84"/>
        <v/>
      </c>
      <c r="O575" s="2153" t="str">
        <f t="shared" si="84"/>
        <v/>
      </c>
      <c r="P575" s="2153" t="str">
        <f t="shared" si="84"/>
        <v/>
      </c>
      <c r="Q575" s="2153" t="str">
        <f t="shared" si="84"/>
        <v/>
      </c>
      <c r="R575" s="1398"/>
      <c r="S575" s="1398"/>
      <c r="T575" s="1398"/>
      <c r="U575" s="1398"/>
      <c r="V575" s="1398"/>
      <c r="W575" s="1398"/>
      <c r="X575" s="1398"/>
      <c r="Y575" s="1398"/>
      <c r="Z575" s="1398"/>
      <c r="AA575" s="1398"/>
      <c r="AB575" s="1398"/>
      <c r="AC575" s="1398"/>
      <c r="AD575" s="1398"/>
      <c r="AE575" s="1398"/>
    </row>
    <row r="576" spans="1:31" ht="15" customHeight="1" x14ac:dyDescent="0.3">
      <c r="A576" s="1398"/>
      <c r="B576" s="2152" t="s">
        <v>2536</v>
      </c>
      <c r="C576" s="2151"/>
      <c r="D576" s="1398"/>
      <c r="E576" s="1398"/>
      <c r="F576" s="1398"/>
      <c r="G576" s="1398"/>
      <c r="H576" s="1398"/>
      <c r="I576" s="1398"/>
      <c r="J576" s="1398"/>
      <c r="K576" s="1398"/>
      <c r="L576" s="1398"/>
      <c r="M576" s="1398"/>
      <c r="N576" s="1398"/>
      <c r="O576" s="1398"/>
      <c r="P576" s="1398"/>
      <c r="Q576" s="1398"/>
      <c r="R576" s="1398"/>
      <c r="S576" s="1398"/>
      <c r="T576" s="1398"/>
      <c r="U576" s="1398"/>
      <c r="V576" s="1398"/>
      <c r="W576" s="1398"/>
      <c r="X576" s="1398"/>
      <c r="Y576" s="1398"/>
      <c r="Z576" s="1398"/>
      <c r="AA576" s="1398"/>
      <c r="AB576" s="1398"/>
      <c r="AC576" s="1398"/>
      <c r="AD576" s="1398"/>
      <c r="AE576" s="1398"/>
    </row>
    <row r="577" spans="1:36" ht="15" customHeight="1" x14ac:dyDescent="0.3">
      <c r="A577" s="1398"/>
      <c r="B577" s="2150" t="s">
        <v>2535</v>
      </c>
      <c r="C577" s="2149"/>
      <c r="D577" s="1398"/>
      <c r="E577" s="1398"/>
      <c r="F577" s="1398"/>
      <c r="G577" s="1398"/>
      <c r="H577" s="1398"/>
      <c r="I577" s="1398"/>
      <c r="J577" s="1398"/>
      <c r="K577" s="1398"/>
      <c r="L577" s="1398"/>
      <c r="M577" s="1398"/>
      <c r="N577" s="1398"/>
      <c r="O577" s="1398"/>
      <c r="P577" s="1398"/>
      <c r="Q577" s="1398"/>
      <c r="R577" s="1398"/>
      <c r="S577" s="1398"/>
      <c r="T577" s="1398"/>
      <c r="U577" s="1398"/>
      <c r="V577" s="1398"/>
      <c r="W577" s="1398"/>
      <c r="X577" s="1398"/>
      <c r="Y577" s="1398"/>
      <c r="Z577" s="1398"/>
      <c r="AA577" s="1398"/>
      <c r="AB577" s="1398"/>
      <c r="AC577" s="1398"/>
      <c r="AD577" s="1398"/>
      <c r="AE577" s="1398"/>
    </row>
    <row r="578" spans="1:36" ht="15" customHeight="1" x14ac:dyDescent="0.35">
      <c r="A578" s="1398"/>
      <c r="D578" s="1398"/>
      <c r="E578" s="1398"/>
      <c r="F578" s="1398"/>
      <c r="G578" s="1398"/>
      <c r="H578" s="1398"/>
      <c r="I578" s="1398"/>
      <c r="J578" s="1398"/>
      <c r="K578" s="1398"/>
      <c r="L578" s="1398"/>
      <c r="M578" s="1398"/>
      <c r="N578" s="1398"/>
      <c r="O578" s="1398"/>
      <c r="P578" s="1398"/>
      <c r="Q578" s="1398"/>
      <c r="R578" s="1398"/>
      <c r="S578" s="1398"/>
      <c r="T578" s="1398"/>
      <c r="U578" s="1398"/>
      <c r="V578" s="1398"/>
      <c r="W578" s="1398"/>
      <c r="X578" s="1398"/>
      <c r="Y578" s="1398"/>
      <c r="Z578" s="1398"/>
      <c r="AA578" s="1398"/>
      <c r="AB578" s="1398"/>
      <c r="AC578" s="1398"/>
      <c r="AD578" s="1398"/>
      <c r="AE578" s="1398"/>
    </row>
    <row r="579" spans="1:36" ht="15" customHeight="1" x14ac:dyDescent="0.3">
      <c r="A579" s="2176" t="s">
        <v>2576</v>
      </c>
      <c r="B579" s="2186"/>
      <c r="C579" s="2174" t="s">
        <v>2566</v>
      </c>
      <c r="D579" s="2173" t="str">
        <f>IF(ISBLANK($Q$7),"",IF($Q$7="No","Please leave Panel B"&amp;COLUMN($Q$7)-2&amp;" empty","Please fill in Panel B"&amp;COLUMN($Q$7)-2))</f>
        <v>Please fill in Panel B15</v>
      </c>
      <c r="E579" s="1398"/>
      <c r="F579" s="1398"/>
      <c r="G579" s="1398"/>
      <c r="H579" s="1398"/>
      <c r="I579" s="1398"/>
      <c r="J579" s="1398"/>
      <c r="K579" s="1398"/>
      <c r="L579" s="1398"/>
      <c r="M579" s="1398"/>
      <c r="N579" s="1398"/>
      <c r="O579" s="1398"/>
      <c r="P579" s="1398"/>
      <c r="Q579" s="1398"/>
      <c r="R579" s="1398"/>
      <c r="S579" s="1398"/>
      <c r="T579" s="1398"/>
      <c r="U579" s="1398"/>
      <c r="V579" s="1398"/>
      <c r="W579" s="1398"/>
      <c r="X579" s="1398"/>
      <c r="Y579" s="1398"/>
      <c r="Z579" s="1398"/>
      <c r="AA579" s="1398"/>
      <c r="AB579" s="1398"/>
      <c r="AC579" s="1398"/>
      <c r="AD579" s="1398"/>
      <c r="AE579" s="1398"/>
      <c r="AF579" s="1398"/>
      <c r="AG579" s="1398"/>
      <c r="AH579" s="1398"/>
      <c r="AI579" s="1398"/>
      <c r="AJ579" s="1398"/>
    </row>
    <row r="580" spans="1:36" ht="15" customHeight="1" x14ac:dyDescent="0.35">
      <c r="A580" s="1398"/>
      <c r="C580" s="2980" t="s">
        <v>207</v>
      </c>
      <c r="D580" s="2980"/>
      <c r="E580" s="2980"/>
      <c r="F580" s="2980"/>
      <c r="G580" s="2980"/>
      <c r="H580" s="2980"/>
      <c r="I580" s="2980"/>
      <c r="J580" s="2980"/>
      <c r="K580" s="2980"/>
      <c r="L580" s="2981"/>
      <c r="M580" s="2982" t="s">
        <v>2559</v>
      </c>
      <c r="N580" s="2984" t="s">
        <v>2565</v>
      </c>
      <c r="O580" s="2985"/>
      <c r="P580" s="2985"/>
      <c r="Q580" s="2985"/>
      <c r="R580" s="1398"/>
      <c r="S580" s="1398"/>
      <c r="T580" s="1398"/>
      <c r="U580" s="1398"/>
      <c r="V580" s="1398"/>
      <c r="W580" s="1398"/>
      <c r="X580" s="1398"/>
      <c r="Y580" s="1398"/>
      <c r="Z580" s="1398"/>
      <c r="AA580" s="1398"/>
      <c r="AB580" s="1398"/>
      <c r="AC580" s="1398"/>
      <c r="AD580" s="1398"/>
      <c r="AE580" s="1398"/>
      <c r="AF580" s="1398"/>
      <c r="AG580" s="1398"/>
      <c r="AH580" s="1398"/>
      <c r="AI580" s="1398"/>
      <c r="AJ580" s="1398"/>
    </row>
    <row r="581" spans="1:36" ht="15" customHeight="1" x14ac:dyDescent="0.35">
      <c r="A581" s="1398"/>
      <c r="B581" s="2172"/>
      <c r="C581" s="2967" t="s">
        <v>2564</v>
      </c>
      <c r="D581" s="2973" t="s">
        <v>465</v>
      </c>
      <c r="E581" s="2974"/>
      <c r="F581" s="2974"/>
      <c r="G581" s="2974"/>
      <c r="H581" s="2975"/>
      <c r="I581" s="2969" t="s">
        <v>2563</v>
      </c>
      <c r="J581" s="2969" t="s">
        <v>2562</v>
      </c>
      <c r="K581" s="2969" t="s">
        <v>2561</v>
      </c>
      <c r="L581" s="2969" t="s">
        <v>2560</v>
      </c>
      <c r="M581" s="2983"/>
      <c r="N581" s="2978" t="s">
        <v>207</v>
      </c>
      <c r="O581" s="2978" t="s">
        <v>2559</v>
      </c>
      <c r="P581" s="2969" t="s">
        <v>59</v>
      </c>
      <c r="Q581" s="2971" t="s">
        <v>2558</v>
      </c>
      <c r="R581" s="1398"/>
      <c r="S581" s="1398"/>
      <c r="T581" s="1398"/>
      <c r="U581" s="1398"/>
      <c r="V581" s="1398"/>
      <c r="W581" s="1398"/>
      <c r="X581" s="1398"/>
      <c r="Y581" s="1398"/>
      <c r="Z581" s="1398"/>
      <c r="AA581" s="1398"/>
      <c r="AB581" s="1398"/>
      <c r="AC581" s="1398"/>
      <c r="AD581" s="1398"/>
      <c r="AE581" s="1398"/>
      <c r="AF581" s="1398"/>
      <c r="AG581" s="1398"/>
      <c r="AH581" s="1398"/>
      <c r="AI581" s="1398"/>
      <c r="AJ581" s="1398"/>
    </row>
    <row r="582" spans="1:36" ht="45" customHeight="1" x14ac:dyDescent="0.35">
      <c r="A582" s="1398"/>
      <c r="B582" s="2171"/>
      <c r="C582" s="2968"/>
      <c r="D582" s="2170" t="s">
        <v>2557</v>
      </c>
      <c r="E582" s="2170" t="s">
        <v>2556</v>
      </c>
      <c r="F582" s="2170" t="s">
        <v>2555</v>
      </c>
      <c r="G582" s="2170" t="s">
        <v>2554</v>
      </c>
      <c r="H582" s="2170" t="s">
        <v>59</v>
      </c>
      <c r="I582" s="2970"/>
      <c r="J582" s="2970"/>
      <c r="K582" s="2970"/>
      <c r="L582" s="2970"/>
      <c r="M582" s="2970"/>
      <c r="N582" s="2979"/>
      <c r="O582" s="2979"/>
      <c r="P582" s="2970"/>
      <c r="Q582" s="2972"/>
      <c r="R582" s="1398"/>
      <c r="S582" s="1398"/>
      <c r="T582" s="1398"/>
      <c r="U582" s="1398"/>
      <c r="V582" s="1398"/>
      <c r="W582" s="1398"/>
      <c r="X582" s="1398"/>
      <c r="Y582" s="1398"/>
      <c r="Z582" s="1398"/>
      <c r="AA582" s="1398"/>
      <c r="AB582" s="1398"/>
      <c r="AC582" s="1398"/>
      <c r="AD582" s="1398"/>
      <c r="AE582" s="1398"/>
      <c r="AF582" s="1398"/>
      <c r="AG582" s="1398"/>
      <c r="AH582" s="1398"/>
      <c r="AI582" s="1398"/>
      <c r="AJ582" s="1398"/>
    </row>
    <row r="583" spans="1:36" ht="15" customHeight="1" x14ac:dyDescent="0.35">
      <c r="A583" s="1398"/>
      <c r="B583" s="2191" t="s">
        <v>2553</v>
      </c>
      <c r="C583" s="2168" t="str">
        <f t="shared" ref="C583:I583" si="85">IF(AND(ISNUMBER(C596),ISNUMBER(C592),ISNUMBER(C594),ISNUMBER(C584),ISNUMBER(C588),ISNUMBER(C586),ISNUMBER(C590),ISNUMBER(C598)),SUM(C584,C586,C588,C590,C592,C594,C596,C598),"")</f>
        <v/>
      </c>
      <c r="D583" s="2168" t="str">
        <f t="shared" si="85"/>
        <v/>
      </c>
      <c r="E583" s="2168" t="str">
        <f t="shared" si="85"/>
        <v/>
      </c>
      <c r="F583" s="2168" t="str">
        <f t="shared" si="85"/>
        <v/>
      </c>
      <c r="G583" s="2168" t="str">
        <f t="shared" si="85"/>
        <v/>
      </c>
      <c r="H583" s="2168" t="str">
        <f t="shared" si="85"/>
        <v/>
      </c>
      <c r="I583" s="2168" t="str">
        <f t="shared" si="85"/>
        <v/>
      </c>
      <c r="J583" s="2157"/>
      <c r="K583" s="2168" t="str">
        <f>IF(AND(ISNUMBER(K596),ISNUMBER(K592),ISNUMBER(K594),ISNUMBER(K584),ISNUMBER(K588),ISNUMBER(K586),ISNUMBER(K590),ISNUMBER(K598)),SUM(K584,K586,K588,K590,K592,K594,K596,K598),"")</f>
        <v/>
      </c>
      <c r="L583" s="2157"/>
      <c r="M583" s="2168" t="str">
        <f>IF(AND(ISNUMBER(M596),ISNUMBER(M592),ISNUMBER(M594),ISNUMBER(M584),ISNUMBER(M588),ISNUMBER(M586),ISNUMBER(M590),ISNUMBER(M598)),SUM(M584,M586,M588,M590,M592,M594,M596,M598),"")</f>
        <v/>
      </c>
      <c r="N583" s="2167"/>
      <c r="O583" s="2167"/>
      <c r="P583" s="2167"/>
      <c r="Q583" s="2167"/>
      <c r="R583" s="1398"/>
      <c r="S583" s="1398"/>
      <c r="T583" s="1398"/>
      <c r="U583" s="1398"/>
      <c r="V583" s="1398"/>
      <c r="W583" s="1398"/>
      <c r="X583" s="1398"/>
      <c r="Y583" s="1398"/>
      <c r="Z583" s="1398"/>
      <c r="AA583" s="1398"/>
      <c r="AB583" s="1398"/>
      <c r="AC583" s="1398"/>
      <c r="AD583" s="1398"/>
      <c r="AE583" s="1398"/>
      <c r="AF583" s="1398"/>
      <c r="AG583" s="1398"/>
      <c r="AH583" s="1398"/>
      <c r="AI583" s="1398"/>
      <c r="AJ583" s="1398"/>
    </row>
    <row r="584" spans="1:36" ht="15" customHeight="1" x14ac:dyDescent="0.3">
      <c r="A584" s="1398"/>
      <c r="B584" s="2185" t="s">
        <v>2552</v>
      </c>
      <c r="C584" s="2151">
        <v>497</v>
      </c>
      <c r="D584" s="2151">
        <v>17763294705.689999</v>
      </c>
      <c r="E584" s="2151">
        <v>2479854183.5100002</v>
      </c>
      <c r="F584" s="2151"/>
      <c r="G584" s="2151"/>
      <c r="H584" s="2151">
        <v>20243148889.200001</v>
      </c>
      <c r="I584" s="2151">
        <v>429219991.44999999</v>
      </c>
      <c r="J584" s="2157"/>
      <c r="K584" s="23"/>
      <c r="L584" s="2157"/>
      <c r="M584" s="2151"/>
      <c r="N584" s="2157"/>
      <c r="O584" s="2157"/>
      <c r="P584" s="2157"/>
      <c r="Q584" s="2157"/>
      <c r="R584" s="1398"/>
      <c r="S584" s="1398"/>
      <c r="T584" s="1398"/>
      <c r="U584" s="1398"/>
      <c r="V584" s="1398"/>
      <c r="W584" s="1398"/>
      <c r="X584" s="1398"/>
      <c r="Y584" s="1398"/>
      <c r="Z584" s="1398"/>
      <c r="AA584" s="1398"/>
      <c r="AB584" s="1398"/>
      <c r="AC584" s="1398"/>
      <c r="AD584" s="1398"/>
      <c r="AE584" s="1398"/>
      <c r="AF584" s="1398"/>
      <c r="AG584" s="1398"/>
      <c r="AH584" s="1398"/>
      <c r="AI584" s="1398"/>
      <c r="AJ584" s="1398"/>
    </row>
    <row r="585" spans="1:36" ht="15" customHeight="1" x14ac:dyDescent="0.3">
      <c r="A585" s="1398"/>
      <c r="B585" s="2189" t="s">
        <v>2543</v>
      </c>
      <c r="C585" s="2151">
        <v>127</v>
      </c>
      <c r="D585" s="2151">
        <v>7634700354.3000002</v>
      </c>
      <c r="E585" s="2151">
        <v>1021817543.51</v>
      </c>
      <c r="F585" s="2151"/>
      <c r="G585" s="2151"/>
      <c r="H585" s="2151">
        <v>8656517897.8099995</v>
      </c>
      <c r="I585" s="2151">
        <v>4974434.7499999702</v>
      </c>
      <c r="J585" s="2157"/>
      <c r="K585" s="23"/>
      <c r="L585" s="2157"/>
      <c r="M585" s="2151"/>
      <c r="N585" s="2157"/>
      <c r="O585" s="2157"/>
      <c r="P585" s="2157"/>
      <c r="Q585" s="2157"/>
      <c r="R585" s="1398"/>
      <c r="S585" s="1398"/>
      <c r="T585" s="1398"/>
      <c r="U585" s="1398"/>
      <c r="V585" s="1398"/>
      <c r="W585" s="1398"/>
      <c r="X585" s="1398"/>
      <c r="Y585" s="1398"/>
      <c r="Z585" s="1398"/>
      <c r="AA585" s="1398"/>
      <c r="AB585" s="1398"/>
      <c r="AC585" s="1398"/>
      <c r="AD585" s="1398"/>
      <c r="AE585" s="1398"/>
      <c r="AF585" s="1398"/>
      <c r="AG585" s="1398"/>
      <c r="AH585" s="1398"/>
      <c r="AI585" s="1398"/>
      <c r="AJ585" s="1398"/>
    </row>
    <row r="586" spans="1:36" ht="15" customHeight="1" x14ac:dyDescent="0.3">
      <c r="A586" s="1398"/>
      <c r="B586" s="2185" t="s">
        <v>2551</v>
      </c>
      <c r="C586" s="2151"/>
      <c r="D586" s="2151"/>
      <c r="E586" s="2151"/>
      <c r="F586" s="2151"/>
      <c r="G586" s="2151"/>
      <c r="H586" s="2151"/>
      <c r="I586" s="2151"/>
      <c r="J586" s="2157"/>
      <c r="K586" s="23"/>
      <c r="L586" s="2157"/>
      <c r="M586" s="2151"/>
      <c r="N586" s="2157"/>
      <c r="O586" s="2157"/>
      <c r="P586" s="2157"/>
      <c r="Q586" s="2157"/>
      <c r="R586" s="1398"/>
      <c r="S586" s="1398"/>
      <c r="T586" s="1398"/>
      <c r="U586" s="1398"/>
      <c r="V586" s="1398"/>
      <c r="W586" s="1398"/>
      <c r="X586" s="1398"/>
      <c r="Y586" s="1398"/>
      <c r="Z586" s="1398"/>
      <c r="AA586" s="1398"/>
      <c r="AB586" s="1398"/>
      <c r="AC586" s="1398"/>
      <c r="AD586" s="1398"/>
      <c r="AE586" s="1398"/>
      <c r="AF586" s="1398"/>
      <c r="AG586" s="1398"/>
      <c r="AH586" s="1398"/>
      <c r="AI586" s="1398"/>
      <c r="AJ586" s="1398"/>
    </row>
    <row r="587" spans="1:36" ht="15" customHeight="1" x14ac:dyDescent="0.3">
      <c r="A587" s="1398"/>
      <c r="B587" s="2189" t="s">
        <v>2543</v>
      </c>
      <c r="C587" s="2151"/>
      <c r="D587" s="2151"/>
      <c r="E587" s="2151"/>
      <c r="F587" s="2151"/>
      <c r="G587" s="2151"/>
      <c r="H587" s="2151"/>
      <c r="I587" s="2151"/>
      <c r="J587" s="2157"/>
      <c r="K587" s="23"/>
      <c r="L587" s="2157"/>
      <c r="M587" s="2151"/>
      <c r="N587" s="2157"/>
      <c r="O587" s="2157"/>
      <c r="P587" s="2157"/>
      <c r="Q587" s="2157"/>
      <c r="R587" s="1398"/>
      <c r="S587" s="1398"/>
      <c r="T587" s="1398"/>
      <c r="U587" s="1398"/>
      <c r="V587" s="1398"/>
      <c r="W587" s="1398"/>
      <c r="X587" s="1398"/>
      <c r="Y587" s="1398"/>
      <c r="Z587" s="1398"/>
      <c r="AA587" s="1398"/>
      <c r="AB587" s="1398"/>
      <c r="AC587" s="1398"/>
      <c r="AD587" s="1398"/>
      <c r="AE587" s="1398"/>
      <c r="AF587" s="1398"/>
      <c r="AG587" s="1398"/>
      <c r="AH587" s="1398"/>
      <c r="AI587" s="1398"/>
      <c r="AJ587" s="1398"/>
    </row>
    <row r="588" spans="1:36" ht="15" customHeight="1" x14ac:dyDescent="0.3">
      <c r="A588" s="1398"/>
      <c r="B588" s="2185" t="s">
        <v>2550</v>
      </c>
      <c r="C588" s="2151"/>
      <c r="D588" s="2151"/>
      <c r="E588" s="2151"/>
      <c r="F588" s="2151"/>
      <c r="G588" s="2151"/>
      <c r="H588" s="2151"/>
      <c r="I588" s="2151"/>
      <c r="J588" s="2157"/>
      <c r="K588" s="23"/>
      <c r="L588" s="2157"/>
      <c r="M588" s="2151"/>
      <c r="N588" s="2157"/>
      <c r="O588" s="2157"/>
      <c r="P588" s="2157"/>
      <c r="Q588" s="2157"/>
      <c r="R588" s="1398"/>
      <c r="S588" s="1398"/>
      <c r="T588" s="1398"/>
      <c r="U588" s="1398"/>
      <c r="V588" s="1398"/>
      <c r="W588" s="1398"/>
      <c r="X588" s="1398"/>
      <c r="Y588" s="1398"/>
      <c r="Z588" s="1398"/>
      <c r="AA588" s="1398"/>
      <c r="AB588" s="1398"/>
      <c r="AC588" s="1398"/>
      <c r="AD588" s="1398"/>
      <c r="AE588" s="1398"/>
      <c r="AF588" s="1398"/>
      <c r="AG588" s="1398"/>
      <c r="AH588" s="1398"/>
      <c r="AI588" s="1398"/>
      <c r="AJ588" s="1398"/>
    </row>
    <row r="589" spans="1:36" ht="15" customHeight="1" x14ac:dyDescent="0.3">
      <c r="A589" s="1398"/>
      <c r="B589" s="2189" t="s">
        <v>2543</v>
      </c>
      <c r="C589" s="2151"/>
      <c r="D589" s="2151"/>
      <c r="E589" s="2151"/>
      <c r="F589" s="2151"/>
      <c r="G589" s="2151"/>
      <c r="H589" s="2151"/>
      <c r="I589" s="2151"/>
      <c r="J589" s="2157"/>
      <c r="K589" s="23"/>
      <c r="L589" s="2157"/>
      <c r="M589" s="2151"/>
      <c r="N589" s="2157"/>
      <c r="O589" s="2157"/>
      <c r="P589" s="2157"/>
      <c r="Q589" s="2157"/>
      <c r="R589" s="1398"/>
      <c r="S589" s="1398"/>
      <c r="T589" s="1398"/>
      <c r="U589" s="1398"/>
      <c r="V589" s="1398"/>
      <c r="W589" s="1398"/>
      <c r="X589" s="1398"/>
      <c r="Y589" s="1398"/>
      <c r="Z589" s="1398"/>
      <c r="AA589" s="1398"/>
      <c r="AB589" s="1398"/>
      <c r="AC589" s="1398"/>
      <c r="AD589" s="1398"/>
      <c r="AE589" s="1398"/>
      <c r="AF589" s="1398"/>
      <c r="AG589" s="1398"/>
      <c r="AH589" s="1398"/>
      <c r="AI589" s="1398"/>
      <c r="AJ589" s="1398"/>
    </row>
    <row r="590" spans="1:36" ht="15" customHeight="1" x14ac:dyDescent="0.3">
      <c r="A590" s="1398"/>
      <c r="B590" s="2185" t="s">
        <v>2549</v>
      </c>
      <c r="C590" s="2151"/>
      <c r="D590" s="2151"/>
      <c r="E590" s="2151"/>
      <c r="F590" s="2151"/>
      <c r="G590" s="2151"/>
      <c r="H590" s="2151"/>
      <c r="I590" s="2151"/>
      <c r="J590" s="2157"/>
      <c r="K590" s="23"/>
      <c r="L590" s="2157"/>
      <c r="M590" s="2151"/>
      <c r="N590" s="2157"/>
      <c r="O590" s="2157"/>
      <c r="P590" s="2157"/>
      <c r="Q590" s="2157"/>
      <c r="R590" s="1398"/>
      <c r="S590" s="1398"/>
      <c r="T590" s="1398"/>
      <c r="U590" s="1398"/>
      <c r="V590" s="1398"/>
      <c r="W590" s="1398"/>
      <c r="X590" s="1398"/>
      <c r="Y590" s="1398"/>
      <c r="Z590" s="1398"/>
      <c r="AA590" s="1398"/>
      <c r="AB590" s="1398"/>
      <c r="AC590" s="1398"/>
      <c r="AD590" s="1398"/>
      <c r="AE590" s="1398"/>
      <c r="AF590" s="1398"/>
      <c r="AG590" s="1398"/>
      <c r="AH590" s="1398"/>
      <c r="AI590" s="1398"/>
      <c r="AJ590" s="1398"/>
    </row>
    <row r="591" spans="1:36" ht="15" customHeight="1" x14ac:dyDescent="0.3">
      <c r="A591" s="1398"/>
      <c r="B591" s="2189" t="s">
        <v>2543</v>
      </c>
      <c r="C591" s="2151"/>
      <c r="D591" s="2151"/>
      <c r="E591" s="2151"/>
      <c r="F591" s="2151"/>
      <c r="G591" s="2151"/>
      <c r="H591" s="2151"/>
      <c r="I591" s="2151"/>
      <c r="J591" s="2157"/>
      <c r="K591" s="23"/>
      <c r="L591" s="2157"/>
      <c r="M591" s="2151"/>
      <c r="N591" s="2157"/>
      <c r="O591" s="2157"/>
      <c r="P591" s="2157"/>
      <c r="Q591" s="2157"/>
      <c r="R591" s="1398"/>
      <c r="S591" s="1398"/>
      <c r="T591" s="1398"/>
      <c r="U591" s="1398"/>
      <c r="V591" s="1398"/>
      <c r="W591" s="1398"/>
      <c r="X591" s="1398"/>
      <c r="Y591" s="1398"/>
      <c r="Z591" s="1398"/>
      <c r="AA591" s="1398"/>
      <c r="AB591" s="1398"/>
      <c r="AC591" s="1398"/>
      <c r="AD591" s="1398"/>
      <c r="AE591" s="1398"/>
      <c r="AF591" s="1398"/>
      <c r="AG591" s="1398"/>
      <c r="AH591" s="1398"/>
      <c r="AI591" s="1398"/>
      <c r="AJ591" s="1398"/>
    </row>
    <row r="592" spans="1:36" ht="15" customHeight="1" x14ac:dyDescent="0.35">
      <c r="A592" s="1398"/>
      <c r="B592" s="2190" t="s">
        <v>2548</v>
      </c>
      <c r="C592" s="2151"/>
      <c r="D592" s="2151"/>
      <c r="E592" s="2151"/>
      <c r="F592" s="2151"/>
      <c r="G592" s="2151"/>
      <c r="H592" s="2151"/>
      <c r="I592" s="2151"/>
      <c r="J592" s="2157"/>
      <c r="K592" s="23"/>
      <c r="L592" s="2157"/>
      <c r="M592" s="2151"/>
      <c r="N592" s="2157"/>
      <c r="O592" s="2157"/>
      <c r="P592" s="2157"/>
      <c r="Q592" s="2157"/>
      <c r="R592" s="1398"/>
      <c r="S592" s="1398"/>
      <c r="T592" s="1398"/>
      <c r="U592" s="1398"/>
      <c r="V592" s="1398"/>
      <c r="W592" s="1398"/>
      <c r="X592" s="1398"/>
      <c r="Y592" s="1398"/>
      <c r="Z592" s="1398"/>
      <c r="AA592" s="1398"/>
      <c r="AB592" s="1398"/>
      <c r="AC592" s="1398"/>
      <c r="AD592" s="1398"/>
      <c r="AE592" s="1398"/>
      <c r="AF592" s="1398"/>
      <c r="AG592" s="1398"/>
      <c r="AH592" s="1398"/>
      <c r="AI592" s="1398"/>
      <c r="AJ592" s="1398"/>
    </row>
    <row r="593" spans="1:36" ht="15" customHeight="1" x14ac:dyDescent="0.3">
      <c r="A593" s="1398"/>
      <c r="B593" s="2189" t="s">
        <v>2543</v>
      </c>
      <c r="C593" s="2151"/>
      <c r="D593" s="2151"/>
      <c r="E593" s="2151"/>
      <c r="F593" s="2151"/>
      <c r="G593" s="2151"/>
      <c r="H593" s="2151"/>
      <c r="I593" s="2151"/>
      <c r="J593" s="2157"/>
      <c r="K593" s="23"/>
      <c r="L593" s="2157"/>
      <c r="M593" s="2151"/>
      <c r="N593" s="2157"/>
      <c r="O593" s="2157"/>
      <c r="P593" s="2157"/>
      <c r="Q593" s="2157"/>
      <c r="R593" s="1398"/>
      <c r="S593" s="1398"/>
      <c r="T593" s="1398"/>
      <c r="U593" s="1398"/>
      <c r="V593" s="1398"/>
      <c r="W593" s="1398"/>
      <c r="X593" s="1398"/>
      <c r="Y593" s="1398"/>
      <c r="Z593" s="1398"/>
      <c r="AA593" s="1398"/>
      <c r="AB593" s="1398"/>
      <c r="AC593" s="1398"/>
      <c r="AD593" s="1398"/>
      <c r="AE593" s="1398"/>
      <c r="AF593" s="1398"/>
      <c r="AG593" s="1398"/>
      <c r="AH593" s="1398"/>
      <c r="AI593" s="1398"/>
      <c r="AJ593" s="1398"/>
    </row>
    <row r="594" spans="1:36" ht="15" customHeight="1" x14ac:dyDescent="0.3">
      <c r="A594" s="1398"/>
      <c r="B594" s="2185" t="s">
        <v>2547</v>
      </c>
      <c r="C594" s="2151"/>
      <c r="D594" s="2151"/>
      <c r="E594" s="2151"/>
      <c r="F594" s="2151"/>
      <c r="G594" s="2151"/>
      <c r="H594" s="2151"/>
      <c r="I594" s="2151"/>
      <c r="J594" s="2157"/>
      <c r="K594" s="23"/>
      <c r="L594" s="2157"/>
      <c r="M594" s="2151"/>
      <c r="N594" s="2157"/>
      <c r="O594" s="2157"/>
      <c r="P594" s="2157"/>
      <c r="Q594" s="2157"/>
      <c r="R594" s="1398"/>
      <c r="S594" s="1398"/>
      <c r="T594" s="1398"/>
      <c r="U594" s="1398"/>
      <c r="V594" s="1398"/>
      <c r="W594" s="1398"/>
      <c r="X594" s="1398"/>
      <c r="Y594" s="1398"/>
      <c r="Z594" s="1398"/>
      <c r="AA594" s="1398"/>
      <c r="AB594" s="1398"/>
      <c r="AC594" s="1398"/>
      <c r="AD594" s="1398"/>
      <c r="AE594" s="1398"/>
      <c r="AF594" s="1398"/>
      <c r="AG594" s="1398"/>
      <c r="AH594" s="1398"/>
      <c r="AI594" s="1398"/>
      <c r="AJ594" s="1398"/>
    </row>
    <row r="595" spans="1:36" ht="15" customHeight="1" x14ac:dyDescent="0.3">
      <c r="A595" s="1398"/>
      <c r="B595" s="2189" t="s">
        <v>2543</v>
      </c>
      <c r="C595" s="2151"/>
      <c r="D595" s="2151"/>
      <c r="E595" s="2151"/>
      <c r="F595" s="2151"/>
      <c r="G595" s="2151"/>
      <c r="H595" s="2151"/>
      <c r="I595" s="2151"/>
      <c r="J595" s="2157"/>
      <c r="K595" s="23"/>
      <c r="L595" s="2157"/>
      <c r="M595" s="2151"/>
      <c r="N595" s="2157"/>
      <c r="O595" s="2157"/>
      <c r="P595" s="2157"/>
      <c r="Q595" s="2157"/>
      <c r="R595" s="1398"/>
      <c r="S595" s="1398"/>
      <c r="T595" s="1398"/>
      <c r="U595" s="1398"/>
      <c r="V595" s="1398"/>
      <c r="W595" s="1398"/>
      <c r="X595" s="1398"/>
      <c r="Y595" s="1398"/>
      <c r="Z595" s="1398"/>
      <c r="AA595" s="1398"/>
      <c r="AB595" s="1398"/>
      <c r="AC595" s="1398"/>
      <c r="AD595" s="1398"/>
      <c r="AE595" s="1398"/>
      <c r="AF595" s="1398"/>
      <c r="AG595" s="1398"/>
      <c r="AH595" s="1398"/>
      <c r="AI595" s="1398"/>
      <c r="AJ595" s="1398"/>
    </row>
    <row r="596" spans="1:36" ht="15" customHeight="1" x14ac:dyDescent="0.3">
      <c r="A596" s="1398"/>
      <c r="B596" s="2187" t="s">
        <v>2546</v>
      </c>
      <c r="C596" s="2151">
        <v>52</v>
      </c>
      <c r="D596" s="2151">
        <v>2211700731.2957101</v>
      </c>
      <c r="E596" s="2151">
        <v>135945996.624789</v>
      </c>
      <c r="F596" s="2151"/>
      <c r="G596" s="2151"/>
      <c r="H596" s="2151">
        <v>2347646727.9204998</v>
      </c>
      <c r="I596" s="2151">
        <v>162327391.91</v>
      </c>
      <c r="J596" s="2157"/>
      <c r="K596" s="23"/>
      <c r="L596" s="2157"/>
      <c r="M596" s="2151"/>
      <c r="N596" s="2157"/>
      <c r="O596" s="2157"/>
      <c r="P596" s="2157"/>
      <c r="Q596" s="2157"/>
      <c r="R596" s="1398"/>
      <c r="S596" s="1398"/>
      <c r="T596" s="1398"/>
      <c r="U596" s="1398"/>
      <c r="V596" s="1398"/>
      <c r="W596" s="1398"/>
      <c r="X596" s="1398"/>
      <c r="Y596" s="1398"/>
      <c r="Z596" s="1398"/>
      <c r="AA596" s="1398"/>
      <c r="AB596" s="1398"/>
      <c r="AC596" s="1398"/>
      <c r="AD596" s="1398"/>
      <c r="AE596" s="1398"/>
      <c r="AF596" s="1398"/>
      <c r="AG596" s="1398"/>
      <c r="AH596" s="1398"/>
      <c r="AI596" s="1398"/>
      <c r="AJ596" s="1398"/>
    </row>
    <row r="597" spans="1:36" ht="15" customHeight="1" x14ac:dyDescent="0.3">
      <c r="A597" s="1398"/>
      <c r="B597" s="2189" t="s">
        <v>2543</v>
      </c>
      <c r="C597" s="2151">
        <v>3</v>
      </c>
      <c r="D597" s="2151">
        <v>46877929.870616898</v>
      </c>
      <c r="E597" s="2151">
        <v>126570410.650666</v>
      </c>
      <c r="F597" s="2151"/>
      <c r="G597" s="2151"/>
      <c r="H597" s="2151">
        <v>173448340.521283</v>
      </c>
      <c r="I597" s="2151">
        <v>-12524.97</v>
      </c>
      <c r="J597" s="2157"/>
      <c r="K597" s="23"/>
      <c r="L597" s="2157"/>
      <c r="M597" s="2151"/>
      <c r="N597" s="2157"/>
      <c r="O597" s="2157"/>
      <c r="P597" s="2157"/>
      <c r="Q597" s="2157"/>
      <c r="R597" s="1398"/>
      <c r="S597" s="1398"/>
      <c r="T597" s="1398"/>
      <c r="U597" s="1398"/>
      <c r="V597" s="1398"/>
      <c r="W597" s="1398"/>
      <c r="X597" s="1398"/>
      <c r="Y597" s="1398"/>
      <c r="Z597" s="1398"/>
      <c r="AA597" s="1398"/>
      <c r="AB597" s="1398"/>
      <c r="AC597" s="1398"/>
      <c r="AD597" s="1398"/>
      <c r="AE597" s="1398"/>
      <c r="AF597" s="1398"/>
      <c r="AG597" s="1398"/>
      <c r="AH597" s="1398"/>
      <c r="AI597" s="1398"/>
      <c r="AJ597" s="1398"/>
    </row>
    <row r="598" spans="1:36" ht="15" customHeight="1" x14ac:dyDescent="0.3">
      <c r="A598" s="1398"/>
      <c r="B598" s="2185" t="s">
        <v>1760</v>
      </c>
      <c r="C598" s="2151"/>
      <c r="D598" s="2151"/>
      <c r="E598" s="2151"/>
      <c r="F598" s="2151"/>
      <c r="G598" s="2151"/>
      <c r="H598" s="2151"/>
      <c r="I598" s="2151"/>
      <c r="J598" s="2157"/>
      <c r="K598" s="23"/>
      <c r="L598" s="2157"/>
      <c r="M598" s="2151"/>
      <c r="N598" s="2157"/>
      <c r="O598" s="2157"/>
      <c r="P598" s="2157"/>
      <c r="Q598" s="2157"/>
      <c r="R598" s="1398"/>
      <c r="S598" s="1398"/>
      <c r="T598" s="1398"/>
      <c r="U598" s="1398"/>
      <c r="V598" s="1398"/>
      <c r="W598" s="1398"/>
      <c r="X598" s="1398"/>
      <c r="Y598" s="1398"/>
      <c r="Z598" s="1398"/>
      <c r="AA598" s="1398"/>
      <c r="AB598" s="1398"/>
      <c r="AC598" s="1398"/>
      <c r="AD598" s="1398"/>
      <c r="AE598" s="1398"/>
      <c r="AF598" s="1398"/>
      <c r="AG598" s="1398"/>
      <c r="AH598" s="1398"/>
      <c r="AI598" s="1398"/>
      <c r="AJ598" s="1398"/>
    </row>
    <row r="599" spans="1:36" ht="15" customHeight="1" x14ac:dyDescent="0.3">
      <c r="A599" s="1398"/>
      <c r="B599" s="2189" t="s">
        <v>2543</v>
      </c>
      <c r="C599" s="2151"/>
      <c r="D599" s="2151"/>
      <c r="E599" s="2151"/>
      <c r="F599" s="2151"/>
      <c r="G599" s="2151"/>
      <c r="H599" s="2151"/>
      <c r="I599" s="2151"/>
      <c r="J599" s="2157"/>
      <c r="K599" s="23"/>
      <c r="L599" s="2157"/>
      <c r="M599" s="2151"/>
      <c r="N599" s="2157"/>
      <c r="O599" s="2157"/>
      <c r="P599" s="2157"/>
      <c r="Q599" s="2157"/>
      <c r="R599" s="1398"/>
      <c r="S599" s="1398"/>
      <c r="T599" s="1398"/>
      <c r="U599" s="1398"/>
      <c r="V599" s="1398"/>
      <c r="W599" s="1398"/>
      <c r="X599" s="1398"/>
      <c r="Y599" s="1398"/>
      <c r="Z599" s="1398"/>
      <c r="AA599" s="1398"/>
      <c r="AB599" s="1398"/>
      <c r="AC599" s="1398"/>
      <c r="AD599" s="1398"/>
      <c r="AE599" s="1398"/>
      <c r="AF599" s="1398"/>
      <c r="AG599" s="1398"/>
      <c r="AH599" s="1398"/>
      <c r="AI599" s="1398"/>
      <c r="AJ599" s="1398"/>
    </row>
    <row r="600" spans="1:36" ht="15" customHeight="1" x14ac:dyDescent="0.35">
      <c r="A600" s="1398"/>
      <c r="B600" s="2178" t="s">
        <v>2545</v>
      </c>
      <c r="C600" s="2159" t="str">
        <f t="shared" ref="C600:I600" si="86">IF(AND(ISNUMBER(C601),ISNUMBER(C603)),C601+C603,"")</f>
        <v/>
      </c>
      <c r="D600" s="2159" t="str">
        <f t="shared" si="86"/>
        <v/>
      </c>
      <c r="E600" s="2159" t="str">
        <f t="shared" si="86"/>
        <v/>
      </c>
      <c r="F600" s="2159" t="str">
        <f t="shared" si="86"/>
        <v/>
      </c>
      <c r="G600" s="2159" t="str">
        <f t="shared" si="86"/>
        <v/>
      </c>
      <c r="H600" s="2159" t="str">
        <f t="shared" si="86"/>
        <v/>
      </c>
      <c r="I600" s="2159" t="str">
        <f t="shared" si="86"/>
        <v/>
      </c>
      <c r="J600" s="2157"/>
      <c r="K600" s="2159" t="str">
        <f>IF(AND(ISNUMBER(K601),ISNUMBER(K603)),K601+K603,"")</f>
        <v/>
      </c>
      <c r="L600" s="2157"/>
      <c r="M600" s="2159" t="str">
        <f>IF(AND(ISNUMBER(M601),ISNUMBER(M603)),M601+M603,"")</f>
        <v/>
      </c>
      <c r="N600" s="2157"/>
      <c r="O600" s="2157"/>
      <c r="P600" s="2157"/>
      <c r="Q600" s="2157"/>
      <c r="R600" s="1398"/>
      <c r="S600" s="1398"/>
      <c r="T600" s="1398"/>
      <c r="U600" s="1398"/>
      <c r="V600" s="1398"/>
      <c r="W600" s="1398"/>
      <c r="X600" s="1398"/>
      <c r="Y600" s="1398"/>
      <c r="Z600" s="1398"/>
      <c r="AA600" s="1398"/>
      <c r="AB600" s="1398"/>
      <c r="AC600" s="1398"/>
      <c r="AD600" s="1398"/>
      <c r="AE600" s="1398"/>
      <c r="AF600" s="1398"/>
      <c r="AG600" s="1398"/>
      <c r="AH600" s="1398"/>
      <c r="AI600" s="1398"/>
      <c r="AJ600" s="1398"/>
    </row>
    <row r="601" spans="1:36" ht="15" customHeight="1" x14ac:dyDescent="0.3">
      <c r="A601" s="1398"/>
      <c r="B601" s="2177" t="s">
        <v>2544</v>
      </c>
      <c r="C601" s="2151">
        <v>549</v>
      </c>
      <c r="D601" s="2151">
        <v>19974995436.98571</v>
      </c>
      <c r="E601" s="2151">
        <v>2615800180.1347895</v>
      </c>
      <c r="F601" s="2151"/>
      <c r="G601" s="2151"/>
      <c r="H601" s="2151">
        <v>22590795617.120499</v>
      </c>
      <c r="I601" s="2151"/>
      <c r="J601" s="2157"/>
      <c r="K601" s="2151"/>
      <c r="L601" s="2157"/>
      <c r="M601" s="2151"/>
      <c r="N601" s="2157"/>
      <c r="O601" s="2157"/>
      <c r="P601" s="2157"/>
      <c r="Q601" s="2157"/>
      <c r="R601" s="1398"/>
      <c r="S601" s="1398"/>
      <c r="T601" s="1398"/>
      <c r="U601" s="1398"/>
      <c r="V601" s="1398"/>
      <c r="W601" s="1398"/>
      <c r="X601" s="1398"/>
      <c r="Y601" s="1398"/>
      <c r="Z601" s="1398"/>
      <c r="AA601" s="1398"/>
      <c r="AB601" s="1398"/>
      <c r="AC601" s="1398"/>
      <c r="AD601" s="1398"/>
      <c r="AE601" s="1398"/>
      <c r="AF601" s="1398"/>
      <c r="AG601" s="1398"/>
      <c r="AH601" s="1398"/>
      <c r="AI601" s="1398"/>
      <c r="AJ601" s="1398"/>
    </row>
    <row r="602" spans="1:36" ht="15" customHeight="1" x14ac:dyDescent="0.3">
      <c r="A602" s="1398"/>
      <c r="B602" s="2188" t="s">
        <v>2543</v>
      </c>
      <c r="C602" s="2151">
        <v>0</v>
      </c>
      <c r="D602" s="2151">
        <v>0</v>
      </c>
      <c r="E602" s="2151">
        <v>0</v>
      </c>
      <c r="F602" s="2151"/>
      <c r="G602" s="2151"/>
      <c r="H602" s="2151">
        <v>0</v>
      </c>
      <c r="I602" s="2151"/>
      <c r="J602" s="2157"/>
      <c r="K602" s="2151"/>
      <c r="L602" s="2157"/>
      <c r="M602" s="2151"/>
      <c r="N602" s="2157"/>
      <c r="O602" s="2157"/>
      <c r="P602" s="2157"/>
      <c r="Q602" s="2157"/>
      <c r="R602" s="1398"/>
      <c r="S602" s="1398"/>
      <c r="T602" s="1398"/>
      <c r="U602" s="1398"/>
      <c r="V602" s="1398"/>
      <c r="W602" s="1398"/>
      <c r="X602" s="1398"/>
      <c r="Y602" s="1398"/>
      <c r="Z602" s="1398"/>
      <c r="AA602" s="1398"/>
      <c r="AB602" s="1398"/>
      <c r="AC602" s="1398"/>
      <c r="AD602" s="1398"/>
      <c r="AE602" s="1398"/>
      <c r="AF602" s="1398"/>
      <c r="AG602" s="1398"/>
      <c r="AH602" s="1398"/>
      <c r="AI602" s="1398"/>
      <c r="AJ602" s="1398"/>
    </row>
    <row r="603" spans="1:36" ht="15" customHeight="1" x14ac:dyDescent="0.3">
      <c r="A603" s="1398"/>
      <c r="B603" s="2177" t="s">
        <v>1760</v>
      </c>
      <c r="C603" s="2151"/>
      <c r="D603" s="2151"/>
      <c r="E603" s="2151"/>
      <c r="F603" s="2151"/>
      <c r="G603" s="2151"/>
      <c r="H603" s="2151"/>
      <c r="I603" s="2151"/>
      <c r="J603" s="2157"/>
      <c r="K603" s="2151"/>
      <c r="L603" s="2157"/>
      <c r="M603" s="2151"/>
      <c r="N603" s="2157"/>
      <c r="O603" s="2157"/>
      <c r="P603" s="2157"/>
      <c r="Q603" s="2157"/>
      <c r="R603" s="1398"/>
      <c r="S603" s="1398"/>
      <c r="T603" s="1398"/>
      <c r="U603" s="1398"/>
      <c r="V603" s="1398"/>
      <c r="W603" s="1398"/>
      <c r="X603" s="1398"/>
      <c r="Y603" s="1398"/>
      <c r="Z603" s="1398"/>
      <c r="AA603" s="1398"/>
      <c r="AB603" s="1398"/>
      <c r="AC603" s="1398"/>
      <c r="AD603" s="1398"/>
      <c r="AE603" s="1398"/>
      <c r="AF603" s="1398"/>
      <c r="AG603" s="1398"/>
      <c r="AH603" s="1398"/>
      <c r="AI603" s="1398"/>
      <c r="AJ603" s="1398"/>
    </row>
    <row r="604" spans="1:36" ht="15" customHeight="1" x14ac:dyDescent="0.3">
      <c r="A604" s="1398"/>
      <c r="B604" s="2188" t="s">
        <v>2543</v>
      </c>
      <c r="C604" s="2151"/>
      <c r="D604" s="2151"/>
      <c r="E604" s="2151"/>
      <c r="F604" s="2151"/>
      <c r="G604" s="2151"/>
      <c r="H604" s="2151"/>
      <c r="I604" s="2151"/>
      <c r="J604" s="2157"/>
      <c r="K604" s="2151"/>
      <c r="L604" s="2157"/>
      <c r="M604" s="2151"/>
      <c r="N604" s="2157"/>
      <c r="O604" s="2157"/>
      <c r="P604" s="2157"/>
      <c r="Q604" s="2157"/>
      <c r="R604" s="1398"/>
      <c r="S604" s="1398"/>
      <c r="T604" s="1398"/>
      <c r="U604" s="1398"/>
      <c r="V604" s="1398"/>
      <c r="W604" s="1398"/>
      <c r="X604" s="1398"/>
      <c r="Y604" s="1398"/>
      <c r="Z604" s="1398"/>
      <c r="AA604" s="1398"/>
      <c r="AB604" s="1398"/>
      <c r="AC604" s="1398"/>
      <c r="AD604" s="1398"/>
      <c r="AE604" s="1398"/>
      <c r="AF604" s="1398"/>
      <c r="AG604" s="1398"/>
      <c r="AH604" s="1398"/>
      <c r="AI604" s="1398"/>
      <c r="AJ604" s="1398"/>
    </row>
    <row r="605" spans="1:36" ht="15" customHeight="1" x14ac:dyDescent="0.3">
      <c r="A605" s="1398"/>
      <c r="B605" s="1976" t="s">
        <v>1941</v>
      </c>
      <c r="C605" s="2151"/>
      <c r="D605" s="2151"/>
      <c r="E605" s="2151"/>
      <c r="F605" s="2151"/>
      <c r="G605" s="2151"/>
      <c r="H605" s="2151"/>
      <c r="I605" s="2151"/>
      <c r="J605" s="2157"/>
      <c r="K605" s="2151"/>
      <c r="L605" s="2157"/>
      <c r="M605" s="2151"/>
      <c r="N605" s="2157"/>
      <c r="O605" s="2157"/>
      <c r="P605" s="2157"/>
      <c r="Q605" s="2157"/>
      <c r="R605" s="1398"/>
      <c r="S605" s="1398"/>
      <c r="T605" s="1398"/>
      <c r="U605" s="1398"/>
      <c r="V605" s="1398"/>
      <c r="W605" s="1398"/>
      <c r="X605" s="1398"/>
      <c r="Y605" s="1398"/>
      <c r="Z605" s="1398"/>
      <c r="AA605" s="1398"/>
      <c r="AB605" s="1398"/>
      <c r="AC605" s="1398"/>
      <c r="AD605" s="1398"/>
      <c r="AE605" s="1398"/>
      <c r="AF605" s="1398"/>
      <c r="AG605" s="1398"/>
      <c r="AH605" s="1398"/>
      <c r="AI605" s="1398"/>
      <c r="AJ605" s="1398"/>
    </row>
    <row r="606" spans="1:36" ht="15" customHeight="1" x14ac:dyDescent="0.35">
      <c r="A606" s="1398"/>
      <c r="B606" s="1976" t="s">
        <v>2542</v>
      </c>
      <c r="C606" s="2159" t="str">
        <f t="shared" ref="C606:I606" si="87">IF(AND(ISNUMBER(C607),ISNUMBER(C608)),C607+C608,"")</f>
        <v/>
      </c>
      <c r="D606" s="2159" t="str">
        <f t="shared" si="87"/>
        <v/>
      </c>
      <c r="E606" s="2159" t="str">
        <f t="shared" si="87"/>
        <v/>
      </c>
      <c r="F606" s="2159" t="str">
        <f t="shared" si="87"/>
        <v/>
      </c>
      <c r="G606" s="2159" t="str">
        <f t="shared" si="87"/>
        <v/>
      </c>
      <c r="H606" s="2159" t="str">
        <f t="shared" si="87"/>
        <v/>
      </c>
      <c r="I606" s="2159" t="str">
        <f t="shared" si="87"/>
        <v/>
      </c>
      <c r="J606" s="2157"/>
      <c r="K606" s="2159" t="str">
        <f>IF(AND(ISNUMBER(K607),ISNUMBER(K608)),K607+K608,"")</f>
        <v/>
      </c>
      <c r="L606" s="2157"/>
      <c r="M606" s="2159" t="str">
        <f>IF(AND(ISNUMBER(M607),ISNUMBER(M608)),M607+M608,"")</f>
        <v/>
      </c>
      <c r="N606" s="2157"/>
      <c r="O606" s="2157"/>
      <c r="P606" s="2157"/>
      <c r="Q606" s="2157"/>
      <c r="R606" s="1398"/>
      <c r="S606" s="1398"/>
      <c r="T606" s="1398"/>
      <c r="U606" s="1398"/>
      <c r="V606" s="1398"/>
      <c r="W606" s="1398"/>
      <c r="X606" s="1398"/>
      <c r="Y606" s="1398"/>
      <c r="Z606" s="1398"/>
      <c r="AA606" s="1398"/>
      <c r="AB606" s="1398"/>
      <c r="AC606" s="1398"/>
      <c r="AD606" s="1398"/>
      <c r="AE606" s="1398"/>
      <c r="AF606" s="1398"/>
      <c r="AG606" s="1398"/>
      <c r="AH606" s="1398"/>
      <c r="AI606" s="1398"/>
      <c r="AJ606" s="1398"/>
    </row>
    <row r="607" spans="1:36" ht="15" customHeight="1" x14ac:dyDescent="0.3">
      <c r="A607" s="1398"/>
      <c r="B607" s="2187" t="s">
        <v>2541</v>
      </c>
      <c r="C607" s="2151"/>
      <c r="D607" s="2151"/>
      <c r="E607" s="2151"/>
      <c r="F607" s="2151"/>
      <c r="G607" s="2151"/>
      <c r="H607" s="2151"/>
      <c r="I607" s="2151"/>
      <c r="J607" s="2157"/>
      <c r="K607" s="2151"/>
      <c r="L607" s="2157"/>
      <c r="M607" s="2151"/>
      <c r="N607" s="2157"/>
      <c r="O607" s="2157"/>
      <c r="P607" s="2157"/>
      <c r="Q607" s="2157"/>
      <c r="R607" s="1398"/>
      <c r="S607" s="1398"/>
      <c r="T607" s="1398"/>
      <c r="U607" s="1398"/>
      <c r="V607" s="1398"/>
      <c r="W607" s="1398"/>
      <c r="X607" s="1398"/>
      <c r="Y607" s="1398"/>
      <c r="Z607" s="1398"/>
      <c r="AA607" s="1398"/>
      <c r="AB607" s="1398"/>
      <c r="AC607" s="1398"/>
      <c r="AD607" s="1398"/>
      <c r="AE607" s="1398"/>
      <c r="AF607" s="1398"/>
      <c r="AG607" s="1398"/>
      <c r="AH607" s="1398"/>
      <c r="AI607" s="1398"/>
      <c r="AJ607" s="1398"/>
    </row>
    <row r="608" spans="1:36" ht="15" customHeight="1" x14ac:dyDescent="0.3">
      <c r="A608" s="1398"/>
      <c r="B608" s="2185" t="s">
        <v>1760</v>
      </c>
      <c r="C608" s="2151"/>
      <c r="D608" s="2151"/>
      <c r="E608" s="2151"/>
      <c r="F608" s="2151"/>
      <c r="G608" s="2151"/>
      <c r="H608" s="2151"/>
      <c r="I608" s="2151"/>
      <c r="J608" s="2157"/>
      <c r="K608" s="2151"/>
      <c r="L608" s="2157"/>
      <c r="M608" s="2151"/>
      <c r="N608" s="2157"/>
      <c r="O608" s="2157"/>
      <c r="P608" s="2157"/>
      <c r="Q608" s="2157"/>
      <c r="R608" s="1398"/>
      <c r="S608" s="1398"/>
      <c r="T608" s="1398"/>
      <c r="U608" s="1398"/>
      <c r="V608" s="1398"/>
      <c r="W608" s="1398"/>
      <c r="X608" s="1398"/>
      <c r="Y608" s="1398"/>
      <c r="Z608" s="1398"/>
      <c r="AA608" s="1398"/>
      <c r="AB608" s="1398"/>
      <c r="AC608" s="1398"/>
      <c r="AD608" s="1398"/>
      <c r="AE608" s="1398"/>
      <c r="AF608" s="1398"/>
      <c r="AG608" s="1398"/>
      <c r="AH608" s="1398"/>
      <c r="AI608" s="1398"/>
      <c r="AJ608" s="1398"/>
    </row>
    <row r="609" spans="1:36" ht="15" customHeight="1" x14ac:dyDescent="0.35">
      <c r="A609" s="1398"/>
      <c r="B609" s="2178" t="s">
        <v>2540</v>
      </c>
      <c r="C609" s="2159" t="str">
        <f t="shared" ref="C609:I609" si="88">IF(AND(ISNUMBER(C610),ISNUMBER(C611)),C610+C611,"")</f>
        <v/>
      </c>
      <c r="D609" s="2159" t="str">
        <f t="shared" si="88"/>
        <v/>
      </c>
      <c r="E609" s="2159" t="str">
        <f t="shared" si="88"/>
        <v/>
      </c>
      <c r="F609" s="2159" t="str">
        <f t="shared" si="88"/>
        <v/>
      </c>
      <c r="G609" s="2159" t="str">
        <f t="shared" si="88"/>
        <v/>
      </c>
      <c r="H609" s="2159" t="str">
        <f t="shared" si="88"/>
        <v/>
      </c>
      <c r="I609" s="2159" t="str">
        <f t="shared" si="88"/>
        <v/>
      </c>
      <c r="J609" s="2157"/>
      <c r="K609" s="2159" t="str">
        <f>IF(AND(ISNUMBER(K610),ISNUMBER(K611)),K610+K611,"")</f>
        <v/>
      </c>
      <c r="L609" s="2157"/>
      <c r="M609" s="2159" t="str">
        <f>IF(AND(ISNUMBER(M610),ISNUMBER(M611)),M610+M611,"")</f>
        <v/>
      </c>
      <c r="N609" s="2157"/>
      <c r="O609" s="2157"/>
      <c r="P609" s="2157"/>
      <c r="Q609" s="2157"/>
      <c r="R609" s="1398"/>
      <c r="S609" s="1398"/>
      <c r="T609" s="1398"/>
      <c r="U609" s="1398"/>
      <c r="V609" s="1398"/>
      <c r="W609" s="1398"/>
      <c r="X609" s="1398"/>
      <c r="Y609" s="1398"/>
      <c r="Z609" s="1398"/>
      <c r="AA609" s="1398"/>
      <c r="AB609" s="1398"/>
      <c r="AC609" s="1398"/>
      <c r="AD609" s="1398"/>
      <c r="AE609" s="1398"/>
      <c r="AF609" s="1398"/>
      <c r="AG609" s="1398"/>
      <c r="AH609" s="1398"/>
      <c r="AI609" s="1398"/>
      <c r="AJ609" s="1398"/>
    </row>
    <row r="610" spans="1:36" ht="15" customHeight="1" x14ac:dyDescent="0.3">
      <c r="A610" s="1398"/>
      <c r="B610" s="2177" t="s">
        <v>2539</v>
      </c>
      <c r="C610" s="2151"/>
      <c r="D610" s="2151"/>
      <c r="E610" s="2151"/>
      <c r="F610" s="2151"/>
      <c r="G610" s="2151"/>
      <c r="H610" s="2151"/>
      <c r="I610" s="2151"/>
      <c r="J610" s="2157"/>
      <c r="K610" s="2151"/>
      <c r="L610" s="2157"/>
      <c r="M610" s="2151"/>
      <c r="N610" s="2157"/>
      <c r="O610" s="2157"/>
      <c r="P610" s="2157"/>
      <c r="Q610" s="2157"/>
      <c r="R610" s="1398"/>
      <c r="S610" s="1398"/>
      <c r="T610" s="1398"/>
      <c r="U610" s="1398"/>
      <c r="V610" s="1398"/>
      <c r="W610" s="1398"/>
      <c r="X610" s="1398"/>
      <c r="Y610" s="1398"/>
      <c r="Z610" s="1398"/>
      <c r="AA610" s="1398"/>
      <c r="AB610" s="1398"/>
      <c r="AC610" s="1398"/>
      <c r="AD610" s="1398"/>
      <c r="AE610" s="1398"/>
      <c r="AF610" s="1398"/>
      <c r="AG610" s="1398"/>
      <c r="AH610" s="1398"/>
      <c r="AI610" s="1398"/>
      <c r="AJ610" s="1398"/>
    </row>
    <row r="611" spans="1:36" ht="15" customHeight="1" x14ac:dyDescent="0.3">
      <c r="A611" s="1398"/>
      <c r="B611" s="2177" t="s">
        <v>1760</v>
      </c>
      <c r="C611" s="2151"/>
      <c r="D611" s="2151"/>
      <c r="E611" s="2151"/>
      <c r="F611" s="2151"/>
      <c r="G611" s="2151"/>
      <c r="H611" s="2151"/>
      <c r="I611" s="2151"/>
      <c r="J611" s="2157"/>
      <c r="K611" s="2151"/>
      <c r="L611" s="2157"/>
      <c r="M611" s="2151"/>
      <c r="N611" s="2157"/>
      <c r="O611" s="2157"/>
      <c r="P611" s="2157"/>
      <c r="Q611" s="2157"/>
      <c r="R611" s="1398"/>
      <c r="S611" s="1398"/>
      <c r="T611" s="1398"/>
      <c r="U611" s="1398"/>
      <c r="V611" s="1398"/>
      <c r="W611" s="1398"/>
      <c r="X611" s="1398"/>
      <c r="Y611" s="1398"/>
      <c r="Z611" s="1398"/>
      <c r="AA611" s="1398"/>
      <c r="AB611" s="1398"/>
      <c r="AC611" s="1398"/>
      <c r="AD611" s="1398"/>
      <c r="AE611" s="1398"/>
      <c r="AF611" s="1398"/>
      <c r="AG611" s="1398"/>
      <c r="AH611" s="1398"/>
      <c r="AI611" s="1398"/>
      <c r="AJ611" s="1398"/>
    </row>
    <row r="612" spans="1:36" ht="15" customHeight="1" x14ac:dyDescent="0.35">
      <c r="A612" s="1398"/>
      <c r="B612" s="569" t="s">
        <v>59</v>
      </c>
      <c r="C612" s="2156">
        <f t="shared" ref="C612:Q612" si="89">IF(AND(ISNUMBER(C614),ISNUMBER(C613)),SUM(C613:C614),0)</f>
        <v>0</v>
      </c>
      <c r="D612" s="2156">
        <f t="shared" si="89"/>
        <v>0</v>
      </c>
      <c r="E612" s="2156">
        <f t="shared" si="89"/>
        <v>0</v>
      </c>
      <c r="F612" s="2156">
        <f t="shared" si="89"/>
        <v>0</v>
      </c>
      <c r="G612" s="2156">
        <f t="shared" si="89"/>
        <v>0</v>
      </c>
      <c r="H612" s="2156">
        <f t="shared" si="89"/>
        <v>0</v>
      </c>
      <c r="I612" s="2156">
        <f t="shared" si="89"/>
        <v>0</v>
      </c>
      <c r="J612" s="2156">
        <f t="shared" si="89"/>
        <v>0</v>
      </c>
      <c r="K612" s="2156">
        <f t="shared" si="89"/>
        <v>0</v>
      </c>
      <c r="L612" s="2156">
        <f t="shared" si="89"/>
        <v>0</v>
      </c>
      <c r="M612" s="2156">
        <f t="shared" si="89"/>
        <v>0</v>
      </c>
      <c r="N612" s="2156">
        <f t="shared" si="89"/>
        <v>0</v>
      </c>
      <c r="O612" s="2156">
        <f t="shared" si="89"/>
        <v>0</v>
      </c>
      <c r="P612" s="2156">
        <f t="shared" si="89"/>
        <v>0</v>
      </c>
      <c r="Q612" s="2156">
        <f t="shared" si="89"/>
        <v>0</v>
      </c>
      <c r="R612" s="1398"/>
      <c r="S612" s="1398"/>
      <c r="T612" s="1398"/>
      <c r="U612" s="1398"/>
      <c r="V612" s="1398"/>
      <c r="W612" s="1398"/>
      <c r="X612" s="1398"/>
      <c r="Y612" s="1398"/>
      <c r="Z612" s="1398"/>
      <c r="AA612" s="1398"/>
      <c r="AB612" s="1398"/>
      <c r="AC612" s="1398"/>
      <c r="AD612" s="1398"/>
      <c r="AE612" s="1398"/>
    </row>
    <row r="613" spans="1:36" ht="15" customHeight="1" x14ac:dyDescent="0.3">
      <c r="A613" s="1398"/>
      <c r="B613" s="2155" t="s">
        <v>2538</v>
      </c>
      <c r="C613" s="2151"/>
      <c r="D613" s="2151"/>
      <c r="E613" s="2151"/>
      <c r="F613" s="2151"/>
      <c r="G613" s="2151"/>
      <c r="H613" s="2151"/>
      <c r="I613" s="23"/>
      <c r="J613" s="2151"/>
      <c r="K613" s="2151"/>
      <c r="L613" s="2151"/>
      <c r="M613" s="2151"/>
      <c r="N613" s="2151"/>
      <c r="O613" s="2151"/>
      <c r="P613" s="2151"/>
      <c r="Q613" s="2151"/>
      <c r="R613" s="1398"/>
      <c r="S613" s="1398"/>
      <c r="T613" s="1398"/>
      <c r="U613" s="1398"/>
      <c r="V613" s="1398"/>
      <c r="W613" s="1398"/>
      <c r="X613" s="1398"/>
      <c r="Y613" s="1398"/>
      <c r="Z613" s="1398"/>
      <c r="AA613" s="1398"/>
      <c r="AB613" s="1398"/>
      <c r="AC613" s="1398"/>
      <c r="AD613" s="1398"/>
      <c r="AE613" s="1398"/>
    </row>
    <row r="614" spans="1:36" ht="15" customHeight="1" x14ac:dyDescent="0.3">
      <c r="A614" s="1398"/>
      <c r="B614" s="2155" t="s">
        <v>2537</v>
      </c>
      <c r="C614" s="2151"/>
      <c r="D614" s="2151"/>
      <c r="E614" s="2151"/>
      <c r="F614" s="2151"/>
      <c r="G614" s="2151"/>
      <c r="H614" s="2151"/>
      <c r="I614" s="23"/>
      <c r="J614" s="2151"/>
      <c r="K614" s="2151"/>
      <c r="L614" s="2151"/>
      <c r="M614" s="2151"/>
      <c r="N614" s="2151"/>
      <c r="O614" s="2151"/>
      <c r="P614" s="2151"/>
      <c r="Q614" s="2151"/>
      <c r="R614" s="1398"/>
      <c r="S614" s="1398"/>
      <c r="T614" s="1398"/>
      <c r="U614" s="1398"/>
      <c r="V614" s="1398"/>
      <c r="W614" s="1398"/>
      <c r="X614" s="1398"/>
      <c r="Y614" s="1398"/>
      <c r="Z614" s="1398"/>
      <c r="AA614" s="1398"/>
      <c r="AB614" s="1398"/>
      <c r="AC614" s="1398"/>
      <c r="AD614" s="1398"/>
      <c r="AE614" s="1398"/>
    </row>
    <row r="615" spans="1:36" ht="15" customHeight="1" x14ac:dyDescent="0.3">
      <c r="A615" s="1398"/>
      <c r="B615" s="2154" t="str">
        <f>"Check: row " &amp; ROW(B612) &amp;" = sum(row " &amp; ROW(B613) &amp; ", row "&amp; ROW(B614)&amp;")"</f>
        <v>Check: row 612 = sum(row 613, row 614)</v>
      </c>
      <c r="C615" s="2153" t="str">
        <f t="shared" ref="C615:Q615" si="90">IF(AND(ISNUMBER(C613), ISNUMBER(C614)), IF(C612=SUM(C613:C614), "Pass", "Fail"), "")</f>
        <v/>
      </c>
      <c r="D615" s="2153" t="str">
        <f t="shared" si="90"/>
        <v/>
      </c>
      <c r="E615" s="2153" t="str">
        <f t="shared" si="90"/>
        <v/>
      </c>
      <c r="F615" s="2153" t="str">
        <f t="shared" si="90"/>
        <v/>
      </c>
      <c r="G615" s="2153" t="str">
        <f t="shared" si="90"/>
        <v/>
      </c>
      <c r="H615" s="2153" t="str">
        <f t="shared" si="90"/>
        <v/>
      </c>
      <c r="I615" s="2153" t="str">
        <f t="shared" si="90"/>
        <v/>
      </c>
      <c r="J615" s="2153" t="str">
        <f t="shared" si="90"/>
        <v/>
      </c>
      <c r="K615" s="2153" t="str">
        <f t="shared" si="90"/>
        <v/>
      </c>
      <c r="L615" s="2153" t="str">
        <f t="shared" si="90"/>
        <v/>
      </c>
      <c r="M615" s="2153" t="str">
        <f t="shared" si="90"/>
        <v/>
      </c>
      <c r="N615" s="2153" t="str">
        <f t="shared" si="90"/>
        <v/>
      </c>
      <c r="O615" s="2153" t="str">
        <f t="shared" si="90"/>
        <v/>
      </c>
      <c r="P615" s="2153" t="str">
        <f t="shared" si="90"/>
        <v/>
      </c>
      <c r="Q615" s="2153" t="str">
        <f t="shared" si="90"/>
        <v/>
      </c>
      <c r="R615" s="1398"/>
      <c r="S615" s="1398"/>
      <c r="T615" s="1398"/>
      <c r="U615" s="1398"/>
      <c r="V615" s="1398"/>
      <c r="W615" s="1398"/>
      <c r="X615" s="1398"/>
      <c r="Y615" s="1398"/>
      <c r="Z615" s="1398"/>
      <c r="AA615" s="1398"/>
      <c r="AB615" s="1398"/>
      <c r="AC615" s="1398"/>
      <c r="AD615" s="1398"/>
      <c r="AE615" s="1398"/>
    </row>
    <row r="616" spans="1:36" ht="15" customHeight="1" x14ac:dyDescent="0.3">
      <c r="A616" s="1398"/>
      <c r="B616" s="2152" t="s">
        <v>2536</v>
      </c>
      <c r="C616" s="2151"/>
      <c r="D616" s="1398"/>
      <c r="E616" s="1398"/>
      <c r="F616" s="1398"/>
      <c r="G616" s="1398"/>
      <c r="H616" s="1398"/>
      <c r="I616" s="1398"/>
      <c r="J616" s="1398"/>
      <c r="K616" s="1398"/>
      <c r="L616" s="1398"/>
      <c r="M616" s="1398"/>
      <c r="N616" s="1398"/>
      <c r="O616" s="1398"/>
      <c r="P616" s="1398"/>
      <c r="Q616" s="1398"/>
      <c r="R616" s="1398"/>
      <c r="S616" s="1398"/>
      <c r="T616" s="1398"/>
      <c r="U616" s="1398"/>
      <c r="V616" s="1398"/>
      <c r="W616" s="1398"/>
      <c r="X616" s="1398"/>
      <c r="Y616" s="1398"/>
      <c r="Z616" s="1398"/>
      <c r="AA616" s="1398"/>
      <c r="AB616" s="1398"/>
      <c r="AC616" s="1398"/>
      <c r="AD616" s="1398"/>
      <c r="AE616" s="1398"/>
    </row>
    <row r="617" spans="1:36" ht="15" customHeight="1" x14ac:dyDescent="0.3">
      <c r="A617" s="1398"/>
      <c r="B617" s="2150" t="s">
        <v>2535</v>
      </c>
      <c r="C617" s="2149"/>
      <c r="D617" s="1398"/>
      <c r="E617" s="1398"/>
      <c r="F617" s="1398"/>
      <c r="G617" s="1398"/>
      <c r="H617" s="1398"/>
      <c r="I617" s="1398"/>
      <c r="J617" s="1398"/>
      <c r="K617" s="1398"/>
      <c r="L617" s="1398"/>
      <c r="M617" s="1398"/>
      <c r="N617" s="1398"/>
      <c r="O617" s="1398"/>
      <c r="P617" s="1398"/>
      <c r="Q617" s="1398"/>
      <c r="R617" s="1398"/>
      <c r="S617" s="1398"/>
      <c r="T617" s="1398"/>
      <c r="U617" s="1398"/>
      <c r="V617" s="1398"/>
      <c r="W617" s="1398"/>
      <c r="X617" s="1398"/>
      <c r="Y617" s="1398"/>
      <c r="Z617" s="1398"/>
      <c r="AA617" s="1398"/>
      <c r="AB617" s="1398"/>
      <c r="AC617" s="1398"/>
      <c r="AD617" s="1398"/>
      <c r="AE617" s="1398"/>
    </row>
    <row r="618" spans="1:36" ht="15" customHeight="1" x14ac:dyDescent="0.35">
      <c r="A618" s="1398"/>
      <c r="D618" s="1398"/>
      <c r="E618" s="1398"/>
      <c r="F618" s="1398"/>
      <c r="G618" s="1398"/>
      <c r="H618" s="1398"/>
      <c r="I618" s="1398"/>
      <c r="J618" s="1398"/>
      <c r="K618" s="1398"/>
      <c r="L618" s="1398"/>
      <c r="M618" s="1398"/>
      <c r="N618" s="1398"/>
      <c r="O618" s="1398"/>
      <c r="P618" s="1398"/>
      <c r="Q618" s="1398"/>
      <c r="R618" s="1398"/>
      <c r="S618" s="1398"/>
      <c r="T618" s="1398"/>
      <c r="U618" s="1398"/>
      <c r="V618" s="1398"/>
      <c r="W618" s="1398"/>
      <c r="X618" s="1398"/>
      <c r="Y618" s="1398"/>
      <c r="Z618" s="1398"/>
      <c r="AA618" s="1398"/>
      <c r="AB618" s="1398"/>
      <c r="AC618" s="1398"/>
      <c r="AD618" s="1398"/>
      <c r="AE618" s="1398"/>
      <c r="AF618" s="1398"/>
      <c r="AG618" s="1398"/>
      <c r="AH618" s="1398"/>
      <c r="AI618" s="1398"/>
      <c r="AJ618" s="1398"/>
    </row>
    <row r="619" spans="1:36" ht="15" customHeight="1" x14ac:dyDescent="0.3">
      <c r="A619" s="2176" t="s">
        <v>2575</v>
      </c>
      <c r="B619" s="2186"/>
      <c r="C619" s="2174" t="s">
        <v>2566</v>
      </c>
      <c r="D619" s="2173" t="str">
        <f>IF(ISBLANK($R$7),"",IF($R$7="No","Please leave Panel B"&amp;COLUMN($R$7)-2&amp;" empty","Please fill in Panel B"&amp;COLUMN($R$7)-2))</f>
        <v/>
      </c>
      <c r="E619" s="1398"/>
      <c r="F619" s="1398"/>
      <c r="G619" s="1398"/>
      <c r="H619" s="1398"/>
      <c r="I619" s="1398"/>
      <c r="J619" s="1398"/>
      <c r="K619" s="1398"/>
      <c r="L619" s="1398"/>
      <c r="M619" s="1398"/>
      <c r="N619" s="1398"/>
      <c r="O619" s="1398"/>
      <c r="P619" s="1398"/>
      <c r="Q619" s="1398"/>
      <c r="R619" s="1398"/>
      <c r="S619" s="1398"/>
      <c r="T619" s="1398"/>
      <c r="U619" s="1398"/>
      <c r="V619" s="1398"/>
      <c r="W619" s="1398"/>
      <c r="X619" s="1398"/>
      <c r="Y619" s="1398"/>
      <c r="Z619" s="1398"/>
      <c r="AA619" s="1398"/>
      <c r="AB619" s="1398"/>
      <c r="AC619" s="1398"/>
      <c r="AD619" s="1398"/>
      <c r="AE619" s="1398"/>
      <c r="AF619" s="1398"/>
      <c r="AG619" s="1398"/>
      <c r="AH619" s="1398"/>
      <c r="AI619" s="1398"/>
      <c r="AJ619" s="1398"/>
    </row>
    <row r="620" spans="1:36" ht="15" customHeight="1" x14ac:dyDescent="0.35">
      <c r="A620" s="1398"/>
      <c r="C620" s="2980" t="s">
        <v>207</v>
      </c>
      <c r="D620" s="2980"/>
      <c r="E620" s="2980"/>
      <c r="F620" s="2980"/>
      <c r="G620" s="2980"/>
      <c r="H620" s="2980"/>
      <c r="I620" s="2980"/>
      <c r="J620" s="2980"/>
      <c r="K620" s="2980"/>
      <c r="L620" s="2981"/>
      <c r="M620" s="2982" t="s">
        <v>2559</v>
      </c>
      <c r="N620" s="2984" t="s">
        <v>2565</v>
      </c>
      <c r="O620" s="2985"/>
      <c r="P620" s="2985"/>
      <c r="Q620" s="2985"/>
      <c r="R620" s="1398"/>
      <c r="S620" s="1398"/>
      <c r="T620" s="1398"/>
      <c r="U620" s="1398"/>
      <c r="V620" s="1398"/>
      <c r="W620" s="1398"/>
      <c r="X620" s="1398"/>
      <c r="Y620" s="1398"/>
      <c r="Z620" s="1398"/>
      <c r="AA620" s="1398"/>
      <c r="AB620" s="1398"/>
      <c r="AC620" s="1398"/>
      <c r="AD620" s="1398"/>
      <c r="AE620" s="1398"/>
      <c r="AF620" s="1398"/>
      <c r="AG620" s="1398"/>
      <c r="AH620" s="1398"/>
      <c r="AI620" s="1398"/>
      <c r="AJ620" s="1398"/>
    </row>
    <row r="621" spans="1:36" ht="15" customHeight="1" x14ac:dyDescent="0.35">
      <c r="A621" s="1398"/>
      <c r="B621" s="2172"/>
      <c r="C621" s="2967" t="s">
        <v>2564</v>
      </c>
      <c r="D621" s="2973" t="s">
        <v>465</v>
      </c>
      <c r="E621" s="2974"/>
      <c r="F621" s="2974"/>
      <c r="G621" s="2974"/>
      <c r="H621" s="2975"/>
      <c r="I621" s="2969" t="s">
        <v>2563</v>
      </c>
      <c r="J621" s="2969" t="s">
        <v>2562</v>
      </c>
      <c r="K621" s="2969" t="s">
        <v>2561</v>
      </c>
      <c r="L621" s="2969" t="s">
        <v>2560</v>
      </c>
      <c r="M621" s="2983"/>
      <c r="N621" s="2978" t="s">
        <v>207</v>
      </c>
      <c r="O621" s="2978" t="s">
        <v>2559</v>
      </c>
      <c r="P621" s="2969" t="s">
        <v>59</v>
      </c>
      <c r="Q621" s="2971" t="s">
        <v>2558</v>
      </c>
      <c r="R621" s="1398"/>
      <c r="S621" s="1398"/>
      <c r="T621" s="1398"/>
      <c r="U621" s="1398"/>
      <c r="V621" s="1398"/>
      <c r="W621" s="1398"/>
      <c r="X621" s="1398"/>
      <c r="Y621" s="1398"/>
      <c r="Z621" s="1398"/>
      <c r="AA621" s="1398"/>
      <c r="AB621" s="1398"/>
      <c r="AC621" s="1398"/>
      <c r="AD621" s="1398"/>
      <c r="AE621" s="1398"/>
      <c r="AF621" s="1398"/>
      <c r="AG621" s="1398"/>
      <c r="AH621" s="1398"/>
      <c r="AI621" s="1398"/>
      <c r="AJ621" s="1398"/>
    </row>
    <row r="622" spans="1:36" ht="30" customHeight="1" x14ac:dyDescent="0.35">
      <c r="A622" s="1398"/>
      <c r="B622" s="2171"/>
      <c r="C622" s="2968"/>
      <c r="D622" s="2170" t="s">
        <v>2557</v>
      </c>
      <c r="E622" s="2170" t="s">
        <v>2556</v>
      </c>
      <c r="F622" s="2170" t="s">
        <v>2555</v>
      </c>
      <c r="G622" s="2170" t="s">
        <v>2554</v>
      </c>
      <c r="H622" s="2170" t="s">
        <v>59</v>
      </c>
      <c r="I622" s="2970"/>
      <c r="J622" s="2970"/>
      <c r="K622" s="2970"/>
      <c r="L622" s="2970"/>
      <c r="M622" s="2970"/>
      <c r="N622" s="2979"/>
      <c r="O622" s="2979"/>
      <c r="P622" s="2970"/>
      <c r="Q622" s="2972"/>
      <c r="R622" s="1398"/>
      <c r="S622" s="1398"/>
      <c r="T622" s="1398"/>
      <c r="U622" s="1398"/>
      <c r="V622" s="1398"/>
      <c r="W622" s="1398"/>
      <c r="X622" s="1398"/>
      <c r="Y622" s="1398"/>
      <c r="Z622" s="1398"/>
      <c r="AA622" s="1398"/>
      <c r="AB622" s="1398"/>
      <c r="AC622" s="1398"/>
      <c r="AD622" s="1398"/>
      <c r="AE622" s="1398"/>
      <c r="AF622" s="1398"/>
      <c r="AG622" s="1398"/>
      <c r="AH622" s="1398"/>
      <c r="AI622" s="1398"/>
      <c r="AJ622" s="1398"/>
    </row>
    <row r="623" spans="1:36" ht="15" customHeight="1" x14ac:dyDescent="0.35">
      <c r="A623" s="1398"/>
      <c r="B623" s="2169" t="s">
        <v>2553</v>
      </c>
      <c r="C623" s="2168" t="str">
        <f t="shared" ref="C623:I623" si="91">IF(AND(ISNUMBER(C636),ISNUMBER(C632),ISNUMBER(C634),ISNUMBER(C624),ISNUMBER(C628),ISNUMBER(C626),ISNUMBER(C630),ISNUMBER(C638)),SUM(C624,C626,C628,C630,C632,C634,C636,C638),"")</f>
        <v/>
      </c>
      <c r="D623" s="2168" t="str">
        <f t="shared" si="91"/>
        <v/>
      </c>
      <c r="E623" s="2168" t="str">
        <f t="shared" si="91"/>
        <v/>
      </c>
      <c r="F623" s="2168" t="str">
        <f t="shared" si="91"/>
        <v/>
      </c>
      <c r="G623" s="2168" t="str">
        <f t="shared" si="91"/>
        <v/>
      </c>
      <c r="H623" s="2168" t="str">
        <f t="shared" si="91"/>
        <v/>
      </c>
      <c r="I623" s="2168" t="str">
        <f t="shared" si="91"/>
        <v/>
      </c>
      <c r="J623" s="2157"/>
      <c r="K623" s="2168" t="str">
        <f>IF(AND(ISNUMBER(K636),ISNUMBER(K632),ISNUMBER(K634),ISNUMBER(K624),ISNUMBER(K628),ISNUMBER(K626),ISNUMBER(K630),ISNUMBER(K638)),SUM(K624,K626,K628,K630,K632,K634,K636,K638),"")</f>
        <v/>
      </c>
      <c r="L623" s="2157"/>
      <c r="M623" s="2168" t="str">
        <f>IF(AND(ISNUMBER(M636),ISNUMBER(M632),ISNUMBER(M634),ISNUMBER(M624),ISNUMBER(M628),ISNUMBER(M626),ISNUMBER(M630),ISNUMBER(M638)),SUM(M624,M626,M628,M630,M632,M634,M636,M638),"")</f>
        <v/>
      </c>
      <c r="N623" s="2167"/>
      <c r="O623" s="2167"/>
      <c r="P623" s="2167"/>
      <c r="Q623" s="2167"/>
      <c r="R623" s="1398"/>
      <c r="S623" s="1398"/>
      <c r="T623" s="1398"/>
      <c r="U623" s="1398"/>
      <c r="V623" s="1398"/>
      <c r="W623" s="1398"/>
      <c r="X623" s="1398"/>
      <c r="Y623" s="1398"/>
      <c r="Z623" s="1398"/>
      <c r="AA623" s="1398"/>
      <c r="AB623" s="1398"/>
      <c r="AC623" s="1398"/>
      <c r="AD623" s="1398"/>
      <c r="AE623" s="1398"/>
      <c r="AF623" s="1398"/>
      <c r="AG623" s="1398"/>
      <c r="AH623" s="1398"/>
      <c r="AI623" s="1398"/>
      <c r="AJ623" s="1398"/>
    </row>
    <row r="624" spans="1:36" ht="15" customHeight="1" x14ac:dyDescent="0.3">
      <c r="A624" s="1398"/>
      <c r="B624" s="2163" t="s">
        <v>2552</v>
      </c>
      <c r="C624" s="2151"/>
      <c r="D624" s="2151"/>
      <c r="E624" s="2151"/>
      <c r="F624" s="2151"/>
      <c r="G624" s="2151"/>
      <c r="H624" s="2151"/>
      <c r="I624" s="2151"/>
      <c r="J624" s="2157"/>
      <c r="K624" s="23"/>
      <c r="L624" s="2157"/>
      <c r="M624" s="2151"/>
      <c r="N624" s="2157"/>
      <c r="O624" s="2157"/>
      <c r="P624" s="2157"/>
      <c r="Q624" s="2157"/>
      <c r="R624" s="1398"/>
      <c r="S624" s="1398"/>
      <c r="T624" s="1398"/>
      <c r="U624" s="1398"/>
      <c r="V624" s="1398"/>
      <c r="W624" s="1398"/>
      <c r="X624" s="1398"/>
      <c r="Y624" s="1398"/>
      <c r="Z624" s="1398"/>
      <c r="AA624" s="1398"/>
      <c r="AB624" s="1398"/>
      <c r="AC624" s="1398"/>
      <c r="AD624" s="1398"/>
      <c r="AE624" s="1398"/>
      <c r="AF624" s="1398"/>
      <c r="AG624" s="1398"/>
      <c r="AH624" s="1398"/>
      <c r="AI624" s="1398"/>
      <c r="AJ624" s="1398"/>
    </row>
    <row r="625" spans="1:36" ht="15" customHeight="1" x14ac:dyDescent="0.3">
      <c r="A625" s="1398"/>
      <c r="B625" s="2162" t="s">
        <v>2543</v>
      </c>
      <c r="C625" s="2151"/>
      <c r="D625" s="2151"/>
      <c r="E625" s="2151"/>
      <c r="F625" s="2151"/>
      <c r="G625" s="2151"/>
      <c r="H625" s="2151"/>
      <c r="I625" s="2151"/>
      <c r="J625" s="2157"/>
      <c r="K625" s="23"/>
      <c r="L625" s="2157"/>
      <c r="M625" s="2151"/>
      <c r="N625" s="2157"/>
      <c r="O625" s="2157"/>
      <c r="P625" s="2157"/>
      <c r="Q625" s="2157"/>
      <c r="R625" s="1398"/>
      <c r="S625" s="1398"/>
      <c r="T625" s="1398"/>
      <c r="U625" s="1398"/>
      <c r="V625" s="1398"/>
      <c r="W625" s="1398"/>
      <c r="X625" s="1398"/>
      <c r="Y625" s="1398"/>
      <c r="Z625" s="1398"/>
      <c r="AA625" s="1398"/>
      <c r="AB625" s="1398"/>
      <c r="AC625" s="1398"/>
      <c r="AD625" s="1398"/>
      <c r="AE625" s="1398"/>
      <c r="AF625" s="1398"/>
      <c r="AG625" s="1398"/>
      <c r="AH625" s="1398"/>
      <c r="AI625" s="1398"/>
      <c r="AJ625" s="1398"/>
    </row>
    <row r="626" spans="1:36" ht="15" customHeight="1" x14ac:dyDescent="0.3">
      <c r="A626" s="1398"/>
      <c r="B626" s="2155" t="s">
        <v>2551</v>
      </c>
      <c r="C626" s="2151"/>
      <c r="D626" s="2151"/>
      <c r="E626" s="2151"/>
      <c r="F626" s="2151"/>
      <c r="G626" s="2151"/>
      <c r="H626" s="2151"/>
      <c r="I626" s="2151"/>
      <c r="J626" s="2157"/>
      <c r="K626" s="23"/>
      <c r="L626" s="2157"/>
      <c r="M626" s="2151"/>
      <c r="N626" s="2157"/>
      <c r="O626" s="2157"/>
      <c r="P626" s="2157"/>
      <c r="Q626" s="2157"/>
      <c r="R626" s="1398"/>
      <c r="S626" s="1398"/>
      <c r="T626" s="1398"/>
      <c r="U626" s="1398"/>
      <c r="V626" s="1398"/>
      <c r="W626" s="1398"/>
      <c r="X626" s="1398"/>
      <c r="Y626" s="1398"/>
      <c r="Z626" s="1398"/>
      <c r="AA626" s="1398"/>
      <c r="AB626" s="1398"/>
      <c r="AC626" s="1398"/>
      <c r="AD626" s="1398"/>
      <c r="AE626" s="1398"/>
      <c r="AF626" s="1398"/>
      <c r="AG626" s="1398"/>
      <c r="AH626" s="1398"/>
      <c r="AI626" s="1398"/>
      <c r="AJ626" s="1398"/>
    </row>
    <row r="627" spans="1:36" ht="15" customHeight="1" x14ac:dyDescent="0.3">
      <c r="A627" s="1398"/>
      <c r="B627" s="2165" t="s">
        <v>2543</v>
      </c>
      <c r="C627" s="2151"/>
      <c r="D627" s="2151"/>
      <c r="E627" s="2151"/>
      <c r="F627" s="2151"/>
      <c r="G627" s="2151"/>
      <c r="H627" s="2151"/>
      <c r="I627" s="2151"/>
      <c r="J627" s="2157"/>
      <c r="K627" s="23"/>
      <c r="L627" s="2157"/>
      <c r="M627" s="2151"/>
      <c r="N627" s="2157"/>
      <c r="O627" s="2157"/>
      <c r="P627" s="2157"/>
      <c r="Q627" s="2157"/>
      <c r="R627" s="1398"/>
      <c r="S627" s="1398"/>
      <c r="T627" s="1398"/>
      <c r="U627" s="1398"/>
      <c r="V627" s="1398"/>
      <c r="W627" s="1398"/>
      <c r="X627" s="1398"/>
      <c r="Y627" s="1398"/>
      <c r="Z627" s="1398"/>
      <c r="AA627" s="1398"/>
      <c r="AB627" s="1398"/>
      <c r="AC627" s="1398"/>
      <c r="AD627" s="1398"/>
      <c r="AE627" s="1398"/>
      <c r="AF627" s="1398"/>
      <c r="AG627" s="1398"/>
      <c r="AH627" s="1398"/>
      <c r="AI627" s="1398"/>
      <c r="AJ627" s="1398"/>
    </row>
    <row r="628" spans="1:36" ht="15" customHeight="1" x14ac:dyDescent="0.3">
      <c r="A628" s="1398"/>
      <c r="B628" s="2163" t="s">
        <v>2550</v>
      </c>
      <c r="C628" s="2151"/>
      <c r="D628" s="2151"/>
      <c r="E628" s="2151"/>
      <c r="F628" s="2151"/>
      <c r="G628" s="2151"/>
      <c r="H628" s="2151"/>
      <c r="I628" s="2151"/>
      <c r="J628" s="2157"/>
      <c r="K628" s="23"/>
      <c r="L628" s="2157"/>
      <c r="M628" s="2151"/>
      <c r="N628" s="2157"/>
      <c r="O628" s="2157"/>
      <c r="P628" s="2157"/>
      <c r="Q628" s="2157"/>
      <c r="R628" s="1398"/>
      <c r="S628" s="1398"/>
      <c r="T628" s="1398"/>
      <c r="U628" s="1398"/>
      <c r="V628" s="1398"/>
      <c r="W628" s="1398"/>
      <c r="X628" s="1398"/>
      <c r="Y628" s="1398"/>
      <c r="Z628" s="1398"/>
      <c r="AA628" s="1398"/>
      <c r="AB628" s="1398"/>
      <c r="AC628" s="1398"/>
      <c r="AD628" s="1398"/>
      <c r="AE628" s="1398"/>
      <c r="AF628" s="1398"/>
      <c r="AG628" s="1398"/>
      <c r="AH628" s="1398"/>
      <c r="AI628" s="1398"/>
      <c r="AJ628" s="1398"/>
    </row>
    <row r="629" spans="1:36" ht="15" customHeight="1" x14ac:dyDescent="0.3">
      <c r="A629" s="1398"/>
      <c r="B629" s="2162" t="s">
        <v>2543</v>
      </c>
      <c r="C629" s="2151"/>
      <c r="D629" s="2151"/>
      <c r="E629" s="2151"/>
      <c r="F629" s="2151"/>
      <c r="G629" s="2151"/>
      <c r="H629" s="2151"/>
      <c r="I629" s="2151"/>
      <c r="J629" s="2157"/>
      <c r="K629" s="23"/>
      <c r="L629" s="2157"/>
      <c r="M629" s="2151"/>
      <c r="N629" s="2157"/>
      <c r="O629" s="2157"/>
      <c r="P629" s="2157"/>
      <c r="Q629" s="2157"/>
      <c r="R629" s="1398"/>
      <c r="S629" s="1398"/>
      <c r="T629" s="1398"/>
      <c r="U629" s="1398"/>
      <c r="V629" s="1398"/>
      <c r="W629" s="1398"/>
      <c r="X629" s="1398"/>
      <c r="Y629" s="1398"/>
      <c r="Z629" s="1398"/>
      <c r="AA629" s="1398"/>
      <c r="AB629" s="1398"/>
      <c r="AC629" s="1398"/>
      <c r="AD629" s="1398"/>
      <c r="AE629" s="1398"/>
      <c r="AF629" s="1398"/>
      <c r="AG629" s="1398"/>
      <c r="AH629" s="1398"/>
      <c r="AI629" s="1398"/>
      <c r="AJ629" s="1398"/>
    </row>
    <row r="630" spans="1:36" ht="15" customHeight="1" x14ac:dyDescent="0.3">
      <c r="A630" s="1398"/>
      <c r="B630" s="2155" t="s">
        <v>2549</v>
      </c>
      <c r="C630" s="2151"/>
      <c r="D630" s="2151"/>
      <c r="E630" s="2151"/>
      <c r="F630" s="2151"/>
      <c r="G630" s="2151"/>
      <c r="H630" s="2151"/>
      <c r="I630" s="2151"/>
      <c r="J630" s="2157"/>
      <c r="K630" s="23"/>
      <c r="L630" s="2157"/>
      <c r="M630" s="2151"/>
      <c r="N630" s="2157"/>
      <c r="O630" s="2157"/>
      <c r="P630" s="2157"/>
      <c r="Q630" s="2157"/>
      <c r="R630" s="1398"/>
      <c r="S630" s="1398"/>
      <c r="T630" s="1398"/>
      <c r="U630" s="1398"/>
      <c r="V630" s="1398"/>
      <c r="W630" s="1398"/>
      <c r="X630" s="1398"/>
      <c r="Y630" s="1398"/>
      <c r="Z630" s="1398"/>
      <c r="AA630" s="1398"/>
      <c r="AB630" s="1398"/>
      <c r="AC630" s="1398"/>
      <c r="AD630" s="1398"/>
      <c r="AE630" s="1398"/>
      <c r="AF630" s="1398"/>
      <c r="AG630" s="1398"/>
      <c r="AH630" s="1398"/>
      <c r="AI630" s="1398"/>
      <c r="AJ630" s="1398"/>
    </row>
    <row r="631" spans="1:36" ht="15" customHeight="1" x14ac:dyDescent="0.3">
      <c r="A631" s="1398"/>
      <c r="B631" s="2165" t="s">
        <v>2543</v>
      </c>
      <c r="C631" s="2151"/>
      <c r="D631" s="2151"/>
      <c r="E631" s="2151"/>
      <c r="F631" s="2151"/>
      <c r="G631" s="2151"/>
      <c r="H631" s="2151"/>
      <c r="I631" s="2151"/>
      <c r="J631" s="2157"/>
      <c r="K631" s="23"/>
      <c r="L631" s="2157"/>
      <c r="M631" s="2151"/>
      <c r="N631" s="2157"/>
      <c r="O631" s="2157"/>
      <c r="P631" s="2157"/>
      <c r="Q631" s="2157"/>
      <c r="R631" s="1398"/>
      <c r="S631" s="1398"/>
      <c r="T631" s="1398"/>
      <c r="U631" s="1398"/>
      <c r="V631" s="1398"/>
      <c r="W631" s="1398"/>
      <c r="X631" s="1398"/>
      <c r="Y631" s="1398"/>
      <c r="Z631" s="1398"/>
      <c r="AA631" s="1398"/>
      <c r="AB631" s="1398"/>
      <c r="AC631" s="1398"/>
      <c r="AD631" s="1398"/>
      <c r="AE631" s="1398"/>
      <c r="AF631" s="1398"/>
      <c r="AG631" s="1398"/>
      <c r="AH631" s="1398"/>
      <c r="AI631" s="1398"/>
      <c r="AJ631" s="1398"/>
    </row>
    <row r="632" spans="1:36" ht="15" customHeight="1" x14ac:dyDescent="0.3">
      <c r="A632" s="1398"/>
      <c r="B632" s="2163" t="s">
        <v>2548</v>
      </c>
      <c r="C632" s="2151"/>
      <c r="D632" s="2151"/>
      <c r="E632" s="2151"/>
      <c r="F632" s="2151"/>
      <c r="G632" s="2151"/>
      <c r="H632" s="2151"/>
      <c r="I632" s="2151"/>
      <c r="J632" s="2157"/>
      <c r="K632" s="23"/>
      <c r="L632" s="2157"/>
      <c r="M632" s="2151"/>
      <c r="N632" s="2157"/>
      <c r="O632" s="2157"/>
      <c r="P632" s="2157"/>
      <c r="Q632" s="2157"/>
      <c r="R632" s="1398"/>
      <c r="S632" s="1398"/>
      <c r="T632" s="1398"/>
      <c r="U632" s="1398"/>
      <c r="V632" s="1398"/>
      <c r="W632" s="1398"/>
      <c r="X632" s="1398"/>
      <c r="Y632" s="1398"/>
      <c r="Z632" s="1398"/>
      <c r="AA632" s="1398"/>
      <c r="AB632" s="1398"/>
      <c r="AC632" s="1398"/>
      <c r="AD632" s="1398"/>
      <c r="AE632" s="1398"/>
      <c r="AF632" s="1398"/>
      <c r="AG632" s="1398"/>
      <c r="AH632" s="1398"/>
      <c r="AI632" s="1398"/>
      <c r="AJ632" s="1398"/>
    </row>
    <row r="633" spans="1:36" ht="15" customHeight="1" x14ac:dyDescent="0.3">
      <c r="A633" s="1398"/>
      <c r="B633" s="2162" t="s">
        <v>2543</v>
      </c>
      <c r="C633" s="2151"/>
      <c r="D633" s="2151"/>
      <c r="E633" s="2151"/>
      <c r="F633" s="2151"/>
      <c r="G633" s="2151"/>
      <c r="H633" s="2151"/>
      <c r="I633" s="2151"/>
      <c r="J633" s="2157"/>
      <c r="K633" s="23"/>
      <c r="L633" s="2157"/>
      <c r="M633" s="2151"/>
      <c r="N633" s="2157"/>
      <c r="O633" s="2157"/>
      <c r="P633" s="2157"/>
      <c r="Q633" s="2157"/>
      <c r="R633" s="1398"/>
      <c r="S633" s="1398"/>
      <c r="T633" s="1398"/>
      <c r="U633" s="1398"/>
      <c r="V633" s="1398"/>
      <c r="W633" s="1398"/>
      <c r="X633" s="1398"/>
      <c r="Y633" s="1398"/>
      <c r="Z633" s="1398"/>
      <c r="AA633" s="1398"/>
      <c r="AB633" s="1398"/>
      <c r="AC633" s="1398"/>
      <c r="AD633" s="1398"/>
      <c r="AE633" s="1398"/>
      <c r="AF633" s="1398"/>
      <c r="AG633" s="1398"/>
      <c r="AH633" s="1398"/>
      <c r="AI633" s="1398"/>
      <c r="AJ633" s="1398"/>
    </row>
    <row r="634" spans="1:36" ht="15" customHeight="1" x14ac:dyDescent="0.3">
      <c r="A634" s="1398"/>
      <c r="B634" s="2155" t="s">
        <v>2547</v>
      </c>
      <c r="C634" s="2151"/>
      <c r="D634" s="2151"/>
      <c r="E634" s="2151"/>
      <c r="F634" s="2151"/>
      <c r="G634" s="2151"/>
      <c r="H634" s="2151"/>
      <c r="I634" s="2151"/>
      <c r="J634" s="2157"/>
      <c r="K634" s="23"/>
      <c r="L634" s="2157"/>
      <c r="M634" s="2151"/>
      <c r="N634" s="2157"/>
      <c r="O634" s="2157"/>
      <c r="P634" s="2157"/>
      <c r="Q634" s="2157"/>
      <c r="R634" s="1398"/>
      <c r="S634" s="1398"/>
      <c r="T634" s="1398"/>
      <c r="U634" s="1398"/>
      <c r="V634" s="1398"/>
      <c r="W634" s="1398"/>
      <c r="X634" s="1398"/>
      <c r="Y634" s="1398"/>
      <c r="Z634" s="1398"/>
      <c r="AA634" s="1398"/>
      <c r="AB634" s="1398"/>
      <c r="AC634" s="1398"/>
      <c r="AD634" s="1398"/>
      <c r="AE634" s="1398"/>
      <c r="AF634" s="1398"/>
      <c r="AG634" s="1398"/>
      <c r="AH634" s="1398"/>
      <c r="AI634" s="1398"/>
      <c r="AJ634" s="1398"/>
    </row>
    <row r="635" spans="1:36" ht="15" customHeight="1" x14ac:dyDescent="0.3">
      <c r="A635" s="1398"/>
      <c r="B635" s="2165" t="s">
        <v>2543</v>
      </c>
      <c r="C635" s="2151"/>
      <c r="D635" s="2151"/>
      <c r="E635" s="2151"/>
      <c r="F635" s="2151"/>
      <c r="G635" s="2151"/>
      <c r="H635" s="2151"/>
      <c r="I635" s="2151"/>
      <c r="J635" s="2157"/>
      <c r="K635" s="23"/>
      <c r="L635" s="2157"/>
      <c r="M635" s="2151"/>
      <c r="N635" s="2157"/>
      <c r="O635" s="2157"/>
      <c r="P635" s="2157"/>
      <c r="Q635" s="2157"/>
      <c r="R635" s="1398"/>
      <c r="S635" s="1398"/>
      <c r="T635" s="1398"/>
      <c r="U635" s="1398"/>
      <c r="V635" s="1398"/>
      <c r="W635" s="1398"/>
      <c r="X635" s="1398"/>
      <c r="Y635" s="1398"/>
      <c r="Z635" s="1398"/>
      <c r="AA635" s="1398"/>
      <c r="AB635" s="1398"/>
      <c r="AC635" s="1398"/>
      <c r="AD635" s="1398"/>
      <c r="AE635" s="1398"/>
      <c r="AF635" s="1398"/>
      <c r="AG635" s="1398"/>
      <c r="AH635" s="1398"/>
      <c r="AI635" s="1398"/>
      <c r="AJ635" s="1398"/>
    </row>
    <row r="636" spans="1:36" ht="15" customHeight="1" x14ac:dyDescent="0.3">
      <c r="A636" s="1398"/>
      <c r="B636" s="2166" t="s">
        <v>2546</v>
      </c>
      <c r="C636" s="2151"/>
      <c r="D636" s="2151"/>
      <c r="E636" s="2151"/>
      <c r="F636" s="2151"/>
      <c r="G636" s="2151"/>
      <c r="H636" s="2151"/>
      <c r="I636" s="2151"/>
      <c r="J636" s="2157"/>
      <c r="K636" s="23"/>
      <c r="L636" s="2157"/>
      <c r="M636" s="2151"/>
      <c r="N636" s="2157"/>
      <c r="O636" s="2157"/>
      <c r="P636" s="2157"/>
      <c r="Q636" s="2157"/>
      <c r="R636" s="1398"/>
      <c r="S636" s="1398"/>
      <c r="T636" s="1398"/>
      <c r="U636" s="1398"/>
      <c r="V636" s="1398"/>
      <c r="W636" s="1398"/>
      <c r="X636" s="1398"/>
      <c r="Y636" s="1398"/>
      <c r="Z636" s="1398"/>
      <c r="AA636" s="1398"/>
      <c r="AB636" s="1398"/>
      <c r="AC636" s="1398"/>
      <c r="AD636" s="1398"/>
      <c r="AE636" s="1398"/>
      <c r="AF636" s="1398"/>
      <c r="AG636" s="1398"/>
      <c r="AH636" s="1398"/>
      <c r="AI636" s="1398"/>
      <c r="AJ636" s="1398"/>
    </row>
    <row r="637" spans="1:36" ht="15" customHeight="1" x14ac:dyDescent="0.3">
      <c r="A637" s="1398"/>
      <c r="B637" s="2162" t="s">
        <v>2543</v>
      </c>
      <c r="C637" s="2151"/>
      <c r="D637" s="2151"/>
      <c r="E637" s="2151"/>
      <c r="F637" s="2151"/>
      <c r="G637" s="2151"/>
      <c r="H637" s="2151"/>
      <c r="I637" s="2151"/>
      <c r="J637" s="2157"/>
      <c r="K637" s="23"/>
      <c r="L637" s="2157"/>
      <c r="M637" s="2151"/>
      <c r="N637" s="2157"/>
      <c r="O637" s="2157"/>
      <c r="P637" s="2157"/>
      <c r="Q637" s="2157"/>
      <c r="R637" s="1398"/>
      <c r="S637" s="1398"/>
      <c r="T637" s="1398"/>
      <c r="U637" s="1398"/>
      <c r="V637" s="1398"/>
      <c r="W637" s="1398"/>
      <c r="X637" s="1398"/>
      <c r="Y637" s="1398"/>
      <c r="Z637" s="1398"/>
      <c r="AA637" s="1398"/>
      <c r="AB637" s="1398"/>
      <c r="AC637" s="1398"/>
      <c r="AD637" s="1398"/>
      <c r="AE637" s="1398"/>
      <c r="AF637" s="1398"/>
      <c r="AG637" s="1398"/>
      <c r="AH637" s="1398"/>
      <c r="AI637" s="1398"/>
      <c r="AJ637" s="1398"/>
    </row>
    <row r="638" spans="1:36" ht="15" customHeight="1" x14ac:dyDescent="0.3">
      <c r="A638" s="1398"/>
      <c r="B638" s="2155" t="s">
        <v>1760</v>
      </c>
      <c r="C638" s="2151"/>
      <c r="D638" s="2151"/>
      <c r="E638" s="2151"/>
      <c r="F638" s="2151"/>
      <c r="G638" s="2151"/>
      <c r="H638" s="2151"/>
      <c r="I638" s="2151"/>
      <c r="J638" s="2157"/>
      <c r="K638" s="23"/>
      <c r="L638" s="2157"/>
      <c r="M638" s="2151"/>
      <c r="N638" s="2157"/>
      <c r="O638" s="2157"/>
      <c r="P638" s="2157"/>
      <c r="Q638" s="2157"/>
      <c r="R638" s="1398"/>
      <c r="S638" s="1398"/>
      <c r="T638" s="1398"/>
      <c r="U638" s="1398"/>
      <c r="V638" s="1398"/>
      <c r="W638" s="1398"/>
      <c r="X638" s="1398"/>
      <c r="Y638" s="1398"/>
      <c r="Z638" s="1398"/>
      <c r="AA638" s="1398"/>
      <c r="AB638" s="1398"/>
      <c r="AC638" s="1398"/>
      <c r="AD638" s="1398"/>
      <c r="AE638" s="1398"/>
      <c r="AF638" s="1398"/>
      <c r="AG638" s="1398"/>
      <c r="AH638" s="1398"/>
      <c r="AI638" s="1398"/>
      <c r="AJ638" s="1398"/>
    </row>
    <row r="639" spans="1:36" ht="15" customHeight="1" x14ac:dyDescent="0.3">
      <c r="A639" s="1398"/>
      <c r="B639" s="2165" t="s">
        <v>2543</v>
      </c>
      <c r="C639" s="2151"/>
      <c r="D639" s="2151"/>
      <c r="E639" s="2151"/>
      <c r="F639" s="2151"/>
      <c r="G639" s="2151"/>
      <c r="H639" s="2151"/>
      <c r="I639" s="2151"/>
      <c r="J639" s="2157"/>
      <c r="K639" s="23"/>
      <c r="L639" s="2157"/>
      <c r="M639" s="2151"/>
      <c r="N639" s="2157"/>
      <c r="O639" s="2157"/>
      <c r="P639" s="2157"/>
      <c r="Q639" s="2157"/>
      <c r="R639" s="1398"/>
      <c r="S639" s="1398"/>
      <c r="T639" s="1398"/>
      <c r="U639" s="1398"/>
      <c r="V639" s="1398"/>
      <c r="W639" s="1398"/>
      <c r="X639" s="1398"/>
      <c r="Y639" s="1398"/>
      <c r="Z639" s="1398"/>
      <c r="AA639" s="1398"/>
      <c r="AB639" s="1398"/>
      <c r="AC639" s="1398"/>
      <c r="AD639" s="1398"/>
      <c r="AE639" s="1398"/>
      <c r="AF639" s="1398"/>
      <c r="AG639" s="1398"/>
      <c r="AH639" s="1398"/>
      <c r="AI639" s="1398"/>
      <c r="AJ639" s="1398"/>
    </row>
    <row r="640" spans="1:36" ht="15" customHeight="1" x14ac:dyDescent="0.35">
      <c r="A640" s="1398"/>
      <c r="B640" s="2181" t="s">
        <v>2545</v>
      </c>
      <c r="C640" s="2159" t="str">
        <f t="shared" ref="C640:I640" si="92">IF(AND(ISNUMBER(C641),ISNUMBER(C643)),C641+C643,"")</f>
        <v/>
      </c>
      <c r="D640" s="2159" t="str">
        <f t="shared" si="92"/>
        <v/>
      </c>
      <c r="E640" s="2159" t="str">
        <f t="shared" si="92"/>
        <v/>
      </c>
      <c r="F640" s="2159" t="str">
        <f t="shared" si="92"/>
        <v/>
      </c>
      <c r="G640" s="2159" t="str">
        <f t="shared" si="92"/>
        <v/>
      </c>
      <c r="H640" s="2159" t="str">
        <f t="shared" si="92"/>
        <v/>
      </c>
      <c r="I640" s="2159" t="str">
        <f t="shared" si="92"/>
        <v/>
      </c>
      <c r="J640" s="2157"/>
      <c r="K640" s="2159" t="str">
        <f>IF(AND(ISNUMBER(K641),ISNUMBER(K643)),K641+K643,"")</f>
        <v/>
      </c>
      <c r="L640" s="2157"/>
      <c r="M640" s="2159" t="str">
        <f>IF(AND(ISNUMBER(M641),ISNUMBER(M643)),M641+M643,"")</f>
        <v/>
      </c>
      <c r="N640" s="2157"/>
      <c r="O640" s="2157"/>
      <c r="P640" s="2157"/>
      <c r="Q640" s="2157"/>
      <c r="R640" s="1398"/>
      <c r="S640" s="1398"/>
      <c r="T640" s="1398"/>
      <c r="U640" s="1398"/>
      <c r="V640" s="1398"/>
      <c r="W640" s="1398"/>
      <c r="X640" s="1398"/>
      <c r="Y640" s="1398"/>
      <c r="Z640" s="1398"/>
      <c r="AA640" s="1398"/>
      <c r="AB640" s="1398"/>
      <c r="AC640" s="1398"/>
      <c r="AD640" s="1398"/>
      <c r="AE640" s="1398"/>
      <c r="AF640" s="1398"/>
      <c r="AG640" s="1398"/>
      <c r="AH640" s="1398"/>
      <c r="AI640" s="1398"/>
      <c r="AJ640" s="1398"/>
    </row>
    <row r="641" spans="1:36" ht="15" customHeight="1" x14ac:dyDescent="0.3">
      <c r="A641" s="1398"/>
      <c r="B641" s="2155" t="s">
        <v>2544</v>
      </c>
      <c r="C641" s="2151"/>
      <c r="D641" s="2151"/>
      <c r="E641" s="2151"/>
      <c r="F641" s="2151"/>
      <c r="G641" s="2151"/>
      <c r="H641" s="2151"/>
      <c r="I641" s="2151"/>
      <c r="J641" s="2157"/>
      <c r="K641" s="2151"/>
      <c r="L641" s="2157"/>
      <c r="M641" s="2151"/>
      <c r="N641" s="2157"/>
      <c r="O641" s="2157"/>
      <c r="P641" s="2157"/>
      <c r="Q641" s="2157"/>
      <c r="R641" s="1398"/>
      <c r="S641" s="1398"/>
      <c r="T641" s="1398"/>
      <c r="U641" s="1398"/>
      <c r="V641" s="1398"/>
      <c r="W641" s="1398"/>
      <c r="X641" s="1398"/>
      <c r="Y641" s="1398"/>
      <c r="Z641" s="1398"/>
      <c r="AA641" s="1398"/>
      <c r="AB641" s="1398"/>
      <c r="AC641" s="1398"/>
      <c r="AD641" s="1398"/>
      <c r="AE641" s="1398"/>
      <c r="AF641" s="1398"/>
      <c r="AG641" s="1398"/>
      <c r="AH641" s="1398"/>
      <c r="AI641" s="1398"/>
      <c r="AJ641" s="1398"/>
    </row>
    <row r="642" spans="1:36" ht="15" customHeight="1" x14ac:dyDescent="0.3">
      <c r="A642" s="1398"/>
      <c r="B642" s="2165" t="s">
        <v>2543</v>
      </c>
      <c r="C642" s="2151"/>
      <c r="D642" s="2151"/>
      <c r="E642" s="2151"/>
      <c r="F642" s="2151"/>
      <c r="G642" s="2151"/>
      <c r="H642" s="2151"/>
      <c r="I642" s="2151"/>
      <c r="J642" s="2157"/>
      <c r="K642" s="2151"/>
      <c r="L642" s="2157"/>
      <c r="M642" s="2151"/>
      <c r="N642" s="2157"/>
      <c r="O642" s="2157"/>
      <c r="P642" s="2157"/>
      <c r="Q642" s="2157"/>
      <c r="R642" s="1398"/>
      <c r="S642" s="1398"/>
      <c r="T642" s="1398"/>
      <c r="U642" s="1398"/>
      <c r="V642" s="1398"/>
      <c r="W642" s="1398"/>
      <c r="X642" s="1398"/>
      <c r="Y642" s="1398"/>
      <c r="Z642" s="1398"/>
      <c r="AA642" s="1398"/>
      <c r="AB642" s="1398"/>
      <c r="AC642" s="1398"/>
      <c r="AD642" s="1398"/>
      <c r="AE642" s="1398"/>
      <c r="AF642" s="1398"/>
      <c r="AG642" s="1398"/>
      <c r="AH642" s="1398"/>
      <c r="AI642" s="1398"/>
      <c r="AJ642" s="1398"/>
    </row>
    <row r="643" spans="1:36" ht="15" customHeight="1" x14ac:dyDescent="0.3">
      <c r="A643" s="1398"/>
      <c r="B643" s="2162" t="s">
        <v>1760</v>
      </c>
      <c r="C643" s="2151"/>
      <c r="D643" s="2151"/>
      <c r="E643" s="2151"/>
      <c r="F643" s="2151"/>
      <c r="G643" s="2151"/>
      <c r="H643" s="2151"/>
      <c r="I643" s="2151"/>
      <c r="J643" s="2157"/>
      <c r="K643" s="2151"/>
      <c r="L643" s="2157"/>
      <c r="M643" s="2151"/>
      <c r="N643" s="2157"/>
      <c r="O643" s="2157"/>
      <c r="P643" s="2157"/>
      <c r="Q643" s="2157"/>
      <c r="R643" s="1398"/>
      <c r="S643" s="1398"/>
      <c r="T643" s="1398"/>
      <c r="U643" s="1398"/>
      <c r="V643" s="1398"/>
      <c r="W643" s="1398"/>
      <c r="X643" s="1398"/>
      <c r="Y643" s="1398"/>
      <c r="Z643" s="1398"/>
      <c r="AA643" s="1398"/>
      <c r="AB643" s="1398"/>
      <c r="AC643" s="1398"/>
      <c r="AD643" s="1398"/>
      <c r="AE643" s="1398"/>
      <c r="AF643" s="1398"/>
      <c r="AG643" s="1398"/>
      <c r="AH643" s="1398"/>
      <c r="AI643" s="1398"/>
      <c r="AJ643" s="1398"/>
    </row>
    <row r="644" spans="1:36" ht="15" customHeight="1" x14ac:dyDescent="0.3">
      <c r="A644" s="1398"/>
      <c r="B644" s="2162" t="s">
        <v>2543</v>
      </c>
      <c r="C644" s="2151"/>
      <c r="D644" s="2151"/>
      <c r="E644" s="2151"/>
      <c r="F644" s="2151"/>
      <c r="G644" s="2151"/>
      <c r="H644" s="2151"/>
      <c r="I644" s="2151"/>
      <c r="J644" s="2157"/>
      <c r="K644" s="2151"/>
      <c r="L644" s="2157"/>
      <c r="M644" s="2151"/>
      <c r="N644" s="2157"/>
      <c r="O644" s="2157"/>
      <c r="P644" s="2157"/>
      <c r="Q644" s="2157"/>
      <c r="R644" s="1398"/>
      <c r="S644" s="1398"/>
      <c r="T644" s="1398"/>
      <c r="U644" s="1398"/>
      <c r="V644" s="1398"/>
      <c r="W644" s="1398"/>
      <c r="X644" s="1398"/>
      <c r="Y644" s="1398"/>
      <c r="Z644" s="1398"/>
      <c r="AA644" s="1398"/>
      <c r="AB644" s="1398"/>
      <c r="AC644" s="1398"/>
      <c r="AD644" s="1398"/>
      <c r="AE644" s="1398"/>
      <c r="AF644" s="1398"/>
      <c r="AG644" s="1398"/>
      <c r="AH644" s="1398"/>
      <c r="AI644" s="1398"/>
      <c r="AJ644" s="1398"/>
    </row>
    <row r="645" spans="1:36" ht="15" customHeight="1" x14ac:dyDescent="0.3">
      <c r="A645" s="1398"/>
      <c r="B645" s="1976" t="s">
        <v>1941</v>
      </c>
      <c r="C645" s="2151"/>
      <c r="D645" s="2151"/>
      <c r="E645" s="2151"/>
      <c r="F645" s="2151"/>
      <c r="G645" s="2151"/>
      <c r="H645" s="2151"/>
      <c r="I645" s="2151"/>
      <c r="J645" s="2157"/>
      <c r="K645" s="2151"/>
      <c r="L645" s="2157"/>
      <c r="M645" s="2151"/>
      <c r="N645" s="2157"/>
      <c r="O645" s="2157"/>
      <c r="P645" s="2157"/>
      <c r="Q645" s="2157"/>
      <c r="R645" s="1398"/>
      <c r="S645" s="1398"/>
      <c r="T645" s="1398"/>
      <c r="U645" s="1398"/>
      <c r="V645" s="1398"/>
      <c r="W645" s="1398"/>
      <c r="X645" s="1398"/>
      <c r="Y645" s="1398"/>
      <c r="Z645" s="1398"/>
      <c r="AA645" s="1398"/>
      <c r="AB645" s="1398"/>
      <c r="AC645" s="1398"/>
      <c r="AD645" s="1398"/>
      <c r="AE645" s="1398"/>
      <c r="AF645" s="1398"/>
      <c r="AG645" s="1398"/>
      <c r="AH645" s="1398"/>
      <c r="AI645" s="1398"/>
      <c r="AJ645" s="1398"/>
    </row>
    <row r="646" spans="1:36" ht="15" customHeight="1" x14ac:dyDescent="0.35">
      <c r="A646" s="1398"/>
      <c r="B646" s="1976" t="s">
        <v>2542</v>
      </c>
      <c r="C646" s="2159" t="str">
        <f t="shared" ref="C646:I646" si="93">IF(AND(ISNUMBER(C647),ISNUMBER(C648)),C647+C648,"")</f>
        <v/>
      </c>
      <c r="D646" s="2159" t="str">
        <f t="shared" si="93"/>
        <v/>
      </c>
      <c r="E646" s="2159" t="str">
        <f t="shared" si="93"/>
        <v/>
      </c>
      <c r="F646" s="2159" t="str">
        <f t="shared" si="93"/>
        <v/>
      </c>
      <c r="G646" s="2159" t="str">
        <f t="shared" si="93"/>
        <v/>
      </c>
      <c r="H646" s="2159" t="str">
        <f t="shared" si="93"/>
        <v/>
      </c>
      <c r="I646" s="2159" t="str">
        <f t="shared" si="93"/>
        <v/>
      </c>
      <c r="J646" s="2157"/>
      <c r="K646" s="2159" t="str">
        <f>IF(AND(ISNUMBER(K647),ISNUMBER(K648)),K647+K648,"")</f>
        <v/>
      </c>
      <c r="L646" s="2157"/>
      <c r="M646" s="2159" t="str">
        <f>IF(AND(ISNUMBER(M647),ISNUMBER(M648)),M647+M648,"")</f>
        <v/>
      </c>
      <c r="N646" s="2157"/>
      <c r="O646" s="2157"/>
      <c r="P646" s="2157"/>
      <c r="Q646" s="2157"/>
      <c r="R646" s="1398"/>
      <c r="S646" s="1398"/>
      <c r="T646" s="1398"/>
      <c r="U646" s="1398"/>
      <c r="V646" s="1398"/>
      <c r="W646" s="1398"/>
      <c r="X646" s="1398"/>
      <c r="Y646" s="1398"/>
      <c r="Z646" s="1398"/>
      <c r="AA646" s="1398"/>
      <c r="AB646" s="1398"/>
      <c r="AC646" s="1398"/>
      <c r="AD646" s="1398"/>
      <c r="AE646" s="1398"/>
      <c r="AF646" s="1398"/>
      <c r="AG646" s="1398"/>
      <c r="AH646" s="1398"/>
      <c r="AI646" s="1398"/>
      <c r="AJ646" s="1398"/>
    </row>
    <row r="647" spans="1:36" ht="15" customHeight="1" x14ac:dyDescent="0.3">
      <c r="A647" s="1398"/>
      <c r="B647" s="2162" t="s">
        <v>2541</v>
      </c>
      <c r="C647" s="2151"/>
      <c r="D647" s="2151"/>
      <c r="E647" s="2151"/>
      <c r="F647" s="2151"/>
      <c r="G647" s="2151"/>
      <c r="H647" s="2151"/>
      <c r="I647" s="2151"/>
      <c r="J647" s="2157"/>
      <c r="K647" s="2151"/>
      <c r="L647" s="2157"/>
      <c r="M647" s="2151"/>
      <c r="N647" s="2157"/>
      <c r="O647" s="2157"/>
      <c r="P647" s="2157"/>
      <c r="Q647" s="2157"/>
      <c r="R647" s="1398"/>
      <c r="S647" s="1398"/>
      <c r="T647" s="1398"/>
      <c r="U647" s="1398"/>
      <c r="V647" s="1398"/>
      <c r="W647" s="1398"/>
      <c r="X647" s="1398"/>
      <c r="Y647" s="1398"/>
      <c r="Z647" s="1398"/>
      <c r="AA647" s="1398"/>
      <c r="AB647" s="1398"/>
      <c r="AC647" s="1398"/>
      <c r="AD647" s="1398"/>
      <c r="AE647" s="1398"/>
      <c r="AF647" s="1398"/>
      <c r="AG647" s="1398"/>
      <c r="AH647" s="1398"/>
      <c r="AI647" s="1398"/>
      <c r="AJ647" s="1398"/>
    </row>
    <row r="648" spans="1:36" ht="15" customHeight="1" x14ac:dyDescent="0.3">
      <c r="A648" s="1398"/>
      <c r="B648" s="2185" t="s">
        <v>1760</v>
      </c>
      <c r="C648" s="2151"/>
      <c r="D648" s="2151"/>
      <c r="E648" s="2151"/>
      <c r="F648" s="2151"/>
      <c r="G648" s="2151"/>
      <c r="H648" s="2151"/>
      <c r="I648" s="2151"/>
      <c r="J648" s="2157"/>
      <c r="K648" s="2151"/>
      <c r="L648" s="2157"/>
      <c r="M648" s="2151"/>
      <c r="N648" s="2157"/>
      <c r="O648" s="2157"/>
      <c r="P648" s="2157"/>
      <c r="Q648" s="2157"/>
      <c r="R648" s="1398"/>
      <c r="S648" s="1398"/>
      <c r="T648" s="1398"/>
      <c r="U648" s="1398"/>
      <c r="V648" s="1398"/>
      <c r="W648" s="1398"/>
      <c r="X648" s="1398"/>
      <c r="Y648" s="1398"/>
      <c r="Z648" s="1398"/>
      <c r="AA648" s="1398"/>
      <c r="AB648" s="1398"/>
      <c r="AC648" s="1398"/>
      <c r="AD648" s="1398"/>
      <c r="AE648" s="1398"/>
      <c r="AF648" s="1398"/>
      <c r="AG648" s="1398"/>
      <c r="AH648" s="1398"/>
      <c r="AI648" s="1398"/>
      <c r="AJ648" s="1398"/>
    </row>
    <row r="649" spans="1:36" ht="15" customHeight="1" x14ac:dyDescent="0.35">
      <c r="A649" s="1398"/>
      <c r="B649" s="2160" t="s">
        <v>2540</v>
      </c>
      <c r="C649" s="2159" t="str">
        <f t="shared" ref="C649:I649" si="94">IF(AND(ISNUMBER(C650),ISNUMBER(C651)),C650+C651,"")</f>
        <v/>
      </c>
      <c r="D649" s="2159" t="str">
        <f t="shared" si="94"/>
        <v/>
      </c>
      <c r="E649" s="2159" t="str">
        <f t="shared" si="94"/>
        <v/>
      </c>
      <c r="F649" s="2159" t="str">
        <f t="shared" si="94"/>
        <v/>
      </c>
      <c r="G649" s="2159" t="str">
        <f t="shared" si="94"/>
        <v/>
      </c>
      <c r="H649" s="2159" t="str">
        <f t="shared" si="94"/>
        <v/>
      </c>
      <c r="I649" s="2159" t="str">
        <f t="shared" si="94"/>
        <v/>
      </c>
      <c r="J649" s="2157"/>
      <c r="K649" s="2159" t="str">
        <f>IF(AND(ISNUMBER(K650),ISNUMBER(K651)),K650+K651,"")</f>
        <v/>
      </c>
      <c r="L649" s="2157"/>
      <c r="M649" s="2159" t="str">
        <f>IF(AND(ISNUMBER(M650),ISNUMBER(M651)),M650+M651,"")</f>
        <v/>
      </c>
      <c r="N649" s="2157"/>
      <c r="O649" s="2157"/>
      <c r="P649" s="2157"/>
      <c r="Q649" s="2157"/>
      <c r="R649" s="1398"/>
      <c r="S649" s="1398"/>
      <c r="T649" s="1398"/>
      <c r="U649" s="1398"/>
      <c r="V649" s="1398"/>
      <c r="W649" s="1398"/>
      <c r="X649" s="1398"/>
      <c r="Y649" s="1398"/>
      <c r="Z649" s="1398"/>
      <c r="AA649" s="1398"/>
      <c r="AB649" s="1398"/>
      <c r="AC649" s="1398"/>
      <c r="AD649" s="1398"/>
      <c r="AE649" s="1398"/>
      <c r="AF649" s="1398"/>
      <c r="AG649" s="1398"/>
      <c r="AH649" s="1398"/>
      <c r="AI649" s="1398"/>
      <c r="AJ649" s="1398"/>
    </row>
    <row r="650" spans="1:36" ht="15" customHeight="1" x14ac:dyDescent="0.3">
      <c r="A650" s="1398"/>
      <c r="B650" s="2158" t="s">
        <v>2539</v>
      </c>
      <c r="C650" s="2151"/>
      <c r="D650" s="2151"/>
      <c r="E650" s="2151"/>
      <c r="F650" s="2151"/>
      <c r="G650" s="2151"/>
      <c r="H650" s="2151"/>
      <c r="I650" s="2151"/>
      <c r="J650" s="2157"/>
      <c r="K650" s="2151"/>
      <c r="L650" s="2157"/>
      <c r="M650" s="2151"/>
      <c r="N650" s="2157"/>
      <c r="O650" s="2157"/>
      <c r="P650" s="2157"/>
      <c r="Q650" s="2157"/>
      <c r="R650" s="1398"/>
      <c r="S650" s="1398"/>
      <c r="T650" s="1398"/>
      <c r="U650" s="1398"/>
      <c r="V650" s="1398"/>
      <c r="W650" s="1398"/>
      <c r="X650" s="1398"/>
      <c r="Y650" s="1398"/>
      <c r="Z650" s="1398"/>
      <c r="AA650" s="1398"/>
      <c r="AB650" s="1398"/>
      <c r="AC650" s="1398"/>
      <c r="AD650" s="1398"/>
      <c r="AE650" s="1398"/>
      <c r="AF650" s="1398"/>
      <c r="AG650" s="1398"/>
      <c r="AH650" s="1398"/>
      <c r="AI650" s="1398"/>
      <c r="AJ650" s="1398"/>
    </row>
    <row r="651" spans="1:36" ht="15" customHeight="1" x14ac:dyDescent="0.3">
      <c r="A651" s="1398"/>
      <c r="B651" s="2158" t="s">
        <v>1760</v>
      </c>
      <c r="C651" s="2151"/>
      <c r="D651" s="2151"/>
      <c r="E651" s="2151"/>
      <c r="F651" s="2151"/>
      <c r="G651" s="2151"/>
      <c r="H651" s="2151"/>
      <c r="I651" s="2151"/>
      <c r="J651" s="2157"/>
      <c r="K651" s="2151"/>
      <c r="L651" s="2157"/>
      <c r="M651" s="2151"/>
      <c r="N651" s="2157"/>
      <c r="O651" s="2157"/>
      <c r="P651" s="2157"/>
      <c r="Q651" s="2157"/>
      <c r="R651" s="1398"/>
      <c r="S651" s="1398"/>
      <c r="T651" s="1398"/>
      <c r="U651" s="1398"/>
      <c r="V651" s="1398"/>
      <c r="W651" s="1398"/>
      <c r="X651" s="1398"/>
      <c r="Y651" s="1398"/>
      <c r="Z651" s="1398"/>
      <c r="AA651" s="1398"/>
      <c r="AB651" s="1398"/>
      <c r="AC651" s="1398"/>
      <c r="AD651" s="1398"/>
      <c r="AE651" s="1398"/>
      <c r="AF651" s="1398"/>
      <c r="AG651" s="1398"/>
      <c r="AH651" s="1398"/>
      <c r="AI651" s="1398"/>
      <c r="AJ651" s="1398"/>
    </row>
    <row r="652" spans="1:36" ht="15" customHeight="1" x14ac:dyDescent="0.35">
      <c r="A652" s="1398"/>
      <c r="B652" s="569" t="s">
        <v>59</v>
      </c>
      <c r="C652" s="2156">
        <f t="shared" ref="C652:Q652" si="95">IF(AND(ISNUMBER(C654),ISNUMBER(C653)),SUM(C653:C654),0)</f>
        <v>0</v>
      </c>
      <c r="D652" s="2156">
        <f t="shared" si="95"/>
        <v>0</v>
      </c>
      <c r="E652" s="2156">
        <f t="shared" si="95"/>
        <v>0</v>
      </c>
      <c r="F652" s="2156">
        <f t="shared" si="95"/>
        <v>0</v>
      </c>
      <c r="G652" s="2156">
        <f t="shared" si="95"/>
        <v>0</v>
      </c>
      <c r="H652" s="2156">
        <f t="shared" si="95"/>
        <v>0</v>
      </c>
      <c r="I652" s="2156">
        <f t="shared" si="95"/>
        <v>0</v>
      </c>
      <c r="J652" s="2156">
        <f t="shared" si="95"/>
        <v>0</v>
      </c>
      <c r="K652" s="2156">
        <f t="shared" si="95"/>
        <v>0</v>
      </c>
      <c r="L652" s="2156">
        <f t="shared" si="95"/>
        <v>0</v>
      </c>
      <c r="M652" s="2156">
        <f t="shared" si="95"/>
        <v>0</v>
      </c>
      <c r="N652" s="2156">
        <f t="shared" si="95"/>
        <v>0</v>
      </c>
      <c r="O652" s="2156">
        <f t="shared" si="95"/>
        <v>0</v>
      </c>
      <c r="P652" s="2156">
        <f t="shared" si="95"/>
        <v>0</v>
      </c>
      <c r="Q652" s="2156">
        <f t="shared" si="95"/>
        <v>0</v>
      </c>
      <c r="R652" s="1398"/>
      <c r="S652" s="1398"/>
      <c r="T652" s="1398"/>
      <c r="U652" s="1398"/>
      <c r="V652" s="1398"/>
      <c r="W652" s="1398"/>
      <c r="X652" s="1398"/>
      <c r="Y652" s="1398"/>
      <c r="Z652" s="1398"/>
      <c r="AA652" s="1398"/>
      <c r="AB652" s="1398"/>
      <c r="AC652" s="1398"/>
      <c r="AD652" s="1398"/>
      <c r="AE652" s="1398"/>
    </row>
    <row r="653" spans="1:36" ht="15" customHeight="1" x14ac:dyDescent="0.3">
      <c r="A653" s="1398"/>
      <c r="B653" s="2155" t="s">
        <v>2538</v>
      </c>
      <c r="C653" s="2151"/>
      <c r="D653" s="2151"/>
      <c r="E653" s="2151"/>
      <c r="F653" s="2151"/>
      <c r="G653" s="2151"/>
      <c r="H653" s="2151"/>
      <c r="I653" s="23"/>
      <c r="J653" s="2151"/>
      <c r="K653" s="2151"/>
      <c r="L653" s="2151"/>
      <c r="M653" s="2151"/>
      <c r="N653" s="2151"/>
      <c r="O653" s="2151"/>
      <c r="P653" s="2151"/>
      <c r="Q653" s="2151"/>
      <c r="R653" s="1398"/>
      <c r="S653" s="1398"/>
      <c r="T653" s="1398"/>
      <c r="U653" s="1398"/>
      <c r="V653" s="1398"/>
      <c r="W653" s="1398"/>
      <c r="X653" s="1398"/>
      <c r="Y653" s="1398"/>
      <c r="Z653" s="1398"/>
      <c r="AA653" s="1398"/>
      <c r="AB653" s="1398"/>
      <c r="AC653" s="1398"/>
      <c r="AD653" s="1398"/>
      <c r="AE653" s="1398"/>
    </row>
    <row r="654" spans="1:36" ht="15" customHeight="1" x14ac:dyDescent="0.3">
      <c r="A654" s="1398"/>
      <c r="B654" s="2155" t="s">
        <v>2537</v>
      </c>
      <c r="C654" s="2151"/>
      <c r="D654" s="2151"/>
      <c r="E654" s="2151"/>
      <c r="F654" s="2151"/>
      <c r="G654" s="2151"/>
      <c r="H654" s="2151"/>
      <c r="I654" s="23"/>
      <c r="J654" s="2151"/>
      <c r="K654" s="2151"/>
      <c r="L654" s="2151"/>
      <c r="M654" s="2151"/>
      <c r="N654" s="2151"/>
      <c r="O654" s="2151"/>
      <c r="P654" s="2151"/>
      <c r="Q654" s="2151"/>
      <c r="R654" s="1398"/>
      <c r="S654" s="1398"/>
      <c r="T654" s="1398"/>
      <c r="U654" s="1398"/>
      <c r="V654" s="1398"/>
      <c r="W654" s="1398"/>
      <c r="X654" s="1398"/>
      <c r="Y654" s="1398"/>
      <c r="Z654" s="1398"/>
      <c r="AA654" s="1398"/>
      <c r="AB654" s="1398"/>
      <c r="AC654" s="1398"/>
      <c r="AD654" s="1398"/>
      <c r="AE654" s="1398"/>
    </row>
    <row r="655" spans="1:36" ht="15" customHeight="1" x14ac:dyDescent="0.3">
      <c r="A655" s="1398"/>
      <c r="B655" s="2154" t="str">
        <f>"Check: row " &amp; ROW(B652) &amp;" = sum(row " &amp; ROW(B653) &amp; ", row "&amp; ROW(B654)&amp;")"</f>
        <v>Check: row 652 = sum(row 653, row 654)</v>
      </c>
      <c r="C655" s="2153" t="str">
        <f t="shared" ref="C655:Q655" si="96">IF(AND(ISNUMBER(C653), ISNUMBER(C654)), IF(C652=SUM(C653:C654), "Pass", "Fail"), "")</f>
        <v/>
      </c>
      <c r="D655" s="2153" t="str">
        <f t="shared" si="96"/>
        <v/>
      </c>
      <c r="E655" s="2153" t="str">
        <f t="shared" si="96"/>
        <v/>
      </c>
      <c r="F655" s="2153" t="str">
        <f t="shared" si="96"/>
        <v/>
      </c>
      <c r="G655" s="2153" t="str">
        <f t="shared" si="96"/>
        <v/>
      </c>
      <c r="H655" s="2153" t="str">
        <f t="shared" si="96"/>
        <v/>
      </c>
      <c r="I655" s="2153" t="str">
        <f t="shared" si="96"/>
        <v/>
      </c>
      <c r="J655" s="2153" t="str">
        <f t="shared" si="96"/>
        <v/>
      </c>
      <c r="K655" s="2153" t="str">
        <f t="shared" si="96"/>
        <v/>
      </c>
      <c r="L655" s="2153" t="str">
        <f t="shared" si="96"/>
        <v/>
      </c>
      <c r="M655" s="2153" t="str">
        <f t="shared" si="96"/>
        <v/>
      </c>
      <c r="N655" s="2153" t="str">
        <f t="shared" si="96"/>
        <v/>
      </c>
      <c r="O655" s="2153" t="str">
        <f t="shared" si="96"/>
        <v/>
      </c>
      <c r="P655" s="2153" t="str">
        <f t="shared" si="96"/>
        <v/>
      </c>
      <c r="Q655" s="2153" t="str">
        <f t="shared" si="96"/>
        <v/>
      </c>
      <c r="R655" s="1398"/>
      <c r="S655" s="1398"/>
      <c r="T655" s="1398"/>
      <c r="U655" s="1398"/>
      <c r="V655" s="1398"/>
      <c r="W655" s="1398"/>
      <c r="X655" s="1398"/>
      <c r="Y655" s="1398"/>
      <c r="Z655" s="1398"/>
      <c r="AA655" s="1398"/>
      <c r="AB655" s="1398"/>
      <c r="AC655" s="1398"/>
      <c r="AD655" s="1398"/>
      <c r="AE655" s="1398"/>
    </row>
    <row r="656" spans="1:36" ht="15" customHeight="1" x14ac:dyDescent="0.3">
      <c r="A656" s="1398"/>
      <c r="B656" s="2152" t="s">
        <v>2536</v>
      </c>
      <c r="C656" s="2151"/>
      <c r="D656" s="1398"/>
      <c r="E656" s="1398"/>
      <c r="F656" s="1398"/>
      <c r="G656" s="1398"/>
      <c r="H656" s="1398"/>
      <c r="I656" s="1398"/>
      <c r="J656" s="1398"/>
      <c r="K656" s="1398"/>
      <c r="L656" s="1398"/>
      <c r="M656" s="1398"/>
      <c r="N656" s="1398"/>
      <c r="O656" s="1398"/>
      <c r="P656" s="1398"/>
      <c r="Q656" s="1398"/>
      <c r="R656" s="1398"/>
      <c r="S656" s="1398"/>
      <c r="T656" s="1398"/>
      <c r="U656" s="1398"/>
      <c r="V656" s="1398"/>
      <c r="W656" s="1398"/>
      <c r="X656" s="1398"/>
      <c r="Y656" s="1398"/>
      <c r="Z656" s="1398"/>
      <c r="AA656" s="1398"/>
      <c r="AB656" s="1398"/>
      <c r="AC656" s="1398"/>
      <c r="AD656" s="1398"/>
      <c r="AE656" s="1398"/>
    </row>
    <row r="657" spans="1:36" ht="15" customHeight="1" x14ac:dyDescent="0.3">
      <c r="A657" s="1398"/>
      <c r="B657" s="2150" t="s">
        <v>2535</v>
      </c>
      <c r="C657" s="2149"/>
      <c r="D657" s="1398"/>
      <c r="E657" s="1398"/>
      <c r="F657" s="1398"/>
      <c r="G657" s="1398"/>
      <c r="H657" s="1398"/>
      <c r="I657" s="1398"/>
      <c r="J657" s="1398"/>
      <c r="K657" s="1398"/>
      <c r="L657" s="1398"/>
      <c r="M657" s="1398"/>
      <c r="N657" s="1398"/>
      <c r="O657" s="1398"/>
      <c r="P657" s="1398"/>
      <c r="Q657" s="1398"/>
      <c r="R657" s="1398"/>
      <c r="S657" s="1398"/>
      <c r="T657" s="1398"/>
      <c r="U657" s="1398"/>
      <c r="V657" s="1398"/>
      <c r="W657" s="1398"/>
      <c r="X657" s="1398"/>
      <c r="Y657" s="1398"/>
      <c r="Z657" s="1398"/>
      <c r="AA657" s="1398"/>
      <c r="AB657" s="1398"/>
      <c r="AC657" s="1398"/>
      <c r="AD657" s="1398"/>
      <c r="AE657" s="1398"/>
    </row>
    <row r="658" spans="1:36" ht="15" customHeight="1" x14ac:dyDescent="0.35">
      <c r="A658" s="1398"/>
      <c r="D658" s="1398"/>
      <c r="E658" s="1398"/>
      <c r="F658" s="1398"/>
      <c r="G658" s="1398"/>
      <c r="H658" s="1398"/>
      <c r="I658" s="1398"/>
      <c r="J658" s="1398"/>
      <c r="K658" s="1398"/>
      <c r="L658" s="1398"/>
      <c r="M658" s="1398"/>
      <c r="N658" s="1398"/>
      <c r="O658" s="1398"/>
      <c r="P658" s="1398"/>
      <c r="Q658" s="1398"/>
      <c r="R658" s="1398"/>
      <c r="S658" s="1398"/>
      <c r="T658" s="1398"/>
      <c r="U658" s="1398"/>
      <c r="V658" s="1398"/>
      <c r="W658" s="1398"/>
      <c r="X658" s="1398"/>
      <c r="Y658" s="1398"/>
      <c r="Z658" s="1398"/>
      <c r="AA658" s="1398"/>
      <c r="AB658" s="1398"/>
      <c r="AC658" s="1398"/>
      <c r="AD658" s="1398"/>
      <c r="AE658" s="1398"/>
      <c r="AF658" s="1398"/>
      <c r="AG658" s="1398"/>
      <c r="AH658" s="1398"/>
      <c r="AI658" s="1398"/>
      <c r="AJ658" s="1398"/>
    </row>
    <row r="659" spans="1:36" ht="15" customHeight="1" x14ac:dyDescent="0.3">
      <c r="A659" s="2176" t="s">
        <v>2574</v>
      </c>
      <c r="B659" s="2186"/>
      <c r="C659" s="2174" t="s">
        <v>2566</v>
      </c>
      <c r="D659" s="2173" t="str">
        <f>IF(ISBLANK($S$7),"",IF($S$7="No","Please leave Panel B"&amp;COLUMN($S$7)-2&amp;" empty","Please fill in Panel B"&amp;COLUMN($S$7)-2))</f>
        <v/>
      </c>
      <c r="E659" s="1398"/>
      <c r="F659" s="1398"/>
      <c r="G659" s="1398"/>
      <c r="H659" s="1398"/>
      <c r="I659" s="1398"/>
      <c r="J659" s="1398"/>
      <c r="K659" s="1398"/>
      <c r="L659" s="1398"/>
      <c r="M659" s="1398"/>
      <c r="N659" s="1398"/>
      <c r="O659" s="1398"/>
      <c r="P659" s="1398"/>
      <c r="Q659" s="1398"/>
      <c r="R659" s="1398"/>
      <c r="S659" s="1398"/>
      <c r="T659" s="1398"/>
      <c r="U659" s="1398"/>
      <c r="V659" s="1398"/>
      <c r="W659" s="1398"/>
      <c r="X659" s="1398"/>
      <c r="Y659" s="1398"/>
      <c r="Z659" s="1398"/>
      <c r="AA659" s="1398"/>
      <c r="AB659" s="1398"/>
      <c r="AC659" s="1398"/>
      <c r="AD659" s="1398"/>
      <c r="AE659" s="1398"/>
      <c r="AF659" s="1398"/>
      <c r="AG659" s="1398"/>
      <c r="AH659" s="1398"/>
      <c r="AI659" s="1398"/>
      <c r="AJ659" s="1398"/>
    </row>
    <row r="660" spans="1:36" ht="15" customHeight="1" x14ac:dyDescent="0.35">
      <c r="A660" s="1398"/>
      <c r="C660" s="2980" t="s">
        <v>207</v>
      </c>
      <c r="D660" s="2980"/>
      <c r="E660" s="2980"/>
      <c r="F660" s="2980"/>
      <c r="G660" s="2980"/>
      <c r="H660" s="2980"/>
      <c r="I660" s="2980"/>
      <c r="J660" s="2980"/>
      <c r="K660" s="2980"/>
      <c r="L660" s="2981"/>
      <c r="M660" s="2982" t="s">
        <v>2559</v>
      </c>
      <c r="N660" s="2984" t="s">
        <v>2565</v>
      </c>
      <c r="O660" s="2985"/>
      <c r="P660" s="2985"/>
      <c r="Q660" s="2985"/>
      <c r="R660" s="1398"/>
      <c r="S660" s="1398"/>
      <c r="T660" s="1398"/>
      <c r="U660" s="1398"/>
      <c r="V660" s="1398"/>
      <c r="W660" s="1398"/>
      <c r="X660" s="1398"/>
      <c r="Y660" s="1398"/>
      <c r="Z660" s="1398"/>
      <c r="AA660" s="1398"/>
      <c r="AB660" s="1398"/>
      <c r="AC660" s="1398"/>
      <c r="AD660" s="1398"/>
      <c r="AE660" s="1398"/>
      <c r="AF660" s="1398"/>
      <c r="AG660" s="1398"/>
      <c r="AH660" s="1398"/>
      <c r="AI660" s="1398"/>
      <c r="AJ660" s="1398"/>
    </row>
    <row r="661" spans="1:36" ht="15" customHeight="1" x14ac:dyDescent="0.35">
      <c r="A661" s="1398"/>
      <c r="B661" s="2172"/>
      <c r="C661" s="2967" t="s">
        <v>2564</v>
      </c>
      <c r="D661" s="2973" t="s">
        <v>465</v>
      </c>
      <c r="E661" s="2974"/>
      <c r="F661" s="2974"/>
      <c r="G661" s="2974"/>
      <c r="H661" s="2975"/>
      <c r="I661" s="2969" t="s">
        <v>2563</v>
      </c>
      <c r="J661" s="2969" t="s">
        <v>2562</v>
      </c>
      <c r="K661" s="2969" t="s">
        <v>2561</v>
      </c>
      <c r="L661" s="2969" t="s">
        <v>2560</v>
      </c>
      <c r="M661" s="2983"/>
      <c r="N661" s="2978" t="s">
        <v>207</v>
      </c>
      <c r="O661" s="2978" t="s">
        <v>2559</v>
      </c>
      <c r="P661" s="2969" t="s">
        <v>59</v>
      </c>
      <c r="Q661" s="2971" t="s">
        <v>2558</v>
      </c>
      <c r="R661" s="1398"/>
      <c r="S661" s="1398"/>
      <c r="T661" s="1398"/>
      <c r="U661" s="1398"/>
      <c r="V661" s="1398"/>
      <c r="W661" s="1398"/>
      <c r="X661" s="1398"/>
      <c r="Y661" s="1398"/>
      <c r="Z661" s="1398"/>
      <c r="AA661" s="1398"/>
      <c r="AB661" s="1398"/>
      <c r="AC661" s="1398"/>
      <c r="AD661" s="1398"/>
      <c r="AE661" s="1398"/>
      <c r="AF661" s="1398"/>
      <c r="AG661" s="1398"/>
      <c r="AH661" s="1398"/>
      <c r="AI661" s="1398"/>
      <c r="AJ661" s="1398"/>
    </row>
    <row r="662" spans="1:36" ht="15" customHeight="1" x14ac:dyDescent="0.35">
      <c r="A662" s="1398"/>
      <c r="B662" s="2171"/>
      <c r="C662" s="2968"/>
      <c r="D662" s="2170" t="s">
        <v>2557</v>
      </c>
      <c r="E662" s="2170" t="s">
        <v>2556</v>
      </c>
      <c r="F662" s="2170" t="s">
        <v>2555</v>
      </c>
      <c r="G662" s="2170" t="s">
        <v>2554</v>
      </c>
      <c r="H662" s="2170" t="s">
        <v>59</v>
      </c>
      <c r="I662" s="2970"/>
      <c r="J662" s="2970"/>
      <c r="K662" s="2970"/>
      <c r="L662" s="2970"/>
      <c r="M662" s="2970"/>
      <c r="N662" s="2979"/>
      <c r="O662" s="2979"/>
      <c r="P662" s="2970"/>
      <c r="Q662" s="2972"/>
      <c r="R662" s="1398"/>
      <c r="S662" s="1398"/>
      <c r="T662" s="1398"/>
      <c r="U662" s="1398"/>
      <c r="V662" s="1398"/>
      <c r="W662" s="1398"/>
      <c r="X662" s="1398"/>
      <c r="Y662" s="1398"/>
      <c r="Z662" s="1398"/>
      <c r="AA662" s="1398"/>
      <c r="AB662" s="1398"/>
      <c r="AC662" s="1398"/>
      <c r="AD662" s="1398"/>
      <c r="AE662" s="1398"/>
      <c r="AF662" s="1398"/>
      <c r="AG662" s="1398"/>
      <c r="AH662" s="1398"/>
      <c r="AI662" s="1398"/>
      <c r="AJ662" s="1398"/>
    </row>
    <row r="663" spans="1:36" ht="15" customHeight="1" x14ac:dyDescent="0.35">
      <c r="A663" s="1398"/>
      <c r="B663" s="2179" t="s">
        <v>2553</v>
      </c>
      <c r="C663" s="2168" t="str">
        <f t="shared" ref="C663:I663" si="97">IF(AND(ISNUMBER(C676),ISNUMBER(C672),ISNUMBER(C674),ISNUMBER(C664),ISNUMBER(C668),ISNUMBER(C666),ISNUMBER(C670),ISNUMBER(C678)),SUM(C664,C666,C668,C670,C672,C674,C676,C678),"")</f>
        <v/>
      </c>
      <c r="D663" s="2168" t="str">
        <f t="shared" si="97"/>
        <v/>
      </c>
      <c r="E663" s="2168" t="str">
        <f t="shared" si="97"/>
        <v/>
      </c>
      <c r="F663" s="2168" t="str">
        <f t="shared" si="97"/>
        <v/>
      </c>
      <c r="G663" s="2168" t="str">
        <f t="shared" si="97"/>
        <v/>
      </c>
      <c r="H663" s="2168" t="str">
        <f t="shared" si="97"/>
        <v/>
      </c>
      <c r="I663" s="2168" t="str">
        <f t="shared" si="97"/>
        <v/>
      </c>
      <c r="J663" s="2157"/>
      <c r="K663" s="2168" t="str">
        <f>IF(AND(ISNUMBER(K676),ISNUMBER(K672),ISNUMBER(K674),ISNUMBER(K664),ISNUMBER(K668),ISNUMBER(K666),ISNUMBER(K670),ISNUMBER(K678)),SUM(K664,K666,K668,K670,K672,K674,K676,K678),"")</f>
        <v/>
      </c>
      <c r="L663" s="2157"/>
      <c r="M663" s="2168" t="str">
        <f>IF(AND(ISNUMBER(M676),ISNUMBER(M672),ISNUMBER(M674),ISNUMBER(M664),ISNUMBER(M668),ISNUMBER(M666),ISNUMBER(M670),ISNUMBER(M678)),SUM(M664,M666,M668,M670,M672,M674,M676,M678),"")</f>
        <v/>
      </c>
      <c r="N663" s="2167"/>
      <c r="O663" s="2167"/>
      <c r="P663" s="2167"/>
      <c r="Q663" s="2167"/>
      <c r="R663" s="1398"/>
      <c r="S663" s="1398"/>
      <c r="T663" s="1398"/>
      <c r="U663" s="1398"/>
      <c r="V663" s="1398"/>
      <c r="W663" s="1398"/>
      <c r="X663" s="1398"/>
      <c r="Y663" s="1398"/>
      <c r="Z663" s="1398"/>
      <c r="AA663" s="1398"/>
      <c r="AB663" s="1398"/>
      <c r="AC663" s="1398"/>
      <c r="AD663" s="1398"/>
      <c r="AE663" s="1398"/>
      <c r="AF663" s="1398"/>
      <c r="AG663" s="1398"/>
      <c r="AH663" s="1398"/>
      <c r="AI663" s="1398"/>
      <c r="AJ663" s="1398"/>
    </row>
    <row r="664" spans="1:36" ht="15" customHeight="1" x14ac:dyDescent="0.3">
      <c r="A664" s="1398"/>
      <c r="B664" s="2163" t="s">
        <v>2552</v>
      </c>
      <c r="C664" s="2151"/>
      <c r="D664" s="2151"/>
      <c r="E664" s="2151"/>
      <c r="F664" s="2151"/>
      <c r="G664" s="2151"/>
      <c r="H664" s="2151"/>
      <c r="I664" s="2151"/>
      <c r="J664" s="2157"/>
      <c r="K664" s="23"/>
      <c r="L664" s="2157"/>
      <c r="M664" s="2151"/>
      <c r="N664" s="2157"/>
      <c r="O664" s="2157"/>
      <c r="P664" s="2157"/>
      <c r="Q664" s="2157"/>
      <c r="R664" s="1398"/>
      <c r="S664" s="1398"/>
      <c r="T664" s="1398"/>
      <c r="U664" s="1398"/>
      <c r="V664" s="1398"/>
      <c r="W664" s="1398"/>
      <c r="X664" s="1398"/>
      <c r="Y664" s="1398"/>
      <c r="Z664" s="1398"/>
      <c r="AA664" s="1398"/>
      <c r="AB664" s="1398"/>
      <c r="AC664" s="1398"/>
      <c r="AD664" s="1398"/>
      <c r="AE664" s="1398"/>
      <c r="AF664" s="1398"/>
      <c r="AG664" s="1398"/>
      <c r="AH664" s="1398"/>
      <c r="AI664" s="1398"/>
      <c r="AJ664" s="1398"/>
    </row>
    <row r="665" spans="1:36" ht="15" customHeight="1" x14ac:dyDescent="0.3">
      <c r="A665" s="1398"/>
      <c r="B665" s="2162" t="s">
        <v>2543</v>
      </c>
      <c r="C665" s="2151"/>
      <c r="D665" s="2151"/>
      <c r="E665" s="2151"/>
      <c r="F665" s="2151"/>
      <c r="G665" s="2151"/>
      <c r="H665" s="2151"/>
      <c r="I665" s="2151"/>
      <c r="J665" s="2157"/>
      <c r="K665" s="23"/>
      <c r="L665" s="2157"/>
      <c r="M665" s="2151"/>
      <c r="N665" s="2157"/>
      <c r="O665" s="2157"/>
      <c r="P665" s="2157"/>
      <c r="Q665" s="2157"/>
      <c r="R665" s="1398"/>
      <c r="S665" s="1398"/>
      <c r="T665" s="1398"/>
      <c r="U665" s="1398"/>
      <c r="V665" s="1398"/>
      <c r="W665" s="1398"/>
      <c r="X665" s="1398"/>
      <c r="Y665" s="1398"/>
      <c r="Z665" s="1398"/>
      <c r="AA665" s="1398"/>
      <c r="AB665" s="1398"/>
      <c r="AC665" s="1398"/>
      <c r="AD665" s="1398"/>
      <c r="AE665" s="1398"/>
      <c r="AF665" s="1398"/>
      <c r="AG665" s="1398"/>
      <c r="AH665" s="1398"/>
      <c r="AI665" s="1398"/>
      <c r="AJ665" s="1398"/>
    </row>
    <row r="666" spans="1:36" ht="15" customHeight="1" x14ac:dyDescent="0.3">
      <c r="A666" s="1398"/>
      <c r="B666" s="2163" t="s">
        <v>2551</v>
      </c>
      <c r="C666" s="2151"/>
      <c r="D666" s="2151"/>
      <c r="E666" s="2151"/>
      <c r="F666" s="2151"/>
      <c r="G666" s="2151"/>
      <c r="H666" s="2151"/>
      <c r="I666" s="2151"/>
      <c r="J666" s="2157"/>
      <c r="K666" s="23"/>
      <c r="L666" s="2157"/>
      <c r="M666" s="2151"/>
      <c r="N666" s="2157"/>
      <c r="O666" s="2157"/>
      <c r="P666" s="2157"/>
      <c r="Q666" s="2157"/>
      <c r="R666" s="1398"/>
      <c r="S666" s="1398"/>
      <c r="T666" s="1398"/>
      <c r="U666" s="1398"/>
      <c r="V666" s="1398"/>
      <c r="W666" s="1398"/>
      <c r="X666" s="1398"/>
      <c r="Y666" s="1398"/>
      <c r="Z666" s="1398"/>
      <c r="AA666" s="1398"/>
      <c r="AB666" s="1398"/>
      <c r="AC666" s="1398"/>
      <c r="AD666" s="1398"/>
      <c r="AE666" s="1398"/>
      <c r="AF666" s="1398"/>
      <c r="AG666" s="1398"/>
      <c r="AH666" s="1398"/>
      <c r="AI666" s="1398"/>
      <c r="AJ666" s="1398"/>
    </row>
    <row r="667" spans="1:36" ht="15" customHeight="1" x14ac:dyDescent="0.3">
      <c r="A667" s="1398"/>
      <c r="B667" s="2162" t="s">
        <v>2543</v>
      </c>
      <c r="C667" s="2151"/>
      <c r="D667" s="2151"/>
      <c r="E667" s="2151"/>
      <c r="F667" s="2151"/>
      <c r="G667" s="2151"/>
      <c r="H667" s="2151"/>
      <c r="I667" s="2151"/>
      <c r="J667" s="2157"/>
      <c r="K667" s="23"/>
      <c r="L667" s="2157"/>
      <c r="M667" s="2151"/>
      <c r="N667" s="2157"/>
      <c r="O667" s="2157"/>
      <c r="P667" s="2157"/>
      <c r="Q667" s="2157"/>
      <c r="R667" s="1398"/>
      <c r="S667" s="1398"/>
      <c r="T667" s="1398"/>
      <c r="U667" s="1398"/>
      <c r="V667" s="1398"/>
      <c r="W667" s="1398"/>
      <c r="X667" s="1398"/>
      <c r="Y667" s="1398"/>
      <c r="Z667" s="1398"/>
      <c r="AA667" s="1398"/>
      <c r="AB667" s="1398"/>
      <c r="AC667" s="1398"/>
      <c r="AD667" s="1398"/>
      <c r="AE667" s="1398"/>
      <c r="AF667" s="1398"/>
      <c r="AG667" s="1398"/>
      <c r="AH667" s="1398"/>
      <c r="AI667" s="1398"/>
      <c r="AJ667" s="1398"/>
    </row>
    <row r="668" spans="1:36" ht="15" customHeight="1" x14ac:dyDescent="0.3">
      <c r="A668" s="1398"/>
      <c r="B668" s="2163" t="s">
        <v>2550</v>
      </c>
      <c r="C668" s="2151"/>
      <c r="D668" s="2151"/>
      <c r="E668" s="2151"/>
      <c r="F668" s="2151"/>
      <c r="G668" s="2151"/>
      <c r="H668" s="2151"/>
      <c r="I668" s="2151"/>
      <c r="J668" s="2157"/>
      <c r="K668" s="23"/>
      <c r="L668" s="2157"/>
      <c r="M668" s="2151"/>
      <c r="N668" s="2157"/>
      <c r="O668" s="2157"/>
      <c r="P668" s="2157"/>
      <c r="Q668" s="2157"/>
      <c r="R668" s="1398"/>
      <c r="S668" s="1398"/>
      <c r="T668" s="1398"/>
      <c r="U668" s="1398"/>
      <c r="V668" s="1398"/>
      <c r="W668" s="1398"/>
      <c r="X668" s="1398"/>
      <c r="Y668" s="1398"/>
      <c r="Z668" s="1398"/>
      <c r="AA668" s="1398"/>
      <c r="AB668" s="1398"/>
      <c r="AC668" s="1398"/>
      <c r="AD668" s="1398"/>
      <c r="AE668" s="1398"/>
      <c r="AF668" s="1398"/>
      <c r="AG668" s="1398"/>
      <c r="AH668" s="1398"/>
      <c r="AI668" s="1398"/>
      <c r="AJ668" s="1398"/>
    </row>
    <row r="669" spans="1:36" ht="15" customHeight="1" x14ac:dyDescent="0.3">
      <c r="A669" s="1398"/>
      <c r="B669" s="2162" t="s">
        <v>2543</v>
      </c>
      <c r="C669" s="2151"/>
      <c r="D669" s="2151"/>
      <c r="E669" s="2151"/>
      <c r="F669" s="2151"/>
      <c r="G669" s="2151"/>
      <c r="H669" s="2151"/>
      <c r="I669" s="2151"/>
      <c r="J669" s="2157"/>
      <c r="K669" s="23"/>
      <c r="L669" s="2157"/>
      <c r="M669" s="2151"/>
      <c r="N669" s="2157"/>
      <c r="O669" s="2157"/>
      <c r="P669" s="2157"/>
      <c r="Q669" s="2157"/>
      <c r="R669" s="1398"/>
      <c r="S669" s="1398"/>
      <c r="T669" s="1398"/>
      <c r="U669" s="1398"/>
      <c r="V669" s="1398"/>
      <c r="W669" s="1398"/>
      <c r="X669" s="1398"/>
      <c r="Y669" s="1398"/>
      <c r="Z669" s="1398"/>
      <c r="AA669" s="1398"/>
      <c r="AB669" s="1398"/>
      <c r="AC669" s="1398"/>
      <c r="AD669" s="1398"/>
      <c r="AE669" s="1398"/>
      <c r="AF669" s="1398"/>
      <c r="AG669" s="1398"/>
      <c r="AH669" s="1398"/>
      <c r="AI669" s="1398"/>
      <c r="AJ669" s="1398"/>
    </row>
    <row r="670" spans="1:36" ht="15" customHeight="1" x14ac:dyDescent="0.3">
      <c r="A670" s="1398"/>
      <c r="B670" s="2163" t="s">
        <v>2549</v>
      </c>
      <c r="C670" s="2151"/>
      <c r="D670" s="2151"/>
      <c r="E670" s="2151"/>
      <c r="F670" s="2151"/>
      <c r="G670" s="2151"/>
      <c r="H670" s="2151"/>
      <c r="I670" s="2151"/>
      <c r="J670" s="2157"/>
      <c r="K670" s="23"/>
      <c r="L670" s="2157"/>
      <c r="M670" s="2151"/>
      <c r="N670" s="2157"/>
      <c r="O670" s="2157"/>
      <c r="P670" s="2157"/>
      <c r="Q670" s="2157"/>
      <c r="R670" s="1398"/>
      <c r="S670" s="1398"/>
      <c r="T670" s="1398"/>
      <c r="U670" s="1398"/>
      <c r="V670" s="1398"/>
      <c r="W670" s="1398"/>
      <c r="X670" s="1398"/>
      <c r="Y670" s="1398"/>
      <c r="Z670" s="1398"/>
      <c r="AA670" s="1398"/>
      <c r="AB670" s="1398"/>
      <c r="AC670" s="1398"/>
      <c r="AD670" s="1398"/>
      <c r="AE670" s="1398"/>
      <c r="AF670" s="1398"/>
      <c r="AG670" s="1398"/>
      <c r="AH670" s="1398"/>
      <c r="AI670" s="1398"/>
      <c r="AJ670" s="1398"/>
    </row>
    <row r="671" spans="1:36" ht="15" customHeight="1" x14ac:dyDescent="0.3">
      <c r="A671" s="1398"/>
      <c r="B671" s="2162" t="s">
        <v>2543</v>
      </c>
      <c r="C671" s="2151"/>
      <c r="D671" s="2151"/>
      <c r="E671" s="2151"/>
      <c r="F671" s="2151"/>
      <c r="G671" s="2151"/>
      <c r="H671" s="2151"/>
      <c r="I671" s="2151"/>
      <c r="J671" s="2157"/>
      <c r="K671" s="23"/>
      <c r="L671" s="2157"/>
      <c r="M671" s="2151"/>
      <c r="N671" s="2157"/>
      <c r="O671" s="2157"/>
      <c r="P671" s="2157"/>
      <c r="Q671" s="2157"/>
      <c r="R671" s="1398"/>
      <c r="S671" s="1398"/>
      <c r="T671" s="1398"/>
      <c r="U671" s="1398"/>
      <c r="V671" s="1398"/>
      <c r="W671" s="1398"/>
      <c r="X671" s="1398"/>
      <c r="Y671" s="1398"/>
      <c r="Z671" s="1398"/>
      <c r="AA671" s="1398"/>
      <c r="AB671" s="1398"/>
      <c r="AC671" s="1398"/>
      <c r="AD671" s="1398"/>
      <c r="AE671" s="1398"/>
      <c r="AF671" s="1398"/>
      <c r="AG671" s="1398"/>
      <c r="AH671" s="1398"/>
      <c r="AI671" s="1398"/>
      <c r="AJ671" s="1398"/>
    </row>
    <row r="672" spans="1:36" ht="15" customHeight="1" x14ac:dyDescent="0.3">
      <c r="A672" s="1398"/>
      <c r="B672" s="2163" t="s">
        <v>2548</v>
      </c>
      <c r="C672" s="2151"/>
      <c r="D672" s="2151"/>
      <c r="E672" s="2151"/>
      <c r="F672" s="2151"/>
      <c r="G672" s="2151"/>
      <c r="H672" s="2151"/>
      <c r="I672" s="2151"/>
      <c r="J672" s="2157"/>
      <c r="K672" s="23"/>
      <c r="L672" s="2157"/>
      <c r="M672" s="2151"/>
      <c r="N672" s="2157"/>
      <c r="O672" s="2157"/>
      <c r="P672" s="2157"/>
      <c r="Q672" s="2157"/>
      <c r="R672" s="1398"/>
      <c r="S672" s="1398"/>
      <c r="T672" s="1398"/>
      <c r="U672" s="1398"/>
      <c r="V672" s="1398"/>
      <c r="W672" s="1398"/>
      <c r="X672" s="1398"/>
      <c r="Y672" s="1398"/>
      <c r="Z672" s="1398"/>
      <c r="AA672" s="1398"/>
      <c r="AB672" s="1398"/>
      <c r="AC672" s="1398"/>
      <c r="AD672" s="1398"/>
      <c r="AE672" s="1398"/>
      <c r="AF672" s="1398"/>
      <c r="AG672" s="1398"/>
      <c r="AH672" s="1398"/>
      <c r="AI672" s="1398"/>
      <c r="AJ672" s="1398"/>
    </row>
    <row r="673" spans="1:36" ht="15" customHeight="1" x14ac:dyDescent="0.3">
      <c r="A673" s="1398"/>
      <c r="B673" s="2162" t="s">
        <v>2543</v>
      </c>
      <c r="C673" s="2151"/>
      <c r="D673" s="2151"/>
      <c r="E673" s="2151"/>
      <c r="F673" s="2151"/>
      <c r="G673" s="2151"/>
      <c r="H673" s="2151"/>
      <c r="I673" s="2151"/>
      <c r="J673" s="2157"/>
      <c r="K673" s="23"/>
      <c r="L673" s="2157"/>
      <c r="M673" s="2151"/>
      <c r="N673" s="2157"/>
      <c r="O673" s="2157"/>
      <c r="P673" s="2157"/>
      <c r="Q673" s="2157"/>
      <c r="R673" s="1398"/>
      <c r="S673" s="1398"/>
      <c r="T673" s="1398"/>
      <c r="U673" s="1398"/>
      <c r="V673" s="1398"/>
      <c r="W673" s="1398"/>
      <c r="X673" s="1398"/>
      <c r="Y673" s="1398"/>
      <c r="Z673" s="1398"/>
      <c r="AA673" s="1398"/>
      <c r="AB673" s="1398"/>
      <c r="AC673" s="1398"/>
      <c r="AD673" s="1398"/>
      <c r="AE673" s="1398"/>
      <c r="AF673" s="1398"/>
      <c r="AG673" s="1398"/>
      <c r="AH673" s="1398"/>
      <c r="AI673" s="1398"/>
      <c r="AJ673" s="1398"/>
    </row>
    <row r="674" spans="1:36" ht="15" customHeight="1" x14ac:dyDescent="0.3">
      <c r="A674" s="1398"/>
      <c r="B674" s="2163" t="s">
        <v>2547</v>
      </c>
      <c r="C674" s="2151"/>
      <c r="D674" s="2151"/>
      <c r="E674" s="2151"/>
      <c r="F674" s="2151"/>
      <c r="G674" s="2151"/>
      <c r="H674" s="2151"/>
      <c r="I674" s="2151"/>
      <c r="J674" s="2157"/>
      <c r="K674" s="23"/>
      <c r="L674" s="2157"/>
      <c r="M674" s="2151"/>
      <c r="N674" s="2157"/>
      <c r="O674" s="2157"/>
      <c r="P674" s="2157"/>
      <c r="Q674" s="2157"/>
      <c r="R674" s="1398"/>
      <c r="S674" s="1398"/>
      <c r="T674" s="1398"/>
      <c r="U674" s="1398"/>
      <c r="V674" s="1398"/>
      <c r="W674" s="1398"/>
      <c r="X674" s="1398"/>
      <c r="Y674" s="1398"/>
      <c r="Z674" s="1398"/>
      <c r="AA674" s="1398"/>
      <c r="AB674" s="1398"/>
      <c r="AC674" s="1398"/>
      <c r="AD674" s="1398"/>
      <c r="AE674" s="1398"/>
      <c r="AF674" s="1398"/>
      <c r="AG674" s="1398"/>
      <c r="AH674" s="1398"/>
      <c r="AI674" s="1398"/>
      <c r="AJ674" s="1398"/>
    </row>
    <row r="675" spans="1:36" ht="15" customHeight="1" x14ac:dyDescent="0.3">
      <c r="A675" s="1398"/>
      <c r="B675" s="2162" t="s">
        <v>2543</v>
      </c>
      <c r="C675" s="2151"/>
      <c r="D675" s="2151"/>
      <c r="E675" s="2151"/>
      <c r="F675" s="2151"/>
      <c r="G675" s="2151"/>
      <c r="H675" s="2151"/>
      <c r="I675" s="2151"/>
      <c r="J675" s="2157"/>
      <c r="K675" s="23"/>
      <c r="L675" s="2157"/>
      <c r="M675" s="2151"/>
      <c r="N675" s="2157"/>
      <c r="O675" s="2157"/>
      <c r="P675" s="2157"/>
      <c r="Q675" s="2157"/>
      <c r="R675" s="1398"/>
      <c r="S675" s="1398"/>
      <c r="T675" s="1398"/>
      <c r="U675" s="1398"/>
      <c r="V675" s="1398"/>
      <c r="W675" s="1398"/>
      <c r="X675" s="1398"/>
      <c r="Y675" s="1398"/>
      <c r="Z675" s="1398"/>
      <c r="AA675" s="1398"/>
      <c r="AB675" s="1398"/>
      <c r="AC675" s="1398"/>
      <c r="AD675" s="1398"/>
      <c r="AE675" s="1398"/>
      <c r="AF675" s="1398"/>
      <c r="AG675" s="1398"/>
      <c r="AH675" s="1398"/>
      <c r="AI675" s="1398"/>
      <c r="AJ675" s="1398"/>
    </row>
    <row r="676" spans="1:36" ht="15" customHeight="1" x14ac:dyDescent="0.3">
      <c r="A676" s="1398"/>
      <c r="B676" s="2166" t="s">
        <v>2546</v>
      </c>
      <c r="C676" s="2151"/>
      <c r="D676" s="2151"/>
      <c r="E676" s="2151"/>
      <c r="F676" s="2151"/>
      <c r="G676" s="2151"/>
      <c r="H676" s="2151"/>
      <c r="I676" s="2151"/>
      <c r="J676" s="2157"/>
      <c r="K676" s="23"/>
      <c r="L676" s="2157"/>
      <c r="M676" s="2151"/>
      <c r="N676" s="2157"/>
      <c r="O676" s="2157"/>
      <c r="P676" s="2157"/>
      <c r="Q676" s="2157"/>
      <c r="R676" s="1398"/>
      <c r="S676" s="1398"/>
      <c r="T676" s="1398"/>
      <c r="U676" s="1398"/>
      <c r="V676" s="1398"/>
      <c r="W676" s="1398"/>
      <c r="X676" s="1398"/>
      <c r="Y676" s="1398"/>
      <c r="Z676" s="1398"/>
      <c r="AA676" s="1398"/>
      <c r="AB676" s="1398"/>
      <c r="AC676" s="1398"/>
      <c r="AD676" s="1398"/>
      <c r="AE676" s="1398"/>
      <c r="AF676" s="1398"/>
      <c r="AG676" s="1398"/>
      <c r="AH676" s="1398"/>
      <c r="AI676" s="1398"/>
      <c r="AJ676" s="1398"/>
    </row>
    <row r="677" spans="1:36" ht="15" customHeight="1" x14ac:dyDescent="0.3">
      <c r="A677" s="1398"/>
      <c r="B677" s="2162" t="s">
        <v>2543</v>
      </c>
      <c r="C677" s="2151"/>
      <c r="D677" s="2151"/>
      <c r="E677" s="2151"/>
      <c r="F677" s="2151"/>
      <c r="G677" s="2151"/>
      <c r="H677" s="2151"/>
      <c r="I677" s="2151"/>
      <c r="J677" s="2157"/>
      <c r="K677" s="23"/>
      <c r="L677" s="2157"/>
      <c r="M677" s="2151"/>
      <c r="N677" s="2157"/>
      <c r="O677" s="2157"/>
      <c r="P677" s="2157"/>
      <c r="Q677" s="2157"/>
      <c r="R677" s="1398"/>
      <c r="S677" s="1398"/>
      <c r="T677" s="1398"/>
      <c r="U677" s="1398"/>
      <c r="V677" s="1398"/>
      <c r="W677" s="1398"/>
      <c r="X677" s="1398"/>
      <c r="Y677" s="1398"/>
      <c r="Z677" s="1398"/>
      <c r="AA677" s="1398"/>
      <c r="AB677" s="1398"/>
      <c r="AC677" s="1398"/>
      <c r="AD677" s="1398"/>
      <c r="AE677" s="1398"/>
      <c r="AF677" s="1398"/>
      <c r="AG677" s="1398"/>
      <c r="AH677" s="1398"/>
      <c r="AI677" s="1398"/>
      <c r="AJ677" s="1398"/>
    </row>
    <row r="678" spans="1:36" ht="15" customHeight="1" x14ac:dyDescent="0.3">
      <c r="A678" s="1398"/>
      <c r="B678" s="2163" t="s">
        <v>1760</v>
      </c>
      <c r="C678" s="2151"/>
      <c r="D678" s="2151"/>
      <c r="E678" s="2151"/>
      <c r="F678" s="2151"/>
      <c r="G678" s="2151"/>
      <c r="H678" s="2151"/>
      <c r="I678" s="2151"/>
      <c r="J678" s="2157"/>
      <c r="K678" s="23"/>
      <c r="L678" s="2157"/>
      <c r="M678" s="2151"/>
      <c r="N678" s="2157"/>
      <c r="O678" s="2157"/>
      <c r="P678" s="2157"/>
      <c r="Q678" s="2157"/>
      <c r="R678" s="1398"/>
      <c r="S678" s="1398"/>
      <c r="T678" s="1398"/>
      <c r="U678" s="1398"/>
      <c r="V678" s="1398"/>
      <c r="W678" s="1398"/>
      <c r="X678" s="1398"/>
      <c r="Y678" s="1398"/>
      <c r="Z678" s="1398"/>
      <c r="AA678" s="1398"/>
      <c r="AB678" s="1398"/>
      <c r="AC678" s="1398"/>
      <c r="AD678" s="1398"/>
      <c r="AE678" s="1398"/>
      <c r="AF678" s="1398"/>
      <c r="AG678" s="1398"/>
      <c r="AH678" s="1398"/>
      <c r="AI678" s="1398"/>
      <c r="AJ678" s="1398"/>
    </row>
    <row r="679" spans="1:36" ht="15" customHeight="1" x14ac:dyDescent="0.3">
      <c r="A679" s="1398"/>
      <c r="B679" s="2162" t="s">
        <v>2543</v>
      </c>
      <c r="C679" s="2151"/>
      <c r="D679" s="2151"/>
      <c r="E679" s="2151"/>
      <c r="F679" s="2151"/>
      <c r="G679" s="2151"/>
      <c r="H679" s="2151"/>
      <c r="I679" s="2151"/>
      <c r="J679" s="2157"/>
      <c r="K679" s="23"/>
      <c r="L679" s="2157"/>
      <c r="M679" s="2151"/>
      <c r="N679" s="2157"/>
      <c r="O679" s="2157"/>
      <c r="P679" s="2157"/>
      <c r="Q679" s="2157"/>
      <c r="R679" s="1398"/>
      <c r="S679" s="1398"/>
      <c r="T679" s="1398"/>
      <c r="U679" s="1398"/>
      <c r="V679" s="1398"/>
      <c r="W679" s="1398"/>
      <c r="X679" s="1398"/>
      <c r="Y679" s="1398"/>
      <c r="Z679" s="1398"/>
      <c r="AA679" s="1398"/>
      <c r="AB679" s="1398"/>
      <c r="AC679" s="1398"/>
      <c r="AD679" s="1398"/>
      <c r="AE679" s="1398"/>
      <c r="AF679" s="1398"/>
      <c r="AG679" s="1398"/>
      <c r="AH679" s="1398"/>
      <c r="AI679" s="1398"/>
      <c r="AJ679" s="1398"/>
    </row>
    <row r="680" spans="1:36" ht="15" customHeight="1" x14ac:dyDescent="0.35">
      <c r="A680" s="1398"/>
      <c r="B680" s="2164" t="s">
        <v>2545</v>
      </c>
      <c r="C680" s="2159" t="str">
        <f t="shared" ref="C680:I680" si="98">IF(AND(ISNUMBER(C681),ISNUMBER(C683)),C681+C683,"")</f>
        <v/>
      </c>
      <c r="D680" s="2159" t="str">
        <f t="shared" si="98"/>
        <v/>
      </c>
      <c r="E680" s="2159" t="str">
        <f t="shared" si="98"/>
        <v/>
      </c>
      <c r="F680" s="2159" t="str">
        <f t="shared" si="98"/>
        <v/>
      </c>
      <c r="G680" s="2159" t="str">
        <f t="shared" si="98"/>
        <v/>
      </c>
      <c r="H680" s="2159" t="str">
        <f t="shared" si="98"/>
        <v/>
      </c>
      <c r="I680" s="2159" t="str">
        <f t="shared" si="98"/>
        <v/>
      </c>
      <c r="J680" s="2157"/>
      <c r="K680" s="2159" t="str">
        <f>IF(AND(ISNUMBER(K681),ISNUMBER(K683)),K681+K683,"")</f>
        <v/>
      </c>
      <c r="L680" s="2157"/>
      <c r="M680" s="2159" t="str">
        <f>IF(AND(ISNUMBER(M681),ISNUMBER(M683)),M681+M683,"")</f>
        <v/>
      </c>
      <c r="N680" s="2157"/>
      <c r="O680" s="2157"/>
      <c r="P680" s="2157"/>
      <c r="Q680" s="2157"/>
      <c r="R680" s="1398"/>
      <c r="S680" s="1398"/>
      <c r="T680" s="1398"/>
      <c r="U680" s="1398"/>
      <c r="V680" s="1398"/>
      <c r="W680" s="1398"/>
      <c r="X680" s="1398"/>
      <c r="Y680" s="1398"/>
      <c r="Z680" s="1398"/>
      <c r="AA680" s="1398"/>
      <c r="AB680" s="1398"/>
      <c r="AC680" s="1398"/>
      <c r="AD680" s="1398"/>
      <c r="AE680" s="1398"/>
      <c r="AF680" s="1398"/>
      <c r="AG680" s="1398"/>
      <c r="AH680" s="1398"/>
      <c r="AI680" s="1398"/>
      <c r="AJ680" s="1398"/>
    </row>
    <row r="681" spans="1:36" ht="15" customHeight="1" x14ac:dyDescent="0.3">
      <c r="A681" s="1398"/>
      <c r="B681" s="2163" t="s">
        <v>2544</v>
      </c>
      <c r="C681" s="2151"/>
      <c r="D681" s="2151"/>
      <c r="E681" s="2151"/>
      <c r="F681" s="2151"/>
      <c r="G681" s="2151"/>
      <c r="H681" s="2151"/>
      <c r="I681" s="2151"/>
      <c r="J681" s="2157"/>
      <c r="K681" s="2151"/>
      <c r="L681" s="2157"/>
      <c r="M681" s="2151"/>
      <c r="N681" s="2157"/>
      <c r="O681" s="2157"/>
      <c r="P681" s="2157"/>
      <c r="Q681" s="2157"/>
      <c r="R681" s="1398"/>
      <c r="S681" s="1398"/>
      <c r="T681" s="1398"/>
      <c r="U681" s="1398"/>
      <c r="V681" s="1398"/>
      <c r="W681" s="1398"/>
      <c r="X681" s="1398"/>
      <c r="Y681" s="1398"/>
      <c r="Z681" s="1398"/>
      <c r="AA681" s="1398"/>
      <c r="AB681" s="1398"/>
      <c r="AC681" s="1398"/>
      <c r="AD681" s="1398"/>
      <c r="AE681" s="1398"/>
      <c r="AF681" s="1398"/>
      <c r="AG681" s="1398"/>
      <c r="AH681" s="1398"/>
      <c r="AI681" s="1398"/>
      <c r="AJ681" s="1398"/>
    </row>
    <row r="682" spans="1:36" ht="15" customHeight="1" x14ac:dyDescent="0.3">
      <c r="A682" s="1398"/>
      <c r="B682" s="2162" t="s">
        <v>2543</v>
      </c>
      <c r="C682" s="2151"/>
      <c r="D682" s="2151"/>
      <c r="E682" s="2151"/>
      <c r="F682" s="2151"/>
      <c r="G682" s="2151"/>
      <c r="H682" s="2151"/>
      <c r="I682" s="2151"/>
      <c r="J682" s="2157"/>
      <c r="K682" s="2151"/>
      <c r="L682" s="2157"/>
      <c r="M682" s="2151"/>
      <c r="N682" s="2157"/>
      <c r="O682" s="2157"/>
      <c r="P682" s="2157"/>
      <c r="Q682" s="2157"/>
      <c r="R682" s="1398"/>
      <c r="S682" s="1398"/>
      <c r="T682" s="1398"/>
      <c r="U682" s="1398"/>
      <c r="V682" s="1398"/>
      <c r="W682" s="1398"/>
      <c r="X682" s="1398"/>
      <c r="Y682" s="1398"/>
      <c r="Z682" s="1398"/>
      <c r="AA682" s="1398"/>
      <c r="AB682" s="1398"/>
      <c r="AC682" s="1398"/>
      <c r="AD682" s="1398"/>
      <c r="AE682" s="1398"/>
      <c r="AF682" s="1398"/>
      <c r="AG682" s="1398"/>
      <c r="AH682" s="1398"/>
      <c r="AI682" s="1398"/>
      <c r="AJ682" s="1398"/>
    </row>
    <row r="683" spans="1:36" ht="15" customHeight="1" x14ac:dyDescent="0.3">
      <c r="A683" s="1398"/>
      <c r="B683" s="2163" t="s">
        <v>1760</v>
      </c>
      <c r="C683" s="2151"/>
      <c r="D683" s="2151"/>
      <c r="E683" s="2151"/>
      <c r="F683" s="2151"/>
      <c r="G683" s="2151"/>
      <c r="H683" s="2151"/>
      <c r="I683" s="2151"/>
      <c r="J683" s="2157"/>
      <c r="K683" s="2151"/>
      <c r="L683" s="2157"/>
      <c r="M683" s="2151"/>
      <c r="N683" s="2157"/>
      <c r="O683" s="2157"/>
      <c r="P683" s="2157"/>
      <c r="Q683" s="2157"/>
      <c r="R683" s="1398"/>
      <c r="S683" s="1398"/>
      <c r="T683" s="1398"/>
      <c r="U683" s="1398"/>
      <c r="V683" s="1398"/>
      <c r="W683" s="1398"/>
      <c r="X683" s="1398"/>
      <c r="Y683" s="1398"/>
      <c r="Z683" s="1398"/>
      <c r="AA683" s="1398"/>
      <c r="AB683" s="1398"/>
      <c r="AC683" s="1398"/>
      <c r="AD683" s="1398"/>
      <c r="AE683" s="1398"/>
      <c r="AF683" s="1398"/>
      <c r="AG683" s="1398"/>
      <c r="AH683" s="1398"/>
      <c r="AI683" s="1398"/>
      <c r="AJ683" s="1398"/>
    </row>
    <row r="684" spans="1:36" ht="15" customHeight="1" x14ac:dyDescent="0.3">
      <c r="A684" s="1398"/>
      <c r="B684" s="2162" t="s">
        <v>2543</v>
      </c>
      <c r="C684" s="2151"/>
      <c r="D684" s="2151"/>
      <c r="E684" s="2151"/>
      <c r="F684" s="2151"/>
      <c r="G684" s="2151"/>
      <c r="H684" s="2151"/>
      <c r="I684" s="2151"/>
      <c r="J684" s="2157"/>
      <c r="K684" s="2151"/>
      <c r="L684" s="2157"/>
      <c r="M684" s="2151"/>
      <c r="N684" s="2157"/>
      <c r="O684" s="2157"/>
      <c r="P684" s="2157"/>
      <c r="Q684" s="2157"/>
      <c r="R684" s="1398"/>
      <c r="S684" s="1398"/>
      <c r="T684" s="1398"/>
      <c r="U684" s="1398"/>
      <c r="V684" s="1398"/>
      <c r="W684" s="1398"/>
      <c r="X684" s="1398"/>
      <c r="Y684" s="1398"/>
      <c r="Z684" s="1398"/>
      <c r="AA684" s="1398"/>
      <c r="AB684" s="1398"/>
      <c r="AC684" s="1398"/>
      <c r="AD684" s="1398"/>
      <c r="AE684" s="1398"/>
      <c r="AF684" s="1398"/>
      <c r="AG684" s="1398"/>
      <c r="AH684" s="1398"/>
      <c r="AI684" s="1398"/>
      <c r="AJ684" s="1398"/>
    </row>
    <row r="685" spans="1:36" ht="15" customHeight="1" x14ac:dyDescent="0.3">
      <c r="A685" s="1398"/>
      <c r="B685" s="2178" t="s">
        <v>1941</v>
      </c>
      <c r="C685" s="2151"/>
      <c r="D685" s="2151"/>
      <c r="E685" s="2151"/>
      <c r="F685" s="2151"/>
      <c r="G685" s="2151"/>
      <c r="H685" s="2151"/>
      <c r="I685" s="2151"/>
      <c r="J685" s="2157"/>
      <c r="K685" s="2151"/>
      <c r="L685" s="2157"/>
      <c r="M685" s="2151"/>
      <c r="N685" s="2157"/>
      <c r="O685" s="2157"/>
      <c r="P685" s="2157"/>
      <c r="Q685" s="2157"/>
      <c r="R685" s="1398"/>
      <c r="S685" s="1398"/>
      <c r="T685" s="1398"/>
      <c r="U685" s="1398"/>
      <c r="V685" s="1398"/>
      <c r="W685" s="1398"/>
      <c r="X685" s="1398"/>
      <c r="Y685" s="1398"/>
      <c r="Z685" s="1398"/>
      <c r="AA685" s="1398"/>
      <c r="AB685" s="1398"/>
      <c r="AC685" s="1398"/>
      <c r="AD685" s="1398"/>
      <c r="AE685" s="1398"/>
      <c r="AF685" s="1398"/>
      <c r="AG685" s="1398"/>
      <c r="AH685" s="1398"/>
      <c r="AI685" s="1398"/>
      <c r="AJ685" s="1398"/>
    </row>
    <row r="686" spans="1:36" ht="15" customHeight="1" x14ac:dyDescent="0.35">
      <c r="A686" s="1398"/>
      <c r="B686" s="2178" t="s">
        <v>2542</v>
      </c>
      <c r="C686" s="2159" t="str">
        <f t="shared" ref="C686:I686" si="99">IF(AND(ISNUMBER(C687),ISNUMBER(C688)),C687+C688,"")</f>
        <v/>
      </c>
      <c r="D686" s="2159" t="str">
        <f t="shared" si="99"/>
        <v/>
      </c>
      <c r="E686" s="2159" t="str">
        <f t="shared" si="99"/>
        <v/>
      </c>
      <c r="F686" s="2159" t="str">
        <f t="shared" si="99"/>
        <v/>
      </c>
      <c r="G686" s="2159" t="str">
        <f t="shared" si="99"/>
        <v/>
      </c>
      <c r="H686" s="2159" t="str">
        <f t="shared" si="99"/>
        <v/>
      </c>
      <c r="I686" s="2159" t="str">
        <f t="shared" si="99"/>
        <v/>
      </c>
      <c r="J686" s="2157"/>
      <c r="K686" s="2159" t="str">
        <f>IF(AND(ISNUMBER(K687),ISNUMBER(K688)),K687+K688,"")</f>
        <v/>
      </c>
      <c r="L686" s="2157"/>
      <c r="M686" s="2159" t="str">
        <f>IF(AND(ISNUMBER(M687),ISNUMBER(M688)),M687+M688,"")</f>
        <v/>
      </c>
      <c r="N686" s="2157"/>
      <c r="O686" s="2157"/>
      <c r="P686" s="2157"/>
      <c r="Q686" s="2157"/>
      <c r="R686" s="1398"/>
      <c r="S686" s="1398"/>
      <c r="T686" s="1398"/>
      <c r="U686" s="1398"/>
      <c r="V686" s="1398"/>
      <c r="W686" s="1398"/>
      <c r="X686" s="1398"/>
      <c r="Y686" s="1398"/>
      <c r="Z686" s="1398"/>
      <c r="AA686" s="1398"/>
      <c r="AB686" s="1398"/>
      <c r="AC686" s="1398"/>
      <c r="AD686" s="1398"/>
      <c r="AE686" s="1398"/>
      <c r="AF686" s="1398"/>
      <c r="AG686" s="1398"/>
      <c r="AH686" s="1398"/>
      <c r="AI686" s="1398"/>
      <c r="AJ686" s="1398"/>
    </row>
    <row r="687" spans="1:36" ht="15" customHeight="1" x14ac:dyDescent="0.3">
      <c r="A687" s="1398"/>
      <c r="B687" s="2161" t="s">
        <v>2541</v>
      </c>
      <c r="C687" s="2151"/>
      <c r="D687" s="2151"/>
      <c r="E687" s="2151"/>
      <c r="F687" s="2151"/>
      <c r="G687" s="2151"/>
      <c r="H687" s="2151"/>
      <c r="I687" s="2151"/>
      <c r="J687" s="2157"/>
      <c r="K687" s="2151"/>
      <c r="L687" s="2157"/>
      <c r="M687" s="2151"/>
      <c r="N687" s="2157"/>
      <c r="O687" s="2157"/>
      <c r="P687" s="2157"/>
      <c r="Q687" s="2157"/>
      <c r="R687" s="1398"/>
      <c r="S687" s="1398"/>
      <c r="T687" s="1398"/>
      <c r="U687" s="1398"/>
      <c r="V687" s="1398"/>
      <c r="W687" s="1398"/>
      <c r="X687" s="1398"/>
      <c r="Y687" s="1398"/>
      <c r="Z687" s="1398"/>
      <c r="AA687" s="1398"/>
      <c r="AB687" s="1398"/>
      <c r="AC687" s="1398"/>
      <c r="AD687" s="1398"/>
      <c r="AE687" s="1398"/>
      <c r="AF687" s="1398"/>
      <c r="AG687" s="1398"/>
      <c r="AH687" s="1398"/>
      <c r="AI687" s="1398"/>
      <c r="AJ687" s="1398"/>
    </row>
    <row r="688" spans="1:36" ht="15" customHeight="1" x14ac:dyDescent="0.3">
      <c r="A688" s="1398"/>
      <c r="B688" s="2177" t="s">
        <v>1760</v>
      </c>
      <c r="C688" s="2151"/>
      <c r="D688" s="2151"/>
      <c r="E688" s="2151"/>
      <c r="F688" s="2151"/>
      <c r="G688" s="2151"/>
      <c r="H688" s="2151"/>
      <c r="I688" s="2151"/>
      <c r="J688" s="2157"/>
      <c r="K688" s="2151"/>
      <c r="L688" s="2157"/>
      <c r="M688" s="2151"/>
      <c r="N688" s="2157"/>
      <c r="O688" s="2157"/>
      <c r="P688" s="2157"/>
      <c r="Q688" s="2157"/>
      <c r="R688" s="1398"/>
      <c r="S688" s="1398"/>
      <c r="T688" s="1398"/>
      <c r="U688" s="1398"/>
      <c r="V688" s="1398"/>
      <c r="W688" s="1398"/>
      <c r="X688" s="1398"/>
      <c r="Y688" s="1398"/>
      <c r="Z688" s="1398"/>
      <c r="AA688" s="1398"/>
      <c r="AB688" s="1398"/>
      <c r="AC688" s="1398"/>
      <c r="AD688" s="1398"/>
      <c r="AE688" s="1398"/>
      <c r="AF688" s="1398"/>
      <c r="AG688" s="1398"/>
      <c r="AH688" s="1398"/>
      <c r="AI688" s="1398"/>
      <c r="AJ688" s="1398"/>
    </row>
    <row r="689" spans="1:36" ht="15" customHeight="1" x14ac:dyDescent="0.35">
      <c r="A689" s="1398"/>
      <c r="B689" s="2160" t="s">
        <v>2540</v>
      </c>
      <c r="C689" s="2159" t="str">
        <f t="shared" ref="C689:I689" si="100">IF(AND(ISNUMBER(C690),ISNUMBER(C691)),C690+C691,"")</f>
        <v/>
      </c>
      <c r="D689" s="2159" t="str">
        <f t="shared" si="100"/>
        <v/>
      </c>
      <c r="E689" s="2159" t="str">
        <f t="shared" si="100"/>
        <v/>
      </c>
      <c r="F689" s="2159" t="str">
        <f t="shared" si="100"/>
        <v/>
      </c>
      <c r="G689" s="2159" t="str">
        <f t="shared" si="100"/>
        <v/>
      </c>
      <c r="H689" s="2159" t="str">
        <f t="shared" si="100"/>
        <v/>
      </c>
      <c r="I689" s="2159" t="str">
        <f t="shared" si="100"/>
        <v/>
      </c>
      <c r="J689" s="2157"/>
      <c r="K689" s="2159" t="str">
        <f>IF(AND(ISNUMBER(K690),ISNUMBER(K691)),K690+K691,"")</f>
        <v/>
      </c>
      <c r="L689" s="2157"/>
      <c r="M689" s="2159" t="str">
        <f>IF(AND(ISNUMBER(M690),ISNUMBER(M691)),M690+M691,"")</f>
        <v/>
      </c>
      <c r="N689" s="2157"/>
      <c r="O689" s="2157"/>
      <c r="P689" s="2157"/>
      <c r="Q689" s="2157"/>
      <c r="R689" s="1398"/>
      <c r="S689" s="1398"/>
      <c r="T689" s="1398"/>
      <c r="U689" s="1398"/>
      <c r="V689" s="1398"/>
      <c r="W689" s="1398"/>
      <c r="X689" s="1398"/>
      <c r="Y689" s="1398"/>
      <c r="Z689" s="1398"/>
      <c r="AA689" s="1398"/>
      <c r="AB689" s="1398"/>
      <c r="AC689" s="1398"/>
      <c r="AD689" s="1398"/>
      <c r="AE689" s="1398"/>
      <c r="AF689" s="1398"/>
      <c r="AG689" s="1398"/>
      <c r="AH689" s="1398"/>
      <c r="AI689" s="1398"/>
      <c r="AJ689" s="1398"/>
    </row>
    <row r="690" spans="1:36" ht="15" customHeight="1" x14ac:dyDescent="0.3">
      <c r="A690" s="1398"/>
      <c r="B690" s="2158" t="s">
        <v>2539</v>
      </c>
      <c r="C690" s="2151"/>
      <c r="D690" s="2151"/>
      <c r="E690" s="2151"/>
      <c r="F690" s="2151"/>
      <c r="G690" s="2151"/>
      <c r="H690" s="2151"/>
      <c r="I690" s="2151"/>
      <c r="J690" s="2157"/>
      <c r="K690" s="2151"/>
      <c r="L690" s="2157"/>
      <c r="M690" s="2151"/>
      <c r="N690" s="2157"/>
      <c r="O690" s="2157"/>
      <c r="P690" s="2157"/>
      <c r="Q690" s="2157"/>
      <c r="R690" s="1398"/>
      <c r="S690" s="1398"/>
      <c r="T690" s="1398"/>
      <c r="U690" s="1398"/>
      <c r="V690" s="1398"/>
      <c r="W690" s="1398"/>
      <c r="X690" s="1398"/>
      <c r="Y690" s="1398"/>
      <c r="Z690" s="1398"/>
      <c r="AA690" s="1398"/>
      <c r="AB690" s="1398"/>
      <c r="AC690" s="1398"/>
      <c r="AD690" s="1398"/>
      <c r="AE690" s="1398"/>
      <c r="AF690" s="1398"/>
      <c r="AG690" s="1398"/>
      <c r="AH690" s="1398"/>
      <c r="AI690" s="1398"/>
      <c r="AJ690" s="1398"/>
    </row>
    <row r="691" spans="1:36" ht="15" customHeight="1" x14ac:dyDescent="0.3">
      <c r="A691" s="1398"/>
      <c r="B691" s="2158" t="s">
        <v>1760</v>
      </c>
      <c r="C691" s="2151"/>
      <c r="D691" s="2151"/>
      <c r="E691" s="2151"/>
      <c r="F691" s="2151"/>
      <c r="G691" s="2151"/>
      <c r="H691" s="2151"/>
      <c r="I691" s="2151"/>
      <c r="J691" s="2157"/>
      <c r="K691" s="2151"/>
      <c r="L691" s="2157"/>
      <c r="M691" s="2151"/>
      <c r="N691" s="2157"/>
      <c r="O691" s="2157"/>
      <c r="P691" s="2157"/>
      <c r="Q691" s="2157"/>
      <c r="R691" s="1398"/>
      <c r="S691" s="1398"/>
      <c r="T691" s="1398"/>
      <c r="U691" s="1398"/>
      <c r="V691" s="1398"/>
      <c r="W691" s="1398"/>
      <c r="X691" s="1398"/>
      <c r="Y691" s="1398"/>
      <c r="Z691" s="1398"/>
      <c r="AA691" s="1398"/>
      <c r="AB691" s="1398"/>
      <c r="AC691" s="1398"/>
      <c r="AD691" s="1398"/>
      <c r="AE691" s="1398"/>
      <c r="AF691" s="1398"/>
      <c r="AG691" s="1398"/>
      <c r="AH691" s="1398"/>
      <c r="AI691" s="1398"/>
      <c r="AJ691" s="1398"/>
    </row>
    <row r="692" spans="1:36" ht="15" customHeight="1" x14ac:dyDescent="0.35">
      <c r="A692" s="1398"/>
      <c r="B692" s="569" t="s">
        <v>59</v>
      </c>
      <c r="C692" s="2156">
        <f t="shared" ref="C692:Q692" si="101">IF(AND(ISNUMBER(C694),ISNUMBER(C693)),SUM(C693:C694),0)</f>
        <v>0</v>
      </c>
      <c r="D692" s="2156">
        <f t="shared" si="101"/>
        <v>0</v>
      </c>
      <c r="E692" s="2156">
        <f t="shared" si="101"/>
        <v>0</v>
      </c>
      <c r="F692" s="2156">
        <f t="shared" si="101"/>
        <v>0</v>
      </c>
      <c r="G692" s="2156">
        <f t="shared" si="101"/>
        <v>0</v>
      </c>
      <c r="H692" s="2156">
        <f t="shared" si="101"/>
        <v>0</v>
      </c>
      <c r="I692" s="2156">
        <f t="shared" si="101"/>
        <v>0</v>
      </c>
      <c r="J692" s="2156">
        <f t="shared" si="101"/>
        <v>0</v>
      </c>
      <c r="K692" s="2156">
        <f t="shared" si="101"/>
        <v>0</v>
      </c>
      <c r="L692" s="2156">
        <f t="shared" si="101"/>
        <v>0</v>
      </c>
      <c r="M692" s="2156">
        <f t="shared" si="101"/>
        <v>0</v>
      </c>
      <c r="N692" s="2156">
        <f t="shared" si="101"/>
        <v>0</v>
      </c>
      <c r="O692" s="2156">
        <f t="shared" si="101"/>
        <v>0</v>
      </c>
      <c r="P692" s="2156">
        <f t="shared" si="101"/>
        <v>0</v>
      </c>
      <c r="Q692" s="2156">
        <f t="shared" si="101"/>
        <v>0</v>
      </c>
      <c r="R692" s="1398"/>
      <c r="S692" s="1398"/>
      <c r="T692" s="1398"/>
      <c r="U692" s="1398"/>
      <c r="V692" s="1398"/>
      <c r="W692" s="1398"/>
      <c r="X692" s="1398"/>
      <c r="Y692" s="1398"/>
      <c r="Z692" s="1398"/>
      <c r="AA692" s="1398"/>
      <c r="AB692" s="1398"/>
      <c r="AC692" s="1398"/>
      <c r="AD692" s="1398"/>
      <c r="AE692" s="1398"/>
    </row>
    <row r="693" spans="1:36" ht="15" customHeight="1" x14ac:dyDescent="0.3">
      <c r="A693" s="1398"/>
      <c r="B693" s="2155" t="s">
        <v>2538</v>
      </c>
      <c r="C693" s="2151"/>
      <c r="D693" s="2151"/>
      <c r="E693" s="2151"/>
      <c r="F693" s="2151"/>
      <c r="G693" s="2151"/>
      <c r="H693" s="2151"/>
      <c r="I693" s="23"/>
      <c r="J693" s="2151"/>
      <c r="K693" s="2151"/>
      <c r="L693" s="2151"/>
      <c r="M693" s="2151"/>
      <c r="N693" s="2151"/>
      <c r="O693" s="2151"/>
      <c r="P693" s="2151"/>
      <c r="Q693" s="2151"/>
      <c r="R693" s="1398"/>
      <c r="S693" s="1398"/>
      <c r="T693" s="1398"/>
      <c r="U693" s="1398"/>
      <c r="V693" s="1398"/>
      <c r="W693" s="1398"/>
      <c r="X693" s="1398"/>
      <c r="Y693" s="1398"/>
      <c r="Z693" s="1398"/>
      <c r="AA693" s="1398"/>
      <c r="AB693" s="1398"/>
      <c r="AC693" s="1398"/>
      <c r="AD693" s="1398"/>
      <c r="AE693" s="1398"/>
    </row>
    <row r="694" spans="1:36" ht="15" customHeight="1" x14ac:dyDescent="0.3">
      <c r="A694" s="1398"/>
      <c r="B694" s="2155" t="s">
        <v>2537</v>
      </c>
      <c r="C694" s="2151"/>
      <c r="D694" s="2151"/>
      <c r="E694" s="2151"/>
      <c r="F694" s="2151"/>
      <c r="G694" s="2151"/>
      <c r="H694" s="2151"/>
      <c r="I694" s="23"/>
      <c r="J694" s="2151"/>
      <c r="K694" s="2151"/>
      <c r="L694" s="2151"/>
      <c r="M694" s="2151"/>
      <c r="N694" s="2151"/>
      <c r="O694" s="2151"/>
      <c r="P694" s="2151"/>
      <c r="Q694" s="2151"/>
      <c r="R694" s="1398"/>
      <c r="S694" s="1398"/>
      <c r="T694" s="1398"/>
      <c r="U694" s="1398"/>
      <c r="V694" s="1398"/>
      <c r="W694" s="1398"/>
      <c r="X694" s="1398"/>
      <c r="Y694" s="1398"/>
      <c r="Z694" s="1398"/>
      <c r="AA694" s="1398"/>
      <c r="AB694" s="1398"/>
      <c r="AC694" s="1398"/>
      <c r="AD694" s="1398"/>
      <c r="AE694" s="1398"/>
    </row>
    <row r="695" spans="1:36" ht="15" customHeight="1" x14ac:dyDescent="0.3">
      <c r="A695" s="1398"/>
      <c r="B695" s="2154" t="str">
        <f>"Check: row " &amp; ROW(B692) &amp;" = sum(row " &amp; ROW(B693) &amp; ", row "&amp; ROW(B694)&amp;")"</f>
        <v>Check: row 692 = sum(row 693, row 694)</v>
      </c>
      <c r="C695" s="2153" t="str">
        <f t="shared" ref="C695:Q695" si="102">IF(AND(ISNUMBER(C693), ISNUMBER(C694)), IF(C692=SUM(C693:C694), "Pass", "Fail"), "")</f>
        <v/>
      </c>
      <c r="D695" s="2153" t="str">
        <f t="shared" si="102"/>
        <v/>
      </c>
      <c r="E695" s="2153" t="str">
        <f t="shared" si="102"/>
        <v/>
      </c>
      <c r="F695" s="2153" t="str">
        <f t="shared" si="102"/>
        <v/>
      </c>
      <c r="G695" s="2153" t="str">
        <f t="shared" si="102"/>
        <v/>
      </c>
      <c r="H695" s="2153" t="str">
        <f t="shared" si="102"/>
        <v/>
      </c>
      <c r="I695" s="2153" t="str">
        <f t="shared" si="102"/>
        <v/>
      </c>
      <c r="J695" s="2153" t="str">
        <f t="shared" si="102"/>
        <v/>
      </c>
      <c r="K695" s="2153" t="str">
        <f t="shared" si="102"/>
        <v/>
      </c>
      <c r="L695" s="2153" t="str">
        <f t="shared" si="102"/>
        <v/>
      </c>
      <c r="M695" s="2153" t="str">
        <f t="shared" si="102"/>
        <v/>
      </c>
      <c r="N695" s="2153" t="str">
        <f t="shared" si="102"/>
        <v/>
      </c>
      <c r="O695" s="2153" t="str">
        <f t="shared" si="102"/>
        <v/>
      </c>
      <c r="P695" s="2153" t="str">
        <f t="shared" si="102"/>
        <v/>
      </c>
      <c r="Q695" s="2153" t="str">
        <f t="shared" si="102"/>
        <v/>
      </c>
      <c r="R695" s="1398"/>
      <c r="S695" s="1398"/>
      <c r="T695" s="1398"/>
      <c r="U695" s="1398"/>
      <c r="V695" s="1398"/>
      <c r="W695" s="1398"/>
      <c r="X695" s="1398"/>
      <c r="Y695" s="1398"/>
      <c r="Z695" s="1398"/>
      <c r="AA695" s="1398"/>
      <c r="AB695" s="1398"/>
      <c r="AC695" s="1398"/>
      <c r="AD695" s="1398"/>
      <c r="AE695" s="1398"/>
    </row>
    <row r="696" spans="1:36" ht="15" customHeight="1" x14ac:dyDescent="0.3">
      <c r="A696" s="1398"/>
      <c r="B696" s="2152" t="s">
        <v>2536</v>
      </c>
      <c r="C696" s="2151"/>
      <c r="D696" s="1398"/>
      <c r="E696" s="1398"/>
      <c r="F696" s="1398"/>
      <c r="G696" s="1398"/>
      <c r="H696" s="1398"/>
      <c r="I696" s="1398"/>
      <c r="J696" s="1398"/>
      <c r="K696" s="1398"/>
      <c r="L696" s="1398"/>
      <c r="M696" s="1398"/>
      <c r="N696" s="1398"/>
      <c r="O696" s="1398"/>
      <c r="P696" s="1398"/>
      <c r="Q696" s="1398"/>
      <c r="R696" s="1398"/>
      <c r="S696" s="1398"/>
      <c r="T696" s="1398"/>
      <c r="U696" s="1398"/>
      <c r="V696" s="1398"/>
      <c r="W696" s="1398"/>
      <c r="X696" s="1398"/>
      <c r="Y696" s="1398"/>
      <c r="Z696" s="1398"/>
      <c r="AA696" s="1398"/>
      <c r="AB696" s="1398"/>
      <c r="AC696" s="1398"/>
      <c r="AD696" s="1398"/>
      <c r="AE696" s="1398"/>
    </row>
    <row r="697" spans="1:36" ht="15" customHeight="1" x14ac:dyDescent="0.3">
      <c r="A697" s="1398"/>
      <c r="B697" s="2150" t="s">
        <v>2535</v>
      </c>
      <c r="C697" s="2149"/>
      <c r="D697" s="1398"/>
      <c r="E697" s="1398"/>
      <c r="F697" s="1398"/>
      <c r="G697" s="1398"/>
      <c r="H697" s="1398"/>
      <c r="I697" s="1398"/>
      <c r="J697" s="1398"/>
      <c r="K697" s="1398"/>
      <c r="L697" s="1398"/>
      <c r="M697" s="1398"/>
      <c r="N697" s="1398"/>
      <c r="O697" s="1398"/>
      <c r="P697" s="1398"/>
      <c r="Q697" s="1398"/>
      <c r="R697" s="1398"/>
      <c r="S697" s="1398"/>
      <c r="T697" s="1398"/>
      <c r="U697" s="1398"/>
      <c r="V697" s="1398"/>
      <c r="W697" s="1398"/>
      <c r="X697" s="1398"/>
      <c r="Y697" s="1398"/>
      <c r="Z697" s="1398"/>
      <c r="AA697" s="1398"/>
      <c r="AB697" s="1398"/>
      <c r="AC697" s="1398"/>
      <c r="AD697" s="1398"/>
      <c r="AE697" s="1398"/>
    </row>
    <row r="698" spans="1:36" ht="15" customHeight="1" x14ac:dyDescent="0.35">
      <c r="A698" s="1398"/>
      <c r="D698" s="1398"/>
      <c r="E698" s="1398"/>
      <c r="F698" s="1398"/>
      <c r="G698" s="1398"/>
      <c r="H698" s="1398"/>
      <c r="I698" s="1398"/>
      <c r="J698" s="1398"/>
      <c r="K698" s="1398"/>
      <c r="L698" s="1398"/>
      <c r="M698" s="1398"/>
      <c r="N698" s="1398"/>
      <c r="O698" s="1398"/>
      <c r="P698" s="1398"/>
      <c r="Q698" s="1398"/>
      <c r="R698" s="1398"/>
      <c r="S698" s="1398"/>
      <c r="T698" s="1398"/>
      <c r="U698" s="1398"/>
      <c r="V698" s="1398"/>
      <c r="W698" s="1398"/>
      <c r="X698" s="1398"/>
      <c r="Y698" s="1398"/>
      <c r="Z698" s="1398"/>
      <c r="AA698" s="1398"/>
      <c r="AB698" s="1398"/>
      <c r="AC698" s="1398"/>
      <c r="AD698" s="1398"/>
      <c r="AE698" s="1398"/>
      <c r="AF698" s="1398"/>
      <c r="AG698" s="1398"/>
      <c r="AH698" s="1398"/>
      <c r="AI698" s="1398"/>
      <c r="AJ698" s="1398"/>
    </row>
    <row r="699" spans="1:36" ht="15" customHeight="1" x14ac:dyDescent="0.3">
      <c r="A699" s="2176" t="s">
        <v>2573</v>
      </c>
      <c r="B699" s="2186"/>
      <c r="C699" s="2174" t="s">
        <v>2566</v>
      </c>
      <c r="D699" s="2173" t="str">
        <f>IF(ISBLANK($T$7),"",IF($T$7="No","Please leave Panel B"&amp;COLUMN($T$7)-2&amp;" empty","Please fill in Panel B"&amp;COLUMN($T$7)-2))</f>
        <v/>
      </c>
      <c r="E699" s="1398"/>
      <c r="F699" s="1398"/>
      <c r="G699" s="1398"/>
      <c r="H699" s="1398"/>
      <c r="I699" s="1398"/>
      <c r="J699" s="1398"/>
      <c r="K699" s="1398"/>
      <c r="L699" s="1398"/>
      <c r="M699" s="1398"/>
      <c r="N699" s="1398"/>
      <c r="O699" s="1398"/>
      <c r="P699" s="1398"/>
      <c r="Q699" s="1398"/>
      <c r="R699" s="1398"/>
      <c r="S699" s="1398"/>
      <c r="T699" s="1398"/>
      <c r="U699" s="1398"/>
      <c r="V699" s="1398"/>
      <c r="W699" s="1398"/>
      <c r="X699" s="1398"/>
      <c r="Y699" s="1398"/>
      <c r="Z699" s="1398"/>
      <c r="AA699" s="1398"/>
      <c r="AB699" s="1398"/>
      <c r="AC699" s="1398"/>
      <c r="AD699" s="1398"/>
      <c r="AE699" s="1398"/>
      <c r="AF699" s="1398"/>
      <c r="AG699" s="1398"/>
      <c r="AH699" s="1398"/>
      <c r="AI699" s="1398"/>
      <c r="AJ699" s="1398"/>
    </row>
    <row r="700" spans="1:36" ht="15" customHeight="1" x14ac:dyDescent="0.35">
      <c r="A700" s="1398"/>
      <c r="C700" s="2980" t="s">
        <v>207</v>
      </c>
      <c r="D700" s="2980"/>
      <c r="E700" s="2980"/>
      <c r="F700" s="2980"/>
      <c r="G700" s="2980"/>
      <c r="H700" s="2980"/>
      <c r="I700" s="2980"/>
      <c r="J700" s="2980"/>
      <c r="K700" s="2980"/>
      <c r="L700" s="2981"/>
      <c r="M700" s="2982" t="s">
        <v>2559</v>
      </c>
      <c r="N700" s="2984" t="s">
        <v>2565</v>
      </c>
      <c r="O700" s="2985"/>
      <c r="P700" s="2985"/>
      <c r="Q700" s="2985"/>
      <c r="R700" s="1398"/>
      <c r="S700" s="1398"/>
      <c r="T700" s="1398"/>
      <c r="U700" s="1398"/>
      <c r="V700" s="1398"/>
      <c r="W700" s="1398"/>
      <c r="X700" s="1398"/>
      <c r="Y700" s="1398"/>
      <c r="Z700" s="1398"/>
      <c r="AA700" s="1398"/>
      <c r="AB700" s="1398"/>
      <c r="AC700" s="1398"/>
      <c r="AD700" s="1398"/>
      <c r="AE700" s="1398"/>
      <c r="AF700" s="1398"/>
      <c r="AG700" s="1398"/>
      <c r="AH700" s="1398"/>
      <c r="AI700" s="1398"/>
      <c r="AJ700" s="1398"/>
    </row>
    <row r="701" spans="1:36" ht="15" customHeight="1" x14ac:dyDescent="0.35">
      <c r="A701" s="1398"/>
      <c r="B701" s="2172"/>
      <c r="C701" s="2967" t="s">
        <v>2564</v>
      </c>
      <c r="D701" s="2973" t="s">
        <v>465</v>
      </c>
      <c r="E701" s="2974"/>
      <c r="F701" s="2974"/>
      <c r="G701" s="2974"/>
      <c r="H701" s="2975"/>
      <c r="I701" s="2969" t="s">
        <v>2563</v>
      </c>
      <c r="J701" s="2969" t="s">
        <v>2562</v>
      </c>
      <c r="K701" s="2969" t="s">
        <v>2561</v>
      </c>
      <c r="L701" s="2969" t="s">
        <v>2560</v>
      </c>
      <c r="M701" s="2983"/>
      <c r="N701" s="2978" t="s">
        <v>207</v>
      </c>
      <c r="O701" s="2978" t="s">
        <v>2559</v>
      </c>
      <c r="P701" s="2969" t="s">
        <v>59</v>
      </c>
      <c r="Q701" s="2971" t="s">
        <v>2558</v>
      </c>
      <c r="R701" s="1398"/>
      <c r="S701" s="1398"/>
      <c r="T701" s="1398"/>
      <c r="U701" s="1398"/>
      <c r="V701" s="1398"/>
      <c r="W701" s="1398"/>
      <c r="X701" s="1398"/>
      <c r="Y701" s="1398"/>
      <c r="Z701" s="1398"/>
      <c r="AA701" s="1398"/>
      <c r="AB701" s="1398"/>
      <c r="AC701" s="1398"/>
      <c r="AD701" s="1398"/>
      <c r="AE701" s="1398"/>
      <c r="AF701" s="1398"/>
      <c r="AG701" s="1398"/>
      <c r="AH701" s="1398"/>
      <c r="AI701" s="1398"/>
      <c r="AJ701" s="1398"/>
    </row>
    <row r="702" spans="1:36" ht="36.75" customHeight="1" x14ac:dyDescent="0.35">
      <c r="A702" s="1398"/>
      <c r="B702" s="2171"/>
      <c r="C702" s="2968"/>
      <c r="D702" s="2170" t="s">
        <v>2557</v>
      </c>
      <c r="E702" s="2170" t="s">
        <v>2556</v>
      </c>
      <c r="F702" s="2170" t="s">
        <v>2555</v>
      </c>
      <c r="G702" s="2170" t="s">
        <v>2554</v>
      </c>
      <c r="H702" s="2170" t="s">
        <v>59</v>
      </c>
      <c r="I702" s="2970"/>
      <c r="J702" s="2970"/>
      <c r="K702" s="2970"/>
      <c r="L702" s="2970"/>
      <c r="M702" s="2970"/>
      <c r="N702" s="2979"/>
      <c r="O702" s="2979"/>
      <c r="P702" s="2970"/>
      <c r="Q702" s="2972"/>
      <c r="R702" s="1398"/>
      <c r="S702" s="1398"/>
      <c r="T702" s="1398"/>
      <c r="U702" s="1398"/>
      <c r="V702" s="1398"/>
      <c r="W702" s="1398"/>
      <c r="X702" s="1398"/>
      <c r="Y702" s="1398"/>
      <c r="Z702" s="1398"/>
      <c r="AA702" s="1398"/>
      <c r="AB702" s="1398"/>
      <c r="AC702" s="1398"/>
      <c r="AD702" s="1398"/>
      <c r="AE702" s="1398"/>
      <c r="AF702" s="1398"/>
      <c r="AG702" s="1398"/>
      <c r="AH702" s="1398"/>
      <c r="AI702" s="1398"/>
      <c r="AJ702" s="1398"/>
    </row>
    <row r="703" spans="1:36" ht="15" customHeight="1" x14ac:dyDescent="0.35">
      <c r="A703" s="1398"/>
      <c r="B703" s="2169" t="s">
        <v>2553</v>
      </c>
      <c r="C703" s="2168" t="str">
        <f t="shared" ref="C703:I703" si="103">IF(AND(ISNUMBER(C716),ISNUMBER(C712),ISNUMBER(C714),ISNUMBER(C704),ISNUMBER(C708),ISNUMBER(C706),ISNUMBER(C710),ISNUMBER(C718)),SUM(C704,C706,C708,C710,C712,C714,C716,C718),"")</f>
        <v/>
      </c>
      <c r="D703" s="2168" t="str">
        <f t="shared" si="103"/>
        <v/>
      </c>
      <c r="E703" s="2168" t="str">
        <f t="shared" si="103"/>
        <v/>
      </c>
      <c r="F703" s="2168" t="str">
        <f t="shared" si="103"/>
        <v/>
      </c>
      <c r="G703" s="2168" t="str">
        <f t="shared" si="103"/>
        <v/>
      </c>
      <c r="H703" s="2168" t="str">
        <f t="shared" si="103"/>
        <v/>
      </c>
      <c r="I703" s="2168" t="str">
        <f t="shared" si="103"/>
        <v/>
      </c>
      <c r="J703" s="2157"/>
      <c r="K703" s="2168" t="str">
        <f>IF(AND(ISNUMBER(K716),ISNUMBER(K712),ISNUMBER(K714),ISNUMBER(K704),ISNUMBER(K708),ISNUMBER(K706),ISNUMBER(K710),ISNUMBER(K718)),SUM(K704,K706,K708,K710,K712,K714,K716,K718),"")</f>
        <v/>
      </c>
      <c r="L703" s="2157"/>
      <c r="M703" s="2168" t="str">
        <f>IF(AND(ISNUMBER(M716),ISNUMBER(M712),ISNUMBER(M714),ISNUMBER(M704),ISNUMBER(M708),ISNUMBER(M706),ISNUMBER(M710),ISNUMBER(M718)),SUM(M704,M706,M708,M710,M712,M714,M716,M718),"")</f>
        <v/>
      </c>
      <c r="N703" s="2167"/>
      <c r="O703" s="2167"/>
      <c r="P703" s="2167"/>
      <c r="Q703" s="2167"/>
      <c r="R703" s="1398"/>
      <c r="S703" s="1398"/>
      <c r="T703" s="1398"/>
      <c r="U703" s="1398"/>
      <c r="V703" s="1398"/>
      <c r="W703" s="1398"/>
      <c r="X703" s="1398"/>
      <c r="Y703" s="1398"/>
      <c r="Z703" s="1398"/>
      <c r="AA703" s="1398"/>
      <c r="AB703" s="1398"/>
      <c r="AC703" s="1398"/>
      <c r="AD703" s="1398"/>
      <c r="AE703" s="1398"/>
      <c r="AF703" s="1398"/>
      <c r="AG703" s="1398"/>
      <c r="AH703" s="1398"/>
      <c r="AI703" s="1398"/>
      <c r="AJ703" s="1398"/>
    </row>
    <row r="704" spans="1:36" ht="15" customHeight="1" x14ac:dyDescent="0.3">
      <c r="A704" s="1398"/>
      <c r="B704" s="2155" t="s">
        <v>2552</v>
      </c>
      <c r="C704" s="2151"/>
      <c r="D704" s="2151"/>
      <c r="E704" s="2151"/>
      <c r="F704" s="2151"/>
      <c r="G704" s="2151"/>
      <c r="H704" s="2151"/>
      <c r="I704" s="23"/>
      <c r="J704" s="2157"/>
      <c r="K704" s="2151"/>
      <c r="L704" s="2157"/>
      <c r="M704" s="23"/>
      <c r="N704" s="2157"/>
      <c r="O704" s="2157"/>
      <c r="P704" s="2157"/>
      <c r="Q704" s="2157"/>
      <c r="R704" s="1398"/>
      <c r="S704" s="1398"/>
      <c r="T704" s="1398"/>
      <c r="U704" s="1398"/>
      <c r="V704" s="1398"/>
      <c r="W704" s="1398"/>
      <c r="X704" s="1398"/>
      <c r="Y704" s="1398"/>
      <c r="Z704" s="1398"/>
      <c r="AA704" s="1398"/>
      <c r="AB704" s="1398"/>
      <c r="AC704" s="1398"/>
      <c r="AD704" s="1398"/>
      <c r="AE704" s="1398"/>
      <c r="AF704" s="1398"/>
      <c r="AG704" s="1398"/>
      <c r="AH704" s="1398"/>
      <c r="AI704" s="1398"/>
      <c r="AJ704" s="1398"/>
    </row>
    <row r="705" spans="1:36" ht="15" customHeight="1" x14ac:dyDescent="0.3">
      <c r="A705" s="1398"/>
      <c r="B705" s="2165" t="s">
        <v>2543</v>
      </c>
      <c r="C705" s="2151"/>
      <c r="D705" s="2151"/>
      <c r="E705" s="2151"/>
      <c r="F705" s="2151"/>
      <c r="G705" s="2151"/>
      <c r="H705" s="2151"/>
      <c r="I705" s="23"/>
      <c r="J705" s="2157"/>
      <c r="K705" s="2151"/>
      <c r="L705" s="2157"/>
      <c r="M705" s="23"/>
      <c r="N705" s="2157"/>
      <c r="O705" s="2157"/>
      <c r="P705" s="2157"/>
      <c r="Q705" s="2157"/>
      <c r="R705" s="1398"/>
      <c r="S705" s="1398"/>
      <c r="T705" s="1398"/>
      <c r="U705" s="1398"/>
      <c r="V705" s="1398"/>
      <c r="W705" s="1398"/>
      <c r="X705" s="1398"/>
      <c r="Y705" s="1398"/>
      <c r="Z705" s="1398"/>
      <c r="AA705" s="1398"/>
      <c r="AB705" s="1398"/>
      <c r="AC705" s="1398"/>
      <c r="AD705" s="1398"/>
      <c r="AE705" s="1398"/>
      <c r="AF705" s="1398"/>
      <c r="AG705" s="1398"/>
      <c r="AH705" s="1398"/>
      <c r="AI705" s="1398"/>
      <c r="AJ705" s="1398"/>
    </row>
    <row r="706" spans="1:36" ht="15" customHeight="1" x14ac:dyDescent="0.3">
      <c r="A706" s="1398"/>
      <c r="B706" s="2155" t="s">
        <v>2551</v>
      </c>
      <c r="C706" s="2151"/>
      <c r="D706" s="2151"/>
      <c r="E706" s="2151"/>
      <c r="F706" s="2151"/>
      <c r="G706" s="2151"/>
      <c r="H706" s="2151"/>
      <c r="I706" s="23"/>
      <c r="J706" s="2157"/>
      <c r="K706" s="2151"/>
      <c r="L706" s="2157"/>
      <c r="M706" s="23"/>
      <c r="N706" s="2157"/>
      <c r="O706" s="2157"/>
      <c r="P706" s="2157"/>
      <c r="Q706" s="2157"/>
      <c r="R706" s="1398"/>
      <c r="S706" s="1398"/>
      <c r="T706" s="1398"/>
      <c r="U706" s="1398"/>
      <c r="V706" s="1398"/>
      <c r="W706" s="1398"/>
      <c r="X706" s="1398"/>
      <c r="Y706" s="1398"/>
      <c r="Z706" s="1398"/>
      <c r="AA706" s="1398"/>
      <c r="AB706" s="1398"/>
      <c r="AC706" s="1398"/>
      <c r="AD706" s="1398"/>
      <c r="AE706" s="1398"/>
      <c r="AF706" s="1398"/>
      <c r="AG706" s="1398"/>
      <c r="AH706" s="1398"/>
      <c r="AI706" s="1398"/>
      <c r="AJ706" s="1398"/>
    </row>
    <row r="707" spans="1:36" ht="15" customHeight="1" x14ac:dyDescent="0.3">
      <c r="A707" s="1398"/>
      <c r="B707" s="2165" t="s">
        <v>2543</v>
      </c>
      <c r="C707" s="2151"/>
      <c r="D707" s="2151"/>
      <c r="E707" s="2151"/>
      <c r="F707" s="2151"/>
      <c r="G707" s="2151"/>
      <c r="H707" s="2151"/>
      <c r="I707" s="23"/>
      <c r="J707" s="2157"/>
      <c r="K707" s="2151"/>
      <c r="L707" s="2157"/>
      <c r="M707" s="23"/>
      <c r="N707" s="2157"/>
      <c r="O707" s="2157"/>
      <c r="P707" s="2157"/>
      <c r="Q707" s="2157"/>
      <c r="R707" s="1398"/>
      <c r="S707" s="1398"/>
      <c r="T707" s="1398"/>
      <c r="U707" s="1398"/>
      <c r="V707" s="1398"/>
      <c r="W707" s="1398"/>
      <c r="X707" s="1398"/>
      <c r="Y707" s="1398"/>
      <c r="Z707" s="1398"/>
      <c r="AA707" s="1398"/>
      <c r="AB707" s="1398"/>
      <c r="AC707" s="1398"/>
      <c r="AD707" s="1398"/>
      <c r="AE707" s="1398"/>
      <c r="AF707" s="1398"/>
      <c r="AG707" s="1398"/>
      <c r="AH707" s="1398"/>
      <c r="AI707" s="1398"/>
      <c r="AJ707" s="1398"/>
    </row>
    <row r="708" spans="1:36" ht="15" customHeight="1" x14ac:dyDescent="0.3">
      <c r="A708" s="1398"/>
      <c r="B708" s="2155" t="s">
        <v>2550</v>
      </c>
      <c r="C708" s="2151"/>
      <c r="D708" s="2151"/>
      <c r="E708" s="2151"/>
      <c r="F708" s="2151"/>
      <c r="G708" s="2151"/>
      <c r="H708" s="2151"/>
      <c r="I708" s="23"/>
      <c r="J708" s="2157"/>
      <c r="K708" s="2151"/>
      <c r="L708" s="2157"/>
      <c r="M708" s="23"/>
      <c r="N708" s="2157"/>
      <c r="O708" s="2157"/>
      <c r="P708" s="2157"/>
      <c r="Q708" s="2157"/>
      <c r="R708" s="1398"/>
      <c r="S708" s="1398"/>
      <c r="T708" s="1398"/>
      <c r="U708" s="1398"/>
      <c r="V708" s="1398"/>
      <c r="W708" s="1398"/>
      <c r="X708" s="1398"/>
      <c r="Y708" s="1398"/>
      <c r="Z708" s="1398"/>
      <c r="AA708" s="1398"/>
      <c r="AB708" s="1398"/>
      <c r="AC708" s="1398"/>
      <c r="AD708" s="1398"/>
      <c r="AE708" s="1398"/>
      <c r="AF708" s="1398"/>
      <c r="AG708" s="1398"/>
      <c r="AH708" s="1398"/>
      <c r="AI708" s="1398"/>
      <c r="AJ708" s="1398"/>
    </row>
    <row r="709" spans="1:36" ht="15" customHeight="1" x14ac:dyDescent="0.3">
      <c r="A709" s="1398"/>
      <c r="B709" s="2165" t="s">
        <v>2543</v>
      </c>
      <c r="C709" s="2151"/>
      <c r="D709" s="2151"/>
      <c r="E709" s="2151"/>
      <c r="F709" s="2151"/>
      <c r="G709" s="2151"/>
      <c r="H709" s="2151"/>
      <c r="I709" s="23"/>
      <c r="J709" s="2157"/>
      <c r="K709" s="2151"/>
      <c r="L709" s="2157"/>
      <c r="M709" s="23"/>
      <c r="N709" s="2157"/>
      <c r="O709" s="2157"/>
      <c r="P709" s="2157"/>
      <c r="Q709" s="2157"/>
      <c r="R709" s="1398"/>
      <c r="S709" s="1398"/>
      <c r="T709" s="1398"/>
      <c r="U709" s="1398"/>
      <c r="V709" s="1398"/>
      <c r="W709" s="1398"/>
      <c r="X709" s="1398"/>
      <c r="Y709" s="1398"/>
      <c r="Z709" s="1398"/>
      <c r="AA709" s="1398"/>
      <c r="AB709" s="1398"/>
      <c r="AC709" s="1398"/>
      <c r="AD709" s="1398"/>
      <c r="AE709" s="1398"/>
      <c r="AF709" s="1398"/>
      <c r="AG709" s="1398"/>
      <c r="AH709" s="1398"/>
      <c r="AI709" s="1398"/>
      <c r="AJ709" s="1398"/>
    </row>
    <row r="710" spans="1:36" ht="15" customHeight="1" x14ac:dyDescent="0.3">
      <c r="A710" s="1398"/>
      <c r="B710" s="2155" t="s">
        <v>2549</v>
      </c>
      <c r="C710" s="2151"/>
      <c r="D710" s="2151"/>
      <c r="E710" s="2151"/>
      <c r="F710" s="2151"/>
      <c r="G710" s="2151"/>
      <c r="H710" s="2151"/>
      <c r="I710" s="23"/>
      <c r="J710" s="2157"/>
      <c r="K710" s="2151"/>
      <c r="L710" s="2157"/>
      <c r="M710" s="23"/>
      <c r="N710" s="2157"/>
      <c r="O710" s="2157"/>
      <c r="P710" s="2157"/>
      <c r="Q710" s="2157"/>
      <c r="R710" s="1398"/>
      <c r="S710" s="1398"/>
      <c r="T710" s="1398"/>
      <c r="U710" s="1398"/>
      <c r="V710" s="1398"/>
      <c r="W710" s="1398"/>
      <c r="X710" s="1398"/>
      <c r="Y710" s="1398"/>
      <c r="Z710" s="1398"/>
      <c r="AA710" s="1398"/>
      <c r="AB710" s="1398"/>
      <c r="AC710" s="1398"/>
      <c r="AD710" s="1398"/>
      <c r="AE710" s="1398"/>
      <c r="AF710" s="1398"/>
      <c r="AG710" s="1398"/>
      <c r="AH710" s="1398"/>
      <c r="AI710" s="1398"/>
      <c r="AJ710" s="1398"/>
    </row>
    <row r="711" spans="1:36" ht="15" customHeight="1" x14ac:dyDescent="0.3">
      <c r="A711" s="1398"/>
      <c r="B711" s="2165" t="s">
        <v>2543</v>
      </c>
      <c r="C711" s="2151"/>
      <c r="D711" s="2151"/>
      <c r="E711" s="2151"/>
      <c r="F711" s="2151"/>
      <c r="G711" s="2151"/>
      <c r="H711" s="2151"/>
      <c r="I711" s="23"/>
      <c r="J711" s="2157"/>
      <c r="K711" s="2151"/>
      <c r="L711" s="2157"/>
      <c r="M711" s="23"/>
      <c r="N711" s="2157"/>
      <c r="O711" s="2157"/>
      <c r="P711" s="2157"/>
      <c r="Q711" s="2157"/>
      <c r="R711" s="1398"/>
      <c r="S711" s="1398"/>
      <c r="T711" s="1398"/>
      <c r="U711" s="1398"/>
      <c r="V711" s="1398"/>
      <c r="W711" s="1398"/>
      <c r="X711" s="1398"/>
      <c r="Y711" s="1398"/>
      <c r="Z711" s="1398"/>
      <c r="AA711" s="1398"/>
      <c r="AB711" s="1398"/>
      <c r="AC711" s="1398"/>
      <c r="AD711" s="1398"/>
      <c r="AE711" s="1398"/>
      <c r="AF711" s="1398"/>
      <c r="AG711" s="1398"/>
      <c r="AH711" s="1398"/>
      <c r="AI711" s="1398"/>
      <c r="AJ711" s="1398"/>
    </row>
    <row r="712" spans="1:36" ht="15" customHeight="1" x14ac:dyDescent="0.35">
      <c r="A712" s="1398"/>
      <c r="B712" s="2183" t="s">
        <v>2548</v>
      </c>
      <c r="C712" s="2151"/>
      <c r="D712" s="2151"/>
      <c r="E712" s="2151"/>
      <c r="F712" s="2151"/>
      <c r="G712" s="2151"/>
      <c r="H712" s="2151"/>
      <c r="I712" s="23"/>
      <c r="J712" s="2157"/>
      <c r="K712" s="2151"/>
      <c r="L712" s="2157"/>
      <c r="M712" s="23"/>
      <c r="N712" s="2157"/>
      <c r="O712" s="2157"/>
      <c r="P712" s="2157"/>
      <c r="Q712" s="2157"/>
      <c r="R712" s="1398"/>
      <c r="S712" s="1398"/>
      <c r="T712" s="1398"/>
      <c r="U712" s="1398"/>
      <c r="V712" s="1398"/>
      <c r="W712" s="1398"/>
      <c r="X712" s="1398"/>
      <c r="Y712" s="1398"/>
      <c r="Z712" s="1398"/>
      <c r="AA712" s="1398"/>
      <c r="AB712" s="1398"/>
      <c r="AC712" s="1398"/>
      <c r="AD712" s="1398"/>
      <c r="AE712" s="1398"/>
      <c r="AF712" s="1398"/>
      <c r="AG712" s="1398"/>
      <c r="AH712" s="1398"/>
      <c r="AI712" s="1398"/>
      <c r="AJ712" s="1398"/>
    </row>
    <row r="713" spans="1:36" ht="15" customHeight="1" x14ac:dyDescent="0.3">
      <c r="A713" s="1398"/>
      <c r="B713" s="2165" t="s">
        <v>2543</v>
      </c>
      <c r="C713" s="2151"/>
      <c r="D713" s="2151"/>
      <c r="E713" s="2151"/>
      <c r="F713" s="2151"/>
      <c r="G713" s="2151"/>
      <c r="H713" s="2151"/>
      <c r="I713" s="23"/>
      <c r="J713" s="2157"/>
      <c r="K713" s="2151"/>
      <c r="L713" s="2157"/>
      <c r="M713" s="23"/>
      <c r="N713" s="2157"/>
      <c r="O713" s="2157"/>
      <c r="P713" s="2157"/>
      <c r="Q713" s="2157"/>
      <c r="R713" s="1398"/>
      <c r="S713" s="1398"/>
      <c r="T713" s="1398"/>
      <c r="U713" s="1398"/>
      <c r="V713" s="1398"/>
      <c r="W713" s="1398"/>
      <c r="X713" s="1398"/>
      <c r="Y713" s="1398"/>
      <c r="Z713" s="1398"/>
      <c r="AA713" s="1398"/>
      <c r="AB713" s="1398"/>
      <c r="AC713" s="1398"/>
      <c r="AD713" s="1398"/>
      <c r="AE713" s="1398"/>
      <c r="AF713" s="1398"/>
      <c r="AG713" s="1398"/>
      <c r="AH713" s="1398"/>
      <c r="AI713" s="1398"/>
      <c r="AJ713" s="1398"/>
    </row>
    <row r="714" spans="1:36" ht="15" customHeight="1" x14ac:dyDescent="0.3">
      <c r="A714" s="1398"/>
      <c r="B714" s="2155" t="s">
        <v>2547</v>
      </c>
      <c r="C714" s="2151"/>
      <c r="D714" s="2151"/>
      <c r="E714" s="2151"/>
      <c r="F714" s="2151"/>
      <c r="G714" s="2151"/>
      <c r="H714" s="2151"/>
      <c r="I714" s="23"/>
      <c r="J714" s="2157"/>
      <c r="K714" s="2151"/>
      <c r="L714" s="2157"/>
      <c r="M714" s="23"/>
      <c r="N714" s="2157"/>
      <c r="O714" s="2157"/>
      <c r="P714" s="2157"/>
      <c r="Q714" s="2157"/>
      <c r="R714" s="1398"/>
      <c r="S714" s="1398"/>
      <c r="T714" s="1398"/>
      <c r="U714" s="1398"/>
      <c r="V714" s="1398"/>
      <c r="W714" s="1398"/>
      <c r="X714" s="1398"/>
      <c r="Y714" s="1398"/>
      <c r="Z714" s="1398"/>
      <c r="AA714" s="1398"/>
      <c r="AB714" s="1398"/>
      <c r="AC714" s="1398"/>
      <c r="AD714" s="1398"/>
      <c r="AE714" s="1398"/>
      <c r="AF714" s="1398"/>
      <c r="AG714" s="1398"/>
      <c r="AH714" s="1398"/>
      <c r="AI714" s="1398"/>
      <c r="AJ714" s="1398"/>
    </row>
    <row r="715" spans="1:36" ht="15" customHeight="1" x14ac:dyDescent="0.3">
      <c r="A715" s="1398"/>
      <c r="B715" s="2165" t="s">
        <v>2543</v>
      </c>
      <c r="C715" s="2151"/>
      <c r="D715" s="2151"/>
      <c r="E715" s="2151"/>
      <c r="F715" s="2151"/>
      <c r="G715" s="2151"/>
      <c r="H715" s="2151"/>
      <c r="I715" s="23"/>
      <c r="J715" s="2157"/>
      <c r="K715" s="2151"/>
      <c r="L715" s="2157"/>
      <c r="M715" s="23"/>
      <c r="N715" s="2157"/>
      <c r="O715" s="2157"/>
      <c r="P715" s="2157"/>
      <c r="Q715" s="2157"/>
      <c r="R715" s="1398"/>
      <c r="S715" s="1398"/>
      <c r="T715" s="1398"/>
      <c r="U715" s="1398"/>
      <c r="V715" s="1398"/>
      <c r="W715" s="1398"/>
      <c r="X715" s="1398"/>
      <c r="Y715" s="1398"/>
      <c r="Z715" s="1398"/>
      <c r="AA715" s="1398"/>
      <c r="AB715" s="1398"/>
      <c r="AC715" s="1398"/>
      <c r="AD715" s="1398"/>
      <c r="AE715" s="1398"/>
      <c r="AF715" s="1398"/>
      <c r="AG715" s="1398"/>
      <c r="AH715" s="1398"/>
      <c r="AI715" s="1398"/>
      <c r="AJ715" s="1398"/>
    </row>
    <row r="716" spans="1:36" ht="15" customHeight="1" x14ac:dyDescent="0.3">
      <c r="A716" s="1398"/>
      <c r="B716" s="2155" t="s">
        <v>2546</v>
      </c>
      <c r="C716" s="2151"/>
      <c r="D716" s="2151"/>
      <c r="E716" s="2151"/>
      <c r="F716" s="2151"/>
      <c r="G716" s="2151"/>
      <c r="H716" s="2151"/>
      <c r="I716" s="23"/>
      <c r="J716" s="2157"/>
      <c r="K716" s="2151"/>
      <c r="L716" s="2157"/>
      <c r="M716" s="23"/>
      <c r="N716" s="2157"/>
      <c r="O716" s="2157"/>
      <c r="P716" s="2157"/>
      <c r="Q716" s="2157"/>
      <c r="R716" s="1398"/>
      <c r="S716" s="1398"/>
      <c r="T716" s="1398"/>
      <c r="U716" s="1398"/>
      <c r="V716" s="1398"/>
      <c r="W716" s="1398"/>
      <c r="X716" s="1398"/>
      <c r="Y716" s="1398"/>
      <c r="Z716" s="1398"/>
      <c r="AA716" s="1398"/>
      <c r="AB716" s="1398"/>
      <c r="AC716" s="1398"/>
      <c r="AD716" s="1398"/>
      <c r="AE716" s="1398"/>
      <c r="AF716" s="1398"/>
      <c r="AG716" s="1398"/>
      <c r="AH716" s="1398"/>
      <c r="AI716" s="1398"/>
      <c r="AJ716" s="1398"/>
    </row>
    <row r="717" spans="1:36" ht="15" customHeight="1" x14ac:dyDescent="0.3">
      <c r="A717" s="1398"/>
      <c r="B717" s="2165" t="s">
        <v>2543</v>
      </c>
      <c r="C717" s="2151"/>
      <c r="D717" s="2151"/>
      <c r="E717" s="2151"/>
      <c r="F717" s="2151"/>
      <c r="G717" s="2151"/>
      <c r="H717" s="2151"/>
      <c r="I717" s="23"/>
      <c r="J717" s="2157"/>
      <c r="K717" s="2151"/>
      <c r="L717" s="2157"/>
      <c r="M717" s="23"/>
      <c r="N717" s="2157"/>
      <c r="O717" s="2157"/>
      <c r="P717" s="2157"/>
      <c r="Q717" s="2157"/>
      <c r="R717" s="1398"/>
      <c r="S717" s="1398"/>
      <c r="T717" s="1398"/>
      <c r="U717" s="1398"/>
      <c r="V717" s="1398"/>
      <c r="W717" s="1398"/>
      <c r="X717" s="1398"/>
      <c r="Y717" s="1398"/>
      <c r="Z717" s="1398"/>
      <c r="AA717" s="1398"/>
      <c r="AB717" s="1398"/>
      <c r="AC717" s="1398"/>
      <c r="AD717" s="1398"/>
      <c r="AE717" s="1398"/>
      <c r="AF717" s="1398"/>
      <c r="AG717" s="1398"/>
      <c r="AH717" s="1398"/>
      <c r="AI717" s="1398"/>
      <c r="AJ717" s="1398"/>
    </row>
    <row r="718" spans="1:36" ht="15" customHeight="1" x14ac:dyDescent="0.3">
      <c r="A718" s="1398"/>
      <c r="B718" s="2155" t="s">
        <v>1760</v>
      </c>
      <c r="C718" s="2151"/>
      <c r="D718" s="2151"/>
      <c r="E718" s="2151"/>
      <c r="F718" s="2151"/>
      <c r="G718" s="2151"/>
      <c r="H718" s="2151"/>
      <c r="I718" s="23"/>
      <c r="J718" s="2157"/>
      <c r="K718" s="2151"/>
      <c r="L718" s="2157"/>
      <c r="M718" s="23"/>
      <c r="N718" s="2157"/>
      <c r="O718" s="2157"/>
      <c r="P718" s="2157"/>
      <c r="Q718" s="2157"/>
      <c r="R718" s="1398"/>
      <c r="S718" s="1398"/>
      <c r="T718" s="1398"/>
      <c r="U718" s="1398"/>
      <c r="V718" s="1398"/>
      <c r="W718" s="1398"/>
      <c r="X718" s="1398"/>
      <c r="Y718" s="1398"/>
      <c r="Z718" s="1398"/>
      <c r="AA718" s="1398"/>
      <c r="AB718" s="1398"/>
      <c r="AC718" s="1398"/>
      <c r="AD718" s="1398"/>
      <c r="AE718" s="1398"/>
      <c r="AF718" s="1398"/>
      <c r="AG718" s="1398"/>
      <c r="AH718" s="1398"/>
      <c r="AI718" s="1398"/>
      <c r="AJ718" s="1398"/>
    </row>
    <row r="719" spans="1:36" ht="15" customHeight="1" x14ac:dyDescent="0.3">
      <c r="A719" s="1398"/>
      <c r="B719" s="2165" t="s">
        <v>2543</v>
      </c>
      <c r="C719" s="2182"/>
      <c r="D719" s="2182"/>
      <c r="E719" s="2182"/>
      <c r="F719" s="2182"/>
      <c r="G719" s="2182"/>
      <c r="H719" s="2182"/>
      <c r="I719" s="29"/>
      <c r="J719" s="2157"/>
      <c r="K719" s="2151"/>
      <c r="L719" s="2157"/>
      <c r="M719" s="23"/>
      <c r="N719" s="2157"/>
      <c r="O719" s="2157"/>
      <c r="P719" s="2157"/>
      <c r="Q719" s="2157"/>
      <c r="R719" s="1398"/>
      <c r="S719" s="1398"/>
      <c r="T719" s="1398"/>
      <c r="U719" s="1398"/>
      <c r="V719" s="1398"/>
      <c r="W719" s="1398"/>
      <c r="X719" s="1398"/>
      <c r="Y719" s="1398"/>
      <c r="Z719" s="1398"/>
      <c r="AA719" s="1398"/>
      <c r="AB719" s="1398"/>
      <c r="AC719" s="1398"/>
      <c r="AD719" s="1398"/>
      <c r="AE719" s="1398"/>
      <c r="AF719" s="1398"/>
      <c r="AG719" s="1398"/>
      <c r="AH719" s="1398"/>
      <c r="AI719" s="1398"/>
      <c r="AJ719" s="1398"/>
    </row>
    <row r="720" spans="1:36" ht="15" customHeight="1" x14ac:dyDescent="0.35">
      <c r="A720" s="1398"/>
      <c r="B720" s="2164" t="s">
        <v>2545</v>
      </c>
      <c r="C720" s="2159" t="str">
        <f t="shared" ref="C720:I720" si="104">IF(AND(ISNUMBER(C721),ISNUMBER(C723)),C721+C723,"")</f>
        <v/>
      </c>
      <c r="D720" s="2159" t="str">
        <f t="shared" si="104"/>
        <v/>
      </c>
      <c r="E720" s="2159" t="str">
        <f t="shared" si="104"/>
        <v/>
      </c>
      <c r="F720" s="2159" t="str">
        <f t="shared" si="104"/>
        <v/>
      </c>
      <c r="G720" s="2159" t="str">
        <f t="shared" si="104"/>
        <v/>
      </c>
      <c r="H720" s="2159" t="str">
        <f t="shared" si="104"/>
        <v/>
      </c>
      <c r="I720" s="2159" t="str">
        <f t="shared" si="104"/>
        <v/>
      </c>
      <c r="J720" s="2157"/>
      <c r="K720" s="2159" t="str">
        <f>IF(AND(ISNUMBER(K721),ISNUMBER(K723)),K721+K723,"")</f>
        <v/>
      </c>
      <c r="L720" s="2157"/>
      <c r="M720" s="2159" t="str">
        <f>IF(AND(ISNUMBER(M721),ISNUMBER(M723)),M721+M723,"")</f>
        <v/>
      </c>
      <c r="N720" s="2157"/>
      <c r="O720" s="2157"/>
      <c r="P720" s="2157"/>
      <c r="Q720" s="2157"/>
      <c r="R720" s="1398"/>
      <c r="S720" s="1398"/>
      <c r="T720" s="1398"/>
      <c r="U720" s="1398"/>
      <c r="V720" s="1398"/>
      <c r="W720" s="1398"/>
      <c r="X720" s="1398"/>
      <c r="Y720" s="1398"/>
      <c r="Z720" s="1398"/>
      <c r="AA720" s="1398"/>
      <c r="AB720" s="1398"/>
      <c r="AC720" s="1398"/>
      <c r="AD720" s="1398"/>
      <c r="AE720" s="1398"/>
      <c r="AF720" s="1398"/>
      <c r="AG720" s="1398"/>
      <c r="AH720" s="1398"/>
      <c r="AI720" s="1398"/>
      <c r="AJ720" s="1398"/>
    </row>
    <row r="721" spans="1:36" ht="15" customHeight="1" x14ac:dyDescent="0.3">
      <c r="A721" s="1398"/>
      <c r="B721" s="2163" t="s">
        <v>2544</v>
      </c>
      <c r="C721" s="2151"/>
      <c r="D721" s="2151"/>
      <c r="E721" s="2151"/>
      <c r="F721" s="2151"/>
      <c r="G721" s="2151"/>
      <c r="H721" s="2151"/>
      <c r="I721" s="2151"/>
      <c r="J721" s="2157"/>
      <c r="K721" s="2151"/>
      <c r="L721" s="2157"/>
      <c r="M721" s="2151"/>
      <c r="N721" s="2157"/>
      <c r="O721" s="2157"/>
      <c r="P721" s="2157"/>
      <c r="Q721" s="2157"/>
      <c r="R721" s="1398"/>
      <c r="S721" s="1398"/>
      <c r="T721" s="1398"/>
      <c r="U721" s="1398"/>
      <c r="V721" s="1398"/>
      <c r="W721" s="1398"/>
      <c r="X721" s="1398"/>
      <c r="Y721" s="1398"/>
      <c r="Z721" s="1398"/>
      <c r="AA721" s="1398"/>
      <c r="AB721" s="1398"/>
      <c r="AC721" s="1398"/>
      <c r="AD721" s="1398"/>
      <c r="AE721" s="1398"/>
      <c r="AF721" s="1398"/>
      <c r="AG721" s="1398"/>
      <c r="AH721" s="1398"/>
      <c r="AI721" s="1398"/>
      <c r="AJ721" s="1398"/>
    </row>
    <row r="722" spans="1:36" ht="15" customHeight="1" x14ac:dyDescent="0.3">
      <c r="A722" s="1398"/>
      <c r="B722" s="2162" t="s">
        <v>2543</v>
      </c>
      <c r="C722" s="2151"/>
      <c r="D722" s="2151"/>
      <c r="E722" s="2151"/>
      <c r="F722" s="2151"/>
      <c r="G722" s="2151"/>
      <c r="H722" s="2151"/>
      <c r="I722" s="2151"/>
      <c r="J722" s="2157"/>
      <c r="K722" s="2151"/>
      <c r="L722" s="2157"/>
      <c r="M722" s="2151"/>
      <c r="N722" s="2157"/>
      <c r="O722" s="2157"/>
      <c r="P722" s="2157"/>
      <c r="Q722" s="2157"/>
      <c r="R722" s="1398"/>
      <c r="S722" s="1398"/>
      <c r="T722" s="1398"/>
      <c r="U722" s="1398"/>
      <c r="V722" s="1398"/>
      <c r="W722" s="1398"/>
      <c r="X722" s="1398"/>
      <c r="Y722" s="1398"/>
      <c r="Z722" s="1398"/>
      <c r="AA722" s="1398"/>
      <c r="AB722" s="1398"/>
      <c r="AC722" s="1398"/>
      <c r="AD722" s="1398"/>
      <c r="AE722" s="1398"/>
      <c r="AF722" s="1398"/>
      <c r="AG722" s="1398"/>
      <c r="AH722" s="1398"/>
      <c r="AI722" s="1398"/>
      <c r="AJ722" s="1398"/>
    </row>
    <row r="723" spans="1:36" ht="15" customHeight="1" x14ac:dyDescent="0.3">
      <c r="A723" s="1398"/>
      <c r="B723" s="2163" t="s">
        <v>1760</v>
      </c>
      <c r="C723" s="2151"/>
      <c r="D723" s="2151"/>
      <c r="E723" s="2151"/>
      <c r="F723" s="2151"/>
      <c r="G723" s="2151"/>
      <c r="H723" s="2151"/>
      <c r="I723" s="2151"/>
      <c r="J723" s="2157"/>
      <c r="K723" s="2151"/>
      <c r="L723" s="2157"/>
      <c r="M723" s="2151"/>
      <c r="N723" s="2157"/>
      <c r="O723" s="2157"/>
      <c r="P723" s="2157"/>
      <c r="Q723" s="2157"/>
      <c r="R723" s="1398"/>
      <c r="S723" s="1398"/>
      <c r="T723" s="1398"/>
      <c r="U723" s="1398"/>
      <c r="V723" s="1398"/>
      <c r="W723" s="1398"/>
      <c r="X723" s="1398"/>
      <c r="Y723" s="1398"/>
      <c r="Z723" s="1398"/>
      <c r="AA723" s="1398"/>
      <c r="AB723" s="1398"/>
      <c r="AC723" s="1398"/>
      <c r="AD723" s="1398"/>
      <c r="AE723" s="1398"/>
      <c r="AF723" s="1398"/>
      <c r="AG723" s="1398"/>
      <c r="AH723" s="1398"/>
      <c r="AI723" s="1398"/>
      <c r="AJ723" s="1398"/>
    </row>
    <row r="724" spans="1:36" ht="15" customHeight="1" x14ac:dyDescent="0.3">
      <c r="A724" s="1398"/>
      <c r="B724" s="2162" t="s">
        <v>2543</v>
      </c>
      <c r="C724" s="2151"/>
      <c r="D724" s="2151"/>
      <c r="E724" s="2151"/>
      <c r="F724" s="2151"/>
      <c r="G724" s="2151"/>
      <c r="H724" s="2151"/>
      <c r="I724" s="2151"/>
      <c r="J724" s="2157"/>
      <c r="K724" s="2151"/>
      <c r="L724" s="2157"/>
      <c r="M724" s="2151"/>
      <c r="N724" s="2157"/>
      <c r="O724" s="2157"/>
      <c r="P724" s="2157"/>
      <c r="Q724" s="2157"/>
      <c r="R724" s="1398"/>
      <c r="S724" s="1398"/>
      <c r="T724" s="1398"/>
      <c r="U724" s="1398"/>
      <c r="V724" s="1398"/>
      <c r="W724" s="1398"/>
      <c r="X724" s="1398"/>
      <c r="Y724" s="1398"/>
      <c r="Z724" s="1398"/>
      <c r="AA724" s="1398"/>
      <c r="AB724" s="1398"/>
      <c r="AC724" s="1398"/>
      <c r="AD724" s="1398"/>
      <c r="AE724" s="1398"/>
      <c r="AF724" s="1398"/>
      <c r="AG724" s="1398"/>
      <c r="AH724" s="1398"/>
      <c r="AI724" s="1398"/>
      <c r="AJ724" s="1398"/>
    </row>
    <row r="725" spans="1:36" ht="15" customHeight="1" x14ac:dyDescent="0.3">
      <c r="A725" s="1398"/>
      <c r="B725" s="1976" t="s">
        <v>1941</v>
      </c>
      <c r="C725" s="2151"/>
      <c r="D725" s="2151"/>
      <c r="E725" s="2151"/>
      <c r="F725" s="2151"/>
      <c r="G725" s="2151"/>
      <c r="H725" s="2151"/>
      <c r="I725" s="2151"/>
      <c r="J725" s="2157"/>
      <c r="K725" s="2151"/>
      <c r="L725" s="2157"/>
      <c r="M725" s="2151"/>
      <c r="N725" s="2157"/>
      <c r="O725" s="2157"/>
      <c r="P725" s="2157"/>
      <c r="Q725" s="2157"/>
      <c r="R725" s="1398"/>
      <c r="S725" s="1398"/>
      <c r="T725" s="1398"/>
      <c r="U725" s="1398"/>
      <c r="V725" s="1398"/>
      <c r="W725" s="1398"/>
      <c r="X725" s="1398"/>
      <c r="Y725" s="1398"/>
      <c r="Z725" s="1398"/>
      <c r="AA725" s="1398"/>
      <c r="AB725" s="1398"/>
      <c r="AC725" s="1398"/>
      <c r="AD725" s="1398"/>
      <c r="AE725" s="1398"/>
      <c r="AF725" s="1398"/>
      <c r="AG725" s="1398"/>
      <c r="AH725" s="1398"/>
      <c r="AI725" s="1398"/>
      <c r="AJ725" s="1398"/>
    </row>
    <row r="726" spans="1:36" ht="15" customHeight="1" x14ac:dyDescent="0.35">
      <c r="A726" s="1398"/>
      <c r="B726" s="1976" t="s">
        <v>2542</v>
      </c>
      <c r="C726" s="2159" t="str">
        <f t="shared" ref="C726:I726" si="105">IF(AND(ISNUMBER(C727),ISNUMBER(C728)),C727+C728,"")</f>
        <v/>
      </c>
      <c r="D726" s="2159" t="str">
        <f t="shared" si="105"/>
        <v/>
      </c>
      <c r="E726" s="2159" t="str">
        <f t="shared" si="105"/>
        <v/>
      </c>
      <c r="F726" s="2159" t="str">
        <f t="shared" si="105"/>
        <v/>
      </c>
      <c r="G726" s="2159" t="str">
        <f t="shared" si="105"/>
        <v/>
      </c>
      <c r="H726" s="2159" t="str">
        <f t="shared" si="105"/>
        <v/>
      </c>
      <c r="I726" s="2159" t="str">
        <f t="shared" si="105"/>
        <v/>
      </c>
      <c r="J726" s="2157"/>
      <c r="K726" s="2159" t="str">
        <f>IF(AND(ISNUMBER(K727),ISNUMBER(K728)),K727+K728,"")</f>
        <v/>
      </c>
      <c r="L726" s="2157"/>
      <c r="M726" s="2159" t="str">
        <f>IF(AND(ISNUMBER(M727),ISNUMBER(M728)),M727+M728,"")</f>
        <v/>
      </c>
      <c r="N726" s="2157"/>
      <c r="O726" s="2157"/>
      <c r="P726" s="2157"/>
      <c r="Q726" s="2157"/>
      <c r="R726" s="1398"/>
      <c r="S726" s="1398"/>
      <c r="T726" s="1398"/>
      <c r="U726" s="1398"/>
      <c r="V726" s="1398"/>
      <c r="W726" s="1398"/>
      <c r="X726" s="1398"/>
      <c r="Y726" s="1398"/>
      <c r="Z726" s="1398"/>
      <c r="AA726" s="1398"/>
      <c r="AB726" s="1398"/>
      <c r="AC726" s="1398"/>
      <c r="AD726" s="1398"/>
      <c r="AE726" s="1398"/>
      <c r="AF726" s="1398"/>
      <c r="AG726" s="1398"/>
      <c r="AH726" s="1398"/>
      <c r="AI726" s="1398"/>
      <c r="AJ726" s="1398"/>
    </row>
    <row r="727" spans="1:36" ht="15" customHeight="1" x14ac:dyDescent="0.3">
      <c r="A727" s="1398"/>
      <c r="B727" s="2163" t="s">
        <v>2541</v>
      </c>
      <c r="C727" s="2151"/>
      <c r="D727" s="2151"/>
      <c r="E727" s="2151"/>
      <c r="F727" s="2151"/>
      <c r="G727" s="2151"/>
      <c r="H727" s="2151"/>
      <c r="I727" s="2151"/>
      <c r="J727" s="2157"/>
      <c r="K727" s="2151"/>
      <c r="L727" s="2157"/>
      <c r="M727" s="2151"/>
      <c r="N727" s="2157"/>
      <c r="O727" s="2157"/>
      <c r="P727" s="2157"/>
      <c r="Q727" s="2157"/>
      <c r="R727" s="1398"/>
      <c r="S727" s="1398"/>
      <c r="T727" s="1398"/>
      <c r="U727" s="1398"/>
      <c r="V727" s="1398"/>
      <c r="W727" s="1398"/>
      <c r="X727" s="1398"/>
      <c r="Y727" s="1398"/>
      <c r="Z727" s="1398"/>
      <c r="AA727" s="1398"/>
      <c r="AB727" s="1398"/>
      <c r="AC727" s="1398"/>
      <c r="AD727" s="1398"/>
      <c r="AE727" s="1398"/>
      <c r="AF727" s="1398"/>
      <c r="AG727" s="1398"/>
      <c r="AH727" s="1398"/>
      <c r="AI727" s="1398"/>
      <c r="AJ727" s="1398"/>
    </row>
    <row r="728" spans="1:36" ht="15" customHeight="1" x14ac:dyDescent="0.3">
      <c r="A728" s="1398"/>
      <c r="B728" s="2185" t="s">
        <v>1760</v>
      </c>
      <c r="C728" s="2151"/>
      <c r="D728" s="2151"/>
      <c r="E728" s="2151"/>
      <c r="F728" s="2151"/>
      <c r="G728" s="2151"/>
      <c r="H728" s="2151"/>
      <c r="I728" s="2151"/>
      <c r="J728" s="2157"/>
      <c r="K728" s="2151"/>
      <c r="L728" s="2157"/>
      <c r="M728" s="2151"/>
      <c r="N728" s="2157"/>
      <c r="O728" s="2157"/>
      <c r="P728" s="2157"/>
      <c r="Q728" s="2157"/>
      <c r="R728" s="1398"/>
      <c r="S728" s="1398"/>
      <c r="T728" s="1398"/>
      <c r="U728" s="1398"/>
      <c r="V728" s="1398"/>
      <c r="W728" s="1398"/>
      <c r="X728" s="1398"/>
      <c r="Y728" s="1398"/>
      <c r="Z728" s="1398"/>
      <c r="AA728" s="1398"/>
      <c r="AB728" s="1398"/>
      <c r="AC728" s="1398"/>
      <c r="AD728" s="1398"/>
      <c r="AE728" s="1398"/>
      <c r="AF728" s="1398"/>
      <c r="AG728" s="1398"/>
      <c r="AH728" s="1398"/>
      <c r="AI728" s="1398"/>
      <c r="AJ728" s="1398"/>
    </row>
    <row r="729" spans="1:36" ht="15" customHeight="1" x14ac:dyDescent="0.35">
      <c r="A729" s="1398"/>
      <c r="B729" s="2160" t="s">
        <v>2540</v>
      </c>
      <c r="C729" s="2159" t="str">
        <f t="shared" ref="C729:I729" si="106">IF(AND(ISNUMBER(C730),ISNUMBER(C731)),C730+C731,"")</f>
        <v/>
      </c>
      <c r="D729" s="2159" t="str">
        <f t="shared" si="106"/>
        <v/>
      </c>
      <c r="E729" s="2159" t="str">
        <f t="shared" si="106"/>
        <v/>
      </c>
      <c r="F729" s="2159" t="str">
        <f t="shared" si="106"/>
        <v/>
      </c>
      <c r="G729" s="2159" t="str">
        <f t="shared" si="106"/>
        <v/>
      </c>
      <c r="H729" s="2159" t="str">
        <f t="shared" si="106"/>
        <v/>
      </c>
      <c r="I729" s="2159" t="str">
        <f t="shared" si="106"/>
        <v/>
      </c>
      <c r="J729" s="2157"/>
      <c r="K729" s="2159" t="str">
        <f>IF(AND(ISNUMBER(K730),ISNUMBER(K731)),K730+K731,"")</f>
        <v/>
      </c>
      <c r="L729" s="2157"/>
      <c r="M729" s="2159" t="str">
        <f>IF(AND(ISNUMBER(M730),ISNUMBER(M731)),M730+M731,"")</f>
        <v/>
      </c>
      <c r="N729" s="2157"/>
      <c r="O729" s="2157"/>
      <c r="P729" s="2157"/>
      <c r="Q729" s="2157"/>
      <c r="R729" s="1398"/>
      <c r="S729" s="1398"/>
      <c r="T729" s="1398"/>
      <c r="U729" s="1398"/>
      <c r="V729" s="1398"/>
      <c r="W729" s="1398"/>
      <c r="X729" s="1398"/>
      <c r="Y729" s="1398"/>
      <c r="Z729" s="1398"/>
      <c r="AA729" s="1398"/>
      <c r="AB729" s="1398"/>
      <c r="AC729" s="1398"/>
      <c r="AD729" s="1398"/>
      <c r="AE729" s="1398"/>
      <c r="AF729" s="1398"/>
      <c r="AG729" s="1398"/>
      <c r="AH729" s="1398"/>
      <c r="AI729" s="1398"/>
      <c r="AJ729" s="1398"/>
    </row>
    <row r="730" spans="1:36" ht="15" customHeight="1" x14ac:dyDescent="0.3">
      <c r="A730" s="1398"/>
      <c r="B730" s="2158" t="s">
        <v>2539</v>
      </c>
      <c r="C730" s="2151"/>
      <c r="D730" s="2151"/>
      <c r="E730" s="2151"/>
      <c r="F730" s="2151"/>
      <c r="G730" s="2151"/>
      <c r="H730" s="2151"/>
      <c r="I730" s="2151"/>
      <c r="J730" s="2157"/>
      <c r="K730" s="2151"/>
      <c r="L730" s="2157"/>
      <c r="M730" s="2151"/>
      <c r="N730" s="2157"/>
      <c r="O730" s="2157"/>
      <c r="P730" s="2157"/>
      <c r="Q730" s="2157"/>
      <c r="R730" s="1398"/>
      <c r="S730" s="1398"/>
      <c r="T730" s="1398"/>
      <c r="U730" s="1398"/>
      <c r="V730" s="1398"/>
      <c r="W730" s="1398"/>
      <c r="X730" s="1398"/>
      <c r="Y730" s="1398"/>
      <c r="Z730" s="1398"/>
      <c r="AA730" s="1398"/>
      <c r="AB730" s="1398"/>
      <c r="AC730" s="1398"/>
      <c r="AD730" s="1398"/>
      <c r="AE730" s="1398"/>
      <c r="AF730" s="1398"/>
      <c r="AG730" s="1398"/>
      <c r="AH730" s="1398"/>
      <c r="AI730" s="1398"/>
      <c r="AJ730" s="1398"/>
    </row>
    <row r="731" spans="1:36" ht="15" customHeight="1" x14ac:dyDescent="0.3">
      <c r="A731" s="1398"/>
      <c r="B731" s="2158" t="s">
        <v>1760</v>
      </c>
      <c r="C731" s="2151"/>
      <c r="D731" s="2151"/>
      <c r="E731" s="2151"/>
      <c r="F731" s="2151"/>
      <c r="G731" s="2151"/>
      <c r="H731" s="2151"/>
      <c r="I731" s="2151"/>
      <c r="J731" s="2157"/>
      <c r="K731" s="2151"/>
      <c r="L731" s="2157"/>
      <c r="M731" s="2151"/>
      <c r="N731" s="2157"/>
      <c r="O731" s="2157"/>
      <c r="P731" s="2157"/>
      <c r="Q731" s="2157"/>
      <c r="R731" s="1398"/>
      <c r="S731" s="1398"/>
      <c r="T731" s="1398"/>
      <c r="U731" s="1398"/>
      <c r="V731" s="1398"/>
      <c r="W731" s="1398"/>
      <c r="X731" s="1398"/>
      <c r="Y731" s="1398"/>
      <c r="Z731" s="1398"/>
      <c r="AA731" s="1398"/>
      <c r="AB731" s="1398"/>
      <c r="AC731" s="1398"/>
      <c r="AD731" s="1398"/>
      <c r="AE731" s="1398"/>
      <c r="AF731" s="1398"/>
      <c r="AG731" s="1398"/>
      <c r="AH731" s="1398"/>
      <c r="AI731" s="1398"/>
      <c r="AJ731" s="1398"/>
    </row>
    <row r="732" spans="1:36" ht="15" customHeight="1" x14ac:dyDescent="0.35">
      <c r="A732" s="1398"/>
      <c r="B732" s="569" t="s">
        <v>59</v>
      </c>
      <c r="C732" s="2156">
        <f t="shared" ref="C732:Q732" si="107">IF(AND(ISNUMBER(C734),ISNUMBER(C733)),SUM(C733:C734),0)</f>
        <v>0</v>
      </c>
      <c r="D732" s="2156">
        <f t="shared" si="107"/>
        <v>0</v>
      </c>
      <c r="E732" s="2156">
        <f t="shared" si="107"/>
        <v>0</v>
      </c>
      <c r="F732" s="2156">
        <f t="shared" si="107"/>
        <v>0</v>
      </c>
      <c r="G732" s="2156">
        <f t="shared" si="107"/>
        <v>0</v>
      </c>
      <c r="H732" s="2156">
        <f t="shared" si="107"/>
        <v>0</v>
      </c>
      <c r="I732" s="2156">
        <f t="shared" si="107"/>
        <v>0</v>
      </c>
      <c r="J732" s="2156">
        <f t="shared" si="107"/>
        <v>0</v>
      </c>
      <c r="K732" s="2156">
        <f t="shared" si="107"/>
        <v>0</v>
      </c>
      <c r="L732" s="2156">
        <f t="shared" si="107"/>
        <v>0</v>
      </c>
      <c r="M732" s="2156">
        <f t="shared" si="107"/>
        <v>0</v>
      </c>
      <c r="N732" s="2156">
        <f t="shared" si="107"/>
        <v>0</v>
      </c>
      <c r="O732" s="2156">
        <f t="shared" si="107"/>
        <v>0</v>
      </c>
      <c r="P732" s="2156">
        <f t="shared" si="107"/>
        <v>0</v>
      </c>
      <c r="Q732" s="2156">
        <f t="shared" si="107"/>
        <v>0</v>
      </c>
      <c r="R732" s="1398"/>
      <c r="S732" s="1398"/>
      <c r="T732" s="1398"/>
      <c r="U732" s="1398"/>
      <c r="V732" s="1398"/>
      <c r="W732" s="1398"/>
      <c r="X732" s="1398"/>
      <c r="Y732" s="1398"/>
      <c r="Z732" s="1398"/>
      <c r="AA732" s="1398"/>
      <c r="AB732" s="1398"/>
      <c r="AC732" s="1398"/>
      <c r="AD732" s="1398"/>
      <c r="AE732" s="1398"/>
    </row>
    <row r="733" spans="1:36" ht="15" customHeight="1" x14ac:dyDescent="0.3">
      <c r="A733" s="1398"/>
      <c r="B733" s="2155" t="s">
        <v>2538</v>
      </c>
      <c r="C733" s="2151"/>
      <c r="D733" s="2151"/>
      <c r="E733" s="2151"/>
      <c r="F733" s="2151"/>
      <c r="G733" s="2151"/>
      <c r="H733" s="2151"/>
      <c r="I733" s="23"/>
      <c r="J733" s="2151"/>
      <c r="K733" s="2151"/>
      <c r="L733" s="2151"/>
      <c r="M733" s="2151"/>
      <c r="N733" s="2151"/>
      <c r="O733" s="2151"/>
      <c r="P733" s="2151"/>
      <c r="Q733" s="2151"/>
      <c r="R733" s="1398"/>
      <c r="S733" s="1398"/>
      <c r="T733" s="1398"/>
      <c r="U733" s="1398"/>
      <c r="V733" s="1398"/>
      <c r="W733" s="1398"/>
      <c r="X733" s="1398"/>
      <c r="Y733" s="1398"/>
      <c r="Z733" s="1398"/>
      <c r="AA733" s="1398"/>
      <c r="AB733" s="1398"/>
      <c r="AC733" s="1398"/>
      <c r="AD733" s="1398"/>
      <c r="AE733" s="1398"/>
    </row>
    <row r="734" spans="1:36" ht="15" customHeight="1" x14ac:dyDescent="0.3">
      <c r="A734" s="1398"/>
      <c r="B734" s="2155" t="s">
        <v>2537</v>
      </c>
      <c r="C734" s="2151"/>
      <c r="D734" s="2151"/>
      <c r="E734" s="2151"/>
      <c r="F734" s="2151"/>
      <c r="G734" s="2151"/>
      <c r="H734" s="2151"/>
      <c r="I734" s="23"/>
      <c r="J734" s="2151"/>
      <c r="K734" s="2151"/>
      <c r="L734" s="2151"/>
      <c r="M734" s="2151"/>
      <c r="N734" s="2151"/>
      <c r="O734" s="2151"/>
      <c r="P734" s="2151"/>
      <c r="Q734" s="2151"/>
      <c r="R734" s="1398"/>
      <c r="S734" s="1398"/>
      <c r="T734" s="1398"/>
      <c r="U734" s="1398"/>
      <c r="V734" s="1398"/>
      <c r="W734" s="1398"/>
      <c r="X734" s="1398"/>
      <c r="Y734" s="1398"/>
      <c r="Z734" s="1398"/>
      <c r="AA734" s="1398"/>
      <c r="AB734" s="1398"/>
      <c r="AC734" s="1398"/>
      <c r="AD734" s="1398"/>
      <c r="AE734" s="1398"/>
    </row>
    <row r="735" spans="1:36" ht="15" customHeight="1" x14ac:dyDescent="0.3">
      <c r="A735" s="1398"/>
      <c r="B735" s="2154" t="str">
        <f>"Check: row " &amp; ROW(B732) &amp;" = sum(row " &amp; ROW(B733) &amp; ", row "&amp; ROW(B734)&amp;")"</f>
        <v>Check: row 732 = sum(row 733, row 734)</v>
      </c>
      <c r="C735" s="2153" t="str">
        <f t="shared" ref="C735:Q735" si="108">IF(AND(ISNUMBER(C733), ISNUMBER(C734)), IF(C732=SUM(C733:C734), "Pass", "Fail"), "")</f>
        <v/>
      </c>
      <c r="D735" s="2153" t="str">
        <f t="shared" si="108"/>
        <v/>
      </c>
      <c r="E735" s="2153" t="str">
        <f t="shared" si="108"/>
        <v/>
      </c>
      <c r="F735" s="2153" t="str">
        <f t="shared" si="108"/>
        <v/>
      </c>
      <c r="G735" s="2153" t="str">
        <f t="shared" si="108"/>
        <v/>
      </c>
      <c r="H735" s="2153" t="str">
        <f t="shared" si="108"/>
        <v/>
      </c>
      <c r="I735" s="2153" t="str">
        <f t="shared" si="108"/>
        <v/>
      </c>
      <c r="J735" s="2153" t="str">
        <f t="shared" si="108"/>
        <v/>
      </c>
      <c r="K735" s="2153" t="str">
        <f t="shared" si="108"/>
        <v/>
      </c>
      <c r="L735" s="2153" t="str">
        <f t="shared" si="108"/>
        <v/>
      </c>
      <c r="M735" s="2153" t="str">
        <f t="shared" si="108"/>
        <v/>
      </c>
      <c r="N735" s="2153" t="str">
        <f t="shared" si="108"/>
        <v/>
      </c>
      <c r="O735" s="2153" t="str">
        <f t="shared" si="108"/>
        <v/>
      </c>
      <c r="P735" s="2153" t="str">
        <f t="shared" si="108"/>
        <v/>
      </c>
      <c r="Q735" s="2153" t="str">
        <f t="shared" si="108"/>
        <v/>
      </c>
      <c r="R735" s="1398"/>
      <c r="S735" s="1398"/>
      <c r="T735" s="1398"/>
      <c r="U735" s="1398"/>
      <c r="V735" s="1398"/>
      <c r="W735" s="1398"/>
      <c r="X735" s="1398"/>
      <c r="Y735" s="1398"/>
      <c r="Z735" s="1398"/>
      <c r="AA735" s="1398"/>
      <c r="AB735" s="1398"/>
      <c r="AC735" s="1398"/>
      <c r="AD735" s="1398"/>
      <c r="AE735" s="1398"/>
    </row>
    <row r="736" spans="1:36" ht="15" customHeight="1" x14ac:dyDescent="0.3">
      <c r="A736" s="1398"/>
      <c r="B736" s="2152" t="s">
        <v>2536</v>
      </c>
      <c r="C736" s="2151"/>
      <c r="D736" s="1398"/>
      <c r="E736" s="1398"/>
      <c r="F736" s="1398"/>
      <c r="G736" s="1398"/>
      <c r="H736" s="1398"/>
      <c r="I736" s="1398"/>
      <c r="J736" s="1398"/>
      <c r="K736" s="1398"/>
      <c r="L736" s="1398"/>
      <c r="M736" s="1398"/>
      <c r="N736" s="1398"/>
      <c r="O736" s="1398"/>
      <c r="P736" s="1398"/>
      <c r="Q736" s="1398"/>
      <c r="R736" s="1398"/>
      <c r="S736" s="1398"/>
      <c r="T736" s="1398"/>
      <c r="U736" s="1398"/>
      <c r="V736" s="1398"/>
      <c r="W736" s="1398"/>
      <c r="X736" s="1398"/>
      <c r="Y736" s="1398"/>
      <c r="Z736" s="1398"/>
      <c r="AA736" s="1398"/>
      <c r="AB736" s="1398"/>
      <c r="AC736" s="1398"/>
      <c r="AD736" s="1398"/>
      <c r="AE736" s="1398"/>
    </row>
    <row r="737" spans="1:36" ht="15" customHeight="1" x14ac:dyDescent="0.3">
      <c r="A737" s="1398"/>
      <c r="B737" s="2150" t="s">
        <v>2535</v>
      </c>
      <c r="C737" s="2149"/>
      <c r="D737" s="1398"/>
      <c r="E737" s="1398"/>
      <c r="F737" s="1398"/>
      <c r="G737" s="1398"/>
      <c r="H737" s="1398"/>
      <c r="I737" s="1398"/>
      <c r="J737" s="1398"/>
      <c r="K737" s="1398"/>
      <c r="L737" s="1398"/>
      <c r="M737" s="1398"/>
      <c r="N737" s="1398"/>
      <c r="O737" s="1398"/>
      <c r="P737" s="1398"/>
      <c r="Q737" s="1398"/>
      <c r="R737" s="1398"/>
      <c r="S737" s="1398"/>
      <c r="T737" s="1398"/>
      <c r="U737" s="1398"/>
      <c r="V737" s="1398"/>
      <c r="W737" s="1398"/>
      <c r="X737" s="1398"/>
      <c r="Y737" s="1398"/>
      <c r="Z737" s="1398"/>
      <c r="AA737" s="1398"/>
      <c r="AB737" s="1398"/>
      <c r="AC737" s="1398"/>
      <c r="AD737" s="1398"/>
      <c r="AE737" s="1398"/>
    </row>
    <row r="738" spans="1:36" x14ac:dyDescent="0.35"/>
    <row r="739" spans="1:36" ht="15" customHeight="1" x14ac:dyDescent="0.3">
      <c r="A739" s="2176" t="s">
        <v>2572</v>
      </c>
      <c r="B739" s="2175"/>
      <c r="C739" s="2174" t="s">
        <v>2566</v>
      </c>
      <c r="D739" s="2173" t="str">
        <f>IF(ISBLANK($U$7),"",IF($U$7="No","Please leave Panel B"&amp;COLUMN($U$7)-2&amp;" empty","Please fill in Panel B"&amp;COLUMN($U$7)-2))</f>
        <v/>
      </c>
      <c r="E739" s="1398"/>
      <c r="F739" s="1398"/>
      <c r="G739" s="1398"/>
      <c r="H739" s="1398"/>
      <c r="I739" s="1398"/>
      <c r="J739" s="1398"/>
      <c r="K739" s="1398"/>
      <c r="L739" s="1398"/>
      <c r="M739" s="1398"/>
      <c r="N739" s="1398"/>
      <c r="O739" s="1398"/>
      <c r="P739" s="1398"/>
      <c r="Q739" s="1398"/>
      <c r="R739" s="1398"/>
      <c r="S739" s="1398"/>
      <c r="T739" s="1398"/>
      <c r="U739" s="1398"/>
      <c r="V739" s="1398"/>
      <c r="W739" s="1398"/>
      <c r="X739" s="1398"/>
      <c r="Y739" s="1398"/>
      <c r="Z739" s="1398"/>
      <c r="AA739" s="1398"/>
      <c r="AB739" s="1398"/>
      <c r="AC739" s="1398"/>
      <c r="AD739" s="1398"/>
      <c r="AE739" s="1398"/>
      <c r="AF739" s="1398"/>
      <c r="AG739" s="1398"/>
      <c r="AH739" s="1398"/>
      <c r="AI739" s="1398"/>
      <c r="AJ739" s="1398"/>
    </row>
    <row r="740" spans="1:36" ht="15" customHeight="1" x14ac:dyDescent="0.35">
      <c r="A740" s="1398"/>
      <c r="C740" s="2980" t="s">
        <v>207</v>
      </c>
      <c r="D740" s="2980"/>
      <c r="E740" s="2980"/>
      <c r="F740" s="2980"/>
      <c r="G740" s="2980"/>
      <c r="H740" s="2980"/>
      <c r="I740" s="2980"/>
      <c r="J740" s="2980"/>
      <c r="K740" s="2980"/>
      <c r="L740" s="2981"/>
      <c r="M740" s="2982" t="s">
        <v>2559</v>
      </c>
      <c r="N740" s="2984" t="s">
        <v>2565</v>
      </c>
      <c r="O740" s="2985"/>
      <c r="P740" s="2985"/>
      <c r="Q740" s="2985"/>
      <c r="R740" s="1398"/>
      <c r="S740" s="1398"/>
      <c r="T740" s="1398"/>
      <c r="U740" s="1398"/>
      <c r="V740" s="1398"/>
      <c r="W740" s="1398"/>
      <c r="X740" s="1398"/>
      <c r="Y740" s="1398"/>
      <c r="Z740" s="1398"/>
      <c r="AA740" s="1398"/>
      <c r="AB740" s="1398"/>
      <c r="AC740" s="1398"/>
      <c r="AD740" s="1398"/>
      <c r="AE740" s="1398"/>
      <c r="AF740" s="1398"/>
      <c r="AG740" s="1398"/>
      <c r="AH740" s="1398"/>
      <c r="AI740" s="1398"/>
      <c r="AJ740" s="1398"/>
    </row>
    <row r="741" spans="1:36" ht="15" customHeight="1" x14ac:dyDescent="0.35">
      <c r="A741" s="1398"/>
      <c r="B741" s="2172"/>
      <c r="C741" s="2967" t="s">
        <v>2564</v>
      </c>
      <c r="D741" s="2973" t="s">
        <v>465</v>
      </c>
      <c r="E741" s="2974"/>
      <c r="F741" s="2974"/>
      <c r="G741" s="2974"/>
      <c r="H741" s="2975"/>
      <c r="I741" s="2969" t="s">
        <v>2563</v>
      </c>
      <c r="J741" s="2969" t="s">
        <v>2562</v>
      </c>
      <c r="K741" s="2969" t="s">
        <v>2561</v>
      </c>
      <c r="L741" s="2969" t="s">
        <v>2560</v>
      </c>
      <c r="M741" s="2983"/>
      <c r="N741" s="2978" t="s">
        <v>207</v>
      </c>
      <c r="O741" s="2978" t="s">
        <v>2559</v>
      </c>
      <c r="P741" s="2969" t="s">
        <v>59</v>
      </c>
      <c r="Q741" s="2971" t="s">
        <v>2558</v>
      </c>
      <c r="R741" s="1398"/>
      <c r="S741" s="1398"/>
      <c r="T741" s="1398"/>
      <c r="U741" s="1398"/>
      <c r="V741" s="1398"/>
      <c r="W741" s="1398"/>
      <c r="X741" s="1398"/>
      <c r="Y741" s="1398"/>
      <c r="Z741" s="1398"/>
      <c r="AA741" s="1398"/>
      <c r="AB741" s="1398"/>
      <c r="AC741" s="1398"/>
      <c r="AD741" s="1398"/>
      <c r="AE741" s="1398"/>
      <c r="AF741" s="1398"/>
      <c r="AG741" s="1398"/>
      <c r="AH741" s="1398"/>
      <c r="AI741" s="1398"/>
      <c r="AJ741" s="1398"/>
    </row>
    <row r="742" spans="1:36" ht="30" customHeight="1" x14ac:dyDescent="0.35">
      <c r="A742" s="1398"/>
      <c r="B742" s="2171"/>
      <c r="C742" s="2968"/>
      <c r="D742" s="2170" t="s">
        <v>2557</v>
      </c>
      <c r="E742" s="2170" t="s">
        <v>2556</v>
      </c>
      <c r="F742" s="2170" t="s">
        <v>2555</v>
      </c>
      <c r="G742" s="2170" t="s">
        <v>2554</v>
      </c>
      <c r="H742" s="2170" t="s">
        <v>59</v>
      </c>
      <c r="I742" s="2970"/>
      <c r="J742" s="2970"/>
      <c r="K742" s="2970"/>
      <c r="L742" s="2970"/>
      <c r="M742" s="2970"/>
      <c r="N742" s="2979"/>
      <c r="O742" s="2979"/>
      <c r="P742" s="2970"/>
      <c r="Q742" s="2972"/>
      <c r="R742" s="1398"/>
      <c r="S742" s="1398"/>
      <c r="T742" s="1398"/>
      <c r="U742" s="1398"/>
      <c r="V742" s="1398"/>
      <c r="W742" s="1398"/>
      <c r="X742" s="1398"/>
      <c r="Y742" s="1398"/>
      <c r="Z742" s="1398"/>
      <c r="AA742" s="1398"/>
      <c r="AB742" s="1398"/>
      <c r="AC742" s="1398"/>
      <c r="AD742" s="1398"/>
      <c r="AE742" s="1398"/>
      <c r="AF742" s="1398"/>
      <c r="AG742" s="1398"/>
      <c r="AH742" s="1398"/>
      <c r="AI742" s="1398"/>
      <c r="AJ742" s="1398"/>
    </row>
    <row r="743" spans="1:36" ht="15" customHeight="1" x14ac:dyDescent="0.35">
      <c r="A743" s="1398"/>
      <c r="B743" s="2169" t="s">
        <v>2553</v>
      </c>
      <c r="C743" s="2168" t="str">
        <f t="shared" ref="C743:I743" si="109">IF(AND(ISNUMBER(C756),ISNUMBER(C752),ISNUMBER(C754),ISNUMBER(C744),ISNUMBER(C748),ISNUMBER(C746),ISNUMBER(C750),ISNUMBER(C758)),SUM(C744,C746,C748,C750,C752,C754,C756,C758),"")</f>
        <v/>
      </c>
      <c r="D743" s="2168" t="str">
        <f t="shared" si="109"/>
        <v/>
      </c>
      <c r="E743" s="2168" t="str">
        <f t="shared" si="109"/>
        <v/>
      </c>
      <c r="F743" s="2168" t="str">
        <f t="shared" si="109"/>
        <v/>
      </c>
      <c r="G743" s="2168" t="str">
        <f t="shared" si="109"/>
        <v/>
      </c>
      <c r="H743" s="2168" t="str">
        <f t="shared" si="109"/>
        <v/>
      </c>
      <c r="I743" s="2168" t="str">
        <f t="shared" si="109"/>
        <v/>
      </c>
      <c r="J743" s="2157"/>
      <c r="K743" s="2168" t="str">
        <f>IF(AND(ISNUMBER(K756),ISNUMBER(K752),ISNUMBER(K754),ISNUMBER(K744),ISNUMBER(K748),ISNUMBER(K746),ISNUMBER(K750),ISNUMBER(K758)),SUM(K744,K746,K748,K750,K752,K754,K756,K758),"")</f>
        <v/>
      </c>
      <c r="L743" s="2157"/>
      <c r="M743" s="2168" t="str">
        <f>IF(AND(ISNUMBER(M756),ISNUMBER(M752),ISNUMBER(M754),ISNUMBER(M744),ISNUMBER(M748),ISNUMBER(M746),ISNUMBER(M750),ISNUMBER(M758)),SUM(M744,M746,M748,M750,M752,M754,M756,M758),"")</f>
        <v/>
      </c>
      <c r="N743" s="2167"/>
      <c r="O743" s="2167"/>
      <c r="P743" s="2167"/>
      <c r="Q743" s="2167"/>
      <c r="R743" s="1398"/>
      <c r="S743" s="1398"/>
      <c r="T743" s="1398"/>
      <c r="U743" s="1398"/>
      <c r="V743" s="1398"/>
      <c r="W743" s="1398"/>
      <c r="X743" s="1398"/>
      <c r="Y743" s="1398"/>
      <c r="Z743" s="1398"/>
      <c r="AA743" s="1398"/>
      <c r="AB743" s="1398"/>
      <c r="AC743" s="1398"/>
      <c r="AD743" s="1398"/>
      <c r="AE743" s="1398"/>
      <c r="AF743" s="1398"/>
      <c r="AG743" s="1398"/>
      <c r="AH743" s="1398"/>
      <c r="AI743" s="1398"/>
      <c r="AJ743" s="1398"/>
    </row>
    <row r="744" spans="1:36" ht="15" customHeight="1" x14ac:dyDescent="0.3">
      <c r="A744" s="1398"/>
      <c r="B744" s="2155" t="s">
        <v>2552</v>
      </c>
      <c r="C744" s="2151"/>
      <c r="D744" s="2151"/>
      <c r="E744" s="2151"/>
      <c r="F744" s="2151"/>
      <c r="G744" s="2151"/>
      <c r="H744" s="2151"/>
      <c r="I744" s="23"/>
      <c r="J744" s="2157"/>
      <c r="K744" s="2151"/>
      <c r="L744" s="2157"/>
      <c r="M744" s="23"/>
      <c r="N744" s="2157"/>
      <c r="O744" s="2157"/>
      <c r="P744" s="2157"/>
      <c r="Q744" s="2157"/>
      <c r="R744" s="1398"/>
      <c r="S744" s="1398"/>
      <c r="T744" s="1398"/>
      <c r="U744" s="1398"/>
      <c r="V744" s="1398"/>
      <c r="W744" s="1398"/>
      <c r="X744" s="1398"/>
      <c r="Y744" s="1398"/>
      <c r="Z744" s="1398"/>
      <c r="AA744" s="1398"/>
      <c r="AB744" s="1398"/>
      <c r="AC744" s="1398"/>
      <c r="AD744" s="1398"/>
      <c r="AE744" s="1398"/>
      <c r="AF744" s="1398"/>
      <c r="AG744" s="1398"/>
      <c r="AH744" s="1398"/>
      <c r="AI744" s="1398"/>
      <c r="AJ744" s="1398"/>
    </row>
    <row r="745" spans="1:36" ht="15" customHeight="1" x14ac:dyDescent="0.3">
      <c r="A745" s="1398"/>
      <c r="B745" s="2165" t="s">
        <v>2543</v>
      </c>
      <c r="C745" s="2151"/>
      <c r="D745" s="2151"/>
      <c r="E745" s="2151"/>
      <c r="F745" s="2151"/>
      <c r="G745" s="2151"/>
      <c r="H745" s="2151"/>
      <c r="I745" s="23"/>
      <c r="J745" s="2157"/>
      <c r="K745" s="2151"/>
      <c r="L745" s="2157"/>
      <c r="M745" s="23"/>
      <c r="N745" s="2157"/>
      <c r="O745" s="2157"/>
      <c r="P745" s="2157"/>
      <c r="Q745" s="2157"/>
      <c r="R745" s="1398"/>
      <c r="S745" s="1398"/>
      <c r="T745" s="1398"/>
      <c r="U745" s="1398"/>
      <c r="V745" s="1398"/>
      <c r="W745" s="1398"/>
      <c r="X745" s="1398"/>
      <c r="Y745" s="1398"/>
      <c r="Z745" s="1398"/>
      <c r="AA745" s="1398"/>
      <c r="AB745" s="1398"/>
      <c r="AC745" s="1398"/>
      <c r="AD745" s="1398"/>
      <c r="AE745" s="1398"/>
      <c r="AF745" s="1398"/>
      <c r="AG745" s="1398"/>
      <c r="AH745" s="1398"/>
      <c r="AI745" s="1398"/>
      <c r="AJ745" s="1398"/>
    </row>
    <row r="746" spans="1:36" ht="15" customHeight="1" x14ac:dyDescent="0.3">
      <c r="A746" s="1398"/>
      <c r="B746" s="2163" t="s">
        <v>2551</v>
      </c>
      <c r="C746" s="2151"/>
      <c r="D746" s="2151"/>
      <c r="E746" s="2151"/>
      <c r="F746" s="2151"/>
      <c r="G746" s="2151"/>
      <c r="H746" s="2151"/>
      <c r="I746" s="23"/>
      <c r="J746" s="2157"/>
      <c r="K746" s="2151"/>
      <c r="L746" s="2157"/>
      <c r="M746" s="23"/>
      <c r="N746" s="2157"/>
      <c r="O746" s="2157"/>
      <c r="P746" s="2157"/>
      <c r="Q746" s="2157"/>
      <c r="R746" s="1398"/>
      <c r="S746" s="1398"/>
      <c r="T746" s="1398"/>
      <c r="U746" s="1398"/>
      <c r="V746" s="1398"/>
      <c r="W746" s="1398"/>
      <c r="X746" s="1398"/>
      <c r="Y746" s="1398"/>
      <c r="Z746" s="1398"/>
      <c r="AA746" s="1398"/>
      <c r="AB746" s="1398"/>
      <c r="AC746" s="1398"/>
      <c r="AD746" s="1398"/>
      <c r="AE746" s="1398"/>
      <c r="AF746" s="1398"/>
      <c r="AG746" s="1398"/>
      <c r="AH746" s="1398"/>
      <c r="AI746" s="1398"/>
      <c r="AJ746" s="1398"/>
    </row>
    <row r="747" spans="1:36" ht="15" customHeight="1" x14ac:dyDescent="0.3">
      <c r="A747" s="1398"/>
      <c r="B747" s="2162" t="s">
        <v>2543</v>
      </c>
      <c r="C747" s="2151"/>
      <c r="D747" s="2151"/>
      <c r="E747" s="2151"/>
      <c r="F747" s="2151"/>
      <c r="G747" s="2151"/>
      <c r="H747" s="2151"/>
      <c r="I747" s="23"/>
      <c r="J747" s="2157"/>
      <c r="K747" s="2151"/>
      <c r="L747" s="2157"/>
      <c r="M747" s="23"/>
      <c r="N747" s="2157"/>
      <c r="O747" s="2157"/>
      <c r="P747" s="2157"/>
      <c r="Q747" s="2157"/>
      <c r="R747" s="1398"/>
      <c r="S747" s="1398"/>
      <c r="T747" s="1398"/>
      <c r="U747" s="1398"/>
      <c r="V747" s="1398"/>
      <c r="W747" s="1398"/>
      <c r="X747" s="1398"/>
      <c r="Y747" s="1398"/>
      <c r="Z747" s="1398"/>
      <c r="AA747" s="1398"/>
      <c r="AB747" s="1398"/>
      <c r="AC747" s="1398"/>
      <c r="AD747" s="1398"/>
      <c r="AE747" s="1398"/>
      <c r="AF747" s="1398"/>
      <c r="AG747" s="1398"/>
      <c r="AH747" s="1398"/>
      <c r="AI747" s="1398"/>
      <c r="AJ747" s="1398"/>
    </row>
    <row r="748" spans="1:36" ht="15" customHeight="1" x14ac:dyDescent="0.3">
      <c r="A748" s="1398"/>
      <c r="B748" s="2155" t="s">
        <v>2550</v>
      </c>
      <c r="C748" s="2151"/>
      <c r="D748" s="2151"/>
      <c r="E748" s="2151"/>
      <c r="F748" s="2151"/>
      <c r="G748" s="2151"/>
      <c r="H748" s="2151"/>
      <c r="I748" s="23"/>
      <c r="J748" s="2157"/>
      <c r="K748" s="2151"/>
      <c r="L748" s="2157"/>
      <c r="M748" s="23"/>
      <c r="N748" s="2157"/>
      <c r="O748" s="2157"/>
      <c r="P748" s="2157"/>
      <c r="Q748" s="2157"/>
      <c r="R748" s="1398"/>
      <c r="S748" s="1398"/>
      <c r="T748" s="1398"/>
      <c r="U748" s="1398"/>
      <c r="V748" s="1398"/>
      <c r="W748" s="1398"/>
      <c r="X748" s="1398"/>
      <c r="Y748" s="1398"/>
      <c r="Z748" s="1398"/>
      <c r="AA748" s="1398"/>
      <c r="AB748" s="1398"/>
      <c r="AC748" s="1398"/>
      <c r="AD748" s="1398"/>
      <c r="AE748" s="1398"/>
      <c r="AF748" s="1398"/>
      <c r="AG748" s="1398"/>
      <c r="AH748" s="1398"/>
      <c r="AI748" s="1398"/>
      <c r="AJ748" s="1398"/>
    </row>
    <row r="749" spans="1:36" ht="15" customHeight="1" x14ac:dyDescent="0.3">
      <c r="A749" s="1398"/>
      <c r="B749" s="2165" t="s">
        <v>2543</v>
      </c>
      <c r="C749" s="2151"/>
      <c r="D749" s="2151"/>
      <c r="E749" s="2151"/>
      <c r="F749" s="2151"/>
      <c r="G749" s="2151"/>
      <c r="H749" s="2151"/>
      <c r="I749" s="23"/>
      <c r="J749" s="2157"/>
      <c r="K749" s="2151"/>
      <c r="L749" s="2157"/>
      <c r="M749" s="23"/>
      <c r="N749" s="2157"/>
      <c r="O749" s="2157"/>
      <c r="P749" s="2157"/>
      <c r="Q749" s="2157"/>
      <c r="R749" s="1398"/>
      <c r="S749" s="1398"/>
      <c r="T749" s="1398"/>
      <c r="U749" s="1398"/>
      <c r="V749" s="1398"/>
      <c r="W749" s="1398"/>
      <c r="X749" s="1398"/>
      <c r="Y749" s="1398"/>
      <c r="Z749" s="1398"/>
      <c r="AA749" s="1398"/>
      <c r="AB749" s="1398"/>
      <c r="AC749" s="1398"/>
      <c r="AD749" s="1398"/>
      <c r="AE749" s="1398"/>
      <c r="AF749" s="1398"/>
      <c r="AG749" s="1398"/>
      <c r="AH749" s="1398"/>
      <c r="AI749" s="1398"/>
      <c r="AJ749" s="1398"/>
    </row>
    <row r="750" spans="1:36" ht="15" customHeight="1" x14ac:dyDescent="0.3">
      <c r="A750" s="1398"/>
      <c r="B750" s="2163" t="s">
        <v>2549</v>
      </c>
      <c r="C750" s="2151"/>
      <c r="D750" s="2151"/>
      <c r="E750" s="2151"/>
      <c r="F750" s="2151"/>
      <c r="G750" s="2151"/>
      <c r="H750" s="2151"/>
      <c r="I750" s="23"/>
      <c r="J750" s="2157"/>
      <c r="K750" s="2151"/>
      <c r="L750" s="2157"/>
      <c r="M750" s="23"/>
      <c r="N750" s="2157"/>
      <c r="O750" s="2157"/>
      <c r="P750" s="2157"/>
      <c r="Q750" s="2157"/>
      <c r="R750" s="1398"/>
      <c r="S750" s="1398"/>
      <c r="T750" s="1398"/>
      <c r="U750" s="1398"/>
      <c r="V750" s="1398"/>
      <c r="W750" s="1398"/>
      <c r="X750" s="1398"/>
      <c r="Y750" s="1398"/>
      <c r="Z750" s="1398"/>
      <c r="AA750" s="1398"/>
      <c r="AB750" s="1398"/>
      <c r="AC750" s="1398"/>
      <c r="AD750" s="1398"/>
      <c r="AE750" s="1398"/>
      <c r="AF750" s="1398"/>
      <c r="AG750" s="1398"/>
      <c r="AH750" s="1398"/>
      <c r="AI750" s="1398"/>
      <c r="AJ750" s="1398"/>
    </row>
    <row r="751" spans="1:36" ht="15" customHeight="1" x14ac:dyDescent="0.3">
      <c r="A751" s="1398"/>
      <c r="B751" s="2162" t="s">
        <v>2543</v>
      </c>
      <c r="C751" s="2151"/>
      <c r="D751" s="2151"/>
      <c r="E751" s="2151"/>
      <c r="F751" s="2151"/>
      <c r="G751" s="2151"/>
      <c r="H751" s="2151"/>
      <c r="I751" s="23"/>
      <c r="J751" s="2157"/>
      <c r="K751" s="2151"/>
      <c r="L751" s="2157"/>
      <c r="M751" s="23"/>
      <c r="N751" s="2157"/>
      <c r="O751" s="2157"/>
      <c r="P751" s="2157"/>
      <c r="Q751" s="2157"/>
      <c r="R751" s="1398"/>
      <c r="S751" s="1398"/>
      <c r="T751" s="1398"/>
      <c r="U751" s="1398"/>
      <c r="V751" s="1398"/>
      <c r="W751" s="1398"/>
      <c r="X751" s="1398"/>
      <c r="Y751" s="1398"/>
      <c r="Z751" s="1398"/>
      <c r="AA751" s="1398"/>
      <c r="AB751" s="1398"/>
      <c r="AC751" s="1398"/>
      <c r="AD751" s="1398"/>
      <c r="AE751" s="1398"/>
      <c r="AF751" s="1398"/>
      <c r="AG751" s="1398"/>
      <c r="AH751" s="1398"/>
      <c r="AI751" s="1398"/>
      <c r="AJ751" s="1398"/>
    </row>
    <row r="752" spans="1:36" ht="15" customHeight="1" x14ac:dyDescent="0.35">
      <c r="A752" s="1398"/>
      <c r="B752" s="2183" t="s">
        <v>2548</v>
      </c>
      <c r="C752" s="2151"/>
      <c r="D752" s="2151"/>
      <c r="E752" s="2151"/>
      <c r="F752" s="2151"/>
      <c r="G752" s="2151"/>
      <c r="H752" s="2151"/>
      <c r="I752" s="23"/>
      <c r="J752" s="2157"/>
      <c r="K752" s="2151"/>
      <c r="L752" s="2157"/>
      <c r="M752" s="23"/>
      <c r="N752" s="2157"/>
      <c r="O752" s="2157"/>
      <c r="P752" s="2157"/>
      <c r="Q752" s="2157"/>
      <c r="R752" s="1398"/>
      <c r="S752" s="1398"/>
      <c r="T752" s="1398"/>
      <c r="U752" s="1398"/>
      <c r="V752" s="1398"/>
      <c r="W752" s="1398"/>
      <c r="X752" s="1398"/>
      <c r="Y752" s="1398"/>
      <c r="Z752" s="1398"/>
      <c r="AA752" s="1398"/>
      <c r="AB752" s="1398"/>
      <c r="AC752" s="1398"/>
      <c r="AD752" s="1398"/>
      <c r="AE752" s="1398"/>
      <c r="AF752" s="1398"/>
      <c r="AG752" s="1398"/>
      <c r="AH752" s="1398"/>
      <c r="AI752" s="1398"/>
      <c r="AJ752" s="1398"/>
    </row>
    <row r="753" spans="1:36" ht="15" customHeight="1" x14ac:dyDescent="0.3">
      <c r="A753" s="1398"/>
      <c r="B753" s="2165" t="s">
        <v>2543</v>
      </c>
      <c r="C753" s="2151"/>
      <c r="D753" s="2151"/>
      <c r="E753" s="2151"/>
      <c r="F753" s="2151"/>
      <c r="G753" s="2151"/>
      <c r="H753" s="2151"/>
      <c r="I753" s="23"/>
      <c r="J753" s="2157"/>
      <c r="K753" s="2151"/>
      <c r="L753" s="2157"/>
      <c r="M753" s="23"/>
      <c r="N753" s="2157"/>
      <c r="O753" s="2157"/>
      <c r="P753" s="2157"/>
      <c r="Q753" s="2157"/>
      <c r="R753" s="1398"/>
      <c r="S753" s="1398"/>
      <c r="T753" s="1398"/>
      <c r="U753" s="1398"/>
      <c r="V753" s="1398"/>
      <c r="W753" s="1398"/>
      <c r="X753" s="1398"/>
      <c r="Y753" s="1398"/>
      <c r="Z753" s="1398"/>
      <c r="AA753" s="1398"/>
      <c r="AB753" s="1398"/>
      <c r="AC753" s="1398"/>
      <c r="AD753" s="1398"/>
      <c r="AE753" s="1398"/>
      <c r="AF753" s="1398"/>
      <c r="AG753" s="1398"/>
      <c r="AH753" s="1398"/>
      <c r="AI753" s="1398"/>
      <c r="AJ753" s="1398"/>
    </row>
    <row r="754" spans="1:36" ht="15" customHeight="1" x14ac:dyDescent="0.3">
      <c r="A754" s="1398"/>
      <c r="B754" s="2163" t="s">
        <v>2547</v>
      </c>
      <c r="C754" s="2151"/>
      <c r="D754" s="2151"/>
      <c r="E754" s="2151"/>
      <c r="F754" s="2151"/>
      <c r="G754" s="2151"/>
      <c r="H754" s="2151"/>
      <c r="I754" s="23"/>
      <c r="J754" s="2157"/>
      <c r="K754" s="2151"/>
      <c r="L754" s="2157"/>
      <c r="M754" s="23"/>
      <c r="N754" s="2157"/>
      <c r="O754" s="2157"/>
      <c r="P754" s="2157"/>
      <c r="Q754" s="2157"/>
      <c r="R754" s="1398"/>
      <c r="S754" s="1398"/>
      <c r="T754" s="1398"/>
      <c r="U754" s="1398"/>
      <c r="V754" s="1398"/>
      <c r="W754" s="1398"/>
      <c r="X754" s="1398"/>
      <c r="Y754" s="1398"/>
      <c r="Z754" s="1398"/>
      <c r="AA754" s="1398"/>
      <c r="AB754" s="1398"/>
      <c r="AC754" s="1398"/>
      <c r="AD754" s="1398"/>
      <c r="AE754" s="1398"/>
      <c r="AF754" s="1398"/>
      <c r="AG754" s="1398"/>
      <c r="AH754" s="1398"/>
      <c r="AI754" s="1398"/>
      <c r="AJ754" s="1398"/>
    </row>
    <row r="755" spans="1:36" ht="15" customHeight="1" x14ac:dyDescent="0.3">
      <c r="A755" s="1398"/>
      <c r="B755" s="2162" t="s">
        <v>2543</v>
      </c>
      <c r="C755" s="2151"/>
      <c r="D755" s="2151"/>
      <c r="E755" s="2151"/>
      <c r="F755" s="2151"/>
      <c r="G755" s="2151"/>
      <c r="H755" s="2151"/>
      <c r="I755" s="23"/>
      <c r="J755" s="2157"/>
      <c r="K755" s="2151"/>
      <c r="L755" s="2157"/>
      <c r="M755" s="23"/>
      <c r="N755" s="2157"/>
      <c r="O755" s="2157"/>
      <c r="P755" s="2157"/>
      <c r="Q755" s="2157"/>
      <c r="R755" s="1398"/>
      <c r="S755" s="1398"/>
      <c r="T755" s="1398"/>
      <c r="U755" s="1398"/>
      <c r="V755" s="1398"/>
      <c r="W755" s="1398"/>
      <c r="X755" s="1398"/>
      <c r="Y755" s="1398"/>
      <c r="Z755" s="1398"/>
      <c r="AA755" s="1398"/>
      <c r="AB755" s="1398"/>
      <c r="AC755" s="1398"/>
      <c r="AD755" s="1398"/>
      <c r="AE755" s="1398"/>
      <c r="AF755" s="1398"/>
      <c r="AG755" s="1398"/>
      <c r="AH755" s="1398"/>
      <c r="AI755" s="1398"/>
      <c r="AJ755" s="1398"/>
    </row>
    <row r="756" spans="1:36" ht="15" customHeight="1" x14ac:dyDescent="0.3">
      <c r="A756" s="1398"/>
      <c r="B756" s="2155" t="s">
        <v>2546</v>
      </c>
      <c r="C756" s="2151"/>
      <c r="D756" s="2151"/>
      <c r="E756" s="2151"/>
      <c r="F756" s="2151"/>
      <c r="G756" s="2151"/>
      <c r="H756" s="2151"/>
      <c r="I756" s="23"/>
      <c r="J756" s="2157"/>
      <c r="K756" s="2151"/>
      <c r="L756" s="2157"/>
      <c r="M756" s="23"/>
      <c r="N756" s="2157"/>
      <c r="O756" s="2157"/>
      <c r="P756" s="2157"/>
      <c r="Q756" s="2157"/>
      <c r="R756" s="1398"/>
      <c r="S756" s="1398"/>
      <c r="T756" s="1398"/>
      <c r="U756" s="1398"/>
      <c r="V756" s="1398"/>
      <c r="W756" s="1398"/>
      <c r="X756" s="1398"/>
      <c r="Y756" s="1398"/>
      <c r="Z756" s="1398"/>
      <c r="AA756" s="1398"/>
      <c r="AB756" s="1398"/>
      <c r="AC756" s="1398"/>
      <c r="AD756" s="1398"/>
      <c r="AE756" s="1398"/>
      <c r="AF756" s="1398"/>
      <c r="AG756" s="1398"/>
      <c r="AH756" s="1398"/>
      <c r="AI756" s="1398"/>
      <c r="AJ756" s="1398"/>
    </row>
    <row r="757" spans="1:36" ht="15" customHeight="1" x14ac:dyDescent="0.3">
      <c r="A757" s="1398"/>
      <c r="B757" s="2165" t="s">
        <v>2543</v>
      </c>
      <c r="C757" s="2151"/>
      <c r="D757" s="2151"/>
      <c r="E757" s="2151"/>
      <c r="F757" s="2151"/>
      <c r="G757" s="2151"/>
      <c r="H757" s="2151"/>
      <c r="I757" s="23"/>
      <c r="J757" s="2157"/>
      <c r="K757" s="2151"/>
      <c r="L757" s="2157"/>
      <c r="M757" s="23"/>
      <c r="N757" s="2157"/>
      <c r="O757" s="2157"/>
      <c r="P757" s="2157"/>
      <c r="Q757" s="2157"/>
      <c r="R757" s="1398"/>
      <c r="S757" s="1398"/>
      <c r="T757" s="1398"/>
      <c r="U757" s="1398"/>
      <c r="V757" s="1398"/>
      <c r="W757" s="1398"/>
      <c r="X757" s="1398"/>
      <c r="Y757" s="1398"/>
      <c r="Z757" s="1398"/>
      <c r="AA757" s="1398"/>
      <c r="AB757" s="1398"/>
      <c r="AC757" s="1398"/>
      <c r="AD757" s="1398"/>
      <c r="AE757" s="1398"/>
      <c r="AF757" s="1398"/>
      <c r="AG757" s="1398"/>
      <c r="AH757" s="1398"/>
      <c r="AI757" s="1398"/>
      <c r="AJ757" s="1398"/>
    </row>
    <row r="758" spans="1:36" ht="15" customHeight="1" x14ac:dyDescent="0.3">
      <c r="A758" s="1398"/>
      <c r="B758" s="2163" t="s">
        <v>1760</v>
      </c>
      <c r="C758" s="2151"/>
      <c r="D758" s="2151"/>
      <c r="E758" s="2151"/>
      <c r="F758" s="2151"/>
      <c r="G758" s="2151"/>
      <c r="H758" s="2151"/>
      <c r="I758" s="23"/>
      <c r="J758" s="2157"/>
      <c r="K758" s="2151"/>
      <c r="L758" s="2157"/>
      <c r="M758" s="23"/>
      <c r="N758" s="2157"/>
      <c r="O758" s="2157"/>
      <c r="P758" s="2157"/>
      <c r="Q758" s="2157"/>
      <c r="R758" s="1398"/>
      <c r="S758" s="1398"/>
      <c r="T758" s="1398"/>
      <c r="U758" s="1398"/>
      <c r="V758" s="1398"/>
      <c r="W758" s="1398"/>
      <c r="X758" s="1398"/>
      <c r="Y758" s="1398"/>
      <c r="Z758" s="1398"/>
      <c r="AA758" s="1398"/>
      <c r="AB758" s="1398"/>
      <c r="AC758" s="1398"/>
      <c r="AD758" s="1398"/>
      <c r="AE758" s="1398"/>
      <c r="AF758" s="1398"/>
      <c r="AG758" s="1398"/>
      <c r="AH758" s="1398"/>
      <c r="AI758" s="1398"/>
      <c r="AJ758" s="1398"/>
    </row>
    <row r="759" spans="1:36" ht="15" customHeight="1" x14ac:dyDescent="0.3">
      <c r="A759" s="1398"/>
      <c r="B759" s="2162" t="s">
        <v>2543</v>
      </c>
      <c r="C759" s="2182"/>
      <c r="D759" s="2182"/>
      <c r="E759" s="2182"/>
      <c r="F759" s="2182"/>
      <c r="G759" s="2182"/>
      <c r="H759" s="2182"/>
      <c r="I759" s="29"/>
      <c r="J759" s="2157"/>
      <c r="K759" s="2151"/>
      <c r="L759" s="2157"/>
      <c r="M759" s="23"/>
      <c r="N759" s="2157"/>
      <c r="O759" s="2157"/>
      <c r="P759" s="2157"/>
      <c r="Q759" s="2157"/>
      <c r="R759" s="1398"/>
      <c r="S759" s="1398"/>
      <c r="T759" s="1398"/>
      <c r="U759" s="1398"/>
      <c r="V759" s="1398"/>
      <c r="W759" s="1398"/>
      <c r="X759" s="1398"/>
      <c r="Y759" s="1398"/>
      <c r="Z759" s="1398"/>
      <c r="AA759" s="1398"/>
      <c r="AB759" s="1398"/>
      <c r="AC759" s="1398"/>
      <c r="AD759" s="1398"/>
      <c r="AE759" s="1398"/>
      <c r="AF759" s="1398"/>
      <c r="AG759" s="1398"/>
      <c r="AH759" s="1398"/>
      <c r="AI759" s="1398"/>
      <c r="AJ759" s="1398"/>
    </row>
    <row r="760" spans="1:36" ht="15" customHeight="1" x14ac:dyDescent="0.35">
      <c r="A760" s="1398"/>
      <c r="B760" s="2181" t="s">
        <v>2545</v>
      </c>
      <c r="C760" s="2159" t="str">
        <f t="shared" ref="C760:I760" si="110">IF(AND(ISNUMBER(C761),ISNUMBER(C763)),C761+C763,"")</f>
        <v/>
      </c>
      <c r="D760" s="2159" t="str">
        <f t="shared" si="110"/>
        <v/>
      </c>
      <c r="E760" s="2159" t="str">
        <f t="shared" si="110"/>
        <v/>
      </c>
      <c r="F760" s="2159" t="str">
        <f t="shared" si="110"/>
        <v/>
      </c>
      <c r="G760" s="2159" t="str">
        <f t="shared" si="110"/>
        <v/>
      </c>
      <c r="H760" s="2159" t="str">
        <f t="shared" si="110"/>
        <v/>
      </c>
      <c r="I760" s="2159" t="str">
        <f t="shared" si="110"/>
        <v/>
      </c>
      <c r="J760" s="2157"/>
      <c r="K760" s="2159" t="str">
        <f>IF(AND(ISNUMBER(K761),ISNUMBER(K763)),K761+K763,"")</f>
        <v/>
      </c>
      <c r="L760" s="2157"/>
      <c r="M760" s="2159" t="str">
        <f>IF(AND(ISNUMBER(M761),ISNUMBER(M763)),M761+M763,"")</f>
        <v/>
      </c>
      <c r="N760" s="2157"/>
      <c r="O760" s="2157"/>
      <c r="P760" s="2157"/>
      <c r="Q760" s="2157"/>
      <c r="R760" s="1398"/>
      <c r="S760" s="1398"/>
      <c r="T760" s="1398"/>
      <c r="U760" s="1398"/>
      <c r="V760" s="1398"/>
      <c r="W760" s="1398"/>
      <c r="X760" s="1398"/>
      <c r="Y760" s="1398"/>
      <c r="Z760" s="1398"/>
      <c r="AA760" s="1398"/>
      <c r="AB760" s="1398"/>
      <c r="AC760" s="1398"/>
      <c r="AD760" s="1398"/>
      <c r="AE760" s="1398"/>
      <c r="AF760" s="1398"/>
      <c r="AG760" s="1398"/>
      <c r="AH760" s="1398"/>
      <c r="AI760" s="1398"/>
      <c r="AJ760" s="1398"/>
    </row>
    <row r="761" spans="1:36" ht="15" customHeight="1" x14ac:dyDescent="0.3">
      <c r="A761" s="1398"/>
      <c r="B761" s="2155" t="s">
        <v>2544</v>
      </c>
      <c r="C761" s="2151"/>
      <c r="D761" s="2151"/>
      <c r="E761" s="2151"/>
      <c r="F761" s="2151"/>
      <c r="G761" s="2151"/>
      <c r="H761" s="2151"/>
      <c r="I761" s="2151"/>
      <c r="J761" s="2157"/>
      <c r="K761" s="2151"/>
      <c r="L761" s="2157"/>
      <c r="M761" s="2151"/>
      <c r="N761" s="2157"/>
      <c r="O761" s="2157"/>
      <c r="P761" s="2157"/>
      <c r="Q761" s="2157"/>
      <c r="R761" s="1398"/>
      <c r="S761" s="1398"/>
      <c r="T761" s="1398"/>
      <c r="U761" s="1398"/>
      <c r="V761" s="1398"/>
      <c r="W761" s="1398"/>
      <c r="X761" s="1398"/>
      <c r="Y761" s="1398"/>
      <c r="Z761" s="1398"/>
      <c r="AA761" s="1398"/>
      <c r="AB761" s="1398"/>
      <c r="AC761" s="1398"/>
      <c r="AD761" s="1398"/>
      <c r="AE761" s="1398"/>
      <c r="AF761" s="1398"/>
      <c r="AG761" s="1398"/>
      <c r="AH761" s="1398"/>
      <c r="AI761" s="1398"/>
      <c r="AJ761" s="1398"/>
    </row>
    <row r="762" spans="1:36" ht="15" customHeight="1" x14ac:dyDescent="0.3">
      <c r="A762" s="1398"/>
      <c r="B762" s="2165" t="s">
        <v>2543</v>
      </c>
      <c r="C762" s="2151"/>
      <c r="D762" s="2151"/>
      <c r="E762" s="2151"/>
      <c r="F762" s="2151"/>
      <c r="G762" s="2151"/>
      <c r="H762" s="2151"/>
      <c r="I762" s="2151"/>
      <c r="J762" s="2157"/>
      <c r="K762" s="2151"/>
      <c r="L762" s="2157"/>
      <c r="M762" s="2151"/>
      <c r="N762" s="2157"/>
      <c r="O762" s="2157"/>
      <c r="P762" s="2157"/>
      <c r="Q762" s="2157"/>
      <c r="R762" s="1398"/>
      <c r="S762" s="1398"/>
      <c r="T762" s="1398"/>
      <c r="U762" s="1398"/>
      <c r="V762" s="1398"/>
      <c r="W762" s="1398"/>
      <c r="X762" s="1398"/>
      <c r="Y762" s="1398"/>
      <c r="Z762" s="1398"/>
      <c r="AA762" s="1398"/>
      <c r="AB762" s="1398"/>
      <c r="AC762" s="1398"/>
      <c r="AD762" s="1398"/>
      <c r="AE762" s="1398"/>
      <c r="AF762" s="1398"/>
      <c r="AG762" s="1398"/>
      <c r="AH762" s="1398"/>
      <c r="AI762" s="1398"/>
      <c r="AJ762" s="1398"/>
    </row>
    <row r="763" spans="1:36" ht="15" customHeight="1" x14ac:dyDescent="0.3">
      <c r="A763" s="1398"/>
      <c r="B763" s="2163" t="s">
        <v>1760</v>
      </c>
      <c r="C763" s="2151"/>
      <c r="D763" s="2151"/>
      <c r="E763" s="2151"/>
      <c r="F763" s="2151"/>
      <c r="G763" s="2151"/>
      <c r="H763" s="2151"/>
      <c r="I763" s="2151"/>
      <c r="J763" s="2157"/>
      <c r="K763" s="2151"/>
      <c r="L763" s="2157"/>
      <c r="M763" s="2151"/>
      <c r="N763" s="2157"/>
      <c r="O763" s="2157"/>
      <c r="P763" s="2157"/>
      <c r="Q763" s="2157"/>
      <c r="R763" s="1398"/>
      <c r="S763" s="1398"/>
      <c r="T763" s="1398"/>
      <c r="U763" s="1398"/>
      <c r="V763" s="1398"/>
      <c r="W763" s="1398"/>
      <c r="X763" s="1398"/>
      <c r="Y763" s="1398"/>
      <c r="Z763" s="1398"/>
      <c r="AA763" s="1398"/>
      <c r="AB763" s="1398"/>
      <c r="AC763" s="1398"/>
      <c r="AD763" s="1398"/>
      <c r="AE763" s="1398"/>
      <c r="AF763" s="1398"/>
      <c r="AG763" s="1398"/>
      <c r="AH763" s="1398"/>
      <c r="AI763" s="1398"/>
      <c r="AJ763" s="1398"/>
    </row>
    <row r="764" spans="1:36" ht="15" customHeight="1" x14ac:dyDescent="0.3">
      <c r="A764" s="1398"/>
      <c r="B764" s="2162" t="s">
        <v>2543</v>
      </c>
      <c r="C764" s="2151"/>
      <c r="D764" s="2151"/>
      <c r="E764" s="2151"/>
      <c r="F764" s="2151"/>
      <c r="G764" s="2151"/>
      <c r="H764" s="2151"/>
      <c r="I764" s="2151"/>
      <c r="J764" s="2157"/>
      <c r="K764" s="2151"/>
      <c r="L764" s="2157"/>
      <c r="M764" s="2151"/>
      <c r="N764" s="2157"/>
      <c r="O764" s="2157"/>
      <c r="P764" s="2157"/>
      <c r="Q764" s="2157"/>
      <c r="R764" s="1398"/>
      <c r="S764" s="1398"/>
      <c r="T764" s="1398"/>
      <c r="U764" s="1398"/>
      <c r="V764" s="1398"/>
      <c r="W764" s="1398"/>
      <c r="X764" s="1398"/>
      <c r="Y764" s="1398"/>
      <c r="Z764" s="1398"/>
      <c r="AA764" s="1398"/>
      <c r="AB764" s="1398"/>
      <c r="AC764" s="1398"/>
      <c r="AD764" s="1398"/>
      <c r="AE764" s="1398"/>
      <c r="AF764" s="1398"/>
      <c r="AG764" s="1398"/>
      <c r="AH764" s="1398"/>
      <c r="AI764" s="1398"/>
      <c r="AJ764" s="1398"/>
    </row>
    <row r="765" spans="1:36" ht="15" customHeight="1" x14ac:dyDescent="0.3">
      <c r="A765" s="1398"/>
      <c r="B765" s="1976" t="s">
        <v>1941</v>
      </c>
      <c r="C765" s="2151"/>
      <c r="D765" s="2151"/>
      <c r="E765" s="2151"/>
      <c r="F765" s="2151"/>
      <c r="G765" s="2151"/>
      <c r="H765" s="2151"/>
      <c r="I765" s="2151"/>
      <c r="J765" s="2157"/>
      <c r="K765" s="2151"/>
      <c r="L765" s="2157"/>
      <c r="M765" s="2151"/>
      <c r="N765" s="2157"/>
      <c r="O765" s="2157"/>
      <c r="P765" s="2157"/>
      <c r="Q765" s="2157"/>
      <c r="R765" s="1398"/>
      <c r="S765" s="1398"/>
      <c r="T765" s="1398"/>
      <c r="U765" s="1398"/>
      <c r="V765" s="1398"/>
      <c r="W765" s="1398"/>
      <c r="X765" s="1398"/>
      <c r="Y765" s="1398"/>
      <c r="Z765" s="1398"/>
      <c r="AA765" s="1398"/>
      <c r="AB765" s="1398"/>
      <c r="AC765" s="1398"/>
      <c r="AD765" s="1398"/>
      <c r="AE765" s="1398"/>
      <c r="AF765" s="1398"/>
      <c r="AG765" s="1398"/>
      <c r="AH765" s="1398"/>
      <c r="AI765" s="1398"/>
      <c r="AJ765" s="1398"/>
    </row>
    <row r="766" spans="1:36" ht="15" customHeight="1" x14ac:dyDescent="0.35">
      <c r="A766" s="1398"/>
      <c r="B766" s="1976" t="s">
        <v>2542</v>
      </c>
      <c r="C766" s="2159" t="str">
        <f t="shared" ref="C766:I766" si="111">IF(AND(ISNUMBER(C767),ISNUMBER(C768)),C767+C768,"")</f>
        <v/>
      </c>
      <c r="D766" s="2159" t="str">
        <f t="shared" si="111"/>
        <v/>
      </c>
      <c r="E766" s="2159" t="str">
        <f t="shared" si="111"/>
        <v/>
      </c>
      <c r="F766" s="2159" t="str">
        <f t="shared" si="111"/>
        <v/>
      </c>
      <c r="G766" s="2159" t="str">
        <f t="shared" si="111"/>
        <v/>
      </c>
      <c r="H766" s="2159" t="str">
        <f t="shared" si="111"/>
        <v/>
      </c>
      <c r="I766" s="2159" t="str">
        <f t="shared" si="111"/>
        <v/>
      </c>
      <c r="J766" s="2157"/>
      <c r="K766" s="2159" t="str">
        <f>IF(AND(ISNUMBER(K767),ISNUMBER(K768)),K767+K768,"")</f>
        <v/>
      </c>
      <c r="L766" s="2157"/>
      <c r="M766" s="2159" t="str">
        <f>IF(AND(ISNUMBER(M767),ISNUMBER(M768)),M767+M768,"")</f>
        <v/>
      </c>
      <c r="N766" s="2157"/>
      <c r="O766" s="2157"/>
      <c r="P766" s="2157"/>
      <c r="Q766" s="2157"/>
      <c r="R766" s="1398"/>
      <c r="S766" s="1398"/>
      <c r="T766" s="1398"/>
      <c r="U766" s="1398"/>
      <c r="V766" s="1398"/>
      <c r="W766" s="1398"/>
      <c r="X766" s="1398"/>
      <c r="Y766" s="1398"/>
      <c r="Z766" s="1398"/>
      <c r="AA766" s="1398"/>
      <c r="AB766" s="1398"/>
      <c r="AC766" s="1398"/>
      <c r="AD766" s="1398"/>
      <c r="AE766" s="1398"/>
      <c r="AF766" s="1398"/>
      <c r="AG766" s="1398"/>
      <c r="AH766" s="1398"/>
      <c r="AI766" s="1398"/>
      <c r="AJ766" s="1398"/>
    </row>
    <row r="767" spans="1:36" ht="15" customHeight="1" x14ac:dyDescent="0.3">
      <c r="A767" s="1398"/>
      <c r="B767" s="2163" t="s">
        <v>2541</v>
      </c>
      <c r="C767" s="2151"/>
      <c r="D767" s="2151"/>
      <c r="E767" s="2151"/>
      <c r="F767" s="2151"/>
      <c r="G767" s="2151"/>
      <c r="H767" s="2151"/>
      <c r="I767" s="2151"/>
      <c r="J767" s="2157"/>
      <c r="K767" s="2151"/>
      <c r="L767" s="2157"/>
      <c r="M767" s="2151"/>
      <c r="N767" s="2157"/>
      <c r="O767" s="2157"/>
      <c r="P767" s="2157"/>
      <c r="Q767" s="2157"/>
      <c r="R767" s="1398"/>
      <c r="S767" s="1398"/>
      <c r="T767" s="1398"/>
      <c r="U767" s="1398"/>
      <c r="V767" s="1398"/>
      <c r="W767" s="1398"/>
      <c r="X767" s="1398"/>
      <c r="Y767" s="1398"/>
      <c r="Z767" s="1398"/>
      <c r="AA767" s="1398"/>
      <c r="AB767" s="1398"/>
      <c r="AC767" s="1398"/>
      <c r="AD767" s="1398"/>
      <c r="AE767" s="1398"/>
      <c r="AF767" s="1398"/>
      <c r="AG767" s="1398"/>
      <c r="AH767" s="1398"/>
      <c r="AI767" s="1398"/>
      <c r="AJ767" s="1398"/>
    </row>
    <row r="768" spans="1:36" ht="15" customHeight="1" x14ac:dyDescent="0.3">
      <c r="A768" s="1398"/>
      <c r="B768" s="2185" t="s">
        <v>1760</v>
      </c>
      <c r="C768" s="2151"/>
      <c r="D768" s="2151"/>
      <c r="E768" s="2151"/>
      <c r="F768" s="2151"/>
      <c r="G768" s="2151"/>
      <c r="H768" s="2151"/>
      <c r="I768" s="2151"/>
      <c r="J768" s="2157"/>
      <c r="K768" s="2151"/>
      <c r="L768" s="2157"/>
      <c r="M768" s="2151"/>
      <c r="N768" s="2157"/>
      <c r="O768" s="2157"/>
      <c r="P768" s="2157"/>
      <c r="Q768" s="2157"/>
      <c r="R768" s="1398"/>
      <c r="S768" s="1398"/>
      <c r="T768" s="1398"/>
      <c r="U768" s="1398"/>
      <c r="V768" s="1398"/>
      <c r="W768" s="1398"/>
      <c r="X768" s="1398"/>
      <c r="Y768" s="1398"/>
      <c r="Z768" s="1398"/>
      <c r="AA768" s="1398"/>
      <c r="AB768" s="1398"/>
      <c r="AC768" s="1398"/>
      <c r="AD768" s="1398"/>
      <c r="AE768" s="1398"/>
      <c r="AF768" s="1398"/>
      <c r="AG768" s="1398"/>
      <c r="AH768" s="1398"/>
      <c r="AI768" s="1398"/>
      <c r="AJ768" s="1398"/>
    </row>
    <row r="769" spans="1:36" ht="15" customHeight="1" x14ac:dyDescent="0.35">
      <c r="A769" s="1398"/>
      <c r="B769" s="2160" t="s">
        <v>2540</v>
      </c>
      <c r="C769" s="2159" t="str">
        <f t="shared" ref="C769:I769" si="112">IF(AND(ISNUMBER(C770),ISNUMBER(C771)),C770+C771,"")</f>
        <v/>
      </c>
      <c r="D769" s="2159" t="str">
        <f t="shared" si="112"/>
        <v/>
      </c>
      <c r="E769" s="2159" t="str">
        <f t="shared" si="112"/>
        <v/>
      </c>
      <c r="F769" s="2159" t="str">
        <f t="shared" si="112"/>
        <v/>
      </c>
      <c r="G769" s="2159" t="str">
        <f t="shared" si="112"/>
        <v/>
      </c>
      <c r="H769" s="2159" t="str">
        <f t="shared" si="112"/>
        <v/>
      </c>
      <c r="I769" s="2159" t="str">
        <f t="shared" si="112"/>
        <v/>
      </c>
      <c r="J769" s="2157"/>
      <c r="K769" s="2159" t="str">
        <f>IF(AND(ISNUMBER(K770),ISNUMBER(K771)),K770+K771,"")</f>
        <v/>
      </c>
      <c r="L769" s="2157"/>
      <c r="M769" s="2159" t="str">
        <f>IF(AND(ISNUMBER(M770),ISNUMBER(M771)),M770+M771,"")</f>
        <v/>
      </c>
      <c r="N769" s="2157"/>
      <c r="O769" s="2157"/>
      <c r="P769" s="2157"/>
      <c r="Q769" s="2157"/>
      <c r="R769" s="1398"/>
      <c r="S769" s="1398"/>
      <c r="T769" s="1398"/>
      <c r="U769" s="1398"/>
      <c r="V769" s="1398"/>
      <c r="W769" s="1398"/>
      <c r="X769" s="1398"/>
      <c r="Y769" s="1398"/>
      <c r="Z769" s="1398"/>
      <c r="AA769" s="1398"/>
      <c r="AB769" s="1398"/>
      <c r="AC769" s="1398"/>
      <c r="AD769" s="1398"/>
      <c r="AE769" s="1398"/>
      <c r="AF769" s="1398"/>
      <c r="AG769" s="1398"/>
      <c r="AH769" s="1398"/>
      <c r="AI769" s="1398"/>
      <c r="AJ769" s="1398"/>
    </row>
    <row r="770" spans="1:36" ht="15" customHeight="1" x14ac:dyDescent="0.3">
      <c r="A770" s="1398"/>
      <c r="B770" s="2158" t="s">
        <v>2539</v>
      </c>
      <c r="C770" s="2151"/>
      <c r="D770" s="2151"/>
      <c r="E770" s="2151"/>
      <c r="F770" s="2151"/>
      <c r="G770" s="2151"/>
      <c r="H770" s="2151"/>
      <c r="I770" s="2151"/>
      <c r="J770" s="2157"/>
      <c r="K770" s="2151"/>
      <c r="L770" s="2157"/>
      <c r="M770" s="2151"/>
      <c r="N770" s="2157"/>
      <c r="O770" s="2157"/>
      <c r="P770" s="2157"/>
      <c r="Q770" s="2157"/>
      <c r="R770" s="1398"/>
      <c r="S770" s="1398"/>
      <c r="T770" s="1398"/>
      <c r="U770" s="1398"/>
      <c r="V770" s="1398"/>
      <c r="W770" s="1398"/>
      <c r="X770" s="1398"/>
      <c r="Y770" s="1398"/>
      <c r="Z770" s="1398"/>
      <c r="AA770" s="1398"/>
      <c r="AB770" s="1398"/>
      <c r="AC770" s="1398"/>
      <c r="AD770" s="1398"/>
      <c r="AE770" s="1398"/>
      <c r="AF770" s="1398"/>
      <c r="AG770" s="1398"/>
      <c r="AH770" s="1398"/>
      <c r="AI770" s="1398"/>
      <c r="AJ770" s="1398"/>
    </row>
    <row r="771" spans="1:36" ht="15" customHeight="1" x14ac:dyDescent="0.3">
      <c r="A771" s="1398"/>
      <c r="B771" s="2158" t="s">
        <v>1760</v>
      </c>
      <c r="C771" s="2151"/>
      <c r="D771" s="2151"/>
      <c r="E771" s="2151"/>
      <c r="F771" s="2151"/>
      <c r="G771" s="2151"/>
      <c r="H771" s="2151"/>
      <c r="I771" s="2151"/>
      <c r="J771" s="2157"/>
      <c r="K771" s="2151"/>
      <c r="L771" s="2157"/>
      <c r="M771" s="2151"/>
      <c r="N771" s="2157"/>
      <c r="O771" s="2157"/>
      <c r="P771" s="2157"/>
      <c r="Q771" s="2157"/>
      <c r="R771" s="1398"/>
      <c r="S771" s="1398"/>
      <c r="T771" s="1398"/>
      <c r="U771" s="1398"/>
      <c r="V771" s="1398"/>
      <c r="W771" s="1398"/>
      <c r="X771" s="1398"/>
      <c r="Y771" s="1398"/>
      <c r="Z771" s="1398"/>
      <c r="AA771" s="1398"/>
      <c r="AB771" s="1398"/>
      <c r="AC771" s="1398"/>
      <c r="AD771" s="1398"/>
      <c r="AE771" s="1398"/>
      <c r="AF771" s="1398"/>
      <c r="AG771" s="1398"/>
      <c r="AH771" s="1398"/>
      <c r="AI771" s="1398"/>
      <c r="AJ771" s="1398"/>
    </row>
    <row r="772" spans="1:36" ht="15" customHeight="1" x14ac:dyDescent="0.35">
      <c r="A772" s="1398"/>
      <c r="B772" s="569" t="s">
        <v>59</v>
      </c>
      <c r="C772" s="2156">
        <f t="shared" ref="C772:Q772" si="113">IF(AND(ISNUMBER(C774),ISNUMBER(C773)),SUM(C773:C774),0)</f>
        <v>0</v>
      </c>
      <c r="D772" s="2156">
        <f t="shared" si="113"/>
        <v>0</v>
      </c>
      <c r="E772" s="2156">
        <f t="shared" si="113"/>
        <v>0</v>
      </c>
      <c r="F772" s="2156">
        <f t="shared" si="113"/>
        <v>0</v>
      </c>
      <c r="G772" s="2156">
        <f t="shared" si="113"/>
        <v>0</v>
      </c>
      <c r="H772" s="2156">
        <f t="shared" si="113"/>
        <v>0</v>
      </c>
      <c r="I772" s="2156">
        <f t="shared" si="113"/>
        <v>0</v>
      </c>
      <c r="J772" s="2156">
        <f t="shared" si="113"/>
        <v>0</v>
      </c>
      <c r="K772" s="2156">
        <f t="shared" si="113"/>
        <v>0</v>
      </c>
      <c r="L772" s="2156">
        <f t="shared" si="113"/>
        <v>0</v>
      </c>
      <c r="M772" s="2156">
        <f t="shared" si="113"/>
        <v>0</v>
      </c>
      <c r="N772" s="2156">
        <f t="shared" si="113"/>
        <v>0</v>
      </c>
      <c r="O772" s="2156">
        <f t="shared" si="113"/>
        <v>0</v>
      </c>
      <c r="P772" s="2156">
        <f t="shared" si="113"/>
        <v>0</v>
      </c>
      <c r="Q772" s="2156">
        <f t="shared" si="113"/>
        <v>0</v>
      </c>
      <c r="R772" s="1398"/>
      <c r="S772" s="1398"/>
      <c r="T772" s="1398"/>
      <c r="U772" s="1398"/>
      <c r="V772" s="1398"/>
      <c r="W772" s="1398"/>
      <c r="X772" s="1398"/>
      <c r="Y772" s="1398"/>
      <c r="Z772" s="1398"/>
      <c r="AA772" s="1398"/>
      <c r="AB772" s="1398"/>
      <c r="AC772" s="1398"/>
      <c r="AD772" s="1398"/>
      <c r="AE772" s="1398"/>
    </row>
    <row r="773" spans="1:36" ht="15" customHeight="1" x14ac:dyDescent="0.3">
      <c r="A773" s="1398"/>
      <c r="B773" s="2155" t="s">
        <v>2538</v>
      </c>
      <c r="C773" s="2151"/>
      <c r="D773" s="2151"/>
      <c r="E773" s="2151"/>
      <c r="F773" s="2151"/>
      <c r="G773" s="2151"/>
      <c r="H773" s="2151"/>
      <c r="I773" s="23"/>
      <c r="J773" s="2151"/>
      <c r="K773" s="2151"/>
      <c r="L773" s="2151"/>
      <c r="M773" s="2151"/>
      <c r="N773" s="2151"/>
      <c r="O773" s="2151"/>
      <c r="P773" s="2151"/>
      <c r="Q773" s="2151"/>
      <c r="R773" s="1398"/>
      <c r="S773" s="1398"/>
      <c r="T773" s="1398"/>
      <c r="U773" s="1398"/>
      <c r="V773" s="1398"/>
      <c r="W773" s="1398"/>
      <c r="X773" s="1398"/>
      <c r="Y773" s="1398"/>
      <c r="Z773" s="1398"/>
      <c r="AA773" s="1398"/>
      <c r="AB773" s="1398"/>
      <c r="AC773" s="1398"/>
      <c r="AD773" s="1398"/>
      <c r="AE773" s="1398"/>
    </row>
    <row r="774" spans="1:36" ht="15" customHeight="1" x14ac:dyDescent="0.3">
      <c r="A774" s="1398"/>
      <c r="B774" s="2155" t="s">
        <v>2537</v>
      </c>
      <c r="C774" s="2151"/>
      <c r="D774" s="2151"/>
      <c r="E774" s="2151"/>
      <c r="F774" s="2151"/>
      <c r="G774" s="2151"/>
      <c r="H774" s="2151"/>
      <c r="I774" s="23"/>
      <c r="J774" s="2151"/>
      <c r="K774" s="2151"/>
      <c r="L774" s="2151"/>
      <c r="M774" s="2151"/>
      <c r="N774" s="2151"/>
      <c r="O774" s="2151"/>
      <c r="P774" s="2151"/>
      <c r="Q774" s="2151"/>
      <c r="R774" s="1398"/>
      <c r="S774" s="1398"/>
      <c r="T774" s="1398"/>
      <c r="U774" s="1398"/>
      <c r="V774" s="1398"/>
      <c r="W774" s="1398"/>
      <c r="X774" s="1398"/>
      <c r="Y774" s="1398"/>
      <c r="Z774" s="1398"/>
      <c r="AA774" s="1398"/>
      <c r="AB774" s="1398"/>
      <c r="AC774" s="1398"/>
      <c r="AD774" s="1398"/>
      <c r="AE774" s="1398"/>
    </row>
    <row r="775" spans="1:36" ht="15" customHeight="1" x14ac:dyDescent="0.3">
      <c r="A775" s="1398"/>
      <c r="B775" s="2154" t="str">
        <f>"Check: row " &amp; ROW(B772) &amp;" = sum(row " &amp; ROW(B773) &amp; ", row "&amp; ROW(B774)&amp;")"</f>
        <v>Check: row 772 = sum(row 773, row 774)</v>
      </c>
      <c r="C775" s="2153" t="str">
        <f t="shared" ref="C775:Q775" si="114">IF(AND(ISNUMBER(C773), ISNUMBER(C774)), IF(C772=SUM(C773:C774), "Pass", "Fail"), "")</f>
        <v/>
      </c>
      <c r="D775" s="2153" t="str">
        <f t="shared" si="114"/>
        <v/>
      </c>
      <c r="E775" s="2153" t="str">
        <f t="shared" si="114"/>
        <v/>
      </c>
      <c r="F775" s="2153" t="str">
        <f t="shared" si="114"/>
        <v/>
      </c>
      <c r="G775" s="2153" t="str">
        <f t="shared" si="114"/>
        <v/>
      </c>
      <c r="H775" s="2153" t="str">
        <f t="shared" si="114"/>
        <v/>
      </c>
      <c r="I775" s="2153" t="str">
        <f t="shared" si="114"/>
        <v/>
      </c>
      <c r="J775" s="2153" t="str">
        <f t="shared" si="114"/>
        <v/>
      </c>
      <c r="K775" s="2153" t="str">
        <f t="shared" si="114"/>
        <v/>
      </c>
      <c r="L775" s="2153" t="str">
        <f t="shared" si="114"/>
        <v/>
      </c>
      <c r="M775" s="2153" t="str">
        <f t="shared" si="114"/>
        <v/>
      </c>
      <c r="N775" s="2153" t="str">
        <f t="shared" si="114"/>
        <v/>
      </c>
      <c r="O775" s="2153" t="str">
        <f t="shared" si="114"/>
        <v/>
      </c>
      <c r="P775" s="2153" t="str">
        <f t="shared" si="114"/>
        <v/>
      </c>
      <c r="Q775" s="2153" t="str">
        <f t="shared" si="114"/>
        <v/>
      </c>
      <c r="R775" s="1398"/>
      <c r="S775" s="1398"/>
      <c r="T775" s="1398"/>
      <c r="U775" s="1398"/>
      <c r="V775" s="1398"/>
      <c r="W775" s="1398"/>
      <c r="X775" s="1398"/>
      <c r="Y775" s="1398"/>
      <c r="Z775" s="1398"/>
      <c r="AA775" s="1398"/>
      <c r="AB775" s="1398"/>
      <c r="AC775" s="1398"/>
      <c r="AD775" s="1398"/>
      <c r="AE775" s="1398"/>
    </row>
    <row r="776" spans="1:36" ht="15" customHeight="1" x14ac:dyDescent="0.3">
      <c r="A776" s="1398"/>
      <c r="B776" s="2152" t="s">
        <v>2536</v>
      </c>
      <c r="C776" s="2151"/>
      <c r="D776" s="1398"/>
      <c r="E776" s="1398"/>
      <c r="F776" s="1398"/>
      <c r="G776" s="1398"/>
      <c r="H776" s="1398"/>
      <c r="I776" s="1398"/>
      <c r="J776" s="1398"/>
      <c r="K776" s="1398"/>
      <c r="L776" s="1398"/>
      <c r="M776" s="1398"/>
      <c r="N776" s="1398"/>
      <c r="O776" s="1398"/>
      <c r="P776" s="1398"/>
      <c r="Q776" s="1398"/>
      <c r="R776" s="1398"/>
      <c r="S776" s="1398"/>
      <c r="T776" s="1398"/>
      <c r="U776" s="1398"/>
      <c r="V776" s="1398"/>
      <c r="W776" s="1398"/>
      <c r="X776" s="1398"/>
      <c r="Y776" s="1398"/>
      <c r="Z776" s="1398"/>
      <c r="AA776" s="1398"/>
      <c r="AB776" s="1398"/>
      <c r="AC776" s="1398"/>
      <c r="AD776" s="1398"/>
      <c r="AE776" s="1398"/>
    </row>
    <row r="777" spans="1:36" ht="15" customHeight="1" x14ac:dyDescent="0.3">
      <c r="A777" s="1398"/>
      <c r="B777" s="2150" t="s">
        <v>2535</v>
      </c>
      <c r="C777" s="2149"/>
      <c r="D777" s="1398"/>
      <c r="E777" s="1398"/>
      <c r="F777" s="1398"/>
      <c r="G777" s="1398"/>
      <c r="H777" s="1398"/>
      <c r="I777" s="1398"/>
      <c r="J777" s="1398"/>
      <c r="K777" s="1398"/>
      <c r="L777" s="1398"/>
      <c r="M777" s="1398"/>
      <c r="N777" s="1398"/>
      <c r="O777" s="1398"/>
      <c r="P777" s="1398"/>
      <c r="Q777" s="1398"/>
      <c r="R777" s="1398"/>
      <c r="S777" s="1398"/>
      <c r="T777" s="1398"/>
      <c r="U777" s="1398"/>
      <c r="V777" s="1398"/>
      <c r="W777" s="1398"/>
      <c r="X777" s="1398"/>
      <c r="Y777" s="1398"/>
      <c r="Z777" s="1398"/>
      <c r="AA777" s="1398"/>
      <c r="AB777" s="1398"/>
      <c r="AC777" s="1398"/>
      <c r="AD777" s="1398"/>
      <c r="AE777" s="1398"/>
    </row>
    <row r="778" spans="1:36" ht="15" customHeight="1" x14ac:dyDescent="0.35">
      <c r="A778" s="1398"/>
      <c r="D778" s="1398"/>
      <c r="E778" s="1398"/>
      <c r="F778" s="1398"/>
      <c r="G778" s="1398"/>
      <c r="H778" s="1398"/>
      <c r="I778" s="1398"/>
      <c r="J778" s="1398"/>
      <c r="K778" s="1398"/>
      <c r="L778" s="1398"/>
      <c r="M778" s="1398"/>
      <c r="N778" s="1398"/>
      <c r="O778" s="1398"/>
      <c r="P778" s="1398"/>
      <c r="Q778" s="1398"/>
      <c r="R778" s="1398"/>
      <c r="S778" s="1398"/>
      <c r="T778" s="1398"/>
      <c r="U778" s="1398"/>
      <c r="V778" s="1398"/>
      <c r="W778" s="1398"/>
      <c r="X778" s="1398"/>
      <c r="Y778" s="1398"/>
      <c r="Z778" s="1398"/>
      <c r="AA778" s="1398"/>
      <c r="AB778" s="1398"/>
      <c r="AC778" s="1398"/>
      <c r="AD778" s="1398"/>
      <c r="AE778" s="1398"/>
      <c r="AF778" s="1398"/>
      <c r="AG778" s="1398"/>
      <c r="AH778" s="1398"/>
      <c r="AI778" s="1398"/>
      <c r="AJ778" s="1398"/>
    </row>
    <row r="779" spans="1:36" ht="15" customHeight="1" x14ac:dyDescent="0.3">
      <c r="A779" s="2176" t="s">
        <v>2571</v>
      </c>
      <c r="B779" s="2175"/>
      <c r="C779" s="2174" t="s">
        <v>2566</v>
      </c>
      <c r="D779" s="2173" t="str">
        <f>IF(ISBLANK($V$7),"",IF($V$7="No","Please leave Panel B"&amp;COLUMN($V$7)-2&amp;" empty","Please fill in Panel B"&amp;COLUMN($V$7)-2))</f>
        <v/>
      </c>
      <c r="E779" s="1398"/>
      <c r="F779" s="1398"/>
      <c r="G779" s="1398"/>
      <c r="H779" s="1398"/>
      <c r="I779" s="1398"/>
      <c r="J779" s="1398"/>
      <c r="K779" s="1398"/>
      <c r="L779" s="1398"/>
      <c r="M779" s="1398"/>
      <c r="N779" s="1398"/>
      <c r="O779" s="1398"/>
      <c r="P779" s="1398"/>
      <c r="Q779" s="1398"/>
      <c r="R779" s="1398"/>
      <c r="S779" s="1398"/>
      <c r="T779" s="1398"/>
      <c r="U779" s="1398"/>
      <c r="V779" s="1398"/>
      <c r="W779" s="1398"/>
      <c r="X779" s="1398"/>
      <c r="Y779" s="1398"/>
      <c r="Z779" s="1398"/>
      <c r="AA779" s="1398"/>
      <c r="AB779" s="1398"/>
      <c r="AC779" s="1398"/>
      <c r="AD779" s="1398"/>
      <c r="AE779" s="1398"/>
      <c r="AF779" s="1398"/>
      <c r="AG779" s="1398"/>
      <c r="AH779" s="1398"/>
      <c r="AI779" s="1398"/>
      <c r="AJ779" s="1398"/>
    </row>
    <row r="780" spans="1:36" ht="15" customHeight="1" x14ac:dyDescent="0.35">
      <c r="A780" s="1398"/>
      <c r="C780" s="2980" t="s">
        <v>207</v>
      </c>
      <c r="D780" s="2980"/>
      <c r="E780" s="2980"/>
      <c r="F780" s="2980"/>
      <c r="G780" s="2980"/>
      <c r="H780" s="2980"/>
      <c r="I780" s="2980"/>
      <c r="J780" s="2980"/>
      <c r="K780" s="2980"/>
      <c r="L780" s="2981"/>
      <c r="M780" s="2982" t="s">
        <v>2559</v>
      </c>
      <c r="N780" s="2984" t="s">
        <v>2565</v>
      </c>
      <c r="O780" s="2985"/>
      <c r="P780" s="2985"/>
      <c r="Q780" s="2985"/>
      <c r="R780" s="1398"/>
      <c r="S780" s="1398"/>
      <c r="T780" s="1398"/>
      <c r="U780" s="1398"/>
      <c r="V780" s="1398"/>
      <c r="W780" s="1398"/>
      <c r="X780" s="1398"/>
      <c r="Y780" s="1398"/>
      <c r="Z780" s="1398"/>
      <c r="AA780" s="1398"/>
      <c r="AB780" s="1398"/>
      <c r="AC780" s="1398"/>
      <c r="AD780" s="1398"/>
      <c r="AE780" s="1398"/>
      <c r="AF780" s="1398"/>
      <c r="AG780" s="1398"/>
      <c r="AH780" s="1398"/>
      <c r="AI780" s="1398"/>
      <c r="AJ780" s="1398"/>
    </row>
    <row r="781" spans="1:36" ht="15" customHeight="1" x14ac:dyDescent="0.35">
      <c r="A781" s="1398"/>
      <c r="B781" s="2172"/>
      <c r="C781" s="2967" t="s">
        <v>2564</v>
      </c>
      <c r="D781" s="2973" t="s">
        <v>465</v>
      </c>
      <c r="E781" s="2974"/>
      <c r="F781" s="2974"/>
      <c r="G781" s="2974"/>
      <c r="H781" s="2975"/>
      <c r="I781" s="2969" t="s">
        <v>2563</v>
      </c>
      <c r="J781" s="2969" t="s">
        <v>2562</v>
      </c>
      <c r="K781" s="2969" t="s">
        <v>2561</v>
      </c>
      <c r="L781" s="2969" t="s">
        <v>2560</v>
      </c>
      <c r="M781" s="2983"/>
      <c r="N781" s="2978" t="s">
        <v>207</v>
      </c>
      <c r="O781" s="2978" t="s">
        <v>2559</v>
      </c>
      <c r="P781" s="2969" t="s">
        <v>59</v>
      </c>
      <c r="Q781" s="2971" t="s">
        <v>2558</v>
      </c>
      <c r="R781" s="1398"/>
      <c r="S781" s="1398"/>
      <c r="T781" s="1398"/>
      <c r="U781" s="1398"/>
      <c r="V781" s="1398"/>
      <c r="W781" s="1398"/>
      <c r="X781" s="1398"/>
      <c r="Y781" s="1398"/>
      <c r="Z781" s="1398"/>
      <c r="AA781" s="1398"/>
      <c r="AB781" s="1398"/>
      <c r="AC781" s="1398"/>
      <c r="AD781" s="1398"/>
      <c r="AE781" s="1398"/>
      <c r="AF781" s="1398"/>
      <c r="AG781" s="1398"/>
      <c r="AH781" s="1398"/>
      <c r="AI781" s="1398"/>
      <c r="AJ781" s="1398"/>
    </row>
    <row r="782" spans="1:36" ht="35.25" customHeight="1" x14ac:dyDescent="0.35">
      <c r="A782" s="1398"/>
      <c r="B782" s="2171"/>
      <c r="C782" s="2968"/>
      <c r="D782" s="2170" t="s">
        <v>2557</v>
      </c>
      <c r="E782" s="2170" t="s">
        <v>2556</v>
      </c>
      <c r="F782" s="2170" t="s">
        <v>2555</v>
      </c>
      <c r="G782" s="2170" t="s">
        <v>2554</v>
      </c>
      <c r="H782" s="2170" t="s">
        <v>59</v>
      </c>
      <c r="I782" s="2970"/>
      <c r="J782" s="2970"/>
      <c r="K782" s="2970"/>
      <c r="L782" s="2970"/>
      <c r="M782" s="2970"/>
      <c r="N782" s="2979"/>
      <c r="O782" s="2979"/>
      <c r="P782" s="2970"/>
      <c r="Q782" s="2972"/>
      <c r="R782" s="1398"/>
      <c r="S782" s="1398"/>
      <c r="T782" s="1398"/>
      <c r="U782" s="1398"/>
      <c r="V782" s="1398"/>
      <c r="W782" s="1398"/>
      <c r="X782" s="1398"/>
      <c r="Y782" s="1398"/>
      <c r="Z782" s="1398"/>
      <c r="AA782" s="1398"/>
      <c r="AB782" s="1398"/>
      <c r="AC782" s="1398"/>
      <c r="AD782" s="1398"/>
      <c r="AE782" s="1398"/>
      <c r="AF782" s="1398"/>
      <c r="AG782" s="1398"/>
      <c r="AH782" s="1398"/>
      <c r="AI782" s="1398"/>
      <c r="AJ782" s="1398"/>
    </row>
    <row r="783" spans="1:36" ht="15" customHeight="1" x14ac:dyDescent="0.35">
      <c r="A783" s="1398"/>
      <c r="B783" s="2169" t="s">
        <v>2553</v>
      </c>
      <c r="C783" s="2168" t="str">
        <f t="shared" ref="C783:I783" si="115">IF(AND(ISNUMBER(C796),ISNUMBER(C792),ISNUMBER(C794),ISNUMBER(C784),ISNUMBER(C788),ISNUMBER(C786),ISNUMBER(C790),ISNUMBER(C798)),SUM(C784,C786,C788,C790,C792,C794,C796,C798),"")</f>
        <v/>
      </c>
      <c r="D783" s="2168" t="str">
        <f t="shared" si="115"/>
        <v/>
      </c>
      <c r="E783" s="2168" t="str">
        <f t="shared" si="115"/>
        <v/>
      </c>
      <c r="F783" s="2168" t="str">
        <f t="shared" si="115"/>
        <v/>
      </c>
      <c r="G783" s="2168" t="str">
        <f t="shared" si="115"/>
        <v/>
      </c>
      <c r="H783" s="2168" t="str">
        <f t="shared" si="115"/>
        <v/>
      </c>
      <c r="I783" s="2168" t="str">
        <f t="shared" si="115"/>
        <v/>
      </c>
      <c r="J783" s="2157"/>
      <c r="K783" s="2168" t="str">
        <f>IF(AND(ISNUMBER(K796),ISNUMBER(K792),ISNUMBER(K794),ISNUMBER(K784),ISNUMBER(K788),ISNUMBER(K786),ISNUMBER(K790),ISNUMBER(K798)),SUM(K784,K786,K788,K790,K792,K794,K796,K798),"")</f>
        <v/>
      </c>
      <c r="L783" s="2157"/>
      <c r="M783" s="2168" t="str">
        <f>IF(AND(ISNUMBER(M796),ISNUMBER(M792),ISNUMBER(M794),ISNUMBER(M784),ISNUMBER(M788),ISNUMBER(M786),ISNUMBER(M790),ISNUMBER(M798)),SUM(M784,M786,M788,M790,M792,M794,M796,M798),"")</f>
        <v/>
      </c>
      <c r="N783" s="2167"/>
      <c r="O783" s="2167"/>
      <c r="P783" s="2167"/>
      <c r="Q783" s="2167"/>
      <c r="R783" s="1398"/>
      <c r="S783" s="1398"/>
      <c r="T783" s="1398"/>
      <c r="U783" s="1398"/>
      <c r="V783" s="1398"/>
      <c r="W783" s="1398"/>
      <c r="X783" s="1398"/>
      <c r="Y783" s="1398"/>
      <c r="Z783" s="1398"/>
      <c r="AA783" s="1398"/>
      <c r="AB783" s="1398"/>
      <c r="AC783" s="1398"/>
      <c r="AD783" s="1398"/>
      <c r="AE783" s="1398"/>
      <c r="AF783" s="1398"/>
      <c r="AG783" s="1398"/>
      <c r="AH783" s="1398"/>
      <c r="AI783" s="1398"/>
      <c r="AJ783" s="1398"/>
    </row>
    <row r="784" spans="1:36" ht="15" customHeight="1" x14ac:dyDescent="0.3">
      <c r="A784" s="1398"/>
      <c r="B784" s="2155" t="s">
        <v>2552</v>
      </c>
      <c r="C784" s="2151"/>
      <c r="D784" s="2151"/>
      <c r="E784" s="2151"/>
      <c r="F784" s="2151"/>
      <c r="G784" s="2151"/>
      <c r="H784" s="2151"/>
      <c r="I784" s="23"/>
      <c r="J784" s="2157"/>
      <c r="K784" s="2151"/>
      <c r="L784" s="2157"/>
      <c r="M784" s="23"/>
      <c r="N784" s="2157"/>
      <c r="O784" s="2157"/>
      <c r="P784" s="2157"/>
      <c r="Q784" s="2157"/>
      <c r="R784" s="1398"/>
      <c r="S784" s="1398"/>
      <c r="T784" s="1398"/>
      <c r="U784" s="1398"/>
      <c r="V784" s="1398"/>
      <c r="W784" s="1398"/>
      <c r="X784" s="1398"/>
      <c r="Y784" s="1398"/>
      <c r="Z784" s="1398"/>
      <c r="AA784" s="1398"/>
      <c r="AB784" s="1398"/>
      <c r="AC784" s="1398"/>
      <c r="AD784" s="1398"/>
      <c r="AE784" s="1398"/>
      <c r="AF784" s="1398"/>
      <c r="AG784" s="1398"/>
      <c r="AH784" s="1398"/>
      <c r="AI784" s="1398"/>
      <c r="AJ784" s="1398"/>
    </row>
    <row r="785" spans="1:36" ht="15" customHeight="1" x14ac:dyDescent="0.3">
      <c r="A785" s="1398"/>
      <c r="B785" s="2165" t="s">
        <v>2543</v>
      </c>
      <c r="C785" s="2151"/>
      <c r="D785" s="2151"/>
      <c r="E785" s="2151"/>
      <c r="F785" s="2151"/>
      <c r="G785" s="2151"/>
      <c r="H785" s="2151"/>
      <c r="I785" s="23"/>
      <c r="J785" s="2157"/>
      <c r="K785" s="2151"/>
      <c r="L785" s="2157"/>
      <c r="M785" s="23"/>
      <c r="N785" s="2157"/>
      <c r="O785" s="2157"/>
      <c r="P785" s="2157"/>
      <c r="Q785" s="2157"/>
      <c r="R785" s="1398"/>
      <c r="S785" s="1398"/>
      <c r="T785" s="1398"/>
      <c r="U785" s="1398"/>
      <c r="V785" s="1398"/>
      <c r="W785" s="1398"/>
      <c r="X785" s="1398"/>
      <c r="Y785" s="1398"/>
      <c r="Z785" s="1398"/>
      <c r="AA785" s="1398"/>
      <c r="AB785" s="1398"/>
      <c r="AC785" s="1398"/>
      <c r="AD785" s="1398"/>
      <c r="AE785" s="1398"/>
      <c r="AF785" s="1398"/>
      <c r="AG785" s="1398"/>
      <c r="AH785" s="1398"/>
      <c r="AI785" s="1398"/>
      <c r="AJ785" s="1398"/>
    </row>
    <row r="786" spans="1:36" ht="15" customHeight="1" x14ac:dyDescent="0.3">
      <c r="A786" s="1398"/>
      <c r="B786" s="2163" t="s">
        <v>2551</v>
      </c>
      <c r="C786" s="2151"/>
      <c r="D786" s="2151"/>
      <c r="E786" s="2151"/>
      <c r="F786" s="2151"/>
      <c r="G786" s="2151"/>
      <c r="H786" s="2151"/>
      <c r="I786" s="23"/>
      <c r="J786" s="2157"/>
      <c r="K786" s="2151"/>
      <c r="L786" s="2157"/>
      <c r="M786" s="23"/>
      <c r="N786" s="2157"/>
      <c r="O786" s="2157"/>
      <c r="P786" s="2157"/>
      <c r="Q786" s="2157"/>
      <c r="R786" s="1398"/>
      <c r="S786" s="1398"/>
      <c r="T786" s="1398"/>
      <c r="U786" s="1398"/>
      <c r="V786" s="1398"/>
      <c r="W786" s="1398"/>
      <c r="X786" s="1398"/>
      <c r="Y786" s="1398"/>
      <c r="Z786" s="1398"/>
      <c r="AA786" s="1398"/>
      <c r="AB786" s="1398"/>
      <c r="AC786" s="1398"/>
      <c r="AD786" s="1398"/>
      <c r="AE786" s="1398"/>
      <c r="AF786" s="1398"/>
      <c r="AG786" s="1398"/>
      <c r="AH786" s="1398"/>
      <c r="AI786" s="1398"/>
      <c r="AJ786" s="1398"/>
    </row>
    <row r="787" spans="1:36" ht="15" customHeight="1" x14ac:dyDescent="0.3">
      <c r="A787" s="1398"/>
      <c r="B787" s="2162" t="s">
        <v>2543</v>
      </c>
      <c r="C787" s="2151"/>
      <c r="D787" s="2151"/>
      <c r="E787" s="2151"/>
      <c r="F787" s="2151"/>
      <c r="G787" s="2151"/>
      <c r="H787" s="2151"/>
      <c r="I787" s="23"/>
      <c r="J787" s="2157"/>
      <c r="K787" s="2151"/>
      <c r="L787" s="2157"/>
      <c r="M787" s="23"/>
      <c r="N787" s="2157"/>
      <c r="O787" s="2157"/>
      <c r="P787" s="2157"/>
      <c r="Q787" s="2157"/>
      <c r="R787" s="1398"/>
      <c r="S787" s="1398"/>
      <c r="T787" s="1398"/>
      <c r="U787" s="1398"/>
      <c r="V787" s="1398"/>
      <c r="W787" s="1398"/>
      <c r="X787" s="1398"/>
      <c r="Y787" s="1398"/>
      <c r="Z787" s="1398"/>
      <c r="AA787" s="1398"/>
      <c r="AB787" s="1398"/>
      <c r="AC787" s="1398"/>
      <c r="AD787" s="1398"/>
      <c r="AE787" s="1398"/>
      <c r="AF787" s="1398"/>
      <c r="AG787" s="1398"/>
      <c r="AH787" s="1398"/>
      <c r="AI787" s="1398"/>
      <c r="AJ787" s="1398"/>
    </row>
    <row r="788" spans="1:36" ht="15" customHeight="1" x14ac:dyDescent="0.3">
      <c r="A788" s="1398"/>
      <c r="B788" s="2155" t="s">
        <v>2550</v>
      </c>
      <c r="C788" s="2151"/>
      <c r="D788" s="2151"/>
      <c r="E788" s="2151"/>
      <c r="F788" s="2151"/>
      <c r="G788" s="2151"/>
      <c r="H788" s="2151"/>
      <c r="I788" s="23"/>
      <c r="J788" s="2157"/>
      <c r="K788" s="2151"/>
      <c r="L788" s="2157"/>
      <c r="M788" s="23"/>
      <c r="N788" s="2157"/>
      <c r="O788" s="2157"/>
      <c r="P788" s="2157"/>
      <c r="Q788" s="2157"/>
      <c r="R788" s="1398"/>
      <c r="S788" s="1398"/>
      <c r="T788" s="1398"/>
      <c r="U788" s="1398"/>
      <c r="V788" s="1398"/>
      <c r="W788" s="1398"/>
      <c r="X788" s="1398"/>
      <c r="Y788" s="1398"/>
      <c r="Z788" s="1398"/>
      <c r="AA788" s="1398"/>
      <c r="AB788" s="1398"/>
      <c r="AC788" s="1398"/>
      <c r="AD788" s="1398"/>
      <c r="AE788" s="1398"/>
      <c r="AF788" s="1398"/>
      <c r="AG788" s="1398"/>
      <c r="AH788" s="1398"/>
      <c r="AI788" s="1398"/>
      <c r="AJ788" s="1398"/>
    </row>
    <row r="789" spans="1:36" ht="15" customHeight="1" x14ac:dyDescent="0.3">
      <c r="A789" s="1398"/>
      <c r="B789" s="2165" t="s">
        <v>2543</v>
      </c>
      <c r="C789" s="2151"/>
      <c r="D789" s="2151"/>
      <c r="E789" s="2151"/>
      <c r="F789" s="2151"/>
      <c r="G789" s="2151"/>
      <c r="H789" s="2151"/>
      <c r="I789" s="23"/>
      <c r="J789" s="2157"/>
      <c r="K789" s="2151"/>
      <c r="L789" s="2157"/>
      <c r="M789" s="23"/>
      <c r="N789" s="2157"/>
      <c r="O789" s="2157"/>
      <c r="P789" s="2157"/>
      <c r="Q789" s="2157"/>
      <c r="R789" s="1398"/>
      <c r="S789" s="1398"/>
      <c r="T789" s="1398"/>
      <c r="U789" s="1398"/>
      <c r="V789" s="1398"/>
      <c r="W789" s="1398"/>
      <c r="X789" s="1398"/>
      <c r="Y789" s="1398"/>
      <c r="Z789" s="1398"/>
      <c r="AA789" s="1398"/>
      <c r="AB789" s="1398"/>
      <c r="AC789" s="1398"/>
      <c r="AD789" s="1398"/>
      <c r="AE789" s="1398"/>
      <c r="AF789" s="1398"/>
      <c r="AG789" s="1398"/>
      <c r="AH789" s="1398"/>
      <c r="AI789" s="1398"/>
      <c r="AJ789" s="1398"/>
    </row>
    <row r="790" spans="1:36" ht="15" customHeight="1" x14ac:dyDescent="0.3">
      <c r="A790" s="1398"/>
      <c r="B790" s="2163" t="s">
        <v>2549</v>
      </c>
      <c r="C790" s="2151"/>
      <c r="D790" s="2151"/>
      <c r="E790" s="2151"/>
      <c r="F790" s="2151"/>
      <c r="G790" s="2151"/>
      <c r="H790" s="2151"/>
      <c r="I790" s="23"/>
      <c r="J790" s="2157"/>
      <c r="K790" s="2151"/>
      <c r="L790" s="2157"/>
      <c r="M790" s="23"/>
      <c r="N790" s="2157"/>
      <c r="O790" s="2157"/>
      <c r="P790" s="2157"/>
      <c r="Q790" s="2157"/>
      <c r="R790" s="1398"/>
      <c r="S790" s="1398"/>
      <c r="T790" s="1398"/>
      <c r="U790" s="1398"/>
      <c r="V790" s="1398"/>
      <c r="W790" s="1398"/>
      <c r="X790" s="1398"/>
      <c r="Y790" s="1398"/>
      <c r="Z790" s="1398"/>
      <c r="AA790" s="1398"/>
      <c r="AB790" s="1398"/>
      <c r="AC790" s="1398"/>
      <c r="AD790" s="1398"/>
      <c r="AE790" s="1398"/>
      <c r="AF790" s="1398"/>
      <c r="AG790" s="1398"/>
      <c r="AH790" s="1398"/>
      <c r="AI790" s="1398"/>
      <c r="AJ790" s="1398"/>
    </row>
    <row r="791" spans="1:36" ht="15" customHeight="1" x14ac:dyDescent="0.3">
      <c r="A791" s="1398"/>
      <c r="B791" s="2184" t="s">
        <v>2543</v>
      </c>
      <c r="C791" s="2151"/>
      <c r="D791" s="2151"/>
      <c r="E791" s="2151"/>
      <c r="F791" s="2151"/>
      <c r="G791" s="2151"/>
      <c r="H791" s="2151"/>
      <c r="I791" s="23"/>
      <c r="J791" s="2157"/>
      <c r="K791" s="2151"/>
      <c r="L791" s="2157"/>
      <c r="M791" s="23"/>
      <c r="N791" s="2157"/>
      <c r="O791" s="2157"/>
      <c r="P791" s="2157"/>
      <c r="Q791" s="2157"/>
      <c r="R791" s="1398"/>
      <c r="S791" s="1398"/>
      <c r="T791" s="1398"/>
      <c r="U791" s="1398"/>
      <c r="V791" s="1398"/>
      <c r="W791" s="1398"/>
      <c r="X791" s="1398"/>
      <c r="Y791" s="1398"/>
      <c r="Z791" s="1398"/>
      <c r="AA791" s="1398"/>
      <c r="AB791" s="1398"/>
      <c r="AC791" s="1398"/>
      <c r="AD791" s="1398"/>
      <c r="AE791" s="1398"/>
      <c r="AF791" s="1398"/>
      <c r="AG791" s="1398"/>
      <c r="AH791" s="1398"/>
      <c r="AI791" s="1398"/>
      <c r="AJ791" s="1398"/>
    </row>
    <row r="792" spans="1:36" ht="15" customHeight="1" x14ac:dyDescent="0.35">
      <c r="A792" s="1398"/>
      <c r="B792" s="2183" t="s">
        <v>2548</v>
      </c>
      <c r="C792" s="2151"/>
      <c r="D792" s="2151"/>
      <c r="E792" s="2151"/>
      <c r="F792" s="2151"/>
      <c r="G792" s="2151"/>
      <c r="H792" s="2151"/>
      <c r="I792" s="23"/>
      <c r="J792" s="2157"/>
      <c r="K792" s="2151"/>
      <c r="L792" s="2157"/>
      <c r="M792" s="23"/>
      <c r="N792" s="2157"/>
      <c r="O792" s="2157"/>
      <c r="P792" s="2157"/>
      <c r="Q792" s="2157"/>
      <c r="R792" s="1398"/>
      <c r="S792" s="1398"/>
      <c r="T792" s="1398"/>
      <c r="U792" s="1398"/>
      <c r="V792" s="1398"/>
      <c r="W792" s="1398"/>
      <c r="X792" s="1398"/>
      <c r="Y792" s="1398"/>
      <c r="Z792" s="1398"/>
      <c r="AA792" s="1398"/>
      <c r="AB792" s="1398"/>
      <c r="AC792" s="1398"/>
      <c r="AD792" s="1398"/>
      <c r="AE792" s="1398"/>
      <c r="AF792" s="1398"/>
      <c r="AG792" s="1398"/>
      <c r="AH792" s="1398"/>
      <c r="AI792" s="1398"/>
      <c r="AJ792" s="1398"/>
    </row>
    <row r="793" spans="1:36" ht="15" customHeight="1" x14ac:dyDescent="0.3">
      <c r="A793" s="1398"/>
      <c r="B793" s="2165" t="s">
        <v>2543</v>
      </c>
      <c r="C793" s="2151"/>
      <c r="D793" s="2151"/>
      <c r="E793" s="2151"/>
      <c r="F793" s="2151"/>
      <c r="G793" s="2151"/>
      <c r="H793" s="2151"/>
      <c r="I793" s="23"/>
      <c r="J793" s="2157"/>
      <c r="K793" s="2151"/>
      <c r="L793" s="2157"/>
      <c r="M793" s="23"/>
      <c r="N793" s="2157"/>
      <c r="O793" s="2157"/>
      <c r="P793" s="2157"/>
      <c r="Q793" s="2157"/>
      <c r="R793" s="1398"/>
      <c r="S793" s="1398"/>
      <c r="T793" s="1398"/>
      <c r="U793" s="1398"/>
      <c r="V793" s="1398"/>
      <c r="W793" s="1398"/>
      <c r="X793" s="1398"/>
      <c r="Y793" s="1398"/>
      <c r="Z793" s="1398"/>
      <c r="AA793" s="1398"/>
      <c r="AB793" s="1398"/>
      <c r="AC793" s="1398"/>
      <c r="AD793" s="1398"/>
      <c r="AE793" s="1398"/>
      <c r="AF793" s="1398"/>
      <c r="AG793" s="1398"/>
      <c r="AH793" s="1398"/>
      <c r="AI793" s="1398"/>
      <c r="AJ793" s="1398"/>
    </row>
    <row r="794" spans="1:36" ht="15" customHeight="1" x14ac:dyDescent="0.3">
      <c r="A794" s="1398"/>
      <c r="B794" s="2163" t="s">
        <v>2547</v>
      </c>
      <c r="C794" s="2151"/>
      <c r="D794" s="2151"/>
      <c r="E794" s="2151"/>
      <c r="F794" s="2151"/>
      <c r="G794" s="2151"/>
      <c r="H794" s="2151"/>
      <c r="I794" s="23"/>
      <c r="J794" s="2157"/>
      <c r="K794" s="2151"/>
      <c r="L794" s="2157"/>
      <c r="M794" s="23"/>
      <c r="N794" s="2157"/>
      <c r="O794" s="2157"/>
      <c r="P794" s="2157"/>
      <c r="Q794" s="2157"/>
      <c r="R794" s="1398"/>
      <c r="S794" s="1398"/>
      <c r="T794" s="1398"/>
      <c r="U794" s="1398"/>
      <c r="V794" s="1398"/>
      <c r="W794" s="1398"/>
      <c r="X794" s="1398"/>
      <c r="Y794" s="1398"/>
      <c r="Z794" s="1398"/>
      <c r="AA794" s="1398"/>
      <c r="AB794" s="1398"/>
      <c r="AC794" s="1398"/>
      <c r="AD794" s="1398"/>
      <c r="AE794" s="1398"/>
      <c r="AF794" s="1398"/>
      <c r="AG794" s="1398"/>
      <c r="AH794" s="1398"/>
      <c r="AI794" s="1398"/>
      <c r="AJ794" s="1398"/>
    </row>
    <row r="795" spans="1:36" ht="15" customHeight="1" x14ac:dyDescent="0.3">
      <c r="A795" s="1398"/>
      <c r="B795" s="2162" t="s">
        <v>2543</v>
      </c>
      <c r="C795" s="2151"/>
      <c r="D795" s="2151"/>
      <c r="E795" s="2151"/>
      <c r="F795" s="2151"/>
      <c r="G795" s="2151"/>
      <c r="H795" s="2151"/>
      <c r="I795" s="23"/>
      <c r="J795" s="2157"/>
      <c r="K795" s="2151"/>
      <c r="L795" s="2157"/>
      <c r="M795" s="23"/>
      <c r="N795" s="2157"/>
      <c r="O795" s="2157"/>
      <c r="P795" s="2157"/>
      <c r="Q795" s="2157"/>
      <c r="R795" s="1398"/>
      <c r="S795" s="1398"/>
      <c r="T795" s="1398"/>
      <c r="U795" s="1398"/>
      <c r="V795" s="1398"/>
      <c r="W795" s="1398"/>
      <c r="X795" s="1398"/>
      <c r="Y795" s="1398"/>
      <c r="Z795" s="1398"/>
      <c r="AA795" s="1398"/>
      <c r="AB795" s="1398"/>
      <c r="AC795" s="1398"/>
      <c r="AD795" s="1398"/>
      <c r="AE795" s="1398"/>
      <c r="AF795" s="1398"/>
      <c r="AG795" s="1398"/>
      <c r="AH795" s="1398"/>
      <c r="AI795" s="1398"/>
      <c r="AJ795" s="1398"/>
    </row>
    <row r="796" spans="1:36" ht="15" customHeight="1" x14ac:dyDescent="0.3">
      <c r="A796" s="1398"/>
      <c r="B796" s="2155" t="s">
        <v>2546</v>
      </c>
      <c r="C796" s="2151"/>
      <c r="D796" s="2151"/>
      <c r="E796" s="2151"/>
      <c r="F796" s="2151"/>
      <c r="G796" s="2151"/>
      <c r="H796" s="2151"/>
      <c r="I796" s="23"/>
      <c r="J796" s="2157"/>
      <c r="K796" s="2151"/>
      <c r="L796" s="2157"/>
      <c r="M796" s="23"/>
      <c r="N796" s="2157"/>
      <c r="O796" s="2157"/>
      <c r="P796" s="2157"/>
      <c r="Q796" s="2157"/>
      <c r="R796" s="1398"/>
      <c r="S796" s="1398"/>
      <c r="T796" s="1398"/>
      <c r="U796" s="1398"/>
      <c r="V796" s="1398"/>
      <c r="W796" s="1398"/>
      <c r="X796" s="1398"/>
      <c r="Y796" s="1398"/>
      <c r="Z796" s="1398"/>
      <c r="AA796" s="1398"/>
      <c r="AB796" s="1398"/>
      <c r="AC796" s="1398"/>
      <c r="AD796" s="1398"/>
      <c r="AE796" s="1398"/>
      <c r="AF796" s="1398"/>
      <c r="AG796" s="1398"/>
      <c r="AH796" s="1398"/>
      <c r="AI796" s="1398"/>
      <c r="AJ796" s="1398"/>
    </row>
    <row r="797" spans="1:36" ht="15" customHeight="1" x14ac:dyDescent="0.3">
      <c r="A797" s="1398"/>
      <c r="B797" s="2165" t="s">
        <v>2543</v>
      </c>
      <c r="C797" s="2151"/>
      <c r="D797" s="2151"/>
      <c r="E797" s="2151"/>
      <c r="F797" s="2151"/>
      <c r="G797" s="2151"/>
      <c r="H797" s="2151"/>
      <c r="I797" s="23"/>
      <c r="J797" s="2157"/>
      <c r="K797" s="2151"/>
      <c r="L797" s="2157"/>
      <c r="M797" s="23"/>
      <c r="N797" s="2157"/>
      <c r="O797" s="2157"/>
      <c r="P797" s="2157"/>
      <c r="Q797" s="2157"/>
      <c r="R797" s="1398"/>
      <c r="S797" s="1398"/>
      <c r="T797" s="1398"/>
      <c r="U797" s="1398"/>
      <c r="V797" s="1398"/>
      <c r="W797" s="1398"/>
      <c r="X797" s="1398"/>
      <c r="Y797" s="1398"/>
      <c r="Z797" s="1398"/>
      <c r="AA797" s="1398"/>
      <c r="AB797" s="1398"/>
      <c r="AC797" s="1398"/>
      <c r="AD797" s="1398"/>
      <c r="AE797" s="1398"/>
      <c r="AF797" s="1398"/>
      <c r="AG797" s="1398"/>
      <c r="AH797" s="1398"/>
      <c r="AI797" s="1398"/>
      <c r="AJ797" s="1398"/>
    </row>
    <row r="798" spans="1:36" ht="15" customHeight="1" x14ac:dyDescent="0.3">
      <c r="A798" s="1398"/>
      <c r="B798" s="2163" t="s">
        <v>1760</v>
      </c>
      <c r="C798" s="2151"/>
      <c r="D798" s="2151"/>
      <c r="E798" s="2151"/>
      <c r="F798" s="2151"/>
      <c r="G798" s="2151"/>
      <c r="H798" s="2151"/>
      <c r="I798" s="23"/>
      <c r="J798" s="2157"/>
      <c r="K798" s="2151"/>
      <c r="L798" s="2157"/>
      <c r="M798" s="23"/>
      <c r="N798" s="2157"/>
      <c r="O798" s="2157"/>
      <c r="P798" s="2157"/>
      <c r="Q798" s="2157"/>
      <c r="R798" s="1398"/>
      <c r="S798" s="1398"/>
      <c r="T798" s="1398"/>
      <c r="U798" s="1398"/>
      <c r="V798" s="1398"/>
      <c r="W798" s="1398"/>
      <c r="X798" s="1398"/>
      <c r="Y798" s="1398"/>
      <c r="Z798" s="1398"/>
      <c r="AA798" s="1398"/>
      <c r="AB798" s="1398"/>
      <c r="AC798" s="1398"/>
      <c r="AD798" s="1398"/>
      <c r="AE798" s="1398"/>
      <c r="AF798" s="1398"/>
      <c r="AG798" s="1398"/>
      <c r="AH798" s="1398"/>
      <c r="AI798" s="1398"/>
      <c r="AJ798" s="1398"/>
    </row>
    <row r="799" spans="1:36" ht="15" customHeight="1" x14ac:dyDescent="0.3">
      <c r="A799" s="1398"/>
      <c r="B799" s="2162" t="s">
        <v>2543</v>
      </c>
      <c r="C799" s="2182"/>
      <c r="D799" s="2182"/>
      <c r="E799" s="2182"/>
      <c r="F799" s="2182"/>
      <c r="G799" s="2182"/>
      <c r="H799" s="2182"/>
      <c r="I799" s="29"/>
      <c r="J799" s="2157"/>
      <c r="K799" s="2151"/>
      <c r="L799" s="2157"/>
      <c r="M799" s="23"/>
      <c r="N799" s="2157"/>
      <c r="O799" s="2157"/>
      <c r="P799" s="2157"/>
      <c r="Q799" s="2157"/>
      <c r="R799" s="1398"/>
      <c r="S799" s="1398"/>
      <c r="T799" s="1398"/>
      <c r="U799" s="1398"/>
      <c r="V799" s="1398"/>
      <c r="W799" s="1398"/>
      <c r="X799" s="1398"/>
      <c r="Y799" s="1398"/>
      <c r="Z799" s="1398"/>
      <c r="AA799" s="1398"/>
      <c r="AB799" s="1398"/>
      <c r="AC799" s="1398"/>
      <c r="AD799" s="1398"/>
      <c r="AE799" s="1398"/>
      <c r="AF799" s="1398"/>
      <c r="AG799" s="1398"/>
      <c r="AH799" s="1398"/>
      <c r="AI799" s="1398"/>
      <c r="AJ799" s="1398"/>
    </row>
    <row r="800" spans="1:36" ht="15" customHeight="1" x14ac:dyDescent="0.35">
      <c r="A800" s="1398"/>
      <c r="B800" s="2164" t="s">
        <v>2545</v>
      </c>
      <c r="C800" s="2159" t="str">
        <f t="shared" ref="C800:I800" si="116">IF(AND(ISNUMBER(C801),ISNUMBER(C803)),C801+C803,"")</f>
        <v/>
      </c>
      <c r="D800" s="2159" t="str">
        <f t="shared" si="116"/>
        <v/>
      </c>
      <c r="E800" s="2159" t="str">
        <f t="shared" si="116"/>
        <v/>
      </c>
      <c r="F800" s="2159" t="str">
        <f t="shared" si="116"/>
        <v/>
      </c>
      <c r="G800" s="2159" t="str">
        <f t="shared" si="116"/>
        <v/>
      </c>
      <c r="H800" s="2159" t="str">
        <f t="shared" si="116"/>
        <v/>
      </c>
      <c r="I800" s="2159" t="str">
        <f t="shared" si="116"/>
        <v/>
      </c>
      <c r="J800" s="2157"/>
      <c r="K800" s="2159" t="str">
        <f>IF(AND(ISNUMBER(K801),ISNUMBER(K803)),K801+K803,"")</f>
        <v/>
      </c>
      <c r="L800" s="2157"/>
      <c r="M800" s="2159" t="str">
        <f>IF(AND(ISNUMBER(M801),ISNUMBER(M803)),M801+M803,"")</f>
        <v/>
      </c>
      <c r="N800" s="2157"/>
      <c r="O800" s="2157"/>
      <c r="P800" s="2157"/>
      <c r="Q800" s="2157"/>
      <c r="R800" s="1398"/>
      <c r="S800" s="1398"/>
      <c r="T800" s="1398"/>
      <c r="U800" s="1398"/>
      <c r="V800" s="1398"/>
      <c r="W800" s="1398"/>
      <c r="X800" s="1398"/>
      <c r="Y800" s="1398"/>
      <c r="Z800" s="1398"/>
      <c r="AA800" s="1398"/>
      <c r="AB800" s="1398"/>
      <c r="AC800" s="1398"/>
      <c r="AD800" s="1398"/>
      <c r="AE800" s="1398"/>
      <c r="AF800" s="1398"/>
      <c r="AG800" s="1398"/>
      <c r="AH800" s="1398"/>
      <c r="AI800" s="1398"/>
      <c r="AJ800" s="1398"/>
    </row>
    <row r="801" spans="1:36" ht="15" customHeight="1" x14ac:dyDescent="0.3">
      <c r="A801" s="1398"/>
      <c r="B801" s="2163" t="s">
        <v>2544</v>
      </c>
      <c r="C801" s="2151"/>
      <c r="D801" s="2151"/>
      <c r="E801" s="2151"/>
      <c r="F801" s="2151"/>
      <c r="G801" s="2151"/>
      <c r="H801" s="2151"/>
      <c r="I801" s="2151"/>
      <c r="J801" s="2157"/>
      <c r="K801" s="2151"/>
      <c r="L801" s="2157"/>
      <c r="M801" s="2151"/>
      <c r="N801" s="2157"/>
      <c r="O801" s="2157"/>
      <c r="P801" s="2157"/>
      <c r="Q801" s="2157"/>
      <c r="R801" s="1398"/>
      <c r="S801" s="1398"/>
      <c r="T801" s="1398"/>
      <c r="U801" s="1398"/>
      <c r="V801" s="1398"/>
      <c r="W801" s="1398"/>
      <c r="X801" s="1398"/>
      <c r="Y801" s="1398"/>
      <c r="Z801" s="1398"/>
      <c r="AA801" s="1398"/>
      <c r="AB801" s="1398"/>
      <c r="AC801" s="1398"/>
      <c r="AD801" s="1398"/>
      <c r="AE801" s="1398"/>
      <c r="AF801" s="1398"/>
      <c r="AG801" s="1398"/>
      <c r="AH801" s="1398"/>
      <c r="AI801" s="1398"/>
      <c r="AJ801" s="1398"/>
    </row>
    <row r="802" spans="1:36" ht="15" customHeight="1" x14ac:dyDescent="0.3">
      <c r="A802" s="1398"/>
      <c r="B802" s="2162" t="s">
        <v>2543</v>
      </c>
      <c r="C802" s="2151"/>
      <c r="D802" s="2151"/>
      <c r="E802" s="2151"/>
      <c r="F802" s="2151"/>
      <c r="G802" s="2151"/>
      <c r="H802" s="2151"/>
      <c r="I802" s="2151"/>
      <c r="J802" s="2157"/>
      <c r="K802" s="2151"/>
      <c r="L802" s="2157"/>
      <c r="M802" s="2151"/>
      <c r="N802" s="2157"/>
      <c r="O802" s="2157"/>
      <c r="P802" s="2157"/>
      <c r="Q802" s="2157"/>
      <c r="R802" s="1398"/>
      <c r="S802" s="1398"/>
      <c r="T802" s="1398"/>
      <c r="U802" s="1398"/>
      <c r="V802" s="1398"/>
      <c r="W802" s="1398"/>
      <c r="X802" s="1398"/>
      <c r="Y802" s="1398"/>
      <c r="Z802" s="1398"/>
      <c r="AA802" s="1398"/>
      <c r="AB802" s="1398"/>
      <c r="AC802" s="1398"/>
      <c r="AD802" s="1398"/>
      <c r="AE802" s="1398"/>
      <c r="AF802" s="1398"/>
      <c r="AG802" s="1398"/>
      <c r="AH802" s="1398"/>
      <c r="AI802" s="1398"/>
      <c r="AJ802" s="1398"/>
    </row>
    <row r="803" spans="1:36" ht="15" customHeight="1" x14ac:dyDescent="0.3">
      <c r="A803" s="1398"/>
      <c r="B803" s="2163" t="s">
        <v>1760</v>
      </c>
      <c r="C803" s="2151"/>
      <c r="D803" s="2151"/>
      <c r="E803" s="2151"/>
      <c r="F803" s="2151"/>
      <c r="G803" s="2151"/>
      <c r="H803" s="2151"/>
      <c r="I803" s="2151"/>
      <c r="J803" s="2157"/>
      <c r="K803" s="2151"/>
      <c r="L803" s="2157"/>
      <c r="M803" s="2151"/>
      <c r="N803" s="2157"/>
      <c r="O803" s="2157"/>
      <c r="P803" s="2157"/>
      <c r="Q803" s="2157"/>
      <c r="R803" s="1398"/>
      <c r="S803" s="1398"/>
      <c r="T803" s="1398"/>
      <c r="U803" s="1398"/>
      <c r="V803" s="1398"/>
      <c r="W803" s="1398"/>
      <c r="X803" s="1398"/>
      <c r="Y803" s="1398"/>
      <c r="Z803" s="1398"/>
      <c r="AA803" s="1398"/>
      <c r="AB803" s="1398"/>
      <c r="AC803" s="1398"/>
      <c r="AD803" s="1398"/>
      <c r="AE803" s="1398"/>
      <c r="AF803" s="1398"/>
      <c r="AG803" s="1398"/>
      <c r="AH803" s="1398"/>
      <c r="AI803" s="1398"/>
      <c r="AJ803" s="1398"/>
    </row>
    <row r="804" spans="1:36" ht="15" customHeight="1" x14ac:dyDescent="0.3">
      <c r="A804" s="1398"/>
      <c r="B804" s="2162" t="s">
        <v>2543</v>
      </c>
      <c r="C804" s="2151"/>
      <c r="D804" s="2151"/>
      <c r="E804" s="2151"/>
      <c r="F804" s="2151"/>
      <c r="G804" s="2151"/>
      <c r="H804" s="2151"/>
      <c r="I804" s="2151"/>
      <c r="J804" s="2157"/>
      <c r="K804" s="2151"/>
      <c r="L804" s="2157"/>
      <c r="M804" s="2151"/>
      <c r="N804" s="2157"/>
      <c r="O804" s="2157"/>
      <c r="P804" s="2157"/>
      <c r="Q804" s="2157"/>
      <c r="R804" s="1398"/>
      <c r="S804" s="1398"/>
      <c r="T804" s="1398"/>
      <c r="U804" s="1398"/>
      <c r="V804" s="1398"/>
      <c r="W804" s="1398"/>
      <c r="X804" s="1398"/>
      <c r="Y804" s="1398"/>
      <c r="Z804" s="1398"/>
      <c r="AA804" s="1398"/>
      <c r="AB804" s="1398"/>
      <c r="AC804" s="1398"/>
      <c r="AD804" s="1398"/>
      <c r="AE804" s="1398"/>
      <c r="AF804" s="1398"/>
      <c r="AG804" s="1398"/>
      <c r="AH804" s="1398"/>
      <c r="AI804" s="1398"/>
      <c r="AJ804" s="1398"/>
    </row>
    <row r="805" spans="1:36" ht="15" customHeight="1" x14ac:dyDescent="0.3">
      <c r="A805" s="1398"/>
      <c r="B805" s="1976" t="s">
        <v>1941</v>
      </c>
      <c r="C805" s="2151"/>
      <c r="D805" s="2151"/>
      <c r="E805" s="2151"/>
      <c r="F805" s="2151"/>
      <c r="G805" s="2151"/>
      <c r="H805" s="2151"/>
      <c r="I805" s="2151"/>
      <c r="J805" s="2157"/>
      <c r="K805" s="2151"/>
      <c r="L805" s="2157"/>
      <c r="M805" s="2151"/>
      <c r="N805" s="2157"/>
      <c r="O805" s="2157"/>
      <c r="P805" s="2157"/>
      <c r="Q805" s="2157"/>
      <c r="R805" s="1398"/>
      <c r="S805" s="1398"/>
      <c r="T805" s="1398"/>
      <c r="U805" s="1398"/>
      <c r="V805" s="1398"/>
      <c r="W805" s="1398"/>
      <c r="X805" s="1398"/>
      <c r="Y805" s="1398"/>
      <c r="Z805" s="1398"/>
      <c r="AA805" s="1398"/>
      <c r="AB805" s="1398"/>
      <c r="AC805" s="1398"/>
      <c r="AD805" s="1398"/>
      <c r="AE805" s="1398"/>
      <c r="AF805" s="1398"/>
      <c r="AG805" s="1398"/>
      <c r="AH805" s="1398"/>
      <c r="AI805" s="1398"/>
      <c r="AJ805" s="1398"/>
    </row>
    <row r="806" spans="1:36" ht="15" customHeight="1" x14ac:dyDescent="0.35">
      <c r="A806" s="1398"/>
      <c r="B806" s="2164" t="s">
        <v>2542</v>
      </c>
      <c r="C806" s="2159" t="str">
        <f t="shared" ref="C806:I806" si="117">IF(AND(ISNUMBER(C807),ISNUMBER(C808)),C807+C808,"")</f>
        <v/>
      </c>
      <c r="D806" s="2159" t="str">
        <f t="shared" si="117"/>
        <v/>
      </c>
      <c r="E806" s="2159" t="str">
        <f t="shared" si="117"/>
        <v/>
      </c>
      <c r="F806" s="2159" t="str">
        <f t="shared" si="117"/>
        <v/>
      </c>
      <c r="G806" s="2159" t="str">
        <f t="shared" si="117"/>
        <v/>
      </c>
      <c r="H806" s="2159" t="str">
        <f t="shared" si="117"/>
        <v/>
      </c>
      <c r="I806" s="2159" t="str">
        <f t="shared" si="117"/>
        <v/>
      </c>
      <c r="J806" s="2157"/>
      <c r="K806" s="2159" t="str">
        <f>IF(AND(ISNUMBER(K807),ISNUMBER(K808)),K807+K808,"")</f>
        <v/>
      </c>
      <c r="L806" s="2157"/>
      <c r="M806" s="2159" t="str">
        <f>IF(AND(ISNUMBER(M807),ISNUMBER(M808)),M807+M808,"")</f>
        <v/>
      </c>
      <c r="N806" s="2157"/>
      <c r="O806" s="2157"/>
      <c r="P806" s="2157"/>
      <c r="Q806" s="2157"/>
      <c r="R806" s="1398"/>
      <c r="S806" s="1398"/>
      <c r="T806" s="1398"/>
      <c r="U806" s="1398"/>
      <c r="V806" s="1398"/>
      <c r="W806" s="1398"/>
      <c r="X806" s="1398"/>
      <c r="Y806" s="1398"/>
      <c r="Z806" s="1398"/>
      <c r="AA806" s="1398"/>
      <c r="AB806" s="1398"/>
      <c r="AC806" s="1398"/>
      <c r="AD806" s="1398"/>
      <c r="AE806" s="1398"/>
      <c r="AF806" s="1398"/>
      <c r="AG806" s="1398"/>
      <c r="AH806" s="1398"/>
      <c r="AI806" s="1398"/>
      <c r="AJ806" s="1398"/>
    </row>
    <row r="807" spans="1:36" ht="15" customHeight="1" x14ac:dyDescent="0.3">
      <c r="A807" s="1398"/>
      <c r="B807" s="2161" t="s">
        <v>2541</v>
      </c>
      <c r="C807" s="2151"/>
      <c r="D807" s="2151"/>
      <c r="E807" s="2151"/>
      <c r="F807" s="2151"/>
      <c r="G807" s="2151"/>
      <c r="H807" s="2151"/>
      <c r="I807" s="2151"/>
      <c r="J807" s="2157"/>
      <c r="K807" s="2151"/>
      <c r="L807" s="2157"/>
      <c r="M807" s="2151"/>
      <c r="N807" s="2157"/>
      <c r="O807" s="2157"/>
      <c r="P807" s="2157"/>
      <c r="Q807" s="2157"/>
      <c r="R807" s="1398"/>
      <c r="S807" s="1398"/>
      <c r="T807" s="1398"/>
      <c r="U807" s="1398"/>
      <c r="V807" s="1398"/>
      <c r="W807" s="1398"/>
      <c r="X807" s="1398"/>
      <c r="Y807" s="1398"/>
      <c r="Z807" s="1398"/>
      <c r="AA807" s="1398"/>
      <c r="AB807" s="1398"/>
      <c r="AC807" s="1398"/>
      <c r="AD807" s="1398"/>
      <c r="AE807" s="1398"/>
      <c r="AF807" s="1398"/>
      <c r="AG807" s="1398"/>
      <c r="AH807" s="1398"/>
      <c r="AI807" s="1398"/>
      <c r="AJ807" s="1398"/>
    </row>
    <row r="808" spans="1:36" ht="15" customHeight="1" x14ac:dyDescent="0.3">
      <c r="A808" s="1398"/>
      <c r="B808" s="2161" t="s">
        <v>1760</v>
      </c>
      <c r="C808" s="2151"/>
      <c r="D808" s="2151"/>
      <c r="E808" s="2151"/>
      <c r="F808" s="2151"/>
      <c r="G808" s="2151"/>
      <c r="H808" s="2151"/>
      <c r="I808" s="2151"/>
      <c r="J808" s="2157"/>
      <c r="K808" s="2151"/>
      <c r="L808" s="2157"/>
      <c r="M808" s="2151"/>
      <c r="N808" s="2157"/>
      <c r="O808" s="2157"/>
      <c r="P808" s="2157"/>
      <c r="Q808" s="2157"/>
      <c r="R808" s="1398"/>
      <c r="S808" s="1398"/>
      <c r="T808" s="1398"/>
      <c r="U808" s="1398"/>
      <c r="V808" s="1398"/>
      <c r="W808" s="1398"/>
      <c r="X808" s="1398"/>
      <c r="Y808" s="1398"/>
      <c r="Z808" s="1398"/>
      <c r="AA808" s="1398"/>
      <c r="AB808" s="1398"/>
      <c r="AC808" s="1398"/>
      <c r="AD808" s="1398"/>
      <c r="AE808" s="1398"/>
      <c r="AF808" s="1398"/>
      <c r="AG808" s="1398"/>
      <c r="AH808" s="1398"/>
      <c r="AI808" s="1398"/>
      <c r="AJ808" s="1398"/>
    </row>
    <row r="809" spans="1:36" ht="15" customHeight="1" x14ac:dyDescent="0.35">
      <c r="A809" s="1398"/>
      <c r="B809" s="2178" t="s">
        <v>2540</v>
      </c>
      <c r="C809" s="2159" t="str">
        <f t="shared" ref="C809:I809" si="118">IF(AND(ISNUMBER(C810),ISNUMBER(C811)),C810+C811,"")</f>
        <v/>
      </c>
      <c r="D809" s="2159" t="str">
        <f t="shared" si="118"/>
        <v/>
      </c>
      <c r="E809" s="2159" t="str">
        <f t="shared" si="118"/>
        <v/>
      </c>
      <c r="F809" s="2159" t="str">
        <f t="shared" si="118"/>
        <v/>
      </c>
      <c r="G809" s="2159" t="str">
        <f t="shared" si="118"/>
        <v/>
      </c>
      <c r="H809" s="2159" t="str">
        <f t="shared" si="118"/>
        <v/>
      </c>
      <c r="I809" s="2159" t="str">
        <f t="shared" si="118"/>
        <v/>
      </c>
      <c r="J809" s="2157"/>
      <c r="K809" s="2159" t="str">
        <f>IF(AND(ISNUMBER(K810),ISNUMBER(K811)),K810+K811,"")</f>
        <v/>
      </c>
      <c r="L809" s="2157"/>
      <c r="M809" s="2159" t="str">
        <f>IF(AND(ISNUMBER(M810),ISNUMBER(M811)),M810+M811,"")</f>
        <v/>
      </c>
      <c r="N809" s="2157"/>
      <c r="O809" s="2157"/>
      <c r="P809" s="2157"/>
      <c r="Q809" s="2157"/>
      <c r="R809" s="1398"/>
      <c r="S809" s="1398"/>
      <c r="T809" s="1398"/>
      <c r="U809" s="1398"/>
      <c r="V809" s="1398"/>
      <c r="W809" s="1398"/>
      <c r="X809" s="1398"/>
      <c r="Y809" s="1398"/>
      <c r="Z809" s="1398"/>
      <c r="AA809" s="1398"/>
      <c r="AB809" s="1398"/>
      <c r="AC809" s="1398"/>
      <c r="AD809" s="1398"/>
      <c r="AE809" s="1398"/>
      <c r="AF809" s="1398"/>
      <c r="AG809" s="1398"/>
      <c r="AH809" s="1398"/>
      <c r="AI809" s="1398"/>
      <c r="AJ809" s="1398"/>
    </row>
    <row r="810" spans="1:36" ht="15" customHeight="1" x14ac:dyDescent="0.3">
      <c r="A810" s="1398"/>
      <c r="B810" s="2177" t="s">
        <v>2539</v>
      </c>
      <c r="C810" s="2151"/>
      <c r="D810" s="2151"/>
      <c r="E810" s="2151"/>
      <c r="F810" s="2151"/>
      <c r="G810" s="2151"/>
      <c r="H810" s="2151"/>
      <c r="I810" s="2151"/>
      <c r="J810" s="2157"/>
      <c r="K810" s="2151"/>
      <c r="L810" s="2157"/>
      <c r="M810" s="2151"/>
      <c r="N810" s="2157"/>
      <c r="O810" s="2157"/>
      <c r="P810" s="2157"/>
      <c r="Q810" s="2157"/>
      <c r="R810" s="1398"/>
      <c r="S810" s="1398"/>
      <c r="T810" s="1398"/>
      <c r="U810" s="1398"/>
      <c r="V810" s="1398"/>
      <c r="W810" s="1398"/>
      <c r="X810" s="1398"/>
      <c r="Y810" s="1398"/>
      <c r="Z810" s="1398"/>
      <c r="AA810" s="1398"/>
      <c r="AB810" s="1398"/>
      <c r="AC810" s="1398"/>
      <c r="AD810" s="1398"/>
      <c r="AE810" s="1398"/>
      <c r="AF810" s="1398"/>
      <c r="AG810" s="1398"/>
      <c r="AH810" s="1398"/>
      <c r="AI810" s="1398"/>
      <c r="AJ810" s="1398"/>
    </row>
    <row r="811" spans="1:36" ht="15" customHeight="1" x14ac:dyDescent="0.3">
      <c r="A811" s="1398"/>
      <c r="B811" s="2177" t="s">
        <v>1760</v>
      </c>
      <c r="C811" s="2151"/>
      <c r="D811" s="2151"/>
      <c r="E811" s="2151"/>
      <c r="F811" s="2151"/>
      <c r="G811" s="2151"/>
      <c r="H811" s="2151"/>
      <c r="I811" s="2151"/>
      <c r="J811" s="2157"/>
      <c r="K811" s="2151"/>
      <c r="L811" s="2157"/>
      <c r="M811" s="2151"/>
      <c r="N811" s="2157"/>
      <c r="O811" s="2157"/>
      <c r="P811" s="2157"/>
      <c r="Q811" s="2157"/>
      <c r="R811" s="1398"/>
      <c r="S811" s="1398"/>
      <c r="T811" s="1398"/>
      <c r="U811" s="1398"/>
      <c r="V811" s="1398"/>
      <c r="W811" s="1398"/>
      <c r="X811" s="1398"/>
      <c r="Y811" s="1398"/>
      <c r="Z811" s="1398"/>
      <c r="AA811" s="1398"/>
      <c r="AB811" s="1398"/>
      <c r="AC811" s="1398"/>
      <c r="AD811" s="1398"/>
      <c r="AE811" s="1398"/>
      <c r="AF811" s="1398"/>
      <c r="AG811" s="1398"/>
      <c r="AH811" s="1398"/>
      <c r="AI811" s="1398"/>
      <c r="AJ811" s="1398"/>
    </row>
    <row r="812" spans="1:36" ht="15" customHeight="1" x14ac:dyDescent="0.35">
      <c r="A812" s="1398"/>
      <c r="B812" s="569" t="s">
        <v>59</v>
      </c>
      <c r="C812" s="2156">
        <f t="shared" ref="C812:Q812" si="119">IF(AND(ISNUMBER(C814),ISNUMBER(C813)),SUM(C813:C814),0)</f>
        <v>0</v>
      </c>
      <c r="D812" s="2156">
        <f t="shared" si="119"/>
        <v>0</v>
      </c>
      <c r="E812" s="2156">
        <f t="shared" si="119"/>
        <v>0</v>
      </c>
      <c r="F812" s="2156">
        <f t="shared" si="119"/>
        <v>0</v>
      </c>
      <c r="G812" s="2156">
        <f t="shared" si="119"/>
        <v>0</v>
      </c>
      <c r="H812" s="2156">
        <f t="shared" si="119"/>
        <v>0</v>
      </c>
      <c r="I812" s="2156">
        <f t="shared" si="119"/>
        <v>0</v>
      </c>
      <c r="J812" s="2156">
        <f t="shared" si="119"/>
        <v>0</v>
      </c>
      <c r="K812" s="2156">
        <f t="shared" si="119"/>
        <v>0</v>
      </c>
      <c r="L812" s="2156">
        <f t="shared" si="119"/>
        <v>0</v>
      </c>
      <c r="M812" s="2156">
        <f t="shared" si="119"/>
        <v>0</v>
      </c>
      <c r="N812" s="2156">
        <f t="shared" si="119"/>
        <v>0</v>
      </c>
      <c r="O812" s="2156">
        <f t="shared" si="119"/>
        <v>0</v>
      </c>
      <c r="P812" s="2156">
        <f t="shared" si="119"/>
        <v>0</v>
      </c>
      <c r="Q812" s="2156">
        <f t="shared" si="119"/>
        <v>0</v>
      </c>
      <c r="R812" s="1398"/>
      <c r="S812" s="1398"/>
      <c r="T812" s="1398"/>
      <c r="U812" s="1398"/>
      <c r="V812" s="1398"/>
      <c r="W812" s="1398"/>
      <c r="X812" s="1398"/>
      <c r="Y812" s="1398"/>
      <c r="Z812" s="1398"/>
      <c r="AA812" s="1398"/>
      <c r="AB812" s="1398"/>
      <c r="AC812" s="1398"/>
      <c r="AD812" s="1398"/>
      <c r="AE812" s="1398"/>
    </row>
    <row r="813" spans="1:36" ht="15" customHeight="1" x14ac:dyDescent="0.3">
      <c r="A813" s="1398"/>
      <c r="B813" s="2155" t="s">
        <v>2538</v>
      </c>
      <c r="C813" s="2151"/>
      <c r="D813" s="2151"/>
      <c r="E813" s="2151"/>
      <c r="F813" s="2151"/>
      <c r="G813" s="2151"/>
      <c r="H813" s="2151"/>
      <c r="I813" s="23"/>
      <c r="J813" s="2151"/>
      <c r="K813" s="2151"/>
      <c r="L813" s="2151"/>
      <c r="M813" s="2151"/>
      <c r="N813" s="2151"/>
      <c r="O813" s="2151"/>
      <c r="P813" s="2151"/>
      <c r="Q813" s="2151"/>
      <c r="R813" s="1398"/>
      <c r="S813" s="1398"/>
      <c r="T813" s="1398"/>
      <c r="U813" s="1398"/>
      <c r="V813" s="1398"/>
      <c r="W813" s="1398"/>
      <c r="X813" s="1398"/>
      <c r="Y813" s="1398"/>
      <c r="Z813" s="1398"/>
      <c r="AA813" s="1398"/>
      <c r="AB813" s="1398"/>
      <c r="AC813" s="1398"/>
      <c r="AD813" s="1398"/>
      <c r="AE813" s="1398"/>
    </row>
    <row r="814" spans="1:36" ht="15" customHeight="1" x14ac:dyDescent="0.3">
      <c r="A814" s="1398"/>
      <c r="B814" s="2155" t="s">
        <v>2537</v>
      </c>
      <c r="C814" s="2151"/>
      <c r="D814" s="2151"/>
      <c r="E814" s="2151"/>
      <c r="F814" s="2151"/>
      <c r="G814" s="2151"/>
      <c r="H814" s="2151"/>
      <c r="I814" s="23"/>
      <c r="J814" s="2151"/>
      <c r="K814" s="2151"/>
      <c r="L814" s="2151"/>
      <c r="M814" s="2151"/>
      <c r="N814" s="2151"/>
      <c r="O814" s="2151"/>
      <c r="P814" s="2151"/>
      <c r="Q814" s="2151"/>
      <c r="R814" s="1398"/>
      <c r="S814" s="1398"/>
      <c r="T814" s="1398"/>
      <c r="U814" s="1398"/>
      <c r="V814" s="1398"/>
      <c r="W814" s="1398"/>
      <c r="X814" s="1398"/>
      <c r="Y814" s="1398"/>
      <c r="Z814" s="1398"/>
      <c r="AA814" s="1398"/>
      <c r="AB814" s="1398"/>
      <c r="AC814" s="1398"/>
      <c r="AD814" s="1398"/>
      <c r="AE814" s="1398"/>
    </row>
    <row r="815" spans="1:36" ht="15" customHeight="1" x14ac:dyDescent="0.3">
      <c r="A815" s="1398"/>
      <c r="B815" s="2154" t="str">
        <f>"Check: row " &amp; ROW(B812) &amp;" = sum(row " &amp; ROW(B813) &amp; ", row "&amp; ROW(B814)&amp;")"</f>
        <v>Check: row 812 = sum(row 813, row 814)</v>
      </c>
      <c r="C815" s="2153" t="str">
        <f t="shared" ref="C815:Q815" si="120">IF(AND(ISNUMBER(C813), ISNUMBER(C814)), IF(C812=SUM(C813:C814), "Pass", "Fail"), "")</f>
        <v/>
      </c>
      <c r="D815" s="2153" t="str">
        <f t="shared" si="120"/>
        <v/>
      </c>
      <c r="E815" s="2153" t="str">
        <f t="shared" si="120"/>
        <v/>
      </c>
      <c r="F815" s="2153" t="str">
        <f t="shared" si="120"/>
        <v/>
      </c>
      <c r="G815" s="2153" t="str">
        <f t="shared" si="120"/>
        <v/>
      </c>
      <c r="H815" s="2153" t="str">
        <f t="shared" si="120"/>
        <v/>
      </c>
      <c r="I815" s="2153" t="str">
        <f t="shared" si="120"/>
        <v/>
      </c>
      <c r="J815" s="2153" t="str">
        <f t="shared" si="120"/>
        <v/>
      </c>
      <c r="K815" s="2153" t="str">
        <f t="shared" si="120"/>
        <v/>
      </c>
      <c r="L815" s="2153" t="str">
        <f t="shared" si="120"/>
        <v/>
      </c>
      <c r="M815" s="2153" t="str">
        <f t="shared" si="120"/>
        <v/>
      </c>
      <c r="N815" s="2153" t="str">
        <f t="shared" si="120"/>
        <v/>
      </c>
      <c r="O815" s="2153" t="str">
        <f t="shared" si="120"/>
        <v/>
      </c>
      <c r="P815" s="2153" t="str">
        <f t="shared" si="120"/>
        <v/>
      </c>
      <c r="Q815" s="2153" t="str">
        <f t="shared" si="120"/>
        <v/>
      </c>
      <c r="R815" s="1398"/>
      <c r="S815" s="1398"/>
      <c r="T815" s="1398"/>
      <c r="U815" s="1398"/>
      <c r="V815" s="1398"/>
      <c r="W815" s="1398"/>
      <c r="X815" s="1398"/>
      <c r="Y815" s="1398"/>
      <c r="Z815" s="1398"/>
      <c r="AA815" s="1398"/>
      <c r="AB815" s="1398"/>
      <c r="AC815" s="1398"/>
      <c r="AD815" s="1398"/>
      <c r="AE815" s="1398"/>
    </row>
    <row r="816" spans="1:36" ht="15" customHeight="1" x14ac:dyDescent="0.3">
      <c r="A816" s="1398"/>
      <c r="B816" s="2152" t="s">
        <v>2536</v>
      </c>
      <c r="C816" s="2151"/>
      <c r="D816" s="1398"/>
      <c r="E816" s="1398"/>
      <c r="F816" s="1398"/>
      <c r="G816" s="1398"/>
      <c r="H816" s="1398"/>
      <c r="I816" s="1398"/>
      <c r="J816" s="1398"/>
      <c r="K816" s="1398"/>
      <c r="L816" s="1398"/>
      <c r="M816" s="1398"/>
      <c r="N816" s="1398"/>
      <c r="O816" s="1398"/>
      <c r="P816" s="1398"/>
      <c r="Q816" s="1398"/>
      <c r="R816" s="1398"/>
      <c r="S816" s="1398"/>
      <c r="T816" s="1398"/>
      <c r="U816" s="1398"/>
      <c r="V816" s="1398"/>
      <c r="W816" s="1398"/>
      <c r="X816" s="1398"/>
      <c r="Y816" s="1398"/>
      <c r="Z816" s="1398"/>
      <c r="AA816" s="1398"/>
      <c r="AB816" s="1398"/>
      <c r="AC816" s="1398"/>
      <c r="AD816" s="1398"/>
      <c r="AE816" s="1398"/>
    </row>
    <row r="817" spans="1:36" ht="15" customHeight="1" x14ac:dyDescent="0.3">
      <c r="A817" s="1398"/>
      <c r="B817" s="2150" t="s">
        <v>2535</v>
      </c>
      <c r="C817" s="2149"/>
      <c r="D817" s="1398"/>
      <c r="E817" s="1398"/>
      <c r="F817" s="1398"/>
      <c r="G817" s="1398"/>
      <c r="H817" s="1398"/>
      <c r="I817" s="1398"/>
      <c r="J817" s="1398"/>
      <c r="K817" s="1398"/>
      <c r="L817" s="1398"/>
      <c r="M817" s="1398"/>
      <c r="N817" s="1398"/>
      <c r="O817" s="1398"/>
      <c r="P817" s="1398"/>
      <c r="Q817" s="1398"/>
      <c r="R817" s="1398"/>
      <c r="S817" s="1398"/>
      <c r="T817" s="1398"/>
      <c r="U817" s="1398"/>
      <c r="V817" s="1398"/>
      <c r="W817" s="1398"/>
      <c r="X817" s="1398"/>
      <c r="Y817" s="1398"/>
      <c r="Z817" s="1398"/>
      <c r="AA817" s="1398"/>
      <c r="AB817" s="1398"/>
      <c r="AC817" s="1398"/>
      <c r="AD817" s="1398"/>
      <c r="AE817" s="1398"/>
    </row>
    <row r="818" spans="1:36" ht="15" customHeight="1" x14ac:dyDescent="0.35">
      <c r="A818" s="1398"/>
      <c r="D818" s="1398"/>
      <c r="E818" s="1398"/>
      <c r="F818" s="1398"/>
      <c r="G818" s="1398"/>
      <c r="H818" s="1398"/>
      <c r="I818" s="1398"/>
      <c r="J818" s="1398"/>
      <c r="K818" s="1398"/>
      <c r="L818" s="1398"/>
      <c r="M818" s="1398"/>
      <c r="N818" s="1398"/>
      <c r="O818" s="1398"/>
      <c r="P818" s="1398"/>
      <c r="Q818" s="1398"/>
      <c r="R818" s="1398"/>
      <c r="S818" s="1398"/>
      <c r="T818" s="1398"/>
      <c r="U818" s="1398"/>
      <c r="V818" s="1398"/>
      <c r="W818" s="1398"/>
      <c r="X818" s="1398"/>
      <c r="Y818" s="1398"/>
      <c r="Z818" s="1398"/>
      <c r="AA818" s="1398"/>
      <c r="AB818" s="1398"/>
      <c r="AC818" s="1398"/>
      <c r="AD818" s="1398"/>
      <c r="AE818" s="1398"/>
      <c r="AF818" s="1398"/>
      <c r="AG818" s="1398"/>
      <c r="AH818" s="1398"/>
      <c r="AI818" s="1398"/>
      <c r="AJ818" s="1398"/>
    </row>
    <row r="819" spans="1:36" ht="15" customHeight="1" x14ac:dyDescent="0.3">
      <c r="A819" s="2176" t="s">
        <v>2570</v>
      </c>
      <c r="B819" s="2175"/>
      <c r="C819" s="2174" t="s">
        <v>2566</v>
      </c>
      <c r="D819" s="2173" t="str">
        <f>IF(ISBLANK($W$7),"",IF($W$7="No","Please leave Panel B"&amp;COLUMN($W$7)-2&amp;" empty","Please fill in Panel B"&amp;COLUMN($W$7)-2))</f>
        <v/>
      </c>
      <c r="E819" s="1398"/>
      <c r="F819" s="1398"/>
      <c r="G819" s="1398"/>
      <c r="H819" s="1398"/>
      <c r="I819" s="1398"/>
      <c r="J819" s="1398"/>
      <c r="K819" s="1398"/>
      <c r="L819" s="1398"/>
      <c r="M819" s="1398"/>
      <c r="N819" s="1398"/>
      <c r="O819" s="1398"/>
      <c r="P819" s="1398"/>
      <c r="Q819" s="1398"/>
      <c r="R819" s="1398"/>
      <c r="S819" s="1398"/>
      <c r="T819" s="1398"/>
      <c r="U819" s="1398"/>
      <c r="V819" s="1398"/>
      <c r="W819" s="1398"/>
      <c r="X819" s="1398"/>
      <c r="Y819" s="1398"/>
      <c r="Z819" s="1398"/>
      <c r="AA819" s="1398"/>
      <c r="AB819" s="1398"/>
      <c r="AC819" s="1398"/>
      <c r="AD819" s="1398"/>
      <c r="AE819" s="1398"/>
      <c r="AF819" s="1398"/>
      <c r="AG819" s="1398"/>
      <c r="AH819" s="1398"/>
      <c r="AI819" s="1398"/>
      <c r="AJ819" s="1398"/>
    </row>
    <row r="820" spans="1:36" ht="15" customHeight="1" x14ac:dyDescent="0.3">
      <c r="A820" s="1398"/>
      <c r="B820" s="1398"/>
      <c r="C820" s="2980" t="s">
        <v>207</v>
      </c>
      <c r="D820" s="2980"/>
      <c r="E820" s="2980"/>
      <c r="F820" s="2980"/>
      <c r="G820" s="2980"/>
      <c r="H820" s="2980"/>
      <c r="I820" s="2980"/>
      <c r="J820" s="2980"/>
      <c r="K820" s="2980"/>
      <c r="L820" s="2981"/>
      <c r="M820" s="2982" t="s">
        <v>2559</v>
      </c>
      <c r="N820" s="2984" t="s">
        <v>2565</v>
      </c>
      <c r="O820" s="2985"/>
      <c r="P820" s="2985"/>
      <c r="Q820" s="2985"/>
      <c r="R820" s="1398"/>
      <c r="S820" s="1398"/>
      <c r="T820" s="1398"/>
      <c r="U820" s="1398"/>
      <c r="V820" s="1398"/>
      <c r="W820" s="1398"/>
      <c r="X820" s="1398"/>
      <c r="Y820" s="1398"/>
      <c r="Z820" s="1398"/>
      <c r="AA820" s="1398"/>
      <c r="AB820" s="1398"/>
      <c r="AC820" s="1398"/>
      <c r="AD820" s="1398"/>
      <c r="AE820" s="1398"/>
      <c r="AF820" s="1398"/>
      <c r="AG820" s="1398"/>
      <c r="AH820" s="1398"/>
      <c r="AI820" s="1398"/>
      <c r="AJ820" s="1398"/>
    </row>
    <row r="821" spans="1:36" ht="15" customHeight="1" x14ac:dyDescent="0.35">
      <c r="A821" s="1398"/>
      <c r="B821" s="1398"/>
      <c r="C821" s="2967" t="s">
        <v>2564</v>
      </c>
      <c r="D821" s="2973" t="s">
        <v>465</v>
      </c>
      <c r="E821" s="2974"/>
      <c r="F821" s="2974"/>
      <c r="G821" s="2974"/>
      <c r="H821" s="2975"/>
      <c r="I821" s="2969" t="s">
        <v>2563</v>
      </c>
      <c r="J821" s="2969" t="s">
        <v>2562</v>
      </c>
      <c r="K821" s="2969" t="s">
        <v>2561</v>
      </c>
      <c r="L821" s="2969" t="s">
        <v>2560</v>
      </c>
      <c r="M821" s="2983"/>
      <c r="N821" s="2978" t="s">
        <v>207</v>
      </c>
      <c r="O821" s="2978" t="s">
        <v>2559</v>
      </c>
      <c r="P821" s="2969" t="s">
        <v>59</v>
      </c>
      <c r="Q821" s="2971" t="s">
        <v>2558</v>
      </c>
      <c r="R821" s="1398"/>
      <c r="S821" s="1398"/>
      <c r="T821" s="1398"/>
      <c r="U821" s="1398"/>
      <c r="V821" s="1398"/>
      <c r="W821" s="1398"/>
      <c r="X821" s="1398"/>
      <c r="Y821" s="1398"/>
      <c r="Z821" s="1398"/>
      <c r="AA821" s="1398"/>
      <c r="AB821" s="1398"/>
      <c r="AC821" s="1398"/>
      <c r="AD821" s="1398"/>
      <c r="AE821" s="1398"/>
      <c r="AF821" s="1398"/>
      <c r="AG821" s="1398"/>
      <c r="AH821" s="1398"/>
      <c r="AI821" s="1398"/>
      <c r="AJ821" s="1398"/>
    </row>
    <row r="822" spans="1:36" ht="35.25" customHeight="1" x14ac:dyDescent="0.3">
      <c r="A822" s="1398"/>
      <c r="B822" s="1398"/>
      <c r="C822" s="2968"/>
      <c r="D822" s="2170" t="s">
        <v>2557</v>
      </c>
      <c r="E822" s="2170" t="s">
        <v>2556</v>
      </c>
      <c r="F822" s="2170" t="s">
        <v>2555</v>
      </c>
      <c r="G822" s="2170" t="s">
        <v>2554</v>
      </c>
      <c r="H822" s="2170" t="s">
        <v>59</v>
      </c>
      <c r="I822" s="2970"/>
      <c r="J822" s="2970"/>
      <c r="K822" s="2970"/>
      <c r="L822" s="2970"/>
      <c r="M822" s="2970"/>
      <c r="N822" s="2979"/>
      <c r="O822" s="2979"/>
      <c r="P822" s="2970"/>
      <c r="Q822" s="2972"/>
      <c r="R822" s="1398"/>
      <c r="S822" s="1398"/>
      <c r="T822" s="1398"/>
      <c r="U822" s="1398"/>
      <c r="V822" s="1398"/>
      <c r="W822" s="1398"/>
      <c r="X822" s="1398"/>
      <c r="Y822" s="1398"/>
      <c r="Z822" s="1398"/>
      <c r="AA822" s="1398"/>
      <c r="AB822" s="1398"/>
      <c r="AC822" s="1398"/>
      <c r="AD822" s="1398"/>
      <c r="AE822" s="1398"/>
      <c r="AF822" s="1398"/>
      <c r="AG822" s="1398"/>
      <c r="AH822" s="1398"/>
      <c r="AI822" s="1398"/>
      <c r="AJ822" s="1398"/>
    </row>
    <row r="823" spans="1:36" ht="15" customHeight="1" x14ac:dyDescent="0.35">
      <c r="A823" s="1398"/>
      <c r="B823" s="2179" t="s">
        <v>2553</v>
      </c>
      <c r="C823" s="2168" t="str">
        <f t="shared" ref="C823:I823" si="121">IF(AND(ISNUMBER(C836),ISNUMBER(C832),ISNUMBER(C834),ISNUMBER(C824),ISNUMBER(C828),ISNUMBER(C826),ISNUMBER(C830),ISNUMBER(C838)),SUM(C824,C826,C828,C830,C832,C834,C836,C838),"")</f>
        <v/>
      </c>
      <c r="D823" s="2168" t="str">
        <f t="shared" si="121"/>
        <v/>
      </c>
      <c r="E823" s="2168" t="str">
        <f t="shared" si="121"/>
        <v/>
      </c>
      <c r="F823" s="2168" t="str">
        <f t="shared" si="121"/>
        <v/>
      </c>
      <c r="G823" s="2168" t="str">
        <f t="shared" si="121"/>
        <v/>
      </c>
      <c r="H823" s="2168" t="str">
        <f t="shared" si="121"/>
        <v/>
      </c>
      <c r="I823" s="2168" t="str">
        <f t="shared" si="121"/>
        <v/>
      </c>
      <c r="J823" s="2157"/>
      <c r="K823" s="2168" t="str">
        <f>IF(AND(ISNUMBER(K836),ISNUMBER(K832),ISNUMBER(K834),ISNUMBER(K824),ISNUMBER(K828),ISNUMBER(K826),ISNUMBER(K830),ISNUMBER(K838)),SUM(K824,K826,K828,K830,K832,K834,K836,K838),"")</f>
        <v/>
      </c>
      <c r="L823" s="2157"/>
      <c r="M823" s="2168" t="str">
        <f>IF(AND(ISNUMBER(M836),ISNUMBER(M832),ISNUMBER(M834),ISNUMBER(M824),ISNUMBER(M828),ISNUMBER(M826),ISNUMBER(M830),ISNUMBER(M838)),SUM(M824,M826,M828,M830,M832,M834,M836,M838),"")</f>
        <v/>
      </c>
      <c r="N823" s="2167"/>
      <c r="O823" s="2167"/>
      <c r="P823" s="2167"/>
      <c r="Q823" s="2167"/>
      <c r="R823" s="1398"/>
      <c r="S823" s="1398"/>
      <c r="T823" s="1398"/>
      <c r="U823" s="1398"/>
      <c r="V823" s="1398"/>
      <c r="W823" s="1398"/>
      <c r="X823" s="1398"/>
      <c r="Y823" s="1398"/>
      <c r="Z823" s="1398"/>
      <c r="AA823" s="1398"/>
      <c r="AB823" s="1398"/>
      <c r="AC823" s="1398"/>
      <c r="AD823" s="1398"/>
      <c r="AE823" s="1398"/>
      <c r="AF823" s="1398"/>
      <c r="AG823" s="1398"/>
      <c r="AH823" s="1398"/>
      <c r="AI823" s="1398"/>
      <c r="AJ823" s="1398"/>
    </row>
    <row r="824" spans="1:36" ht="15" customHeight="1" x14ac:dyDescent="0.3">
      <c r="A824" s="1398"/>
      <c r="B824" s="2163" t="s">
        <v>2552</v>
      </c>
      <c r="C824" s="2151"/>
      <c r="D824" s="2151"/>
      <c r="E824" s="2151"/>
      <c r="F824" s="2151"/>
      <c r="G824" s="2151"/>
      <c r="H824" s="2151"/>
      <c r="I824" s="23"/>
      <c r="J824" s="2157"/>
      <c r="K824" s="2151"/>
      <c r="L824" s="2157"/>
      <c r="M824" s="23"/>
      <c r="N824" s="2157"/>
      <c r="O824" s="2157"/>
      <c r="P824" s="2157"/>
      <c r="Q824" s="2157"/>
      <c r="R824" s="1398"/>
      <c r="S824" s="1398"/>
      <c r="T824" s="1398"/>
      <c r="U824" s="1398"/>
      <c r="V824" s="1398"/>
      <c r="W824" s="1398"/>
      <c r="X824" s="1398"/>
      <c r="Y824" s="1398"/>
      <c r="Z824" s="1398"/>
      <c r="AA824" s="1398"/>
      <c r="AB824" s="1398"/>
      <c r="AC824" s="1398"/>
      <c r="AD824" s="1398"/>
      <c r="AE824" s="1398"/>
      <c r="AF824" s="1398"/>
      <c r="AG824" s="1398"/>
      <c r="AH824" s="1398"/>
      <c r="AI824" s="1398"/>
      <c r="AJ824" s="1398"/>
    </row>
    <row r="825" spans="1:36" ht="15" customHeight="1" x14ac:dyDescent="0.3">
      <c r="A825" s="1398"/>
      <c r="B825" s="2162" t="s">
        <v>2543</v>
      </c>
      <c r="C825" s="2151"/>
      <c r="D825" s="2151"/>
      <c r="E825" s="2151"/>
      <c r="F825" s="2151"/>
      <c r="G825" s="2151"/>
      <c r="H825" s="2151"/>
      <c r="I825" s="23"/>
      <c r="J825" s="2157"/>
      <c r="K825" s="2151"/>
      <c r="L825" s="2157"/>
      <c r="M825" s="23"/>
      <c r="N825" s="2157"/>
      <c r="O825" s="2157"/>
      <c r="P825" s="2157"/>
      <c r="Q825" s="2157"/>
      <c r="R825" s="1398"/>
      <c r="S825" s="1398"/>
      <c r="T825" s="1398"/>
      <c r="U825" s="1398"/>
      <c r="V825" s="1398"/>
      <c r="W825" s="1398"/>
      <c r="X825" s="1398"/>
      <c r="Y825" s="1398"/>
      <c r="Z825" s="1398"/>
      <c r="AA825" s="1398"/>
      <c r="AB825" s="1398"/>
      <c r="AC825" s="1398"/>
      <c r="AD825" s="1398"/>
      <c r="AE825" s="1398"/>
      <c r="AF825" s="1398"/>
      <c r="AG825" s="1398"/>
      <c r="AH825" s="1398"/>
      <c r="AI825" s="1398"/>
      <c r="AJ825" s="1398"/>
    </row>
    <row r="826" spans="1:36" ht="15" customHeight="1" x14ac:dyDescent="0.3">
      <c r="A826" s="1398"/>
      <c r="B826" s="2163" t="s">
        <v>2551</v>
      </c>
      <c r="C826" s="2151"/>
      <c r="D826" s="2151"/>
      <c r="E826" s="2151"/>
      <c r="F826" s="2151"/>
      <c r="G826" s="2151"/>
      <c r="H826" s="2151"/>
      <c r="I826" s="23"/>
      <c r="J826" s="2157"/>
      <c r="K826" s="2151"/>
      <c r="L826" s="2157"/>
      <c r="M826" s="23"/>
      <c r="N826" s="2157"/>
      <c r="O826" s="2157"/>
      <c r="P826" s="2157"/>
      <c r="Q826" s="2157"/>
      <c r="R826" s="1398"/>
      <c r="S826" s="1398"/>
      <c r="T826" s="1398"/>
      <c r="U826" s="1398"/>
      <c r="V826" s="1398"/>
      <c r="W826" s="1398"/>
      <c r="X826" s="1398"/>
      <c r="Y826" s="1398"/>
      <c r="Z826" s="1398"/>
      <c r="AA826" s="1398"/>
      <c r="AB826" s="1398"/>
      <c r="AC826" s="1398"/>
      <c r="AD826" s="1398"/>
      <c r="AE826" s="1398"/>
      <c r="AF826" s="1398"/>
      <c r="AG826" s="1398"/>
      <c r="AH826" s="1398"/>
      <c r="AI826" s="1398"/>
      <c r="AJ826" s="1398"/>
    </row>
    <row r="827" spans="1:36" ht="15" customHeight="1" x14ac:dyDescent="0.3">
      <c r="A827" s="1398"/>
      <c r="B827" s="2162" t="s">
        <v>2543</v>
      </c>
      <c r="C827" s="2151"/>
      <c r="D827" s="2151"/>
      <c r="E827" s="2151"/>
      <c r="F827" s="2151"/>
      <c r="G827" s="2151"/>
      <c r="H827" s="2151"/>
      <c r="I827" s="23"/>
      <c r="J827" s="2157"/>
      <c r="K827" s="2151"/>
      <c r="L827" s="2157"/>
      <c r="M827" s="23"/>
      <c r="N827" s="2157"/>
      <c r="O827" s="2157"/>
      <c r="P827" s="2157"/>
      <c r="Q827" s="2157"/>
      <c r="R827" s="1398"/>
      <c r="S827" s="1398"/>
      <c r="T827" s="1398"/>
      <c r="U827" s="1398"/>
      <c r="V827" s="1398"/>
      <c r="W827" s="1398"/>
      <c r="X827" s="1398"/>
      <c r="Y827" s="1398"/>
      <c r="Z827" s="1398"/>
      <c r="AA827" s="1398"/>
      <c r="AB827" s="1398"/>
      <c r="AC827" s="1398"/>
      <c r="AD827" s="1398"/>
      <c r="AE827" s="1398"/>
      <c r="AF827" s="1398"/>
      <c r="AG827" s="1398"/>
      <c r="AH827" s="1398"/>
      <c r="AI827" s="1398"/>
      <c r="AJ827" s="1398"/>
    </row>
    <row r="828" spans="1:36" ht="15" customHeight="1" x14ac:dyDescent="0.3">
      <c r="A828" s="1398"/>
      <c r="B828" s="2163" t="s">
        <v>2550</v>
      </c>
      <c r="C828" s="2151"/>
      <c r="D828" s="2151"/>
      <c r="E828" s="2151"/>
      <c r="F828" s="2151"/>
      <c r="G828" s="2151"/>
      <c r="H828" s="2151"/>
      <c r="I828" s="23"/>
      <c r="J828" s="2157"/>
      <c r="K828" s="2151"/>
      <c r="L828" s="2157"/>
      <c r="M828" s="23"/>
      <c r="N828" s="2157"/>
      <c r="O828" s="2157"/>
      <c r="P828" s="2157"/>
      <c r="Q828" s="2157"/>
      <c r="R828" s="1398"/>
      <c r="S828" s="1398"/>
      <c r="T828" s="1398"/>
      <c r="U828" s="1398"/>
      <c r="V828" s="1398"/>
      <c r="W828" s="1398"/>
      <c r="X828" s="1398"/>
      <c r="Y828" s="1398"/>
      <c r="Z828" s="1398"/>
      <c r="AA828" s="1398"/>
      <c r="AB828" s="1398"/>
      <c r="AC828" s="1398"/>
      <c r="AD828" s="1398"/>
      <c r="AE828" s="1398"/>
      <c r="AF828" s="1398"/>
      <c r="AG828" s="1398"/>
      <c r="AH828" s="1398"/>
      <c r="AI828" s="1398"/>
      <c r="AJ828" s="1398"/>
    </row>
    <row r="829" spans="1:36" ht="15" customHeight="1" x14ac:dyDescent="0.3">
      <c r="A829" s="1398"/>
      <c r="B829" s="2162" t="s">
        <v>2543</v>
      </c>
      <c r="C829" s="2151"/>
      <c r="D829" s="2151"/>
      <c r="E829" s="2151"/>
      <c r="F829" s="2151"/>
      <c r="G829" s="2151"/>
      <c r="H829" s="2151"/>
      <c r="I829" s="23"/>
      <c r="J829" s="2157"/>
      <c r="K829" s="2151"/>
      <c r="L829" s="2157"/>
      <c r="M829" s="23"/>
      <c r="N829" s="2157"/>
      <c r="O829" s="2157"/>
      <c r="P829" s="2157"/>
      <c r="Q829" s="2157"/>
      <c r="R829" s="1398"/>
      <c r="S829" s="1398"/>
      <c r="T829" s="1398"/>
      <c r="U829" s="1398"/>
      <c r="V829" s="1398"/>
      <c r="W829" s="1398"/>
      <c r="X829" s="1398"/>
      <c r="Y829" s="1398"/>
      <c r="Z829" s="1398"/>
      <c r="AA829" s="1398"/>
      <c r="AB829" s="1398"/>
      <c r="AC829" s="1398"/>
      <c r="AD829" s="1398"/>
      <c r="AE829" s="1398"/>
      <c r="AF829" s="1398"/>
      <c r="AG829" s="1398"/>
      <c r="AH829" s="1398"/>
      <c r="AI829" s="1398"/>
      <c r="AJ829" s="1398"/>
    </row>
    <row r="830" spans="1:36" ht="15" customHeight="1" x14ac:dyDescent="0.3">
      <c r="A830" s="1398"/>
      <c r="B830" s="2163" t="s">
        <v>2549</v>
      </c>
      <c r="C830" s="2151"/>
      <c r="D830" s="2151"/>
      <c r="E830" s="2151"/>
      <c r="F830" s="2151"/>
      <c r="G830" s="2151"/>
      <c r="H830" s="2151"/>
      <c r="I830" s="23"/>
      <c r="J830" s="2157"/>
      <c r="K830" s="2151"/>
      <c r="L830" s="2157"/>
      <c r="M830" s="23"/>
      <c r="N830" s="2157"/>
      <c r="O830" s="2157"/>
      <c r="P830" s="2157"/>
      <c r="Q830" s="2157"/>
      <c r="R830" s="1398"/>
      <c r="S830" s="1398"/>
      <c r="T830" s="1398"/>
      <c r="U830" s="1398"/>
      <c r="V830" s="1398"/>
      <c r="W830" s="1398"/>
      <c r="X830" s="1398"/>
      <c r="Y830" s="1398"/>
      <c r="Z830" s="1398"/>
      <c r="AA830" s="1398"/>
      <c r="AB830" s="1398"/>
      <c r="AC830" s="1398"/>
      <c r="AD830" s="1398"/>
      <c r="AE830" s="1398"/>
      <c r="AF830" s="1398"/>
      <c r="AG830" s="1398"/>
      <c r="AH830" s="1398"/>
      <c r="AI830" s="1398"/>
      <c r="AJ830" s="1398"/>
    </row>
    <row r="831" spans="1:36" ht="15" customHeight="1" x14ac:dyDescent="0.3">
      <c r="A831" s="1398"/>
      <c r="B831" s="2162" t="s">
        <v>2543</v>
      </c>
      <c r="C831" s="2151"/>
      <c r="D831" s="2151"/>
      <c r="E831" s="2151"/>
      <c r="F831" s="2151"/>
      <c r="G831" s="2151"/>
      <c r="H831" s="2151"/>
      <c r="I831" s="23"/>
      <c r="J831" s="2157"/>
      <c r="K831" s="2151"/>
      <c r="L831" s="2157"/>
      <c r="M831" s="23"/>
      <c r="N831" s="2157"/>
      <c r="O831" s="2157"/>
      <c r="P831" s="2157"/>
      <c r="Q831" s="2157"/>
      <c r="R831" s="1398"/>
      <c r="S831" s="1398"/>
      <c r="T831" s="1398"/>
      <c r="U831" s="1398"/>
      <c r="V831" s="1398"/>
      <c r="W831" s="1398"/>
      <c r="X831" s="1398"/>
      <c r="Y831" s="1398"/>
      <c r="Z831" s="1398"/>
      <c r="AA831" s="1398"/>
      <c r="AB831" s="1398"/>
      <c r="AC831" s="1398"/>
      <c r="AD831" s="1398"/>
      <c r="AE831" s="1398"/>
      <c r="AF831" s="1398"/>
      <c r="AG831" s="1398"/>
      <c r="AH831" s="1398"/>
      <c r="AI831" s="1398"/>
      <c r="AJ831" s="1398"/>
    </row>
    <row r="832" spans="1:36" ht="15" customHeight="1" x14ac:dyDescent="0.3">
      <c r="A832" s="1398"/>
      <c r="B832" s="2163" t="s">
        <v>2548</v>
      </c>
      <c r="C832" s="2151"/>
      <c r="D832" s="2151"/>
      <c r="E832" s="2151"/>
      <c r="F832" s="2151"/>
      <c r="G832" s="2151"/>
      <c r="H832" s="2151"/>
      <c r="I832" s="23"/>
      <c r="J832" s="2157"/>
      <c r="K832" s="2151"/>
      <c r="L832" s="2157"/>
      <c r="M832" s="23"/>
      <c r="N832" s="2157"/>
      <c r="O832" s="2157"/>
      <c r="P832" s="2157"/>
      <c r="Q832" s="2157"/>
      <c r="R832" s="1398"/>
      <c r="S832" s="1398"/>
      <c r="T832" s="1398"/>
      <c r="U832" s="1398"/>
      <c r="V832" s="1398"/>
      <c r="W832" s="1398"/>
      <c r="X832" s="1398"/>
      <c r="Y832" s="1398"/>
      <c r="Z832" s="1398"/>
      <c r="AA832" s="1398"/>
      <c r="AB832" s="1398"/>
      <c r="AC832" s="1398"/>
      <c r="AD832" s="1398"/>
      <c r="AE832" s="1398"/>
      <c r="AF832" s="1398"/>
      <c r="AG832" s="1398"/>
      <c r="AH832" s="1398"/>
      <c r="AI832" s="1398"/>
      <c r="AJ832" s="1398"/>
    </row>
    <row r="833" spans="1:36" ht="15" customHeight="1" x14ac:dyDescent="0.3">
      <c r="A833" s="1398"/>
      <c r="B833" s="2162" t="s">
        <v>2543</v>
      </c>
      <c r="C833" s="2151"/>
      <c r="D833" s="2151"/>
      <c r="E833" s="2151"/>
      <c r="F833" s="2151"/>
      <c r="G833" s="2151"/>
      <c r="H833" s="2151"/>
      <c r="I833" s="23"/>
      <c r="J833" s="2157"/>
      <c r="K833" s="2151"/>
      <c r="L833" s="2157"/>
      <c r="M833" s="23"/>
      <c r="N833" s="2157"/>
      <c r="O833" s="2157"/>
      <c r="P833" s="2157"/>
      <c r="Q833" s="2157"/>
      <c r="R833" s="1398"/>
      <c r="S833" s="1398"/>
      <c r="T833" s="1398"/>
      <c r="U833" s="1398"/>
      <c r="V833" s="1398"/>
      <c r="W833" s="1398"/>
      <c r="X833" s="1398"/>
      <c r="Y833" s="1398"/>
      <c r="Z833" s="1398"/>
      <c r="AA833" s="1398"/>
      <c r="AB833" s="1398"/>
      <c r="AC833" s="1398"/>
      <c r="AD833" s="1398"/>
      <c r="AE833" s="1398"/>
      <c r="AF833" s="1398"/>
      <c r="AG833" s="1398"/>
      <c r="AH833" s="1398"/>
      <c r="AI833" s="1398"/>
      <c r="AJ833" s="1398"/>
    </row>
    <row r="834" spans="1:36" ht="15" customHeight="1" x14ac:dyDescent="0.3">
      <c r="A834" s="1398"/>
      <c r="B834" s="2163" t="s">
        <v>2547</v>
      </c>
      <c r="C834" s="2151"/>
      <c r="D834" s="2151"/>
      <c r="E834" s="2151"/>
      <c r="F834" s="2151"/>
      <c r="G834" s="2151"/>
      <c r="H834" s="2151"/>
      <c r="I834" s="23"/>
      <c r="J834" s="2157"/>
      <c r="K834" s="2151"/>
      <c r="L834" s="2157"/>
      <c r="M834" s="23"/>
      <c r="N834" s="2157"/>
      <c r="O834" s="2157"/>
      <c r="P834" s="2157"/>
      <c r="Q834" s="2157"/>
      <c r="R834" s="1398"/>
      <c r="S834" s="1398"/>
      <c r="T834" s="1398"/>
      <c r="U834" s="1398"/>
      <c r="V834" s="1398"/>
      <c r="W834" s="1398"/>
      <c r="X834" s="1398"/>
      <c r="Y834" s="1398"/>
      <c r="Z834" s="1398"/>
      <c r="AA834" s="1398"/>
      <c r="AB834" s="1398"/>
      <c r="AC834" s="1398"/>
      <c r="AD834" s="1398"/>
      <c r="AE834" s="1398"/>
      <c r="AF834" s="1398"/>
      <c r="AG834" s="1398"/>
      <c r="AH834" s="1398"/>
      <c r="AI834" s="1398"/>
      <c r="AJ834" s="1398"/>
    </row>
    <row r="835" spans="1:36" ht="15" customHeight="1" x14ac:dyDescent="0.3">
      <c r="A835" s="1398"/>
      <c r="B835" s="2162" t="s">
        <v>2543</v>
      </c>
      <c r="C835" s="2151"/>
      <c r="D835" s="2151"/>
      <c r="E835" s="2151"/>
      <c r="F835" s="2151"/>
      <c r="G835" s="2151"/>
      <c r="H835" s="2151"/>
      <c r="I835" s="23"/>
      <c r="J835" s="2157"/>
      <c r="K835" s="2151"/>
      <c r="L835" s="2157"/>
      <c r="M835" s="23"/>
      <c r="N835" s="2157"/>
      <c r="O835" s="2157"/>
      <c r="P835" s="2157"/>
      <c r="Q835" s="2157"/>
      <c r="R835" s="1398"/>
      <c r="S835" s="1398"/>
      <c r="T835" s="1398"/>
      <c r="U835" s="1398"/>
      <c r="V835" s="1398"/>
      <c r="W835" s="1398"/>
      <c r="X835" s="1398"/>
      <c r="Y835" s="1398"/>
      <c r="Z835" s="1398"/>
      <c r="AA835" s="1398"/>
      <c r="AB835" s="1398"/>
      <c r="AC835" s="1398"/>
      <c r="AD835" s="1398"/>
      <c r="AE835" s="1398"/>
      <c r="AF835" s="1398"/>
      <c r="AG835" s="1398"/>
      <c r="AH835" s="1398"/>
      <c r="AI835" s="1398"/>
      <c r="AJ835" s="1398"/>
    </row>
    <row r="836" spans="1:36" ht="15" customHeight="1" x14ac:dyDescent="0.3">
      <c r="A836" s="1398"/>
      <c r="B836" s="2163" t="s">
        <v>2546</v>
      </c>
      <c r="C836" s="2151"/>
      <c r="D836" s="2151"/>
      <c r="E836" s="2151"/>
      <c r="F836" s="2151"/>
      <c r="G836" s="2151"/>
      <c r="H836" s="2151"/>
      <c r="I836" s="23"/>
      <c r="J836" s="2157"/>
      <c r="K836" s="2151"/>
      <c r="L836" s="2157"/>
      <c r="M836" s="23"/>
      <c r="N836" s="2157"/>
      <c r="O836" s="2157"/>
      <c r="P836" s="2157"/>
      <c r="Q836" s="2157"/>
      <c r="R836" s="1398"/>
      <c r="S836" s="1398"/>
      <c r="T836" s="1398"/>
      <c r="U836" s="1398"/>
      <c r="V836" s="1398"/>
      <c r="W836" s="1398"/>
      <c r="X836" s="1398"/>
      <c r="Y836" s="1398"/>
      <c r="Z836" s="1398"/>
      <c r="AA836" s="1398"/>
      <c r="AB836" s="1398"/>
      <c r="AC836" s="1398"/>
      <c r="AD836" s="1398"/>
      <c r="AE836" s="1398"/>
      <c r="AF836" s="1398"/>
      <c r="AG836" s="1398"/>
      <c r="AH836" s="1398"/>
      <c r="AI836" s="1398"/>
      <c r="AJ836" s="1398"/>
    </row>
    <row r="837" spans="1:36" ht="15" customHeight="1" x14ac:dyDescent="0.3">
      <c r="A837" s="1398"/>
      <c r="B837" s="2162" t="s">
        <v>2543</v>
      </c>
      <c r="C837" s="2151"/>
      <c r="D837" s="2151"/>
      <c r="E837" s="2151"/>
      <c r="F837" s="2151"/>
      <c r="G837" s="2151"/>
      <c r="H837" s="2151"/>
      <c r="I837" s="23"/>
      <c r="J837" s="2157"/>
      <c r="K837" s="2151"/>
      <c r="L837" s="2157"/>
      <c r="M837" s="23"/>
      <c r="N837" s="2157"/>
      <c r="O837" s="2157"/>
      <c r="P837" s="2157"/>
      <c r="Q837" s="2157"/>
      <c r="R837" s="1398"/>
      <c r="S837" s="1398"/>
      <c r="T837" s="1398"/>
      <c r="U837" s="1398"/>
      <c r="V837" s="1398"/>
      <c r="W837" s="1398"/>
      <c r="X837" s="1398"/>
      <c r="Y837" s="1398"/>
      <c r="Z837" s="1398"/>
      <c r="AA837" s="1398"/>
      <c r="AB837" s="1398"/>
      <c r="AC837" s="1398"/>
      <c r="AD837" s="1398"/>
      <c r="AE837" s="1398"/>
      <c r="AF837" s="1398"/>
      <c r="AG837" s="1398"/>
      <c r="AH837" s="1398"/>
      <c r="AI837" s="1398"/>
      <c r="AJ837" s="1398"/>
    </row>
    <row r="838" spans="1:36" ht="15" customHeight="1" x14ac:dyDescent="0.3">
      <c r="A838" s="1398"/>
      <c r="B838" s="2163" t="s">
        <v>1760</v>
      </c>
      <c r="C838" s="2151"/>
      <c r="D838" s="2151"/>
      <c r="E838" s="2151"/>
      <c r="F838" s="2151"/>
      <c r="G838" s="2151"/>
      <c r="H838" s="2151"/>
      <c r="I838" s="23"/>
      <c r="J838" s="2157"/>
      <c r="K838" s="2151"/>
      <c r="L838" s="2157"/>
      <c r="M838" s="23"/>
      <c r="N838" s="2157"/>
      <c r="O838" s="2157"/>
      <c r="P838" s="2157"/>
      <c r="Q838" s="2157"/>
      <c r="R838" s="1398"/>
      <c r="S838" s="1398"/>
      <c r="T838" s="1398"/>
      <c r="U838" s="1398"/>
      <c r="V838" s="1398"/>
      <c r="W838" s="1398"/>
      <c r="X838" s="1398"/>
      <c r="Y838" s="1398"/>
      <c r="Z838" s="1398"/>
      <c r="AA838" s="1398"/>
      <c r="AB838" s="1398"/>
      <c r="AC838" s="1398"/>
      <c r="AD838" s="1398"/>
      <c r="AE838" s="1398"/>
      <c r="AF838" s="1398"/>
      <c r="AG838" s="1398"/>
      <c r="AH838" s="1398"/>
      <c r="AI838" s="1398"/>
      <c r="AJ838" s="1398"/>
    </row>
    <row r="839" spans="1:36" ht="15" customHeight="1" x14ac:dyDescent="0.3">
      <c r="A839" s="1398"/>
      <c r="B839" s="2162" t="s">
        <v>2543</v>
      </c>
      <c r="C839" s="2182"/>
      <c r="D839" s="2182"/>
      <c r="E839" s="2182"/>
      <c r="F839" s="2182"/>
      <c r="G839" s="2182"/>
      <c r="H839" s="2182"/>
      <c r="I839" s="29"/>
      <c r="J839" s="2157"/>
      <c r="K839" s="2151"/>
      <c r="L839" s="2157"/>
      <c r="M839" s="23"/>
      <c r="N839" s="2157"/>
      <c r="O839" s="2157"/>
      <c r="P839" s="2157"/>
      <c r="Q839" s="2157"/>
      <c r="R839" s="1398"/>
      <c r="S839" s="1398"/>
      <c r="T839" s="1398"/>
      <c r="U839" s="1398"/>
      <c r="V839" s="1398"/>
      <c r="W839" s="1398"/>
      <c r="X839" s="1398"/>
      <c r="Y839" s="1398"/>
      <c r="Z839" s="1398"/>
      <c r="AA839" s="1398"/>
      <c r="AB839" s="1398"/>
      <c r="AC839" s="1398"/>
      <c r="AD839" s="1398"/>
      <c r="AE839" s="1398"/>
      <c r="AF839" s="1398"/>
      <c r="AG839" s="1398"/>
      <c r="AH839" s="1398"/>
      <c r="AI839" s="1398"/>
      <c r="AJ839" s="1398"/>
    </row>
    <row r="840" spans="1:36" ht="15" customHeight="1" x14ac:dyDescent="0.35">
      <c r="A840" s="1398"/>
      <c r="B840" s="2181" t="s">
        <v>2545</v>
      </c>
      <c r="C840" s="2159" t="str">
        <f t="shared" ref="C840:I840" si="122">IF(AND(ISNUMBER(C841),ISNUMBER(C843)),C841+C843,"")</f>
        <v/>
      </c>
      <c r="D840" s="2159" t="str">
        <f t="shared" si="122"/>
        <v/>
      </c>
      <c r="E840" s="2159" t="str">
        <f t="shared" si="122"/>
        <v/>
      </c>
      <c r="F840" s="2159" t="str">
        <f t="shared" si="122"/>
        <v/>
      </c>
      <c r="G840" s="2159" t="str">
        <f t="shared" si="122"/>
        <v/>
      </c>
      <c r="H840" s="2159" t="str">
        <f t="shared" si="122"/>
        <v/>
      </c>
      <c r="I840" s="2159" t="str">
        <f t="shared" si="122"/>
        <v/>
      </c>
      <c r="J840" s="2157"/>
      <c r="K840" s="2159" t="str">
        <f>IF(AND(ISNUMBER(K841),ISNUMBER(K843)),K841+K843,"")</f>
        <v/>
      </c>
      <c r="L840" s="2157"/>
      <c r="M840" s="2159" t="str">
        <f>IF(AND(ISNUMBER(M841),ISNUMBER(M843)),M841+M843,"")</f>
        <v/>
      </c>
      <c r="N840" s="2157"/>
      <c r="O840" s="2157"/>
      <c r="P840" s="2157"/>
      <c r="Q840" s="2157"/>
      <c r="R840" s="1398"/>
      <c r="S840" s="1398"/>
      <c r="T840" s="1398"/>
      <c r="U840" s="1398"/>
      <c r="V840" s="1398"/>
      <c r="W840" s="1398"/>
      <c r="X840" s="1398"/>
      <c r="Y840" s="1398"/>
      <c r="Z840" s="1398"/>
      <c r="AA840" s="1398"/>
      <c r="AB840" s="1398"/>
      <c r="AC840" s="1398"/>
      <c r="AD840" s="1398"/>
      <c r="AE840" s="1398"/>
      <c r="AF840" s="1398"/>
      <c r="AG840" s="1398"/>
      <c r="AH840" s="1398"/>
      <c r="AI840" s="1398"/>
      <c r="AJ840" s="1398"/>
    </row>
    <row r="841" spans="1:36" ht="15" customHeight="1" x14ac:dyDescent="0.3">
      <c r="A841" s="1398"/>
      <c r="B841" s="2155" t="s">
        <v>2544</v>
      </c>
      <c r="C841" s="2151"/>
      <c r="D841" s="2151"/>
      <c r="E841" s="2151"/>
      <c r="F841" s="2151"/>
      <c r="G841" s="2151"/>
      <c r="H841" s="2151"/>
      <c r="I841" s="2151"/>
      <c r="J841" s="2157"/>
      <c r="K841" s="2151"/>
      <c r="L841" s="2157"/>
      <c r="M841" s="2151"/>
      <c r="N841" s="2157"/>
      <c r="O841" s="2157"/>
      <c r="P841" s="2157"/>
      <c r="Q841" s="2157"/>
      <c r="R841" s="1398"/>
      <c r="S841" s="1398"/>
      <c r="T841" s="1398"/>
      <c r="U841" s="1398"/>
      <c r="V841" s="1398"/>
      <c r="W841" s="1398"/>
      <c r="X841" s="1398"/>
      <c r="Y841" s="1398"/>
      <c r="Z841" s="1398"/>
      <c r="AA841" s="1398"/>
      <c r="AB841" s="1398"/>
      <c r="AC841" s="1398"/>
      <c r="AD841" s="1398"/>
      <c r="AE841" s="1398"/>
      <c r="AF841" s="1398"/>
      <c r="AG841" s="1398"/>
      <c r="AH841" s="1398"/>
      <c r="AI841" s="1398"/>
      <c r="AJ841" s="1398"/>
    </row>
    <row r="842" spans="1:36" ht="15" customHeight="1" x14ac:dyDescent="0.3">
      <c r="A842" s="1398"/>
      <c r="B842" s="2165" t="s">
        <v>2543</v>
      </c>
      <c r="C842" s="2151"/>
      <c r="D842" s="2151"/>
      <c r="E842" s="2151"/>
      <c r="F842" s="2151"/>
      <c r="G842" s="2151"/>
      <c r="H842" s="2151"/>
      <c r="I842" s="2151"/>
      <c r="J842" s="2157"/>
      <c r="K842" s="2151"/>
      <c r="L842" s="2157"/>
      <c r="M842" s="2151"/>
      <c r="N842" s="2157"/>
      <c r="O842" s="2157"/>
      <c r="P842" s="2157"/>
      <c r="Q842" s="2157"/>
      <c r="R842" s="1398"/>
      <c r="S842" s="1398"/>
      <c r="T842" s="1398"/>
      <c r="U842" s="1398"/>
      <c r="V842" s="1398"/>
      <c r="W842" s="1398"/>
      <c r="X842" s="1398"/>
      <c r="Y842" s="1398"/>
      <c r="Z842" s="1398"/>
      <c r="AA842" s="1398"/>
      <c r="AB842" s="1398"/>
      <c r="AC842" s="1398"/>
      <c r="AD842" s="1398"/>
      <c r="AE842" s="1398"/>
      <c r="AF842" s="1398"/>
      <c r="AG842" s="1398"/>
      <c r="AH842" s="1398"/>
      <c r="AI842" s="1398"/>
      <c r="AJ842" s="1398"/>
    </row>
    <row r="843" spans="1:36" ht="15" customHeight="1" x14ac:dyDescent="0.3">
      <c r="A843" s="1398"/>
      <c r="B843" s="2163" t="s">
        <v>1760</v>
      </c>
      <c r="C843" s="2151"/>
      <c r="D843" s="2151"/>
      <c r="E843" s="2151"/>
      <c r="F843" s="2151"/>
      <c r="G843" s="2151"/>
      <c r="H843" s="2151"/>
      <c r="I843" s="2151"/>
      <c r="J843" s="2157"/>
      <c r="K843" s="2151"/>
      <c r="L843" s="2157"/>
      <c r="M843" s="2151"/>
      <c r="N843" s="2157"/>
      <c r="O843" s="2157"/>
      <c r="P843" s="2157"/>
      <c r="Q843" s="2157"/>
      <c r="R843" s="1398"/>
      <c r="S843" s="1398"/>
      <c r="T843" s="1398"/>
      <c r="U843" s="1398"/>
      <c r="V843" s="1398"/>
      <c r="W843" s="1398"/>
      <c r="X843" s="1398"/>
      <c r="Y843" s="1398"/>
      <c r="Z843" s="1398"/>
      <c r="AA843" s="1398"/>
      <c r="AB843" s="1398"/>
      <c r="AC843" s="1398"/>
      <c r="AD843" s="1398"/>
      <c r="AE843" s="1398"/>
      <c r="AF843" s="1398"/>
      <c r="AG843" s="1398"/>
      <c r="AH843" s="1398"/>
      <c r="AI843" s="1398"/>
      <c r="AJ843" s="1398"/>
    </row>
    <row r="844" spans="1:36" ht="15" customHeight="1" x14ac:dyDescent="0.3">
      <c r="A844" s="1398"/>
      <c r="B844" s="2162" t="s">
        <v>2543</v>
      </c>
      <c r="C844" s="2151"/>
      <c r="D844" s="2151"/>
      <c r="E844" s="2151"/>
      <c r="F844" s="2151"/>
      <c r="G844" s="2151"/>
      <c r="H844" s="2151"/>
      <c r="I844" s="2151"/>
      <c r="J844" s="2157"/>
      <c r="K844" s="2151"/>
      <c r="L844" s="2157"/>
      <c r="M844" s="2151"/>
      <c r="N844" s="2157"/>
      <c r="O844" s="2157"/>
      <c r="P844" s="2157"/>
      <c r="Q844" s="2157"/>
      <c r="R844" s="1398"/>
      <c r="S844" s="1398"/>
      <c r="T844" s="1398"/>
      <c r="U844" s="1398"/>
      <c r="V844" s="1398"/>
      <c r="W844" s="1398"/>
      <c r="X844" s="1398"/>
      <c r="Y844" s="1398"/>
      <c r="Z844" s="1398"/>
      <c r="AA844" s="1398"/>
      <c r="AB844" s="1398"/>
      <c r="AC844" s="1398"/>
      <c r="AD844" s="1398"/>
      <c r="AE844" s="1398"/>
      <c r="AF844" s="1398"/>
      <c r="AG844" s="1398"/>
      <c r="AH844" s="1398"/>
      <c r="AI844" s="1398"/>
      <c r="AJ844" s="1398"/>
    </row>
    <row r="845" spans="1:36" ht="15" customHeight="1" x14ac:dyDescent="0.3">
      <c r="A845" s="1398"/>
      <c r="B845" s="2178" t="s">
        <v>1941</v>
      </c>
      <c r="C845" s="2151"/>
      <c r="D845" s="2151"/>
      <c r="E845" s="2151"/>
      <c r="F845" s="2151"/>
      <c r="G845" s="2151"/>
      <c r="H845" s="2151"/>
      <c r="I845" s="2151"/>
      <c r="J845" s="2157"/>
      <c r="K845" s="2151"/>
      <c r="L845" s="2157"/>
      <c r="M845" s="2151"/>
      <c r="N845" s="2157"/>
      <c r="O845" s="2157"/>
      <c r="P845" s="2157"/>
      <c r="Q845" s="2157"/>
      <c r="R845" s="1398"/>
      <c r="S845" s="1398"/>
      <c r="T845" s="1398"/>
      <c r="U845" s="1398"/>
      <c r="V845" s="1398"/>
      <c r="W845" s="1398"/>
      <c r="X845" s="1398"/>
      <c r="Y845" s="1398"/>
      <c r="Z845" s="1398"/>
      <c r="AA845" s="1398"/>
      <c r="AB845" s="1398"/>
      <c r="AC845" s="1398"/>
      <c r="AD845" s="1398"/>
      <c r="AE845" s="1398"/>
      <c r="AF845" s="1398"/>
      <c r="AG845" s="1398"/>
      <c r="AH845" s="1398"/>
      <c r="AI845" s="1398"/>
      <c r="AJ845" s="1398"/>
    </row>
    <row r="846" spans="1:36" ht="15" customHeight="1" x14ac:dyDescent="0.35">
      <c r="A846" s="1398"/>
      <c r="B846" s="2178" t="s">
        <v>2542</v>
      </c>
      <c r="C846" s="2159" t="str">
        <f t="shared" ref="C846:I846" si="123">IF(AND(ISNUMBER(C847),ISNUMBER(C848)),C847+C848,"")</f>
        <v/>
      </c>
      <c r="D846" s="2159" t="str">
        <f t="shared" si="123"/>
        <v/>
      </c>
      <c r="E846" s="2159" t="str">
        <f t="shared" si="123"/>
        <v/>
      </c>
      <c r="F846" s="2159" t="str">
        <f t="shared" si="123"/>
        <v/>
      </c>
      <c r="G846" s="2159" t="str">
        <f t="shared" si="123"/>
        <v/>
      </c>
      <c r="H846" s="2159" t="str">
        <f t="shared" si="123"/>
        <v/>
      </c>
      <c r="I846" s="2159" t="str">
        <f t="shared" si="123"/>
        <v/>
      </c>
      <c r="J846" s="2157"/>
      <c r="K846" s="2159" t="str">
        <f>IF(AND(ISNUMBER(K847),ISNUMBER(K848)),K847+K848,"")</f>
        <v/>
      </c>
      <c r="L846" s="2157"/>
      <c r="M846" s="2159" t="str">
        <f>IF(AND(ISNUMBER(M847),ISNUMBER(M848)),M847+M848,"")</f>
        <v/>
      </c>
      <c r="N846" s="2157"/>
      <c r="O846" s="2157"/>
      <c r="P846" s="2157"/>
      <c r="Q846" s="2157"/>
      <c r="R846" s="1398"/>
      <c r="S846" s="1398"/>
      <c r="T846" s="1398"/>
      <c r="U846" s="1398"/>
      <c r="V846" s="1398"/>
      <c r="W846" s="1398"/>
      <c r="X846" s="1398"/>
      <c r="Y846" s="1398"/>
      <c r="Z846" s="1398"/>
      <c r="AA846" s="1398"/>
      <c r="AB846" s="1398"/>
      <c r="AC846" s="1398"/>
      <c r="AD846" s="1398"/>
      <c r="AE846" s="1398"/>
      <c r="AF846" s="1398"/>
      <c r="AG846" s="1398"/>
      <c r="AH846" s="1398"/>
      <c r="AI846" s="1398"/>
      <c r="AJ846" s="1398"/>
    </row>
    <row r="847" spans="1:36" ht="15" customHeight="1" x14ac:dyDescent="0.3">
      <c r="A847" s="1398"/>
      <c r="B847" s="2161" t="s">
        <v>2541</v>
      </c>
      <c r="C847" s="2151"/>
      <c r="D847" s="2151"/>
      <c r="E847" s="2151"/>
      <c r="F847" s="2151"/>
      <c r="G847" s="2151"/>
      <c r="H847" s="2151"/>
      <c r="I847" s="2151"/>
      <c r="J847" s="2157"/>
      <c r="K847" s="2151"/>
      <c r="L847" s="2157"/>
      <c r="M847" s="2151"/>
      <c r="N847" s="2157"/>
      <c r="O847" s="2157"/>
      <c r="P847" s="2157"/>
      <c r="Q847" s="2157"/>
      <c r="R847" s="1398"/>
      <c r="S847" s="1398"/>
      <c r="T847" s="1398"/>
      <c r="U847" s="1398"/>
      <c r="V847" s="1398"/>
      <c r="W847" s="1398"/>
      <c r="X847" s="1398"/>
      <c r="Y847" s="1398"/>
      <c r="Z847" s="1398"/>
      <c r="AA847" s="1398"/>
      <c r="AB847" s="1398"/>
      <c r="AC847" s="1398"/>
      <c r="AD847" s="1398"/>
      <c r="AE847" s="1398"/>
      <c r="AF847" s="1398"/>
      <c r="AG847" s="1398"/>
      <c r="AH847" s="1398"/>
      <c r="AI847" s="1398"/>
      <c r="AJ847" s="1398"/>
    </row>
    <row r="848" spans="1:36" ht="15" customHeight="1" x14ac:dyDescent="0.3">
      <c r="A848" s="1398"/>
      <c r="B848" s="2177" t="s">
        <v>1760</v>
      </c>
      <c r="C848" s="2151"/>
      <c r="D848" s="2151"/>
      <c r="E848" s="2151"/>
      <c r="F848" s="2151"/>
      <c r="G848" s="2151"/>
      <c r="H848" s="2151"/>
      <c r="I848" s="2151"/>
      <c r="J848" s="2157"/>
      <c r="K848" s="2151"/>
      <c r="L848" s="2157"/>
      <c r="M848" s="2151"/>
      <c r="N848" s="2157"/>
      <c r="O848" s="2157"/>
      <c r="P848" s="2157"/>
      <c r="Q848" s="2157"/>
      <c r="R848" s="1398"/>
      <c r="S848" s="1398"/>
      <c r="T848" s="1398"/>
      <c r="U848" s="1398"/>
      <c r="V848" s="1398"/>
      <c r="W848" s="1398"/>
      <c r="X848" s="1398"/>
      <c r="Y848" s="1398"/>
      <c r="Z848" s="1398"/>
      <c r="AA848" s="1398"/>
      <c r="AB848" s="1398"/>
      <c r="AC848" s="1398"/>
      <c r="AD848" s="1398"/>
      <c r="AE848" s="1398"/>
      <c r="AF848" s="1398"/>
      <c r="AG848" s="1398"/>
      <c r="AH848" s="1398"/>
      <c r="AI848" s="1398"/>
      <c r="AJ848" s="1398"/>
    </row>
    <row r="849" spans="1:36" ht="15" customHeight="1" x14ac:dyDescent="0.35">
      <c r="A849" s="1398"/>
      <c r="B849" s="2178" t="s">
        <v>2540</v>
      </c>
      <c r="C849" s="2159" t="str">
        <f t="shared" ref="C849:I849" si="124">IF(AND(ISNUMBER(C850),ISNUMBER(C851)),C850+C851,"")</f>
        <v/>
      </c>
      <c r="D849" s="2159" t="str">
        <f t="shared" si="124"/>
        <v/>
      </c>
      <c r="E849" s="2159" t="str">
        <f t="shared" si="124"/>
        <v/>
      </c>
      <c r="F849" s="2159" t="str">
        <f t="shared" si="124"/>
        <v/>
      </c>
      <c r="G849" s="2159" t="str">
        <f t="shared" si="124"/>
        <v/>
      </c>
      <c r="H849" s="2159" t="str">
        <f t="shared" si="124"/>
        <v/>
      </c>
      <c r="I849" s="2159" t="str">
        <f t="shared" si="124"/>
        <v/>
      </c>
      <c r="J849" s="2157"/>
      <c r="K849" s="2159" t="str">
        <f>IF(AND(ISNUMBER(K850),ISNUMBER(K851)),K850+K851,"")</f>
        <v/>
      </c>
      <c r="L849" s="2157"/>
      <c r="M849" s="2159" t="str">
        <f>IF(AND(ISNUMBER(M850),ISNUMBER(M851)),M850+M851,"")</f>
        <v/>
      </c>
      <c r="N849" s="2157"/>
      <c r="O849" s="2157"/>
      <c r="P849" s="2157"/>
      <c r="Q849" s="2157"/>
      <c r="R849" s="1398"/>
      <c r="S849" s="1398"/>
      <c r="T849" s="1398"/>
      <c r="U849" s="1398"/>
      <c r="V849" s="1398"/>
      <c r="W849" s="1398"/>
      <c r="X849" s="1398"/>
      <c r="Y849" s="1398"/>
      <c r="Z849" s="1398"/>
      <c r="AA849" s="1398"/>
      <c r="AB849" s="1398"/>
      <c r="AC849" s="1398"/>
      <c r="AD849" s="1398"/>
      <c r="AE849" s="1398"/>
      <c r="AF849" s="1398"/>
      <c r="AG849" s="1398"/>
      <c r="AH849" s="1398"/>
      <c r="AI849" s="1398"/>
      <c r="AJ849" s="1398"/>
    </row>
    <row r="850" spans="1:36" ht="15" customHeight="1" x14ac:dyDescent="0.3">
      <c r="A850" s="1398"/>
      <c r="B850" s="2177" t="s">
        <v>2539</v>
      </c>
      <c r="C850" s="2151"/>
      <c r="D850" s="2151"/>
      <c r="E850" s="2151"/>
      <c r="F850" s="2151"/>
      <c r="G850" s="2151"/>
      <c r="H850" s="2151"/>
      <c r="I850" s="2151"/>
      <c r="J850" s="2157"/>
      <c r="K850" s="2151"/>
      <c r="L850" s="2157"/>
      <c r="M850" s="2151"/>
      <c r="N850" s="2157"/>
      <c r="O850" s="2157"/>
      <c r="P850" s="2157"/>
      <c r="Q850" s="2157"/>
      <c r="R850" s="1398"/>
      <c r="S850" s="1398"/>
      <c r="T850" s="1398"/>
      <c r="U850" s="1398"/>
      <c r="V850" s="1398"/>
      <c r="W850" s="1398"/>
      <c r="X850" s="1398"/>
      <c r="Y850" s="1398"/>
      <c r="Z850" s="1398"/>
      <c r="AA850" s="1398"/>
      <c r="AB850" s="1398"/>
      <c r="AC850" s="1398"/>
      <c r="AD850" s="1398"/>
      <c r="AE850" s="1398"/>
      <c r="AF850" s="1398"/>
      <c r="AG850" s="1398"/>
      <c r="AH850" s="1398"/>
      <c r="AI850" s="1398"/>
      <c r="AJ850" s="1398"/>
    </row>
    <row r="851" spans="1:36" ht="15" customHeight="1" x14ac:dyDescent="0.3">
      <c r="A851" s="1398"/>
      <c r="B851" s="2177" t="s">
        <v>1760</v>
      </c>
      <c r="C851" s="2151"/>
      <c r="D851" s="2151"/>
      <c r="E851" s="2151"/>
      <c r="F851" s="2151"/>
      <c r="G851" s="2151"/>
      <c r="H851" s="2151"/>
      <c r="I851" s="2151"/>
      <c r="J851" s="2157"/>
      <c r="K851" s="2151"/>
      <c r="L851" s="2157"/>
      <c r="M851" s="2151"/>
      <c r="N851" s="2157"/>
      <c r="O851" s="2157"/>
      <c r="P851" s="2157"/>
      <c r="Q851" s="2157"/>
      <c r="R851" s="1398"/>
      <c r="S851" s="1398"/>
      <c r="T851" s="1398"/>
      <c r="U851" s="1398"/>
      <c r="V851" s="1398"/>
      <c r="W851" s="1398"/>
      <c r="X851" s="1398"/>
      <c r="Y851" s="1398"/>
      <c r="Z851" s="1398"/>
      <c r="AA851" s="1398"/>
      <c r="AB851" s="1398"/>
      <c r="AC851" s="1398"/>
      <c r="AD851" s="1398"/>
      <c r="AE851" s="1398"/>
      <c r="AF851" s="1398"/>
      <c r="AG851" s="1398"/>
      <c r="AH851" s="1398"/>
      <c r="AI851" s="1398"/>
      <c r="AJ851" s="1398"/>
    </row>
    <row r="852" spans="1:36" ht="15" customHeight="1" x14ac:dyDescent="0.35">
      <c r="A852" s="1398"/>
      <c r="B852" s="569" t="s">
        <v>59</v>
      </c>
      <c r="C852" s="2156">
        <f t="shared" ref="C852:Q852" si="125">IF(AND(ISNUMBER(C854),ISNUMBER(C853)),SUM(C853:C854),0)</f>
        <v>0</v>
      </c>
      <c r="D852" s="2156">
        <f t="shared" si="125"/>
        <v>0</v>
      </c>
      <c r="E852" s="2156">
        <f t="shared" si="125"/>
        <v>0</v>
      </c>
      <c r="F852" s="2156">
        <f t="shared" si="125"/>
        <v>0</v>
      </c>
      <c r="G852" s="2156">
        <f t="shared" si="125"/>
        <v>0</v>
      </c>
      <c r="H852" s="2156">
        <f t="shared" si="125"/>
        <v>0</v>
      </c>
      <c r="I852" s="2156">
        <f t="shared" si="125"/>
        <v>0</v>
      </c>
      <c r="J852" s="2156">
        <f t="shared" si="125"/>
        <v>0</v>
      </c>
      <c r="K852" s="2156">
        <f t="shared" si="125"/>
        <v>0</v>
      </c>
      <c r="L852" s="2156">
        <f t="shared" si="125"/>
        <v>0</v>
      </c>
      <c r="M852" s="2156">
        <f t="shared" si="125"/>
        <v>0</v>
      </c>
      <c r="N852" s="2156">
        <f t="shared" si="125"/>
        <v>0</v>
      </c>
      <c r="O852" s="2156">
        <f t="shared" si="125"/>
        <v>0</v>
      </c>
      <c r="P852" s="2156">
        <f t="shared" si="125"/>
        <v>0</v>
      </c>
      <c r="Q852" s="2156">
        <f t="shared" si="125"/>
        <v>0</v>
      </c>
      <c r="R852" s="1398"/>
      <c r="S852" s="1398"/>
      <c r="T852" s="1398"/>
      <c r="U852" s="1398"/>
      <c r="V852" s="1398"/>
      <c r="W852" s="1398"/>
      <c r="X852" s="1398"/>
      <c r="Y852" s="1398"/>
      <c r="Z852" s="1398"/>
      <c r="AA852" s="1398"/>
      <c r="AB852" s="1398"/>
      <c r="AC852" s="1398"/>
      <c r="AD852" s="1398"/>
      <c r="AE852" s="1398"/>
    </row>
    <row r="853" spans="1:36" ht="15" customHeight="1" x14ac:dyDescent="0.3">
      <c r="A853" s="1398"/>
      <c r="B853" s="2155" t="s">
        <v>2538</v>
      </c>
      <c r="C853" s="2151"/>
      <c r="D853" s="2151"/>
      <c r="E853" s="2151"/>
      <c r="F853" s="2151"/>
      <c r="G853" s="2151"/>
      <c r="H853" s="2151"/>
      <c r="I853" s="23"/>
      <c r="J853" s="2151"/>
      <c r="K853" s="2151"/>
      <c r="L853" s="2151"/>
      <c r="M853" s="2151"/>
      <c r="N853" s="2151"/>
      <c r="O853" s="2151"/>
      <c r="P853" s="2151"/>
      <c r="Q853" s="2151"/>
      <c r="R853" s="1398"/>
      <c r="S853" s="1398"/>
      <c r="T853" s="1398"/>
      <c r="U853" s="1398"/>
      <c r="V853" s="1398"/>
      <c r="W853" s="1398"/>
      <c r="X853" s="1398"/>
      <c r="Y853" s="1398"/>
      <c r="Z853" s="1398"/>
      <c r="AA853" s="1398"/>
      <c r="AB853" s="1398"/>
      <c r="AC853" s="1398"/>
      <c r="AD853" s="1398"/>
      <c r="AE853" s="1398"/>
    </row>
    <row r="854" spans="1:36" ht="15" customHeight="1" x14ac:dyDescent="0.3">
      <c r="A854" s="1398"/>
      <c r="B854" s="2155" t="s">
        <v>2537</v>
      </c>
      <c r="C854" s="2151"/>
      <c r="D854" s="2151"/>
      <c r="E854" s="2151"/>
      <c r="F854" s="2151"/>
      <c r="G854" s="2151"/>
      <c r="H854" s="2151"/>
      <c r="I854" s="23"/>
      <c r="J854" s="2151"/>
      <c r="K854" s="2151"/>
      <c r="L854" s="2151"/>
      <c r="M854" s="2151"/>
      <c r="N854" s="2151"/>
      <c r="O854" s="2151"/>
      <c r="P854" s="2151"/>
      <c r="Q854" s="2151"/>
      <c r="R854" s="1398"/>
      <c r="S854" s="1398"/>
      <c r="T854" s="1398"/>
      <c r="U854" s="1398"/>
      <c r="V854" s="1398"/>
      <c r="W854" s="1398"/>
      <c r="X854" s="1398"/>
      <c r="Y854" s="1398"/>
      <c r="Z854" s="1398"/>
      <c r="AA854" s="1398"/>
      <c r="AB854" s="1398"/>
      <c r="AC854" s="1398"/>
      <c r="AD854" s="1398"/>
      <c r="AE854" s="1398"/>
    </row>
    <row r="855" spans="1:36" ht="15" customHeight="1" x14ac:dyDescent="0.3">
      <c r="A855" s="1398"/>
      <c r="B855" s="2154" t="str">
        <f>"Check: row " &amp; ROW(B852) &amp;" = sum(row " &amp; ROW(B853) &amp; ", row "&amp; ROW(B854)&amp;")"</f>
        <v>Check: row 852 = sum(row 853, row 854)</v>
      </c>
      <c r="C855" s="2153" t="str">
        <f t="shared" ref="C855:Q855" si="126">IF(AND(ISNUMBER(C853), ISNUMBER(C854)), IF(C852=SUM(C853:C854), "Pass", "Fail"), "")</f>
        <v/>
      </c>
      <c r="D855" s="2153" t="str">
        <f t="shared" si="126"/>
        <v/>
      </c>
      <c r="E855" s="2153" t="str">
        <f t="shared" si="126"/>
        <v/>
      </c>
      <c r="F855" s="2153" t="str">
        <f t="shared" si="126"/>
        <v/>
      </c>
      <c r="G855" s="2153" t="str">
        <f t="shared" si="126"/>
        <v/>
      </c>
      <c r="H855" s="2153" t="str">
        <f t="shared" si="126"/>
        <v/>
      </c>
      <c r="I855" s="2153" t="str">
        <f t="shared" si="126"/>
        <v/>
      </c>
      <c r="J855" s="2153" t="str">
        <f t="shared" si="126"/>
        <v/>
      </c>
      <c r="K855" s="2153" t="str">
        <f t="shared" si="126"/>
        <v/>
      </c>
      <c r="L855" s="2153" t="str">
        <f t="shared" si="126"/>
        <v/>
      </c>
      <c r="M855" s="2153" t="str">
        <f t="shared" si="126"/>
        <v/>
      </c>
      <c r="N855" s="2153" t="str">
        <f t="shared" si="126"/>
        <v/>
      </c>
      <c r="O855" s="2153" t="str">
        <f t="shared" si="126"/>
        <v/>
      </c>
      <c r="P855" s="2153" t="str">
        <f t="shared" si="126"/>
        <v/>
      </c>
      <c r="Q855" s="2153" t="str">
        <f t="shared" si="126"/>
        <v/>
      </c>
      <c r="R855" s="1398"/>
      <c r="S855" s="1398"/>
      <c r="T855" s="1398"/>
      <c r="U855" s="1398"/>
      <c r="V855" s="1398"/>
      <c r="W855" s="1398"/>
      <c r="X855" s="1398"/>
      <c r="Y855" s="1398"/>
      <c r="Z855" s="1398"/>
      <c r="AA855" s="1398"/>
      <c r="AB855" s="1398"/>
      <c r="AC855" s="1398"/>
      <c r="AD855" s="1398"/>
      <c r="AE855" s="1398"/>
    </row>
    <row r="856" spans="1:36" ht="15" customHeight="1" x14ac:dyDescent="0.3">
      <c r="A856" s="1398"/>
      <c r="B856" s="2152" t="s">
        <v>2536</v>
      </c>
      <c r="C856" s="2151"/>
      <c r="D856" s="1398"/>
      <c r="E856" s="1398"/>
      <c r="F856" s="1398"/>
      <c r="G856" s="1398"/>
      <c r="H856" s="1398"/>
      <c r="I856" s="1398"/>
      <c r="J856" s="1398"/>
      <c r="K856" s="1398"/>
      <c r="L856" s="1398"/>
      <c r="M856" s="1398"/>
      <c r="N856" s="1398"/>
      <c r="O856" s="1398"/>
      <c r="P856" s="1398"/>
      <c r="Q856" s="1398"/>
      <c r="R856" s="1398"/>
      <c r="S856" s="1398"/>
      <c r="T856" s="1398"/>
      <c r="U856" s="1398"/>
      <c r="V856" s="1398"/>
      <c r="W856" s="1398"/>
      <c r="X856" s="1398"/>
      <c r="Y856" s="1398"/>
      <c r="Z856" s="1398"/>
      <c r="AA856" s="1398"/>
      <c r="AB856" s="1398"/>
      <c r="AC856" s="1398"/>
      <c r="AD856" s="1398"/>
      <c r="AE856" s="1398"/>
    </row>
    <row r="857" spans="1:36" ht="15" customHeight="1" x14ac:dyDescent="0.3">
      <c r="A857" s="1398"/>
      <c r="B857" s="2150" t="s">
        <v>2535</v>
      </c>
      <c r="C857" s="2149"/>
      <c r="D857" s="1398"/>
      <c r="E857" s="1398"/>
      <c r="F857" s="1398"/>
      <c r="G857" s="1398"/>
      <c r="H857" s="1398"/>
      <c r="I857" s="1398"/>
      <c r="J857" s="1398"/>
      <c r="K857" s="1398"/>
      <c r="L857" s="1398"/>
      <c r="M857" s="1398"/>
      <c r="N857" s="1398"/>
      <c r="O857" s="1398"/>
      <c r="P857" s="1398"/>
      <c r="Q857" s="1398"/>
      <c r="R857" s="1398"/>
      <c r="S857" s="1398"/>
      <c r="T857" s="1398"/>
      <c r="U857" s="1398"/>
      <c r="V857" s="1398"/>
      <c r="W857" s="1398"/>
      <c r="X857" s="1398"/>
      <c r="Y857" s="1398"/>
      <c r="Z857" s="1398"/>
      <c r="AA857" s="1398"/>
      <c r="AB857" s="1398"/>
      <c r="AC857" s="1398"/>
      <c r="AD857" s="1398"/>
      <c r="AE857" s="1398"/>
    </row>
    <row r="858" spans="1:36" x14ac:dyDescent="0.35"/>
    <row r="859" spans="1:36" ht="15" customHeight="1" x14ac:dyDescent="0.3">
      <c r="A859" s="2176" t="s">
        <v>2569</v>
      </c>
      <c r="B859" s="2175"/>
      <c r="C859" s="2174" t="s">
        <v>2566</v>
      </c>
      <c r="D859" s="2173" t="str">
        <f>IF(ISBLANK($X$7),"",IF($X$7="No","Please leave Panel B"&amp;COLUMN($X$7)-2&amp;" empty","Please fill in Panel B"&amp;COLUMN($X$7)-2))</f>
        <v/>
      </c>
      <c r="E859" s="1398"/>
      <c r="F859" s="1398"/>
      <c r="G859" s="1398"/>
      <c r="H859" s="1398"/>
      <c r="I859" s="1398"/>
      <c r="J859" s="1398"/>
      <c r="K859" s="1398"/>
      <c r="L859" s="1398"/>
      <c r="M859" s="1398"/>
      <c r="N859" s="1398"/>
      <c r="O859" s="1398"/>
      <c r="P859" s="1398"/>
      <c r="Q859" s="1398"/>
      <c r="R859" s="1398"/>
      <c r="S859" s="1398"/>
      <c r="T859" s="1398"/>
      <c r="U859" s="1398"/>
      <c r="V859" s="1398"/>
      <c r="W859" s="1398"/>
      <c r="X859" s="1398"/>
      <c r="Y859" s="1398"/>
      <c r="Z859" s="1398"/>
      <c r="AA859" s="1398"/>
      <c r="AB859" s="1398"/>
      <c r="AC859" s="1398"/>
      <c r="AD859" s="1398"/>
      <c r="AE859" s="1398"/>
      <c r="AF859" s="1398"/>
      <c r="AG859" s="1398"/>
      <c r="AH859" s="1398"/>
      <c r="AI859" s="1398"/>
      <c r="AJ859" s="1398"/>
    </row>
    <row r="860" spans="1:36" ht="15" customHeight="1" x14ac:dyDescent="0.35">
      <c r="A860" s="1398"/>
      <c r="C860" s="2980" t="s">
        <v>207</v>
      </c>
      <c r="D860" s="2980"/>
      <c r="E860" s="2980"/>
      <c r="F860" s="2980"/>
      <c r="G860" s="2980"/>
      <c r="H860" s="2980"/>
      <c r="I860" s="2980"/>
      <c r="J860" s="2980"/>
      <c r="K860" s="2980"/>
      <c r="L860" s="2981"/>
      <c r="M860" s="2982" t="s">
        <v>2559</v>
      </c>
      <c r="N860" s="2984" t="s">
        <v>2565</v>
      </c>
      <c r="O860" s="2985"/>
      <c r="P860" s="2985"/>
      <c r="Q860" s="2985"/>
      <c r="R860" s="1398"/>
      <c r="S860" s="1398"/>
      <c r="T860" s="1398"/>
      <c r="U860" s="1398"/>
      <c r="V860" s="1398"/>
      <c r="W860" s="1398"/>
      <c r="X860" s="1398"/>
      <c r="Y860" s="1398"/>
      <c r="Z860" s="1398"/>
      <c r="AA860" s="1398"/>
      <c r="AB860" s="1398"/>
      <c r="AC860" s="1398"/>
      <c r="AD860" s="1398"/>
      <c r="AE860" s="1398"/>
      <c r="AF860" s="1398"/>
      <c r="AG860" s="1398"/>
      <c r="AH860" s="1398"/>
      <c r="AI860" s="1398"/>
      <c r="AJ860" s="1398"/>
    </row>
    <row r="861" spans="1:36" ht="15" customHeight="1" x14ac:dyDescent="0.35">
      <c r="A861" s="1398"/>
      <c r="B861" s="2172"/>
      <c r="C861" s="2967" t="s">
        <v>2564</v>
      </c>
      <c r="D861" s="2973" t="s">
        <v>465</v>
      </c>
      <c r="E861" s="2974"/>
      <c r="F861" s="2974"/>
      <c r="G861" s="2974"/>
      <c r="H861" s="2975"/>
      <c r="I861" s="2969" t="s">
        <v>2563</v>
      </c>
      <c r="J861" s="2969" t="s">
        <v>2562</v>
      </c>
      <c r="K861" s="2969" t="s">
        <v>2561</v>
      </c>
      <c r="L861" s="2969" t="s">
        <v>2560</v>
      </c>
      <c r="M861" s="2983"/>
      <c r="N861" s="2978" t="s">
        <v>207</v>
      </c>
      <c r="O861" s="2978" t="s">
        <v>2559</v>
      </c>
      <c r="P861" s="2969" t="s">
        <v>59</v>
      </c>
      <c r="Q861" s="2971" t="s">
        <v>2558</v>
      </c>
      <c r="R861" s="1398"/>
      <c r="S861" s="1398"/>
      <c r="T861" s="1398"/>
      <c r="U861" s="1398"/>
      <c r="V861" s="1398"/>
      <c r="W861" s="1398"/>
      <c r="X861" s="1398"/>
      <c r="Y861" s="1398"/>
      <c r="Z861" s="1398"/>
      <c r="AA861" s="1398"/>
      <c r="AB861" s="1398"/>
      <c r="AC861" s="1398"/>
      <c r="AD861" s="1398"/>
      <c r="AE861" s="1398"/>
      <c r="AF861" s="1398"/>
      <c r="AG861" s="1398"/>
      <c r="AH861" s="1398"/>
      <c r="AI861" s="1398"/>
      <c r="AJ861" s="1398"/>
    </row>
    <row r="862" spans="1:36" ht="15" customHeight="1" x14ac:dyDescent="0.35">
      <c r="A862" s="1398"/>
      <c r="B862" s="2171"/>
      <c r="C862" s="2968"/>
      <c r="D862" s="2170" t="s">
        <v>2557</v>
      </c>
      <c r="E862" s="2170" t="s">
        <v>2556</v>
      </c>
      <c r="F862" s="2170" t="s">
        <v>2555</v>
      </c>
      <c r="G862" s="2170" t="s">
        <v>2554</v>
      </c>
      <c r="H862" s="2170" t="s">
        <v>59</v>
      </c>
      <c r="I862" s="2970"/>
      <c r="J862" s="2970"/>
      <c r="K862" s="2970"/>
      <c r="L862" s="2970"/>
      <c r="M862" s="2970"/>
      <c r="N862" s="2979"/>
      <c r="O862" s="2979"/>
      <c r="P862" s="2970"/>
      <c r="Q862" s="2972"/>
      <c r="R862" s="1398"/>
      <c r="S862" s="1398"/>
      <c r="T862" s="1398"/>
      <c r="U862" s="1398"/>
      <c r="V862" s="1398"/>
      <c r="W862" s="1398"/>
      <c r="X862" s="1398"/>
      <c r="Y862" s="1398"/>
      <c r="Z862" s="1398"/>
      <c r="AA862" s="1398"/>
      <c r="AB862" s="1398"/>
      <c r="AC862" s="1398"/>
      <c r="AD862" s="1398"/>
      <c r="AE862" s="1398"/>
      <c r="AF862" s="1398"/>
      <c r="AG862" s="1398"/>
      <c r="AH862" s="1398"/>
      <c r="AI862" s="1398"/>
      <c r="AJ862" s="1398"/>
    </row>
    <row r="863" spans="1:36" ht="15" customHeight="1" x14ac:dyDescent="0.35">
      <c r="A863" s="1398"/>
      <c r="B863" s="2169" t="s">
        <v>2553</v>
      </c>
      <c r="C863" s="2168" t="str">
        <f t="shared" ref="C863:I863" si="127">IF(AND(ISNUMBER(C876),ISNUMBER(C872),ISNUMBER(C874),ISNUMBER(C864),ISNUMBER(C868),ISNUMBER(C866),ISNUMBER(C870),ISNUMBER(C878)),SUM(C864,C866,C868,C870,C872,C874,C876,C878),"")</f>
        <v/>
      </c>
      <c r="D863" s="2168" t="str">
        <f t="shared" si="127"/>
        <v/>
      </c>
      <c r="E863" s="2168" t="str">
        <f t="shared" si="127"/>
        <v/>
      </c>
      <c r="F863" s="2168" t="str">
        <f t="shared" si="127"/>
        <v/>
      </c>
      <c r="G863" s="2168" t="str">
        <f t="shared" si="127"/>
        <v/>
      </c>
      <c r="H863" s="2168" t="str">
        <f t="shared" si="127"/>
        <v/>
      </c>
      <c r="I863" s="2168" t="str">
        <f t="shared" si="127"/>
        <v/>
      </c>
      <c r="J863" s="2157"/>
      <c r="K863" s="2168" t="str">
        <f>IF(AND(ISNUMBER(K876),ISNUMBER(K872),ISNUMBER(K874),ISNUMBER(K864),ISNUMBER(K868),ISNUMBER(K866),ISNUMBER(K870),ISNUMBER(K878)),SUM(K864,K866,K868,K870,K872,K874,K876,K878),"")</f>
        <v/>
      </c>
      <c r="L863" s="2157"/>
      <c r="M863" s="2168" t="str">
        <f>IF(AND(ISNUMBER(M876),ISNUMBER(M872),ISNUMBER(M874),ISNUMBER(M864),ISNUMBER(M868),ISNUMBER(M866),ISNUMBER(M870),ISNUMBER(M878)),SUM(M864,M866,M868,M870,M872,M874,M876,M878),"")</f>
        <v/>
      </c>
      <c r="N863" s="2167"/>
      <c r="O863" s="2167"/>
      <c r="P863" s="2167"/>
      <c r="Q863" s="2167"/>
      <c r="R863" s="1398"/>
      <c r="S863" s="1398"/>
      <c r="T863" s="1398"/>
      <c r="U863" s="1398"/>
      <c r="V863" s="1398"/>
      <c r="W863" s="1398"/>
      <c r="X863" s="1398"/>
      <c r="Y863" s="1398"/>
      <c r="Z863" s="1398"/>
      <c r="AA863" s="1398"/>
      <c r="AB863" s="1398"/>
      <c r="AC863" s="1398"/>
      <c r="AD863" s="1398"/>
      <c r="AE863" s="1398"/>
      <c r="AF863" s="1398"/>
      <c r="AG863" s="1398"/>
      <c r="AH863" s="1398"/>
      <c r="AI863" s="1398"/>
      <c r="AJ863" s="1398"/>
    </row>
    <row r="864" spans="1:36" ht="15" customHeight="1" x14ac:dyDescent="0.3">
      <c r="A864" s="1398"/>
      <c r="B864" s="2155" t="s">
        <v>2552</v>
      </c>
      <c r="C864" s="2151"/>
      <c r="D864" s="2151"/>
      <c r="E864" s="2151"/>
      <c r="F864" s="2151"/>
      <c r="G864" s="2151"/>
      <c r="H864" s="2151"/>
      <c r="I864" s="2151"/>
      <c r="J864" s="2157"/>
      <c r="K864" s="23"/>
      <c r="L864" s="2157"/>
      <c r="M864" s="2151"/>
      <c r="N864" s="2157"/>
      <c r="O864" s="2157"/>
      <c r="P864" s="2157"/>
      <c r="Q864" s="2157"/>
      <c r="R864" s="1398"/>
      <c r="S864" s="1398"/>
      <c r="T864" s="1398"/>
      <c r="U864" s="1398"/>
      <c r="V864" s="1398"/>
      <c r="W864" s="1398"/>
      <c r="X864" s="1398"/>
      <c r="Y864" s="1398"/>
      <c r="Z864" s="1398"/>
      <c r="AA864" s="1398"/>
      <c r="AB864" s="1398"/>
      <c r="AC864" s="1398"/>
      <c r="AD864" s="1398"/>
      <c r="AE864" s="1398"/>
      <c r="AF864" s="1398"/>
      <c r="AG864" s="1398"/>
      <c r="AH864" s="1398"/>
      <c r="AI864" s="1398"/>
      <c r="AJ864" s="1398"/>
    </row>
    <row r="865" spans="1:36" ht="15" customHeight="1" x14ac:dyDescent="0.3">
      <c r="A865" s="1398"/>
      <c r="B865" s="2165" t="s">
        <v>2543</v>
      </c>
      <c r="C865" s="2151"/>
      <c r="D865" s="2151"/>
      <c r="E865" s="2151"/>
      <c r="F865" s="2151"/>
      <c r="G865" s="2151"/>
      <c r="H865" s="2151"/>
      <c r="I865" s="2151"/>
      <c r="J865" s="2157"/>
      <c r="K865" s="23"/>
      <c r="L865" s="2157"/>
      <c r="M865" s="2151"/>
      <c r="N865" s="2157"/>
      <c r="O865" s="2157"/>
      <c r="P865" s="2157"/>
      <c r="Q865" s="2157"/>
      <c r="R865" s="1398"/>
      <c r="S865" s="1398"/>
      <c r="T865" s="1398"/>
      <c r="U865" s="1398"/>
      <c r="V865" s="1398"/>
      <c r="W865" s="1398"/>
      <c r="X865" s="1398"/>
      <c r="Y865" s="1398"/>
      <c r="Z865" s="1398"/>
      <c r="AA865" s="1398"/>
      <c r="AB865" s="1398"/>
      <c r="AC865" s="1398"/>
      <c r="AD865" s="1398"/>
      <c r="AE865" s="1398"/>
      <c r="AF865" s="1398"/>
      <c r="AG865" s="1398"/>
      <c r="AH865" s="1398"/>
      <c r="AI865" s="1398"/>
      <c r="AJ865" s="1398"/>
    </row>
    <row r="866" spans="1:36" ht="15" customHeight="1" x14ac:dyDescent="0.3">
      <c r="A866" s="1398"/>
      <c r="B866" s="2155" t="s">
        <v>2551</v>
      </c>
      <c r="C866" s="2151"/>
      <c r="D866" s="2151"/>
      <c r="E866" s="2151"/>
      <c r="F866" s="2151"/>
      <c r="G866" s="2151"/>
      <c r="H866" s="2151"/>
      <c r="I866" s="2151"/>
      <c r="J866" s="2157"/>
      <c r="K866" s="23"/>
      <c r="L866" s="2157"/>
      <c r="M866" s="2151"/>
      <c r="N866" s="2157"/>
      <c r="O866" s="2157"/>
      <c r="P866" s="2157"/>
      <c r="Q866" s="2157"/>
      <c r="R866" s="1398"/>
      <c r="S866" s="1398"/>
      <c r="T866" s="1398"/>
      <c r="U866" s="1398"/>
      <c r="V866" s="1398"/>
      <c r="W866" s="1398"/>
      <c r="X866" s="1398"/>
      <c r="Y866" s="1398"/>
      <c r="Z866" s="1398"/>
      <c r="AA866" s="1398"/>
      <c r="AB866" s="1398"/>
      <c r="AC866" s="1398"/>
      <c r="AD866" s="1398"/>
      <c r="AE866" s="1398"/>
      <c r="AF866" s="1398"/>
      <c r="AG866" s="1398"/>
      <c r="AH866" s="1398"/>
      <c r="AI866" s="1398"/>
      <c r="AJ866" s="1398"/>
    </row>
    <row r="867" spans="1:36" ht="15" customHeight="1" x14ac:dyDescent="0.3">
      <c r="A867" s="1398"/>
      <c r="B867" s="2165" t="s">
        <v>2543</v>
      </c>
      <c r="C867" s="2151"/>
      <c r="D867" s="2151"/>
      <c r="E867" s="2151"/>
      <c r="F867" s="2151"/>
      <c r="G867" s="2151"/>
      <c r="H867" s="2151"/>
      <c r="I867" s="2151"/>
      <c r="J867" s="2157"/>
      <c r="K867" s="23"/>
      <c r="L867" s="2157"/>
      <c r="M867" s="2151"/>
      <c r="N867" s="2157"/>
      <c r="O867" s="2157"/>
      <c r="P867" s="2157"/>
      <c r="Q867" s="2157"/>
      <c r="R867" s="1398"/>
      <c r="S867" s="1398"/>
      <c r="T867" s="1398"/>
      <c r="U867" s="1398"/>
      <c r="V867" s="1398"/>
      <c r="W867" s="1398"/>
      <c r="X867" s="1398"/>
      <c r="Y867" s="1398"/>
      <c r="Z867" s="1398"/>
      <c r="AA867" s="1398"/>
      <c r="AB867" s="1398"/>
      <c r="AC867" s="1398"/>
      <c r="AD867" s="1398"/>
      <c r="AE867" s="1398"/>
      <c r="AF867" s="1398"/>
      <c r="AG867" s="1398"/>
      <c r="AH867" s="1398"/>
      <c r="AI867" s="1398"/>
      <c r="AJ867" s="1398"/>
    </row>
    <row r="868" spans="1:36" ht="15" customHeight="1" x14ac:dyDescent="0.3">
      <c r="A868" s="1398"/>
      <c r="B868" s="2155" t="s">
        <v>2550</v>
      </c>
      <c r="C868" s="2151"/>
      <c r="D868" s="2151"/>
      <c r="E868" s="2151"/>
      <c r="F868" s="2151"/>
      <c r="G868" s="2151"/>
      <c r="H868" s="2151"/>
      <c r="I868" s="2151"/>
      <c r="J868" s="2157"/>
      <c r="K868" s="23"/>
      <c r="L868" s="2157"/>
      <c r="M868" s="2151"/>
      <c r="N868" s="2157"/>
      <c r="O868" s="2157"/>
      <c r="P868" s="2157"/>
      <c r="Q868" s="2157"/>
      <c r="R868" s="1398"/>
      <c r="S868" s="1398"/>
      <c r="T868" s="1398"/>
      <c r="U868" s="1398"/>
      <c r="V868" s="1398"/>
      <c r="W868" s="1398"/>
      <c r="X868" s="1398"/>
      <c r="Y868" s="1398"/>
      <c r="Z868" s="1398"/>
      <c r="AA868" s="1398"/>
      <c r="AB868" s="1398"/>
      <c r="AC868" s="1398"/>
      <c r="AD868" s="1398"/>
      <c r="AE868" s="1398"/>
      <c r="AF868" s="1398"/>
      <c r="AG868" s="1398"/>
      <c r="AH868" s="1398"/>
      <c r="AI868" s="1398"/>
      <c r="AJ868" s="1398"/>
    </row>
    <row r="869" spans="1:36" ht="15" customHeight="1" x14ac:dyDescent="0.3">
      <c r="A869" s="1398"/>
      <c r="B869" s="2165" t="s">
        <v>2543</v>
      </c>
      <c r="C869" s="2151"/>
      <c r="D869" s="2151"/>
      <c r="E869" s="2151"/>
      <c r="F869" s="2151"/>
      <c r="G869" s="2151"/>
      <c r="H869" s="2151"/>
      <c r="I869" s="2151"/>
      <c r="J869" s="2157"/>
      <c r="K869" s="23"/>
      <c r="L869" s="2157"/>
      <c r="M869" s="2151"/>
      <c r="N869" s="2157"/>
      <c r="O869" s="2157"/>
      <c r="P869" s="2157"/>
      <c r="Q869" s="2157"/>
      <c r="R869" s="1398"/>
      <c r="S869" s="1398"/>
      <c r="T869" s="1398"/>
      <c r="U869" s="1398"/>
      <c r="V869" s="1398"/>
      <c r="W869" s="1398"/>
      <c r="X869" s="1398"/>
      <c r="Y869" s="1398"/>
      <c r="Z869" s="1398"/>
      <c r="AA869" s="1398"/>
      <c r="AB869" s="1398"/>
      <c r="AC869" s="1398"/>
      <c r="AD869" s="1398"/>
      <c r="AE869" s="1398"/>
      <c r="AF869" s="1398"/>
      <c r="AG869" s="1398"/>
      <c r="AH869" s="1398"/>
      <c r="AI869" s="1398"/>
      <c r="AJ869" s="1398"/>
    </row>
    <row r="870" spans="1:36" ht="15" customHeight="1" x14ac:dyDescent="0.3">
      <c r="A870" s="1398"/>
      <c r="B870" s="2155" t="s">
        <v>2549</v>
      </c>
      <c r="C870" s="2151"/>
      <c r="D870" s="2151"/>
      <c r="E870" s="2151"/>
      <c r="F870" s="2151"/>
      <c r="G870" s="2151"/>
      <c r="H870" s="2151"/>
      <c r="I870" s="2151"/>
      <c r="J870" s="2157"/>
      <c r="K870" s="23"/>
      <c r="L870" s="2157"/>
      <c r="M870" s="2151"/>
      <c r="N870" s="2157"/>
      <c r="O870" s="2157"/>
      <c r="P870" s="2157"/>
      <c r="Q870" s="2157"/>
      <c r="R870" s="1398"/>
      <c r="S870" s="1398"/>
      <c r="T870" s="1398"/>
      <c r="U870" s="1398"/>
      <c r="V870" s="1398"/>
      <c r="W870" s="1398"/>
      <c r="X870" s="1398"/>
      <c r="Y870" s="1398"/>
      <c r="Z870" s="1398"/>
      <c r="AA870" s="1398"/>
      <c r="AB870" s="1398"/>
      <c r="AC870" s="1398"/>
      <c r="AD870" s="1398"/>
      <c r="AE870" s="1398"/>
      <c r="AF870" s="1398"/>
      <c r="AG870" s="1398"/>
      <c r="AH870" s="1398"/>
      <c r="AI870" s="1398"/>
      <c r="AJ870" s="1398"/>
    </row>
    <row r="871" spans="1:36" ht="15" customHeight="1" x14ac:dyDescent="0.3">
      <c r="A871" s="1398"/>
      <c r="B871" s="2165" t="s">
        <v>2543</v>
      </c>
      <c r="C871" s="2151"/>
      <c r="D871" s="2151"/>
      <c r="E871" s="2151"/>
      <c r="F871" s="2151"/>
      <c r="G871" s="2151"/>
      <c r="H871" s="2151"/>
      <c r="I871" s="2151"/>
      <c r="J871" s="2157"/>
      <c r="K871" s="23"/>
      <c r="L871" s="2157"/>
      <c r="M871" s="2151"/>
      <c r="N871" s="2157"/>
      <c r="O871" s="2157"/>
      <c r="P871" s="2157"/>
      <c r="Q871" s="2157"/>
      <c r="R871" s="1398"/>
      <c r="S871" s="1398"/>
      <c r="T871" s="1398"/>
      <c r="U871" s="1398"/>
      <c r="V871" s="1398"/>
      <c r="W871" s="1398"/>
      <c r="X871" s="1398"/>
      <c r="Y871" s="1398"/>
      <c r="Z871" s="1398"/>
      <c r="AA871" s="1398"/>
      <c r="AB871" s="1398"/>
      <c r="AC871" s="1398"/>
      <c r="AD871" s="1398"/>
      <c r="AE871" s="1398"/>
      <c r="AF871" s="1398"/>
      <c r="AG871" s="1398"/>
      <c r="AH871" s="1398"/>
      <c r="AI871" s="1398"/>
      <c r="AJ871" s="1398"/>
    </row>
    <row r="872" spans="1:36" ht="15" customHeight="1" x14ac:dyDescent="0.3">
      <c r="A872" s="1398"/>
      <c r="B872" s="2155" t="s">
        <v>2548</v>
      </c>
      <c r="C872" s="2151"/>
      <c r="D872" s="2151"/>
      <c r="E872" s="2151"/>
      <c r="F872" s="2151"/>
      <c r="G872" s="2151"/>
      <c r="H872" s="2151"/>
      <c r="I872" s="2151"/>
      <c r="J872" s="2157"/>
      <c r="K872" s="23"/>
      <c r="L872" s="2157"/>
      <c r="M872" s="2151"/>
      <c r="N872" s="2157"/>
      <c r="O872" s="2157"/>
      <c r="P872" s="2157"/>
      <c r="Q872" s="2157"/>
      <c r="R872" s="1398"/>
      <c r="S872" s="1398"/>
      <c r="T872" s="1398"/>
      <c r="U872" s="1398"/>
      <c r="V872" s="1398"/>
      <c r="W872" s="1398"/>
      <c r="X872" s="1398"/>
      <c r="Y872" s="1398"/>
      <c r="Z872" s="1398"/>
      <c r="AA872" s="1398"/>
      <c r="AB872" s="1398"/>
      <c r="AC872" s="1398"/>
      <c r="AD872" s="1398"/>
      <c r="AE872" s="1398"/>
      <c r="AF872" s="1398"/>
      <c r="AG872" s="1398"/>
      <c r="AH872" s="1398"/>
      <c r="AI872" s="1398"/>
      <c r="AJ872" s="1398"/>
    </row>
    <row r="873" spans="1:36" ht="15" customHeight="1" x14ac:dyDescent="0.3">
      <c r="A873" s="1398"/>
      <c r="B873" s="2165" t="s">
        <v>2543</v>
      </c>
      <c r="C873" s="2151"/>
      <c r="D873" s="2151"/>
      <c r="E873" s="2151"/>
      <c r="F873" s="2151"/>
      <c r="G873" s="2151"/>
      <c r="H873" s="2151"/>
      <c r="I873" s="2151"/>
      <c r="J873" s="2157"/>
      <c r="K873" s="23"/>
      <c r="L873" s="2157"/>
      <c r="M873" s="2151"/>
      <c r="N873" s="2157"/>
      <c r="O873" s="2157"/>
      <c r="P873" s="2157"/>
      <c r="Q873" s="2157"/>
      <c r="R873" s="1398"/>
      <c r="S873" s="1398"/>
      <c r="T873" s="1398"/>
      <c r="U873" s="1398"/>
      <c r="V873" s="1398"/>
      <c r="W873" s="1398"/>
      <c r="X873" s="1398"/>
      <c r="Y873" s="1398"/>
      <c r="Z873" s="1398"/>
      <c r="AA873" s="1398"/>
      <c r="AB873" s="1398"/>
      <c r="AC873" s="1398"/>
      <c r="AD873" s="1398"/>
      <c r="AE873" s="1398"/>
      <c r="AF873" s="1398"/>
      <c r="AG873" s="1398"/>
      <c r="AH873" s="1398"/>
      <c r="AI873" s="1398"/>
      <c r="AJ873" s="1398"/>
    </row>
    <row r="874" spans="1:36" ht="15" customHeight="1" x14ac:dyDescent="0.3">
      <c r="A874" s="1398"/>
      <c r="B874" s="2155" t="s">
        <v>2547</v>
      </c>
      <c r="C874" s="2151"/>
      <c r="D874" s="2151"/>
      <c r="E874" s="2151"/>
      <c r="F874" s="2151"/>
      <c r="G874" s="2151"/>
      <c r="H874" s="2151"/>
      <c r="I874" s="2151"/>
      <c r="J874" s="2157"/>
      <c r="K874" s="23"/>
      <c r="L874" s="2157"/>
      <c r="M874" s="2151"/>
      <c r="N874" s="2157"/>
      <c r="O874" s="2157"/>
      <c r="P874" s="2157"/>
      <c r="Q874" s="2157"/>
      <c r="R874" s="1398"/>
      <c r="S874" s="1398"/>
      <c r="T874" s="1398"/>
      <c r="U874" s="1398"/>
      <c r="V874" s="1398"/>
      <c r="W874" s="1398"/>
      <c r="X874" s="1398"/>
      <c r="Y874" s="1398"/>
      <c r="Z874" s="1398"/>
      <c r="AA874" s="1398"/>
      <c r="AB874" s="1398"/>
      <c r="AC874" s="1398"/>
      <c r="AD874" s="1398"/>
      <c r="AE874" s="1398"/>
      <c r="AF874" s="1398"/>
      <c r="AG874" s="1398"/>
      <c r="AH874" s="1398"/>
      <c r="AI874" s="1398"/>
      <c r="AJ874" s="1398"/>
    </row>
    <row r="875" spans="1:36" ht="15" customHeight="1" x14ac:dyDescent="0.3">
      <c r="A875" s="1398"/>
      <c r="B875" s="2165" t="s">
        <v>2543</v>
      </c>
      <c r="C875" s="2151"/>
      <c r="D875" s="2151"/>
      <c r="E875" s="2151"/>
      <c r="F875" s="2151"/>
      <c r="G875" s="2151"/>
      <c r="H875" s="2151"/>
      <c r="I875" s="2151"/>
      <c r="J875" s="2157"/>
      <c r="K875" s="23"/>
      <c r="L875" s="2157"/>
      <c r="M875" s="2151"/>
      <c r="N875" s="2157"/>
      <c r="O875" s="2157"/>
      <c r="P875" s="2157"/>
      <c r="Q875" s="2157"/>
      <c r="R875" s="1398"/>
      <c r="S875" s="1398"/>
      <c r="T875" s="1398"/>
      <c r="U875" s="1398"/>
      <c r="V875" s="1398"/>
      <c r="W875" s="1398"/>
      <c r="X875" s="1398"/>
      <c r="Y875" s="1398"/>
      <c r="Z875" s="1398"/>
      <c r="AA875" s="1398"/>
      <c r="AB875" s="1398"/>
      <c r="AC875" s="1398"/>
      <c r="AD875" s="1398"/>
      <c r="AE875" s="1398"/>
      <c r="AF875" s="1398"/>
      <c r="AG875" s="1398"/>
      <c r="AH875" s="1398"/>
      <c r="AI875" s="1398"/>
      <c r="AJ875" s="1398"/>
    </row>
    <row r="876" spans="1:36" ht="15" customHeight="1" x14ac:dyDescent="0.3">
      <c r="A876" s="1398"/>
      <c r="B876" s="2180" t="s">
        <v>2546</v>
      </c>
      <c r="C876" s="2151"/>
      <c r="D876" s="2151"/>
      <c r="E876" s="2151"/>
      <c r="F876" s="2151"/>
      <c r="G876" s="2151"/>
      <c r="H876" s="2151"/>
      <c r="I876" s="2151"/>
      <c r="J876" s="2157"/>
      <c r="K876" s="23"/>
      <c r="L876" s="2157"/>
      <c r="M876" s="2151"/>
      <c r="N876" s="2157"/>
      <c r="O876" s="2157"/>
      <c r="P876" s="2157"/>
      <c r="Q876" s="2157"/>
      <c r="R876" s="1398"/>
      <c r="S876" s="1398"/>
      <c r="T876" s="1398"/>
      <c r="U876" s="1398"/>
      <c r="V876" s="1398"/>
      <c r="W876" s="1398"/>
      <c r="X876" s="1398"/>
      <c r="Y876" s="1398"/>
      <c r="Z876" s="1398"/>
      <c r="AA876" s="1398"/>
      <c r="AB876" s="1398"/>
      <c r="AC876" s="1398"/>
      <c r="AD876" s="1398"/>
      <c r="AE876" s="1398"/>
      <c r="AF876" s="1398"/>
      <c r="AG876" s="1398"/>
      <c r="AH876" s="1398"/>
      <c r="AI876" s="1398"/>
      <c r="AJ876" s="1398"/>
    </row>
    <row r="877" spans="1:36" ht="15" customHeight="1" x14ac:dyDescent="0.3">
      <c r="A877" s="1398"/>
      <c r="B877" s="2165" t="s">
        <v>2543</v>
      </c>
      <c r="C877" s="2151"/>
      <c r="D877" s="2151"/>
      <c r="E877" s="2151"/>
      <c r="F877" s="2151"/>
      <c r="G877" s="2151"/>
      <c r="H877" s="2151"/>
      <c r="I877" s="2151"/>
      <c r="J877" s="2157"/>
      <c r="K877" s="23"/>
      <c r="L877" s="2157"/>
      <c r="M877" s="2151"/>
      <c r="N877" s="2157"/>
      <c r="O877" s="2157"/>
      <c r="P877" s="2157"/>
      <c r="Q877" s="2157"/>
      <c r="R877" s="1398"/>
      <c r="S877" s="1398"/>
      <c r="T877" s="1398"/>
      <c r="U877" s="1398"/>
      <c r="V877" s="1398"/>
      <c r="W877" s="1398"/>
      <c r="X877" s="1398"/>
      <c r="Y877" s="1398"/>
      <c r="Z877" s="1398"/>
      <c r="AA877" s="1398"/>
      <c r="AB877" s="1398"/>
      <c r="AC877" s="1398"/>
      <c r="AD877" s="1398"/>
      <c r="AE877" s="1398"/>
      <c r="AF877" s="1398"/>
      <c r="AG877" s="1398"/>
      <c r="AH877" s="1398"/>
      <c r="AI877" s="1398"/>
      <c r="AJ877" s="1398"/>
    </row>
    <row r="878" spans="1:36" ht="15" customHeight="1" x14ac:dyDescent="0.3">
      <c r="A878" s="1398"/>
      <c r="B878" s="2155" t="s">
        <v>1760</v>
      </c>
      <c r="C878" s="2151"/>
      <c r="D878" s="2151"/>
      <c r="E878" s="2151"/>
      <c r="F878" s="2151"/>
      <c r="G878" s="2151"/>
      <c r="H878" s="2151"/>
      <c r="I878" s="2151"/>
      <c r="J878" s="2157"/>
      <c r="K878" s="23"/>
      <c r="L878" s="2157"/>
      <c r="M878" s="2151"/>
      <c r="N878" s="2157"/>
      <c r="O878" s="2157"/>
      <c r="P878" s="2157"/>
      <c r="Q878" s="2157"/>
      <c r="R878" s="1398"/>
      <c r="S878" s="1398"/>
      <c r="T878" s="1398"/>
      <c r="U878" s="1398"/>
      <c r="V878" s="1398"/>
      <c r="W878" s="1398"/>
      <c r="X878" s="1398"/>
      <c r="Y878" s="1398"/>
      <c r="Z878" s="1398"/>
      <c r="AA878" s="1398"/>
      <c r="AB878" s="1398"/>
      <c r="AC878" s="1398"/>
      <c r="AD878" s="1398"/>
      <c r="AE878" s="1398"/>
      <c r="AF878" s="1398"/>
      <c r="AG878" s="1398"/>
      <c r="AH878" s="1398"/>
      <c r="AI878" s="1398"/>
      <c r="AJ878" s="1398"/>
    </row>
    <row r="879" spans="1:36" ht="15" customHeight="1" x14ac:dyDescent="0.3">
      <c r="A879" s="1398"/>
      <c r="B879" s="2165" t="s">
        <v>2543</v>
      </c>
      <c r="C879" s="2151"/>
      <c r="D879" s="2151"/>
      <c r="E879" s="2151"/>
      <c r="F879" s="2151"/>
      <c r="G879" s="2151"/>
      <c r="H879" s="2151"/>
      <c r="I879" s="2151"/>
      <c r="J879" s="2157"/>
      <c r="K879" s="23"/>
      <c r="L879" s="2157"/>
      <c r="M879" s="2151"/>
      <c r="N879" s="2157"/>
      <c r="O879" s="2157"/>
      <c r="P879" s="2157"/>
      <c r="Q879" s="2157"/>
      <c r="R879" s="1398"/>
      <c r="S879" s="1398"/>
      <c r="T879" s="1398"/>
      <c r="U879" s="1398"/>
      <c r="V879" s="1398"/>
      <c r="W879" s="1398"/>
      <c r="X879" s="1398"/>
      <c r="Y879" s="1398"/>
      <c r="Z879" s="1398"/>
      <c r="AA879" s="1398"/>
      <c r="AB879" s="1398"/>
      <c r="AC879" s="1398"/>
      <c r="AD879" s="1398"/>
      <c r="AE879" s="1398"/>
      <c r="AF879" s="1398"/>
      <c r="AG879" s="1398"/>
      <c r="AH879" s="1398"/>
      <c r="AI879" s="1398"/>
      <c r="AJ879" s="1398"/>
    </row>
    <row r="880" spans="1:36" ht="15" customHeight="1" x14ac:dyDescent="0.35">
      <c r="A880" s="1398"/>
      <c r="B880" s="2164" t="s">
        <v>2545</v>
      </c>
      <c r="C880" s="2159" t="str">
        <f t="shared" ref="C880:I880" si="128">IF(AND(ISNUMBER(C881),ISNUMBER(C883)),C881+C883,"")</f>
        <v/>
      </c>
      <c r="D880" s="2159" t="str">
        <f t="shared" si="128"/>
        <v/>
      </c>
      <c r="E880" s="2159" t="str">
        <f t="shared" si="128"/>
        <v/>
      </c>
      <c r="F880" s="2159" t="str">
        <f t="shared" si="128"/>
        <v/>
      </c>
      <c r="G880" s="2159" t="str">
        <f t="shared" si="128"/>
        <v/>
      </c>
      <c r="H880" s="2159" t="str">
        <f t="shared" si="128"/>
        <v/>
      </c>
      <c r="I880" s="2159" t="str">
        <f t="shared" si="128"/>
        <v/>
      </c>
      <c r="J880" s="2157"/>
      <c r="K880" s="2159" t="str">
        <f>IF(AND(ISNUMBER(K881),ISNUMBER(K883)),K881+K883,"")</f>
        <v/>
      </c>
      <c r="L880" s="2157"/>
      <c r="M880" s="2159" t="str">
        <f>IF(AND(ISNUMBER(M881),ISNUMBER(M883)),M881+M883,"")</f>
        <v/>
      </c>
      <c r="N880" s="2157"/>
      <c r="O880" s="2157"/>
      <c r="P880" s="2157"/>
      <c r="Q880" s="2157"/>
      <c r="R880" s="1398"/>
      <c r="S880" s="1398"/>
      <c r="T880" s="1398"/>
      <c r="U880" s="1398"/>
      <c r="V880" s="1398"/>
      <c r="W880" s="1398"/>
      <c r="X880" s="1398"/>
      <c r="Y880" s="1398"/>
      <c r="Z880" s="1398"/>
      <c r="AA880" s="1398"/>
      <c r="AB880" s="1398"/>
      <c r="AC880" s="1398"/>
      <c r="AD880" s="1398"/>
      <c r="AE880" s="1398"/>
      <c r="AF880" s="1398"/>
      <c r="AG880" s="1398"/>
      <c r="AH880" s="1398"/>
      <c r="AI880" s="1398"/>
      <c r="AJ880" s="1398"/>
    </row>
    <row r="881" spans="1:36" ht="15" customHeight="1" x14ac:dyDescent="0.3">
      <c r="A881" s="1398"/>
      <c r="B881" s="2163" t="s">
        <v>2544</v>
      </c>
      <c r="C881" s="2151"/>
      <c r="D881" s="2151"/>
      <c r="E881" s="2151"/>
      <c r="F881" s="2151"/>
      <c r="G881" s="2151"/>
      <c r="H881" s="2151"/>
      <c r="I881" s="2151"/>
      <c r="J881" s="2157"/>
      <c r="K881" s="2151"/>
      <c r="L881" s="2157"/>
      <c r="M881" s="2151"/>
      <c r="N881" s="2157"/>
      <c r="O881" s="2157"/>
      <c r="P881" s="2157"/>
      <c r="Q881" s="2157"/>
      <c r="R881" s="1398"/>
      <c r="S881" s="1398"/>
      <c r="T881" s="1398"/>
      <c r="U881" s="1398"/>
      <c r="V881" s="1398"/>
      <c r="W881" s="1398"/>
      <c r="X881" s="1398"/>
      <c r="Y881" s="1398"/>
      <c r="Z881" s="1398"/>
      <c r="AA881" s="1398"/>
      <c r="AB881" s="1398"/>
      <c r="AC881" s="1398"/>
      <c r="AD881" s="1398"/>
      <c r="AE881" s="1398"/>
      <c r="AF881" s="1398"/>
      <c r="AG881" s="1398"/>
      <c r="AH881" s="1398"/>
      <c r="AI881" s="1398"/>
      <c r="AJ881" s="1398"/>
    </row>
    <row r="882" spans="1:36" ht="15" customHeight="1" x14ac:dyDescent="0.3">
      <c r="A882" s="1398"/>
      <c r="B882" s="2162" t="s">
        <v>2543</v>
      </c>
      <c r="C882" s="2151"/>
      <c r="D882" s="2151"/>
      <c r="E882" s="2151"/>
      <c r="F882" s="2151"/>
      <c r="G882" s="2151"/>
      <c r="H882" s="2151"/>
      <c r="I882" s="2151"/>
      <c r="J882" s="2157"/>
      <c r="K882" s="2151"/>
      <c r="L882" s="2157"/>
      <c r="M882" s="2151"/>
      <c r="N882" s="2157"/>
      <c r="O882" s="2157"/>
      <c r="P882" s="2157"/>
      <c r="Q882" s="2157"/>
      <c r="R882" s="1398"/>
      <c r="S882" s="1398"/>
      <c r="T882" s="1398"/>
      <c r="U882" s="1398"/>
      <c r="V882" s="1398"/>
      <c r="W882" s="1398"/>
      <c r="X882" s="1398"/>
      <c r="Y882" s="1398"/>
      <c r="Z882" s="1398"/>
      <c r="AA882" s="1398"/>
      <c r="AB882" s="1398"/>
      <c r="AC882" s="1398"/>
      <c r="AD882" s="1398"/>
      <c r="AE882" s="1398"/>
      <c r="AF882" s="1398"/>
      <c r="AG882" s="1398"/>
      <c r="AH882" s="1398"/>
      <c r="AI882" s="1398"/>
      <c r="AJ882" s="1398"/>
    </row>
    <row r="883" spans="1:36" ht="15" customHeight="1" x14ac:dyDescent="0.3">
      <c r="A883" s="1398"/>
      <c r="B883" s="2163" t="s">
        <v>1760</v>
      </c>
      <c r="C883" s="2151"/>
      <c r="D883" s="2151"/>
      <c r="E883" s="2151"/>
      <c r="F883" s="2151"/>
      <c r="G883" s="2151"/>
      <c r="H883" s="2151"/>
      <c r="I883" s="2151"/>
      <c r="J883" s="2157"/>
      <c r="K883" s="2151"/>
      <c r="L883" s="2157"/>
      <c r="M883" s="2151"/>
      <c r="N883" s="2157"/>
      <c r="O883" s="2157"/>
      <c r="P883" s="2157"/>
      <c r="Q883" s="2157"/>
      <c r="R883" s="1398"/>
      <c r="S883" s="1398"/>
      <c r="T883" s="1398"/>
      <c r="U883" s="1398"/>
      <c r="V883" s="1398"/>
      <c r="W883" s="1398"/>
      <c r="X883" s="1398"/>
      <c r="Y883" s="1398"/>
      <c r="Z883" s="1398"/>
      <c r="AA883" s="1398"/>
      <c r="AB883" s="1398"/>
      <c r="AC883" s="1398"/>
      <c r="AD883" s="1398"/>
      <c r="AE883" s="1398"/>
      <c r="AF883" s="1398"/>
      <c r="AG883" s="1398"/>
      <c r="AH883" s="1398"/>
      <c r="AI883" s="1398"/>
      <c r="AJ883" s="1398"/>
    </row>
    <row r="884" spans="1:36" ht="15" customHeight="1" x14ac:dyDescent="0.3">
      <c r="A884" s="1398"/>
      <c r="B884" s="2162" t="s">
        <v>2543</v>
      </c>
      <c r="C884" s="2151"/>
      <c r="D884" s="2151"/>
      <c r="E884" s="2151"/>
      <c r="F884" s="2151"/>
      <c r="G884" s="2151"/>
      <c r="H884" s="2151"/>
      <c r="I884" s="2151"/>
      <c r="J884" s="2157"/>
      <c r="K884" s="2151"/>
      <c r="L884" s="2157"/>
      <c r="M884" s="2151"/>
      <c r="N884" s="2157"/>
      <c r="O884" s="2157"/>
      <c r="P884" s="2157"/>
      <c r="Q884" s="2157"/>
      <c r="R884" s="1398"/>
      <c r="S884" s="1398"/>
      <c r="T884" s="1398"/>
      <c r="U884" s="1398"/>
      <c r="V884" s="1398"/>
      <c r="W884" s="1398"/>
      <c r="X884" s="1398"/>
      <c r="Y884" s="1398"/>
      <c r="Z884" s="1398"/>
      <c r="AA884" s="1398"/>
      <c r="AB884" s="1398"/>
      <c r="AC884" s="1398"/>
      <c r="AD884" s="1398"/>
      <c r="AE884" s="1398"/>
      <c r="AF884" s="1398"/>
      <c r="AG884" s="1398"/>
      <c r="AH884" s="1398"/>
      <c r="AI884" s="1398"/>
      <c r="AJ884" s="1398"/>
    </row>
    <row r="885" spans="1:36" ht="15" customHeight="1" x14ac:dyDescent="0.3">
      <c r="A885" s="1398"/>
      <c r="B885" s="2160" t="s">
        <v>1941</v>
      </c>
      <c r="C885" s="2151"/>
      <c r="D885" s="2151"/>
      <c r="E885" s="2151"/>
      <c r="F885" s="2151"/>
      <c r="G885" s="2151"/>
      <c r="H885" s="2151"/>
      <c r="I885" s="2151"/>
      <c r="J885" s="2157"/>
      <c r="K885" s="2151"/>
      <c r="L885" s="2157"/>
      <c r="M885" s="2151"/>
      <c r="N885" s="2157"/>
      <c r="O885" s="2157"/>
      <c r="P885" s="2157"/>
      <c r="Q885" s="2157"/>
      <c r="R885" s="1398"/>
      <c r="S885" s="1398"/>
      <c r="T885" s="1398"/>
      <c r="U885" s="1398"/>
      <c r="V885" s="1398"/>
      <c r="W885" s="1398"/>
      <c r="X885" s="1398"/>
      <c r="Y885" s="1398"/>
      <c r="Z885" s="1398"/>
      <c r="AA885" s="1398"/>
      <c r="AB885" s="1398"/>
      <c r="AC885" s="1398"/>
      <c r="AD885" s="1398"/>
      <c r="AE885" s="1398"/>
      <c r="AF885" s="1398"/>
      <c r="AG885" s="1398"/>
      <c r="AH885" s="1398"/>
      <c r="AI885" s="1398"/>
      <c r="AJ885" s="1398"/>
    </row>
    <row r="886" spans="1:36" ht="15" customHeight="1" x14ac:dyDescent="0.35">
      <c r="A886" s="1398"/>
      <c r="B886" s="2160" t="s">
        <v>2542</v>
      </c>
      <c r="C886" s="2159" t="str">
        <f t="shared" ref="C886:I886" si="129">IF(AND(ISNUMBER(C887),ISNUMBER(C888)),C887+C888,"")</f>
        <v/>
      </c>
      <c r="D886" s="2159" t="str">
        <f t="shared" si="129"/>
        <v/>
      </c>
      <c r="E886" s="2159" t="str">
        <f t="shared" si="129"/>
        <v/>
      </c>
      <c r="F886" s="2159" t="str">
        <f t="shared" si="129"/>
        <v/>
      </c>
      <c r="G886" s="2159" t="str">
        <f t="shared" si="129"/>
        <v/>
      </c>
      <c r="H886" s="2159" t="str">
        <f t="shared" si="129"/>
        <v/>
      </c>
      <c r="I886" s="2159" t="str">
        <f t="shared" si="129"/>
        <v/>
      </c>
      <c r="J886" s="2157"/>
      <c r="K886" s="2159" t="str">
        <f>IF(AND(ISNUMBER(K887),ISNUMBER(K888)),K887+K888,"")</f>
        <v/>
      </c>
      <c r="L886" s="2157"/>
      <c r="M886" s="2159" t="str">
        <f>IF(AND(ISNUMBER(M887),ISNUMBER(M888)),M887+M888,"")</f>
        <v/>
      </c>
      <c r="N886" s="2157"/>
      <c r="O886" s="2157"/>
      <c r="P886" s="2157"/>
      <c r="Q886" s="2157"/>
      <c r="R886" s="1398"/>
      <c r="S886" s="1398"/>
      <c r="T886" s="1398"/>
      <c r="U886" s="1398"/>
      <c r="V886" s="1398"/>
      <c r="W886" s="1398"/>
      <c r="X886" s="1398"/>
      <c r="Y886" s="1398"/>
      <c r="Z886" s="1398"/>
      <c r="AA886" s="1398"/>
      <c r="AB886" s="1398"/>
      <c r="AC886" s="1398"/>
      <c r="AD886" s="1398"/>
      <c r="AE886" s="1398"/>
      <c r="AF886" s="1398"/>
      <c r="AG886" s="1398"/>
      <c r="AH886" s="1398"/>
      <c r="AI886" s="1398"/>
      <c r="AJ886" s="1398"/>
    </row>
    <row r="887" spans="1:36" ht="15" customHeight="1" x14ac:dyDescent="0.3">
      <c r="A887" s="1398"/>
      <c r="B887" s="2161" t="s">
        <v>2541</v>
      </c>
      <c r="C887" s="2151"/>
      <c r="D887" s="2151"/>
      <c r="E887" s="2151"/>
      <c r="F887" s="2151"/>
      <c r="G887" s="2151"/>
      <c r="H887" s="2151"/>
      <c r="I887" s="2151"/>
      <c r="J887" s="2157"/>
      <c r="K887" s="2151"/>
      <c r="L887" s="2157"/>
      <c r="M887" s="2151"/>
      <c r="N887" s="2157"/>
      <c r="O887" s="2157"/>
      <c r="P887" s="2157"/>
      <c r="Q887" s="2157"/>
      <c r="R887" s="1398"/>
      <c r="S887" s="1398"/>
      <c r="T887" s="1398"/>
      <c r="U887" s="1398"/>
      <c r="V887" s="1398"/>
      <c r="W887" s="1398"/>
      <c r="X887" s="1398"/>
      <c r="Y887" s="1398"/>
      <c r="Z887" s="1398"/>
      <c r="AA887" s="1398"/>
      <c r="AB887" s="1398"/>
      <c r="AC887" s="1398"/>
      <c r="AD887" s="1398"/>
      <c r="AE887" s="1398"/>
      <c r="AF887" s="1398"/>
      <c r="AG887" s="1398"/>
      <c r="AH887" s="1398"/>
      <c r="AI887" s="1398"/>
      <c r="AJ887" s="1398"/>
    </row>
    <row r="888" spans="1:36" ht="15" customHeight="1" x14ac:dyDescent="0.3">
      <c r="A888" s="1398"/>
      <c r="B888" s="2158" t="s">
        <v>1760</v>
      </c>
      <c r="C888" s="2151"/>
      <c r="D888" s="2151"/>
      <c r="E888" s="2151"/>
      <c r="F888" s="2151"/>
      <c r="G888" s="2151"/>
      <c r="H888" s="2151"/>
      <c r="I888" s="2151"/>
      <c r="J888" s="2157"/>
      <c r="K888" s="2151"/>
      <c r="L888" s="2157"/>
      <c r="M888" s="2151"/>
      <c r="N888" s="2157"/>
      <c r="O888" s="2157"/>
      <c r="P888" s="2157"/>
      <c r="Q888" s="2157"/>
      <c r="R888" s="1398"/>
      <c r="S888" s="1398"/>
      <c r="T888" s="1398"/>
      <c r="U888" s="1398"/>
      <c r="V888" s="1398"/>
      <c r="W888" s="1398"/>
      <c r="X888" s="1398"/>
      <c r="Y888" s="1398"/>
      <c r="Z888" s="1398"/>
      <c r="AA888" s="1398"/>
      <c r="AB888" s="1398"/>
      <c r="AC888" s="1398"/>
      <c r="AD888" s="1398"/>
      <c r="AE888" s="1398"/>
      <c r="AF888" s="1398"/>
      <c r="AG888" s="1398"/>
      <c r="AH888" s="1398"/>
      <c r="AI888" s="1398"/>
      <c r="AJ888" s="1398"/>
    </row>
    <row r="889" spans="1:36" ht="15" customHeight="1" x14ac:dyDescent="0.35">
      <c r="A889" s="1398"/>
      <c r="B889" s="2160" t="s">
        <v>2540</v>
      </c>
      <c r="C889" s="2159" t="str">
        <f t="shared" ref="C889:I889" si="130">IF(AND(ISNUMBER(C890),ISNUMBER(C891)),C890+C891,"")</f>
        <v/>
      </c>
      <c r="D889" s="2159" t="str">
        <f t="shared" si="130"/>
        <v/>
      </c>
      <c r="E889" s="2159" t="str">
        <f t="shared" si="130"/>
        <v/>
      </c>
      <c r="F889" s="2159" t="str">
        <f t="shared" si="130"/>
        <v/>
      </c>
      <c r="G889" s="2159" t="str">
        <f t="shared" si="130"/>
        <v/>
      </c>
      <c r="H889" s="2159" t="str">
        <f t="shared" si="130"/>
        <v/>
      </c>
      <c r="I889" s="2159" t="str">
        <f t="shared" si="130"/>
        <v/>
      </c>
      <c r="J889" s="2157"/>
      <c r="K889" s="2159" t="str">
        <f>IF(AND(ISNUMBER(K890),ISNUMBER(K891)),K890+K891,"")</f>
        <v/>
      </c>
      <c r="L889" s="2157"/>
      <c r="M889" s="2159" t="str">
        <f>IF(AND(ISNUMBER(M890),ISNUMBER(M891)),M890+M891,"")</f>
        <v/>
      </c>
      <c r="N889" s="2157"/>
      <c r="O889" s="2157"/>
      <c r="P889" s="2157"/>
      <c r="Q889" s="2157"/>
      <c r="R889" s="1398"/>
      <c r="S889" s="1398"/>
      <c r="T889" s="1398"/>
      <c r="U889" s="1398"/>
      <c r="V889" s="1398"/>
      <c r="W889" s="1398"/>
      <c r="X889" s="1398"/>
      <c r="Y889" s="1398"/>
      <c r="Z889" s="1398"/>
      <c r="AA889" s="1398"/>
      <c r="AB889" s="1398"/>
      <c r="AC889" s="1398"/>
      <c r="AD889" s="1398"/>
      <c r="AE889" s="1398"/>
      <c r="AF889" s="1398"/>
      <c r="AG889" s="1398"/>
      <c r="AH889" s="1398"/>
      <c r="AI889" s="1398"/>
      <c r="AJ889" s="1398"/>
    </row>
    <row r="890" spans="1:36" ht="15" customHeight="1" x14ac:dyDescent="0.3">
      <c r="A890" s="1398"/>
      <c r="B890" s="2158" t="s">
        <v>2539</v>
      </c>
      <c r="C890" s="2151"/>
      <c r="D890" s="2151"/>
      <c r="E890" s="2151"/>
      <c r="F890" s="2151"/>
      <c r="G890" s="2151"/>
      <c r="H890" s="2151"/>
      <c r="I890" s="2151"/>
      <c r="J890" s="2157"/>
      <c r="K890" s="2151"/>
      <c r="L890" s="2157"/>
      <c r="M890" s="2151"/>
      <c r="N890" s="2157"/>
      <c r="O890" s="2157"/>
      <c r="P890" s="2157"/>
      <c r="Q890" s="2157"/>
      <c r="R890" s="1398"/>
      <c r="S890" s="1398"/>
      <c r="T890" s="1398"/>
      <c r="U890" s="1398"/>
      <c r="V890" s="1398"/>
      <c r="W890" s="1398"/>
      <c r="X890" s="1398"/>
      <c r="Y890" s="1398"/>
      <c r="Z890" s="1398"/>
      <c r="AA890" s="1398"/>
      <c r="AB890" s="1398"/>
      <c r="AC890" s="1398"/>
      <c r="AD890" s="1398"/>
      <c r="AE890" s="1398"/>
      <c r="AF890" s="1398"/>
      <c r="AG890" s="1398"/>
      <c r="AH890" s="1398"/>
      <c r="AI890" s="1398"/>
      <c r="AJ890" s="1398"/>
    </row>
    <row r="891" spans="1:36" ht="15" customHeight="1" x14ac:dyDescent="0.3">
      <c r="A891" s="1398"/>
      <c r="B891" s="2158" t="s">
        <v>1760</v>
      </c>
      <c r="C891" s="2151"/>
      <c r="D891" s="2151"/>
      <c r="E891" s="2151"/>
      <c r="F891" s="2151"/>
      <c r="G891" s="2151"/>
      <c r="H891" s="2151"/>
      <c r="I891" s="2151"/>
      <c r="J891" s="2157"/>
      <c r="K891" s="2151"/>
      <c r="L891" s="2157"/>
      <c r="M891" s="2151"/>
      <c r="N891" s="2157"/>
      <c r="O891" s="2157"/>
      <c r="P891" s="2157"/>
      <c r="Q891" s="2157"/>
      <c r="R891" s="1398"/>
      <c r="S891" s="1398"/>
      <c r="T891" s="1398"/>
      <c r="U891" s="1398"/>
      <c r="V891" s="1398"/>
      <c r="W891" s="1398"/>
      <c r="X891" s="1398"/>
      <c r="Y891" s="1398"/>
      <c r="Z891" s="1398"/>
      <c r="AA891" s="1398"/>
      <c r="AB891" s="1398"/>
      <c r="AC891" s="1398"/>
      <c r="AD891" s="1398"/>
      <c r="AE891" s="1398"/>
      <c r="AF891" s="1398"/>
      <c r="AG891" s="1398"/>
      <c r="AH891" s="1398"/>
      <c r="AI891" s="1398"/>
      <c r="AJ891" s="1398"/>
    </row>
    <row r="892" spans="1:36" ht="15" customHeight="1" x14ac:dyDescent="0.35">
      <c r="A892" s="1398"/>
      <c r="B892" s="569" t="s">
        <v>59</v>
      </c>
      <c r="C892" s="2156">
        <f t="shared" ref="C892:Q892" si="131">IF(AND(ISNUMBER(C894),ISNUMBER(C893)),SUM(C893:C894),0)</f>
        <v>0</v>
      </c>
      <c r="D892" s="2156">
        <f t="shared" si="131"/>
        <v>0</v>
      </c>
      <c r="E892" s="2156">
        <f t="shared" si="131"/>
        <v>0</v>
      </c>
      <c r="F892" s="2156">
        <f t="shared" si="131"/>
        <v>0</v>
      </c>
      <c r="G892" s="2156">
        <f t="shared" si="131"/>
        <v>0</v>
      </c>
      <c r="H892" s="2156">
        <f t="shared" si="131"/>
        <v>0</v>
      </c>
      <c r="I892" s="2156">
        <f t="shared" si="131"/>
        <v>0</v>
      </c>
      <c r="J892" s="2156">
        <f t="shared" si="131"/>
        <v>0</v>
      </c>
      <c r="K892" s="2156">
        <f t="shared" si="131"/>
        <v>0</v>
      </c>
      <c r="L892" s="2156">
        <f t="shared" si="131"/>
        <v>0</v>
      </c>
      <c r="M892" s="2156">
        <f t="shared" si="131"/>
        <v>0</v>
      </c>
      <c r="N892" s="2156">
        <f t="shared" si="131"/>
        <v>0</v>
      </c>
      <c r="O892" s="2156">
        <f t="shared" si="131"/>
        <v>0</v>
      </c>
      <c r="P892" s="2156">
        <f t="shared" si="131"/>
        <v>0</v>
      </c>
      <c r="Q892" s="2156">
        <f t="shared" si="131"/>
        <v>0</v>
      </c>
      <c r="R892" s="1398"/>
      <c r="S892" s="1398"/>
      <c r="T892" s="1398"/>
      <c r="U892" s="1398"/>
      <c r="V892" s="1398"/>
      <c r="W892" s="1398"/>
      <c r="X892" s="1398"/>
      <c r="Y892" s="1398"/>
      <c r="Z892" s="1398"/>
      <c r="AA892" s="1398"/>
      <c r="AB892" s="1398"/>
      <c r="AC892" s="1398"/>
      <c r="AD892" s="1398"/>
      <c r="AE892" s="1398"/>
    </row>
    <row r="893" spans="1:36" ht="15" customHeight="1" x14ac:dyDescent="0.3">
      <c r="A893" s="1398"/>
      <c r="B893" s="2155" t="s">
        <v>2538</v>
      </c>
      <c r="C893" s="2151"/>
      <c r="D893" s="2151"/>
      <c r="E893" s="2151"/>
      <c r="F893" s="2151"/>
      <c r="G893" s="2151"/>
      <c r="H893" s="2151"/>
      <c r="I893" s="23"/>
      <c r="J893" s="2151"/>
      <c r="K893" s="2151"/>
      <c r="L893" s="2151"/>
      <c r="M893" s="2151"/>
      <c r="N893" s="2151"/>
      <c r="O893" s="2151"/>
      <c r="P893" s="2151"/>
      <c r="Q893" s="2151"/>
      <c r="R893" s="1398"/>
      <c r="S893" s="1398"/>
      <c r="T893" s="1398"/>
      <c r="U893" s="1398"/>
      <c r="V893" s="1398"/>
      <c r="W893" s="1398"/>
      <c r="X893" s="1398"/>
      <c r="Y893" s="1398"/>
      <c r="Z893" s="1398"/>
      <c r="AA893" s="1398"/>
      <c r="AB893" s="1398"/>
      <c r="AC893" s="1398"/>
      <c r="AD893" s="1398"/>
      <c r="AE893" s="1398"/>
    </row>
    <row r="894" spans="1:36" ht="15" customHeight="1" x14ac:dyDescent="0.3">
      <c r="A894" s="1398"/>
      <c r="B894" s="2155" t="s">
        <v>2537</v>
      </c>
      <c r="C894" s="2151"/>
      <c r="D894" s="2151"/>
      <c r="E894" s="2151"/>
      <c r="F894" s="2151"/>
      <c r="G894" s="2151"/>
      <c r="H894" s="2151"/>
      <c r="I894" s="23"/>
      <c r="J894" s="2151"/>
      <c r="K894" s="2151"/>
      <c r="L894" s="2151"/>
      <c r="M894" s="2151"/>
      <c r="N894" s="2151"/>
      <c r="O894" s="2151"/>
      <c r="P894" s="2151"/>
      <c r="Q894" s="2151"/>
      <c r="R894" s="1398"/>
      <c r="S894" s="1398"/>
      <c r="T894" s="1398"/>
      <c r="U894" s="1398"/>
      <c r="V894" s="1398"/>
      <c r="W894" s="1398"/>
      <c r="X894" s="1398"/>
      <c r="Y894" s="1398"/>
      <c r="Z894" s="1398"/>
      <c r="AA894" s="1398"/>
      <c r="AB894" s="1398"/>
      <c r="AC894" s="1398"/>
      <c r="AD894" s="1398"/>
      <c r="AE894" s="1398"/>
    </row>
    <row r="895" spans="1:36" ht="15" customHeight="1" x14ac:dyDescent="0.3">
      <c r="A895" s="1398"/>
      <c r="B895" s="2154" t="str">
        <f>"Check: row " &amp; ROW(B892) &amp;" = sum(row " &amp; ROW(B893) &amp; ", row "&amp; ROW(B894)&amp;")"</f>
        <v>Check: row 892 = sum(row 893, row 894)</v>
      </c>
      <c r="C895" s="2153" t="str">
        <f t="shared" ref="C895:Q895" si="132">IF(AND(ISNUMBER(C893), ISNUMBER(C894)), IF(C892=SUM(C893:C894), "Pass", "Fail"), "")</f>
        <v/>
      </c>
      <c r="D895" s="2153" t="str">
        <f t="shared" si="132"/>
        <v/>
      </c>
      <c r="E895" s="2153" t="str">
        <f t="shared" si="132"/>
        <v/>
      </c>
      <c r="F895" s="2153" t="str">
        <f t="shared" si="132"/>
        <v/>
      </c>
      <c r="G895" s="2153" t="str">
        <f t="shared" si="132"/>
        <v/>
      </c>
      <c r="H895" s="2153" t="str">
        <f t="shared" si="132"/>
        <v/>
      </c>
      <c r="I895" s="2153" t="str">
        <f t="shared" si="132"/>
        <v/>
      </c>
      <c r="J895" s="2153" t="str">
        <f t="shared" si="132"/>
        <v/>
      </c>
      <c r="K895" s="2153" t="str">
        <f t="shared" si="132"/>
        <v/>
      </c>
      <c r="L895" s="2153" t="str">
        <f t="shared" si="132"/>
        <v/>
      </c>
      <c r="M895" s="2153" t="str">
        <f t="shared" si="132"/>
        <v/>
      </c>
      <c r="N895" s="2153" t="str">
        <f t="shared" si="132"/>
        <v/>
      </c>
      <c r="O895" s="2153" t="str">
        <f t="shared" si="132"/>
        <v/>
      </c>
      <c r="P895" s="2153" t="str">
        <f t="shared" si="132"/>
        <v/>
      </c>
      <c r="Q895" s="2153" t="str">
        <f t="shared" si="132"/>
        <v/>
      </c>
      <c r="R895" s="1398"/>
      <c r="S895" s="1398"/>
      <c r="T895" s="1398"/>
      <c r="U895" s="1398"/>
      <c r="V895" s="1398"/>
      <c r="W895" s="1398"/>
      <c r="X895" s="1398"/>
      <c r="Y895" s="1398"/>
      <c r="Z895" s="1398"/>
      <c r="AA895" s="1398"/>
      <c r="AB895" s="1398"/>
      <c r="AC895" s="1398"/>
      <c r="AD895" s="1398"/>
      <c r="AE895" s="1398"/>
    </row>
    <row r="896" spans="1:36" ht="15" customHeight="1" x14ac:dyDescent="0.3">
      <c r="A896" s="1398"/>
      <c r="B896" s="2152" t="s">
        <v>2536</v>
      </c>
      <c r="C896" s="2151"/>
      <c r="D896" s="1398"/>
      <c r="E896" s="1398"/>
      <c r="F896" s="1398"/>
      <c r="G896" s="1398"/>
      <c r="H896" s="1398"/>
      <c r="I896" s="1398"/>
      <c r="J896" s="1398"/>
      <c r="K896" s="1398"/>
      <c r="L896" s="1398"/>
      <c r="M896" s="1398"/>
      <c r="N896" s="1398"/>
      <c r="O896" s="1398"/>
      <c r="P896" s="1398"/>
      <c r="Q896" s="1398"/>
      <c r="R896" s="1398"/>
      <c r="S896" s="1398"/>
      <c r="T896" s="1398"/>
      <c r="U896" s="1398"/>
      <c r="V896" s="1398"/>
      <c r="W896" s="1398"/>
      <c r="X896" s="1398"/>
      <c r="Y896" s="1398"/>
      <c r="Z896" s="1398"/>
      <c r="AA896" s="1398"/>
      <c r="AB896" s="1398"/>
      <c r="AC896" s="1398"/>
      <c r="AD896" s="1398"/>
      <c r="AE896" s="1398"/>
    </row>
    <row r="897" spans="1:36" ht="15" customHeight="1" x14ac:dyDescent="0.3">
      <c r="A897" s="1398"/>
      <c r="B897" s="2150" t="s">
        <v>2535</v>
      </c>
      <c r="C897" s="2149"/>
      <c r="D897" s="1398"/>
      <c r="E897" s="1398"/>
      <c r="F897" s="1398"/>
      <c r="G897" s="1398"/>
      <c r="H897" s="1398"/>
      <c r="I897" s="1398"/>
      <c r="J897" s="1398"/>
      <c r="K897" s="1398"/>
      <c r="L897" s="1398"/>
      <c r="M897" s="1398"/>
      <c r="N897" s="1398"/>
      <c r="O897" s="1398"/>
      <c r="P897" s="1398"/>
      <c r="Q897" s="1398"/>
      <c r="R897" s="1398"/>
      <c r="S897" s="1398"/>
      <c r="T897" s="1398"/>
      <c r="U897" s="1398"/>
      <c r="V897" s="1398"/>
      <c r="W897" s="1398"/>
      <c r="X897" s="1398"/>
      <c r="Y897" s="1398"/>
      <c r="Z897" s="1398"/>
      <c r="AA897" s="1398"/>
      <c r="AB897" s="1398"/>
      <c r="AC897" s="1398"/>
      <c r="AD897" s="1398"/>
      <c r="AE897" s="1398"/>
    </row>
    <row r="898" spans="1:36" ht="15" customHeight="1" x14ac:dyDescent="0.35">
      <c r="A898" s="1398"/>
      <c r="D898" s="1398"/>
      <c r="E898" s="1398"/>
      <c r="F898" s="1398"/>
      <c r="G898" s="1398"/>
      <c r="H898" s="1398"/>
      <c r="I898" s="1398"/>
      <c r="J898" s="1398"/>
      <c r="K898" s="1398"/>
      <c r="L898" s="1398"/>
      <c r="M898" s="1398"/>
      <c r="N898" s="1398"/>
      <c r="O898" s="1398"/>
      <c r="P898" s="1398"/>
      <c r="Q898" s="1398"/>
      <c r="R898" s="1398"/>
      <c r="S898" s="1398"/>
      <c r="T898" s="1398"/>
      <c r="U898" s="1398"/>
      <c r="V898" s="1398"/>
      <c r="W898" s="1398"/>
      <c r="X898" s="1398"/>
      <c r="Y898" s="1398"/>
      <c r="Z898" s="1398"/>
      <c r="AA898" s="1398"/>
      <c r="AB898" s="1398"/>
      <c r="AC898" s="1398"/>
      <c r="AD898" s="1398"/>
      <c r="AE898" s="1398"/>
      <c r="AF898" s="1398"/>
      <c r="AG898" s="1398"/>
      <c r="AH898" s="1398"/>
      <c r="AI898" s="1398"/>
      <c r="AJ898" s="1398"/>
    </row>
    <row r="899" spans="1:36" ht="15" customHeight="1" x14ac:dyDescent="0.3">
      <c r="A899" s="2176" t="s">
        <v>2568</v>
      </c>
      <c r="B899" s="2175"/>
      <c r="C899" s="2174" t="s">
        <v>2566</v>
      </c>
      <c r="D899" s="2173" t="str">
        <f>IF(ISBLANK($Y$7),"",IF($Y$7="No","Please leave Panel B"&amp;COLUMN($Y$7)-2&amp;" empty","Please fill in Panel B"&amp;COLUMN($Y$7)-2))</f>
        <v/>
      </c>
      <c r="E899" s="1398"/>
      <c r="F899" s="1398"/>
      <c r="G899" s="1398"/>
      <c r="H899" s="1398"/>
      <c r="I899" s="1398"/>
      <c r="J899" s="1398"/>
      <c r="K899" s="1398"/>
      <c r="L899" s="1398"/>
      <c r="M899" s="1398"/>
      <c r="N899" s="1398"/>
      <c r="O899" s="1398"/>
      <c r="P899" s="1398"/>
      <c r="Q899" s="1398"/>
      <c r="R899" s="1398"/>
      <c r="S899" s="1398"/>
      <c r="T899" s="1398"/>
      <c r="U899" s="1398"/>
      <c r="V899" s="1398"/>
      <c r="W899" s="1398"/>
      <c r="X899" s="1398"/>
      <c r="Y899" s="1398"/>
      <c r="Z899" s="1398"/>
      <c r="AA899" s="1398"/>
      <c r="AB899" s="1398"/>
      <c r="AC899" s="1398"/>
      <c r="AD899" s="1398"/>
      <c r="AE899" s="1398"/>
      <c r="AF899" s="1398"/>
      <c r="AG899" s="1398"/>
      <c r="AH899" s="1398"/>
      <c r="AI899" s="1398"/>
      <c r="AJ899" s="1398"/>
    </row>
    <row r="900" spans="1:36" ht="15" customHeight="1" x14ac:dyDescent="0.35">
      <c r="A900" s="1398"/>
      <c r="C900" s="2980" t="s">
        <v>207</v>
      </c>
      <c r="D900" s="2980"/>
      <c r="E900" s="2980"/>
      <c r="F900" s="2980"/>
      <c r="G900" s="2980"/>
      <c r="H900" s="2980"/>
      <c r="I900" s="2980"/>
      <c r="J900" s="2980"/>
      <c r="K900" s="2980"/>
      <c r="L900" s="2981"/>
      <c r="M900" s="2982" t="s">
        <v>2559</v>
      </c>
      <c r="N900" s="2984" t="s">
        <v>2565</v>
      </c>
      <c r="O900" s="2985"/>
      <c r="P900" s="2985"/>
      <c r="Q900" s="2985"/>
      <c r="R900" s="1398"/>
      <c r="S900" s="1398"/>
      <c r="T900" s="1398"/>
      <c r="U900" s="1398"/>
      <c r="V900" s="1398"/>
      <c r="W900" s="1398"/>
      <c r="X900" s="1398"/>
      <c r="Y900" s="1398"/>
      <c r="Z900" s="1398"/>
      <c r="AA900" s="1398"/>
      <c r="AB900" s="1398"/>
      <c r="AC900" s="1398"/>
      <c r="AD900" s="1398"/>
      <c r="AE900" s="1398"/>
      <c r="AF900" s="1398"/>
      <c r="AG900" s="1398"/>
      <c r="AH900" s="1398"/>
      <c r="AI900" s="1398"/>
      <c r="AJ900" s="1398"/>
    </row>
    <row r="901" spans="1:36" ht="15" customHeight="1" x14ac:dyDescent="0.35">
      <c r="A901" s="1398"/>
      <c r="B901" s="2172"/>
      <c r="C901" s="2967" t="s">
        <v>2564</v>
      </c>
      <c r="D901" s="2973" t="s">
        <v>465</v>
      </c>
      <c r="E901" s="2974"/>
      <c r="F901" s="2974"/>
      <c r="G901" s="2974"/>
      <c r="H901" s="2975"/>
      <c r="I901" s="2969" t="s">
        <v>2563</v>
      </c>
      <c r="J901" s="2969" t="s">
        <v>2562</v>
      </c>
      <c r="K901" s="2969" t="s">
        <v>2561</v>
      </c>
      <c r="L901" s="2969" t="s">
        <v>2560</v>
      </c>
      <c r="M901" s="2983"/>
      <c r="N901" s="2978" t="s">
        <v>207</v>
      </c>
      <c r="O901" s="2978" t="s">
        <v>2559</v>
      </c>
      <c r="P901" s="2969" t="s">
        <v>59</v>
      </c>
      <c r="Q901" s="2971" t="s">
        <v>2558</v>
      </c>
      <c r="R901" s="1398"/>
      <c r="S901" s="1398"/>
      <c r="T901" s="1398"/>
      <c r="U901" s="1398"/>
      <c r="V901" s="1398"/>
      <c r="W901" s="1398"/>
      <c r="X901" s="1398"/>
      <c r="Y901" s="1398"/>
      <c r="Z901" s="1398"/>
      <c r="AA901" s="1398"/>
      <c r="AB901" s="1398"/>
      <c r="AC901" s="1398"/>
      <c r="AD901" s="1398"/>
      <c r="AE901" s="1398"/>
      <c r="AF901" s="1398"/>
      <c r="AG901" s="1398"/>
      <c r="AH901" s="1398"/>
      <c r="AI901" s="1398"/>
      <c r="AJ901" s="1398"/>
    </row>
    <row r="902" spans="1:36" ht="15" customHeight="1" x14ac:dyDescent="0.35">
      <c r="A902" s="1398"/>
      <c r="B902" s="2171"/>
      <c r="C902" s="2968"/>
      <c r="D902" s="2170" t="s">
        <v>2557</v>
      </c>
      <c r="E902" s="2170" t="s">
        <v>2556</v>
      </c>
      <c r="F902" s="2170" t="s">
        <v>2555</v>
      </c>
      <c r="G902" s="2170" t="s">
        <v>2554</v>
      </c>
      <c r="H902" s="2170" t="s">
        <v>59</v>
      </c>
      <c r="I902" s="2970"/>
      <c r="J902" s="2970"/>
      <c r="K902" s="2970"/>
      <c r="L902" s="2970"/>
      <c r="M902" s="2970"/>
      <c r="N902" s="2979"/>
      <c r="O902" s="2979"/>
      <c r="P902" s="2970"/>
      <c r="Q902" s="2972"/>
      <c r="R902" s="1398"/>
      <c r="S902" s="1398"/>
      <c r="T902" s="1398"/>
      <c r="U902" s="1398"/>
      <c r="V902" s="1398"/>
      <c r="W902" s="1398"/>
      <c r="X902" s="1398"/>
      <c r="Y902" s="1398"/>
      <c r="Z902" s="1398"/>
      <c r="AA902" s="1398"/>
      <c r="AB902" s="1398"/>
      <c r="AC902" s="1398"/>
      <c r="AD902" s="1398"/>
      <c r="AE902" s="1398"/>
      <c r="AF902" s="1398"/>
      <c r="AG902" s="1398"/>
      <c r="AH902" s="1398"/>
      <c r="AI902" s="1398"/>
      <c r="AJ902" s="1398"/>
    </row>
    <row r="903" spans="1:36" ht="15" customHeight="1" x14ac:dyDescent="0.35">
      <c r="A903" s="1398"/>
      <c r="B903" s="2179" t="s">
        <v>2553</v>
      </c>
      <c r="C903" s="2168" t="str">
        <f t="shared" ref="C903:I903" si="133">IF(AND(ISNUMBER(C916),ISNUMBER(C912),ISNUMBER(C914),ISNUMBER(C904),ISNUMBER(C908),ISNUMBER(C906),ISNUMBER(C910),ISNUMBER(C918)),SUM(C904,C906,C908,C910,C912,C914,C916,C918),"")</f>
        <v/>
      </c>
      <c r="D903" s="2168" t="str">
        <f t="shared" si="133"/>
        <v/>
      </c>
      <c r="E903" s="2168" t="str">
        <f t="shared" si="133"/>
        <v/>
      </c>
      <c r="F903" s="2168" t="str">
        <f t="shared" si="133"/>
        <v/>
      </c>
      <c r="G903" s="2168" t="str">
        <f t="shared" si="133"/>
        <v/>
      </c>
      <c r="H903" s="2168" t="str">
        <f t="shared" si="133"/>
        <v/>
      </c>
      <c r="I903" s="2168" t="str">
        <f t="shared" si="133"/>
        <v/>
      </c>
      <c r="J903" s="2157"/>
      <c r="K903" s="2168" t="str">
        <f>IF(AND(ISNUMBER(K916),ISNUMBER(K912),ISNUMBER(K914),ISNUMBER(K904),ISNUMBER(K908),ISNUMBER(K906),ISNUMBER(K910),ISNUMBER(K918)),SUM(K904,K906,K908,K910,K912,K914,K916,K918),"")</f>
        <v/>
      </c>
      <c r="L903" s="2157"/>
      <c r="M903" s="2168" t="str">
        <f>IF(AND(ISNUMBER(M916),ISNUMBER(M912),ISNUMBER(M914),ISNUMBER(M904),ISNUMBER(M908),ISNUMBER(M906),ISNUMBER(M910),ISNUMBER(M918)),SUM(M904,M906,M908,M910,M912,M914,M916,M918),"")</f>
        <v/>
      </c>
      <c r="N903" s="2167"/>
      <c r="O903" s="2167"/>
      <c r="P903" s="2167"/>
      <c r="Q903" s="2167"/>
      <c r="R903" s="1398"/>
      <c r="S903" s="1398"/>
      <c r="T903" s="1398"/>
      <c r="U903" s="1398"/>
      <c r="V903" s="1398"/>
      <c r="W903" s="1398"/>
      <c r="X903" s="1398"/>
      <c r="Y903" s="1398"/>
      <c r="Z903" s="1398"/>
      <c r="AA903" s="1398"/>
      <c r="AB903" s="1398"/>
      <c r="AC903" s="1398"/>
      <c r="AD903" s="1398"/>
      <c r="AE903" s="1398"/>
      <c r="AF903" s="1398"/>
      <c r="AG903" s="1398"/>
      <c r="AH903" s="1398"/>
      <c r="AI903" s="1398"/>
      <c r="AJ903" s="1398"/>
    </row>
    <row r="904" spans="1:36" ht="15" customHeight="1" x14ac:dyDescent="0.3">
      <c r="A904" s="1398"/>
      <c r="B904" s="2163" t="s">
        <v>2552</v>
      </c>
      <c r="C904" s="2151"/>
      <c r="D904" s="2151"/>
      <c r="E904" s="2151"/>
      <c r="F904" s="2151"/>
      <c r="G904" s="2151"/>
      <c r="H904" s="2151"/>
      <c r="I904" s="2151"/>
      <c r="J904" s="2157"/>
      <c r="K904" s="23"/>
      <c r="L904" s="2157"/>
      <c r="M904" s="2151"/>
      <c r="N904" s="2157"/>
      <c r="O904" s="2157"/>
      <c r="P904" s="2157"/>
      <c r="Q904" s="2157"/>
      <c r="R904" s="1398"/>
      <c r="S904" s="1398"/>
      <c r="T904" s="1398"/>
      <c r="U904" s="1398"/>
      <c r="V904" s="1398"/>
      <c r="W904" s="1398"/>
      <c r="X904" s="1398"/>
      <c r="Y904" s="1398"/>
      <c r="Z904" s="1398"/>
      <c r="AA904" s="1398"/>
      <c r="AB904" s="1398"/>
      <c r="AC904" s="1398"/>
      <c r="AD904" s="1398"/>
      <c r="AE904" s="1398"/>
      <c r="AF904" s="1398"/>
      <c r="AG904" s="1398"/>
      <c r="AH904" s="1398"/>
      <c r="AI904" s="1398"/>
      <c r="AJ904" s="1398"/>
    </row>
    <row r="905" spans="1:36" ht="15" customHeight="1" x14ac:dyDescent="0.3">
      <c r="A905" s="1398"/>
      <c r="B905" s="2162" t="s">
        <v>2543</v>
      </c>
      <c r="C905" s="2151"/>
      <c r="D905" s="2151"/>
      <c r="E905" s="2151"/>
      <c r="F905" s="2151"/>
      <c r="G905" s="2151"/>
      <c r="H905" s="2151"/>
      <c r="I905" s="2151"/>
      <c r="J905" s="2157"/>
      <c r="K905" s="23"/>
      <c r="L905" s="2157"/>
      <c r="M905" s="2151"/>
      <c r="N905" s="2157"/>
      <c r="O905" s="2157"/>
      <c r="P905" s="2157"/>
      <c r="Q905" s="2157"/>
      <c r="R905" s="1398"/>
      <c r="S905" s="1398"/>
      <c r="T905" s="1398"/>
      <c r="U905" s="1398"/>
      <c r="V905" s="1398"/>
      <c r="W905" s="1398"/>
      <c r="X905" s="1398"/>
      <c r="Y905" s="1398"/>
      <c r="Z905" s="1398"/>
      <c r="AA905" s="1398"/>
      <c r="AB905" s="1398"/>
      <c r="AC905" s="1398"/>
      <c r="AD905" s="1398"/>
      <c r="AE905" s="1398"/>
      <c r="AF905" s="1398"/>
      <c r="AG905" s="1398"/>
      <c r="AH905" s="1398"/>
      <c r="AI905" s="1398"/>
      <c r="AJ905" s="1398"/>
    </row>
    <row r="906" spans="1:36" ht="15" customHeight="1" x14ac:dyDescent="0.3">
      <c r="A906" s="1398"/>
      <c r="B906" s="2155" t="s">
        <v>2551</v>
      </c>
      <c r="C906" s="2151"/>
      <c r="D906" s="2151"/>
      <c r="E906" s="2151"/>
      <c r="F906" s="2151"/>
      <c r="G906" s="2151"/>
      <c r="H906" s="2151"/>
      <c r="I906" s="2151"/>
      <c r="J906" s="2157"/>
      <c r="K906" s="23"/>
      <c r="L906" s="2157"/>
      <c r="M906" s="2151"/>
      <c r="N906" s="2157"/>
      <c r="O906" s="2157"/>
      <c r="P906" s="2157"/>
      <c r="Q906" s="2157"/>
      <c r="R906" s="1398"/>
      <c r="S906" s="1398"/>
      <c r="T906" s="1398"/>
      <c r="U906" s="1398"/>
      <c r="V906" s="1398"/>
      <c r="W906" s="1398"/>
      <c r="X906" s="1398"/>
      <c r="Y906" s="1398"/>
      <c r="Z906" s="1398"/>
      <c r="AA906" s="1398"/>
      <c r="AB906" s="1398"/>
      <c r="AC906" s="1398"/>
      <c r="AD906" s="1398"/>
      <c r="AE906" s="1398"/>
      <c r="AF906" s="1398"/>
      <c r="AG906" s="1398"/>
      <c r="AH906" s="1398"/>
      <c r="AI906" s="1398"/>
      <c r="AJ906" s="1398"/>
    </row>
    <row r="907" spans="1:36" ht="15" customHeight="1" x14ac:dyDescent="0.3">
      <c r="A907" s="1398"/>
      <c r="B907" s="2165" t="s">
        <v>2543</v>
      </c>
      <c r="C907" s="2151"/>
      <c r="D907" s="2151"/>
      <c r="E907" s="2151"/>
      <c r="F907" s="2151"/>
      <c r="G907" s="2151"/>
      <c r="H907" s="2151"/>
      <c r="I907" s="2151"/>
      <c r="J907" s="2157"/>
      <c r="K907" s="23"/>
      <c r="L907" s="2157"/>
      <c r="M907" s="2151"/>
      <c r="N907" s="2157"/>
      <c r="O907" s="2157"/>
      <c r="P907" s="2157"/>
      <c r="Q907" s="2157"/>
      <c r="R907" s="1398"/>
      <c r="S907" s="1398"/>
      <c r="T907" s="1398"/>
      <c r="U907" s="1398"/>
      <c r="V907" s="1398"/>
      <c r="W907" s="1398"/>
      <c r="X907" s="1398"/>
      <c r="Y907" s="1398"/>
      <c r="Z907" s="1398"/>
      <c r="AA907" s="1398"/>
      <c r="AB907" s="1398"/>
      <c r="AC907" s="1398"/>
      <c r="AD907" s="1398"/>
      <c r="AE907" s="1398"/>
      <c r="AF907" s="1398"/>
      <c r="AG907" s="1398"/>
      <c r="AH907" s="1398"/>
      <c r="AI907" s="1398"/>
      <c r="AJ907" s="1398"/>
    </row>
    <row r="908" spans="1:36" ht="15" customHeight="1" x14ac:dyDescent="0.3">
      <c r="A908" s="1398"/>
      <c r="B908" s="2163" t="s">
        <v>2550</v>
      </c>
      <c r="C908" s="2151"/>
      <c r="D908" s="2151"/>
      <c r="E908" s="2151"/>
      <c r="F908" s="2151"/>
      <c r="G908" s="2151"/>
      <c r="H908" s="2151"/>
      <c r="I908" s="2151"/>
      <c r="J908" s="2157"/>
      <c r="K908" s="23"/>
      <c r="L908" s="2157"/>
      <c r="M908" s="2151"/>
      <c r="N908" s="2157"/>
      <c r="O908" s="2157"/>
      <c r="P908" s="2157"/>
      <c r="Q908" s="2157"/>
      <c r="R908" s="1398"/>
      <c r="S908" s="1398"/>
      <c r="T908" s="1398"/>
      <c r="U908" s="1398"/>
      <c r="V908" s="1398"/>
      <c r="W908" s="1398"/>
      <c r="X908" s="1398"/>
      <c r="Y908" s="1398"/>
      <c r="Z908" s="1398"/>
      <c r="AA908" s="1398"/>
      <c r="AB908" s="1398"/>
      <c r="AC908" s="1398"/>
      <c r="AD908" s="1398"/>
      <c r="AE908" s="1398"/>
      <c r="AF908" s="1398"/>
      <c r="AG908" s="1398"/>
      <c r="AH908" s="1398"/>
      <c r="AI908" s="1398"/>
      <c r="AJ908" s="1398"/>
    </row>
    <row r="909" spans="1:36" ht="15" customHeight="1" x14ac:dyDescent="0.3">
      <c r="A909" s="1398"/>
      <c r="B909" s="2162" t="s">
        <v>2543</v>
      </c>
      <c r="C909" s="2151"/>
      <c r="D909" s="2151"/>
      <c r="E909" s="2151"/>
      <c r="F909" s="2151"/>
      <c r="G909" s="2151"/>
      <c r="H909" s="2151"/>
      <c r="I909" s="2151"/>
      <c r="J909" s="2157"/>
      <c r="K909" s="23"/>
      <c r="L909" s="2157"/>
      <c r="M909" s="2151"/>
      <c r="N909" s="2157"/>
      <c r="O909" s="2157"/>
      <c r="P909" s="2157"/>
      <c r="Q909" s="2157"/>
      <c r="R909" s="1398"/>
      <c r="S909" s="1398"/>
      <c r="T909" s="1398"/>
      <c r="U909" s="1398"/>
      <c r="V909" s="1398"/>
      <c r="W909" s="1398"/>
      <c r="X909" s="1398"/>
      <c r="Y909" s="1398"/>
      <c r="Z909" s="1398"/>
      <c r="AA909" s="1398"/>
      <c r="AB909" s="1398"/>
      <c r="AC909" s="1398"/>
      <c r="AD909" s="1398"/>
      <c r="AE909" s="1398"/>
      <c r="AF909" s="1398"/>
      <c r="AG909" s="1398"/>
      <c r="AH909" s="1398"/>
      <c r="AI909" s="1398"/>
      <c r="AJ909" s="1398"/>
    </row>
    <row r="910" spans="1:36" ht="15" customHeight="1" x14ac:dyDescent="0.3">
      <c r="A910" s="1398"/>
      <c r="B910" s="2155" t="s">
        <v>2549</v>
      </c>
      <c r="C910" s="2151"/>
      <c r="D910" s="2151"/>
      <c r="E910" s="2151"/>
      <c r="F910" s="2151"/>
      <c r="G910" s="2151"/>
      <c r="H910" s="2151"/>
      <c r="I910" s="2151"/>
      <c r="J910" s="2157"/>
      <c r="K910" s="23"/>
      <c r="L910" s="2157"/>
      <c r="M910" s="2151"/>
      <c r="N910" s="2157"/>
      <c r="O910" s="2157"/>
      <c r="P910" s="2157"/>
      <c r="Q910" s="2157"/>
      <c r="R910" s="1398"/>
      <c r="S910" s="1398"/>
      <c r="T910" s="1398"/>
      <c r="U910" s="1398"/>
      <c r="V910" s="1398"/>
      <c r="W910" s="1398"/>
      <c r="X910" s="1398"/>
      <c r="Y910" s="1398"/>
      <c r="Z910" s="1398"/>
      <c r="AA910" s="1398"/>
      <c r="AB910" s="1398"/>
      <c r="AC910" s="1398"/>
      <c r="AD910" s="1398"/>
      <c r="AE910" s="1398"/>
      <c r="AF910" s="1398"/>
      <c r="AG910" s="1398"/>
      <c r="AH910" s="1398"/>
      <c r="AI910" s="1398"/>
      <c r="AJ910" s="1398"/>
    </row>
    <row r="911" spans="1:36" ht="15" customHeight="1" x14ac:dyDescent="0.3">
      <c r="A911" s="1398"/>
      <c r="B911" s="2165" t="s">
        <v>2543</v>
      </c>
      <c r="C911" s="2151"/>
      <c r="D911" s="2151"/>
      <c r="E911" s="2151"/>
      <c r="F911" s="2151"/>
      <c r="G911" s="2151"/>
      <c r="H911" s="2151"/>
      <c r="I911" s="2151"/>
      <c r="J911" s="2157"/>
      <c r="K911" s="23"/>
      <c r="L911" s="2157"/>
      <c r="M911" s="2151"/>
      <c r="N911" s="2157"/>
      <c r="O911" s="2157"/>
      <c r="P911" s="2157"/>
      <c r="Q911" s="2157"/>
      <c r="R911" s="1398"/>
      <c r="S911" s="1398"/>
      <c r="T911" s="1398"/>
      <c r="U911" s="1398"/>
      <c r="V911" s="1398"/>
      <c r="W911" s="1398"/>
      <c r="X911" s="1398"/>
      <c r="Y911" s="1398"/>
      <c r="Z911" s="1398"/>
      <c r="AA911" s="1398"/>
      <c r="AB911" s="1398"/>
      <c r="AC911" s="1398"/>
      <c r="AD911" s="1398"/>
      <c r="AE911" s="1398"/>
      <c r="AF911" s="1398"/>
      <c r="AG911" s="1398"/>
      <c r="AH911" s="1398"/>
      <c r="AI911" s="1398"/>
      <c r="AJ911" s="1398"/>
    </row>
    <row r="912" spans="1:36" ht="15" customHeight="1" x14ac:dyDescent="0.3">
      <c r="A912" s="1398"/>
      <c r="B912" s="2163" t="s">
        <v>2548</v>
      </c>
      <c r="C912" s="2151"/>
      <c r="D912" s="2151"/>
      <c r="E912" s="2151"/>
      <c r="F912" s="2151"/>
      <c r="G912" s="2151"/>
      <c r="H912" s="2151"/>
      <c r="I912" s="2151"/>
      <c r="J912" s="2157"/>
      <c r="K912" s="23"/>
      <c r="L912" s="2157"/>
      <c r="M912" s="2151"/>
      <c r="N912" s="2157"/>
      <c r="O912" s="2157"/>
      <c r="P912" s="2157"/>
      <c r="Q912" s="2157"/>
      <c r="R912" s="1398"/>
      <c r="S912" s="1398"/>
      <c r="T912" s="1398"/>
      <c r="U912" s="1398"/>
      <c r="V912" s="1398"/>
      <c r="W912" s="1398"/>
      <c r="X912" s="1398"/>
      <c r="Y912" s="1398"/>
      <c r="Z912" s="1398"/>
      <c r="AA912" s="1398"/>
      <c r="AB912" s="1398"/>
      <c r="AC912" s="1398"/>
      <c r="AD912" s="1398"/>
      <c r="AE912" s="1398"/>
      <c r="AF912" s="1398"/>
      <c r="AG912" s="1398"/>
      <c r="AH912" s="1398"/>
      <c r="AI912" s="1398"/>
      <c r="AJ912" s="1398"/>
    </row>
    <row r="913" spans="1:36" ht="15" customHeight="1" x14ac:dyDescent="0.3">
      <c r="A913" s="1398"/>
      <c r="B913" s="2162" t="s">
        <v>2543</v>
      </c>
      <c r="C913" s="2151"/>
      <c r="D913" s="2151"/>
      <c r="E913" s="2151"/>
      <c r="F913" s="2151"/>
      <c r="G913" s="2151"/>
      <c r="H913" s="2151"/>
      <c r="I913" s="2151"/>
      <c r="J913" s="2157"/>
      <c r="K913" s="23"/>
      <c r="L913" s="2157"/>
      <c r="M913" s="2151"/>
      <c r="N913" s="2157"/>
      <c r="O913" s="2157"/>
      <c r="P913" s="2157"/>
      <c r="Q913" s="2157"/>
      <c r="R913" s="1398"/>
      <c r="S913" s="1398"/>
      <c r="T913" s="1398"/>
      <c r="U913" s="1398"/>
      <c r="V913" s="1398"/>
      <c r="W913" s="1398"/>
      <c r="X913" s="1398"/>
      <c r="Y913" s="1398"/>
      <c r="Z913" s="1398"/>
      <c r="AA913" s="1398"/>
      <c r="AB913" s="1398"/>
      <c r="AC913" s="1398"/>
      <c r="AD913" s="1398"/>
      <c r="AE913" s="1398"/>
      <c r="AF913" s="1398"/>
      <c r="AG913" s="1398"/>
      <c r="AH913" s="1398"/>
      <c r="AI913" s="1398"/>
      <c r="AJ913" s="1398"/>
    </row>
    <row r="914" spans="1:36" ht="15" customHeight="1" x14ac:dyDescent="0.3">
      <c r="A914" s="1398"/>
      <c r="B914" s="2155" t="s">
        <v>2547</v>
      </c>
      <c r="C914" s="2151"/>
      <c r="D914" s="2151"/>
      <c r="E914" s="2151"/>
      <c r="F914" s="2151"/>
      <c r="G914" s="2151"/>
      <c r="H914" s="2151"/>
      <c r="I914" s="2151"/>
      <c r="J914" s="2157"/>
      <c r="K914" s="23"/>
      <c r="L914" s="2157"/>
      <c r="M914" s="2151"/>
      <c r="N914" s="2157"/>
      <c r="O914" s="2157"/>
      <c r="P914" s="2157"/>
      <c r="Q914" s="2157"/>
      <c r="R914" s="1398"/>
      <c r="S914" s="1398"/>
      <c r="T914" s="1398"/>
      <c r="U914" s="1398"/>
      <c r="V914" s="1398"/>
      <c r="W914" s="1398"/>
      <c r="X914" s="1398"/>
      <c r="Y914" s="1398"/>
      <c r="Z914" s="1398"/>
      <c r="AA914" s="1398"/>
      <c r="AB914" s="1398"/>
      <c r="AC914" s="1398"/>
      <c r="AD914" s="1398"/>
      <c r="AE914" s="1398"/>
      <c r="AF914" s="1398"/>
      <c r="AG914" s="1398"/>
      <c r="AH914" s="1398"/>
      <c r="AI914" s="1398"/>
      <c r="AJ914" s="1398"/>
    </row>
    <row r="915" spans="1:36" ht="15" customHeight="1" x14ac:dyDescent="0.3">
      <c r="A915" s="1398"/>
      <c r="B915" s="2165" t="s">
        <v>2543</v>
      </c>
      <c r="C915" s="2151"/>
      <c r="D915" s="2151"/>
      <c r="E915" s="2151"/>
      <c r="F915" s="2151"/>
      <c r="G915" s="2151"/>
      <c r="H915" s="2151"/>
      <c r="I915" s="2151"/>
      <c r="J915" s="2157"/>
      <c r="K915" s="23"/>
      <c r="L915" s="2157"/>
      <c r="M915" s="2151"/>
      <c r="N915" s="2157"/>
      <c r="O915" s="2157"/>
      <c r="P915" s="2157"/>
      <c r="Q915" s="2157"/>
      <c r="R915" s="1398"/>
      <c r="S915" s="1398"/>
      <c r="T915" s="1398"/>
      <c r="U915" s="1398"/>
      <c r="V915" s="1398"/>
      <c r="W915" s="1398"/>
      <c r="X915" s="1398"/>
      <c r="Y915" s="1398"/>
      <c r="Z915" s="1398"/>
      <c r="AA915" s="1398"/>
      <c r="AB915" s="1398"/>
      <c r="AC915" s="1398"/>
      <c r="AD915" s="1398"/>
      <c r="AE915" s="1398"/>
      <c r="AF915" s="1398"/>
      <c r="AG915" s="1398"/>
      <c r="AH915" s="1398"/>
      <c r="AI915" s="1398"/>
      <c r="AJ915" s="1398"/>
    </row>
    <row r="916" spans="1:36" ht="15" customHeight="1" x14ac:dyDescent="0.3">
      <c r="A916" s="1398"/>
      <c r="B916" s="2166" t="s">
        <v>2546</v>
      </c>
      <c r="C916" s="2151"/>
      <c r="D916" s="2151"/>
      <c r="E916" s="2151"/>
      <c r="F916" s="2151"/>
      <c r="G916" s="2151"/>
      <c r="H916" s="2151"/>
      <c r="I916" s="2151"/>
      <c r="J916" s="2157"/>
      <c r="K916" s="23"/>
      <c r="L916" s="2157"/>
      <c r="M916" s="2151"/>
      <c r="N916" s="2157"/>
      <c r="O916" s="2157"/>
      <c r="P916" s="2157"/>
      <c r="Q916" s="2157"/>
      <c r="R916" s="1398"/>
      <c r="S916" s="1398"/>
      <c r="T916" s="1398"/>
      <c r="U916" s="1398"/>
      <c r="V916" s="1398"/>
      <c r="W916" s="1398"/>
      <c r="X916" s="1398"/>
      <c r="Y916" s="1398"/>
      <c r="Z916" s="1398"/>
      <c r="AA916" s="1398"/>
      <c r="AB916" s="1398"/>
      <c r="AC916" s="1398"/>
      <c r="AD916" s="1398"/>
      <c r="AE916" s="1398"/>
      <c r="AF916" s="1398"/>
      <c r="AG916" s="1398"/>
      <c r="AH916" s="1398"/>
      <c r="AI916" s="1398"/>
      <c r="AJ916" s="1398"/>
    </row>
    <row r="917" spans="1:36" ht="15" customHeight="1" x14ac:dyDescent="0.3">
      <c r="A917" s="1398"/>
      <c r="B917" s="2162" t="s">
        <v>2543</v>
      </c>
      <c r="C917" s="2151"/>
      <c r="D917" s="2151"/>
      <c r="E917" s="2151"/>
      <c r="F917" s="2151"/>
      <c r="G917" s="2151"/>
      <c r="H917" s="2151"/>
      <c r="I917" s="2151"/>
      <c r="J917" s="2157"/>
      <c r="K917" s="23"/>
      <c r="L917" s="2157"/>
      <c r="M917" s="2151"/>
      <c r="N917" s="2157"/>
      <c r="O917" s="2157"/>
      <c r="P917" s="2157"/>
      <c r="Q917" s="2157"/>
      <c r="R917" s="1398"/>
      <c r="S917" s="1398"/>
      <c r="T917" s="1398"/>
      <c r="U917" s="1398"/>
      <c r="V917" s="1398"/>
      <c r="W917" s="1398"/>
      <c r="X917" s="1398"/>
      <c r="Y917" s="1398"/>
      <c r="Z917" s="1398"/>
      <c r="AA917" s="1398"/>
      <c r="AB917" s="1398"/>
      <c r="AC917" s="1398"/>
      <c r="AD917" s="1398"/>
      <c r="AE917" s="1398"/>
      <c r="AF917" s="1398"/>
      <c r="AG917" s="1398"/>
      <c r="AH917" s="1398"/>
      <c r="AI917" s="1398"/>
      <c r="AJ917" s="1398"/>
    </row>
    <row r="918" spans="1:36" ht="15" customHeight="1" x14ac:dyDescent="0.3">
      <c r="A918" s="1398"/>
      <c r="B918" s="2155" t="s">
        <v>1760</v>
      </c>
      <c r="C918" s="2151"/>
      <c r="D918" s="2151"/>
      <c r="E918" s="2151"/>
      <c r="F918" s="2151"/>
      <c r="G918" s="2151"/>
      <c r="H918" s="2151"/>
      <c r="I918" s="2151"/>
      <c r="J918" s="2157"/>
      <c r="K918" s="23"/>
      <c r="L918" s="2157"/>
      <c r="M918" s="2151"/>
      <c r="N918" s="2157"/>
      <c r="O918" s="2157"/>
      <c r="P918" s="2157"/>
      <c r="Q918" s="2157"/>
      <c r="R918" s="1398"/>
      <c r="S918" s="1398"/>
      <c r="T918" s="1398"/>
      <c r="U918" s="1398"/>
      <c r="V918" s="1398"/>
      <c r="W918" s="1398"/>
      <c r="X918" s="1398"/>
      <c r="Y918" s="1398"/>
      <c r="Z918" s="1398"/>
      <c r="AA918" s="1398"/>
      <c r="AB918" s="1398"/>
      <c r="AC918" s="1398"/>
      <c r="AD918" s="1398"/>
      <c r="AE918" s="1398"/>
      <c r="AF918" s="1398"/>
      <c r="AG918" s="1398"/>
      <c r="AH918" s="1398"/>
      <c r="AI918" s="1398"/>
      <c r="AJ918" s="1398"/>
    </row>
    <row r="919" spans="1:36" ht="15" customHeight="1" x14ac:dyDescent="0.3">
      <c r="A919" s="1398"/>
      <c r="B919" s="2165" t="s">
        <v>2543</v>
      </c>
      <c r="C919" s="2151"/>
      <c r="D919" s="2151"/>
      <c r="E919" s="2151"/>
      <c r="F919" s="2151"/>
      <c r="G919" s="2151"/>
      <c r="H919" s="2151"/>
      <c r="I919" s="2151"/>
      <c r="J919" s="2157"/>
      <c r="K919" s="23"/>
      <c r="L919" s="2157"/>
      <c r="M919" s="2151"/>
      <c r="N919" s="2157"/>
      <c r="O919" s="2157"/>
      <c r="P919" s="2157"/>
      <c r="Q919" s="2157"/>
      <c r="R919" s="1398"/>
      <c r="S919" s="1398"/>
      <c r="T919" s="1398"/>
      <c r="U919" s="1398"/>
      <c r="V919" s="1398"/>
      <c r="W919" s="1398"/>
      <c r="X919" s="1398"/>
      <c r="Y919" s="1398"/>
      <c r="Z919" s="1398"/>
      <c r="AA919" s="1398"/>
      <c r="AB919" s="1398"/>
      <c r="AC919" s="1398"/>
      <c r="AD919" s="1398"/>
      <c r="AE919" s="1398"/>
      <c r="AF919" s="1398"/>
      <c r="AG919" s="1398"/>
      <c r="AH919" s="1398"/>
      <c r="AI919" s="1398"/>
      <c r="AJ919" s="1398"/>
    </row>
    <row r="920" spans="1:36" ht="15" customHeight="1" x14ac:dyDescent="0.35">
      <c r="A920" s="1398"/>
      <c r="B920" s="2164" t="s">
        <v>2545</v>
      </c>
      <c r="C920" s="2159" t="str">
        <f t="shared" ref="C920:I920" si="134">IF(AND(ISNUMBER(C921),ISNUMBER(C923)),C921+C923,"")</f>
        <v/>
      </c>
      <c r="D920" s="2159" t="str">
        <f t="shared" si="134"/>
        <v/>
      </c>
      <c r="E920" s="2159" t="str">
        <f t="shared" si="134"/>
        <v/>
      </c>
      <c r="F920" s="2159" t="str">
        <f t="shared" si="134"/>
        <v/>
      </c>
      <c r="G920" s="2159" t="str">
        <f t="shared" si="134"/>
        <v/>
      </c>
      <c r="H920" s="2159" t="str">
        <f t="shared" si="134"/>
        <v/>
      </c>
      <c r="I920" s="2159" t="str">
        <f t="shared" si="134"/>
        <v/>
      </c>
      <c r="J920" s="2157"/>
      <c r="K920" s="2159" t="str">
        <f>IF(AND(ISNUMBER(K921),ISNUMBER(K923)),K921+K923,"")</f>
        <v/>
      </c>
      <c r="L920" s="2157"/>
      <c r="M920" s="2159" t="str">
        <f>IF(AND(ISNUMBER(M921),ISNUMBER(M923)),M921+M923,"")</f>
        <v/>
      </c>
      <c r="N920" s="2157"/>
      <c r="O920" s="2157"/>
      <c r="P920" s="2157"/>
      <c r="Q920" s="2157"/>
      <c r="R920" s="1398"/>
      <c r="S920" s="1398"/>
      <c r="T920" s="1398"/>
      <c r="U920" s="1398"/>
      <c r="V920" s="1398"/>
      <c r="W920" s="1398"/>
      <c r="X920" s="1398"/>
      <c r="Y920" s="1398"/>
      <c r="Z920" s="1398"/>
      <c r="AA920" s="1398"/>
      <c r="AB920" s="1398"/>
      <c r="AC920" s="1398"/>
      <c r="AD920" s="1398"/>
      <c r="AE920" s="1398"/>
      <c r="AF920" s="1398"/>
      <c r="AG920" s="1398"/>
      <c r="AH920" s="1398"/>
      <c r="AI920" s="1398"/>
      <c r="AJ920" s="1398"/>
    </row>
    <row r="921" spans="1:36" ht="15" customHeight="1" x14ac:dyDescent="0.3">
      <c r="A921" s="1398"/>
      <c r="B921" s="2163" t="s">
        <v>2544</v>
      </c>
      <c r="C921" s="2151"/>
      <c r="D921" s="2151"/>
      <c r="E921" s="2151"/>
      <c r="F921" s="2151"/>
      <c r="G921" s="2151"/>
      <c r="H921" s="2151"/>
      <c r="I921" s="2151"/>
      <c r="J921" s="2157"/>
      <c r="K921" s="2151"/>
      <c r="L921" s="2157"/>
      <c r="M921" s="2151"/>
      <c r="N921" s="2157"/>
      <c r="O921" s="2157"/>
      <c r="P921" s="2157"/>
      <c r="Q921" s="2157"/>
      <c r="R921" s="1398"/>
      <c r="S921" s="1398"/>
      <c r="T921" s="1398"/>
      <c r="U921" s="1398"/>
      <c r="V921" s="1398"/>
      <c r="W921" s="1398"/>
      <c r="X921" s="1398"/>
      <c r="Y921" s="1398"/>
      <c r="Z921" s="1398"/>
      <c r="AA921" s="1398"/>
      <c r="AB921" s="1398"/>
      <c r="AC921" s="1398"/>
      <c r="AD921" s="1398"/>
      <c r="AE921" s="1398"/>
      <c r="AF921" s="1398"/>
      <c r="AG921" s="1398"/>
      <c r="AH921" s="1398"/>
      <c r="AI921" s="1398"/>
      <c r="AJ921" s="1398"/>
    </row>
    <row r="922" spans="1:36" ht="15" customHeight="1" x14ac:dyDescent="0.3">
      <c r="A922" s="1398"/>
      <c r="B922" s="2162" t="s">
        <v>2543</v>
      </c>
      <c r="C922" s="2151"/>
      <c r="D922" s="2151"/>
      <c r="E922" s="2151"/>
      <c r="F922" s="2151"/>
      <c r="G922" s="2151"/>
      <c r="H922" s="2151"/>
      <c r="I922" s="2151"/>
      <c r="J922" s="2157"/>
      <c r="K922" s="2151"/>
      <c r="L922" s="2157"/>
      <c r="M922" s="2151"/>
      <c r="N922" s="2157"/>
      <c r="O922" s="2157"/>
      <c r="P922" s="2157"/>
      <c r="Q922" s="2157"/>
      <c r="R922" s="1398"/>
      <c r="S922" s="1398"/>
      <c r="T922" s="1398"/>
      <c r="U922" s="1398"/>
      <c r="V922" s="1398"/>
      <c r="W922" s="1398"/>
      <c r="X922" s="1398"/>
      <c r="Y922" s="1398"/>
      <c r="Z922" s="1398"/>
      <c r="AA922" s="1398"/>
      <c r="AB922" s="1398"/>
      <c r="AC922" s="1398"/>
      <c r="AD922" s="1398"/>
      <c r="AE922" s="1398"/>
      <c r="AF922" s="1398"/>
      <c r="AG922" s="1398"/>
      <c r="AH922" s="1398"/>
      <c r="AI922" s="1398"/>
      <c r="AJ922" s="1398"/>
    </row>
    <row r="923" spans="1:36" ht="15" customHeight="1" x14ac:dyDescent="0.3">
      <c r="A923" s="1398"/>
      <c r="B923" s="2163" t="s">
        <v>1760</v>
      </c>
      <c r="C923" s="2151"/>
      <c r="D923" s="2151"/>
      <c r="E923" s="2151"/>
      <c r="F923" s="2151"/>
      <c r="G923" s="2151"/>
      <c r="H923" s="2151"/>
      <c r="I923" s="2151"/>
      <c r="J923" s="2157"/>
      <c r="K923" s="2151"/>
      <c r="L923" s="2157"/>
      <c r="M923" s="2151"/>
      <c r="N923" s="2157"/>
      <c r="O923" s="2157"/>
      <c r="P923" s="2157"/>
      <c r="Q923" s="2157"/>
      <c r="R923" s="1398"/>
      <c r="S923" s="1398"/>
      <c r="T923" s="1398"/>
      <c r="U923" s="1398"/>
      <c r="V923" s="1398"/>
      <c r="W923" s="1398"/>
      <c r="X923" s="1398"/>
      <c r="Y923" s="1398"/>
      <c r="Z923" s="1398"/>
      <c r="AA923" s="1398"/>
      <c r="AB923" s="1398"/>
      <c r="AC923" s="1398"/>
      <c r="AD923" s="1398"/>
      <c r="AE923" s="1398"/>
      <c r="AF923" s="1398"/>
      <c r="AG923" s="1398"/>
      <c r="AH923" s="1398"/>
      <c r="AI923" s="1398"/>
      <c r="AJ923" s="1398"/>
    </row>
    <row r="924" spans="1:36" ht="15" customHeight="1" x14ac:dyDescent="0.3">
      <c r="A924" s="1398"/>
      <c r="B924" s="2162" t="s">
        <v>2543</v>
      </c>
      <c r="C924" s="2151"/>
      <c r="D924" s="2151"/>
      <c r="E924" s="2151"/>
      <c r="F924" s="2151"/>
      <c r="G924" s="2151"/>
      <c r="H924" s="2151"/>
      <c r="I924" s="2151"/>
      <c r="J924" s="2157"/>
      <c r="K924" s="2151"/>
      <c r="L924" s="2157"/>
      <c r="M924" s="2151"/>
      <c r="N924" s="2157"/>
      <c r="O924" s="2157"/>
      <c r="P924" s="2157"/>
      <c r="Q924" s="2157"/>
      <c r="R924" s="1398"/>
      <c r="S924" s="1398"/>
      <c r="T924" s="1398"/>
      <c r="U924" s="1398"/>
      <c r="V924" s="1398"/>
      <c r="W924" s="1398"/>
      <c r="X924" s="1398"/>
      <c r="Y924" s="1398"/>
      <c r="Z924" s="1398"/>
      <c r="AA924" s="1398"/>
      <c r="AB924" s="1398"/>
      <c r="AC924" s="1398"/>
      <c r="AD924" s="1398"/>
      <c r="AE924" s="1398"/>
      <c r="AF924" s="1398"/>
      <c r="AG924" s="1398"/>
      <c r="AH924" s="1398"/>
      <c r="AI924" s="1398"/>
      <c r="AJ924" s="1398"/>
    </row>
    <row r="925" spans="1:36" ht="15" customHeight="1" x14ac:dyDescent="0.3">
      <c r="A925" s="1398"/>
      <c r="B925" s="2160" t="s">
        <v>1941</v>
      </c>
      <c r="C925" s="2151"/>
      <c r="D925" s="2151"/>
      <c r="E925" s="2151"/>
      <c r="F925" s="2151"/>
      <c r="G925" s="2151"/>
      <c r="H925" s="2151"/>
      <c r="I925" s="2151"/>
      <c r="J925" s="2157"/>
      <c r="K925" s="2151"/>
      <c r="L925" s="2157"/>
      <c r="M925" s="2151"/>
      <c r="N925" s="2157"/>
      <c r="O925" s="2157"/>
      <c r="P925" s="2157"/>
      <c r="Q925" s="2157"/>
      <c r="R925" s="1398"/>
      <c r="S925" s="1398"/>
      <c r="T925" s="1398"/>
      <c r="U925" s="1398"/>
      <c r="V925" s="1398"/>
      <c r="W925" s="1398"/>
      <c r="X925" s="1398"/>
      <c r="Y925" s="1398"/>
      <c r="Z925" s="1398"/>
      <c r="AA925" s="1398"/>
      <c r="AB925" s="1398"/>
      <c r="AC925" s="1398"/>
      <c r="AD925" s="1398"/>
      <c r="AE925" s="1398"/>
      <c r="AF925" s="1398"/>
      <c r="AG925" s="1398"/>
      <c r="AH925" s="1398"/>
      <c r="AI925" s="1398"/>
      <c r="AJ925" s="1398"/>
    </row>
    <row r="926" spans="1:36" ht="15" customHeight="1" x14ac:dyDescent="0.35">
      <c r="A926" s="1398"/>
      <c r="B926" s="2160" t="s">
        <v>2542</v>
      </c>
      <c r="C926" s="2159" t="str">
        <f t="shared" ref="C926:I926" si="135">IF(AND(ISNUMBER(C927),ISNUMBER(C928)),C927+C928,"")</f>
        <v/>
      </c>
      <c r="D926" s="2159" t="str">
        <f t="shared" si="135"/>
        <v/>
      </c>
      <c r="E926" s="2159" t="str">
        <f t="shared" si="135"/>
        <v/>
      </c>
      <c r="F926" s="2159" t="str">
        <f t="shared" si="135"/>
        <v/>
      </c>
      <c r="G926" s="2159" t="str">
        <f t="shared" si="135"/>
        <v/>
      </c>
      <c r="H926" s="2159" t="str">
        <f t="shared" si="135"/>
        <v/>
      </c>
      <c r="I926" s="2159" t="str">
        <f t="shared" si="135"/>
        <v/>
      </c>
      <c r="J926" s="2157"/>
      <c r="K926" s="2159" t="str">
        <f>IF(AND(ISNUMBER(K927),ISNUMBER(K928)),K927+K928,"")</f>
        <v/>
      </c>
      <c r="L926" s="2157"/>
      <c r="M926" s="2159" t="str">
        <f>IF(AND(ISNUMBER(M927),ISNUMBER(M928)),M927+M928,"")</f>
        <v/>
      </c>
      <c r="N926" s="2157"/>
      <c r="O926" s="2157"/>
      <c r="P926" s="2157"/>
      <c r="Q926" s="2157"/>
      <c r="R926" s="1398"/>
      <c r="S926" s="1398"/>
      <c r="T926" s="1398"/>
      <c r="U926" s="1398"/>
      <c r="V926" s="1398"/>
      <c r="W926" s="1398"/>
      <c r="X926" s="1398"/>
      <c r="Y926" s="1398"/>
      <c r="Z926" s="1398"/>
      <c r="AA926" s="1398"/>
      <c r="AB926" s="1398"/>
      <c r="AC926" s="1398"/>
      <c r="AD926" s="1398"/>
      <c r="AE926" s="1398"/>
      <c r="AF926" s="1398"/>
      <c r="AG926" s="1398"/>
      <c r="AH926" s="1398"/>
      <c r="AI926" s="1398"/>
      <c r="AJ926" s="1398"/>
    </row>
    <row r="927" spans="1:36" ht="15" customHeight="1" x14ac:dyDescent="0.3">
      <c r="A927" s="1398"/>
      <c r="B927" s="2161" t="s">
        <v>2541</v>
      </c>
      <c r="C927" s="2151"/>
      <c r="D927" s="2151"/>
      <c r="E927" s="2151"/>
      <c r="F927" s="2151"/>
      <c r="G927" s="2151"/>
      <c r="H927" s="2151"/>
      <c r="I927" s="2151"/>
      <c r="J927" s="2157"/>
      <c r="K927" s="2151"/>
      <c r="L927" s="2157"/>
      <c r="M927" s="2151"/>
      <c r="N927" s="2157"/>
      <c r="O927" s="2157"/>
      <c r="P927" s="2157"/>
      <c r="Q927" s="2157"/>
      <c r="R927" s="1398"/>
      <c r="S927" s="1398"/>
      <c r="T927" s="1398"/>
      <c r="U927" s="1398"/>
      <c r="V927" s="1398"/>
      <c r="W927" s="1398"/>
      <c r="X927" s="1398"/>
      <c r="Y927" s="1398"/>
      <c r="Z927" s="1398"/>
      <c r="AA927" s="1398"/>
      <c r="AB927" s="1398"/>
      <c r="AC927" s="1398"/>
      <c r="AD927" s="1398"/>
      <c r="AE927" s="1398"/>
      <c r="AF927" s="1398"/>
      <c r="AG927" s="1398"/>
      <c r="AH927" s="1398"/>
      <c r="AI927" s="1398"/>
      <c r="AJ927" s="1398"/>
    </row>
    <row r="928" spans="1:36" ht="15" customHeight="1" x14ac:dyDescent="0.3">
      <c r="A928" s="1398"/>
      <c r="B928" s="2158" t="s">
        <v>1760</v>
      </c>
      <c r="C928" s="2151"/>
      <c r="D928" s="2151"/>
      <c r="E928" s="2151"/>
      <c r="F928" s="2151"/>
      <c r="G928" s="2151"/>
      <c r="H928" s="2151"/>
      <c r="I928" s="2151"/>
      <c r="J928" s="2157"/>
      <c r="K928" s="2151"/>
      <c r="L928" s="2157"/>
      <c r="M928" s="2151"/>
      <c r="N928" s="2157"/>
      <c r="O928" s="2157"/>
      <c r="P928" s="2157"/>
      <c r="Q928" s="2157"/>
      <c r="R928" s="1398"/>
      <c r="S928" s="1398"/>
      <c r="T928" s="1398"/>
      <c r="U928" s="1398"/>
      <c r="V928" s="1398"/>
      <c r="W928" s="1398"/>
      <c r="X928" s="1398"/>
      <c r="Y928" s="1398"/>
      <c r="Z928" s="1398"/>
      <c r="AA928" s="1398"/>
      <c r="AB928" s="1398"/>
      <c r="AC928" s="1398"/>
      <c r="AD928" s="1398"/>
      <c r="AE928" s="1398"/>
      <c r="AF928" s="1398"/>
      <c r="AG928" s="1398"/>
      <c r="AH928" s="1398"/>
      <c r="AI928" s="1398"/>
      <c r="AJ928" s="1398"/>
    </row>
    <row r="929" spans="1:36" ht="15" customHeight="1" x14ac:dyDescent="0.35">
      <c r="A929" s="1398"/>
      <c r="B929" s="2178" t="s">
        <v>2540</v>
      </c>
      <c r="C929" s="2159" t="str">
        <f t="shared" ref="C929:I929" si="136">IF(AND(ISNUMBER(C930),ISNUMBER(C931)),C930+C931,"")</f>
        <v/>
      </c>
      <c r="D929" s="2159" t="str">
        <f t="shared" si="136"/>
        <v/>
      </c>
      <c r="E929" s="2159" t="str">
        <f t="shared" si="136"/>
        <v/>
      </c>
      <c r="F929" s="2159" t="str">
        <f t="shared" si="136"/>
        <v/>
      </c>
      <c r="G929" s="2159" t="str">
        <f t="shared" si="136"/>
        <v/>
      </c>
      <c r="H929" s="2159" t="str">
        <f t="shared" si="136"/>
        <v/>
      </c>
      <c r="I929" s="2159" t="str">
        <f t="shared" si="136"/>
        <v/>
      </c>
      <c r="J929" s="2157"/>
      <c r="K929" s="2159" t="str">
        <f>IF(AND(ISNUMBER(K930),ISNUMBER(K931)),K930+K931,"")</f>
        <v/>
      </c>
      <c r="L929" s="2157"/>
      <c r="M929" s="2159" t="str">
        <f>IF(AND(ISNUMBER(M930),ISNUMBER(M931)),M930+M931,"")</f>
        <v/>
      </c>
      <c r="N929" s="2157"/>
      <c r="O929" s="2157"/>
      <c r="P929" s="2157"/>
      <c r="Q929" s="2157"/>
      <c r="R929" s="1398"/>
      <c r="S929" s="1398"/>
      <c r="T929" s="1398"/>
      <c r="U929" s="1398"/>
      <c r="V929" s="1398"/>
      <c r="W929" s="1398"/>
      <c r="X929" s="1398"/>
      <c r="Y929" s="1398"/>
      <c r="Z929" s="1398"/>
      <c r="AA929" s="1398"/>
      <c r="AB929" s="1398"/>
      <c r="AC929" s="1398"/>
      <c r="AD929" s="1398"/>
      <c r="AE929" s="1398"/>
      <c r="AF929" s="1398"/>
      <c r="AG929" s="1398"/>
      <c r="AH929" s="1398"/>
      <c r="AI929" s="1398"/>
      <c r="AJ929" s="1398"/>
    </row>
    <row r="930" spans="1:36" ht="15" customHeight="1" x14ac:dyDescent="0.3">
      <c r="A930" s="1398"/>
      <c r="B930" s="2177" t="s">
        <v>2539</v>
      </c>
      <c r="C930" s="2151"/>
      <c r="D930" s="2151"/>
      <c r="E930" s="2151"/>
      <c r="F930" s="2151"/>
      <c r="G930" s="2151"/>
      <c r="H930" s="2151"/>
      <c r="I930" s="2151"/>
      <c r="J930" s="2157"/>
      <c r="K930" s="2151"/>
      <c r="L930" s="2157"/>
      <c r="M930" s="2151"/>
      <c r="N930" s="2157"/>
      <c r="O930" s="2157"/>
      <c r="P930" s="2157"/>
      <c r="Q930" s="2157"/>
      <c r="R930" s="1398"/>
      <c r="S930" s="1398"/>
      <c r="T930" s="1398"/>
      <c r="U930" s="1398"/>
      <c r="V930" s="1398"/>
      <c r="W930" s="1398"/>
      <c r="X930" s="1398"/>
      <c r="Y930" s="1398"/>
      <c r="Z930" s="1398"/>
      <c r="AA930" s="1398"/>
      <c r="AB930" s="1398"/>
      <c r="AC930" s="1398"/>
      <c r="AD930" s="1398"/>
      <c r="AE930" s="1398"/>
      <c r="AF930" s="1398"/>
      <c r="AG930" s="1398"/>
      <c r="AH930" s="1398"/>
      <c r="AI930" s="1398"/>
      <c r="AJ930" s="1398"/>
    </row>
    <row r="931" spans="1:36" ht="15" customHeight="1" x14ac:dyDescent="0.3">
      <c r="A931" s="1398"/>
      <c r="B931" s="2177" t="s">
        <v>1760</v>
      </c>
      <c r="C931" s="2151"/>
      <c r="D931" s="2151"/>
      <c r="E931" s="2151"/>
      <c r="F931" s="2151"/>
      <c r="G931" s="2151"/>
      <c r="H931" s="2151"/>
      <c r="I931" s="2151"/>
      <c r="J931" s="2157"/>
      <c r="K931" s="2151"/>
      <c r="L931" s="2157"/>
      <c r="M931" s="2151"/>
      <c r="N931" s="2157"/>
      <c r="O931" s="2157"/>
      <c r="P931" s="2157"/>
      <c r="Q931" s="2157"/>
      <c r="R931" s="1398"/>
      <c r="S931" s="1398"/>
      <c r="T931" s="1398"/>
      <c r="U931" s="1398"/>
      <c r="V931" s="1398"/>
      <c r="W931" s="1398"/>
      <c r="X931" s="1398"/>
      <c r="Y931" s="1398"/>
      <c r="Z931" s="1398"/>
      <c r="AA931" s="1398"/>
      <c r="AB931" s="1398"/>
      <c r="AC931" s="1398"/>
      <c r="AD931" s="1398"/>
      <c r="AE931" s="1398"/>
      <c r="AF931" s="1398"/>
      <c r="AG931" s="1398"/>
      <c r="AH931" s="1398"/>
      <c r="AI931" s="1398"/>
      <c r="AJ931" s="1398"/>
    </row>
    <row r="932" spans="1:36" ht="15" customHeight="1" x14ac:dyDescent="0.35">
      <c r="A932" s="1398"/>
      <c r="B932" s="569" t="s">
        <v>59</v>
      </c>
      <c r="C932" s="2156">
        <f t="shared" ref="C932:Q932" si="137">IF(AND(ISNUMBER(C934),ISNUMBER(C933)),SUM(C933:C934),0)</f>
        <v>0</v>
      </c>
      <c r="D932" s="2156">
        <f t="shared" si="137"/>
        <v>0</v>
      </c>
      <c r="E932" s="2156">
        <f t="shared" si="137"/>
        <v>0</v>
      </c>
      <c r="F932" s="2156">
        <f t="shared" si="137"/>
        <v>0</v>
      </c>
      <c r="G932" s="2156">
        <f t="shared" si="137"/>
        <v>0</v>
      </c>
      <c r="H932" s="2156">
        <f t="shared" si="137"/>
        <v>0</v>
      </c>
      <c r="I932" s="2156">
        <f t="shared" si="137"/>
        <v>0</v>
      </c>
      <c r="J932" s="2156">
        <f t="shared" si="137"/>
        <v>0</v>
      </c>
      <c r="K932" s="2156">
        <f t="shared" si="137"/>
        <v>0</v>
      </c>
      <c r="L932" s="2156">
        <f t="shared" si="137"/>
        <v>0</v>
      </c>
      <c r="M932" s="2156">
        <f t="shared" si="137"/>
        <v>0</v>
      </c>
      <c r="N932" s="2156">
        <f t="shared" si="137"/>
        <v>0</v>
      </c>
      <c r="O932" s="2156">
        <f t="shared" si="137"/>
        <v>0</v>
      </c>
      <c r="P932" s="2156">
        <f t="shared" si="137"/>
        <v>0</v>
      </c>
      <c r="Q932" s="2156">
        <f t="shared" si="137"/>
        <v>0</v>
      </c>
      <c r="R932" s="1398"/>
      <c r="S932" s="1398"/>
      <c r="T932" s="1398"/>
      <c r="U932" s="1398"/>
      <c r="V932" s="1398"/>
      <c r="W932" s="1398"/>
      <c r="X932" s="1398"/>
      <c r="Y932" s="1398"/>
      <c r="Z932" s="1398"/>
      <c r="AA932" s="1398"/>
      <c r="AB932" s="1398"/>
      <c r="AC932" s="1398"/>
      <c r="AD932" s="1398"/>
      <c r="AE932" s="1398"/>
    </row>
    <row r="933" spans="1:36" ht="15" customHeight="1" x14ac:dyDescent="0.3">
      <c r="A933" s="1398"/>
      <c r="B933" s="2155" t="s">
        <v>2538</v>
      </c>
      <c r="C933" s="2151"/>
      <c r="D933" s="2151"/>
      <c r="E933" s="2151"/>
      <c r="F933" s="2151"/>
      <c r="G933" s="2151"/>
      <c r="H933" s="2151"/>
      <c r="I933" s="23"/>
      <c r="J933" s="2151"/>
      <c r="K933" s="2151"/>
      <c r="L933" s="2151"/>
      <c r="M933" s="2151"/>
      <c r="N933" s="2151"/>
      <c r="O933" s="2151"/>
      <c r="P933" s="2151"/>
      <c r="Q933" s="2151"/>
      <c r="R933" s="1398"/>
      <c r="S933" s="1398"/>
      <c r="T933" s="1398"/>
      <c r="U933" s="1398"/>
      <c r="V933" s="1398"/>
      <c r="W933" s="1398"/>
      <c r="X933" s="1398"/>
      <c r="Y933" s="1398"/>
      <c r="Z933" s="1398"/>
      <c r="AA933" s="1398"/>
      <c r="AB933" s="1398"/>
      <c r="AC933" s="1398"/>
      <c r="AD933" s="1398"/>
      <c r="AE933" s="1398"/>
    </row>
    <row r="934" spans="1:36" ht="15" customHeight="1" x14ac:dyDescent="0.3">
      <c r="A934" s="1398"/>
      <c r="B934" s="2155" t="s">
        <v>2537</v>
      </c>
      <c r="C934" s="2151"/>
      <c r="D934" s="2151"/>
      <c r="E934" s="2151"/>
      <c r="F934" s="2151"/>
      <c r="G934" s="2151"/>
      <c r="H934" s="2151"/>
      <c r="I934" s="23"/>
      <c r="J934" s="2151"/>
      <c r="K934" s="2151"/>
      <c r="L934" s="2151"/>
      <c r="M934" s="2151"/>
      <c r="N934" s="2151"/>
      <c r="O934" s="2151"/>
      <c r="P934" s="2151"/>
      <c r="Q934" s="2151"/>
      <c r="R934" s="1398"/>
      <c r="S934" s="1398"/>
      <c r="T934" s="1398"/>
      <c r="U934" s="1398"/>
      <c r="V934" s="1398"/>
      <c r="W934" s="1398"/>
      <c r="X934" s="1398"/>
      <c r="Y934" s="1398"/>
      <c r="Z934" s="1398"/>
      <c r="AA934" s="1398"/>
      <c r="AB934" s="1398"/>
      <c r="AC934" s="1398"/>
      <c r="AD934" s="1398"/>
      <c r="AE934" s="1398"/>
    </row>
    <row r="935" spans="1:36" ht="15" customHeight="1" x14ac:dyDescent="0.3">
      <c r="A935" s="1398"/>
      <c r="B935" s="2154" t="str">
        <f>"Check: row " &amp; ROW(B932) &amp;" = sum(row " &amp; ROW(B933) &amp; ", row "&amp; ROW(B934)&amp;")"</f>
        <v>Check: row 932 = sum(row 933, row 934)</v>
      </c>
      <c r="C935" s="2153" t="str">
        <f t="shared" ref="C935:Q935" si="138">IF(AND(ISNUMBER(C933), ISNUMBER(C934)), IF(C932=SUM(C933:C934), "Pass", "Fail"), "")</f>
        <v/>
      </c>
      <c r="D935" s="2153" t="str">
        <f t="shared" si="138"/>
        <v/>
      </c>
      <c r="E935" s="2153" t="str">
        <f t="shared" si="138"/>
        <v/>
      </c>
      <c r="F935" s="2153" t="str">
        <f t="shared" si="138"/>
        <v/>
      </c>
      <c r="G935" s="2153" t="str">
        <f t="shared" si="138"/>
        <v/>
      </c>
      <c r="H935" s="2153" t="str">
        <f t="shared" si="138"/>
        <v/>
      </c>
      <c r="I935" s="2153" t="str">
        <f t="shared" si="138"/>
        <v/>
      </c>
      <c r="J935" s="2153" t="str">
        <f t="shared" si="138"/>
        <v/>
      </c>
      <c r="K935" s="2153" t="str">
        <f t="shared" si="138"/>
        <v/>
      </c>
      <c r="L935" s="2153" t="str">
        <f t="shared" si="138"/>
        <v/>
      </c>
      <c r="M935" s="2153" t="str">
        <f t="shared" si="138"/>
        <v/>
      </c>
      <c r="N935" s="2153" t="str">
        <f t="shared" si="138"/>
        <v/>
      </c>
      <c r="O935" s="2153" t="str">
        <f t="shared" si="138"/>
        <v/>
      </c>
      <c r="P935" s="2153" t="str">
        <f t="shared" si="138"/>
        <v/>
      </c>
      <c r="Q935" s="2153" t="str">
        <f t="shared" si="138"/>
        <v/>
      </c>
      <c r="R935" s="1398"/>
      <c r="S935" s="1398"/>
      <c r="T935" s="1398"/>
      <c r="U935" s="1398"/>
      <c r="V935" s="1398"/>
      <c r="W935" s="1398"/>
      <c r="X935" s="1398"/>
      <c r="Y935" s="1398"/>
      <c r="Z935" s="1398"/>
      <c r="AA935" s="1398"/>
      <c r="AB935" s="1398"/>
      <c r="AC935" s="1398"/>
      <c r="AD935" s="1398"/>
      <c r="AE935" s="1398"/>
    </row>
    <row r="936" spans="1:36" ht="15" customHeight="1" x14ac:dyDescent="0.3">
      <c r="A936" s="1398"/>
      <c r="B936" s="2152" t="s">
        <v>2536</v>
      </c>
      <c r="C936" s="2151"/>
      <c r="D936" s="1398"/>
      <c r="E936" s="1398"/>
      <c r="F936" s="1398"/>
      <c r="G936" s="1398"/>
      <c r="H936" s="1398"/>
      <c r="I936" s="1398"/>
      <c r="J936" s="1398"/>
      <c r="K936" s="1398"/>
      <c r="L936" s="1398"/>
      <c r="M936" s="1398"/>
      <c r="N936" s="1398"/>
      <c r="O936" s="1398"/>
      <c r="P936" s="1398"/>
      <c r="Q936" s="1398"/>
      <c r="R936" s="1398"/>
      <c r="S936" s="1398"/>
      <c r="T936" s="1398"/>
      <c r="U936" s="1398"/>
      <c r="V936" s="1398"/>
      <c r="W936" s="1398"/>
      <c r="X936" s="1398"/>
      <c r="Y936" s="1398"/>
      <c r="Z936" s="1398"/>
      <c r="AA936" s="1398"/>
      <c r="AB936" s="1398"/>
      <c r="AC936" s="1398"/>
      <c r="AD936" s="1398"/>
      <c r="AE936" s="1398"/>
    </row>
    <row r="937" spans="1:36" ht="15" customHeight="1" x14ac:dyDescent="0.3">
      <c r="A937" s="1398"/>
      <c r="B937" s="2150" t="s">
        <v>2535</v>
      </c>
      <c r="C937" s="2149"/>
      <c r="D937" s="1398"/>
      <c r="E937" s="1398"/>
      <c r="F937" s="1398"/>
      <c r="G937" s="1398"/>
      <c r="H937" s="1398"/>
      <c r="I937" s="1398"/>
      <c r="J937" s="1398"/>
      <c r="K937" s="1398"/>
      <c r="L937" s="1398"/>
      <c r="M937" s="1398"/>
      <c r="N937" s="1398"/>
      <c r="O937" s="1398"/>
      <c r="P937" s="1398"/>
      <c r="Q937" s="1398"/>
      <c r="R937" s="1398"/>
      <c r="S937" s="1398"/>
      <c r="T937" s="1398"/>
      <c r="U937" s="1398"/>
      <c r="V937" s="1398"/>
      <c r="W937" s="1398"/>
      <c r="X937" s="1398"/>
      <c r="Y937" s="1398"/>
      <c r="Z937" s="1398"/>
      <c r="AA937" s="1398"/>
      <c r="AB937" s="1398"/>
      <c r="AC937" s="1398"/>
      <c r="AD937" s="1398"/>
      <c r="AE937" s="1398"/>
    </row>
    <row r="938" spans="1:36" ht="15" customHeight="1" x14ac:dyDescent="0.35">
      <c r="A938" s="1398"/>
      <c r="D938" s="1398"/>
      <c r="E938" s="1398"/>
      <c r="F938" s="1398"/>
      <c r="G938" s="1398"/>
      <c r="H938" s="1398"/>
      <c r="I938" s="1398"/>
      <c r="J938" s="1398"/>
      <c r="K938" s="1398"/>
      <c r="L938" s="1398"/>
      <c r="M938" s="1398"/>
      <c r="N938" s="1398"/>
      <c r="O938" s="1398"/>
      <c r="P938" s="1398"/>
      <c r="Q938" s="1398"/>
      <c r="R938" s="1398"/>
      <c r="S938" s="1398"/>
      <c r="T938" s="1398"/>
      <c r="U938" s="1398"/>
      <c r="V938" s="1398"/>
      <c r="W938" s="1398"/>
      <c r="X938" s="1398"/>
      <c r="Y938" s="1398"/>
      <c r="Z938" s="1398"/>
      <c r="AA938" s="1398"/>
      <c r="AB938" s="1398"/>
      <c r="AC938" s="1398"/>
      <c r="AD938" s="1398"/>
      <c r="AE938" s="1398"/>
      <c r="AF938" s="1398"/>
      <c r="AG938" s="1398"/>
      <c r="AH938" s="1398"/>
      <c r="AI938" s="1398"/>
      <c r="AJ938" s="1398"/>
    </row>
    <row r="939" spans="1:36" ht="15" customHeight="1" x14ac:dyDescent="0.3">
      <c r="A939" s="2176" t="s">
        <v>2567</v>
      </c>
      <c r="B939" s="2175"/>
      <c r="C939" s="2174" t="s">
        <v>2566</v>
      </c>
      <c r="D939" s="2173" t="str">
        <f>IF(ISBLANK($Z$7),"",IF($Z$7="No","Please leave Panel B"&amp;COLUMN($Z$7)-2&amp;" empty","Please fill in Panel B"&amp;COLUMN($Z$7)-2))</f>
        <v/>
      </c>
      <c r="E939" s="1398"/>
      <c r="F939" s="1398"/>
      <c r="G939" s="1398"/>
      <c r="H939" s="1398"/>
      <c r="I939" s="1398"/>
      <c r="J939" s="1398"/>
      <c r="K939" s="1398"/>
      <c r="L939" s="1398"/>
      <c r="M939" s="1398"/>
      <c r="N939" s="1398"/>
      <c r="O939" s="1398"/>
      <c r="P939" s="1398"/>
      <c r="Q939" s="1398"/>
      <c r="R939" s="1398"/>
      <c r="S939" s="1398"/>
      <c r="T939" s="1398"/>
      <c r="U939" s="1398"/>
      <c r="V939" s="1398"/>
      <c r="W939" s="1398"/>
      <c r="X939" s="1398"/>
      <c r="Y939" s="1398"/>
      <c r="Z939" s="1398"/>
      <c r="AA939" s="1398"/>
      <c r="AB939" s="1398"/>
      <c r="AC939" s="1398"/>
      <c r="AD939" s="1398"/>
      <c r="AE939" s="1398"/>
      <c r="AF939" s="1398"/>
      <c r="AG939" s="1398"/>
      <c r="AH939" s="1398"/>
      <c r="AI939" s="1398"/>
      <c r="AJ939" s="1398"/>
    </row>
    <row r="940" spans="1:36" ht="15" customHeight="1" x14ac:dyDescent="0.35">
      <c r="A940" s="1398"/>
      <c r="C940" s="2980" t="s">
        <v>207</v>
      </c>
      <c r="D940" s="2980"/>
      <c r="E940" s="2980"/>
      <c r="F940" s="2980"/>
      <c r="G940" s="2980"/>
      <c r="H940" s="2980"/>
      <c r="I940" s="2980"/>
      <c r="J940" s="2980"/>
      <c r="K940" s="2980"/>
      <c r="L940" s="2981"/>
      <c r="M940" s="2982" t="s">
        <v>2559</v>
      </c>
      <c r="N940" s="2984" t="s">
        <v>2565</v>
      </c>
      <c r="O940" s="2985"/>
      <c r="P940" s="2985"/>
      <c r="Q940" s="2985"/>
      <c r="R940" s="1398"/>
      <c r="S940" s="1398"/>
      <c r="T940" s="1398"/>
      <c r="U940" s="1398"/>
      <c r="V940" s="1398"/>
      <c r="W940" s="1398"/>
      <c r="X940" s="1398"/>
      <c r="Y940" s="1398"/>
      <c r="Z940" s="1398"/>
      <c r="AA940" s="1398"/>
      <c r="AB940" s="1398"/>
      <c r="AC940" s="1398"/>
      <c r="AD940" s="1398"/>
      <c r="AE940" s="1398"/>
      <c r="AF940" s="1398"/>
      <c r="AG940" s="1398"/>
      <c r="AH940" s="1398"/>
      <c r="AI940" s="1398"/>
      <c r="AJ940" s="1398"/>
    </row>
    <row r="941" spans="1:36" ht="15" customHeight="1" x14ac:dyDescent="0.35">
      <c r="A941" s="1398"/>
      <c r="B941" s="2172"/>
      <c r="C941" s="2967" t="s">
        <v>2564</v>
      </c>
      <c r="D941" s="2973" t="s">
        <v>465</v>
      </c>
      <c r="E941" s="2974"/>
      <c r="F941" s="2974"/>
      <c r="G941" s="2974"/>
      <c r="H941" s="2975"/>
      <c r="I941" s="2969" t="s">
        <v>2563</v>
      </c>
      <c r="J941" s="2969" t="s">
        <v>2562</v>
      </c>
      <c r="K941" s="2969" t="s">
        <v>2561</v>
      </c>
      <c r="L941" s="2969" t="s">
        <v>2560</v>
      </c>
      <c r="M941" s="2983"/>
      <c r="N941" s="2978" t="s">
        <v>207</v>
      </c>
      <c r="O941" s="2978" t="s">
        <v>2559</v>
      </c>
      <c r="P941" s="2969" t="s">
        <v>59</v>
      </c>
      <c r="Q941" s="2971" t="s">
        <v>2558</v>
      </c>
      <c r="R941" s="1398"/>
      <c r="S941" s="1398"/>
      <c r="T941" s="1398"/>
      <c r="U941" s="1398"/>
      <c r="V941" s="1398"/>
      <c r="W941" s="1398"/>
      <c r="X941" s="1398"/>
      <c r="Y941" s="1398"/>
      <c r="Z941" s="1398"/>
      <c r="AA941" s="1398"/>
      <c r="AB941" s="1398"/>
      <c r="AC941" s="1398"/>
      <c r="AD941" s="1398"/>
      <c r="AE941" s="1398"/>
      <c r="AF941" s="1398"/>
      <c r="AG941" s="1398"/>
      <c r="AH941" s="1398"/>
      <c r="AI941" s="1398"/>
      <c r="AJ941" s="1398"/>
    </row>
    <row r="942" spans="1:36" ht="15" customHeight="1" x14ac:dyDescent="0.35">
      <c r="A942" s="1398"/>
      <c r="B942" s="2171"/>
      <c r="C942" s="2968"/>
      <c r="D942" s="2170" t="s">
        <v>2557</v>
      </c>
      <c r="E942" s="2170" t="s">
        <v>2556</v>
      </c>
      <c r="F942" s="2170" t="s">
        <v>2555</v>
      </c>
      <c r="G942" s="2170" t="s">
        <v>2554</v>
      </c>
      <c r="H942" s="2170" t="s">
        <v>59</v>
      </c>
      <c r="I942" s="2970"/>
      <c r="J942" s="2970"/>
      <c r="K942" s="2970"/>
      <c r="L942" s="2970"/>
      <c r="M942" s="2970"/>
      <c r="N942" s="2979"/>
      <c r="O942" s="2979"/>
      <c r="P942" s="2970"/>
      <c r="Q942" s="2972"/>
      <c r="R942" s="1398"/>
      <c r="S942" s="1398"/>
      <c r="T942" s="1398"/>
      <c r="U942" s="1398"/>
      <c r="V942" s="1398"/>
      <c r="W942" s="1398"/>
      <c r="X942" s="1398"/>
      <c r="Y942" s="1398"/>
      <c r="Z942" s="1398"/>
      <c r="AA942" s="1398"/>
      <c r="AB942" s="1398"/>
      <c r="AC942" s="1398"/>
      <c r="AD942" s="1398"/>
      <c r="AE942" s="1398"/>
      <c r="AF942" s="1398"/>
      <c r="AG942" s="1398"/>
      <c r="AH942" s="1398"/>
      <c r="AI942" s="1398"/>
      <c r="AJ942" s="1398"/>
    </row>
    <row r="943" spans="1:36" ht="15" customHeight="1" x14ac:dyDescent="0.35">
      <c r="A943" s="1398"/>
      <c r="B943" s="2169" t="s">
        <v>2553</v>
      </c>
      <c r="C943" s="2168" t="str">
        <f t="shared" ref="C943:I943" si="139">IF(AND(ISNUMBER(C956),ISNUMBER(C952),ISNUMBER(C954),ISNUMBER(C944),ISNUMBER(C948),ISNUMBER(C946),ISNUMBER(C950),ISNUMBER(C958)),SUM(C944,C946,C948,C950,C952,C954,C956,C958),"")</f>
        <v/>
      </c>
      <c r="D943" s="2168" t="str">
        <f t="shared" si="139"/>
        <v/>
      </c>
      <c r="E943" s="2168" t="str">
        <f t="shared" si="139"/>
        <v/>
      </c>
      <c r="F943" s="2168" t="str">
        <f t="shared" si="139"/>
        <v/>
      </c>
      <c r="G943" s="2168" t="str">
        <f t="shared" si="139"/>
        <v/>
      </c>
      <c r="H943" s="2168" t="str">
        <f t="shared" si="139"/>
        <v/>
      </c>
      <c r="I943" s="2168" t="str">
        <f t="shared" si="139"/>
        <v/>
      </c>
      <c r="J943" s="2157"/>
      <c r="K943" s="2168" t="str">
        <f>IF(AND(ISNUMBER(K956),ISNUMBER(K952),ISNUMBER(K954),ISNUMBER(K944),ISNUMBER(K948),ISNUMBER(K946),ISNUMBER(K950),ISNUMBER(K958)),SUM(K944,K946,K948,K950,K952,K954,K956,K958),"")</f>
        <v/>
      </c>
      <c r="L943" s="2157"/>
      <c r="M943" s="2168" t="str">
        <f>IF(AND(ISNUMBER(M956),ISNUMBER(M952),ISNUMBER(M954),ISNUMBER(M944),ISNUMBER(M948),ISNUMBER(M946),ISNUMBER(M950),ISNUMBER(M958)),SUM(M944,M946,M948,M950,M952,M954,M956,M958),"")</f>
        <v/>
      </c>
      <c r="N943" s="2167"/>
      <c r="O943" s="2167"/>
      <c r="P943" s="2167"/>
      <c r="Q943" s="2167"/>
      <c r="R943" s="1398"/>
      <c r="S943" s="1398"/>
      <c r="T943" s="1398"/>
      <c r="U943" s="1398"/>
      <c r="V943" s="1398"/>
      <c r="W943" s="1398"/>
      <c r="X943" s="1398"/>
      <c r="Y943" s="1398"/>
      <c r="Z943" s="1398"/>
      <c r="AA943" s="1398"/>
      <c r="AB943" s="1398"/>
      <c r="AC943" s="1398"/>
      <c r="AD943" s="1398"/>
      <c r="AE943" s="1398"/>
      <c r="AF943" s="1398"/>
      <c r="AG943" s="1398"/>
      <c r="AH943" s="1398"/>
      <c r="AI943" s="1398"/>
      <c r="AJ943" s="1398"/>
    </row>
    <row r="944" spans="1:36" ht="15" customHeight="1" x14ac:dyDescent="0.3">
      <c r="A944" s="1398"/>
      <c r="B944" s="2163" t="s">
        <v>2552</v>
      </c>
      <c r="C944" s="2151"/>
      <c r="D944" s="2151"/>
      <c r="E944" s="2151"/>
      <c r="F944" s="2151"/>
      <c r="G944" s="2151"/>
      <c r="H944" s="2151"/>
      <c r="I944" s="2151"/>
      <c r="J944" s="2157"/>
      <c r="K944" s="23"/>
      <c r="L944" s="2157"/>
      <c r="M944" s="2151"/>
      <c r="N944" s="2157"/>
      <c r="O944" s="2157"/>
      <c r="P944" s="2157"/>
      <c r="Q944" s="2157"/>
      <c r="R944" s="1398"/>
      <c r="S944" s="1398"/>
      <c r="T944" s="1398"/>
      <c r="U944" s="1398"/>
      <c r="V944" s="1398"/>
      <c r="W944" s="1398"/>
      <c r="X944" s="1398"/>
      <c r="Y944" s="1398"/>
      <c r="Z944" s="1398"/>
      <c r="AA944" s="1398"/>
      <c r="AB944" s="1398"/>
      <c r="AC944" s="1398"/>
      <c r="AD944" s="1398"/>
      <c r="AE944" s="1398"/>
      <c r="AF944" s="1398"/>
      <c r="AG944" s="1398"/>
      <c r="AH944" s="1398"/>
      <c r="AI944" s="1398"/>
      <c r="AJ944" s="1398"/>
    </row>
    <row r="945" spans="1:36" ht="15" customHeight="1" x14ac:dyDescent="0.3">
      <c r="A945" s="1398"/>
      <c r="B945" s="2162" t="s">
        <v>2543</v>
      </c>
      <c r="C945" s="2151"/>
      <c r="D945" s="2151"/>
      <c r="E945" s="2151"/>
      <c r="F945" s="2151"/>
      <c r="G945" s="2151"/>
      <c r="H945" s="2151"/>
      <c r="I945" s="2151"/>
      <c r="J945" s="2157"/>
      <c r="K945" s="23"/>
      <c r="L945" s="2157"/>
      <c r="M945" s="2151"/>
      <c r="N945" s="2157"/>
      <c r="O945" s="2157"/>
      <c r="P945" s="2157"/>
      <c r="Q945" s="2157"/>
      <c r="R945" s="1398"/>
      <c r="S945" s="1398"/>
      <c r="T945" s="1398"/>
      <c r="U945" s="1398"/>
      <c r="V945" s="1398"/>
      <c r="W945" s="1398"/>
      <c r="X945" s="1398"/>
      <c r="Y945" s="1398"/>
      <c r="Z945" s="1398"/>
      <c r="AA945" s="1398"/>
      <c r="AB945" s="1398"/>
      <c r="AC945" s="1398"/>
      <c r="AD945" s="1398"/>
      <c r="AE945" s="1398"/>
      <c r="AF945" s="1398"/>
      <c r="AG945" s="1398"/>
      <c r="AH945" s="1398"/>
      <c r="AI945" s="1398"/>
      <c r="AJ945" s="1398"/>
    </row>
    <row r="946" spans="1:36" ht="15" customHeight="1" x14ac:dyDescent="0.3">
      <c r="A946" s="1398"/>
      <c r="B946" s="2155" t="s">
        <v>2551</v>
      </c>
      <c r="C946" s="2151"/>
      <c r="D946" s="2151"/>
      <c r="E946" s="2151"/>
      <c r="F946" s="2151"/>
      <c r="G946" s="2151"/>
      <c r="H946" s="2151"/>
      <c r="I946" s="2151"/>
      <c r="J946" s="2157"/>
      <c r="K946" s="23"/>
      <c r="L946" s="2157"/>
      <c r="M946" s="2151"/>
      <c r="N946" s="2157"/>
      <c r="O946" s="2157"/>
      <c r="P946" s="2157"/>
      <c r="Q946" s="2157"/>
      <c r="R946" s="1398"/>
      <c r="S946" s="1398"/>
      <c r="T946" s="1398"/>
      <c r="U946" s="1398"/>
      <c r="V946" s="1398"/>
      <c r="W946" s="1398"/>
      <c r="X946" s="1398"/>
      <c r="Y946" s="1398"/>
      <c r="Z946" s="1398"/>
      <c r="AA946" s="1398"/>
      <c r="AB946" s="1398"/>
      <c r="AC946" s="1398"/>
      <c r="AD946" s="1398"/>
      <c r="AE946" s="1398"/>
      <c r="AF946" s="1398"/>
      <c r="AG946" s="1398"/>
      <c r="AH946" s="1398"/>
      <c r="AI946" s="1398"/>
      <c r="AJ946" s="1398"/>
    </row>
    <row r="947" spans="1:36" ht="15" customHeight="1" x14ac:dyDescent="0.3">
      <c r="A947" s="1398"/>
      <c r="B947" s="2165" t="s">
        <v>2543</v>
      </c>
      <c r="C947" s="2151"/>
      <c r="D947" s="2151"/>
      <c r="E947" s="2151"/>
      <c r="F947" s="2151"/>
      <c r="G947" s="2151"/>
      <c r="H947" s="2151"/>
      <c r="I947" s="2151"/>
      <c r="J947" s="2157"/>
      <c r="K947" s="23"/>
      <c r="L947" s="2157"/>
      <c r="M947" s="2151"/>
      <c r="N947" s="2157"/>
      <c r="O947" s="2157"/>
      <c r="P947" s="2157"/>
      <c r="Q947" s="2157"/>
      <c r="R947" s="1398"/>
      <c r="S947" s="1398"/>
      <c r="T947" s="1398"/>
      <c r="U947" s="1398"/>
      <c r="V947" s="1398"/>
      <c r="W947" s="1398"/>
      <c r="X947" s="1398"/>
      <c r="Y947" s="1398"/>
      <c r="Z947" s="1398"/>
      <c r="AA947" s="1398"/>
      <c r="AB947" s="1398"/>
      <c r="AC947" s="1398"/>
      <c r="AD947" s="1398"/>
      <c r="AE947" s="1398"/>
      <c r="AF947" s="1398"/>
      <c r="AG947" s="1398"/>
      <c r="AH947" s="1398"/>
      <c r="AI947" s="1398"/>
      <c r="AJ947" s="1398"/>
    </row>
    <row r="948" spans="1:36" ht="15" customHeight="1" x14ac:dyDescent="0.3">
      <c r="A948" s="1398"/>
      <c r="B948" s="2163" t="s">
        <v>2550</v>
      </c>
      <c r="C948" s="2151"/>
      <c r="D948" s="2151"/>
      <c r="E948" s="2151"/>
      <c r="F948" s="2151"/>
      <c r="G948" s="2151"/>
      <c r="H948" s="2151"/>
      <c r="I948" s="2151"/>
      <c r="J948" s="2157"/>
      <c r="K948" s="23"/>
      <c r="L948" s="2157"/>
      <c r="M948" s="2151"/>
      <c r="N948" s="2157"/>
      <c r="O948" s="2157"/>
      <c r="P948" s="2157"/>
      <c r="Q948" s="2157"/>
      <c r="R948" s="1398"/>
      <c r="S948" s="1398"/>
      <c r="T948" s="1398"/>
      <c r="U948" s="1398"/>
      <c r="V948" s="1398"/>
      <c r="W948" s="1398"/>
      <c r="X948" s="1398"/>
      <c r="Y948" s="1398"/>
      <c r="Z948" s="1398"/>
      <c r="AA948" s="1398"/>
      <c r="AB948" s="1398"/>
      <c r="AC948" s="1398"/>
      <c r="AD948" s="1398"/>
      <c r="AE948" s="1398"/>
      <c r="AF948" s="1398"/>
      <c r="AG948" s="1398"/>
      <c r="AH948" s="1398"/>
      <c r="AI948" s="1398"/>
      <c r="AJ948" s="1398"/>
    </row>
    <row r="949" spans="1:36" ht="15" customHeight="1" x14ac:dyDescent="0.3">
      <c r="A949" s="1398"/>
      <c r="B949" s="2162" t="s">
        <v>2543</v>
      </c>
      <c r="C949" s="2151"/>
      <c r="D949" s="2151"/>
      <c r="E949" s="2151"/>
      <c r="F949" s="2151"/>
      <c r="G949" s="2151"/>
      <c r="H949" s="2151"/>
      <c r="I949" s="2151"/>
      <c r="J949" s="2157"/>
      <c r="K949" s="23"/>
      <c r="L949" s="2157"/>
      <c r="M949" s="2151"/>
      <c r="N949" s="2157"/>
      <c r="O949" s="2157"/>
      <c r="P949" s="2157"/>
      <c r="Q949" s="2157"/>
      <c r="R949" s="1398"/>
      <c r="S949" s="1398"/>
      <c r="T949" s="1398"/>
      <c r="U949" s="1398"/>
      <c r="V949" s="1398"/>
      <c r="W949" s="1398"/>
      <c r="X949" s="1398"/>
      <c r="Y949" s="1398"/>
      <c r="Z949" s="1398"/>
      <c r="AA949" s="1398"/>
      <c r="AB949" s="1398"/>
      <c r="AC949" s="1398"/>
      <c r="AD949" s="1398"/>
      <c r="AE949" s="1398"/>
      <c r="AF949" s="1398"/>
      <c r="AG949" s="1398"/>
      <c r="AH949" s="1398"/>
      <c r="AI949" s="1398"/>
      <c r="AJ949" s="1398"/>
    </row>
    <row r="950" spans="1:36" ht="15" customHeight="1" x14ac:dyDescent="0.3">
      <c r="A950" s="1398"/>
      <c r="B950" s="2155" t="s">
        <v>2549</v>
      </c>
      <c r="C950" s="2151"/>
      <c r="D950" s="2151"/>
      <c r="E950" s="2151"/>
      <c r="F950" s="2151"/>
      <c r="G950" s="2151"/>
      <c r="H950" s="2151"/>
      <c r="I950" s="2151"/>
      <c r="J950" s="2157"/>
      <c r="K950" s="23"/>
      <c r="L950" s="2157"/>
      <c r="M950" s="2151"/>
      <c r="N950" s="2157"/>
      <c r="O950" s="2157"/>
      <c r="P950" s="2157"/>
      <c r="Q950" s="2157"/>
      <c r="R950" s="1398"/>
      <c r="S950" s="1398"/>
      <c r="T950" s="1398"/>
      <c r="U950" s="1398"/>
      <c r="V950" s="1398"/>
      <c r="W950" s="1398"/>
      <c r="X950" s="1398"/>
      <c r="Y950" s="1398"/>
      <c r="Z950" s="1398"/>
      <c r="AA950" s="1398"/>
      <c r="AB950" s="1398"/>
      <c r="AC950" s="1398"/>
      <c r="AD950" s="1398"/>
      <c r="AE950" s="1398"/>
      <c r="AF950" s="1398"/>
      <c r="AG950" s="1398"/>
      <c r="AH950" s="1398"/>
      <c r="AI950" s="1398"/>
      <c r="AJ950" s="1398"/>
    </row>
    <row r="951" spans="1:36" ht="15" customHeight="1" x14ac:dyDescent="0.3">
      <c r="A951" s="1398"/>
      <c r="B951" s="2165" t="s">
        <v>2543</v>
      </c>
      <c r="C951" s="2151"/>
      <c r="D951" s="2151"/>
      <c r="E951" s="2151"/>
      <c r="F951" s="2151"/>
      <c r="G951" s="2151"/>
      <c r="H951" s="2151"/>
      <c r="I951" s="2151"/>
      <c r="J951" s="2157"/>
      <c r="K951" s="23"/>
      <c r="L951" s="2157"/>
      <c r="M951" s="2151"/>
      <c r="N951" s="2157"/>
      <c r="O951" s="2157"/>
      <c r="P951" s="2157"/>
      <c r="Q951" s="2157"/>
      <c r="R951" s="1398"/>
      <c r="S951" s="1398"/>
      <c r="T951" s="1398"/>
      <c r="U951" s="1398"/>
      <c r="V951" s="1398"/>
      <c r="W951" s="1398"/>
      <c r="X951" s="1398"/>
      <c r="Y951" s="1398"/>
      <c r="Z951" s="1398"/>
      <c r="AA951" s="1398"/>
      <c r="AB951" s="1398"/>
      <c r="AC951" s="1398"/>
      <c r="AD951" s="1398"/>
      <c r="AE951" s="1398"/>
      <c r="AF951" s="1398"/>
      <c r="AG951" s="1398"/>
      <c r="AH951" s="1398"/>
      <c r="AI951" s="1398"/>
      <c r="AJ951" s="1398"/>
    </row>
    <row r="952" spans="1:36" ht="15" customHeight="1" x14ac:dyDescent="0.3">
      <c r="A952" s="1398"/>
      <c r="B952" s="2163" t="s">
        <v>2548</v>
      </c>
      <c r="C952" s="2151"/>
      <c r="D952" s="2151"/>
      <c r="E952" s="2151"/>
      <c r="F952" s="2151"/>
      <c r="G952" s="2151"/>
      <c r="H952" s="2151"/>
      <c r="I952" s="2151"/>
      <c r="J952" s="2157"/>
      <c r="K952" s="23"/>
      <c r="L952" s="2157"/>
      <c r="M952" s="2151"/>
      <c r="N952" s="2157"/>
      <c r="O952" s="2157"/>
      <c r="P952" s="2157"/>
      <c r="Q952" s="2157"/>
      <c r="R952" s="1398"/>
      <c r="S952" s="1398"/>
      <c r="T952" s="1398"/>
      <c r="U952" s="1398"/>
      <c r="V952" s="1398"/>
      <c r="W952" s="1398"/>
      <c r="X952" s="1398"/>
      <c r="Y952" s="1398"/>
      <c r="Z952" s="1398"/>
      <c r="AA952" s="1398"/>
      <c r="AB952" s="1398"/>
      <c r="AC952" s="1398"/>
      <c r="AD952" s="1398"/>
      <c r="AE952" s="1398"/>
      <c r="AF952" s="1398"/>
      <c r="AG952" s="1398"/>
      <c r="AH952" s="1398"/>
      <c r="AI952" s="1398"/>
      <c r="AJ952" s="1398"/>
    </row>
    <row r="953" spans="1:36" ht="15" customHeight="1" x14ac:dyDescent="0.3">
      <c r="A953" s="1398"/>
      <c r="B953" s="2162" t="s">
        <v>2543</v>
      </c>
      <c r="C953" s="2151"/>
      <c r="D953" s="2151"/>
      <c r="E953" s="2151"/>
      <c r="F953" s="2151"/>
      <c r="G953" s="2151"/>
      <c r="H953" s="2151"/>
      <c r="I953" s="2151"/>
      <c r="J953" s="2157"/>
      <c r="K953" s="23"/>
      <c r="L953" s="2157"/>
      <c r="M953" s="2151"/>
      <c r="N953" s="2157"/>
      <c r="O953" s="2157"/>
      <c r="P953" s="2157"/>
      <c r="Q953" s="2157"/>
      <c r="R953" s="1398"/>
      <c r="S953" s="1398"/>
      <c r="T953" s="1398"/>
      <c r="U953" s="1398"/>
      <c r="V953" s="1398"/>
      <c r="W953" s="1398"/>
      <c r="X953" s="1398"/>
      <c r="Y953" s="1398"/>
      <c r="Z953" s="1398"/>
      <c r="AA953" s="1398"/>
      <c r="AB953" s="1398"/>
      <c r="AC953" s="1398"/>
      <c r="AD953" s="1398"/>
      <c r="AE953" s="1398"/>
      <c r="AF953" s="1398"/>
      <c r="AG953" s="1398"/>
      <c r="AH953" s="1398"/>
      <c r="AI953" s="1398"/>
      <c r="AJ953" s="1398"/>
    </row>
    <row r="954" spans="1:36" ht="15" customHeight="1" x14ac:dyDescent="0.3">
      <c r="A954" s="1398"/>
      <c r="B954" s="2155" t="s">
        <v>2547</v>
      </c>
      <c r="C954" s="2151"/>
      <c r="D954" s="2151"/>
      <c r="E954" s="2151"/>
      <c r="F954" s="2151"/>
      <c r="G954" s="2151"/>
      <c r="H954" s="2151"/>
      <c r="I954" s="2151"/>
      <c r="J954" s="2157"/>
      <c r="K954" s="23"/>
      <c r="L954" s="2157"/>
      <c r="M954" s="2151"/>
      <c r="N954" s="2157"/>
      <c r="O954" s="2157"/>
      <c r="P954" s="2157"/>
      <c r="Q954" s="2157"/>
      <c r="R954" s="1398"/>
      <c r="S954" s="1398"/>
      <c r="T954" s="1398"/>
      <c r="U954" s="1398"/>
      <c r="V954" s="1398"/>
      <c r="W954" s="1398"/>
      <c r="X954" s="1398"/>
      <c r="Y954" s="1398"/>
      <c r="Z954" s="1398"/>
      <c r="AA954" s="1398"/>
      <c r="AB954" s="1398"/>
      <c r="AC954" s="1398"/>
      <c r="AD954" s="1398"/>
      <c r="AE954" s="1398"/>
      <c r="AF954" s="1398"/>
      <c r="AG954" s="1398"/>
      <c r="AH954" s="1398"/>
      <c r="AI954" s="1398"/>
      <c r="AJ954" s="1398"/>
    </row>
    <row r="955" spans="1:36" ht="15" customHeight="1" x14ac:dyDescent="0.3">
      <c r="A955" s="1398"/>
      <c r="B955" s="2165" t="s">
        <v>2543</v>
      </c>
      <c r="C955" s="2151"/>
      <c r="D955" s="2151"/>
      <c r="E955" s="2151"/>
      <c r="F955" s="2151"/>
      <c r="G955" s="2151"/>
      <c r="H955" s="2151"/>
      <c r="I955" s="2151"/>
      <c r="J955" s="2157"/>
      <c r="K955" s="23"/>
      <c r="L955" s="2157"/>
      <c r="M955" s="2151"/>
      <c r="N955" s="2157"/>
      <c r="O955" s="2157"/>
      <c r="P955" s="2157"/>
      <c r="Q955" s="2157"/>
      <c r="R955" s="1398"/>
      <c r="S955" s="1398"/>
      <c r="T955" s="1398"/>
      <c r="U955" s="1398"/>
      <c r="V955" s="1398"/>
      <c r="W955" s="1398"/>
      <c r="X955" s="1398"/>
      <c r="Y955" s="1398"/>
      <c r="Z955" s="1398"/>
      <c r="AA955" s="1398"/>
      <c r="AB955" s="1398"/>
      <c r="AC955" s="1398"/>
      <c r="AD955" s="1398"/>
      <c r="AE955" s="1398"/>
      <c r="AF955" s="1398"/>
      <c r="AG955" s="1398"/>
      <c r="AH955" s="1398"/>
      <c r="AI955" s="1398"/>
      <c r="AJ955" s="1398"/>
    </row>
    <row r="956" spans="1:36" ht="15" customHeight="1" x14ac:dyDescent="0.3">
      <c r="A956" s="1398"/>
      <c r="B956" s="2166" t="s">
        <v>2546</v>
      </c>
      <c r="C956" s="2151"/>
      <c r="D956" s="2151"/>
      <c r="E956" s="2151"/>
      <c r="F956" s="2151"/>
      <c r="G956" s="2151"/>
      <c r="H956" s="2151"/>
      <c r="I956" s="2151"/>
      <c r="J956" s="2157"/>
      <c r="K956" s="23"/>
      <c r="L956" s="2157"/>
      <c r="M956" s="2151"/>
      <c r="N956" s="2157"/>
      <c r="O956" s="2157"/>
      <c r="P956" s="2157"/>
      <c r="Q956" s="2157"/>
      <c r="R956" s="1398"/>
      <c r="S956" s="1398"/>
      <c r="T956" s="1398"/>
      <c r="U956" s="1398"/>
      <c r="V956" s="1398"/>
      <c r="W956" s="1398"/>
      <c r="X956" s="1398"/>
      <c r="Y956" s="1398"/>
      <c r="Z956" s="1398"/>
      <c r="AA956" s="1398"/>
      <c r="AB956" s="1398"/>
      <c r="AC956" s="1398"/>
      <c r="AD956" s="1398"/>
      <c r="AE956" s="1398"/>
      <c r="AF956" s="1398"/>
      <c r="AG956" s="1398"/>
      <c r="AH956" s="1398"/>
      <c r="AI956" s="1398"/>
      <c r="AJ956" s="1398"/>
    </row>
    <row r="957" spans="1:36" ht="15" customHeight="1" x14ac:dyDescent="0.3">
      <c r="A957" s="1398"/>
      <c r="B957" s="2162" t="s">
        <v>2543</v>
      </c>
      <c r="C957" s="2151"/>
      <c r="D957" s="2151"/>
      <c r="E957" s="2151"/>
      <c r="F957" s="2151"/>
      <c r="G957" s="2151"/>
      <c r="H957" s="2151"/>
      <c r="I957" s="2151"/>
      <c r="J957" s="2157"/>
      <c r="K957" s="23"/>
      <c r="L957" s="2157"/>
      <c r="M957" s="2151"/>
      <c r="N957" s="2157"/>
      <c r="O957" s="2157"/>
      <c r="P957" s="2157"/>
      <c r="Q957" s="2157"/>
      <c r="R957" s="1398"/>
      <c r="S957" s="1398"/>
      <c r="T957" s="1398"/>
      <c r="U957" s="1398"/>
      <c r="V957" s="1398"/>
      <c r="W957" s="1398"/>
      <c r="X957" s="1398"/>
      <c r="Y957" s="1398"/>
      <c r="Z957" s="1398"/>
      <c r="AA957" s="1398"/>
      <c r="AB957" s="1398"/>
      <c r="AC957" s="1398"/>
      <c r="AD957" s="1398"/>
      <c r="AE957" s="1398"/>
      <c r="AF957" s="1398"/>
      <c r="AG957" s="1398"/>
      <c r="AH957" s="1398"/>
      <c r="AI957" s="1398"/>
      <c r="AJ957" s="1398"/>
    </row>
    <row r="958" spans="1:36" ht="15" customHeight="1" x14ac:dyDescent="0.3">
      <c r="A958" s="1398"/>
      <c r="B958" s="2155" t="s">
        <v>1760</v>
      </c>
      <c r="C958" s="2151"/>
      <c r="D958" s="2151"/>
      <c r="E958" s="2151"/>
      <c r="F958" s="2151"/>
      <c r="G958" s="2151"/>
      <c r="H958" s="2151"/>
      <c r="I958" s="2151"/>
      <c r="J958" s="2157"/>
      <c r="K958" s="23"/>
      <c r="L958" s="2157"/>
      <c r="M958" s="2151"/>
      <c r="N958" s="2157"/>
      <c r="O958" s="2157"/>
      <c r="P958" s="2157"/>
      <c r="Q958" s="2157"/>
      <c r="R958" s="1398"/>
      <c r="S958" s="1398"/>
      <c r="T958" s="1398"/>
      <c r="U958" s="1398"/>
      <c r="V958" s="1398"/>
      <c r="W958" s="1398"/>
      <c r="X958" s="1398"/>
      <c r="Y958" s="1398"/>
      <c r="Z958" s="1398"/>
      <c r="AA958" s="1398"/>
      <c r="AB958" s="1398"/>
      <c r="AC958" s="1398"/>
      <c r="AD958" s="1398"/>
      <c r="AE958" s="1398"/>
      <c r="AF958" s="1398"/>
      <c r="AG958" s="1398"/>
      <c r="AH958" s="1398"/>
      <c r="AI958" s="1398"/>
      <c r="AJ958" s="1398"/>
    </row>
    <row r="959" spans="1:36" ht="15" customHeight="1" x14ac:dyDescent="0.3">
      <c r="A959" s="1398"/>
      <c r="B959" s="2165" t="s">
        <v>2543</v>
      </c>
      <c r="C959" s="2151"/>
      <c r="D959" s="2151"/>
      <c r="E959" s="2151"/>
      <c r="F959" s="2151"/>
      <c r="G959" s="2151"/>
      <c r="H959" s="2151"/>
      <c r="I959" s="2151"/>
      <c r="J959" s="2157"/>
      <c r="K959" s="23"/>
      <c r="L959" s="2157"/>
      <c r="M959" s="2151"/>
      <c r="N959" s="2157"/>
      <c r="O959" s="2157"/>
      <c r="P959" s="2157"/>
      <c r="Q959" s="2157"/>
      <c r="R959" s="1398"/>
      <c r="S959" s="1398"/>
      <c r="T959" s="1398"/>
      <c r="U959" s="1398"/>
      <c r="V959" s="1398"/>
      <c r="W959" s="1398"/>
      <c r="X959" s="1398"/>
      <c r="Y959" s="1398"/>
      <c r="Z959" s="1398"/>
      <c r="AA959" s="1398"/>
      <c r="AB959" s="1398"/>
      <c r="AC959" s="1398"/>
      <c r="AD959" s="1398"/>
      <c r="AE959" s="1398"/>
      <c r="AF959" s="1398"/>
      <c r="AG959" s="1398"/>
      <c r="AH959" s="1398"/>
      <c r="AI959" s="1398"/>
      <c r="AJ959" s="1398"/>
    </row>
    <row r="960" spans="1:36" ht="15" customHeight="1" x14ac:dyDescent="0.35">
      <c r="A960" s="1398"/>
      <c r="B960" s="2164" t="s">
        <v>2545</v>
      </c>
      <c r="C960" s="2159" t="str">
        <f t="shared" ref="C960:I960" si="140">IF(AND(ISNUMBER(C961),ISNUMBER(C963)),C961+C963,"")</f>
        <v/>
      </c>
      <c r="D960" s="2159" t="str">
        <f t="shared" si="140"/>
        <v/>
      </c>
      <c r="E960" s="2159" t="str">
        <f t="shared" si="140"/>
        <v/>
      </c>
      <c r="F960" s="2159" t="str">
        <f t="shared" si="140"/>
        <v/>
      </c>
      <c r="G960" s="2159" t="str">
        <f t="shared" si="140"/>
        <v/>
      </c>
      <c r="H960" s="2159" t="str">
        <f t="shared" si="140"/>
        <v/>
      </c>
      <c r="I960" s="2159" t="str">
        <f t="shared" si="140"/>
        <v/>
      </c>
      <c r="J960" s="2157"/>
      <c r="K960" s="2159" t="str">
        <f>IF(AND(ISNUMBER(K961),ISNUMBER(K963)),K961+K963,"")</f>
        <v/>
      </c>
      <c r="L960" s="2157"/>
      <c r="M960" s="2159" t="str">
        <f>IF(AND(ISNUMBER(M961),ISNUMBER(M963)),M961+M963,"")</f>
        <v/>
      </c>
      <c r="N960" s="2157"/>
      <c r="O960" s="2157"/>
      <c r="P960" s="2157"/>
      <c r="Q960" s="2157"/>
      <c r="R960" s="1398"/>
      <c r="S960" s="1398"/>
      <c r="T960" s="1398"/>
      <c r="U960" s="1398"/>
      <c r="V960" s="1398"/>
      <c r="W960" s="1398"/>
      <c r="X960" s="1398"/>
      <c r="Y960" s="1398"/>
      <c r="Z960" s="1398"/>
      <c r="AA960" s="1398"/>
      <c r="AB960" s="1398"/>
      <c r="AC960" s="1398"/>
      <c r="AD960" s="1398"/>
      <c r="AE960" s="1398"/>
      <c r="AF960" s="1398"/>
      <c r="AG960" s="1398"/>
      <c r="AH960" s="1398"/>
      <c r="AI960" s="1398"/>
      <c r="AJ960" s="1398"/>
    </row>
    <row r="961" spans="1:36" ht="15" customHeight="1" x14ac:dyDescent="0.3">
      <c r="A961" s="1398"/>
      <c r="B961" s="2163" t="s">
        <v>2544</v>
      </c>
      <c r="C961" s="2151"/>
      <c r="D961" s="2151"/>
      <c r="E961" s="2151"/>
      <c r="F961" s="2151"/>
      <c r="G961" s="2151"/>
      <c r="H961" s="2151"/>
      <c r="I961" s="2151"/>
      <c r="J961" s="2157"/>
      <c r="K961" s="2151"/>
      <c r="L961" s="2157"/>
      <c r="M961" s="2151"/>
      <c r="N961" s="2157"/>
      <c r="O961" s="2157"/>
      <c r="P961" s="2157"/>
      <c r="Q961" s="2157"/>
      <c r="R961" s="1398"/>
      <c r="S961" s="1398"/>
      <c r="T961" s="1398"/>
      <c r="U961" s="1398"/>
      <c r="V961" s="1398"/>
      <c r="W961" s="1398"/>
      <c r="X961" s="1398"/>
      <c r="Y961" s="1398"/>
      <c r="Z961" s="1398"/>
      <c r="AA961" s="1398"/>
      <c r="AB961" s="1398"/>
      <c r="AC961" s="1398"/>
      <c r="AD961" s="1398"/>
      <c r="AE961" s="1398"/>
      <c r="AF961" s="1398"/>
      <c r="AG961" s="1398"/>
      <c r="AH961" s="1398"/>
      <c r="AI961" s="1398"/>
      <c r="AJ961" s="1398"/>
    </row>
    <row r="962" spans="1:36" ht="15" customHeight="1" x14ac:dyDescent="0.3">
      <c r="A962" s="1398"/>
      <c r="B962" s="2162" t="s">
        <v>2543</v>
      </c>
      <c r="C962" s="2151"/>
      <c r="D962" s="2151"/>
      <c r="E962" s="2151"/>
      <c r="F962" s="2151"/>
      <c r="G962" s="2151"/>
      <c r="H962" s="2151"/>
      <c r="I962" s="2151"/>
      <c r="J962" s="2157"/>
      <c r="K962" s="2151"/>
      <c r="L962" s="2157"/>
      <c r="M962" s="2151"/>
      <c r="N962" s="2157"/>
      <c r="O962" s="2157"/>
      <c r="P962" s="2157"/>
      <c r="Q962" s="2157"/>
      <c r="R962" s="1398"/>
      <c r="S962" s="1398"/>
      <c r="T962" s="1398"/>
      <c r="U962" s="1398"/>
      <c r="V962" s="1398"/>
      <c r="W962" s="1398"/>
      <c r="X962" s="1398"/>
      <c r="Y962" s="1398"/>
      <c r="Z962" s="1398"/>
      <c r="AA962" s="1398"/>
      <c r="AB962" s="1398"/>
      <c r="AC962" s="1398"/>
      <c r="AD962" s="1398"/>
      <c r="AE962" s="1398"/>
      <c r="AF962" s="1398"/>
      <c r="AG962" s="1398"/>
      <c r="AH962" s="1398"/>
      <c r="AI962" s="1398"/>
      <c r="AJ962" s="1398"/>
    </row>
    <row r="963" spans="1:36" ht="15" customHeight="1" x14ac:dyDescent="0.3">
      <c r="A963" s="1398"/>
      <c r="B963" s="2163" t="s">
        <v>1760</v>
      </c>
      <c r="C963" s="2151"/>
      <c r="D963" s="2151"/>
      <c r="E963" s="2151"/>
      <c r="F963" s="2151"/>
      <c r="G963" s="2151"/>
      <c r="H963" s="2151"/>
      <c r="I963" s="2151"/>
      <c r="J963" s="2157"/>
      <c r="K963" s="2151"/>
      <c r="L963" s="2157"/>
      <c r="M963" s="2151"/>
      <c r="N963" s="2157"/>
      <c r="O963" s="2157"/>
      <c r="P963" s="2157"/>
      <c r="Q963" s="2157"/>
      <c r="R963" s="1398"/>
      <c r="S963" s="1398"/>
      <c r="T963" s="1398"/>
      <c r="U963" s="1398"/>
      <c r="V963" s="1398"/>
      <c r="W963" s="1398"/>
      <c r="X963" s="1398"/>
      <c r="Y963" s="1398"/>
      <c r="Z963" s="1398"/>
      <c r="AA963" s="1398"/>
      <c r="AB963" s="1398"/>
      <c r="AC963" s="1398"/>
      <c r="AD963" s="1398"/>
      <c r="AE963" s="1398"/>
      <c r="AF963" s="1398"/>
      <c r="AG963" s="1398"/>
      <c r="AH963" s="1398"/>
      <c r="AI963" s="1398"/>
      <c r="AJ963" s="1398"/>
    </row>
    <row r="964" spans="1:36" ht="15" customHeight="1" x14ac:dyDescent="0.3">
      <c r="A964" s="1398"/>
      <c r="B964" s="2162" t="s">
        <v>2543</v>
      </c>
      <c r="C964" s="2151"/>
      <c r="D964" s="2151"/>
      <c r="E964" s="2151"/>
      <c r="F964" s="2151"/>
      <c r="G964" s="2151"/>
      <c r="H964" s="2151"/>
      <c r="I964" s="2151"/>
      <c r="J964" s="2157"/>
      <c r="K964" s="2151"/>
      <c r="L964" s="2157"/>
      <c r="M964" s="2151"/>
      <c r="N964" s="2157"/>
      <c r="O964" s="2157"/>
      <c r="P964" s="2157"/>
      <c r="Q964" s="2157"/>
      <c r="R964" s="1398"/>
      <c r="S964" s="1398"/>
      <c r="T964" s="1398"/>
      <c r="U964" s="1398"/>
      <c r="V964" s="1398"/>
      <c r="W964" s="1398"/>
      <c r="X964" s="1398"/>
      <c r="Y964" s="1398"/>
      <c r="Z964" s="1398"/>
      <c r="AA964" s="1398"/>
      <c r="AB964" s="1398"/>
      <c r="AC964" s="1398"/>
      <c r="AD964" s="1398"/>
      <c r="AE964" s="1398"/>
      <c r="AF964" s="1398"/>
      <c r="AG964" s="1398"/>
      <c r="AH964" s="1398"/>
      <c r="AI964" s="1398"/>
      <c r="AJ964" s="1398"/>
    </row>
    <row r="965" spans="1:36" ht="15" customHeight="1" x14ac:dyDescent="0.3">
      <c r="A965" s="1398"/>
      <c r="B965" s="2160" t="s">
        <v>1941</v>
      </c>
      <c r="C965" s="2151"/>
      <c r="D965" s="2151"/>
      <c r="E965" s="2151"/>
      <c r="F965" s="2151"/>
      <c r="G965" s="2151"/>
      <c r="H965" s="2151"/>
      <c r="I965" s="2151"/>
      <c r="J965" s="2157"/>
      <c r="K965" s="2151"/>
      <c r="L965" s="2157"/>
      <c r="M965" s="2151"/>
      <c r="N965" s="2157"/>
      <c r="O965" s="2157"/>
      <c r="P965" s="2157"/>
      <c r="Q965" s="2157"/>
      <c r="R965" s="1398"/>
      <c r="S965" s="1398"/>
      <c r="T965" s="1398"/>
      <c r="U965" s="1398"/>
      <c r="V965" s="1398"/>
      <c r="W965" s="1398"/>
      <c r="X965" s="1398"/>
      <c r="Y965" s="1398"/>
      <c r="Z965" s="1398"/>
      <c r="AA965" s="1398"/>
      <c r="AB965" s="1398"/>
      <c r="AC965" s="1398"/>
      <c r="AD965" s="1398"/>
      <c r="AE965" s="1398"/>
      <c r="AF965" s="1398"/>
      <c r="AG965" s="1398"/>
      <c r="AH965" s="1398"/>
      <c r="AI965" s="1398"/>
      <c r="AJ965" s="1398"/>
    </row>
    <row r="966" spans="1:36" ht="15" customHeight="1" x14ac:dyDescent="0.35">
      <c r="A966" s="1398"/>
      <c r="B966" s="2160" t="s">
        <v>2542</v>
      </c>
      <c r="C966" s="2159" t="str">
        <f t="shared" ref="C966:I966" si="141">IF(AND(ISNUMBER(C967),ISNUMBER(C968)),C967+C968,"")</f>
        <v/>
      </c>
      <c r="D966" s="2159" t="str">
        <f t="shared" si="141"/>
        <v/>
      </c>
      <c r="E966" s="2159" t="str">
        <f t="shared" si="141"/>
        <v/>
      </c>
      <c r="F966" s="2159" t="str">
        <f t="shared" si="141"/>
        <v/>
      </c>
      <c r="G966" s="2159" t="str">
        <f t="shared" si="141"/>
        <v/>
      </c>
      <c r="H966" s="2159" t="str">
        <f t="shared" si="141"/>
        <v/>
      </c>
      <c r="I966" s="2159" t="str">
        <f t="shared" si="141"/>
        <v/>
      </c>
      <c r="J966" s="2157"/>
      <c r="K966" s="2159" t="str">
        <f>IF(AND(ISNUMBER(K967),ISNUMBER(K968)),K967+K968,"")</f>
        <v/>
      </c>
      <c r="L966" s="2157"/>
      <c r="M966" s="2159" t="str">
        <f>IF(AND(ISNUMBER(M967),ISNUMBER(M968)),M967+M968,"")</f>
        <v/>
      </c>
      <c r="N966" s="2157"/>
      <c r="O966" s="2157"/>
      <c r="P966" s="2157"/>
      <c r="Q966" s="2157"/>
      <c r="R966" s="1398"/>
      <c r="S966" s="1398"/>
      <c r="T966" s="1398"/>
      <c r="U966" s="1398"/>
      <c r="V966" s="1398"/>
      <c r="W966" s="1398"/>
      <c r="X966" s="1398"/>
      <c r="Y966" s="1398"/>
      <c r="Z966" s="1398"/>
      <c r="AA966" s="1398"/>
      <c r="AB966" s="1398"/>
      <c r="AC966" s="1398"/>
      <c r="AD966" s="1398"/>
      <c r="AE966" s="1398"/>
      <c r="AF966" s="1398"/>
      <c r="AG966" s="1398"/>
      <c r="AH966" s="1398"/>
      <c r="AI966" s="1398"/>
      <c r="AJ966" s="1398"/>
    </row>
    <row r="967" spans="1:36" ht="15" customHeight="1" x14ac:dyDescent="0.3">
      <c r="A967" s="1398"/>
      <c r="B967" s="2161" t="s">
        <v>2541</v>
      </c>
      <c r="C967" s="2151"/>
      <c r="D967" s="2151"/>
      <c r="E967" s="2151"/>
      <c r="F967" s="2151"/>
      <c r="G967" s="2151"/>
      <c r="H967" s="2151"/>
      <c r="I967" s="2151"/>
      <c r="J967" s="2157"/>
      <c r="K967" s="2151"/>
      <c r="L967" s="2157"/>
      <c r="M967" s="2151"/>
      <c r="N967" s="2157"/>
      <c r="O967" s="2157"/>
      <c r="P967" s="2157"/>
      <c r="Q967" s="2157"/>
      <c r="R967" s="1398"/>
      <c r="S967" s="1398"/>
      <c r="T967" s="1398"/>
      <c r="U967" s="1398"/>
      <c r="V967" s="1398"/>
      <c r="W967" s="1398"/>
      <c r="X967" s="1398"/>
      <c r="Y967" s="1398"/>
      <c r="Z967" s="1398"/>
      <c r="AA967" s="1398"/>
      <c r="AB967" s="1398"/>
      <c r="AC967" s="1398"/>
      <c r="AD967" s="1398"/>
      <c r="AE967" s="1398"/>
      <c r="AF967" s="1398"/>
      <c r="AG967" s="1398"/>
      <c r="AH967" s="1398"/>
      <c r="AI967" s="1398"/>
      <c r="AJ967" s="1398"/>
    </row>
    <row r="968" spans="1:36" ht="15" customHeight="1" x14ac:dyDescent="0.3">
      <c r="A968" s="1398"/>
      <c r="B968" s="2158" t="s">
        <v>1760</v>
      </c>
      <c r="C968" s="2151"/>
      <c r="D968" s="2151"/>
      <c r="E968" s="2151"/>
      <c r="F968" s="2151"/>
      <c r="G968" s="2151"/>
      <c r="H968" s="2151"/>
      <c r="I968" s="2151"/>
      <c r="J968" s="2157"/>
      <c r="K968" s="2151"/>
      <c r="L968" s="2157"/>
      <c r="M968" s="2151"/>
      <c r="N968" s="2157"/>
      <c r="O968" s="2157"/>
      <c r="P968" s="2157"/>
      <c r="Q968" s="2157"/>
      <c r="R968" s="1398"/>
      <c r="S968" s="1398"/>
      <c r="T968" s="1398"/>
      <c r="U968" s="1398"/>
      <c r="V968" s="1398"/>
      <c r="W968" s="1398"/>
      <c r="X968" s="1398"/>
      <c r="Y968" s="1398"/>
      <c r="Z968" s="1398"/>
      <c r="AA968" s="1398"/>
      <c r="AB968" s="1398"/>
      <c r="AC968" s="1398"/>
      <c r="AD968" s="1398"/>
      <c r="AE968" s="1398"/>
      <c r="AF968" s="1398"/>
      <c r="AG968" s="1398"/>
      <c r="AH968" s="1398"/>
      <c r="AI968" s="1398"/>
      <c r="AJ968" s="1398"/>
    </row>
    <row r="969" spans="1:36" ht="15" customHeight="1" x14ac:dyDescent="0.35">
      <c r="A969" s="1398"/>
      <c r="B969" s="2160" t="s">
        <v>2540</v>
      </c>
      <c r="C969" s="2159" t="str">
        <f t="shared" ref="C969:I969" si="142">IF(AND(ISNUMBER(C970),ISNUMBER(C971)),C970+C971,"")</f>
        <v/>
      </c>
      <c r="D969" s="2159" t="str">
        <f t="shared" si="142"/>
        <v/>
      </c>
      <c r="E969" s="2159" t="str">
        <f t="shared" si="142"/>
        <v/>
      </c>
      <c r="F969" s="2159" t="str">
        <f t="shared" si="142"/>
        <v/>
      </c>
      <c r="G969" s="2159" t="str">
        <f t="shared" si="142"/>
        <v/>
      </c>
      <c r="H969" s="2159" t="str">
        <f t="shared" si="142"/>
        <v/>
      </c>
      <c r="I969" s="2159" t="str">
        <f t="shared" si="142"/>
        <v/>
      </c>
      <c r="J969" s="2157"/>
      <c r="K969" s="2159" t="str">
        <f>IF(AND(ISNUMBER(K970),ISNUMBER(K971)),K970+K971,"")</f>
        <v/>
      </c>
      <c r="L969" s="2157"/>
      <c r="M969" s="2159" t="str">
        <f>IF(AND(ISNUMBER(M970),ISNUMBER(M971)),M970+M971,"")</f>
        <v/>
      </c>
      <c r="N969" s="2157"/>
      <c r="O969" s="2157"/>
      <c r="P969" s="2157"/>
      <c r="Q969" s="2157"/>
      <c r="R969" s="1398"/>
      <c r="S969" s="1398"/>
      <c r="T969" s="1398"/>
      <c r="U969" s="1398"/>
      <c r="V969" s="1398"/>
      <c r="W969" s="1398"/>
      <c r="X969" s="1398"/>
      <c r="Y969" s="1398"/>
      <c r="Z969" s="1398"/>
      <c r="AA969" s="1398"/>
      <c r="AB969" s="1398"/>
      <c r="AC969" s="1398"/>
      <c r="AD969" s="1398"/>
      <c r="AE969" s="1398"/>
      <c r="AF969" s="1398"/>
      <c r="AG969" s="1398"/>
      <c r="AH969" s="1398"/>
      <c r="AI969" s="1398"/>
      <c r="AJ969" s="1398"/>
    </row>
    <row r="970" spans="1:36" ht="15" customHeight="1" x14ac:dyDescent="0.3">
      <c r="A970" s="1398"/>
      <c r="B970" s="2158" t="s">
        <v>2539</v>
      </c>
      <c r="C970" s="2151"/>
      <c r="D970" s="2151"/>
      <c r="E970" s="2151"/>
      <c r="F970" s="2151"/>
      <c r="G970" s="2151"/>
      <c r="H970" s="2151"/>
      <c r="I970" s="2151"/>
      <c r="J970" s="2157"/>
      <c r="K970" s="2151"/>
      <c r="L970" s="2157"/>
      <c r="M970" s="2151"/>
      <c r="N970" s="2157"/>
      <c r="O970" s="2157"/>
      <c r="P970" s="2157"/>
      <c r="Q970" s="2157"/>
      <c r="R970" s="1398"/>
      <c r="S970" s="1398"/>
      <c r="T970" s="1398"/>
      <c r="U970" s="1398"/>
      <c r="V970" s="1398"/>
      <c r="W970" s="1398"/>
      <c r="X970" s="1398"/>
      <c r="Y970" s="1398"/>
      <c r="Z970" s="1398"/>
      <c r="AA970" s="1398"/>
      <c r="AB970" s="1398"/>
      <c r="AC970" s="1398"/>
      <c r="AD970" s="1398"/>
      <c r="AE970" s="1398"/>
      <c r="AF970" s="1398"/>
      <c r="AG970" s="1398"/>
      <c r="AH970" s="1398"/>
      <c r="AI970" s="1398"/>
      <c r="AJ970" s="1398"/>
    </row>
    <row r="971" spans="1:36" ht="15" customHeight="1" x14ac:dyDescent="0.3">
      <c r="A971" s="1398"/>
      <c r="B971" s="2158" t="s">
        <v>1760</v>
      </c>
      <c r="C971" s="2151"/>
      <c r="D971" s="2151"/>
      <c r="E971" s="2151"/>
      <c r="F971" s="2151"/>
      <c r="G971" s="2151"/>
      <c r="H971" s="2151"/>
      <c r="I971" s="2151"/>
      <c r="J971" s="2157"/>
      <c r="K971" s="2151"/>
      <c r="L971" s="2157"/>
      <c r="M971" s="2151"/>
      <c r="N971" s="2157"/>
      <c r="O971" s="2157"/>
      <c r="P971" s="2157"/>
      <c r="Q971" s="2157"/>
      <c r="R971" s="1398"/>
      <c r="S971" s="1398"/>
      <c r="T971" s="1398"/>
      <c r="U971" s="1398"/>
      <c r="V971" s="1398"/>
      <c r="W971" s="1398"/>
      <c r="X971" s="1398"/>
      <c r="Y971" s="1398"/>
      <c r="Z971" s="1398"/>
      <c r="AA971" s="1398"/>
      <c r="AB971" s="1398"/>
      <c r="AC971" s="1398"/>
      <c r="AD971" s="1398"/>
      <c r="AE971" s="1398"/>
      <c r="AF971" s="1398"/>
      <c r="AG971" s="1398"/>
      <c r="AH971" s="1398"/>
      <c r="AI971" s="1398"/>
      <c r="AJ971" s="1398"/>
    </row>
    <row r="972" spans="1:36" ht="15" customHeight="1" x14ac:dyDescent="0.35">
      <c r="A972" s="1398"/>
      <c r="B972" s="569" t="s">
        <v>59</v>
      </c>
      <c r="C972" s="2156">
        <f t="shared" ref="C972:Q972" si="143">IF(AND(ISNUMBER(C974),ISNUMBER(C973)),SUM(C973:C974),0)</f>
        <v>0</v>
      </c>
      <c r="D972" s="2156">
        <f t="shared" si="143"/>
        <v>0</v>
      </c>
      <c r="E972" s="2156">
        <f t="shared" si="143"/>
        <v>0</v>
      </c>
      <c r="F972" s="2156">
        <f t="shared" si="143"/>
        <v>0</v>
      </c>
      <c r="G972" s="2156">
        <f t="shared" si="143"/>
        <v>0</v>
      </c>
      <c r="H972" s="2156">
        <f t="shared" si="143"/>
        <v>0</v>
      </c>
      <c r="I972" s="2156">
        <f t="shared" si="143"/>
        <v>0</v>
      </c>
      <c r="J972" s="2156">
        <f t="shared" si="143"/>
        <v>0</v>
      </c>
      <c r="K972" s="2156">
        <f t="shared" si="143"/>
        <v>0</v>
      </c>
      <c r="L972" s="2156">
        <f t="shared" si="143"/>
        <v>0</v>
      </c>
      <c r="M972" s="2156">
        <f t="shared" si="143"/>
        <v>0</v>
      </c>
      <c r="N972" s="2156">
        <f t="shared" si="143"/>
        <v>0</v>
      </c>
      <c r="O972" s="2156">
        <f t="shared" si="143"/>
        <v>0</v>
      </c>
      <c r="P972" s="2156">
        <f t="shared" si="143"/>
        <v>0</v>
      </c>
      <c r="Q972" s="2156">
        <f t="shared" si="143"/>
        <v>0</v>
      </c>
      <c r="R972" s="1398"/>
      <c r="S972" s="1398"/>
      <c r="T972" s="1398"/>
      <c r="U972" s="1398"/>
      <c r="V972" s="1398"/>
      <c r="W972" s="1398"/>
      <c r="X972" s="1398"/>
      <c r="Y972" s="1398"/>
      <c r="Z972" s="1398"/>
      <c r="AA972" s="1398"/>
      <c r="AB972" s="1398"/>
      <c r="AC972" s="1398"/>
      <c r="AD972" s="1398"/>
      <c r="AE972" s="1398"/>
    </row>
    <row r="973" spans="1:36" ht="15" customHeight="1" x14ac:dyDescent="0.3">
      <c r="A973" s="1398"/>
      <c r="B973" s="2155" t="s">
        <v>2538</v>
      </c>
      <c r="C973" s="2151"/>
      <c r="D973" s="2151"/>
      <c r="E973" s="2151"/>
      <c r="F973" s="2151"/>
      <c r="G973" s="2151"/>
      <c r="H973" s="2151"/>
      <c r="I973" s="23"/>
      <c r="J973" s="2151"/>
      <c r="K973" s="2151"/>
      <c r="L973" s="2151"/>
      <c r="M973" s="2151"/>
      <c r="N973" s="2151"/>
      <c r="O973" s="2151"/>
      <c r="P973" s="2151"/>
      <c r="Q973" s="2151"/>
      <c r="R973" s="1398"/>
      <c r="S973" s="1398"/>
      <c r="T973" s="1398"/>
      <c r="U973" s="1398"/>
      <c r="V973" s="1398"/>
      <c r="W973" s="1398"/>
      <c r="X973" s="1398"/>
      <c r="Y973" s="1398"/>
      <c r="Z973" s="1398"/>
      <c r="AA973" s="1398"/>
      <c r="AB973" s="1398"/>
      <c r="AC973" s="1398"/>
      <c r="AD973" s="1398"/>
      <c r="AE973" s="1398"/>
    </row>
    <row r="974" spans="1:36" ht="15" customHeight="1" x14ac:dyDescent="0.3">
      <c r="A974" s="1398"/>
      <c r="B974" s="2155" t="s">
        <v>2537</v>
      </c>
      <c r="C974" s="2151"/>
      <c r="D974" s="2151"/>
      <c r="E974" s="2151"/>
      <c r="F974" s="2151"/>
      <c r="G974" s="2151"/>
      <c r="H974" s="2151"/>
      <c r="I974" s="23"/>
      <c r="J974" s="2151"/>
      <c r="K974" s="2151"/>
      <c r="L974" s="2151"/>
      <c r="M974" s="2151"/>
      <c r="N974" s="2151"/>
      <c r="O974" s="2151"/>
      <c r="P974" s="2151"/>
      <c r="Q974" s="2151"/>
      <c r="R974" s="1398"/>
      <c r="S974" s="1398"/>
      <c r="T974" s="1398"/>
      <c r="U974" s="1398"/>
      <c r="V974" s="1398"/>
      <c r="W974" s="1398"/>
      <c r="X974" s="1398"/>
      <c r="Y974" s="1398"/>
      <c r="Z974" s="1398"/>
      <c r="AA974" s="1398"/>
      <c r="AB974" s="1398"/>
      <c r="AC974" s="1398"/>
      <c r="AD974" s="1398"/>
      <c r="AE974" s="1398"/>
    </row>
    <row r="975" spans="1:36" ht="15" customHeight="1" x14ac:dyDescent="0.3">
      <c r="A975" s="1398"/>
      <c r="B975" s="2154" t="str">
        <f>"Check: row " &amp; ROW(B972) &amp;" = sum(row " &amp; ROW(B973) &amp; ", row "&amp; ROW(B974)&amp;")"</f>
        <v>Check: row 972 = sum(row 973, row 974)</v>
      </c>
      <c r="C975" s="2153" t="str">
        <f t="shared" ref="C975:Q975" si="144">IF(AND(ISNUMBER(C973), ISNUMBER(C974)), IF(C972=SUM(C973:C974), "Pass", "Fail"), "")</f>
        <v/>
      </c>
      <c r="D975" s="2153" t="str">
        <f t="shared" si="144"/>
        <v/>
      </c>
      <c r="E975" s="2153" t="str">
        <f t="shared" si="144"/>
        <v/>
      </c>
      <c r="F975" s="2153" t="str">
        <f t="shared" si="144"/>
        <v/>
      </c>
      <c r="G975" s="2153" t="str">
        <f t="shared" si="144"/>
        <v/>
      </c>
      <c r="H975" s="2153" t="str">
        <f t="shared" si="144"/>
        <v/>
      </c>
      <c r="I975" s="2153" t="str">
        <f t="shared" si="144"/>
        <v/>
      </c>
      <c r="J975" s="2153" t="str">
        <f t="shared" si="144"/>
        <v/>
      </c>
      <c r="K975" s="2153" t="str">
        <f t="shared" si="144"/>
        <v/>
      </c>
      <c r="L975" s="2153" t="str">
        <f t="shared" si="144"/>
        <v/>
      </c>
      <c r="M975" s="2153" t="str">
        <f t="shared" si="144"/>
        <v/>
      </c>
      <c r="N975" s="2153" t="str">
        <f t="shared" si="144"/>
        <v/>
      </c>
      <c r="O975" s="2153" t="str">
        <f t="shared" si="144"/>
        <v/>
      </c>
      <c r="P975" s="2153" t="str">
        <f t="shared" si="144"/>
        <v/>
      </c>
      <c r="Q975" s="2153" t="str">
        <f t="shared" si="144"/>
        <v/>
      </c>
      <c r="R975" s="1398"/>
      <c r="S975" s="1398"/>
      <c r="T975" s="1398"/>
      <c r="U975" s="1398"/>
      <c r="V975" s="1398"/>
      <c r="W975" s="1398"/>
      <c r="X975" s="1398"/>
      <c r="Y975" s="1398"/>
      <c r="Z975" s="1398"/>
      <c r="AA975" s="1398"/>
      <c r="AB975" s="1398"/>
      <c r="AC975" s="1398"/>
      <c r="AD975" s="1398"/>
      <c r="AE975" s="1398"/>
    </row>
    <row r="976" spans="1:36" ht="15" customHeight="1" x14ac:dyDescent="0.3">
      <c r="A976" s="1398"/>
      <c r="B976" s="2152" t="s">
        <v>2536</v>
      </c>
      <c r="C976" s="2151"/>
      <c r="D976" s="1398"/>
      <c r="E976" s="1398"/>
      <c r="F976" s="1398"/>
      <c r="G976" s="1398"/>
      <c r="H976" s="1398"/>
      <c r="I976" s="1398"/>
      <c r="J976" s="1398"/>
      <c r="K976" s="1398"/>
      <c r="L976" s="1398"/>
      <c r="M976" s="1398"/>
      <c r="N976" s="1398"/>
      <c r="O976" s="1398"/>
      <c r="P976" s="1398"/>
      <c r="Q976" s="1398"/>
      <c r="R976" s="1398"/>
      <c r="S976" s="1398"/>
      <c r="T976" s="1398"/>
      <c r="U976" s="1398"/>
      <c r="V976" s="1398"/>
      <c r="W976" s="1398"/>
      <c r="X976" s="1398"/>
      <c r="Y976" s="1398"/>
      <c r="Z976" s="1398"/>
      <c r="AA976" s="1398"/>
      <c r="AB976" s="1398"/>
      <c r="AC976" s="1398"/>
      <c r="AD976" s="1398"/>
      <c r="AE976" s="1398"/>
    </row>
    <row r="977" spans="1:31" ht="15" customHeight="1" x14ac:dyDescent="0.3">
      <c r="A977" s="1398"/>
      <c r="B977" s="2150" t="s">
        <v>2535</v>
      </c>
      <c r="C977" s="2149"/>
      <c r="D977" s="1398"/>
      <c r="E977" s="1398"/>
      <c r="F977" s="1398"/>
      <c r="G977" s="1398"/>
      <c r="H977" s="1398"/>
      <c r="I977" s="1398"/>
      <c r="J977" s="1398"/>
      <c r="K977" s="1398"/>
      <c r="L977" s="1398"/>
      <c r="M977" s="1398"/>
      <c r="N977" s="1398"/>
      <c r="O977" s="1398"/>
      <c r="P977" s="1398"/>
      <c r="Q977" s="1398"/>
      <c r="R977" s="1398"/>
      <c r="S977" s="1398"/>
      <c r="T977" s="1398"/>
      <c r="U977" s="1398"/>
      <c r="V977" s="1398"/>
      <c r="W977" s="1398"/>
      <c r="X977" s="1398"/>
      <c r="Y977" s="1398"/>
      <c r="Z977" s="1398"/>
      <c r="AA977" s="1398"/>
      <c r="AB977" s="1398"/>
      <c r="AC977" s="1398"/>
      <c r="AD977" s="1398"/>
      <c r="AE977" s="1398"/>
    </row>
    <row r="978" spans="1:31" x14ac:dyDescent="0.35"/>
    <row r="979" spans="1:31" x14ac:dyDescent="0.35"/>
  </sheetData>
  <sheetProtection algorithmName="SHA-512" hashValue="5RHWe7X61XKBdKXuf09AiLVk2U1CqWa+ORU4bR9e/hMwVL5gH37yvw+VukeKGTQq2v3ybABqSQ0e1uDuwqSRKQ==" saltValue="r5siC+HfiWT0XOFkM8C1HA==" spinCount="100000" sheet="1" objects="1" scenarios="1"/>
  <mergeCells count="314">
    <mergeCell ref="I941:I942"/>
    <mergeCell ref="J941:J942"/>
    <mergeCell ref="K941:K942"/>
    <mergeCell ref="L941:L942"/>
    <mergeCell ref="N941:N942"/>
    <mergeCell ref="K901:K902"/>
    <mergeCell ref="L901:L902"/>
    <mergeCell ref="N901:N902"/>
    <mergeCell ref="O941:O942"/>
    <mergeCell ref="C900:L900"/>
    <mergeCell ref="M900:M902"/>
    <mergeCell ref="N900:Q900"/>
    <mergeCell ref="C901:C902"/>
    <mergeCell ref="D901:H901"/>
    <mergeCell ref="I901:I902"/>
    <mergeCell ref="J901:J902"/>
    <mergeCell ref="O901:O902"/>
    <mergeCell ref="P901:P902"/>
    <mergeCell ref="Q901:Q902"/>
    <mergeCell ref="P941:P942"/>
    <mergeCell ref="Q941:Q942"/>
    <mergeCell ref="C940:L940"/>
    <mergeCell ref="M940:M942"/>
    <mergeCell ref="N940:Q940"/>
    <mergeCell ref="C941:C942"/>
    <mergeCell ref="D941:H941"/>
    <mergeCell ref="M820:M822"/>
    <mergeCell ref="N820:Q820"/>
    <mergeCell ref="C821:C822"/>
    <mergeCell ref="D821:H821"/>
    <mergeCell ref="I821:I822"/>
    <mergeCell ref="C860:L860"/>
    <mergeCell ref="M860:M862"/>
    <mergeCell ref="N860:Q860"/>
    <mergeCell ref="C861:C862"/>
    <mergeCell ref="D861:H861"/>
    <mergeCell ref="I861:I862"/>
    <mergeCell ref="J861:J862"/>
    <mergeCell ref="K861:K862"/>
    <mergeCell ref="L861:L862"/>
    <mergeCell ref="N861:N862"/>
    <mergeCell ref="O861:O862"/>
    <mergeCell ref="P861:P862"/>
    <mergeCell ref="Q861:Q862"/>
    <mergeCell ref="C740:L740"/>
    <mergeCell ref="M740:M742"/>
    <mergeCell ref="N740:Q740"/>
    <mergeCell ref="C741:C742"/>
    <mergeCell ref="D741:H741"/>
    <mergeCell ref="I741:I742"/>
    <mergeCell ref="K741:K742"/>
    <mergeCell ref="L741:L742"/>
    <mergeCell ref="N741:N742"/>
    <mergeCell ref="P821:P822"/>
    <mergeCell ref="N781:N782"/>
    <mergeCell ref="O781:O782"/>
    <mergeCell ref="Q741:Q742"/>
    <mergeCell ref="C780:L780"/>
    <mergeCell ref="M780:M782"/>
    <mergeCell ref="N780:Q780"/>
    <mergeCell ref="C781:C782"/>
    <mergeCell ref="D781:H781"/>
    <mergeCell ref="I781:I782"/>
    <mergeCell ref="J781:J782"/>
    <mergeCell ref="K781:K782"/>
    <mergeCell ref="L781:L782"/>
    <mergeCell ref="J741:J742"/>
    <mergeCell ref="O741:O742"/>
    <mergeCell ref="P741:P742"/>
    <mergeCell ref="J821:J822"/>
    <mergeCell ref="K821:K822"/>
    <mergeCell ref="L821:L822"/>
    <mergeCell ref="N821:N822"/>
    <mergeCell ref="O821:O822"/>
    <mergeCell ref="P781:P782"/>
    <mergeCell ref="Q781:Q782"/>
    <mergeCell ref="C820:L820"/>
    <mergeCell ref="Q821:Q822"/>
    <mergeCell ref="C700:L700"/>
    <mergeCell ref="M700:M702"/>
    <mergeCell ref="N700:Q700"/>
    <mergeCell ref="C701:C702"/>
    <mergeCell ref="D701:H701"/>
    <mergeCell ref="I701:I702"/>
    <mergeCell ref="J701:J702"/>
    <mergeCell ref="K701:K702"/>
    <mergeCell ref="L701:L702"/>
    <mergeCell ref="N701:N702"/>
    <mergeCell ref="O701:O702"/>
    <mergeCell ref="P701:P702"/>
    <mergeCell ref="Q701:Q702"/>
    <mergeCell ref="K621:K622"/>
    <mergeCell ref="L621:L622"/>
    <mergeCell ref="N621:N622"/>
    <mergeCell ref="O621:O622"/>
    <mergeCell ref="P621:P622"/>
    <mergeCell ref="N661:N662"/>
    <mergeCell ref="O661:O662"/>
    <mergeCell ref="P661:P662"/>
    <mergeCell ref="Q661:Q662"/>
    <mergeCell ref="C660:L660"/>
    <mergeCell ref="M660:M662"/>
    <mergeCell ref="N660:Q660"/>
    <mergeCell ref="C661:C662"/>
    <mergeCell ref="D661:H661"/>
    <mergeCell ref="I661:I662"/>
    <mergeCell ref="J661:J662"/>
    <mergeCell ref="K661:K662"/>
    <mergeCell ref="L661:L662"/>
    <mergeCell ref="P461:P462"/>
    <mergeCell ref="Q461:Q462"/>
    <mergeCell ref="C620:L620"/>
    <mergeCell ref="M620:M622"/>
    <mergeCell ref="N620:Q620"/>
    <mergeCell ref="C621:C622"/>
    <mergeCell ref="D621:H621"/>
    <mergeCell ref="I621:I622"/>
    <mergeCell ref="L501:L502"/>
    <mergeCell ref="N501:N502"/>
    <mergeCell ref="O501:O502"/>
    <mergeCell ref="O541:O542"/>
    <mergeCell ref="P541:P542"/>
    <mergeCell ref="Q541:Q542"/>
    <mergeCell ref="C540:L540"/>
    <mergeCell ref="M540:M542"/>
    <mergeCell ref="N540:Q540"/>
    <mergeCell ref="C541:C542"/>
    <mergeCell ref="O581:O582"/>
    <mergeCell ref="P581:P582"/>
    <mergeCell ref="Q581:Q582"/>
    <mergeCell ref="C580:L580"/>
    <mergeCell ref="M580:M582"/>
    <mergeCell ref="N580:Q580"/>
    <mergeCell ref="C581:C582"/>
    <mergeCell ref="D581:H581"/>
    <mergeCell ref="Q621:Q622"/>
    <mergeCell ref="J621:J622"/>
    <mergeCell ref="C420:L420"/>
    <mergeCell ref="M420:M422"/>
    <mergeCell ref="N420:Q420"/>
    <mergeCell ref="C421:C422"/>
    <mergeCell ref="D421:H421"/>
    <mergeCell ref="I421:I422"/>
    <mergeCell ref="Q421:Q422"/>
    <mergeCell ref="C460:L460"/>
    <mergeCell ref="M460:M462"/>
    <mergeCell ref="N460:Q460"/>
    <mergeCell ref="C461:C462"/>
    <mergeCell ref="D461:H461"/>
    <mergeCell ref="I461:I462"/>
    <mergeCell ref="J461:J462"/>
    <mergeCell ref="K461:K462"/>
    <mergeCell ref="L461:L462"/>
    <mergeCell ref="N461:N462"/>
    <mergeCell ref="O461:O462"/>
    <mergeCell ref="J421:J422"/>
    <mergeCell ref="K421:K422"/>
    <mergeCell ref="L421:L422"/>
    <mergeCell ref="N421:N422"/>
    <mergeCell ref="O421:O422"/>
    <mergeCell ref="P421:P422"/>
    <mergeCell ref="C380:L380"/>
    <mergeCell ref="M380:M382"/>
    <mergeCell ref="N380:Q380"/>
    <mergeCell ref="C381:C382"/>
    <mergeCell ref="D381:H381"/>
    <mergeCell ref="I381:I382"/>
    <mergeCell ref="J381:J382"/>
    <mergeCell ref="K381:K382"/>
    <mergeCell ref="L381:L382"/>
    <mergeCell ref="N381:N382"/>
    <mergeCell ref="O381:O382"/>
    <mergeCell ref="P381:P382"/>
    <mergeCell ref="Q381:Q382"/>
    <mergeCell ref="C300:L300"/>
    <mergeCell ref="M300:M302"/>
    <mergeCell ref="N300:Q300"/>
    <mergeCell ref="C301:C302"/>
    <mergeCell ref="D301:H301"/>
    <mergeCell ref="P301:P302"/>
    <mergeCell ref="Q301:Q302"/>
    <mergeCell ref="C340:L340"/>
    <mergeCell ref="M340:M342"/>
    <mergeCell ref="N340:Q340"/>
    <mergeCell ref="C341:C342"/>
    <mergeCell ref="D341:H341"/>
    <mergeCell ref="I341:I342"/>
    <mergeCell ref="J341:J342"/>
    <mergeCell ref="K341:K342"/>
    <mergeCell ref="I301:I302"/>
    <mergeCell ref="J301:J302"/>
    <mergeCell ref="K301:K302"/>
    <mergeCell ref="L301:L302"/>
    <mergeCell ref="N301:N302"/>
    <mergeCell ref="O301:O302"/>
    <mergeCell ref="Q341:Q342"/>
    <mergeCell ref="L341:L342"/>
    <mergeCell ref="N341:N342"/>
    <mergeCell ref="I221:I222"/>
    <mergeCell ref="J221:J222"/>
    <mergeCell ref="K221:K222"/>
    <mergeCell ref="L221:L222"/>
    <mergeCell ref="N221:N222"/>
    <mergeCell ref="O261:O262"/>
    <mergeCell ref="P261:P262"/>
    <mergeCell ref="Q261:Q262"/>
    <mergeCell ref="M220:M222"/>
    <mergeCell ref="N220:Q220"/>
    <mergeCell ref="O221:O222"/>
    <mergeCell ref="O341:O342"/>
    <mergeCell ref="P341:P342"/>
    <mergeCell ref="P221:P222"/>
    <mergeCell ref="Q221:Q222"/>
    <mergeCell ref="C180:L180"/>
    <mergeCell ref="M180:M182"/>
    <mergeCell ref="N180:Q180"/>
    <mergeCell ref="C181:C182"/>
    <mergeCell ref="D181:H181"/>
    <mergeCell ref="I181:I182"/>
    <mergeCell ref="K181:K182"/>
    <mergeCell ref="L181:L182"/>
    <mergeCell ref="N181:N182"/>
    <mergeCell ref="O181:O182"/>
    <mergeCell ref="P181:P182"/>
    <mergeCell ref="C260:L260"/>
    <mergeCell ref="M260:M262"/>
    <mergeCell ref="N260:Q260"/>
    <mergeCell ref="C261:C262"/>
    <mergeCell ref="D261:H261"/>
    <mergeCell ref="I261:I262"/>
    <mergeCell ref="J261:J262"/>
    <mergeCell ref="K261:K262"/>
    <mergeCell ref="D221:H221"/>
    <mergeCell ref="D141:H141"/>
    <mergeCell ref="I141:I142"/>
    <mergeCell ref="J141:J142"/>
    <mergeCell ref="J101:J102"/>
    <mergeCell ref="Q101:Q102"/>
    <mergeCell ref="O141:O142"/>
    <mergeCell ref="P141:P142"/>
    <mergeCell ref="Q141:Q142"/>
    <mergeCell ref="Q181:Q182"/>
    <mergeCell ref="C15:Z15"/>
    <mergeCell ref="C100:L100"/>
    <mergeCell ref="M100:M102"/>
    <mergeCell ref="N100:Q100"/>
    <mergeCell ref="C101:C102"/>
    <mergeCell ref="D101:H101"/>
    <mergeCell ref="I101:I102"/>
    <mergeCell ref="L581:L582"/>
    <mergeCell ref="N581:N582"/>
    <mergeCell ref="I581:I582"/>
    <mergeCell ref="J581:J582"/>
    <mergeCell ref="K581:K582"/>
    <mergeCell ref="C220:L220"/>
    <mergeCell ref="I501:I502"/>
    <mergeCell ref="L261:L262"/>
    <mergeCell ref="N261:N262"/>
    <mergeCell ref="C221:C222"/>
    <mergeCell ref="M500:M502"/>
    <mergeCell ref="N500:Q500"/>
    <mergeCell ref="C501:C502"/>
    <mergeCell ref="D501:H501"/>
    <mergeCell ref="Q61:Q62"/>
    <mergeCell ref="D61:H61"/>
    <mergeCell ref="J61:J62"/>
    <mergeCell ref="M20:M22"/>
    <mergeCell ref="N20:Q20"/>
    <mergeCell ref="C21:C22"/>
    <mergeCell ref="D21:H21"/>
    <mergeCell ref="I21:I22"/>
    <mergeCell ref="J541:J542"/>
    <mergeCell ref="P501:P502"/>
    <mergeCell ref="Q501:Q502"/>
    <mergeCell ref="N21:N22"/>
    <mergeCell ref="K541:K542"/>
    <mergeCell ref="L541:L542"/>
    <mergeCell ref="N541:N542"/>
    <mergeCell ref="J501:J502"/>
    <mergeCell ref="K501:K502"/>
    <mergeCell ref="C500:L500"/>
    <mergeCell ref="O21:O22"/>
    <mergeCell ref="P21:P22"/>
    <mergeCell ref="C60:L60"/>
    <mergeCell ref="M60:M62"/>
    <mergeCell ref="I61:I62"/>
    <mergeCell ref="N141:N142"/>
    <mergeCell ref="K101:K102"/>
    <mergeCell ref="N60:Q60"/>
    <mergeCell ref="C141:C142"/>
    <mergeCell ref="C61:C62"/>
    <mergeCell ref="J21:J22"/>
    <mergeCell ref="K21:K22"/>
    <mergeCell ref="L21:L22"/>
    <mergeCell ref="Q21:Q22"/>
    <mergeCell ref="D541:H541"/>
    <mergeCell ref="I541:I542"/>
    <mergeCell ref="A18:F18"/>
    <mergeCell ref="L101:L102"/>
    <mergeCell ref="N101:N102"/>
    <mergeCell ref="K141:K142"/>
    <mergeCell ref="L141:L142"/>
    <mergeCell ref="O61:O62"/>
    <mergeCell ref="P61:P62"/>
    <mergeCell ref="K61:K62"/>
    <mergeCell ref="L61:L62"/>
    <mergeCell ref="N61:N62"/>
    <mergeCell ref="O101:O102"/>
    <mergeCell ref="P101:P102"/>
    <mergeCell ref="J181:J182"/>
    <mergeCell ref="C140:L140"/>
    <mergeCell ref="M140:M142"/>
    <mergeCell ref="N140:Q140"/>
    <mergeCell ref="C20:L20"/>
  </mergeCells>
  <conditionalFormatting sqref="C45 N40:Q45 I52:N52 J24:J35 L38:Q39 L24:Q35 G18:Q18 A17:Q17 L49 N49:Q49 J49 C85 N80:Q85 J64:J75 L78:Q79 L64:Q75 L89 N89:Q89 J89 L47:Q48 I47:J48 C47:G48 L40:L46 J38:J46 I50:Q51 C90:Q91 I87:J88 C87:G88 L80:L86 J78:J86 C525 N525:Q525 L529 N529:Q529 J529 L527:Q528 I527:J528 C527:G528 L525:L526 J525:J526 C530:Q531 V3:Y3 R17:Y45 D1:Y1 A2:Y2 D58:Y58 N46:Y46 R47:Y53 R60:Y85 R89:Y91 N86:Y86 L87:Y88 R500:Y525 N526:Y526 R527:Y531 AE4:AG6 AA1:AE2 AA3:AQ3 Z1:Z3 AA11:AS16 AA9:AF10 AH4:AS10 AA7:AG8 Z17:AE53 E19:Q19 E59:AE59 E499:AE499 E539:AE539 N560:Q571 Z500:AE531 Z60:AE91 A178:AE178 C125 N120:Q125 J104:J115 L118:Q119 L104:Q115 L129 N129:Q129 J129 C130:Q131 I127:J128 C127:G128 L120:L126 J118:J126 R100:Y125 R129:Y131 N126:Y126 L127:Y128 E99:AE99 Z100:AE131 C165 N160:Q165 J144:J155 L158:Q159 L144:Q155 L169 N169:Q169 J169 C170:Q171 I167:J168 C167:G168 L160:L166 J158:J166 R140:Y165 R169:Y171 N166:Y166 L167:Y168 E139:AE139 Z140:AE171 A338:AE338 C205 N200:Q205 J184:J195 L198:Q199 L184:Q195 L209 N209:Q209 J209 C245 N240:Q245 J224:J235 L238:Q239 L224:Q235 L249 N249:Q249 J249 L207:Q208 I207:J208 C207:G208 L200:L206 J198:J206 C210:Q211 C250:Q251 I247:J248 C247:G248 L240:L246 J238:J246 R179:Y205 N206:Y206 R207:Y211 R220:Y245 R249:Y251 N246:Y246 L247:Y248 Z179:AE211 E179:Q179 E219:AE219 Z220:AE251 C285 N280:Q285 J264:J275 L278:Q279 L264:Q275 L289 N289:Q289 J289 C290:Q291 I287:J288 C287:G288 L280:L286 J278:J286 R260:Y285 R289:Y291 N286:Y286 L287:Y288 D258:AE258 E259:AE259 Z260:AE291 C325 N320:Q325 J304:J315 L318:Q319 L304:Q315 L329 N329:Q329 J329 C330:Q331 I327:J328 C327:G328 L320:L326 J318:J326 R300:Y325 R329:Y331 N326:Y326 L327:Y328 D298:AE298 E299:AE299 Z300:AE331 C365 N360:Q365 J344:J355 L358:Q359 L344:Q355 L369 N369:Q369 J369 C405 N400:Q405 J384:J395 L398:Q399 L384:Q395 L409 N409:Q409 J409 L367:Q368 I367:J368 C367:G368 L360:L366 J358:J366 C370:Q371 C410:Q411 I407:J408 C407:G408 L400:L406 J398:J406 R339:Y365 N366:Y366 R367:Y371 R380:Y405 R409:Y411 N406:Y406 L407:Y408 Z339:AE371 E339:Q339 E379:AE379 Z380:AE411 C445 N440:Q445 J424:J435 L438:Q439 L424:Q435 L449 N449:Q449 J449 C450:Q451 I447:J448 C447:G448 L440:L446 J438:J446 R420:Y445 R449:Y451 N446:Y446 L447:Y448 D418:AE418 E419:AE419 Z420:AE451 C485 N480:Q485 J464:J475 L478:Q479 L464:Q475 L489 N489:Q489 J489 C490:Q491 I487:J488 C487:G488 L480:L486 J478:J486 R460:Y485 R489:Y491 N486:Y486 L487:Y488 D458:AE458 E459:AE459 Z460:AE491 A498:AE498 R619:AJ651 N640:Q651 R659:AJ691 N680:Q691 R819:AJ851 N845:Q851 R859:AJ891 N880:Q891 R899:AJ931 N920:Q931 R939:AJ971 N960:Q971 R739:AJ771 N765:Q771 R779:AJ811 N805:Q811 Z55:AE58 R55:Y55 I53:J55 L53:L55 A20:A58 R54:AE54 C55:G55 C56:Y57 R92:AE94 Z95:AE97 R95:Y95 I93:J95 L93:L95 C95:G95 C96:Y97 D98:AE98 A60:A98 R132:AE134 Z135:AE137 R135:Y135 I133:J135 L133:L135 C135:G135 C136:Y137 D138:AE138 A100:A138 R172:AE174 Z175:AE177 R175:Y175 I173:J175 L173:L175 C175:G175 C176:Y177 A140:A177 D218:AE218 R212:AE214 Z215:AE217 R215:Y215 I213:J215 L213:L215 C215:G215 C216:Y217 A180:A218 R699:AJ731 N725:Q731 R252:AE254 Z255:AE257 R255:Y255 I253:J255 L253:L255 C255:G255 C256:Y257 A220:A258 R292:AE294 Z295:AE297 R295:Y295 I293:J295 L293:L295 C295:G295 C296:Y297 A260:A298 R332:AE334 Z335:AE337 R335:Y335 I333:J335 L333:L335 C335:G335 C336:Y337 A300:A337 D378:AE378 R372:AE374 Z375:AE377 R375:Y375 I373:J375 L373:L375 C375:G375 C376:Y377 A340:A378 R412:AE414 Z415:AE417 R415:Y415 I413:J415 L413:L415 C415:G415 C416:Y417 A380:A418 R452:AE454 Z455:AE457 R455:Y455 I453:J455 L453:L455 C455:G455 C456:Y457 A420:A458 R492:AE494 Z495:AE497 R495:Y495 I493:J495 L493:L495 C495:G495 C496:Y497 A460:A497 D538:AE538 R532:AE534 Z535:AE537 R535:Y535 I533:J535 L533:L535 C535:G535 C536:Y537 A500:A538 D578:AE578 R540:AE574 Z575:AE577 R575:Y575 I573:J575 L573:L575 C575:G575 C576:Y577 A540:A578 R612:AE614 Z615:AE617 R615:Y615 I613:J615 L613:L615 C615:G615 C616:Y617 A580:A618 R652:AE654 Z655:AE657 R655:Y655 I653:J655 L653:L655 C655:G655 C656:Y657 A620:A658 R692:AE694 Z695:AE697 R695:Y695 I693:J695 L693:L695 C695:G695 C696:Y697 A660:A698 R732:AE734 Z735:AE737 R735:Y735 I733:J735 L733:L735 C735:G735 C736:Y737 A700:A737 R772:AE774 Z775:AE777 R775:Y775 I773:J775 L773:L775 C775:G775 C776:Y777 A740:A778 R812:AE814 Z815:AE817 R815:Y815 I813:J815 L813:L815 C815:G815 C816:Y817 A780:A818 R852:AE854 Z855:AE857 R855:Y855 I853:J855 L853:L855 C855:G855 C856:Y857 A820:A857 R892:AE894 Z895:AE897 R895:Y895 I893:J895 L893:L895 C895:G895 C896:Y897 A860:A898 R932:AE934 Z935:AE937 R935:Y935 I933:J935 L933:L935 C935:G935 C936:Y937 R972:AE974 Z975:AE977 R975:Y975 I973:J975 L973:L975 C975:G975 C976:Y977 A940:A977 A900:A938 C50:H52 C92:N92 C132:N132 C172:N172 C212:N212 C252:N252 C292:N292 C332:N332 C372:N372 C412:N412 C452:N452 C492:N492 C532:N532 C572:N572 C612:N612 C652:N652 C692:N692 C732:N732 C772:N772 C812:N812 C852:N852 C892:N892 C932:N932 C972:N972">
    <cfRule type="cellIs" dxfId="2471" priority="1435" stopIfTrue="1" operator="lessThan">
      <formula>0</formula>
    </cfRule>
  </conditionalFormatting>
  <conditionalFormatting sqref="C53:C54 E53:G54">
    <cfRule type="cellIs" dxfId="2470" priority="1436" stopIfTrue="1" operator="lessThan">
      <formula>0</formula>
    </cfRule>
  </conditionalFormatting>
  <conditionalFormatting sqref="D45:G45">
    <cfRule type="cellIs" dxfId="2469" priority="1434" stopIfTrue="1" operator="lessThan">
      <formula>0</formula>
    </cfRule>
  </conditionalFormatting>
  <conditionalFormatting sqref="D53:D54">
    <cfRule type="cellIs" dxfId="2468" priority="1433" stopIfTrue="1" operator="lessThan">
      <formula>0</formula>
    </cfRule>
  </conditionalFormatting>
  <conditionalFormatting sqref="M53:Q55">
    <cfRule type="cellIs" dxfId="2467" priority="1432" stopIfTrue="1" operator="lessThan">
      <formula>0</formula>
    </cfRule>
  </conditionalFormatting>
  <conditionalFormatting sqref="C57 C97 C137 C177">
    <cfRule type="cellIs" dxfId="2466" priority="1430" stopIfTrue="1" operator="lessThan">
      <formula>0</formula>
    </cfRule>
  </conditionalFormatting>
  <conditionalFormatting sqref="C56">
    <cfRule type="cellIs" dxfId="2465" priority="1431" stopIfTrue="1" operator="lessThan">
      <formula>0</formula>
    </cfRule>
  </conditionalFormatting>
  <conditionalFormatting sqref="M45">
    <cfRule type="cellIs" dxfId="2464" priority="1420" stopIfTrue="1" operator="lessThan">
      <formula>0</formula>
    </cfRule>
  </conditionalFormatting>
  <conditionalFormatting sqref="M41">
    <cfRule type="cellIs" dxfId="2463" priority="1419" stopIfTrue="1" operator="lessThan">
      <formula>0</formula>
    </cfRule>
  </conditionalFormatting>
  <conditionalFormatting sqref="M43">
    <cfRule type="cellIs" dxfId="2462" priority="1417" stopIfTrue="1" operator="lessThan">
      <formula>0</formula>
    </cfRule>
  </conditionalFormatting>
  <conditionalFormatting sqref="M42">
    <cfRule type="cellIs" dxfId="2461" priority="1418" stopIfTrue="1" operator="lessThan">
      <formula>0</formula>
    </cfRule>
  </conditionalFormatting>
  <conditionalFormatting sqref="M44">
    <cfRule type="cellIs" dxfId="2460" priority="1416" stopIfTrue="1" operator="lessThan">
      <formula>0</formula>
    </cfRule>
  </conditionalFormatting>
  <conditionalFormatting sqref="C41:G41">
    <cfRule type="cellIs" dxfId="2459" priority="1429" stopIfTrue="1" operator="lessThan">
      <formula>0</formula>
    </cfRule>
  </conditionalFormatting>
  <conditionalFormatting sqref="C43:G43">
    <cfRule type="cellIs" dxfId="2458" priority="1427" stopIfTrue="1" operator="lessThan">
      <formula>0</formula>
    </cfRule>
  </conditionalFormatting>
  <conditionalFormatting sqref="C42:G42">
    <cfRule type="cellIs" dxfId="2457" priority="1428" stopIfTrue="1" operator="lessThan">
      <formula>0</formula>
    </cfRule>
  </conditionalFormatting>
  <conditionalFormatting sqref="C44:G44">
    <cfRule type="cellIs" dxfId="2456" priority="1426" stopIfTrue="1" operator="lessThan">
      <formula>0</formula>
    </cfRule>
  </conditionalFormatting>
  <conditionalFormatting sqref="I45">
    <cfRule type="cellIs" dxfId="2455" priority="1425" stopIfTrue="1" operator="lessThan">
      <formula>0</formula>
    </cfRule>
  </conditionalFormatting>
  <conditionalFormatting sqref="I41">
    <cfRule type="cellIs" dxfId="2454" priority="1424" stopIfTrue="1" operator="lessThan">
      <formula>0</formula>
    </cfRule>
  </conditionalFormatting>
  <conditionalFormatting sqref="I42">
    <cfRule type="cellIs" dxfId="2453" priority="1423" stopIfTrue="1" operator="lessThan">
      <formula>0</formula>
    </cfRule>
  </conditionalFormatting>
  <conditionalFormatting sqref="I43">
    <cfRule type="cellIs" dxfId="2452" priority="1422" stopIfTrue="1" operator="lessThan">
      <formula>0</formula>
    </cfRule>
  </conditionalFormatting>
  <conditionalFormatting sqref="I44">
    <cfRule type="cellIs" dxfId="2451" priority="1421" stopIfTrue="1" operator="lessThan">
      <formula>0</formula>
    </cfRule>
  </conditionalFormatting>
  <conditionalFormatting sqref="O52:Q52">
    <cfRule type="cellIs" dxfId="2450" priority="1415" stopIfTrue="1" operator="lessThan">
      <formula>0</formula>
    </cfRule>
  </conditionalFormatting>
  <conditionalFormatting sqref="L23 J23">
    <cfRule type="cellIs" dxfId="2449" priority="1414" stopIfTrue="1" operator="lessThan">
      <formula>0</formula>
    </cfRule>
  </conditionalFormatting>
  <conditionalFormatting sqref="N23:Q23">
    <cfRule type="cellIs" dxfId="2448" priority="1413" stopIfTrue="1" operator="lessThan">
      <formula>0</formula>
    </cfRule>
  </conditionalFormatting>
  <conditionalFormatting sqref="C23:G23">
    <cfRule type="cellIs" dxfId="2447" priority="1412" stopIfTrue="1" operator="lessThan">
      <formula>0</formula>
    </cfRule>
  </conditionalFormatting>
  <conditionalFormatting sqref="J36:J37 L36:Q37">
    <cfRule type="cellIs" dxfId="2446" priority="1411" stopIfTrue="1" operator="lessThan">
      <formula>0</formula>
    </cfRule>
  </conditionalFormatting>
  <conditionalFormatting sqref="I23">
    <cfRule type="cellIs" dxfId="2445" priority="1410" stopIfTrue="1" operator="lessThan">
      <formula>0</formula>
    </cfRule>
  </conditionalFormatting>
  <conditionalFormatting sqref="K23">
    <cfRule type="cellIs" dxfId="2444" priority="1409" stopIfTrue="1" operator="lessThan">
      <formula>0</formula>
    </cfRule>
  </conditionalFormatting>
  <conditionalFormatting sqref="M23">
    <cfRule type="cellIs" dxfId="2443" priority="1408" stopIfTrue="1" operator="lessThan">
      <formula>0</formula>
    </cfRule>
  </conditionalFormatting>
  <conditionalFormatting sqref="H53:H54">
    <cfRule type="cellIs" dxfId="2442" priority="1407" stopIfTrue="1" operator="lessThan">
      <formula>0</formula>
    </cfRule>
  </conditionalFormatting>
  <conditionalFormatting sqref="H55 H47:H48">
    <cfRule type="cellIs" dxfId="2441" priority="1406" stopIfTrue="1" operator="lessThan">
      <formula>0</formula>
    </cfRule>
  </conditionalFormatting>
  <conditionalFormatting sqref="H45">
    <cfRule type="cellIs" dxfId="2440" priority="1405" stopIfTrue="1" operator="lessThan">
      <formula>0</formula>
    </cfRule>
  </conditionalFormatting>
  <conditionalFormatting sqref="H41">
    <cfRule type="cellIs" dxfId="2439" priority="1404" stopIfTrue="1" operator="lessThan">
      <formula>0</formula>
    </cfRule>
  </conditionalFormatting>
  <conditionalFormatting sqref="H43">
    <cfRule type="cellIs" dxfId="2438" priority="1402" stopIfTrue="1" operator="lessThan">
      <formula>0</formula>
    </cfRule>
  </conditionalFormatting>
  <conditionalFormatting sqref="H42">
    <cfRule type="cellIs" dxfId="2437" priority="1403" stopIfTrue="1" operator="lessThan">
      <formula>0</formula>
    </cfRule>
  </conditionalFormatting>
  <conditionalFormatting sqref="H44">
    <cfRule type="cellIs" dxfId="2436" priority="1401" stopIfTrue="1" operator="lessThan">
      <formula>0</formula>
    </cfRule>
  </conditionalFormatting>
  <conditionalFormatting sqref="H23">
    <cfRule type="cellIs" dxfId="2435" priority="1400" stopIfTrue="1" operator="lessThan">
      <formula>0</formula>
    </cfRule>
  </conditionalFormatting>
  <conditionalFormatting sqref="C24:I39">
    <cfRule type="cellIs" dxfId="2434" priority="1399" stopIfTrue="1" operator="lessThan">
      <formula>0</formula>
    </cfRule>
  </conditionalFormatting>
  <conditionalFormatting sqref="C40">
    <cfRule type="cellIs" dxfId="2433" priority="1398" stopIfTrue="1" operator="lessThan">
      <formula>0</formula>
    </cfRule>
  </conditionalFormatting>
  <conditionalFormatting sqref="D40:I40">
    <cfRule type="cellIs" dxfId="2432" priority="1397" stopIfTrue="1" operator="lessThan">
      <formula>0</formula>
    </cfRule>
  </conditionalFormatting>
  <conditionalFormatting sqref="K40">
    <cfRule type="cellIs" dxfId="2431" priority="1396" stopIfTrue="1" operator="lessThan">
      <formula>0</formula>
    </cfRule>
  </conditionalFormatting>
  <conditionalFormatting sqref="M40">
    <cfRule type="cellIs" dxfId="2430" priority="1395" stopIfTrue="1" operator="lessThan">
      <formula>0</formula>
    </cfRule>
  </conditionalFormatting>
  <conditionalFormatting sqref="K24:K39">
    <cfRule type="cellIs" dxfId="2429" priority="1394" stopIfTrue="1" operator="lessThan">
      <formula>0</formula>
    </cfRule>
  </conditionalFormatting>
  <conditionalFormatting sqref="K41:K45 K47:K48">
    <cfRule type="cellIs" dxfId="2428" priority="1393" stopIfTrue="1" operator="lessThan">
      <formula>0</formula>
    </cfRule>
  </conditionalFormatting>
  <conditionalFormatting sqref="K53:K54">
    <cfRule type="cellIs" dxfId="2427" priority="1392" stopIfTrue="1" operator="lessThan">
      <formula>0</formula>
    </cfRule>
  </conditionalFormatting>
  <conditionalFormatting sqref="K55">
    <cfRule type="cellIs" dxfId="2426" priority="1391" stopIfTrue="1" operator="lessThan">
      <formula>0</formula>
    </cfRule>
  </conditionalFormatting>
  <conditionalFormatting sqref="L560:L565 J560:J565 J558:Q559 J544:Q555">
    <cfRule type="cellIs" dxfId="2425" priority="1390" stopIfTrue="1" operator="lessThan">
      <formula>0</formula>
    </cfRule>
  </conditionalFormatting>
  <conditionalFormatting sqref="K564">
    <cfRule type="cellIs" dxfId="2424" priority="1385" stopIfTrue="1" operator="lessThan">
      <formula>0</formula>
    </cfRule>
  </conditionalFormatting>
  <conditionalFormatting sqref="K565">
    <cfRule type="cellIs" dxfId="2423" priority="1389" stopIfTrue="1" operator="lessThan">
      <formula>0</formula>
    </cfRule>
  </conditionalFormatting>
  <conditionalFormatting sqref="K561">
    <cfRule type="cellIs" dxfId="2422" priority="1388" stopIfTrue="1" operator="lessThan">
      <formula>0</formula>
    </cfRule>
  </conditionalFormatting>
  <conditionalFormatting sqref="K562">
    <cfRule type="cellIs" dxfId="2421" priority="1387" stopIfTrue="1" operator="lessThan">
      <formula>0</formula>
    </cfRule>
  </conditionalFormatting>
  <conditionalFormatting sqref="K563">
    <cfRule type="cellIs" dxfId="2420" priority="1386" stopIfTrue="1" operator="lessThan">
      <formula>0</formula>
    </cfRule>
  </conditionalFormatting>
  <conditionalFormatting sqref="L543 J543">
    <cfRule type="cellIs" dxfId="2419" priority="1384" stopIfTrue="1" operator="lessThan">
      <formula>0</formula>
    </cfRule>
  </conditionalFormatting>
  <conditionalFormatting sqref="N543:Q543">
    <cfRule type="cellIs" dxfId="2418" priority="1383" stopIfTrue="1" operator="lessThan">
      <formula>0</formula>
    </cfRule>
  </conditionalFormatting>
  <conditionalFormatting sqref="C543:G543">
    <cfRule type="cellIs" dxfId="2417" priority="1382" stopIfTrue="1" operator="lessThan">
      <formula>0</formula>
    </cfRule>
  </conditionalFormatting>
  <conditionalFormatting sqref="J556:Q557">
    <cfRule type="cellIs" dxfId="2416" priority="1381" stopIfTrue="1" operator="lessThan">
      <formula>0</formula>
    </cfRule>
  </conditionalFormatting>
  <conditionalFormatting sqref="I543">
    <cfRule type="cellIs" dxfId="2415" priority="1380" stopIfTrue="1" operator="lessThan">
      <formula>0</formula>
    </cfRule>
  </conditionalFormatting>
  <conditionalFormatting sqref="K543">
    <cfRule type="cellIs" dxfId="2414" priority="1379" stopIfTrue="1" operator="lessThan">
      <formula>0</formula>
    </cfRule>
  </conditionalFormatting>
  <conditionalFormatting sqref="M543">
    <cfRule type="cellIs" dxfId="2413" priority="1378" stopIfTrue="1" operator="lessThan">
      <formula>0</formula>
    </cfRule>
  </conditionalFormatting>
  <conditionalFormatting sqref="H543">
    <cfRule type="cellIs" dxfId="2412" priority="1377" stopIfTrue="1" operator="lessThan">
      <formula>0</formula>
    </cfRule>
  </conditionalFormatting>
  <conditionalFormatting sqref="C560">
    <cfRule type="cellIs" dxfId="2411" priority="1376" stopIfTrue="1" operator="lessThan">
      <formula>0</formula>
    </cfRule>
  </conditionalFormatting>
  <conditionalFormatting sqref="D560:I560">
    <cfRule type="cellIs" dxfId="2410" priority="1375" stopIfTrue="1" operator="lessThan">
      <formula>0</formula>
    </cfRule>
  </conditionalFormatting>
  <conditionalFormatting sqref="K560">
    <cfRule type="cellIs" dxfId="2409" priority="1374" stopIfTrue="1" operator="lessThan">
      <formula>0</formula>
    </cfRule>
  </conditionalFormatting>
  <conditionalFormatting sqref="M560">
    <cfRule type="cellIs" dxfId="2408" priority="1373" stopIfTrue="1" operator="lessThan">
      <formula>0</formula>
    </cfRule>
  </conditionalFormatting>
  <conditionalFormatting sqref="C544:I559">
    <cfRule type="cellIs" dxfId="2407" priority="1372" stopIfTrue="1" operator="lessThan">
      <formula>0</formula>
    </cfRule>
  </conditionalFormatting>
  <conditionalFormatting sqref="C561:I565">
    <cfRule type="cellIs" dxfId="2406" priority="1371" stopIfTrue="1" operator="lessThan">
      <formula>0</formula>
    </cfRule>
  </conditionalFormatting>
  <conditionalFormatting sqref="M561:M565">
    <cfRule type="cellIs" dxfId="2405" priority="1370" stopIfTrue="1" operator="lessThan">
      <formula>0</formula>
    </cfRule>
  </conditionalFormatting>
  <conditionalFormatting sqref="A8:A16">
    <cfRule type="cellIs" dxfId="2404" priority="1369" stopIfTrue="1" operator="lessThan">
      <formula>0</formula>
    </cfRule>
  </conditionalFormatting>
  <conditionalFormatting sqref="L520:L524 J520:J524 J518:Q519 J504:Q515 N520:Q524">
    <cfRule type="cellIs" dxfId="2403" priority="1368" stopIfTrue="1" operator="lessThan">
      <formula>0</formula>
    </cfRule>
  </conditionalFormatting>
  <conditionalFormatting sqref="K524">
    <cfRule type="cellIs" dxfId="2402" priority="1364" stopIfTrue="1" operator="lessThan">
      <formula>0</formula>
    </cfRule>
  </conditionalFormatting>
  <conditionalFormatting sqref="K521">
    <cfRule type="cellIs" dxfId="2401" priority="1367" stopIfTrue="1" operator="lessThan">
      <formula>0</formula>
    </cfRule>
  </conditionalFormatting>
  <conditionalFormatting sqref="K522">
    <cfRule type="cellIs" dxfId="2400" priority="1366" stopIfTrue="1" operator="lessThan">
      <formula>0</formula>
    </cfRule>
  </conditionalFormatting>
  <conditionalFormatting sqref="K523">
    <cfRule type="cellIs" dxfId="2399" priority="1365" stopIfTrue="1" operator="lessThan">
      <formula>0</formula>
    </cfRule>
  </conditionalFormatting>
  <conditionalFormatting sqref="L503 J503">
    <cfRule type="cellIs" dxfId="2398" priority="1363" stopIfTrue="1" operator="lessThan">
      <formula>0</formula>
    </cfRule>
  </conditionalFormatting>
  <conditionalFormatting sqref="N503:Q503">
    <cfRule type="cellIs" dxfId="2397" priority="1362" stopIfTrue="1" operator="lessThan">
      <formula>0</formula>
    </cfRule>
  </conditionalFormatting>
  <conditionalFormatting sqref="C503:G503">
    <cfRule type="cellIs" dxfId="2396" priority="1361" stopIfTrue="1" operator="lessThan">
      <formula>0</formula>
    </cfRule>
  </conditionalFormatting>
  <conditionalFormatting sqref="J516:Q517">
    <cfRule type="cellIs" dxfId="2395" priority="1360" stopIfTrue="1" operator="lessThan">
      <formula>0</formula>
    </cfRule>
  </conditionalFormatting>
  <conditionalFormatting sqref="I503">
    <cfRule type="cellIs" dxfId="2394" priority="1359" stopIfTrue="1" operator="lessThan">
      <formula>0</formula>
    </cfRule>
  </conditionalFormatting>
  <conditionalFormatting sqref="K503">
    <cfRule type="cellIs" dxfId="2393" priority="1358" stopIfTrue="1" operator="lessThan">
      <formula>0</formula>
    </cfRule>
  </conditionalFormatting>
  <conditionalFormatting sqref="M503">
    <cfRule type="cellIs" dxfId="2392" priority="1357" stopIfTrue="1" operator="lessThan">
      <formula>0</formula>
    </cfRule>
  </conditionalFormatting>
  <conditionalFormatting sqref="H503">
    <cfRule type="cellIs" dxfId="2391" priority="1356" stopIfTrue="1" operator="lessThan">
      <formula>0</formula>
    </cfRule>
  </conditionalFormatting>
  <conditionalFormatting sqref="C520">
    <cfRule type="cellIs" dxfId="2390" priority="1355" stopIfTrue="1" operator="lessThan">
      <formula>0</formula>
    </cfRule>
  </conditionalFormatting>
  <conditionalFormatting sqref="D520:I520">
    <cfRule type="cellIs" dxfId="2389" priority="1354" stopIfTrue="1" operator="lessThan">
      <formula>0</formula>
    </cfRule>
  </conditionalFormatting>
  <conditionalFormatting sqref="K520">
    <cfRule type="cellIs" dxfId="2388" priority="1353" stopIfTrue="1" operator="lessThan">
      <formula>0</formula>
    </cfRule>
  </conditionalFormatting>
  <conditionalFormatting sqref="M520">
    <cfRule type="cellIs" dxfId="2387" priority="1352" stopIfTrue="1" operator="lessThan">
      <formula>0</formula>
    </cfRule>
  </conditionalFormatting>
  <conditionalFormatting sqref="C504:I519">
    <cfRule type="cellIs" dxfId="2386" priority="1351" stopIfTrue="1" operator="lessThan">
      <formula>0</formula>
    </cfRule>
  </conditionalFormatting>
  <conditionalFormatting sqref="C521:I524">
    <cfRule type="cellIs" dxfId="2385" priority="1350" stopIfTrue="1" operator="lessThan">
      <formula>0</formula>
    </cfRule>
  </conditionalFormatting>
  <conditionalFormatting sqref="M521:M524">
    <cfRule type="cellIs" dxfId="2384" priority="1349" stopIfTrue="1" operator="lessThan">
      <formula>0</formula>
    </cfRule>
  </conditionalFormatting>
  <conditionalFormatting sqref="C49">
    <cfRule type="cellIs" dxfId="2383" priority="1348" stopIfTrue="1" operator="lessThan">
      <formula>0</formula>
    </cfRule>
  </conditionalFormatting>
  <conditionalFormatting sqref="D49:I49">
    <cfRule type="cellIs" dxfId="2382" priority="1347" stopIfTrue="1" operator="lessThan">
      <formula>0</formula>
    </cfRule>
  </conditionalFormatting>
  <conditionalFormatting sqref="K49">
    <cfRule type="cellIs" dxfId="2381" priority="1346" stopIfTrue="1" operator="lessThan">
      <formula>0</formula>
    </cfRule>
  </conditionalFormatting>
  <conditionalFormatting sqref="M49">
    <cfRule type="cellIs" dxfId="2380" priority="1345" stopIfTrue="1" operator="lessThan">
      <formula>0</formula>
    </cfRule>
  </conditionalFormatting>
  <conditionalFormatting sqref="D85:G85">
    <cfRule type="cellIs" dxfId="2379" priority="1344" stopIfTrue="1" operator="lessThan">
      <formula>0</formula>
    </cfRule>
  </conditionalFormatting>
  <conditionalFormatting sqref="M85">
    <cfRule type="cellIs" dxfId="2378" priority="1334" stopIfTrue="1" operator="lessThan">
      <formula>0</formula>
    </cfRule>
  </conditionalFormatting>
  <conditionalFormatting sqref="M81">
    <cfRule type="cellIs" dxfId="2377" priority="1333" stopIfTrue="1" operator="lessThan">
      <formula>0</formula>
    </cfRule>
  </conditionalFormatting>
  <conditionalFormatting sqref="M83">
    <cfRule type="cellIs" dxfId="2376" priority="1331" stopIfTrue="1" operator="lessThan">
      <formula>0</formula>
    </cfRule>
  </conditionalFormatting>
  <conditionalFormatting sqref="M82">
    <cfRule type="cellIs" dxfId="2375" priority="1332" stopIfTrue="1" operator="lessThan">
      <formula>0</formula>
    </cfRule>
  </conditionalFormatting>
  <conditionalFormatting sqref="M84">
    <cfRule type="cellIs" dxfId="2374" priority="1330" stopIfTrue="1" operator="lessThan">
      <formula>0</formula>
    </cfRule>
  </conditionalFormatting>
  <conditionalFormatting sqref="C81:G81">
    <cfRule type="cellIs" dxfId="2373" priority="1343" stopIfTrue="1" operator="lessThan">
      <formula>0</formula>
    </cfRule>
  </conditionalFormatting>
  <conditionalFormatting sqref="C83:G83">
    <cfRule type="cellIs" dxfId="2372" priority="1341" stopIfTrue="1" operator="lessThan">
      <formula>0</formula>
    </cfRule>
  </conditionalFormatting>
  <conditionalFormatting sqref="C82:G82">
    <cfRule type="cellIs" dxfId="2371" priority="1342" stopIfTrue="1" operator="lessThan">
      <formula>0</formula>
    </cfRule>
  </conditionalFormatting>
  <conditionalFormatting sqref="C84:G84">
    <cfRule type="cellIs" dxfId="2370" priority="1340" stopIfTrue="1" operator="lessThan">
      <formula>0</formula>
    </cfRule>
  </conditionalFormatting>
  <conditionalFormatting sqref="I85">
    <cfRule type="cellIs" dxfId="2369" priority="1339" stopIfTrue="1" operator="lessThan">
      <formula>0</formula>
    </cfRule>
  </conditionalFormatting>
  <conditionalFormatting sqref="I81">
    <cfRule type="cellIs" dxfId="2368" priority="1338" stopIfTrue="1" operator="lessThan">
      <formula>0</formula>
    </cfRule>
  </conditionalFormatting>
  <conditionalFormatting sqref="I82">
    <cfRule type="cellIs" dxfId="2367" priority="1337" stopIfTrue="1" operator="lessThan">
      <formula>0</formula>
    </cfRule>
  </conditionalFormatting>
  <conditionalFormatting sqref="I83">
    <cfRule type="cellIs" dxfId="2366" priority="1336" stopIfTrue="1" operator="lessThan">
      <formula>0</formula>
    </cfRule>
  </conditionalFormatting>
  <conditionalFormatting sqref="I84">
    <cfRule type="cellIs" dxfId="2365" priority="1335" stopIfTrue="1" operator="lessThan">
      <formula>0</formula>
    </cfRule>
  </conditionalFormatting>
  <conditionalFormatting sqref="L63 J63">
    <cfRule type="cellIs" dxfId="2364" priority="1329" stopIfTrue="1" operator="lessThan">
      <formula>0</formula>
    </cfRule>
  </conditionalFormatting>
  <conditionalFormatting sqref="N63:Q63">
    <cfRule type="cellIs" dxfId="2363" priority="1328" stopIfTrue="1" operator="lessThan">
      <formula>0</formula>
    </cfRule>
  </conditionalFormatting>
  <conditionalFormatting sqref="C63:G63">
    <cfRule type="cellIs" dxfId="2362" priority="1327" stopIfTrue="1" operator="lessThan">
      <formula>0</formula>
    </cfRule>
  </conditionalFormatting>
  <conditionalFormatting sqref="J76:J77 L76:Q77">
    <cfRule type="cellIs" dxfId="2361" priority="1326" stopIfTrue="1" operator="lessThan">
      <formula>0</formula>
    </cfRule>
  </conditionalFormatting>
  <conditionalFormatting sqref="I63">
    <cfRule type="cellIs" dxfId="2360" priority="1325" stopIfTrue="1" operator="lessThan">
      <formula>0</formula>
    </cfRule>
  </conditionalFormatting>
  <conditionalFormatting sqref="K63">
    <cfRule type="cellIs" dxfId="2359" priority="1324" stopIfTrue="1" operator="lessThan">
      <formula>0</formula>
    </cfRule>
  </conditionalFormatting>
  <conditionalFormatting sqref="M63">
    <cfRule type="cellIs" dxfId="2358" priority="1323" stopIfTrue="1" operator="lessThan">
      <formula>0</formula>
    </cfRule>
  </conditionalFormatting>
  <conditionalFormatting sqref="H85">
    <cfRule type="cellIs" dxfId="2357" priority="1322" stopIfTrue="1" operator="lessThan">
      <formula>0</formula>
    </cfRule>
  </conditionalFormatting>
  <conditionalFormatting sqref="H81">
    <cfRule type="cellIs" dxfId="2356" priority="1321" stopIfTrue="1" operator="lessThan">
      <formula>0</formula>
    </cfRule>
  </conditionalFormatting>
  <conditionalFormatting sqref="H83">
    <cfRule type="cellIs" dxfId="2355" priority="1319" stopIfTrue="1" operator="lessThan">
      <formula>0</formula>
    </cfRule>
  </conditionalFormatting>
  <conditionalFormatting sqref="H82">
    <cfRule type="cellIs" dxfId="2354" priority="1320" stopIfTrue="1" operator="lessThan">
      <formula>0</formula>
    </cfRule>
  </conditionalFormatting>
  <conditionalFormatting sqref="H84">
    <cfRule type="cellIs" dxfId="2353" priority="1318" stopIfTrue="1" operator="lessThan">
      <formula>0</formula>
    </cfRule>
  </conditionalFormatting>
  <conditionalFormatting sqref="H63">
    <cfRule type="cellIs" dxfId="2352" priority="1317" stopIfTrue="1" operator="lessThan">
      <formula>0</formula>
    </cfRule>
  </conditionalFormatting>
  <conditionalFormatting sqref="C64:I79">
    <cfRule type="cellIs" dxfId="2351" priority="1316" stopIfTrue="1" operator="lessThan">
      <formula>0</formula>
    </cfRule>
  </conditionalFormatting>
  <conditionalFormatting sqref="C80">
    <cfRule type="cellIs" dxfId="2350" priority="1315" stopIfTrue="1" operator="lessThan">
      <formula>0</formula>
    </cfRule>
  </conditionalFormatting>
  <conditionalFormatting sqref="D80:I80">
    <cfRule type="cellIs" dxfId="2349" priority="1314" stopIfTrue="1" operator="lessThan">
      <formula>0</formula>
    </cfRule>
  </conditionalFormatting>
  <conditionalFormatting sqref="K80">
    <cfRule type="cellIs" dxfId="2348" priority="1313" stopIfTrue="1" operator="lessThan">
      <formula>0</formula>
    </cfRule>
  </conditionalFormatting>
  <conditionalFormatting sqref="M80">
    <cfRule type="cellIs" dxfId="2347" priority="1312" stopIfTrue="1" operator="lessThan">
      <formula>0</formula>
    </cfRule>
  </conditionalFormatting>
  <conditionalFormatting sqref="K64:K79">
    <cfRule type="cellIs" dxfId="2346" priority="1311" stopIfTrue="1" operator="lessThan">
      <formula>0</formula>
    </cfRule>
  </conditionalFormatting>
  <conditionalFormatting sqref="K81:K85">
    <cfRule type="cellIs" dxfId="2345" priority="1310" stopIfTrue="1" operator="lessThan">
      <formula>0</formula>
    </cfRule>
  </conditionalFormatting>
  <conditionalFormatting sqref="C89">
    <cfRule type="cellIs" dxfId="2344" priority="1309" stopIfTrue="1" operator="lessThan">
      <formula>0</formula>
    </cfRule>
  </conditionalFormatting>
  <conditionalFormatting sqref="D89:I89">
    <cfRule type="cellIs" dxfId="2343" priority="1308" stopIfTrue="1" operator="lessThan">
      <formula>0</formula>
    </cfRule>
  </conditionalFormatting>
  <conditionalFormatting sqref="K89">
    <cfRule type="cellIs" dxfId="2342" priority="1307" stopIfTrue="1" operator="lessThan">
      <formula>0</formula>
    </cfRule>
  </conditionalFormatting>
  <conditionalFormatting sqref="M89">
    <cfRule type="cellIs" dxfId="2341" priority="1306" stopIfTrue="1" operator="lessThan">
      <formula>0</formula>
    </cfRule>
  </conditionalFormatting>
  <conditionalFormatting sqref="C46">
    <cfRule type="cellIs" dxfId="2340" priority="1305" stopIfTrue="1" operator="lessThan">
      <formula>0</formula>
    </cfRule>
  </conditionalFormatting>
  <conditionalFormatting sqref="D46:I46">
    <cfRule type="cellIs" dxfId="2339" priority="1304" stopIfTrue="1" operator="lessThan">
      <formula>0</formula>
    </cfRule>
  </conditionalFormatting>
  <conditionalFormatting sqref="K46">
    <cfRule type="cellIs" dxfId="2338" priority="1303" stopIfTrue="1" operator="lessThan">
      <formula>0</formula>
    </cfRule>
  </conditionalFormatting>
  <conditionalFormatting sqref="M46">
    <cfRule type="cellIs" dxfId="2337" priority="1302" stopIfTrue="1" operator="lessThan">
      <formula>0</formula>
    </cfRule>
  </conditionalFormatting>
  <conditionalFormatting sqref="H87:H88">
    <cfRule type="cellIs" dxfId="2336" priority="1301" stopIfTrue="1" operator="lessThan">
      <formula>0</formula>
    </cfRule>
  </conditionalFormatting>
  <conditionalFormatting sqref="K87:K88">
    <cfRule type="cellIs" dxfId="2335" priority="1300" stopIfTrue="1" operator="lessThan">
      <formula>0</formula>
    </cfRule>
  </conditionalFormatting>
  <conditionalFormatting sqref="C86">
    <cfRule type="cellIs" dxfId="2334" priority="1299" stopIfTrue="1" operator="lessThan">
      <formula>0</formula>
    </cfRule>
  </conditionalFormatting>
  <conditionalFormatting sqref="D86:I86">
    <cfRule type="cellIs" dxfId="2333" priority="1298" stopIfTrue="1" operator="lessThan">
      <formula>0</formula>
    </cfRule>
  </conditionalFormatting>
  <conditionalFormatting sqref="K86">
    <cfRule type="cellIs" dxfId="2332" priority="1297" stopIfTrue="1" operator="lessThan">
      <formula>0</formula>
    </cfRule>
  </conditionalFormatting>
  <conditionalFormatting sqref="M86">
    <cfRule type="cellIs" dxfId="2331" priority="1296" stopIfTrue="1" operator="lessThan">
      <formula>0</formula>
    </cfRule>
  </conditionalFormatting>
  <conditionalFormatting sqref="D525:G525">
    <cfRule type="cellIs" dxfId="2330" priority="1295" stopIfTrue="1" operator="lessThan">
      <formula>0</formula>
    </cfRule>
  </conditionalFormatting>
  <conditionalFormatting sqref="M525">
    <cfRule type="cellIs" dxfId="2329" priority="1293" stopIfTrue="1" operator="lessThan">
      <formula>0</formula>
    </cfRule>
  </conditionalFormatting>
  <conditionalFormatting sqref="I525">
    <cfRule type="cellIs" dxfId="2328" priority="1294" stopIfTrue="1" operator="lessThan">
      <formula>0</formula>
    </cfRule>
  </conditionalFormatting>
  <conditionalFormatting sqref="H527:H528">
    <cfRule type="cellIs" dxfId="2327" priority="1292" stopIfTrue="1" operator="lessThan">
      <formula>0</formula>
    </cfRule>
  </conditionalFormatting>
  <conditionalFormatting sqref="H525">
    <cfRule type="cellIs" dxfId="2326" priority="1291" stopIfTrue="1" operator="lessThan">
      <formula>0</formula>
    </cfRule>
  </conditionalFormatting>
  <conditionalFormatting sqref="K525 K527:K528">
    <cfRule type="cellIs" dxfId="2325" priority="1290" stopIfTrue="1" operator="lessThan">
      <formula>0</formula>
    </cfRule>
  </conditionalFormatting>
  <conditionalFormatting sqref="C529">
    <cfRule type="cellIs" dxfId="2324" priority="1289" stopIfTrue="1" operator="lessThan">
      <formula>0</formula>
    </cfRule>
  </conditionalFormatting>
  <conditionalFormatting sqref="D529:I529">
    <cfRule type="cellIs" dxfId="2323" priority="1288" stopIfTrue="1" operator="lessThan">
      <formula>0</formula>
    </cfRule>
  </conditionalFormatting>
  <conditionalFormatting sqref="K529">
    <cfRule type="cellIs" dxfId="2322" priority="1287" stopIfTrue="1" operator="lessThan">
      <formula>0</formula>
    </cfRule>
  </conditionalFormatting>
  <conditionalFormatting sqref="M529">
    <cfRule type="cellIs" dxfId="2321" priority="1286" stopIfTrue="1" operator="lessThan">
      <formula>0</formula>
    </cfRule>
  </conditionalFormatting>
  <conditionalFormatting sqref="C526">
    <cfRule type="cellIs" dxfId="2320" priority="1285" stopIfTrue="1" operator="lessThan">
      <formula>0</formula>
    </cfRule>
  </conditionalFormatting>
  <conditionalFormatting sqref="D526:I526">
    <cfRule type="cellIs" dxfId="2319" priority="1284" stopIfTrue="1" operator="lessThan">
      <formula>0</formula>
    </cfRule>
  </conditionalFormatting>
  <conditionalFormatting sqref="K526">
    <cfRule type="cellIs" dxfId="2318" priority="1283" stopIfTrue="1" operator="lessThan">
      <formula>0</formula>
    </cfRule>
  </conditionalFormatting>
  <conditionalFormatting sqref="M526">
    <cfRule type="cellIs" dxfId="2317" priority="1282" stopIfTrue="1" operator="lessThan">
      <formula>0</formula>
    </cfRule>
  </conditionalFormatting>
  <conditionalFormatting sqref="L569 J569 L567:M568 I567:J568 C567:G568 L566 J566 C570:M571">
    <cfRule type="cellIs" dxfId="2316" priority="1281" stopIfTrue="1" operator="lessThan">
      <formula>0</formula>
    </cfRule>
  </conditionalFormatting>
  <conditionalFormatting sqref="H567:H568">
    <cfRule type="cellIs" dxfId="2315" priority="1280" stopIfTrue="1" operator="lessThan">
      <formula>0</formula>
    </cfRule>
  </conditionalFormatting>
  <conditionalFormatting sqref="K567:K568">
    <cfRule type="cellIs" dxfId="2314" priority="1279" stopIfTrue="1" operator="lessThan">
      <formula>0</formula>
    </cfRule>
  </conditionalFormatting>
  <conditionalFormatting sqref="C569">
    <cfRule type="cellIs" dxfId="2313" priority="1278" stopIfTrue="1" operator="lessThan">
      <formula>0</formula>
    </cfRule>
  </conditionalFormatting>
  <conditionalFormatting sqref="D569:I569">
    <cfRule type="cellIs" dxfId="2312" priority="1277" stopIfTrue="1" operator="lessThan">
      <formula>0</formula>
    </cfRule>
  </conditionalFormatting>
  <conditionalFormatting sqref="K569">
    <cfRule type="cellIs" dxfId="2311" priority="1276" stopIfTrue="1" operator="lessThan">
      <formula>0</formula>
    </cfRule>
  </conditionalFormatting>
  <conditionalFormatting sqref="M569">
    <cfRule type="cellIs" dxfId="2310" priority="1275" stopIfTrue="1" operator="lessThan">
      <formula>0</formula>
    </cfRule>
  </conditionalFormatting>
  <conditionalFormatting sqref="C566">
    <cfRule type="cellIs" dxfId="2309" priority="1274" stopIfTrue="1" operator="lessThan">
      <formula>0</formula>
    </cfRule>
  </conditionalFormatting>
  <conditionalFormatting sqref="D566:I566">
    <cfRule type="cellIs" dxfId="2308" priority="1273" stopIfTrue="1" operator="lessThan">
      <formula>0</formula>
    </cfRule>
  </conditionalFormatting>
  <conditionalFormatting sqref="K566">
    <cfRule type="cellIs" dxfId="2307" priority="1272" stopIfTrue="1" operator="lessThan">
      <formula>0</formula>
    </cfRule>
  </conditionalFormatting>
  <conditionalFormatting sqref="M566">
    <cfRule type="cellIs" dxfId="2306" priority="1271" stopIfTrue="1" operator="lessThan">
      <formula>0</formula>
    </cfRule>
  </conditionalFormatting>
  <conditionalFormatting sqref="C16:Z16">
    <cfRule type="containsText" dxfId="2305" priority="1270" operator="containsText" text="Please fill in">
      <formula>NOT(ISERROR(SEARCH("Please fill in",C16)))</formula>
    </cfRule>
  </conditionalFormatting>
  <conditionalFormatting sqref="D19">
    <cfRule type="containsText" dxfId="2304" priority="1269" operator="containsText" text="Please fill in">
      <formula>NOT(ISERROR(SEARCH("Please fill in",D19)))</formula>
    </cfRule>
  </conditionalFormatting>
  <conditionalFormatting sqref="D125:G125">
    <cfRule type="cellIs" dxfId="2303" priority="1268" stopIfTrue="1" operator="lessThan">
      <formula>0</formula>
    </cfRule>
  </conditionalFormatting>
  <conditionalFormatting sqref="M125">
    <cfRule type="cellIs" dxfId="2302" priority="1258" stopIfTrue="1" operator="lessThan">
      <formula>0</formula>
    </cfRule>
  </conditionalFormatting>
  <conditionalFormatting sqref="M121">
    <cfRule type="cellIs" dxfId="2301" priority="1257" stopIfTrue="1" operator="lessThan">
      <formula>0</formula>
    </cfRule>
  </conditionalFormatting>
  <conditionalFormatting sqref="M123">
    <cfRule type="cellIs" dxfId="2300" priority="1255" stopIfTrue="1" operator="lessThan">
      <formula>0</formula>
    </cfRule>
  </conditionalFormatting>
  <conditionalFormatting sqref="M122">
    <cfRule type="cellIs" dxfId="2299" priority="1256" stopIfTrue="1" operator="lessThan">
      <formula>0</formula>
    </cfRule>
  </conditionalFormatting>
  <conditionalFormatting sqref="M124">
    <cfRule type="cellIs" dxfId="2298" priority="1254" stopIfTrue="1" operator="lessThan">
      <formula>0</formula>
    </cfRule>
  </conditionalFormatting>
  <conditionalFormatting sqref="C121:G121">
    <cfRule type="cellIs" dxfId="2297" priority="1267" stopIfTrue="1" operator="lessThan">
      <formula>0</formula>
    </cfRule>
  </conditionalFormatting>
  <conditionalFormatting sqref="C123:G123">
    <cfRule type="cellIs" dxfId="2296" priority="1265" stopIfTrue="1" operator="lessThan">
      <formula>0</formula>
    </cfRule>
  </conditionalFormatting>
  <conditionalFormatting sqref="C122:G122">
    <cfRule type="cellIs" dxfId="2295" priority="1266" stopIfTrue="1" operator="lessThan">
      <formula>0</formula>
    </cfRule>
  </conditionalFormatting>
  <conditionalFormatting sqref="C124:G124">
    <cfRule type="cellIs" dxfId="2294" priority="1264" stopIfTrue="1" operator="lessThan">
      <formula>0</formula>
    </cfRule>
  </conditionalFormatting>
  <conditionalFormatting sqref="I125">
    <cfRule type="cellIs" dxfId="2293" priority="1263" stopIfTrue="1" operator="lessThan">
      <formula>0</formula>
    </cfRule>
  </conditionalFormatting>
  <conditionalFormatting sqref="I121">
    <cfRule type="cellIs" dxfId="2292" priority="1262" stopIfTrue="1" operator="lessThan">
      <formula>0</formula>
    </cfRule>
  </conditionalFormatting>
  <conditionalFormatting sqref="I122">
    <cfRule type="cellIs" dxfId="2291" priority="1261" stopIfTrue="1" operator="lessThan">
      <formula>0</formula>
    </cfRule>
  </conditionalFormatting>
  <conditionalFormatting sqref="I123">
    <cfRule type="cellIs" dxfId="2290" priority="1260" stopIfTrue="1" operator="lessThan">
      <formula>0</formula>
    </cfRule>
  </conditionalFormatting>
  <conditionalFormatting sqref="I124">
    <cfRule type="cellIs" dxfId="2289" priority="1259" stopIfTrue="1" operator="lessThan">
      <formula>0</formula>
    </cfRule>
  </conditionalFormatting>
  <conditionalFormatting sqref="L103 J103">
    <cfRule type="cellIs" dxfId="2288" priority="1253" stopIfTrue="1" operator="lessThan">
      <formula>0</formula>
    </cfRule>
  </conditionalFormatting>
  <conditionalFormatting sqref="N103:Q103">
    <cfRule type="cellIs" dxfId="2287" priority="1252" stopIfTrue="1" operator="lessThan">
      <formula>0</formula>
    </cfRule>
  </conditionalFormatting>
  <conditionalFormatting sqref="C103:G103">
    <cfRule type="cellIs" dxfId="2286" priority="1251" stopIfTrue="1" operator="lessThan">
      <formula>0</formula>
    </cfRule>
  </conditionalFormatting>
  <conditionalFormatting sqref="J116:J117 L116:Q117">
    <cfRule type="cellIs" dxfId="2285" priority="1250" stopIfTrue="1" operator="lessThan">
      <formula>0</formula>
    </cfRule>
  </conditionalFormatting>
  <conditionalFormatting sqref="I103">
    <cfRule type="cellIs" dxfId="2284" priority="1249" stopIfTrue="1" operator="lessThan">
      <formula>0</formula>
    </cfRule>
  </conditionalFormatting>
  <conditionalFormatting sqref="K103">
    <cfRule type="cellIs" dxfId="2283" priority="1248" stopIfTrue="1" operator="lessThan">
      <formula>0</formula>
    </cfRule>
  </conditionalFormatting>
  <conditionalFormatting sqref="M103">
    <cfRule type="cellIs" dxfId="2282" priority="1247" stopIfTrue="1" operator="lessThan">
      <formula>0</formula>
    </cfRule>
  </conditionalFormatting>
  <conditionalFormatting sqref="H125">
    <cfRule type="cellIs" dxfId="2281" priority="1246" stopIfTrue="1" operator="lessThan">
      <formula>0</formula>
    </cfRule>
  </conditionalFormatting>
  <conditionalFormatting sqref="H121">
    <cfRule type="cellIs" dxfId="2280" priority="1245" stopIfTrue="1" operator="lessThan">
      <formula>0</formula>
    </cfRule>
  </conditionalFormatting>
  <conditionalFormatting sqref="H123">
    <cfRule type="cellIs" dxfId="2279" priority="1243" stopIfTrue="1" operator="lessThan">
      <formula>0</formula>
    </cfRule>
  </conditionalFormatting>
  <conditionalFormatting sqref="H122">
    <cfRule type="cellIs" dxfId="2278" priority="1244" stopIfTrue="1" operator="lessThan">
      <formula>0</formula>
    </cfRule>
  </conditionalFormatting>
  <conditionalFormatting sqref="H124">
    <cfRule type="cellIs" dxfId="2277" priority="1242" stopIfTrue="1" operator="lessThan">
      <formula>0</formula>
    </cfRule>
  </conditionalFormatting>
  <conditionalFormatting sqref="H103">
    <cfRule type="cellIs" dxfId="2276" priority="1241" stopIfTrue="1" operator="lessThan">
      <formula>0</formula>
    </cfRule>
  </conditionalFormatting>
  <conditionalFormatting sqref="C104:I119">
    <cfRule type="cellIs" dxfId="2275" priority="1240" stopIfTrue="1" operator="lessThan">
      <formula>0</formula>
    </cfRule>
  </conditionalFormatting>
  <conditionalFormatting sqref="C120">
    <cfRule type="cellIs" dxfId="2274" priority="1239" stopIfTrue="1" operator="lessThan">
      <formula>0</formula>
    </cfRule>
  </conditionalFormatting>
  <conditionalFormatting sqref="D120:I120">
    <cfRule type="cellIs" dxfId="2273" priority="1238" stopIfTrue="1" operator="lessThan">
      <formula>0</formula>
    </cfRule>
  </conditionalFormatting>
  <conditionalFormatting sqref="K120">
    <cfRule type="cellIs" dxfId="2272" priority="1237" stopIfTrue="1" operator="lessThan">
      <formula>0</formula>
    </cfRule>
  </conditionalFormatting>
  <conditionalFormatting sqref="M120">
    <cfRule type="cellIs" dxfId="2271" priority="1236" stopIfTrue="1" operator="lessThan">
      <formula>0</formula>
    </cfRule>
  </conditionalFormatting>
  <conditionalFormatting sqref="K104:K119">
    <cfRule type="cellIs" dxfId="2270" priority="1235" stopIfTrue="1" operator="lessThan">
      <formula>0</formula>
    </cfRule>
  </conditionalFormatting>
  <conditionalFormatting sqref="K121:K125">
    <cfRule type="cellIs" dxfId="2269" priority="1234" stopIfTrue="1" operator="lessThan">
      <formula>0</formula>
    </cfRule>
  </conditionalFormatting>
  <conditionalFormatting sqref="C129">
    <cfRule type="cellIs" dxfId="2268" priority="1233" stopIfTrue="1" operator="lessThan">
      <formula>0</formula>
    </cfRule>
  </conditionalFormatting>
  <conditionalFormatting sqref="D129:I129">
    <cfRule type="cellIs" dxfId="2267" priority="1232" stopIfTrue="1" operator="lessThan">
      <formula>0</formula>
    </cfRule>
  </conditionalFormatting>
  <conditionalFormatting sqref="K129">
    <cfRule type="cellIs" dxfId="2266" priority="1231" stopIfTrue="1" operator="lessThan">
      <formula>0</formula>
    </cfRule>
  </conditionalFormatting>
  <conditionalFormatting sqref="M129">
    <cfRule type="cellIs" dxfId="2265" priority="1230" stopIfTrue="1" operator="lessThan">
      <formula>0</formula>
    </cfRule>
  </conditionalFormatting>
  <conditionalFormatting sqref="H127:H128">
    <cfRule type="cellIs" dxfId="2264" priority="1229" stopIfTrue="1" operator="lessThan">
      <formula>0</formula>
    </cfRule>
  </conditionalFormatting>
  <conditionalFormatting sqref="K127:K128">
    <cfRule type="cellIs" dxfId="2263" priority="1228" stopIfTrue="1" operator="lessThan">
      <formula>0</formula>
    </cfRule>
  </conditionalFormatting>
  <conditionalFormatting sqref="C126">
    <cfRule type="cellIs" dxfId="2262" priority="1227" stopIfTrue="1" operator="lessThan">
      <formula>0</formula>
    </cfRule>
  </conditionalFormatting>
  <conditionalFormatting sqref="D126:I126">
    <cfRule type="cellIs" dxfId="2261" priority="1226" stopIfTrue="1" operator="lessThan">
      <formula>0</formula>
    </cfRule>
  </conditionalFormatting>
  <conditionalFormatting sqref="K126">
    <cfRule type="cellIs" dxfId="2260" priority="1225" stopIfTrue="1" operator="lessThan">
      <formula>0</formula>
    </cfRule>
  </conditionalFormatting>
  <conditionalFormatting sqref="M126">
    <cfRule type="cellIs" dxfId="2259" priority="1224" stopIfTrue="1" operator="lessThan">
      <formula>0</formula>
    </cfRule>
  </conditionalFormatting>
  <conditionalFormatting sqref="D165:G165">
    <cfRule type="cellIs" dxfId="2258" priority="1223" stopIfTrue="1" operator="lessThan">
      <formula>0</formula>
    </cfRule>
  </conditionalFormatting>
  <conditionalFormatting sqref="M165">
    <cfRule type="cellIs" dxfId="2257" priority="1213" stopIfTrue="1" operator="lessThan">
      <formula>0</formula>
    </cfRule>
  </conditionalFormatting>
  <conditionalFormatting sqref="M161">
    <cfRule type="cellIs" dxfId="2256" priority="1212" stopIfTrue="1" operator="lessThan">
      <formula>0</formula>
    </cfRule>
  </conditionalFormatting>
  <conditionalFormatting sqref="M163">
    <cfRule type="cellIs" dxfId="2255" priority="1210" stopIfTrue="1" operator="lessThan">
      <formula>0</formula>
    </cfRule>
  </conditionalFormatting>
  <conditionalFormatting sqref="M162">
    <cfRule type="cellIs" dxfId="2254" priority="1211" stopIfTrue="1" operator="lessThan">
      <formula>0</formula>
    </cfRule>
  </conditionalFormatting>
  <conditionalFormatting sqref="M164">
    <cfRule type="cellIs" dxfId="2253" priority="1209" stopIfTrue="1" operator="lessThan">
      <formula>0</formula>
    </cfRule>
  </conditionalFormatting>
  <conditionalFormatting sqref="C161:G161">
    <cfRule type="cellIs" dxfId="2252" priority="1222" stopIfTrue="1" operator="lessThan">
      <formula>0</formula>
    </cfRule>
  </conditionalFormatting>
  <conditionalFormatting sqref="C163:G163">
    <cfRule type="cellIs" dxfId="2251" priority="1220" stopIfTrue="1" operator="lessThan">
      <formula>0</formula>
    </cfRule>
  </conditionalFormatting>
  <conditionalFormatting sqref="C162:G162">
    <cfRule type="cellIs" dxfId="2250" priority="1221" stopIfTrue="1" operator="lessThan">
      <formula>0</formula>
    </cfRule>
  </conditionalFormatting>
  <conditionalFormatting sqref="C164:G164">
    <cfRule type="cellIs" dxfId="2249" priority="1219" stopIfTrue="1" operator="lessThan">
      <formula>0</formula>
    </cfRule>
  </conditionalFormatting>
  <conditionalFormatting sqref="I165">
    <cfRule type="cellIs" dxfId="2248" priority="1218" stopIfTrue="1" operator="lessThan">
      <formula>0</formula>
    </cfRule>
  </conditionalFormatting>
  <conditionalFormatting sqref="I161">
    <cfRule type="cellIs" dxfId="2247" priority="1217" stopIfTrue="1" operator="lessThan">
      <formula>0</formula>
    </cfRule>
  </conditionalFormatting>
  <conditionalFormatting sqref="I162">
    <cfRule type="cellIs" dxfId="2246" priority="1216" stopIfTrue="1" operator="lessThan">
      <formula>0</formula>
    </cfRule>
  </conditionalFormatting>
  <conditionalFormatting sqref="I163">
    <cfRule type="cellIs" dxfId="2245" priority="1215" stopIfTrue="1" operator="lessThan">
      <formula>0</formula>
    </cfRule>
  </conditionalFormatting>
  <conditionalFormatting sqref="I164">
    <cfRule type="cellIs" dxfId="2244" priority="1214" stopIfTrue="1" operator="lessThan">
      <formula>0</formula>
    </cfRule>
  </conditionalFormatting>
  <conditionalFormatting sqref="L143 J143">
    <cfRule type="cellIs" dxfId="2243" priority="1208" stopIfTrue="1" operator="lessThan">
      <formula>0</formula>
    </cfRule>
  </conditionalFormatting>
  <conditionalFormatting sqref="N143:Q143">
    <cfRule type="cellIs" dxfId="2242" priority="1207" stopIfTrue="1" operator="lessThan">
      <formula>0</formula>
    </cfRule>
  </conditionalFormatting>
  <conditionalFormatting sqref="C143:G143">
    <cfRule type="cellIs" dxfId="2241" priority="1206" stopIfTrue="1" operator="lessThan">
      <formula>0</formula>
    </cfRule>
  </conditionalFormatting>
  <conditionalFormatting sqref="J156:J157 L156:Q157">
    <cfRule type="cellIs" dxfId="2240" priority="1205" stopIfTrue="1" operator="lessThan">
      <formula>0</formula>
    </cfRule>
  </conditionalFormatting>
  <conditionalFormatting sqref="I143">
    <cfRule type="cellIs" dxfId="2239" priority="1204" stopIfTrue="1" operator="lessThan">
      <formula>0</formula>
    </cfRule>
  </conditionalFormatting>
  <conditionalFormatting sqref="K143">
    <cfRule type="cellIs" dxfId="2238" priority="1203" stopIfTrue="1" operator="lessThan">
      <formula>0</formula>
    </cfRule>
  </conditionalFormatting>
  <conditionalFormatting sqref="M143">
    <cfRule type="cellIs" dxfId="2237" priority="1202" stopIfTrue="1" operator="lessThan">
      <formula>0</formula>
    </cfRule>
  </conditionalFormatting>
  <conditionalFormatting sqref="H165">
    <cfRule type="cellIs" dxfId="2236" priority="1201" stopIfTrue="1" operator="lessThan">
      <formula>0</formula>
    </cfRule>
  </conditionalFormatting>
  <conditionalFormatting sqref="H161">
    <cfRule type="cellIs" dxfId="2235" priority="1200" stopIfTrue="1" operator="lessThan">
      <formula>0</formula>
    </cfRule>
  </conditionalFormatting>
  <conditionalFormatting sqref="H163">
    <cfRule type="cellIs" dxfId="2234" priority="1198" stopIfTrue="1" operator="lessThan">
      <formula>0</formula>
    </cfRule>
  </conditionalFormatting>
  <conditionalFormatting sqref="H162">
    <cfRule type="cellIs" dxfId="2233" priority="1199" stopIfTrue="1" operator="lessThan">
      <formula>0</formula>
    </cfRule>
  </conditionalFormatting>
  <conditionalFormatting sqref="H164">
    <cfRule type="cellIs" dxfId="2232" priority="1197" stopIfTrue="1" operator="lessThan">
      <formula>0</formula>
    </cfRule>
  </conditionalFormatting>
  <conditionalFormatting sqref="H143">
    <cfRule type="cellIs" dxfId="2231" priority="1196" stopIfTrue="1" operator="lessThan">
      <formula>0</formula>
    </cfRule>
  </conditionalFormatting>
  <conditionalFormatting sqref="C144:I159">
    <cfRule type="cellIs" dxfId="2230" priority="1195" stopIfTrue="1" operator="lessThan">
      <formula>0</formula>
    </cfRule>
  </conditionalFormatting>
  <conditionalFormatting sqref="C160">
    <cfRule type="cellIs" dxfId="2229" priority="1194" stopIfTrue="1" operator="lessThan">
      <formula>0</formula>
    </cfRule>
  </conditionalFormatting>
  <conditionalFormatting sqref="D160:I160">
    <cfRule type="cellIs" dxfId="2228" priority="1193" stopIfTrue="1" operator="lessThan">
      <formula>0</formula>
    </cfRule>
  </conditionalFormatting>
  <conditionalFormatting sqref="K160">
    <cfRule type="cellIs" dxfId="2227" priority="1192" stopIfTrue="1" operator="lessThan">
      <formula>0</formula>
    </cfRule>
  </conditionalFormatting>
  <conditionalFormatting sqref="M160">
    <cfRule type="cellIs" dxfId="2226" priority="1191" stopIfTrue="1" operator="lessThan">
      <formula>0</formula>
    </cfRule>
  </conditionalFormatting>
  <conditionalFormatting sqref="K144:K159">
    <cfRule type="cellIs" dxfId="2225" priority="1190" stopIfTrue="1" operator="lessThan">
      <formula>0</formula>
    </cfRule>
  </conditionalFormatting>
  <conditionalFormatting sqref="K161:K165">
    <cfRule type="cellIs" dxfId="2224" priority="1189" stopIfTrue="1" operator="lessThan">
      <formula>0</formula>
    </cfRule>
  </conditionalFormatting>
  <conditionalFormatting sqref="C169">
    <cfRule type="cellIs" dxfId="2223" priority="1188" stopIfTrue="1" operator="lessThan">
      <formula>0</formula>
    </cfRule>
  </conditionalFormatting>
  <conditionalFormatting sqref="D169:I169">
    <cfRule type="cellIs" dxfId="2222" priority="1187" stopIfTrue="1" operator="lessThan">
      <formula>0</formula>
    </cfRule>
  </conditionalFormatting>
  <conditionalFormatting sqref="K169">
    <cfRule type="cellIs" dxfId="2221" priority="1186" stopIfTrue="1" operator="lessThan">
      <formula>0</formula>
    </cfRule>
  </conditionalFormatting>
  <conditionalFormatting sqref="M169">
    <cfRule type="cellIs" dxfId="2220" priority="1185" stopIfTrue="1" operator="lessThan">
      <formula>0</formula>
    </cfRule>
  </conditionalFormatting>
  <conditionalFormatting sqref="H167:H168">
    <cfRule type="cellIs" dxfId="2219" priority="1184" stopIfTrue="1" operator="lessThan">
      <formula>0</formula>
    </cfRule>
  </conditionalFormatting>
  <conditionalFormatting sqref="K167:K168">
    <cfRule type="cellIs" dxfId="2218" priority="1183" stopIfTrue="1" operator="lessThan">
      <formula>0</formula>
    </cfRule>
  </conditionalFormatting>
  <conditionalFormatting sqref="C166">
    <cfRule type="cellIs" dxfId="2217" priority="1182" stopIfTrue="1" operator="lessThan">
      <formula>0</formula>
    </cfRule>
  </conditionalFormatting>
  <conditionalFormatting sqref="D166:I166">
    <cfRule type="cellIs" dxfId="2216" priority="1181" stopIfTrue="1" operator="lessThan">
      <formula>0</formula>
    </cfRule>
  </conditionalFormatting>
  <conditionalFormatting sqref="K166">
    <cfRule type="cellIs" dxfId="2215" priority="1180" stopIfTrue="1" operator="lessThan">
      <formula>0</formula>
    </cfRule>
  </conditionalFormatting>
  <conditionalFormatting sqref="M166">
    <cfRule type="cellIs" dxfId="2214" priority="1179" stopIfTrue="1" operator="lessThan">
      <formula>0</formula>
    </cfRule>
  </conditionalFormatting>
  <conditionalFormatting sqref="D205:G205">
    <cfRule type="cellIs" dxfId="2213" priority="1178" stopIfTrue="1" operator="lessThan">
      <formula>0</formula>
    </cfRule>
  </conditionalFormatting>
  <conditionalFormatting sqref="M205">
    <cfRule type="cellIs" dxfId="2212" priority="1168" stopIfTrue="1" operator="lessThan">
      <formula>0</formula>
    </cfRule>
  </conditionalFormatting>
  <conditionalFormatting sqref="M201">
    <cfRule type="cellIs" dxfId="2211" priority="1167" stopIfTrue="1" operator="lessThan">
      <formula>0</formula>
    </cfRule>
  </conditionalFormatting>
  <conditionalFormatting sqref="M203">
    <cfRule type="cellIs" dxfId="2210" priority="1165" stopIfTrue="1" operator="lessThan">
      <formula>0</formula>
    </cfRule>
  </conditionalFormatting>
  <conditionalFormatting sqref="M202">
    <cfRule type="cellIs" dxfId="2209" priority="1166" stopIfTrue="1" operator="lessThan">
      <formula>0</formula>
    </cfRule>
  </conditionalFormatting>
  <conditionalFormatting sqref="M204">
    <cfRule type="cellIs" dxfId="2208" priority="1164" stopIfTrue="1" operator="lessThan">
      <formula>0</formula>
    </cfRule>
  </conditionalFormatting>
  <conditionalFormatting sqref="C201:G201">
    <cfRule type="cellIs" dxfId="2207" priority="1177" stopIfTrue="1" operator="lessThan">
      <formula>0</formula>
    </cfRule>
  </conditionalFormatting>
  <conditionalFormatting sqref="C203:G203">
    <cfRule type="cellIs" dxfId="2206" priority="1175" stopIfTrue="1" operator="lessThan">
      <formula>0</formula>
    </cfRule>
  </conditionalFormatting>
  <conditionalFormatting sqref="C202:G202">
    <cfRule type="cellIs" dxfId="2205" priority="1176" stopIfTrue="1" operator="lessThan">
      <formula>0</formula>
    </cfRule>
  </conditionalFormatting>
  <conditionalFormatting sqref="C204:G204">
    <cfRule type="cellIs" dxfId="2204" priority="1174" stopIfTrue="1" operator="lessThan">
      <formula>0</formula>
    </cfRule>
  </conditionalFormatting>
  <conditionalFormatting sqref="I205">
    <cfRule type="cellIs" dxfId="2203" priority="1173" stopIfTrue="1" operator="lessThan">
      <formula>0</formula>
    </cfRule>
  </conditionalFormatting>
  <conditionalFormatting sqref="I201">
    <cfRule type="cellIs" dxfId="2202" priority="1172" stopIfTrue="1" operator="lessThan">
      <formula>0</formula>
    </cfRule>
  </conditionalFormatting>
  <conditionalFormatting sqref="I202">
    <cfRule type="cellIs" dxfId="2201" priority="1171" stopIfTrue="1" operator="lessThan">
      <formula>0</formula>
    </cfRule>
  </conditionalFormatting>
  <conditionalFormatting sqref="I203">
    <cfRule type="cellIs" dxfId="2200" priority="1170" stopIfTrue="1" operator="lessThan">
      <formula>0</formula>
    </cfRule>
  </conditionalFormatting>
  <conditionalFormatting sqref="I204">
    <cfRule type="cellIs" dxfId="2199" priority="1169" stopIfTrue="1" operator="lessThan">
      <formula>0</formula>
    </cfRule>
  </conditionalFormatting>
  <conditionalFormatting sqref="L183 J183">
    <cfRule type="cellIs" dxfId="2198" priority="1163" stopIfTrue="1" operator="lessThan">
      <formula>0</formula>
    </cfRule>
  </conditionalFormatting>
  <conditionalFormatting sqref="N183:Q183">
    <cfRule type="cellIs" dxfId="2197" priority="1162" stopIfTrue="1" operator="lessThan">
      <formula>0</formula>
    </cfRule>
  </conditionalFormatting>
  <conditionalFormatting sqref="C183:G183">
    <cfRule type="cellIs" dxfId="2196" priority="1161" stopIfTrue="1" operator="lessThan">
      <formula>0</formula>
    </cfRule>
  </conditionalFormatting>
  <conditionalFormatting sqref="J196:J197 L196:Q197">
    <cfRule type="cellIs" dxfId="2195" priority="1160" stopIfTrue="1" operator="lessThan">
      <formula>0</formula>
    </cfRule>
  </conditionalFormatting>
  <conditionalFormatting sqref="I183">
    <cfRule type="cellIs" dxfId="2194" priority="1159" stopIfTrue="1" operator="lessThan">
      <formula>0</formula>
    </cfRule>
  </conditionalFormatting>
  <conditionalFormatting sqref="K183">
    <cfRule type="cellIs" dxfId="2193" priority="1158" stopIfTrue="1" operator="lessThan">
      <formula>0</formula>
    </cfRule>
  </conditionalFormatting>
  <conditionalFormatting sqref="M183">
    <cfRule type="cellIs" dxfId="2192" priority="1157" stopIfTrue="1" operator="lessThan">
      <formula>0</formula>
    </cfRule>
  </conditionalFormatting>
  <conditionalFormatting sqref="H207:H208">
    <cfRule type="cellIs" dxfId="2191" priority="1156" stopIfTrue="1" operator="lessThan">
      <formula>0</formula>
    </cfRule>
  </conditionalFormatting>
  <conditionalFormatting sqref="H205">
    <cfRule type="cellIs" dxfId="2190" priority="1155" stopIfTrue="1" operator="lessThan">
      <formula>0</formula>
    </cfRule>
  </conditionalFormatting>
  <conditionalFormatting sqref="H201">
    <cfRule type="cellIs" dxfId="2189" priority="1154" stopIfTrue="1" operator="lessThan">
      <formula>0</formula>
    </cfRule>
  </conditionalFormatting>
  <conditionalFormatting sqref="H203">
    <cfRule type="cellIs" dxfId="2188" priority="1152" stopIfTrue="1" operator="lessThan">
      <formula>0</formula>
    </cfRule>
  </conditionalFormatting>
  <conditionalFormatting sqref="H202">
    <cfRule type="cellIs" dxfId="2187" priority="1153" stopIfTrue="1" operator="lessThan">
      <formula>0</formula>
    </cfRule>
  </conditionalFormatting>
  <conditionalFormatting sqref="H204">
    <cfRule type="cellIs" dxfId="2186" priority="1151" stopIfTrue="1" operator="lessThan">
      <formula>0</formula>
    </cfRule>
  </conditionalFormatting>
  <conditionalFormatting sqref="H183">
    <cfRule type="cellIs" dxfId="2185" priority="1150" stopIfTrue="1" operator="lessThan">
      <formula>0</formula>
    </cfRule>
  </conditionalFormatting>
  <conditionalFormatting sqref="C184:I199">
    <cfRule type="cellIs" dxfId="2184" priority="1149" stopIfTrue="1" operator="lessThan">
      <formula>0</formula>
    </cfRule>
  </conditionalFormatting>
  <conditionalFormatting sqref="C200">
    <cfRule type="cellIs" dxfId="2183" priority="1148" stopIfTrue="1" operator="lessThan">
      <formula>0</formula>
    </cfRule>
  </conditionalFormatting>
  <conditionalFormatting sqref="D200:I200">
    <cfRule type="cellIs" dxfId="2182" priority="1147" stopIfTrue="1" operator="lessThan">
      <formula>0</formula>
    </cfRule>
  </conditionalFormatting>
  <conditionalFormatting sqref="K200">
    <cfRule type="cellIs" dxfId="2181" priority="1146" stopIfTrue="1" operator="lessThan">
      <formula>0</formula>
    </cfRule>
  </conditionalFormatting>
  <conditionalFormatting sqref="M200">
    <cfRule type="cellIs" dxfId="2180" priority="1145" stopIfTrue="1" operator="lessThan">
      <formula>0</formula>
    </cfRule>
  </conditionalFormatting>
  <conditionalFormatting sqref="K184:K199">
    <cfRule type="cellIs" dxfId="2179" priority="1144" stopIfTrue="1" operator="lessThan">
      <formula>0</formula>
    </cfRule>
  </conditionalFormatting>
  <conditionalFormatting sqref="K201:K205 K207:K208">
    <cfRule type="cellIs" dxfId="2178" priority="1143" stopIfTrue="1" operator="lessThan">
      <formula>0</formula>
    </cfRule>
  </conditionalFormatting>
  <conditionalFormatting sqref="C209">
    <cfRule type="cellIs" dxfId="2177" priority="1142" stopIfTrue="1" operator="lessThan">
      <formula>0</formula>
    </cfRule>
  </conditionalFormatting>
  <conditionalFormatting sqref="D209:I209">
    <cfRule type="cellIs" dxfId="2176" priority="1141" stopIfTrue="1" operator="lessThan">
      <formula>0</formula>
    </cfRule>
  </conditionalFormatting>
  <conditionalFormatting sqref="K209">
    <cfRule type="cellIs" dxfId="2175" priority="1140" stopIfTrue="1" operator="lessThan">
      <formula>0</formula>
    </cfRule>
  </conditionalFormatting>
  <conditionalFormatting sqref="M209">
    <cfRule type="cellIs" dxfId="2174" priority="1139" stopIfTrue="1" operator="lessThan">
      <formula>0</formula>
    </cfRule>
  </conditionalFormatting>
  <conditionalFormatting sqref="D245:G245">
    <cfRule type="cellIs" dxfId="2173" priority="1138" stopIfTrue="1" operator="lessThan">
      <formula>0</formula>
    </cfRule>
  </conditionalFormatting>
  <conditionalFormatting sqref="M245">
    <cfRule type="cellIs" dxfId="2172" priority="1128" stopIfTrue="1" operator="lessThan">
      <formula>0</formula>
    </cfRule>
  </conditionalFormatting>
  <conditionalFormatting sqref="M241">
    <cfRule type="cellIs" dxfId="2171" priority="1127" stopIfTrue="1" operator="lessThan">
      <formula>0</formula>
    </cfRule>
  </conditionalFormatting>
  <conditionalFormatting sqref="M243">
    <cfRule type="cellIs" dxfId="2170" priority="1125" stopIfTrue="1" operator="lessThan">
      <formula>0</formula>
    </cfRule>
  </conditionalFormatting>
  <conditionalFormatting sqref="M242">
    <cfRule type="cellIs" dxfId="2169" priority="1126" stopIfTrue="1" operator="lessThan">
      <formula>0</formula>
    </cfRule>
  </conditionalFormatting>
  <conditionalFormatting sqref="M244">
    <cfRule type="cellIs" dxfId="2168" priority="1124" stopIfTrue="1" operator="lessThan">
      <formula>0</formula>
    </cfRule>
  </conditionalFormatting>
  <conditionalFormatting sqref="C241:G241">
    <cfRule type="cellIs" dxfId="2167" priority="1137" stopIfTrue="1" operator="lessThan">
      <formula>0</formula>
    </cfRule>
  </conditionalFormatting>
  <conditionalFormatting sqref="C243:G243">
    <cfRule type="cellIs" dxfId="2166" priority="1135" stopIfTrue="1" operator="lessThan">
      <formula>0</formula>
    </cfRule>
  </conditionalFormatting>
  <conditionalFormatting sqref="C242:G242">
    <cfRule type="cellIs" dxfId="2165" priority="1136" stopIfTrue="1" operator="lessThan">
      <formula>0</formula>
    </cfRule>
  </conditionalFormatting>
  <conditionalFormatting sqref="C244:G244">
    <cfRule type="cellIs" dxfId="2164" priority="1134" stopIfTrue="1" operator="lessThan">
      <formula>0</formula>
    </cfRule>
  </conditionalFormatting>
  <conditionalFormatting sqref="I245">
    <cfRule type="cellIs" dxfId="2163" priority="1133" stopIfTrue="1" operator="lessThan">
      <formula>0</formula>
    </cfRule>
  </conditionalFormatting>
  <conditionalFormatting sqref="I241">
    <cfRule type="cellIs" dxfId="2162" priority="1132" stopIfTrue="1" operator="lessThan">
      <formula>0</formula>
    </cfRule>
  </conditionalFormatting>
  <conditionalFormatting sqref="I242">
    <cfRule type="cellIs" dxfId="2161" priority="1131" stopIfTrue="1" operator="lessThan">
      <formula>0</formula>
    </cfRule>
  </conditionalFormatting>
  <conditionalFormatting sqref="I243">
    <cfRule type="cellIs" dxfId="2160" priority="1130" stopIfTrue="1" operator="lessThan">
      <formula>0</formula>
    </cfRule>
  </conditionalFormatting>
  <conditionalFormatting sqref="I244">
    <cfRule type="cellIs" dxfId="2159" priority="1129" stopIfTrue="1" operator="lessThan">
      <formula>0</formula>
    </cfRule>
  </conditionalFormatting>
  <conditionalFormatting sqref="L223 J223">
    <cfRule type="cellIs" dxfId="2158" priority="1123" stopIfTrue="1" operator="lessThan">
      <formula>0</formula>
    </cfRule>
  </conditionalFormatting>
  <conditionalFormatting sqref="N223:Q223">
    <cfRule type="cellIs" dxfId="2157" priority="1122" stopIfTrue="1" operator="lessThan">
      <formula>0</formula>
    </cfRule>
  </conditionalFormatting>
  <conditionalFormatting sqref="C223:G223">
    <cfRule type="cellIs" dxfId="2156" priority="1121" stopIfTrue="1" operator="lessThan">
      <formula>0</formula>
    </cfRule>
  </conditionalFormatting>
  <conditionalFormatting sqref="J236:J237 L236:Q237">
    <cfRule type="cellIs" dxfId="2155" priority="1120" stopIfTrue="1" operator="lessThan">
      <formula>0</formula>
    </cfRule>
  </conditionalFormatting>
  <conditionalFormatting sqref="I223">
    <cfRule type="cellIs" dxfId="2154" priority="1119" stopIfTrue="1" operator="lessThan">
      <formula>0</formula>
    </cfRule>
  </conditionalFormatting>
  <conditionalFormatting sqref="K223">
    <cfRule type="cellIs" dxfId="2153" priority="1118" stopIfTrue="1" operator="lessThan">
      <formula>0</formula>
    </cfRule>
  </conditionalFormatting>
  <conditionalFormatting sqref="M223">
    <cfRule type="cellIs" dxfId="2152" priority="1117" stopIfTrue="1" operator="lessThan">
      <formula>0</formula>
    </cfRule>
  </conditionalFormatting>
  <conditionalFormatting sqref="H245">
    <cfRule type="cellIs" dxfId="2151" priority="1116" stopIfTrue="1" operator="lessThan">
      <formula>0</formula>
    </cfRule>
  </conditionalFormatting>
  <conditionalFormatting sqref="H241">
    <cfRule type="cellIs" dxfId="2150" priority="1115" stopIfTrue="1" operator="lessThan">
      <formula>0</formula>
    </cfRule>
  </conditionalFormatting>
  <conditionalFormatting sqref="H243">
    <cfRule type="cellIs" dxfId="2149" priority="1113" stopIfTrue="1" operator="lessThan">
      <formula>0</formula>
    </cfRule>
  </conditionalFormatting>
  <conditionalFormatting sqref="H242">
    <cfRule type="cellIs" dxfId="2148" priority="1114" stopIfTrue="1" operator="lessThan">
      <formula>0</formula>
    </cfRule>
  </conditionalFormatting>
  <conditionalFormatting sqref="H244">
    <cfRule type="cellIs" dxfId="2147" priority="1112" stopIfTrue="1" operator="lessThan">
      <formula>0</formula>
    </cfRule>
  </conditionalFormatting>
  <conditionalFormatting sqref="H223">
    <cfRule type="cellIs" dxfId="2146" priority="1111" stopIfTrue="1" operator="lessThan">
      <formula>0</formula>
    </cfRule>
  </conditionalFormatting>
  <conditionalFormatting sqref="C224:I239">
    <cfRule type="cellIs" dxfId="2145" priority="1110" stopIfTrue="1" operator="lessThan">
      <formula>0</formula>
    </cfRule>
  </conditionalFormatting>
  <conditionalFormatting sqref="C240">
    <cfRule type="cellIs" dxfId="2144" priority="1109" stopIfTrue="1" operator="lessThan">
      <formula>0</formula>
    </cfRule>
  </conditionalFormatting>
  <conditionalFormatting sqref="D240:I240">
    <cfRule type="cellIs" dxfId="2143" priority="1108" stopIfTrue="1" operator="lessThan">
      <formula>0</formula>
    </cfRule>
  </conditionalFormatting>
  <conditionalFormatting sqref="K240">
    <cfRule type="cellIs" dxfId="2142" priority="1107" stopIfTrue="1" operator="lessThan">
      <formula>0</formula>
    </cfRule>
  </conditionalFormatting>
  <conditionalFormatting sqref="M240">
    <cfRule type="cellIs" dxfId="2141" priority="1106" stopIfTrue="1" operator="lessThan">
      <formula>0</formula>
    </cfRule>
  </conditionalFormatting>
  <conditionalFormatting sqref="K224:K239">
    <cfRule type="cellIs" dxfId="2140" priority="1105" stopIfTrue="1" operator="lessThan">
      <formula>0</formula>
    </cfRule>
  </conditionalFormatting>
  <conditionalFormatting sqref="K241:K245">
    <cfRule type="cellIs" dxfId="2139" priority="1104" stopIfTrue="1" operator="lessThan">
      <formula>0</formula>
    </cfRule>
  </conditionalFormatting>
  <conditionalFormatting sqref="C249">
    <cfRule type="cellIs" dxfId="2138" priority="1103" stopIfTrue="1" operator="lessThan">
      <formula>0</formula>
    </cfRule>
  </conditionalFormatting>
  <conditionalFormatting sqref="D249:I249">
    <cfRule type="cellIs" dxfId="2137" priority="1102" stopIfTrue="1" operator="lessThan">
      <formula>0</formula>
    </cfRule>
  </conditionalFormatting>
  <conditionalFormatting sqref="K249">
    <cfRule type="cellIs" dxfId="2136" priority="1101" stopIfTrue="1" operator="lessThan">
      <formula>0</formula>
    </cfRule>
  </conditionalFormatting>
  <conditionalFormatting sqref="M249">
    <cfRule type="cellIs" dxfId="2135" priority="1100" stopIfTrue="1" operator="lessThan">
      <formula>0</formula>
    </cfRule>
  </conditionalFormatting>
  <conditionalFormatting sqref="C206">
    <cfRule type="cellIs" dxfId="2134" priority="1099" stopIfTrue="1" operator="lessThan">
      <formula>0</formula>
    </cfRule>
  </conditionalFormatting>
  <conditionalFormatting sqref="D206:I206">
    <cfRule type="cellIs" dxfId="2133" priority="1098" stopIfTrue="1" operator="lessThan">
      <formula>0</formula>
    </cfRule>
  </conditionalFormatting>
  <conditionalFormatting sqref="K206">
    <cfRule type="cellIs" dxfId="2132" priority="1097" stopIfTrue="1" operator="lessThan">
      <formula>0</formula>
    </cfRule>
  </conditionalFormatting>
  <conditionalFormatting sqref="M206">
    <cfRule type="cellIs" dxfId="2131" priority="1096" stopIfTrue="1" operator="lessThan">
      <formula>0</formula>
    </cfRule>
  </conditionalFormatting>
  <conditionalFormatting sqref="H247:H248">
    <cfRule type="cellIs" dxfId="2130" priority="1095" stopIfTrue="1" operator="lessThan">
      <formula>0</formula>
    </cfRule>
  </conditionalFormatting>
  <conditionalFormatting sqref="K247:K248">
    <cfRule type="cellIs" dxfId="2129" priority="1094" stopIfTrue="1" operator="lessThan">
      <formula>0</formula>
    </cfRule>
  </conditionalFormatting>
  <conditionalFormatting sqref="C246">
    <cfRule type="cellIs" dxfId="2128" priority="1093" stopIfTrue="1" operator="lessThan">
      <formula>0</formula>
    </cfRule>
  </conditionalFormatting>
  <conditionalFormatting sqref="D246:I246">
    <cfRule type="cellIs" dxfId="2127" priority="1092" stopIfTrue="1" operator="lessThan">
      <formula>0</formula>
    </cfRule>
  </conditionalFormatting>
  <conditionalFormatting sqref="K246">
    <cfRule type="cellIs" dxfId="2126" priority="1091" stopIfTrue="1" operator="lessThan">
      <formula>0</formula>
    </cfRule>
  </conditionalFormatting>
  <conditionalFormatting sqref="M246">
    <cfRule type="cellIs" dxfId="2125" priority="1090" stopIfTrue="1" operator="lessThan">
      <formula>0</formula>
    </cfRule>
  </conditionalFormatting>
  <conditionalFormatting sqref="D285:G285">
    <cfRule type="cellIs" dxfId="2124" priority="1089" stopIfTrue="1" operator="lessThan">
      <formula>0</formula>
    </cfRule>
  </conditionalFormatting>
  <conditionalFormatting sqref="M285">
    <cfRule type="cellIs" dxfId="2123" priority="1079" stopIfTrue="1" operator="lessThan">
      <formula>0</formula>
    </cfRule>
  </conditionalFormatting>
  <conditionalFormatting sqref="M281">
    <cfRule type="cellIs" dxfId="2122" priority="1078" stopIfTrue="1" operator="lessThan">
      <formula>0</formula>
    </cfRule>
  </conditionalFormatting>
  <conditionalFormatting sqref="M283">
    <cfRule type="cellIs" dxfId="2121" priority="1076" stopIfTrue="1" operator="lessThan">
      <formula>0</formula>
    </cfRule>
  </conditionalFormatting>
  <conditionalFormatting sqref="M282">
    <cfRule type="cellIs" dxfId="2120" priority="1077" stopIfTrue="1" operator="lessThan">
      <formula>0</formula>
    </cfRule>
  </conditionalFormatting>
  <conditionalFormatting sqref="M284">
    <cfRule type="cellIs" dxfId="2119" priority="1075" stopIfTrue="1" operator="lessThan">
      <formula>0</formula>
    </cfRule>
  </conditionalFormatting>
  <conditionalFormatting sqref="C281:G281">
    <cfRule type="cellIs" dxfId="2118" priority="1088" stopIfTrue="1" operator="lessThan">
      <formula>0</formula>
    </cfRule>
  </conditionalFormatting>
  <conditionalFormatting sqref="C283:G283">
    <cfRule type="cellIs" dxfId="2117" priority="1086" stopIfTrue="1" operator="lessThan">
      <formula>0</formula>
    </cfRule>
  </conditionalFormatting>
  <conditionalFormatting sqref="C282:G282">
    <cfRule type="cellIs" dxfId="2116" priority="1087" stopIfTrue="1" operator="lessThan">
      <formula>0</formula>
    </cfRule>
  </conditionalFormatting>
  <conditionalFormatting sqref="C284:G284">
    <cfRule type="cellIs" dxfId="2115" priority="1085" stopIfTrue="1" operator="lessThan">
      <formula>0</formula>
    </cfRule>
  </conditionalFormatting>
  <conditionalFormatting sqref="I285">
    <cfRule type="cellIs" dxfId="2114" priority="1084" stopIfTrue="1" operator="lessThan">
      <formula>0</formula>
    </cfRule>
  </conditionalFormatting>
  <conditionalFormatting sqref="I281">
    <cfRule type="cellIs" dxfId="2113" priority="1083" stopIfTrue="1" operator="lessThan">
      <formula>0</formula>
    </cfRule>
  </conditionalFormatting>
  <conditionalFormatting sqref="I282">
    <cfRule type="cellIs" dxfId="2112" priority="1082" stopIfTrue="1" operator="lessThan">
      <formula>0</formula>
    </cfRule>
  </conditionalFormatting>
  <conditionalFormatting sqref="I283">
    <cfRule type="cellIs" dxfId="2111" priority="1081" stopIfTrue="1" operator="lessThan">
      <formula>0</formula>
    </cfRule>
  </conditionalFormatting>
  <conditionalFormatting sqref="I284">
    <cfRule type="cellIs" dxfId="2110" priority="1080" stopIfTrue="1" operator="lessThan">
      <formula>0</formula>
    </cfRule>
  </conditionalFormatting>
  <conditionalFormatting sqref="L263 J263">
    <cfRule type="cellIs" dxfId="2109" priority="1074" stopIfTrue="1" operator="lessThan">
      <formula>0</formula>
    </cfRule>
  </conditionalFormatting>
  <conditionalFormatting sqref="N263:Q263">
    <cfRule type="cellIs" dxfId="2108" priority="1073" stopIfTrue="1" operator="lessThan">
      <formula>0</formula>
    </cfRule>
  </conditionalFormatting>
  <conditionalFormatting sqref="C263:G263">
    <cfRule type="cellIs" dxfId="2107" priority="1072" stopIfTrue="1" operator="lessThan">
      <formula>0</formula>
    </cfRule>
  </conditionalFormatting>
  <conditionalFormatting sqref="J276:J277 L276:Q277">
    <cfRule type="cellIs" dxfId="2106" priority="1071" stopIfTrue="1" operator="lessThan">
      <formula>0</formula>
    </cfRule>
  </conditionalFormatting>
  <conditionalFormatting sqref="I263">
    <cfRule type="cellIs" dxfId="2105" priority="1070" stopIfTrue="1" operator="lessThan">
      <formula>0</formula>
    </cfRule>
  </conditionalFormatting>
  <conditionalFormatting sqref="K263">
    <cfRule type="cellIs" dxfId="2104" priority="1069" stopIfTrue="1" operator="lessThan">
      <formula>0</formula>
    </cfRule>
  </conditionalFormatting>
  <conditionalFormatting sqref="M263">
    <cfRule type="cellIs" dxfId="2103" priority="1068" stopIfTrue="1" operator="lessThan">
      <formula>0</formula>
    </cfRule>
  </conditionalFormatting>
  <conditionalFormatting sqref="H285">
    <cfRule type="cellIs" dxfId="2102" priority="1067" stopIfTrue="1" operator="lessThan">
      <formula>0</formula>
    </cfRule>
  </conditionalFormatting>
  <conditionalFormatting sqref="H281">
    <cfRule type="cellIs" dxfId="2101" priority="1066" stopIfTrue="1" operator="lessThan">
      <formula>0</formula>
    </cfRule>
  </conditionalFormatting>
  <conditionalFormatting sqref="H283">
    <cfRule type="cellIs" dxfId="2100" priority="1064" stopIfTrue="1" operator="lessThan">
      <formula>0</formula>
    </cfRule>
  </conditionalFormatting>
  <conditionalFormatting sqref="H282">
    <cfRule type="cellIs" dxfId="2099" priority="1065" stopIfTrue="1" operator="lessThan">
      <formula>0</formula>
    </cfRule>
  </conditionalFormatting>
  <conditionalFormatting sqref="H284">
    <cfRule type="cellIs" dxfId="2098" priority="1063" stopIfTrue="1" operator="lessThan">
      <formula>0</formula>
    </cfRule>
  </conditionalFormatting>
  <conditionalFormatting sqref="H263">
    <cfRule type="cellIs" dxfId="2097" priority="1062" stopIfTrue="1" operator="lessThan">
      <formula>0</formula>
    </cfRule>
  </conditionalFormatting>
  <conditionalFormatting sqref="C264:I279">
    <cfRule type="cellIs" dxfId="2096" priority="1061" stopIfTrue="1" operator="lessThan">
      <formula>0</formula>
    </cfRule>
  </conditionalFormatting>
  <conditionalFormatting sqref="C280">
    <cfRule type="cellIs" dxfId="2095" priority="1060" stopIfTrue="1" operator="lessThan">
      <formula>0</formula>
    </cfRule>
  </conditionalFormatting>
  <conditionalFormatting sqref="D280:I280">
    <cfRule type="cellIs" dxfId="2094" priority="1059" stopIfTrue="1" operator="lessThan">
      <formula>0</formula>
    </cfRule>
  </conditionalFormatting>
  <conditionalFormatting sqref="K280">
    <cfRule type="cellIs" dxfId="2093" priority="1058" stopIfTrue="1" operator="lessThan">
      <formula>0</formula>
    </cfRule>
  </conditionalFormatting>
  <conditionalFormatting sqref="M280">
    <cfRule type="cellIs" dxfId="2092" priority="1057" stopIfTrue="1" operator="lessThan">
      <formula>0</formula>
    </cfRule>
  </conditionalFormatting>
  <conditionalFormatting sqref="K264:K279">
    <cfRule type="cellIs" dxfId="2091" priority="1056" stopIfTrue="1" operator="lessThan">
      <formula>0</formula>
    </cfRule>
  </conditionalFormatting>
  <conditionalFormatting sqref="K281:K285">
    <cfRule type="cellIs" dxfId="2090" priority="1055" stopIfTrue="1" operator="lessThan">
      <formula>0</formula>
    </cfRule>
  </conditionalFormatting>
  <conditionalFormatting sqref="C289">
    <cfRule type="cellIs" dxfId="2089" priority="1054" stopIfTrue="1" operator="lessThan">
      <formula>0</formula>
    </cfRule>
  </conditionalFormatting>
  <conditionalFormatting sqref="D289:I289">
    <cfRule type="cellIs" dxfId="2088" priority="1053" stopIfTrue="1" operator="lessThan">
      <formula>0</formula>
    </cfRule>
  </conditionalFormatting>
  <conditionalFormatting sqref="K289">
    <cfRule type="cellIs" dxfId="2087" priority="1052" stopIfTrue="1" operator="lessThan">
      <formula>0</formula>
    </cfRule>
  </conditionalFormatting>
  <conditionalFormatting sqref="M289">
    <cfRule type="cellIs" dxfId="2086" priority="1051" stopIfTrue="1" operator="lessThan">
      <formula>0</formula>
    </cfRule>
  </conditionalFormatting>
  <conditionalFormatting sqref="H287:H288">
    <cfRule type="cellIs" dxfId="2085" priority="1050" stopIfTrue="1" operator="lessThan">
      <formula>0</formula>
    </cfRule>
  </conditionalFormatting>
  <conditionalFormatting sqref="K287:K288">
    <cfRule type="cellIs" dxfId="2084" priority="1049" stopIfTrue="1" operator="lessThan">
      <formula>0</formula>
    </cfRule>
  </conditionalFormatting>
  <conditionalFormatting sqref="C286">
    <cfRule type="cellIs" dxfId="2083" priority="1048" stopIfTrue="1" operator="lessThan">
      <formula>0</formula>
    </cfRule>
  </conditionalFormatting>
  <conditionalFormatting sqref="D286:I286">
    <cfRule type="cellIs" dxfId="2082" priority="1047" stopIfTrue="1" operator="lessThan">
      <formula>0</formula>
    </cfRule>
  </conditionalFormatting>
  <conditionalFormatting sqref="K286">
    <cfRule type="cellIs" dxfId="2081" priority="1046" stopIfTrue="1" operator="lessThan">
      <formula>0</formula>
    </cfRule>
  </conditionalFormatting>
  <conditionalFormatting sqref="M286">
    <cfRule type="cellIs" dxfId="2080" priority="1045" stopIfTrue="1" operator="lessThan">
      <formula>0</formula>
    </cfRule>
  </conditionalFormatting>
  <conditionalFormatting sqref="D325:G325">
    <cfRule type="cellIs" dxfId="2079" priority="1044" stopIfTrue="1" operator="lessThan">
      <formula>0</formula>
    </cfRule>
  </conditionalFormatting>
  <conditionalFormatting sqref="M325">
    <cfRule type="cellIs" dxfId="2078" priority="1034" stopIfTrue="1" operator="lessThan">
      <formula>0</formula>
    </cfRule>
  </conditionalFormatting>
  <conditionalFormatting sqref="M321">
    <cfRule type="cellIs" dxfId="2077" priority="1033" stopIfTrue="1" operator="lessThan">
      <formula>0</formula>
    </cfRule>
  </conditionalFormatting>
  <conditionalFormatting sqref="M323">
    <cfRule type="cellIs" dxfId="2076" priority="1031" stopIfTrue="1" operator="lessThan">
      <formula>0</formula>
    </cfRule>
  </conditionalFormatting>
  <conditionalFormatting sqref="M322">
    <cfRule type="cellIs" dxfId="2075" priority="1032" stopIfTrue="1" operator="lessThan">
      <formula>0</formula>
    </cfRule>
  </conditionalFormatting>
  <conditionalFormatting sqref="M324">
    <cfRule type="cellIs" dxfId="2074" priority="1030" stopIfTrue="1" operator="lessThan">
      <formula>0</formula>
    </cfRule>
  </conditionalFormatting>
  <conditionalFormatting sqref="C321:G321">
    <cfRule type="cellIs" dxfId="2073" priority="1043" stopIfTrue="1" operator="lessThan">
      <formula>0</formula>
    </cfRule>
  </conditionalFormatting>
  <conditionalFormatting sqref="C323:G323">
    <cfRule type="cellIs" dxfId="2072" priority="1041" stopIfTrue="1" operator="lessThan">
      <formula>0</formula>
    </cfRule>
  </conditionalFormatting>
  <conditionalFormatting sqref="C322:G322">
    <cfRule type="cellIs" dxfId="2071" priority="1042" stopIfTrue="1" operator="lessThan">
      <formula>0</formula>
    </cfRule>
  </conditionalFormatting>
  <conditionalFormatting sqref="C324:G324">
    <cfRule type="cellIs" dxfId="2070" priority="1040" stopIfTrue="1" operator="lessThan">
      <formula>0</formula>
    </cfRule>
  </conditionalFormatting>
  <conditionalFormatting sqref="I325">
    <cfRule type="cellIs" dxfId="2069" priority="1039" stopIfTrue="1" operator="lessThan">
      <formula>0</formula>
    </cfRule>
  </conditionalFormatting>
  <conditionalFormatting sqref="I321">
    <cfRule type="cellIs" dxfId="2068" priority="1038" stopIfTrue="1" operator="lessThan">
      <formula>0</formula>
    </cfRule>
  </conditionalFormatting>
  <conditionalFormatting sqref="I322">
    <cfRule type="cellIs" dxfId="2067" priority="1037" stopIfTrue="1" operator="lessThan">
      <formula>0</formula>
    </cfRule>
  </conditionalFormatting>
  <conditionalFormatting sqref="I323">
    <cfRule type="cellIs" dxfId="2066" priority="1036" stopIfTrue="1" operator="lessThan">
      <formula>0</formula>
    </cfRule>
  </conditionalFormatting>
  <conditionalFormatting sqref="I324">
    <cfRule type="cellIs" dxfId="2065" priority="1035" stopIfTrue="1" operator="lessThan">
      <formula>0</formula>
    </cfRule>
  </conditionalFormatting>
  <conditionalFormatting sqref="L303 J303">
    <cfRule type="cellIs" dxfId="2064" priority="1029" stopIfTrue="1" operator="lessThan">
      <formula>0</formula>
    </cfRule>
  </conditionalFormatting>
  <conditionalFormatting sqref="N303:Q303">
    <cfRule type="cellIs" dxfId="2063" priority="1028" stopIfTrue="1" operator="lessThan">
      <formula>0</formula>
    </cfRule>
  </conditionalFormatting>
  <conditionalFormatting sqref="C303:G303">
    <cfRule type="cellIs" dxfId="2062" priority="1027" stopIfTrue="1" operator="lessThan">
      <formula>0</formula>
    </cfRule>
  </conditionalFormatting>
  <conditionalFormatting sqref="J316:J317 L316:Q317">
    <cfRule type="cellIs" dxfId="2061" priority="1026" stopIfTrue="1" operator="lessThan">
      <formula>0</formula>
    </cfRule>
  </conditionalFormatting>
  <conditionalFormatting sqref="I303">
    <cfRule type="cellIs" dxfId="2060" priority="1025" stopIfTrue="1" operator="lessThan">
      <formula>0</formula>
    </cfRule>
  </conditionalFormatting>
  <conditionalFormatting sqref="K303">
    <cfRule type="cellIs" dxfId="2059" priority="1024" stopIfTrue="1" operator="lessThan">
      <formula>0</formula>
    </cfRule>
  </conditionalFormatting>
  <conditionalFormatting sqref="M303">
    <cfRule type="cellIs" dxfId="2058" priority="1023" stopIfTrue="1" operator="lessThan">
      <formula>0</formula>
    </cfRule>
  </conditionalFormatting>
  <conditionalFormatting sqref="H325">
    <cfRule type="cellIs" dxfId="2057" priority="1022" stopIfTrue="1" operator="lessThan">
      <formula>0</formula>
    </cfRule>
  </conditionalFormatting>
  <conditionalFormatting sqref="H321">
    <cfRule type="cellIs" dxfId="2056" priority="1021" stopIfTrue="1" operator="lessThan">
      <formula>0</formula>
    </cfRule>
  </conditionalFormatting>
  <conditionalFormatting sqref="H323">
    <cfRule type="cellIs" dxfId="2055" priority="1019" stopIfTrue="1" operator="lessThan">
      <formula>0</formula>
    </cfRule>
  </conditionalFormatting>
  <conditionalFormatting sqref="H322">
    <cfRule type="cellIs" dxfId="2054" priority="1020" stopIfTrue="1" operator="lessThan">
      <formula>0</formula>
    </cfRule>
  </conditionalFormatting>
  <conditionalFormatting sqref="H324">
    <cfRule type="cellIs" dxfId="2053" priority="1018" stopIfTrue="1" operator="lessThan">
      <formula>0</formula>
    </cfRule>
  </conditionalFormatting>
  <conditionalFormatting sqref="H303">
    <cfRule type="cellIs" dxfId="2052" priority="1017" stopIfTrue="1" operator="lessThan">
      <formula>0</formula>
    </cfRule>
  </conditionalFormatting>
  <conditionalFormatting sqref="C304:I319">
    <cfRule type="cellIs" dxfId="2051" priority="1016" stopIfTrue="1" operator="lessThan">
      <formula>0</formula>
    </cfRule>
  </conditionalFormatting>
  <conditionalFormatting sqref="C320">
    <cfRule type="cellIs" dxfId="2050" priority="1015" stopIfTrue="1" operator="lessThan">
      <formula>0</formula>
    </cfRule>
  </conditionalFormatting>
  <conditionalFormatting sqref="D320:I320">
    <cfRule type="cellIs" dxfId="2049" priority="1014" stopIfTrue="1" operator="lessThan">
      <formula>0</formula>
    </cfRule>
  </conditionalFormatting>
  <conditionalFormatting sqref="K320">
    <cfRule type="cellIs" dxfId="2048" priority="1013" stopIfTrue="1" operator="lessThan">
      <formula>0</formula>
    </cfRule>
  </conditionalFormatting>
  <conditionalFormatting sqref="M320">
    <cfRule type="cellIs" dxfId="2047" priority="1012" stopIfTrue="1" operator="lessThan">
      <formula>0</formula>
    </cfRule>
  </conditionalFormatting>
  <conditionalFormatting sqref="K304:K319">
    <cfRule type="cellIs" dxfId="2046" priority="1011" stopIfTrue="1" operator="lessThan">
      <formula>0</formula>
    </cfRule>
  </conditionalFormatting>
  <conditionalFormatting sqref="K321:K325">
    <cfRule type="cellIs" dxfId="2045" priority="1010" stopIfTrue="1" operator="lessThan">
      <formula>0</formula>
    </cfRule>
  </conditionalFormatting>
  <conditionalFormatting sqref="C329">
    <cfRule type="cellIs" dxfId="2044" priority="1009" stopIfTrue="1" operator="lessThan">
      <formula>0</formula>
    </cfRule>
  </conditionalFormatting>
  <conditionalFormatting sqref="D329:I329">
    <cfRule type="cellIs" dxfId="2043" priority="1008" stopIfTrue="1" operator="lessThan">
      <formula>0</formula>
    </cfRule>
  </conditionalFormatting>
  <conditionalFormatting sqref="K329">
    <cfRule type="cellIs" dxfId="2042" priority="1007" stopIfTrue="1" operator="lessThan">
      <formula>0</formula>
    </cfRule>
  </conditionalFormatting>
  <conditionalFormatting sqref="M329">
    <cfRule type="cellIs" dxfId="2041" priority="1006" stopIfTrue="1" operator="lessThan">
      <formula>0</formula>
    </cfRule>
  </conditionalFormatting>
  <conditionalFormatting sqref="H327:H328">
    <cfRule type="cellIs" dxfId="2040" priority="1005" stopIfTrue="1" operator="lessThan">
      <formula>0</formula>
    </cfRule>
  </conditionalFormatting>
  <conditionalFormatting sqref="K327:K328">
    <cfRule type="cellIs" dxfId="2039" priority="1004" stopIfTrue="1" operator="lessThan">
      <formula>0</formula>
    </cfRule>
  </conditionalFormatting>
  <conditionalFormatting sqref="C326">
    <cfRule type="cellIs" dxfId="2038" priority="1003" stopIfTrue="1" operator="lessThan">
      <formula>0</formula>
    </cfRule>
  </conditionalFormatting>
  <conditionalFormatting sqref="D326:I326">
    <cfRule type="cellIs" dxfId="2037" priority="1002" stopIfTrue="1" operator="lessThan">
      <formula>0</formula>
    </cfRule>
  </conditionalFormatting>
  <conditionalFormatting sqref="K326">
    <cfRule type="cellIs" dxfId="2036" priority="1001" stopIfTrue="1" operator="lessThan">
      <formula>0</formula>
    </cfRule>
  </conditionalFormatting>
  <conditionalFormatting sqref="M326">
    <cfRule type="cellIs" dxfId="2035" priority="1000" stopIfTrue="1" operator="lessThan">
      <formula>0</formula>
    </cfRule>
  </conditionalFormatting>
  <conditionalFormatting sqref="D365:G365">
    <cfRule type="cellIs" dxfId="2034" priority="999" stopIfTrue="1" operator="lessThan">
      <formula>0</formula>
    </cfRule>
  </conditionalFormatting>
  <conditionalFormatting sqref="M365">
    <cfRule type="cellIs" dxfId="2033" priority="989" stopIfTrue="1" operator="lessThan">
      <formula>0</formula>
    </cfRule>
  </conditionalFormatting>
  <conditionalFormatting sqref="M361">
    <cfRule type="cellIs" dxfId="2032" priority="988" stopIfTrue="1" operator="lessThan">
      <formula>0</formula>
    </cfRule>
  </conditionalFormatting>
  <conditionalFormatting sqref="M363">
    <cfRule type="cellIs" dxfId="2031" priority="986" stopIfTrue="1" operator="lessThan">
      <formula>0</formula>
    </cfRule>
  </conditionalFormatting>
  <conditionalFormatting sqref="M362">
    <cfRule type="cellIs" dxfId="2030" priority="987" stopIfTrue="1" operator="lessThan">
      <formula>0</formula>
    </cfRule>
  </conditionalFormatting>
  <conditionalFormatting sqref="M364">
    <cfRule type="cellIs" dxfId="2029" priority="985" stopIfTrue="1" operator="lessThan">
      <formula>0</formula>
    </cfRule>
  </conditionalFormatting>
  <conditionalFormatting sqref="C361:G361">
    <cfRule type="cellIs" dxfId="2028" priority="998" stopIfTrue="1" operator="lessThan">
      <formula>0</formula>
    </cfRule>
  </conditionalFormatting>
  <conditionalFormatting sqref="C363:G363">
    <cfRule type="cellIs" dxfId="2027" priority="996" stopIfTrue="1" operator="lessThan">
      <formula>0</formula>
    </cfRule>
  </conditionalFormatting>
  <conditionalFormatting sqref="C362:G362">
    <cfRule type="cellIs" dxfId="2026" priority="997" stopIfTrue="1" operator="lessThan">
      <formula>0</formula>
    </cfRule>
  </conditionalFormatting>
  <conditionalFormatting sqref="C364:G364">
    <cfRule type="cellIs" dxfId="2025" priority="995" stopIfTrue="1" operator="lessThan">
      <formula>0</formula>
    </cfRule>
  </conditionalFormatting>
  <conditionalFormatting sqref="I365">
    <cfRule type="cellIs" dxfId="2024" priority="994" stopIfTrue="1" operator="lessThan">
      <formula>0</formula>
    </cfRule>
  </conditionalFormatting>
  <conditionalFormatting sqref="I361">
    <cfRule type="cellIs" dxfId="2023" priority="993" stopIfTrue="1" operator="lessThan">
      <formula>0</formula>
    </cfRule>
  </conditionalFormatting>
  <conditionalFormatting sqref="I362">
    <cfRule type="cellIs" dxfId="2022" priority="992" stopIfTrue="1" operator="lessThan">
      <formula>0</formula>
    </cfRule>
  </conditionalFormatting>
  <conditionalFormatting sqref="I363">
    <cfRule type="cellIs" dxfId="2021" priority="991" stopIfTrue="1" operator="lessThan">
      <formula>0</formula>
    </cfRule>
  </conditionalFormatting>
  <conditionalFormatting sqref="I364">
    <cfRule type="cellIs" dxfId="2020" priority="990" stopIfTrue="1" operator="lessThan">
      <formula>0</formula>
    </cfRule>
  </conditionalFormatting>
  <conditionalFormatting sqref="L343 J343">
    <cfRule type="cellIs" dxfId="2019" priority="984" stopIfTrue="1" operator="lessThan">
      <formula>0</formula>
    </cfRule>
  </conditionalFormatting>
  <conditionalFormatting sqref="N343:Q343">
    <cfRule type="cellIs" dxfId="2018" priority="983" stopIfTrue="1" operator="lessThan">
      <formula>0</formula>
    </cfRule>
  </conditionalFormatting>
  <conditionalFormatting sqref="C343:G343">
    <cfRule type="cellIs" dxfId="2017" priority="982" stopIfTrue="1" operator="lessThan">
      <formula>0</formula>
    </cfRule>
  </conditionalFormatting>
  <conditionalFormatting sqref="J356:J357 L356:Q357">
    <cfRule type="cellIs" dxfId="2016" priority="981" stopIfTrue="1" operator="lessThan">
      <formula>0</formula>
    </cfRule>
  </conditionalFormatting>
  <conditionalFormatting sqref="I343">
    <cfRule type="cellIs" dxfId="2015" priority="980" stopIfTrue="1" operator="lessThan">
      <formula>0</formula>
    </cfRule>
  </conditionalFormatting>
  <conditionalFormatting sqref="K343">
    <cfRule type="cellIs" dxfId="2014" priority="979" stopIfTrue="1" operator="lessThan">
      <formula>0</formula>
    </cfRule>
  </conditionalFormatting>
  <conditionalFormatting sqref="M343">
    <cfRule type="cellIs" dxfId="2013" priority="978" stopIfTrue="1" operator="lessThan">
      <formula>0</formula>
    </cfRule>
  </conditionalFormatting>
  <conditionalFormatting sqref="H367:H368">
    <cfRule type="cellIs" dxfId="2012" priority="977" stopIfTrue="1" operator="lessThan">
      <formula>0</formula>
    </cfRule>
  </conditionalFormatting>
  <conditionalFormatting sqref="H365">
    <cfRule type="cellIs" dxfId="2011" priority="976" stopIfTrue="1" operator="lessThan">
      <formula>0</formula>
    </cfRule>
  </conditionalFormatting>
  <conditionalFormatting sqref="H361">
    <cfRule type="cellIs" dxfId="2010" priority="975" stopIfTrue="1" operator="lessThan">
      <formula>0</formula>
    </cfRule>
  </conditionalFormatting>
  <conditionalFormatting sqref="H363">
    <cfRule type="cellIs" dxfId="2009" priority="973" stopIfTrue="1" operator="lessThan">
      <formula>0</formula>
    </cfRule>
  </conditionalFormatting>
  <conditionalFormatting sqref="H362">
    <cfRule type="cellIs" dxfId="2008" priority="974" stopIfTrue="1" operator="lessThan">
      <formula>0</formula>
    </cfRule>
  </conditionalFormatting>
  <conditionalFormatting sqref="H364">
    <cfRule type="cellIs" dxfId="2007" priority="972" stopIfTrue="1" operator="lessThan">
      <formula>0</formula>
    </cfRule>
  </conditionalFormatting>
  <conditionalFormatting sqref="H343">
    <cfRule type="cellIs" dxfId="2006" priority="971" stopIfTrue="1" operator="lessThan">
      <formula>0</formula>
    </cfRule>
  </conditionalFormatting>
  <conditionalFormatting sqref="C344:I359">
    <cfRule type="cellIs" dxfId="2005" priority="970" stopIfTrue="1" operator="lessThan">
      <formula>0</formula>
    </cfRule>
  </conditionalFormatting>
  <conditionalFormatting sqref="C360">
    <cfRule type="cellIs" dxfId="2004" priority="969" stopIfTrue="1" operator="lessThan">
      <formula>0</formula>
    </cfRule>
  </conditionalFormatting>
  <conditionalFormatting sqref="D360:I360">
    <cfRule type="cellIs" dxfId="2003" priority="968" stopIfTrue="1" operator="lessThan">
      <formula>0</formula>
    </cfRule>
  </conditionalFormatting>
  <conditionalFormatting sqref="K360">
    <cfRule type="cellIs" dxfId="2002" priority="967" stopIfTrue="1" operator="lessThan">
      <formula>0</formula>
    </cfRule>
  </conditionalFormatting>
  <conditionalFormatting sqref="M360">
    <cfRule type="cellIs" dxfId="2001" priority="966" stopIfTrue="1" operator="lessThan">
      <formula>0</formula>
    </cfRule>
  </conditionalFormatting>
  <conditionalFormatting sqref="K344:K359">
    <cfRule type="cellIs" dxfId="2000" priority="965" stopIfTrue="1" operator="lessThan">
      <formula>0</formula>
    </cfRule>
  </conditionalFormatting>
  <conditionalFormatting sqref="K361:K365 K367:K368">
    <cfRule type="cellIs" dxfId="1999" priority="964" stopIfTrue="1" operator="lessThan">
      <formula>0</formula>
    </cfRule>
  </conditionalFormatting>
  <conditionalFormatting sqref="C369">
    <cfRule type="cellIs" dxfId="1998" priority="963" stopIfTrue="1" operator="lessThan">
      <formula>0</formula>
    </cfRule>
  </conditionalFormatting>
  <conditionalFormatting sqref="D369:I369">
    <cfRule type="cellIs" dxfId="1997" priority="962" stopIfTrue="1" operator="lessThan">
      <formula>0</formula>
    </cfRule>
  </conditionalFormatting>
  <conditionalFormatting sqref="K369">
    <cfRule type="cellIs" dxfId="1996" priority="961" stopIfTrue="1" operator="lessThan">
      <formula>0</formula>
    </cfRule>
  </conditionalFormatting>
  <conditionalFormatting sqref="M369">
    <cfRule type="cellIs" dxfId="1995" priority="960" stopIfTrue="1" operator="lessThan">
      <formula>0</formula>
    </cfRule>
  </conditionalFormatting>
  <conditionalFormatting sqref="D405:G405">
    <cfRule type="cellIs" dxfId="1994" priority="959" stopIfTrue="1" operator="lessThan">
      <formula>0</formula>
    </cfRule>
  </conditionalFormatting>
  <conditionalFormatting sqref="M405">
    <cfRule type="cellIs" dxfId="1993" priority="949" stopIfTrue="1" operator="lessThan">
      <formula>0</formula>
    </cfRule>
  </conditionalFormatting>
  <conditionalFormatting sqref="M401">
    <cfRule type="cellIs" dxfId="1992" priority="948" stopIfTrue="1" operator="lessThan">
      <formula>0</formula>
    </cfRule>
  </conditionalFormatting>
  <conditionalFormatting sqref="M403">
    <cfRule type="cellIs" dxfId="1991" priority="946" stopIfTrue="1" operator="lessThan">
      <formula>0</formula>
    </cfRule>
  </conditionalFormatting>
  <conditionalFormatting sqref="M402">
    <cfRule type="cellIs" dxfId="1990" priority="947" stopIfTrue="1" operator="lessThan">
      <formula>0</formula>
    </cfRule>
  </conditionalFormatting>
  <conditionalFormatting sqref="M404">
    <cfRule type="cellIs" dxfId="1989" priority="945" stopIfTrue="1" operator="lessThan">
      <formula>0</formula>
    </cfRule>
  </conditionalFormatting>
  <conditionalFormatting sqref="C401:G401">
    <cfRule type="cellIs" dxfId="1988" priority="958" stopIfTrue="1" operator="lessThan">
      <formula>0</formula>
    </cfRule>
  </conditionalFormatting>
  <conditionalFormatting sqref="C403:G403">
    <cfRule type="cellIs" dxfId="1987" priority="956" stopIfTrue="1" operator="lessThan">
      <formula>0</formula>
    </cfRule>
  </conditionalFormatting>
  <conditionalFormatting sqref="C402:G402">
    <cfRule type="cellIs" dxfId="1986" priority="957" stopIfTrue="1" operator="lessThan">
      <formula>0</formula>
    </cfRule>
  </conditionalFormatting>
  <conditionalFormatting sqref="C404:G404">
    <cfRule type="cellIs" dxfId="1985" priority="955" stopIfTrue="1" operator="lessThan">
      <formula>0</formula>
    </cfRule>
  </conditionalFormatting>
  <conditionalFormatting sqref="I405">
    <cfRule type="cellIs" dxfId="1984" priority="954" stopIfTrue="1" operator="lessThan">
      <formula>0</formula>
    </cfRule>
  </conditionalFormatting>
  <conditionalFormatting sqref="I401">
    <cfRule type="cellIs" dxfId="1983" priority="953" stopIfTrue="1" operator="lessThan">
      <formula>0</formula>
    </cfRule>
  </conditionalFormatting>
  <conditionalFormatting sqref="I402">
    <cfRule type="cellIs" dxfId="1982" priority="952" stopIfTrue="1" operator="lessThan">
      <formula>0</formula>
    </cfRule>
  </conditionalFormatting>
  <conditionalFormatting sqref="I403">
    <cfRule type="cellIs" dxfId="1981" priority="951" stopIfTrue="1" operator="lessThan">
      <formula>0</formula>
    </cfRule>
  </conditionalFormatting>
  <conditionalFormatting sqref="I404">
    <cfRule type="cellIs" dxfId="1980" priority="950" stopIfTrue="1" operator="lessThan">
      <formula>0</formula>
    </cfRule>
  </conditionalFormatting>
  <conditionalFormatting sqref="L383 J383">
    <cfRule type="cellIs" dxfId="1979" priority="944" stopIfTrue="1" operator="lessThan">
      <formula>0</formula>
    </cfRule>
  </conditionalFormatting>
  <conditionalFormatting sqref="N383:Q383">
    <cfRule type="cellIs" dxfId="1978" priority="943" stopIfTrue="1" operator="lessThan">
      <formula>0</formula>
    </cfRule>
  </conditionalFormatting>
  <conditionalFormatting sqref="C383:G383">
    <cfRule type="cellIs" dxfId="1977" priority="942" stopIfTrue="1" operator="lessThan">
      <formula>0</formula>
    </cfRule>
  </conditionalFormatting>
  <conditionalFormatting sqref="J396:J397 L396:Q397">
    <cfRule type="cellIs" dxfId="1976" priority="941" stopIfTrue="1" operator="lessThan">
      <formula>0</formula>
    </cfRule>
  </conditionalFormatting>
  <conditionalFormatting sqref="I383">
    <cfRule type="cellIs" dxfId="1975" priority="940" stopIfTrue="1" operator="lessThan">
      <formula>0</formula>
    </cfRule>
  </conditionalFormatting>
  <conditionalFormatting sqref="K383">
    <cfRule type="cellIs" dxfId="1974" priority="939" stopIfTrue="1" operator="lessThan">
      <formula>0</formula>
    </cfRule>
  </conditionalFormatting>
  <conditionalFormatting sqref="M383">
    <cfRule type="cellIs" dxfId="1973" priority="938" stopIfTrue="1" operator="lessThan">
      <formula>0</formula>
    </cfRule>
  </conditionalFormatting>
  <conditionalFormatting sqref="H405">
    <cfRule type="cellIs" dxfId="1972" priority="937" stopIfTrue="1" operator="lessThan">
      <formula>0</formula>
    </cfRule>
  </conditionalFormatting>
  <conditionalFormatting sqref="H401">
    <cfRule type="cellIs" dxfId="1971" priority="936" stopIfTrue="1" operator="lessThan">
      <formula>0</formula>
    </cfRule>
  </conditionalFormatting>
  <conditionalFormatting sqref="H403">
    <cfRule type="cellIs" dxfId="1970" priority="934" stopIfTrue="1" operator="lessThan">
      <formula>0</formula>
    </cfRule>
  </conditionalFormatting>
  <conditionalFormatting sqref="H402">
    <cfRule type="cellIs" dxfId="1969" priority="935" stopIfTrue="1" operator="lessThan">
      <formula>0</formula>
    </cfRule>
  </conditionalFormatting>
  <conditionalFormatting sqref="H404">
    <cfRule type="cellIs" dxfId="1968" priority="933" stopIfTrue="1" operator="lessThan">
      <formula>0</formula>
    </cfRule>
  </conditionalFormatting>
  <conditionalFormatting sqref="H383">
    <cfRule type="cellIs" dxfId="1967" priority="932" stopIfTrue="1" operator="lessThan">
      <formula>0</formula>
    </cfRule>
  </conditionalFormatting>
  <conditionalFormatting sqref="C384:I399">
    <cfRule type="cellIs" dxfId="1966" priority="931" stopIfTrue="1" operator="lessThan">
      <formula>0</formula>
    </cfRule>
  </conditionalFormatting>
  <conditionalFormatting sqref="C400">
    <cfRule type="cellIs" dxfId="1965" priority="930" stopIfTrue="1" operator="lessThan">
      <formula>0</formula>
    </cfRule>
  </conditionalFormatting>
  <conditionalFormatting sqref="D400:I400">
    <cfRule type="cellIs" dxfId="1964" priority="929" stopIfTrue="1" operator="lessThan">
      <formula>0</formula>
    </cfRule>
  </conditionalFormatting>
  <conditionalFormatting sqref="K400">
    <cfRule type="cellIs" dxfId="1963" priority="928" stopIfTrue="1" operator="lessThan">
      <formula>0</formula>
    </cfRule>
  </conditionalFormatting>
  <conditionalFormatting sqref="M400">
    <cfRule type="cellIs" dxfId="1962" priority="927" stopIfTrue="1" operator="lessThan">
      <formula>0</formula>
    </cfRule>
  </conditionalFormatting>
  <conditionalFormatting sqref="K384:K399">
    <cfRule type="cellIs" dxfId="1961" priority="926" stopIfTrue="1" operator="lessThan">
      <formula>0</formula>
    </cfRule>
  </conditionalFormatting>
  <conditionalFormatting sqref="K401:K405">
    <cfRule type="cellIs" dxfId="1960" priority="925" stopIfTrue="1" operator="lessThan">
      <formula>0</formula>
    </cfRule>
  </conditionalFormatting>
  <conditionalFormatting sqref="C409">
    <cfRule type="cellIs" dxfId="1959" priority="924" stopIfTrue="1" operator="lessThan">
      <formula>0</formula>
    </cfRule>
  </conditionalFormatting>
  <conditionalFormatting sqref="D409:I409">
    <cfRule type="cellIs" dxfId="1958" priority="923" stopIfTrue="1" operator="lessThan">
      <formula>0</formula>
    </cfRule>
  </conditionalFormatting>
  <conditionalFormatting sqref="K409">
    <cfRule type="cellIs" dxfId="1957" priority="922" stopIfTrue="1" operator="lessThan">
      <formula>0</formula>
    </cfRule>
  </conditionalFormatting>
  <conditionalFormatting sqref="M409">
    <cfRule type="cellIs" dxfId="1956" priority="921" stopIfTrue="1" operator="lessThan">
      <formula>0</formula>
    </cfRule>
  </conditionalFormatting>
  <conditionalFormatting sqref="C366">
    <cfRule type="cellIs" dxfId="1955" priority="920" stopIfTrue="1" operator="lessThan">
      <formula>0</formula>
    </cfRule>
  </conditionalFormatting>
  <conditionalFormatting sqref="D366:I366">
    <cfRule type="cellIs" dxfId="1954" priority="919" stopIfTrue="1" operator="lessThan">
      <formula>0</formula>
    </cfRule>
  </conditionalFormatting>
  <conditionalFormatting sqref="K366">
    <cfRule type="cellIs" dxfId="1953" priority="918" stopIfTrue="1" operator="lessThan">
      <formula>0</formula>
    </cfRule>
  </conditionalFormatting>
  <conditionalFormatting sqref="M366">
    <cfRule type="cellIs" dxfId="1952" priority="917" stopIfTrue="1" operator="lessThan">
      <formula>0</formula>
    </cfRule>
  </conditionalFormatting>
  <conditionalFormatting sqref="H407:H408">
    <cfRule type="cellIs" dxfId="1951" priority="916" stopIfTrue="1" operator="lessThan">
      <formula>0</formula>
    </cfRule>
  </conditionalFormatting>
  <conditionalFormatting sqref="K407:K408">
    <cfRule type="cellIs" dxfId="1950" priority="915" stopIfTrue="1" operator="lessThan">
      <formula>0</formula>
    </cfRule>
  </conditionalFormatting>
  <conditionalFormatting sqref="C406">
    <cfRule type="cellIs" dxfId="1949" priority="914" stopIfTrue="1" operator="lessThan">
      <formula>0</formula>
    </cfRule>
  </conditionalFormatting>
  <conditionalFormatting sqref="D406:I406">
    <cfRule type="cellIs" dxfId="1948" priority="913" stopIfTrue="1" operator="lessThan">
      <formula>0</formula>
    </cfRule>
  </conditionalFormatting>
  <conditionalFormatting sqref="K406">
    <cfRule type="cellIs" dxfId="1947" priority="912" stopIfTrue="1" operator="lessThan">
      <formula>0</formula>
    </cfRule>
  </conditionalFormatting>
  <conditionalFormatting sqref="M406">
    <cfRule type="cellIs" dxfId="1946" priority="911" stopIfTrue="1" operator="lessThan">
      <formula>0</formula>
    </cfRule>
  </conditionalFormatting>
  <conditionalFormatting sqref="D445:G445">
    <cfRule type="cellIs" dxfId="1945" priority="910" stopIfTrue="1" operator="lessThan">
      <formula>0</formula>
    </cfRule>
  </conditionalFormatting>
  <conditionalFormatting sqref="M445">
    <cfRule type="cellIs" dxfId="1944" priority="900" stopIfTrue="1" operator="lessThan">
      <formula>0</formula>
    </cfRule>
  </conditionalFormatting>
  <conditionalFormatting sqref="M441">
    <cfRule type="cellIs" dxfId="1943" priority="899" stopIfTrue="1" operator="lessThan">
      <formula>0</formula>
    </cfRule>
  </conditionalFormatting>
  <conditionalFormatting sqref="M443">
    <cfRule type="cellIs" dxfId="1942" priority="897" stopIfTrue="1" operator="lessThan">
      <formula>0</formula>
    </cfRule>
  </conditionalFormatting>
  <conditionalFormatting sqref="M442">
    <cfRule type="cellIs" dxfId="1941" priority="898" stopIfTrue="1" operator="lessThan">
      <formula>0</formula>
    </cfRule>
  </conditionalFormatting>
  <conditionalFormatting sqref="M444">
    <cfRule type="cellIs" dxfId="1940" priority="896" stopIfTrue="1" operator="lessThan">
      <formula>0</formula>
    </cfRule>
  </conditionalFormatting>
  <conditionalFormatting sqref="C441:G441">
    <cfRule type="cellIs" dxfId="1939" priority="909" stopIfTrue="1" operator="lessThan">
      <formula>0</formula>
    </cfRule>
  </conditionalFormatting>
  <conditionalFormatting sqref="C443:G443">
    <cfRule type="cellIs" dxfId="1938" priority="907" stopIfTrue="1" operator="lessThan">
      <formula>0</formula>
    </cfRule>
  </conditionalFormatting>
  <conditionalFormatting sqref="C442:G442">
    <cfRule type="cellIs" dxfId="1937" priority="908" stopIfTrue="1" operator="lessThan">
      <formula>0</formula>
    </cfRule>
  </conditionalFormatting>
  <conditionalFormatting sqref="C444:G444">
    <cfRule type="cellIs" dxfId="1936" priority="906" stopIfTrue="1" operator="lessThan">
      <formula>0</formula>
    </cfRule>
  </conditionalFormatting>
  <conditionalFormatting sqref="I445">
    <cfRule type="cellIs" dxfId="1935" priority="905" stopIfTrue="1" operator="lessThan">
      <formula>0</formula>
    </cfRule>
  </conditionalFormatting>
  <conditionalFormatting sqref="I441">
    <cfRule type="cellIs" dxfId="1934" priority="904" stopIfTrue="1" operator="lessThan">
      <formula>0</formula>
    </cfRule>
  </conditionalFormatting>
  <conditionalFormatting sqref="I442">
    <cfRule type="cellIs" dxfId="1933" priority="903" stopIfTrue="1" operator="lessThan">
      <formula>0</formula>
    </cfRule>
  </conditionalFormatting>
  <conditionalFormatting sqref="I443">
    <cfRule type="cellIs" dxfId="1932" priority="902" stopIfTrue="1" operator="lessThan">
      <formula>0</formula>
    </cfRule>
  </conditionalFormatting>
  <conditionalFormatting sqref="I444">
    <cfRule type="cellIs" dxfId="1931" priority="901" stopIfTrue="1" operator="lessThan">
      <formula>0</formula>
    </cfRule>
  </conditionalFormatting>
  <conditionalFormatting sqref="L423 J423">
    <cfRule type="cellIs" dxfId="1930" priority="895" stopIfTrue="1" operator="lessThan">
      <formula>0</formula>
    </cfRule>
  </conditionalFormatting>
  <conditionalFormatting sqref="N423:Q423">
    <cfRule type="cellIs" dxfId="1929" priority="894" stopIfTrue="1" operator="lessThan">
      <formula>0</formula>
    </cfRule>
  </conditionalFormatting>
  <conditionalFormatting sqref="C423:G423">
    <cfRule type="cellIs" dxfId="1928" priority="893" stopIfTrue="1" operator="lessThan">
      <formula>0</formula>
    </cfRule>
  </conditionalFormatting>
  <conditionalFormatting sqref="J436:J437 L436:Q437">
    <cfRule type="cellIs" dxfId="1927" priority="892" stopIfTrue="1" operator="lessThan">
      <formula>0</formula>
    </cfRule>
  </conditionalFormatting>
  <conditionalFormatting sqref="I423">
    <cfRule type="cellIs" dxfId="1926" priority="891" stopIfTrue="1" operator="lessThan">
      <formula>0</formula>
    </cfRule>
  </conditionalFormatting>
  <conditionalFormatting sqref="K423">
    <cfRule type="cellIs" dxfId="1925" priority="890" stopIfTrue="1" operator="lessThan">
      <formula>0</formula>
    </cfRule>
  </conditionalFormatting>
  <conditionalFormatting sqref="M423">
    <cfRule type="cellIs" dxfId="1924" priority="889" stopIfTrue="1" operator="lessThan">
      <formula>0</formula>
    </cfRule>
  </conditionalFormatting>
  <conditionalFormatting sqref="H445">
    <cfRule type="cellIs" dxfId="1923" priority="888" stopIfTrue="1" operator="lessThan">
      <formula>0</formula>
    </cfRule>
  </conditionalFormatting>
  <conditionalFormatting sqref="H441">
    <cfRule type="cellIs" dxfId="1922" priority="887" stopIfTrue="1" operator="lessThan">
      <formula>0</formula>
    </cfRule>
  </conditionalFormatting>
  <conditionalFormatting sqref="H443">
    <cfRule type="cellIs" dxfId="1921" priority="885" stopIfTrue="1" operator="lessThan">
      <formula>0</formula>
    </cfRule>
  </conditionalFormatting>
  <conditionalFormatting sqref="H442">
    <cfRule type="cellIs" dxfId="1920" priority="886" stopIfTrue="1" operator="lessThan">
      <formula>0</formula>
    </cfRule>
  </conditionalFormatting>
  <conditionalFormatting sqref="H444">
    <cfRule type="cellIs" dxfId="1919" priority="884" stopIfTrue="1" operator="lessThan">
      <formula>0</formula>
    </cfRule>
  </conditionalFormatting>
  <conditionalFormatting sqref="H423">
    <cfRule type="cellIs" dxfId="1918" priority="883" stopIfTrue="1" operator="lessThan">
      <formula>0</formula>
    </cfRule>
  </conditionalFormatting>
  <conditionalFormatting sqref="C424:I439">
    <cfRule type="cellIs" dxfId="1917" priority="882" stopIfTrue="1" operator="lessThan">
      <formula>0</formula>
    </cfRule>
  </conditionalFormatting>
  <conditionalFormatting sqref="C440">
    <cfRule type="cellIs" dxfId="1916" priority="881" stopIfTrue="1" operator="lessThan">
      <formula>0</formula>
    </cfRule>
  </conditionalFormatting>
  <conditionalFormatting sqref="D440:I440">
    <cfRule type="cellIs" dxfId="1915" priority="880" stopIfTrue="1" operator="lessThan">
      <formula>0</formula>
    </cfRule>
  </conditionalFormatting>
  <conditionalFormatting sqref="K440">
    <cfRule type="cellIs" dxfId="1914" priority="879" stopIfTrue="1" operator="lessThan">
      <formula>0</formula>
    </cfRule>
  </conditionalFormatting>
  <conditionalFormatting sqref="M440">
    <cfRule type="cellIs" dxfId="1913" priority="878" stopIfTrue="1" operator="lessThan">
      <formula>0</formula>
    </cfRule>
  </conditionalFormatting>
  <conditionalFormatting sqref="K424:K439">
    <cfRule type="cellIs" dxfId="1912" priority="877" stopIfTrue="1" operator="lessThan">
      <formula>0</formula>
    </cfRule>
  </conditionalFormatting>
  <conditionalFormatting sqref="K441:K445">
    <cfRule type="cellIs" dxfId="1911" priority="876" stopIfTrue="1" operator="lessThan">
      <formula>0</formula>
    </cfRule>
  </conditionalFormatting>
  <conditionalFormatting sqref="C449">
    <cfRule type="cellIs" dxfId="1910" priority="875" stopIfTrue="1" operator="lessThan">
      <formula>0</formula>
    </cfRule>
  </conditionalFormatting>
  <conditionalFormatting sqref="D449:I449">
    <cfRule type="cellIs" dxfId="1909" priority="874" stopIfTrue="1" operator="lessThan">
      <formula>0</formula>
    </cfRule>
  </conditionalFormatting>
  <conditionalFormatting sqref="K449">
    <cfRule type="cellIs" dxfId="1908" priority="873" stopIfTrue="1" operator="lessThan">
      <formula>0</formula>
    </cfRule>
  </conditionalFormatting>
  <conditionalFormatting sqref="M449">
    <cfRule type="cellIs" dxfId="1907" priority="872" stopIfTrue="1" operator="lessThan">
      <formula>0</formula>
    </cfRule>
  </conditionalFormatting>
  <conditionalFormatting sqref="H447:H448">
    <cfRule type="cellIs" dxfId="1906" priority="871" stopIfTrue="1" operator="lessThan">
      <formula>0</formula>
    </cfRule>
  </conditionalFormatting>
  <conditionalFormatting sqref="K447:K448">
    <cfRule type="cellIs" dxfId="1905" priority="870" stopIfTrue="1" operator="lessThan">
      <formula>0</formula>
    </cfRule>
  </conditionalFormatting>
  <conditionalFormatting sqref="C446">
    <cfRule type="cellIs" dxfId="1904" priority="869" stopIfTrue="1" operator="lessThan">
      <formula>0</formula>
    </cfRule>
  </conditionalFormatting>
  <conditionalFormatting sqref="D446:I446">
    <cfRule type="cellIs" dxfId="1903" priority="868" stopIfTrue="1" operator="lessThan">
      <formula>0</formula>
    </cfRule>
  </conditionalFormatting>
  <conditionalFormatting sqref="K446">
    <cfRule type="cellIs" dxfId="1902" priority="867" stopIfTrue="1" operator="lessThan">
      <formula>0</formula>
    </cfRule>
  </conditionalFormatting>
  <conditionalFormatting sqref="M446">
    <cfRule type="cellIs" dxfId="1901" priority="866" stopIfTrue="1" operator="lessThan">
      <formula>0</formula>
    </cfRule>
  </conditionalFormatting>
  <conditionalFormatting sqref="D485:G485">
    <cfRule type="cellIs" dxfId="1900" priority="865" stopIfTrue="1" operator="lessThan">
      <formula>0</formula>
    </cfRule>
  </conditionalFormatting>
  <conditionalFormatting sqref="M485">
    <cfRule type="cellIs" dxfId="1899" priority="855" stopIfTrue="1" operator="lessThan">
      <formula>0</formula>
    </cfRule>
  </conditionalFormatting>
  <conditionalFormatting sqref="M481">
    <cfRule type="cellIs" dxfId="1898" priority="854" stopIfTrue="1" operator="lessThan">
      <formula>0</formula>
    </cfRule>
  </conditionalFormatting>
  <conditionalFormatting sqref="M483">
    <cfRule type="cellIs" dxfId="1897" priority="852" stopIfTrue="1" operator="lessThan">
      <formula>0</formula>
    </cfRule>
  </conditionalFormatting>
  <conditionalFormatting sqref="M482">
    <cfRule type="cellIs" dxfId="1896" priority="853" stopIfTrue="1" operator="lessThan">
      <formula>0</formula>
    </cfRule>
  </conditionalFormatting>
  <conditionalFormatting sqref="M484">
    <cfRule type="cellIs" dxfId="1895" priority="851" stopIfTrue="1" operator="lessThan">
      <formula>0</formula>
    </cfRule>
  </conditionalFormatting>
  <conditionalFormatting sqref="C481:G481">
    <cfRule type="cellIs" dxfId="1894" priority="864" stopIfTrue="1" operator="lessThan">
      <formula>0</formula>
    </cfRule>
  </conditionalFormatting>
  <conditionalFormatting sqref="C483:G483">
    <cfRule type="cellIs" dxfId="1893" priority="862" stopIfTrue="1" operator="lessThan">
      <formula>0</formula>
    </cfRule>
  </conditionalFormatting>
  <conditionalFormatting sqref="C482:G482">
    <cfRule type="cellIs" dxfId="1892" priority="863" stopIfTrue="1" operator="lessThan">
      <formula>0</formula>
    </cfRule>
  </conditionalFormatting>
  <conditionalFormatting sqref="C484:G484">
    <cfRule type="cellIs" dxfId="1891" priority="861" stopIfTrue="1" operator="lessThan">
      <formula>0</formula>
    </cfRule>
  </conditionalFormatting>
  <conditionalFormatting sqref="I485">
    <cfRule type="cellIs" dxfId="1890" priority="860" stopIfTrue="1" operator="lessThan">
      <formula>0</formula>
    </cfRule>
  </conditionalFormatting>
  <conditionalFormatting sqref="I481">
    <cfRule type="cellIs" dxfId="1889" priority="859" stopIfTrue="1" operator="lessThan">
      <formula>0</formula>
    </cfRule>
  </conditionalFormatting>
  <conditionalFormatting sqref="I482">
    <cfRule type="cellIs" dxfId="1888" priority="858" stopIfTrue="1" operator="lessThan">
      <formula>0</formula>
    </cfRule>
  </conditionalFormatting>
  <conditionalFormatting sqref="I483">
    <cfRule type="cellIs" dxfId="1887" priority="857" stopIfTrue="1" operator="lessThan">
      <formula>0</formula>
    </cfRule>
  </conditionalFormatting>
  <conditionalFormatting sqref="I484">
    <cfRule type="cellIs" dxfId="1886" priority="856" stopIfTrue="1" operator="lessThan">
      <formula>0</formula>
    </cfRule>
  </conditionalFormatting>
  <conditionalFormatting sqref="L463 J463">
    <cfRule type="cellIs" dxfId="1885" priority="850" stopIfTrue="1" operator="lessThan">
      <formula>0</formula>
    </cfRule>
  </conditionalFormatting>
  <conditionalFormatting sqref="N463:Q463">
    <cfRule type="cellIs" dxfId="1884" priority="849" stopIfTrue="1" operator="lessThan">
      <formula>0</formula>
    </cfRule>
  </conditionalFormatting>
  <conditionalFormatting sqref="C463:G463">
    <cfRule type="cellIs" dxfId="1883" priority="848" stopIfTrue="1" operator="lessThan">
      <formula>0</formula>
    </cfRule>
  </conditionalFormatting>
  <conditionalFormatting sqref="J476:J477 L476:Q477">
    <cfRule type="cellIs" dxfId="1882" priority="847" stopIfTrue="1" operator="lessThan">
      <formula>0</formula>
    </cfRule>
  </conditionalFormatting>
  <conditionalFormatting sqref="I463">
    <cfRule type="cellIs" dxfId="1881" priority="846" stopIfTrue="1" operator="lessThan">
      <formula>0</formula>
    </cfRule>
  </conditionalFormatting>
  <conditionalFormatting sqref="K463">
    <cfRule type="cellIs" dxfId="1880" priority="845" stopIfTrue="1" operator="lessThan">
      <formula>0</formula>
    </cfRule>
  </conditionalFormatting>
  <conditionalFormatting sqref="M463">
    <cfRule type="cellIs" dxfId="1879" priority="844" stopIfTrue="1" operator="lessThan">
      <formula>0</formula>
    </cfRule>
  </conditionalFormatting>
  <conditionalFormatting sqref="H485">
    <cfRule type="cellIs" dxfId="1878" priority="843" stopIfTrue="1" operator="lessThan">
      <formula>0</formula>
    </cfRule>
  </conditionalFormatting>
  <conditionalFormatting sqref="H481">
    <cfRule type="cellIs" dxfId="1877" priority="842" stopIfTrue="1" operator="lessThan">
      <formula>0</formula>
    </cfRule>
  </conditionalFormatting>
  <conditionalFormatting sqref="H483">
    <cfRule type="cellIs" dxfId="1876" priority="840" stopIfTrue="1" operator="lessThan">
      <formula>0</formula>
    </cfRule>
  </conditionalFormatting>
  <conditionalFormatting sqref="H482">
    <cfRule type="cellIs" dxfId="1875" priority="841" stopIfTrue="1" operator="lessThan">
      <formula>0</formula>
    </cfRule>
  </conditionalFormatting>
  <conditionalFormatting sqref="H484">
    <cfRule type="cellIs" dxfId="1874" priority="839" stopIfTrue="1" operator="lessThan">
      <formula>0</formula>
    </cfRule>
  </conditionalFormatting>
  <conditionalFormatting sqref="H463">
    <cfRule type="cellIs" dxfId="1873" priority="838" stopIfTrue="1" operator="lessThan">
      <formula>0</formula>
    </cfRule>
  </conditionalFormatting>
  <conditionalFormatting sqref="C464:I479">
    <cfRule type="cellIs" dxfId="1872" priority="837" stopIfTrue="1" operator="lessThan">
      <formula>0</formula>
    </cfRule>
  </conditionalFormatting>
  <conditionalFormatting sqref="C480">
    <cfRule type="cellIs" dxfId="1871" priority="836" stopIfTrue="1" operator="lessThan">
      <formula>0</formula>
    </cfRule>
  </conditionalFormatting>
  <conditionalFormatting sqref="D480:I480">
    <cfRule type="cellIs" dxfId="1870" priority="835" stopIfTrue="1" operator="lessThan">
      <formula>0</formula>
    </cfRule>
  </conditionalFormatting>
  <conditionalFormatting sqref="K480">
    <cfRule type="cellIs" dxfId="1869" priority="834" stopIfTrue="1" operator="lessThan">
      <formula>0</formula>
    </cfRule>
  </conditionalFormatting>
  <conditionalFormatting sqref="M480">
    <cfRule type="cellIs" dxfId="1868" priority="833" stopIfTrue="1" operator="lessThan">
      <formula>0</formula>
    </cfRule>
  </conditionalFormatting>
  <conditionalFormatting sqref="K464:K479">
    <cfRule type="cellIs" dxfId="1867" priority="832" stopIfTrue="1" operator="lessThan">
      <formula>0</formula>
    </cfRule>
  </conditionalFormatting>
  <conditionalFormatting sqref="K481:K485">
    <cfRule type="cellIs" dxfId="1866" priority="831" stopIfTrue="1" operator="lessThan">
      <formula>0</formula>
    </cfRule>
  </conditionalFormatting>
  <conditionalFormatting sqref="C489">
    <cfRule type="cellIs" dxfId="1865" priority="830" stopIfTrue="1" operator="lessThan">
      <formula>0</formula>
    </cfRule>
  </conditionalFormatting>
  <conditionalFormatting sqref="D489:I489">
    <cfRule type="cellIs" dxfId="1864" priority="829" stopIfTrue="1" operator="lessThan">
      <formula>0</formula>
    </cfRule>
  </conditionalFormatting>
  <conditionalFormatting sqref="K489">
    <cfRule type="cellIs" dxfId="1863" priority="828" stopIfTrue="1" operator="lessThan">
      <formula>0</formula>
    </cfRule>
  </conditionalFormatting>
  <conditionalFormatting sqref="M489">
    <cfRule type="cellIs" dxfId="1862" priority="827" stopIfTrue="1" operator="lessThan">
      <formula>0</formula>
    </cfRule>
  </conditionalFormatting>
  <conditionalFormatting sqref="H487:H488">
    <cfRule type="cellIs" dxfId="1861" priority="826" stopIfTrue="1" operator="lessThan">
      <formula>0</formula>
    </cfRule>
  </conditionalFormatting>
  <conditionalFormatting sqref="K487:K488">
    <cfRule type="cellIs" dxfId="1860" priority="825" stopIfTrue="1" operator="lessThan">
      <formula>0</formula>
    </cfRule>
  </conditionalFormatting>
  <conditionalFormatting sqref="C486">
    <cfRule type="cellIs" dxfId="1859" priority="824" stopIfTrue="1" operator="lessThan">
      <formula>0</formula>
    </cfRule>
  </conditionalFormatting>
  <conditionalFormatting sqref="D486:I486">
    <cfRule type="cellIs" dxfId="1858" priority="823" stopIfTrue="1" operator="lessThan">
      <formula>0</formula>
    </cfRule>
  </conditionalFormatting>
  <conditionalFormatting sqref="K486">
    <cfRule type="cellIs" dxfId="1857" priority="822" stopIfTrue="1" operator="lessThan">
      <formula>0</formula>
    </cfRule>
  </conditionalFormatting>
  <conditionalFormatting sqref="M486">
    <cfRule type="cellIs" dxfId="1856" priority="821" stopIfTrue="1" operator="lessThan">
      <formula>0</formula>
    </cfRule>
  </conditionalFormatting>
  <conditionalFormatting sqref="AJ658 E619:Q619 D618:AJ618 E579:Q579 C605 N605:Q605 R579:AJ605 L609 N609:Q609 J609 L607:Q608 I607:J608 C607:G608 L605:L606 N606:AJ606 J605:J606 C610:Q611 R607:AJ611 AJ698 E659:Q659">
    <cfRule type="cellIs" dxfId="1855" priority="820" stopIfTrue="1" operator="lessThan">
      <formula>0</formula>
    </cfRule>
  </conditionalFormatting>
  <conditionalFormatting sqref="D707:G707 C705:G706 C707:C708 L720:L724 J720:J724 N720:Q724 C709:G715 C718:G719 I718:Q719 I705:Q715 J704:Q704">
    <cfRule type="cellIs" dxfId="1854" priority="819" stopIfTrue="1" operator="lessThan">
      <formula>0</formula>
    </cfRule>
  </conditionalFormatting>
  <conditionalFormatting sqref="D708:G708">
    <cfRule type="cellIs" dxfId="1853" priority="818" stopIfTrue="1" operator="lessThan">
      <formula>0</formula>
    </cfRule>
  </conditionalFormatting>
  <conditionalFormatting sqref="K724">
    <cfRule type="cellIs" dxfId="1852" priority="806" stopIfTrue="1" operator="lessThan">
      <formula>0</formula>
    </cfRule>
  </conditionalFormatting>
  <conditionalFormatting sqref="M721">
    <cfRule type="cellIs" dxfId="1851" priority="805" stopIfTrue="1" operator="lessThan">
      <formula>0</formula>
    </cfRule>
  </conditionalFormatting>
  <conditionalFormatting sqref="M723">
    <cfRule type="cellIs" dxfId="1850" priority="803" stopIfTrue="1" operator="lessThan">
      <formula>0</formula>
    </cfRule>
  </conditionalFormatting>
  <conditionalFormatting sqref="M722">
    <cfRule type="cellIs" dxfId="1849" priority="804" stopIfTrue="1" operator="lessThan">
      <formula>0</formula>
    </cfRule>
  </conditionalFormatting>
  <conditionalFormatting sqref="M724">
    <cfRule type="cellIs" dxfId="1848" priority="802" stopIfTrue="1" operator="lessThan">
      <formula>0</formula>
    </cfRule>
  </conditionalFormatting>
  <conditionalFormatting sqref="C721:G721">
    <cfRule type="cellIs" dxfId="1847" priority="817" stopIfTrue="1" operator="lessThan">
      <formula>0</formula>
    </cfRule>
  </conditionalFormatting>
  <conditionalFormatting sqref="C723:G723">
    <cfRule type="cellIs" dxfId="1846" priority="815" stopIfTrue="1" operator="lessThan">
      <formula>0</formula>
    </cfRule>
  </conditionalFormatting>
  <conditionalFormatting sqref="C722:G722">
    <cfRule type="cellIs" dxfId="1845" priority="816" stopIfTrue="1" operator="lessThan">
      <formula>0</formula>
    </cfRule>
  </conditionalFormatting>
  <conditionalFormatting sqref="C724:G724">
    <cfRule type="cellIs" dxfId="1844" priority="814" stopIfTrue="1" operator="lessThan">
      <formula>0</formula>
    </cfRule>
  </conditionalFormatting>
  <conditionalFormatting sqref="I721">
    <cfRule type="cellIs" dxfId="1843" priority="813" stopIfTrue="1" operator="lessThan">
      <formula>0</formula>
    </cfRule>
  </conditionalFormatting>
  <conditionalFormatting sqref="I722">
    <cfRule type="cellIs" dxfId="1842" priority="812" stopIfTrue="1" operator="lessThan">
      <formula>0</formula>
    </cfRule>
  </conditionalFormatting>
  <conditionalFormatting sqref="I723">
    <cfRule type="cellIs" dxfId="1841" priority="811" stopIfTrue="1" operator="lessThan">
      <formula>0</formula>
    </cfRule>
  </conditionalFormatting>
  <conditionalFormatting sqref="I724">
    <cfRule type="cellIs" dxfId="1840" priority="810" stopIfTrue="1" operator="lessThan">
      <formula>0</formula>
    </cfRule>
  </conditionalFormatting>
  <conditionalFormatting sqref="K721">
    <cfRule type="cellIs" dxfId="1839" priority="809" stopIfTrue="1" operator="lessThan">
      <formula>0</formula>
    </cfRule>
  </conditionalFormatting>
  <conditionalFormatting sqref="K722">
    <cfRule type="cellIs" dxfId="1838" priority="808" stopIfTrue="1" operator="lessThan">
      <formula>0</formula>
    </cfRule>
  </conditionalFormatting>
  <conditionalFormatting sqref="K723">
    <cfRule type="cellIs" dxfId="1837" priority="807" stopIfTrue="1" operator="lessThan">
      <formula>0</formula>
    </cfRule>
  </conditionalFormatting>
  <conditionalFormatting sqref="L703 J703">
    <cfRule type="cellIs" dxfId="1836" priority="801" stopIfTrue="1" operator="lessThan">
      <formula>0</formula>
    </cfRule>
  </conditionalFormatting>
  <conditionalFormatting sqref="N703:Q703">
    <cfRule type="cellIs" dxfId="1835" priority="800" stopIfTrue="1" operator="lessThan">
      <formula>0</formula>
    </cfRule>
  </conditionalFormatting>
  <conditionalFormatting sqref="C703:G703">
    <cfRule type="cellIs" dxfId="1834" priority="799" stopIfTrue="1" operator="lessThan">
      <formula>0</formula>
    </cfRule>
  </conditionalFormatting>
  <conditionalFormatting sqref="C716:G717 I716:Q717">
    <cfRule type="cellIs" dxfId="1833" priority="798" stopIfTrue="1" operator="lessThan">
      <formula>0</formula>
    </cfRule>
  </conditionalFormatting>
  <conditionalFormatting sqref="I703">
    <cfRule type="cellIs" dxfId="1832" priority="797" stopIfTrue="1" operator="lessThan">
      <formula>0</formula>
    </cfRule>
  </conditionalFormatting>
  <conditionalFormatting sqref="K703">
    <cfRule type="cellIs" dxfId="1831" priority="796" stopIfTrue="1" operator="lessThan">
      <formula>0</formula>
    </cfRule>
  </conditionalFormatting>
  <conditionalFormatting sqref="M703">
    <cfRule type="cellIs" dxfId="1830" priority="795" stopIfTrue="1" operator="lessThan">
      <formula>0</formula>
    </cfRule>
  </conditionalFormatting>
  <conditionalFormatting sqref="H705:H707 H709:H715 H718:H719">
    <cfRule type="cellIs" dxfId="1829" priority="794" stopIfTrue="1" operator="lessThan">
      <formula>0</formula>
    </cfRule>
  </conditionalFormatting>
  <conditionalFormatting sqref="H708">
    <cfRule type="cellIs" dxfId="1828" priority="793" stopIfTrue="1" operator="lessThan">
      <formula>0</formula>
    </cfRule>
  </conditionalFormatting>
  <conditionalFormatting sqref="H721">
    <cfRule type="cellIs" dxfId="1827" priority="792" stopIfTrue="1" operator="lessThan">
      <formula>0</formula>
    </cfRule>
  </conditionalFormatting>
  <conditionalFormatting sqref="H723">
    <cfRule type="cellIs" dxfId="1826" priority="790" stopIfTrue="1" operator="lessThan">
      <formula>0</formula>
    </cfRule>
  </conditionalFormatting>
  <conditionalFormatting sqref="H722">
    <cfRule type="cellIs" dxfId="1825" priority="791" stopIfTrue="1" operator="lessThan">
      <formula>0</formula>
    </cfRule>
  </conditionalFormatting>
  <conditionalFormatting sqref="H724">
    <cfRule type="cellIs" dxfId="1824" priority="789" stopIfTrue="1" operator="lessThan">
      <formula>0</formula>
    </cfRule>
  </conditionalFormatting>
  <conditionalFormatting sqref="H703">
    <cfRule type="cellIs" dxfId="1823" priority="788" stopIfTrue="1" operator="lessThan">
      <formula>0</formula>
    </cfRule>
  </conditionalFormatting>
  <conditionalFormatting sqref="H716:H717">
    <cfRule type="cellIs" dxfId="1822" priority="787" stopIfTrue="1" operator="lessThan">
      <formula>0</formula>
    </cfRule>
  </conditionalFormatting>
  <conditionalFormatting sqref="C704:G704 I704">
    <cfRule type="cellIs" dxfId="1821" priority="786" stopIfTrue="1" operator="lessThan">
      <formula>0</formula>
    </cfRule>
  </conditionalFormatting>
  <conditionalFormatting sqref="H704">
    <cfRule type="cellIs" dxfId="1820" priority="785" stopIfTrue="1" operator="lessThan">
      <formula>0</formula>
    </cfRule>
  </conditionalFormatting>
  <conditionalFormatting sqref="C720:I720">
    <cfRule type="cellIs" dxfId="1819" priority="784" stopIfTrue="1" operator="lessThan">
      <formula>0</formula>
    </cfRule>
  </conditionalFormatting>
  <conditionalFormatting sqref="D658:AI658 E699:Q699 D698:AI698">
    <cfRule type="cellIs" dxfId="1818" priority="783" stopIfTrue="1" operator="lessThan">
      <formula>0</formula>
    </cfRule>
  </conditionalFormatting>
  <conditionalFormatting sqref="L640:L645 J640:J645 J638:Q639 J624:Q635">
    <cfRule type="cellIs" dxfId="1817" priority="782" stopIfTrue="1" operator="lessThan">
      <formula>0</formula>
    </cfRule>
  </conditionalFormatting>
  <conditionalFormatting sqref="K644">
    <cfRule type="cellIs" dxfId="1816" priority="777" stopIfTrue="1" operator="lessThan">
      <formula>0</formula>
    </cfRule>
  </conditionalFormatting>
  <conditionalFormatting sqref="K645">
    <cfRule type="cellIs" dxfId="1815" priority="781" stopIfTrue="1" operator="lessThan">
      <formula>0</formula>
    </cfRule>
  </conditionalFormatting>
  <conditionalFormatting sqref="K641">
    <cfRule type="cellIs" dxfId="1814" priority="780" stopIfTrue="1" operator="lessThan">
      <formula>0</formula>
    </cfRule>
  </conditionalFormatting>
  <conditionalFormatting sqref="K642">
    <cfRule type="cellIs" dxfId="1813" priority="779" stopIfTrue="1" operator="lessThan">
      <formula>0</formula>
    </cfRule>
  </conditionalFormatting>
  <conditionalFormatting sqref="K643">
    <cfRule type="cellIs" dxfId="1812" priority="778" stopIfTrue="1" operator="lessThan">
      <formula>0</formula>
    </cfRule>
  </conditionalFormatting>
  <conditionalFormatting sqref="L623 J623">
    <cfRule type="cellIs" dxfId="1811" priority="776" stopIfTrue="1" operator="lessThan">
      <formula>0</formula>
    </cfRule>
  </conditionalFormatting>
  <conditionalFormatting sqref="N623:Q623">
    <cfRule type="cellIs" dxfId="1810" priority="775" stopIfTrue="1" operator="lessThan">
      <formula>0</formula>
    </cfRule>
  </conditionalFormatting>
  <conditionalFormatting sqref="C623:G623">
    <cfRule type="cellIs" dxfId="1809" priority="774" stopIfTrue="1" operator="lessThan">
      <formula>0</formula>
    </cfRule>
  </conditionalFormatting>
  <conditionalFormatting sqref="J636:Q637">
    <cfRule type="cellIs" dxfId="1808" priority="773" stopIfTrue="1" operator="lessThan">
      <formula>0</formula>
    </cfRule>
  </conditionalFormatting>
  <conditionalFormatting sqref="I623">
    <cfRule type="cellIs" dxfId="1807" priority="772" stopIfTrue="1" operator="lessThan">
      <formula>0</formula>
    </cfRule>
  </conditionalFormatting>
  <conditionalFormatting sqref="K623">
    <cfRule type="cellIs" dxfId="1806" priority="771" stopIfTrue="1" operator="lessThan">
      <formula>0</formula>
    </cfRule>
  </conditionalFormatting>
  <conditionalFormatting sqref="M623">
    <cfRule type="cellIs" dxfId="1805" priority="770" stopIfTrue="1" operator="lessThan">
      <formula>0</formula>
    </cfRule>
  </conditionalFormatting>
  <conditionalFormatting sqref="H623">
    <cfRule type="cellIs" dxfId="1804" priority="769" stopIfTrue="1" operator="lessThan">
      <formula>0</formula>
    </cfRule>
  </conditionalFormatting>
  <conditionalFormatting sqref="C640">
    <cfRule type="cellIs" dxfId="1803" priority="768" stopIfTrue="1" operator="lessThan">
      <formula>0</formula>
    </cfRule>
  </conditionalFormatting>
  <conditionalFormatting sqref="D640:I640">
    <cfRule type="cellIs" dxfId="1802" priority="767" stopIfTrue="1" operator="lessThan">
      <formula>0</formula>
    </cfRule>
  </conditionalFormatting>
  <conditionalFormatting sqref="K640">
    <cfRule type="cellIs" dxfId="1801" priority="766" stopIfTrue="1" operator="lessThan">
      <formula>0</formula>
    </cfRule>
  </conditionalFormatting>
  <conditionalFormatting sqref="M640">
    <cfRule type="cellIs" dxfId="1800" priority="765" stopIfTrue="1" operator="lessThan">
      <formula>0</formula>
    </cfRule>
  </conditionalFormatting>
  <conditionalFormatting sqref="C624:I639">
    <cfRule type="cellIs" dxfId="1799" priority="764" stopIfTrue="1" operator="lessThan">
      <formula>0</formula>
    </cfRule>
  </conditionalFormatting>
  <conditionalFormatting sqref="C641:I645">
    <cfRule type="cellIs" dxfId="1798" priority="763" stopIfTrue="1" operator="lessThan">
      <formula>0</formula>
    </cfRule>
  </conditionalFormatting>
  <conditionalFormatting sqref="M641:M645">
    <cfRule type="cellIs" dxfId="1797" priority="762" stopIfTrue="1" operator="lessThan">
      <formula>0</formula>
    </cfRule>
  </conditionalFormatting>
  <conditionalFormatting sqref="K720">
    <cfRule type="cellIs" dxfId="1796" priority="761" stopIfTrue="1" operator="lessThan">
      <formula>0</formula>
    </cfRule>
  </conditionalFormatting>
  <conditionalFormatting sqref="M720">
    <cfRule type="cellIs" dxfId="1795" priority="760" stopIfTrue="1" operator="lessThan">
      <formula>0</formula>
    </cfRule>
  </conditionalFormatting>
  <conditionalFormatting sqref="L600:L604 J600:J604 J598:Q599 J584:Q595 N600:Q604">
    <cfRule type="cellIs" dxfId="1794" priority="759" stopIfTrue="1" operator="lessThan">
      <formula>0</formula>
    </cfRule>
  </conditionalFormatting>
  <conditionalFormatting sqref="K604">
    <cfRule type="cellIs" dxfId="1793" priority="755" stopIfTrue="1" operator="lessThan">
      <formula>0</formula>
    </cfRule>
  </conditionalFormatting>
  <conditionalFormatting sqref="K601">
    <cfRule type="cellIs" dxfId="1792" priority="758" stopIfTrue="1" operator="lessThan">
      <formula>0</formula>
    </cfRule>
  </conditionalFormatting>
  <conditionalFormatting sqref="K602">
    <cfRule type="cellIs" dxfId="1791" priority="757" stopIfTrue="1" operator="lessThan">
      <formula>0</formula>
    </cfRule>
  </conditionalFormatting>
  <conditionalFormatting sqref="K603">
    <cfRule type="cellIs" dxfId="1790" priority="756" stopIfTrue="1" operator="lessThan">
      <formula>0</formula>
    </cfRule>
  </conditionalFormatting>
  <conditionalFormatting sqref="L583 J583">
    <cfRule type="cellIs" dxfId="1789" priority="754" stopIfTrue="1" operator="lessThan">
      <formula>0</formula>
    </cfRule>
  </conditionalFormatting>
  <conditionalFormatting sqref="N583:Q583">
    <cfRule type="cellIs" dxfId="1788" priority="753" stopIfTrue="1" operator="lessThan">
      <formula>0</formula>
    </cfRule>
  </conditionalFormatting>
  <conditionalFormatting sqref="C583:G583">
    <cfRule type="cellIs" dxfId="1787" priority="752" stopIfTrue="1" operator="lessThan">
      <formula>0</formula>
    </cfRule>
  </conditionalFormatting>
  <conditionalFormatting sqref="J596:Q597">
    <cfRule type="cellIs" dxfId="1786" priority="751" stopIfTrue="1" operator="lessThan">
      <formula>0</formula>
    </cfRule>
  </conditionalFormatting>
  <conditionalFormatting sqref="I583">
    <cfRule type="cellIs" dxfId="1785" priority="750" stopIfTrue="1" operator="lessThan">
      <formula>0</formula>
    </cfRule>
  </conditionalFormatting>
  <conditionalFormatting sqref="K583">
    <cfRule type="cellIs" dxfId="1784" priority="749" stopIfTrue="1" operator="lessThan">
      <formula>0</formula>
    </cfRule>
  </conditionalFormatting>
  <conditionalFormatting sqref="M583">
    <cfRule type="cellIs" dxfId="1783" priority="748" stopIfTrue="1" operator="lessThan">
      <formula>0</formula>
    </cfRule>
  </conditionalFormatting>
  <conditionalFormatting sqref="H583">
    <cfRule type="cellIs" dxfId="1782" priority="747" stopIfTrue="1" operator="lessThan">
      <formula>0</formula>
    </cfRule>
  </conditionalFormatting>
  <conditionalFormatting sqref="C600">
    <cfRule type="cellIs" dxfId="1781" priority="746" stopIfTrue="1" operator="lessThan">
      <formula>0</formula>
    </cfRule>
  </conditionalFormatting>
  <conditionalFormatting sqref="D600:I600">
    <cfRule type="cellIs" dxfId="1780" priority="745" stopIfTrue="1" operator="lessThan">
      <formula>0</formula>
    </cfRule>
  </conditionalFormatting>
  <conditionalFormatting sqref="K600">
    <cfRule type="cellIs" dxfId="1779" priority="744" stopIfTrue="1" operator="lessThan">
      <formula>0</formula>
    </cfRule>
  </conditionalFormatting>
  <conditionalFormatting sqref="M600">
    <cfRule type="cellIs" dxfId="1778" priority="743" stopIfTrue="1" operator="lessThan">
      <formula>0</formula>
    </cfRule>
  </conditionalFormatting>
  <conditionalFormatting sqref="C584:I599">
    <cfRule type="cellIs" dxfId="1777" priority="742" stopIfTrue="1" operator="lessThan">
      <formula>0</formula>
    </cfRule>
  </conditionalFormatting>
  <conditionalFormatting sqref="C601:I604">
    <cfRule type="cellIs" dxfId="1776" priority="741" stopIfTrue="1" operator="lessThan">
      <formula>0</formula>
    </cfRule>
  </conditionalFormatting>
  <conditionalFormatting sqref="M601:M604">
    <cfRule type="cellIs" dxfId="1775" priority="740" stopIfTrue="1" operator="lessThan">
      <formula>0</formula>
    </cfRule>
  </conditionalFormatting>
  <conditionalFormatting sqref="D605:G605">
    <cfRule type="cellIs" dxfId="1774" priority="739" stopIfTrue="1" operator="lessThan">
      <formula>0</formula>
    </cfRule>
  </conditionalFormatting>
  <conditionalFormatting sqref="M605">
    <cfRule type="cellIs" dxfId="1773" priority="737" stopIfTrue="1" operator="lessThan">
      <formula>0</formula>
    </cfRule>
  </conditionalFormatting>
  <conditionalFormatting sqref="I605">
    <cfRule type="cellIs" dxfId="1772" priority="738" stopIfTrue="1" operator="lessThan">
      <formula>0</formula>
    </cfRule>
  </conditionalFormatting>
  <conditionalFormatting sqref="H607:H608">
    <cfRule type="cellIs" dxfId="1771" priority="736" stopIfTrue="1" operator="lessThan">
      <formula>0</formula>
    </cfRule>
  </conditionalFormatting>
  <conditionalFormatting sqref="H605">
    <cfRule type="cellIs" dxfId="1770" priority="735" stopIfTrue="1" operator="lessThan">
      <formula>0</formula>
    </cfRule>
  </conditionalFormatting>
  <conditionalFormatting sqref="K605 K607:K608">
    <cfRule type="cellIs" dxfId="1769" priority="734" stopIfTrue="1" operator="lessThan">
      <formula>0</formula>
    </cfRule>
  </conditionalFormatting>
  <conditionalFormatting sqref="C609">
    <cfRule type="cellIs" dxfId="1768" priority="733" stopIfTrue="1" operator="lessThan">
      <formula>0</formula>
    </cfRule>
  </conditionalFormatting>
  <conditionalFormatting sqref="D609:I609">
    <cfRule type="cellIs" dxfId="1767" priority="732" stopIfTrue="1" operator="lessThan">
      <formula>0</formula>
    </cfRule>
  </conditionalFormatting>
  <conditionalFormatting sqref="K609">
    <cfRule type="cellIs" dxfId="1766" priority="731" stopIfTrue="1" operator="lessThan">
      <formula>0</formula>
    </cfRule>
  </conditionalFormatting>
  <conditionalFormatting sqref="M609">
    <cfRule type="cellIs" dxfId="1765" priority="730" stopIfTrue="1" operator="lessThan">
      <formula>0</formula>
    </cfRule>
  </conditionalFormatting>
  <conditionalFormatting sqref="C606">
    <cfRule type="cellIs" dxfId="1764" priority="729" stopIfTrue="1" operator="lessThan">
      <formula>0</formula>
    </cfRule>
  </conditionalFormatting>
  <conditionalFormatting sqref="D606:I606">
    <cfRule type="cellIs" dxfId="1763" priority="728" stopIfTrue="1" operator="lessThan">
      <formula>0</formula>
    </cfRule>
  </conditionalFormatting>
  <conditionalFormatting sqref="K606">
    <cfRule type="cellIs" dxfId="1762" priority="727" stopIfTrue="1" operator="lessThan">
      <formula>0</formula>
    </cfRule>
  </conditionalFormatting>
  <conditionalFormatting sqref="M606">
    <cfRule type="cellIs" dxfId="1761" priority="726" stopIfTrue="1" operator="lessThan">
      <formula>0</formula>
    </cfRule>
  </conditionalFormatting>
  <conditionalFormatting sqref="L649 J649 L647:M648 I647:J648 C647:G648 L646 J646 C650:M651">
    <cfRule type="cellIs" dxfId="1760" priority="725" stopIfTrue="1" operator="lessThan">
      <formula>0</formula>
    </cfRule>
  </conditionalFormatting>
  <conditionalFormatting sqref="H647:H648">
    <cfRule type="cellIs" dxfId="1759" priority="724" stopIfTrue="1" operator="lessThan">
      <formula>0</formula>
    </cfRule>
  </conditionalFormatting>
  <conditionalFormatting sqref="K647:K648">
    <cfRule type="cellIs" dxfId="1758" priority="723" stopIfTrue="1" operator="lessThan">
      <formula>0</formula>
    </cfRule>
  </conditionalFormatting>
  <conditionalFormatting sqref="C649">
    <cfRule type="cellIs" dxfId="1757" priority="722" stopIfTrue="1" operator="lessThan">
      <formula>0</formula>
    </cfRule>
  </conditionalFormatting>
  <conditionalFormatting sqref="D649:I649">
    <cfRule type="cellIs" dxfId="1756" priority="721" stopIfTrue="1" operator="lessThan">
      <formula>0</formula>
    </cfRule>
  </conditionalFormatting>
  <conditionalFormatting sqref="K649">
    <cfRule type="cellIs" dxfId="1755" priority="720" stopIfTrue="1" operator="lessThan">
      <formula>0</formula>
    </cfRule>
  </conditionalFormatting>
  <conditionalFormatting sqref="M649">
    <cfRule type="cellIs" dxfId="1754" priority="719" stopIfTrue="1" operator="lessThan">
      <formula>0</formula>
    </cfRule>
  </conditionalFormatting>
  <conditionalFormatting sqref="C646">
    <cfRule type="cellIs" dxfId="1753" priority="718" stopIfTrue="1" operator="lessThan">
      <formula>0</formula>
    </cfRule>
  </conditionalFormatting>
  <conditionalFormatting sqref="D646:I646">
    <cfRule type="cellIs" dxfId="1752" priority="717" stopIfTrue="1" operator="lessThan">
      <formula>0</formula>
    </cfRule>
  </conditionalFormatting>
  <conditionalFormatting sqref="K646">
    <cfRule type="cellIs" dxfId="1751" priority="716" stopIfTrue="1" operator="lessThan">
      <formula>0</formula>
    </cfRule>
  </conditionalFormatting>
  <conditionalFormatting sqref="M646">
    <cfRule type="cellIs" dxfId="1750" priority="715" stopIfTrue="1" operator="lessThan">
      <formula>0</formula>
    </cfRule>
  </conditionalFormatting>
  <conditionalFormatting sqref="L725 J725">
    <cfRule type="cellIs" dxfId="1749" priority="714" stopIfTrue="1" operator="lessThan">
      <formula>0</formula>
    </cfRule>
  </conditionalFormatting>
  <conditionalFormatting sqref="K725">
    <cfRule type="cellIs" dxfId="1748" priority="713" stopIfTrue="1" operator="lessThan">
      <formula>0</formula>
    </cfRule>
  </conditionalFormatting>
  <conditionalFormatting sqref="C725:I725">
    <cfRule type="cellIs" dxfId="1747" priority="712" stopIfTrue="1" operator="lessThan">
      <formula>0</formula>
    </cfRule>
  </conditionalFormatting>
  <conditionalFormatting sqref="M725">
    <cfRule type="cellIs" dxfId="1746" priority="711" stopIfTrue="1" operator="lessThan">
      <formula>0</formula>
    </cfRule>
  </conditionalFormatting>
  <conditionalFormatting sqref="L729 J729 L727:M728 I727:J728 C727:G728 L726 J726 C730:M731">
    <cfRule type="cellIs" dxfId="1745" priority="710" stopIfTrue="1" operator="lessThan">
      <formula>0</formula>
    </cfRule>
  </conditionalFormatting>
  <conditionalFormatting sqref="H727:H728">
    <cfRule type="cellIs" dxfId="1744" priority="709" stopIfTrue="1" operator="lessThan">
      <formula>0</formula>
    </cfRule>
  </conditionalFormatting>
  <conditionalFormatting sqref="K727:K728">
    <cfRule type="cellIs" dxfId="1743" priority="708" stopIfTrue="1" operator="lessThan">
      <formula>0</formula>
    </cfRule>
  </conditionalFormatting>
  <conditionalFormatting sqref="C729">
    <cfRule type="cellIs" dxfId="1742" priority="707" stopIfTrue="1" operator="lessThan">
      <formula>0</formula>
    </cfRule>
  </conditionalFormatting>
  <conditionalFormatting sqref="D729:I729">
    <cfRule type="cellIs" dxfId="1741" priority="706" stopIfTrue="1" operator="lessThan">
      <formula>0</formula>
    </cfRule>
  </conditionalFormatting>
  <conditionalFormatting sqref="K729">
    <cfRule type="cellIs" dxfId="1740" priority="705" stopIfTrue="1" operator="lessThan">
      <formula>0</formula>
    </cfRule>
  </conditionalFormatting>
  <conditionalFormatting sqref="M729">
    <cfRule type="cellIs" dxfId="1739" priority="704" stopIfTrue="1" operator="lessThan">
      <formula>0</formula>
    </cfRule>
  </conditionalFormatting>
  <conditionalFormatting sqref="C726">
    <cfRule type="cellIs" dxfId="1738" priority="703" stopIfTrue="1" operator="lessThan">
      <formula>0</formula>
    </cfRule>
  </conditionalFormatting>
  <conditionalFormatting sqref="D726:I726">
    <cfRule type="cellIs" dxfId="1737" priority="702" stopIfTrue="1" operator="lessThan">
      <formula>0</formula>
    </cfRule>
  </conditionalFormatting>
  <conditionalFormatting sqref="K726">
    <cfRule type="cellIs" dxfId="1736" priority="701" stopIfTrue="1" operator="lessThan">
      <formula>0</formula>
    </cfRule>
  </conditionalFormatting>
  <conditionalFormatting sqref="M726">
    <cfRule type="cellIs" dxfId="1735" priority="700" stopIfTrue="1" operator="lessThan">
      <formula>0</formula>
    </cfRule>
  </conditionalFormatting>
  <conditionalFormatting sqref="L680:L685 J680:J685 J678:Q679 J664:Q675">
    <cfRule type="cellIs" dxfId="1734" priority="699" stopIfTrue="1" operator="lessThan">
      <formula>0</formula>
    </cfRule>
  </conditionalFormatting>
  <conditionalFormatting sqref="K684">
    <cfRule type="cellIs" dxfId="1733" priority="694" stopIfTrue="1" operator="lessThan">
      <formula>0</formula>
    </cfRule>
  </conditionalFormatting>
  <conditionalFormatting sqref="K685">
    <cfRule type="cellIs" dxfId="1732" priority="698" stopIfTrue="1" operator="lessThan">
      <formula>0</formula>
    </cfRule>
  </conditionalFormatting>
  <conditionalFormatting sqref="K681">
    <cfRule type="cellIs" dxfId="1731" priority="697" stopIfTrue="1" operator="lessThan">
      <formula>0</formula>
    </cfRule>
  </conditionalFormatting>
  <conditionalFormatting sqref="K682">
    <cfRule type="cellIs" dxfId="1730" priority="696" stopIfTrue="1" operator="lessThan">
      <formula>0</formula>
    </cfRule>
  </conditionalFormatting>
  <conditionalFormatting sqref="K683">
    <cfRule type="cellIs" dxfId="1729" priority="695" stopIfTrue="1" operator="lessThan">
      <formula>0</formula>
    </cfRule>
  </conditionalFormatting>
  <conditionalFormatting sqref="L663 J663">
    <cfRule type="cellIs" dxfId="1728" priority="693" stopIfTrue="1" operator="lessThan">
      <formula>0</formula>
    </cfRule>
  </conditionalFormatting>
  <conditionalFormatting sqref="N663:Q663">
    <cfRule type="cellIs" dxfId="1727" priority="692" stopIfTrue="1" operator="lessThan">
      <formula>0</formula>
    </cfRule>
  </conditionalFormatting>
  <conditionalFormatting sqref="C663:G663">
    <cfRule type="cellIs" dxfId="1726" priority="691" stopIfTrue="1" operator="lessThan">
      <formula>0</formula>
    </cfRule>
  </conditionalFormatting>
  <conditionalFormatting sqref="J676:Q677">
    <cfRule type="cellIs" dxfId="1725" priority="690" stopIfTrue="1" operator="lessThan">
      <formula>0</formula>
    </cfRule>
  </conditionalFormatting>
  <conditionalFormatting sqref="I663">
    <cfRule type="cellIs" dxfId="1724" priority="689" stopIfTrue="1" operator="lessThan">
      <formula>0</formula>
    </cfRule>
  </conditionalFormatting>
  <conditionalFormatting sqref="K663">
    <cfRule type="cellIs" dxfId="1723" priority="688" stopIfTrue="1" operator="lessThan">
      <formula>0</formula>
    </cfRule>
  </conditionalFormatting>
  <conditionalFormatting sqref="M663">
    <cfRule type="cellIs" dxfId="1722" priority="687" stopIfTrue="1" operator="lessThan">
      <formula>0</formula>
    </cfRule>
  </conditionalFormatting>
  <conditionalFormatting sqref="H663">
    <cfRule type="cellIs" dxfId="1721" priority="686" stopIfTrue="1" operator="lessThan">
      <formula>0</formula>
    </cfRule>
  </conditionalFormatting>
  <conditionalFormatting sqref="C680">
    <cfRule type="cellIs" dxfId="1720" priority="685" stopIfTrue="1" operator="lessThan">
      <formula>0</formula>
    </cfRule>
  </conditionalFormatting>
  <conditionalFormatting sqref="D680:I680">
    <cfRule type="cellIs" dxfId="1719" priority="684" stopIfTrue="1" operator="lessThan">
      <formula>0</formula>
    </cfRule>
  </conditionalFormatting>
  <conditionalFormatting sqref="K680">
    <cfRule type="cellIs" dxfId="1718" priority="683" stopIfTrue="1" operator="lessThan">
      <formula>0</formula>
    </cfRule>
  </conditionalFormatting>
  <conditionalFormatting sqref="M680">
    <cfRule type="cellIs" dxfId="1717" priority="682" stopIfTrue="1" operator="lessThan">
      <formula>0</formula>
    </cfRule>
  </conditionalFormatting>
  <conditionalFormatting sqref="C664:I679">
    <cfRule type="cellIs" dxfId="1716" priority="681" stopIfTrue="1" operator="lessThan">
      <formula>0</formula>
    </cfRule>
  </conditionalFormatting>
  <conditionalFormatting sqref="C681:I685">
    <cfRule type="cellIs" dxfId="1715" priority="680" stopIfTrue="1" operator="lessThan">
      <formula>0</formula>
    </cfRule>
  </conditionalFormatting>
  <conditionalFormatting sqref="M681:M685">
    <cfRule type="cellIs" dxfId="1714" priority="679" stopIfTrue="1" operator="lessThan">
      <formula>0</formula>
    </cfRule>
  </conditionalFormatting>
  <conditionalFormatting sqref="L689 J689 L687:M688 I687:J688 C687:G688 L686 J686 C690:M691">
    <cfRule type="cellIs" dxfId="1713" priority="678" stopIfTrue="1" operator="lessThan">
      <formula>0</formula>
    </cfRule>
  </conditionalFormatting>
  <conditionalFormatting sqref="H687:H688">
    <cfRule type="cellIs" dxfId="1712" priority="677" stopIfTrue="1" operator="lessThan">
      <formula>0</formula>
    </cfRule>
  </conditionalFormatting>
  <conditionalFormatting sqref="K687:K688">
    <cfRule type="cellIs" dxfId="1711" priority="676" stopIfTrue="1" operator="lessThan">
      <formula>0</formula>
    </cfRule>
  </conditionalFormatting>
  <conditionalFormatting sqref="C689">
    <cfRule type="cellIs" dxfId="1710" priority="675" stopIfTrue="1" operator="lessThan">
      <formula>0</formula>
    </cfRule>
  </conditionalFormatting>
  <conditionalFormatting sqref="D689:I689">
    <cfRule type="cellIs" dxfId="1709" priority="674" stopIfTrue="1" operator="lessThan">
      <formula>0</formula>
    </cfRule>
  </conditionalFormatting>
  <conditionalFormatting sqref="K689">
    <cfRule type="cellIs" dxfId="1708" priority="673" stopIfTrue="1" operator="lessThan">
      <formula>0</formula>
    </cfRule>
  </conditionalFormatting>
  <conditionalFormatting sqref="M689">
    <cfRule type="cellIs" dxfId="1707" priority="672" stopIfTrue="1" operator="lessThan">
      <formula>0</formula>
    </cfRule>
  </conditionalFormatting>
  <conditionalFormatting sqref="C686">
    <cfRule type="cellIs" dxfId="1706" priority="671" stopIfTrue="1" operator="lessThan">
      <formula>0</formula>
    </cfRule>
  </conditionalFormatting>
  <conditionalFormatting sqref="D686:I686">
    <cfRule type="cellIs" dxfId="1705" priority="670" stopIfTrue="1" operator="lessThan">
      <formula>0</formula>
    </cfRule>
  </conditionalFormatting>
  <conditionalFormatting sqref="K686">
    <cfRule type="cellIs" dxfId="1704" priority="669" stopIfTrue="1" operator="lessThan">
      <formula>0</formula>
    </cfRule>
  </conditionalFormatting>
  <conditionalFormatting sqref="M686">
    <cfRule type="cellIs" dxfId="1703" priority="668" stopIfTrue="1" operator="lessThan">
      <formula>0</formula>
    </cfRule>
  </conditionalFormatting>
  <conditionalFormatting sqref="E739:Q739 AJ778 E779:Q779">
    <cfRule type="cellIs" dxfId="1702" priority="667" stopIfTrue="1" operator="lessThan">
      <formula>0</formula>
    </cfRule>
  </conditionalFormatting>
  <conditionalFormatting sqref="D778:AI778">
    <cfRule type="cellIs" dxfId="1701" priority="666" stopIfTrue="1" operator="lessThan">
      <formula>0</formula>
    </cfRule>
  </conditionalFormatting>
  <conditionalFormatting sqref="D778:AI778">
    <cfRule type="cellIs" dxfId="1700" priority="665" stopIfTrue="1" operator="lessThan">
      <formula>0</formula>
    </cfRule>
  </conditionalFormatting>
  <conditionalFormatting sqref="D747:G747 C745:G746 C747:C748 L760:L764 J760:J764 N760:Q764 C749:G755 C758:G759 I758:Q759 I745:Q755 J744:Q744">
    <cfRule type="cellIs" dxfId="1699" priority="664" stopIfTrue="1" operator="lessThan">
      <formula>0</formula>
    </cfRule>
  </conditionalFormatting>
  <conditionalFormatting sqref="D748:G748">
    <cfRule type="cellIs" dxfId="1698" priority="663" stopIfTrue="1" operator="lessThan">
      <formula>0</formula>
    </cfRule>
  </conditionalFormatting>
  <conditionalFormatting sqref="K764">
    <cfRule type="cellIs" dxfId="1697" priority="651" stopIfTrue="1" operator="lessThan">
      <formula>0</formula>
    </cfRule>
  </conditionalFormatting>
  <conditionalFormatting sqref="M761">
    <cfRule type="cellIs" dxfId="1696" priority="650" stopIfTrue="1" operator="lessThan">
      <formula>0</formula>
    </cfRule>
  </conditionalFormatting>
  <conditionalFormatting sqref="M763">
    <cfRule type="cellIs" dxfId="1695" priority="648" stopIfTrue="1" operator="lessThan">
      <formula>0</formula>
    </cfRule>
  </conditionalFormatting>
  <conditionalFormatting sqref="M762">
    <cfRule type="cellIs" dxfId="1694" priority="649" stopIfTrue="1" operator="lessThan">
      <formula>0</formula>
    </cfRule>
  </conditionalFormatting>
  <conditionalFormatting sqref="M764">
    <cfRule type="cellIs" dxfId="1693" priority="647" stopIfTrue="1" operator="lessThan">
      <formula>0</formula>
    </cfRule>
  </conditionalFormatting>
  <conditionalFormatting sqref="C761:G761">
    <cfRule type="cellIs" dxfId="1692" priority="662" stopIfTrue="1" operator="lessThan">
      <formula>0</formula>
    </cfRule>
  </conditionalFormatting>
  <conditionalFormatting sqref="C763:G763">
    <cfRule type="cellIs" dxfId="1691" priority="660" stopIfTrue="1" operator="lessThan">
      <formula>0</formula>
    </cfRule>
  </conditionalFormatting>
  <conditionalFormatting sqref="C762:G762">
    <cfRule type="cellIs" dxfId="1690" priority="661" stopIfTrue="1" operator="lessThan">
      <formula>0</formula>
    </cfRule>
  </conditionalFormatting>
  <conditionalFormatting sqref="C764:G764">
    <cfRule type="cellIs" dxfId="1689" priority="659" stopIfTrue="1" operator="lessThan">
      <formula>0</formula>
    </cfRule>
  </conditionalFormatting>
  <conditionalFormatting sqref="I761">
    <cfRule type="cellIs" dxfId="1688" priority="658" stopIfTrue="1" operator="lessThan">
      <formula>0</formula>
    </cfRule>
  </conditionalFormatting>
  <conditionalFormatting sqref="I762">
    <cfRule type="cellIs" dxfId="1687" priority="657" stopIfTrue="1" operator="lessThan">
      <formula>0</formula>
    </cfRule>
  </conditionalFormatting>
  <conditionalFormatting sqref="I763">
    <cfRule type="cellIs" dxfId="1686" priority="656" stopIfTrue="1" operator="lessThan">
      <formula>0</formula>
    </cfRule>
  </conditionalFormatting>
  <conditionalFormatting sqref="I764">
    <cfRule type="cellIs" dxfId="1685" priority="655" stopIfTrue="1" operator="lessThan">
      <formula>0</formula>
    </cfRule>
  </conditionalFormatting>
  <conditionalFormatting sqref="K761">
    <cfRule type="cellIs" dxfId="1684" priority="654" stopIfTrue="1" operator="lessThan">
      <formula>0</formula>
    </cfRule>
  </conditionalFormatting>
  <conditionalFormatting sqref="K762">
    <cfRule type="cellIs" dxfId="1683" priority="653" stopIfTrue="1" operator="lessThan">
      <formula>0</formula>
    </cfRule>
  </conditionalFormatting>
  <conditionalFormatting sqref="K763">
    <cfRule type="cellIs" dxfId="1682" priority="652" stopIfTrue="1" operator="lessThan">
      <formula>0</formula>
    </cfRule>
  </conditionalFormatting>
  <conditionalFormatting sqref="L743 J743">
    <cfRule type="cellIs" dxfId="1681" priority="646" stopIfTrue="1" operator="lessThan">
      <formula>0</formula>
    </cfRule>
  </conditionalFormatting>
  <conditionalFormatting sqref="N743:Q743">
    <cfRule type="cellIs" dxfId="1680" priority="645" stopIfTrue="1" operator="lessThan">
      <formula>0</formula>
    </cfRule>
  </conditionalFormatting>
  <conditionalFormatting sqref="C743:G743">
    <cfRule type="cellIs" dxfId="1679" priority="644" stopIfTrue="1" operator="lessThan">
      <formula>0</formula>
    </cfRule>
  </conditionalFormatting>
  <conditionalFormatting sqref="C756:G757 I756:Q757">
    <cfRule type="cellIs" dxfId="1678" priority="643" stopIfTrue="1" operator="lessThan">
      <formula>0</formula>
    </cfRule>
  </conditionalFormatting>
  <conditionalFormatting sqref="I743">
    <cfRule type="cellIs" dxfId="1677" priority="642" stopIfTrue="1" operator="lessThan">
      <formula>0</formula>
    </cfRule>
  </conditionalFormatting>
  <conditionalFormatting sqref="K743">
    <cfRule type="cellIs" dxfId="1676" priority="641" stopIfTrue="1" operator="lessThan">
      <formula>0</formula>
    </cfRule>
  </conditionalFormatting>
  <conditionalFormatting sqref="M743">
    <cfRule type="cellIs" dxfId="1675" priority="640" stopIfTrue="1" operator="lessThan">
      <formula>0</formula>
    </cfRule>
  </conditionalFormatting>
  <conditionalFormatting sqref="H745:H747 H749:H755 H758:H759">
    <cfRule type="cellIs" dxfId="1674" priority="639" stopIfTrue="1" operator="lessThan">
      <formula>0</formula>
    </cfRule>
  </conditionalFormatting>
  <conditionalFormatting sqref="H748">
    <cfRule type="cellIs" dxfId="1673" priority="638" stopIfTrue="1" operator="lessThan">
      <formula>0</formula>
    </cfRule>
  </conditionalFormatting>
  <conditionalFormatting sqref="H761">
    <cfRule type="cellIs" dxfId="1672" priority="637" stopIfTrue="1" operator="lessThan">
      <formula>0</formula>
    </cfRule>
  </conditionalFormatting>
  <conditionalFormatting sqref="H763">
    <cfRule type="cellIs" dxfId="1671" priority="635" stopIfTrue="1" operator="lessThan">
      <formula>0</formula>
    </cfRule>
  </conditionalFormatting>
  <conditionalFormatting sqref="H762">
    <cfRule type="cellIs" dxfId="1670" priority="636" stopIfTrue="1" operator="lessThan">
      <formula>0</formula>
    </cfRule>
  </conditionalFormatting>
  <conditionalFormatting sqref="H764">
    <cfRule type="cellIs" dxfId="1669" priority="634" stopIfTrue="1" operator="lessThan">
      <formula>0</formula>
    </cfRule>
  </conditionalFormatting>
  <conditionalFormatting sqref="H743">
    <cfRule type="cellIs" dxfId="1668" priority="633" stopIfTrue="1" operator="lessThan">
      <formula>0</formula>
    </cfRule>
  </conditionalFormatting>
  <conditionalFormatting sqref="H756:H757">
    <cfRule type="cellIs" dxfId="1667" priority="632" stopIfTrue="1" operator="lessThan">
      <formula>0</formula>
    </cfRule>
  </conditionalFormatting>
  <conditionalFormatting sqref="C744:G744 I744">
    <cfRule type="cellIs" dxfId="1666" priority="631" stopIfTrue="1" operator="lessThan">
      <formula>0</formula>
    </cfRule>
  </conditionalFormatting>
  <conditionalFormatting sqref="H744">
    <cfRule type="cellIs" dxfId="1665" priority="630" stopIfTrue="1" operator="lessThan">
      <formula>0</formula>
    </cfRule>
  </conditionalFormatting>
  <conditionalFormatting sqref="C760">
    <cfRule type="cellIs" dxfId="1664" priority="629" stopIfTrue="1" operator="lessThan">
      <formula>0</formula>
    </cfRule>
  </conditionalFormatting>
  <conditionalFormatting sqref="D760:I760">
    <cfRule type="cellIs" dxfId="1663" priority="628" stopIfTrue="1" operator="lessThan">
      <formula>0</formula>
    </cfRule>
  </conditionalFormatting>
  <conditionalFormatting sqref="K760">
    <cfRule type="cellIs" dxfId="1662" priority="627" stopIfTrue="1" operator="lessThan">
      <formula>0</formula>
    </cfRule>
  </conditionalFormatting>
  <conditionalFormatting sqref="M760">
    <cfRule type="cellIs" dxfId="1661" priority="626" stopIfTrue="1" operator="lessThan">
      <formula>0</formula>
    </cfRule>
  </conditionalFormatting>
  <conditionalFormatting sqref="D787:G787 C785:G786 C787:C788 L800:L804 J800:J804 N800:Q804 C789:G795 C798:G799 I798:Q799 I785:Q795 J784:Q784">
    <cfRule type="cellIs" dxfId="1660" priority="625" stopIfTrue="1" operator="lessThan">
      <formula>0</formula>
    </cfRule>
  </conditionalFormatting>
  <conditionalFormatting sqref="D788:G788">
    <cfRule type="cellIs" dxfId="1659" priority="624" stopIfTrue="1" operator="lessThan">
      <formula>0</formula>
    </cfRule>
  </conditionalFormatting>
  <conditionalFormatting sqref="K804">
    <cfRule type="cellIs" dxfId="1658" priority="612" stopIfTrue="1" operator="lessThan">
      <formula>0</formula>
    </cfRule>
  </conditionalFormatting>
  <conditionalFormatting sqref="M801">
    <cfRule type="cellIs" dxfId="1657" priority="611" stopIfTrue="1" operator="lessThan">
      <formula>0</formula>
    </cfRule>
  </conditionalFormatting>
  <conditionalFormatting sqref="M803">
    <cfRule type="cellIs" dxfId="1656" priority="609" stopIfTrue="1" operator="lessThan">
      <formula>0</formula>
    </cfRule>
  </conditionalFormatting>
  <conditionalFormatting sqref="M802">
    <cfRule type="cellIs" dxfId="1655" priority="610" stopIfTrue="1" operator="lessThan">
      <formula>0</formula>
    </cfRule>
  </conditionalFormatting>
  <conditionalFormatting sqref="M804">
    <cfRule type="cellIs" dxfId="1654" priority="608" stopIfTrue="1" operator="lessThan">
      <formula>0</formula>
    </cfRule>
  </conditionalFormatting>
  <conditionalFormatting sqref="C801:G801">
    <cfRule type="cellIs" dxfId="1653" priority="623" stopIfTrue="1" operator="lessThan">
      <formula>0</formula>
    </cfRule>
  </conditionalFormatting>
  <conditionalFormatting sqref="C803:G803">
    <cfRule type="cellIs" dxfId="1652" priority="621" stopIfTrue="1" operator="lessThan">
      <formula>0</formula>
    </cfRule>
  </conditionalFormatting>
  <conditionalFormatting sqref="C802:G802">
    <cfRule type="cellIs" dxfId="1651" priority="622" stopIfTrue="1" operator="lessThan">
      <formula>0</formula>
    </cfRule>
  </conditionalFormatting>
  <conditionalFormatting sqref="C804:G804">
    <cfRule type="cellIs" dxfId="1650" priority="620" stopIfTrue="1" operator="lessThan">
      <formula>0</formula>
    </cfRule>
  </conditionalFormatting>
  <conditionalFormatting sqref="I801">
    <cfRule type="cellIs" dxfId="1649" priority="619" stopIfTrue="1" operator="lessThan">
      <formula>0</formula>
    </cfRule>
  </conditionalFormatting>
  <conditionalFormatting sqref="I802">
    <cfRule type="cellIs" dxfId="1648" priority="618" stopIfTrue="1" operator="lessThan">
      <formula>0</formula>
    </cfRule>
  </conditionalFormatting>
  <conditionalFormatting sqref="I803">
    <cfRule type="cellIs" dxfId="1647" priority="617" stopIfTrue="1" operator="lessThan">
      <formula>0</formula>
    </cfRule>
  </conditionalFormatting>
  <conditionalFormatting sqref="I804">
    <cfRule type="cellIs" dxfId="1646" priority="616" stopIfTrue="1" operator="lessThan">
      <formula>0</formula>
    </cfRule>
  </conditionalFormatting>
  <conditionalFormatting sqref="K801">
    <cfRule type="cellIs" dxfId="1645" priority="615" stopIfTrue="1" operator="lessThan">
      <formula>0</formula>
    </cfRule>
  </conditionalFormatting>
  <conditionalFormatting sqref="K802">
    <cfRule type="cellIs" dxfId="1644" priority="614" stopIfTrue="1" operator="lessThan">
      <formula>0</formula>
    </cfRule>
  </conditionalFormatting>
  <conditionalFormatting sqref="K803">
    <cfRule type="cellIs" dxfId="1643" priority="613" stopIfTrue="1" operator="lessThan">
      <formula>0</formula>
    </cfRule>
  </conditionalFormatting>
  <conditionalFormatting sqref="L783 J783">
    <cfRule type="cellIs" dxfId="1642" priority="607" stopIfTrue="1" operator="lessThan">
      <formula>0</formula>
    </cfRule>
  </conditionalFormatting>
  <conditionalFormatting sqref="N783:Q783">
    <cfRule type="cellIs" dxfId="1641" priority="606" stopIfTrue="1" operator="lessThan">
      <formula>0</formula>
    </cfRule>
  </conditionalFormatting>
  <conditionalFormatting sqref="C783:G783">
    <cfRule type="cellIs" dxfId="1640" priority="605" stopIfTrue="1" operator="lessThan">
      <formula>0</formula>
    </cfRule>
  </conditionalFormatting>
  <conditionalFormatting sqref="C796:G797 I796:Q797">
    <cfRule type="cellIs" dxfId="1639" priority="604" stopIfTrue="1" operator="lessThan">
      <formula>0</formula>
    </cfRule>
  </conditionalFormatting>
  <conditionalFormatting sqref="I783">
    <cfRule type="cellIs" dxfId="1638" priority="603" stopIfTrue="1" operator="lessThan">
      <formula>0</formula>
    </cfRule>
  </conditionalFormatting>
  <conditionalFormatting sqref="K783">
    <cfRule type="cellIs" dxfId="1637" priority="602" stopIfTrue="1" operator="lessThan">
      <formula>0</formula>
    </cfRule>
  </conditionalFormatting>
  <conditionalFormatting sqref="M783">
    <cfRule type="cellIs" dxfId="1636" priority="601" stopIfTrue="1" operator="lessThan">
      <formula>0</formula>
    </cfRule>
  </conditionalFormatting>
  <conditionalFormatting sqref="H785:H787 H789:H795 H798:H799">
    <cfRule type="cellIs" dxfId="1635" priority="600" stopIfTrue="1" operator="lessThan">
      <formula>0</formula>
    </cfRule>
  </conditionalFormatting>
  <conditionalFormatting sqref="H788">
    <cfRule type="cellIs" dxfId="1634" priority="599" stopIfTrue="1" operator="lessThan">
      <formula>0</formula>
    </cfRule>
  </conditionalFormatting>
  <conditionalFormatting sqref="H801">
    <cfRule type="cellIs" dxfId="1633" priority="598" stopIfTrue="1" operator="lessThan">
      <formula>0</formula>
    </cfRule>
  </conditionalFormatting>
  <conditionalFormatting sqref="H803">
    <cfRule type="cellIs" dxfId="1632" priority="596" stopIfTrue="1" operator="lessThan">
      <formula>0</formula>
    </cfRule>
  </conditionalFormatting>
  <conditionalFormatting sqref="H802">
    <cfRule type="cellIs" dxfId="1631" priority="597" stopIfTrue="1" operator="lessThan">
      <formula>0</formula>
    </cfRule>
  </conditionalFormatting>
  <conditionalFormatting sqref="H804">
    <cfRule type="cellIs" dxfId="1630" priority="595" stopIfTrue="1" operator="lessThan">
      <formula>0</formula>
    </cfRule>
  </conditionalFormatting>
  <conditionalFormatting sqref="H783">
    <cfRule type="cellIs" dxfId="1629" priority="594" stopIfTrue="1" operator="lessThan">
      <formula>0</formula>
    </cfRule>
  </conditionalFormatting>
  <conditionalFormatting sqref="H796:H797">
    <cfRule type="cellIs" dxfId="1628" priority="593" stopIfTrue="1" operator="lessThan">
      <formula>0</formula>
    </cfRule>
  </conditionalFormatting>
  <conditionalFormatting sqref="C784:G784 I784">
    <cfRule type="cellIs" dxfId="1627" priority="592" stopIfTrue="1" operator="lessThan">
      <formula>0</formula>
    </cfRule>
  </conditionalFormatting>
  <conditionalFormatting sqref="H784">
    <cfRule type="cellIs" dxfId="1626" priority="591" stopIfTrue="1" operator="lessThan">
      <formula>0</formula>
    </cfRule>
  </conditionalFormatting>
  <conditionalFormatting sqref="C800">
    <cfRule type="cellIs" dxfId="1625" priority="590" stopIfTrue="1" operator="lessThan">
      <formula>0</formula>
    </cfRule>
  </conditionalFormatting>
  <conditionalFormatting sqref="D800:I800">
    <cfRule type="cellIs" dxfId="1624" priority="589" stopIfTrue="1" operator="lessThan">
      <formula>0</formula>
    </cfRule>
  </conditionalFormatting>
  <conditionalFormatting sqref="K800">
    <cfRule type="cellIs" dxfId="1623" priority="588" stopIfTrue="1" operator="lessThan">
      <formula>0</formula>
    </cfRule>
  </conditionalFormatting>
  <conditionalFormatting sqref="M800">
    <cfRule type="cellIs" dxfId="1622" priority="587" stopIfTrue="1" operator="lessThan">
      <formula>0</formula>
    </cfRule>
  </conditionalFormatting>
  <conditionalFormatting sqref="D827:G827 C825:G826 C827:C828 L840:L844 J840:J844 C829:G835 C838:G839 I838:L839 I825:L835 J824:L824">
    <cfRule type="cellIs" dxfId="1621" priority="586" stopIfTrue="1" operator="lessThan">
      <formula>0</formula>
    </cfRule>
  </conditionalFormatting>
  <conditionalFormatting sqref="D828:G828">
    <cfRule type="cellIs" dxfId="1620" priority="585" stopIfTrue="1" operator="lessThan">
      <formula>0</formula>
    </cfRule>
  </conditionalFormatting>
  <conditionalFormatting sqref="K844">
    <cfRule type="cellIs" dxfId="1619" priority="573" stopIfTrue="1" operator="lessThan">
      <formula>0</formula>
    </cfRule>
  </conditionalFormatting>
  <conditionalFormatting sqref="C841:G841">
    <cfRule type="cellIs" dxfId="1618" priority="584" stopIfTrue="1" operator="lessThan">
      <formula>0</formula>
    </cfRule>
  </conditionalFormatting>
  <conditionalFormatting sqref="C843:G843">
    <cfRule type="cellIs" dxfId="1617" priority="582" stopIfTrue="1" operator="lessThan">
      <formula>0</formula>
    </cfRule>
  </conditionalFormatting>
  <conditionalFormatting sqref="C842:G842">
    <cfRule type="cellIs" dxfId="1616" priority="583" stopIfTrue="1" operator="lessThan">
      <formula>0</formula>
    </cfRule>
  </conditionalFormatting>
  <conditionalFormatting sqref="C844:G844">
    <cfRule type="cellIs" dxfId="1615" priority="581" stopIfTrue="1" operator="lessThan">
      <formula>0</formula>
    </cfRule>
  </conditionalFormatting>
  <conditionalFormatting sqref="I841">
    <cfRule type="cellIs" dxfId="1614" priority="580" stopIfTrue="1" operator="lessThan">
      <formula>0</formula>
    </cfRule>
  </conditionalFormatting>
  <conditionalFormatting sqref="I842">
    <cfRule type="cellIs" dxfId="1613" priority="579" stopIfTrue="1" operator="lessThan">
      <formula>0</formula>
    </cfRule>
  </conditionalFormatting>
  <conditionalFormatting sqref="I843">
    <cfRule type="cellIs" dxfId="1612" priority="578" stopIfTrue="1" operator="lessThan">
      <formula>0</formula>
    </cfRule>
  </conditionalFormatting>
  <conditionalFormatting sqref="I844">
    <cfRule type="cellIs" dxfId="1611" priority="577" stopIfTrue="1" operator="lessThan">
      <formula>0</formula>
    </cfRule>
  </conditionalFormatting>
  <conditionalFormatting sqref="K841">
    <cfRule type="cellIs" dxfId="1610" priority="576" stopIfTrue="1" operator="lessThan">
      <formula>0</formula>
    </cfRule>
  </conditionalFormatting>
  <conditionalFormatting sqref="K842">
    <cfRule type="cellIs" dxfId="1609" priority="575" stopIfTrue="1" operator="lessThan">
      <formula>0</formula>
    </cfRule>
  </conditionalFormatting>
  <conditionalFormatting sqref="K843">
    <cfRule type="cellIs" dxfId="1608" priority="574" stopIfTrue="1" operator="lessThan">
      <formula>0</formula>
    </cfRule>
  </conditionalFormatting>
  <conditionalFormatting sqref="L823 J823">
    <cfRule type="cellIs" dxfId="1607" priority="572" stopIfTrue="1" operator="lessThan">
      <formula>0</formula>
    </cfRule>
  </conditionalFormatting>
  <conditionalFormatting sqref="C823:G823">
    <cfRule type="cellIs" dxfId="1606" priority="571" stopIfTrue="1" operator="lessThan">
      <formula>0</formula>
    </cfRule>
  </conditionalFormatting>
  <conditionalFormatting sqref="C836:G837 I836:L837">
    <cfRule type="cellIs" dxfId="1605" priority="570" stopIfTrue="1" operator="lessThan">
      <formula>0</formula>
    </cfRule>
  </conditionalFormatting>
  <conditionalFormatting sqref="I823">
    <cfRule type="cellIs" dxfId="1604" priority="569" stopIfTrue="1" operator="lessThan">
      <formula>0</formula>
    </cfRule>
  </conditionalFormatting>
  <conditionalFormatting sqref="K823">
    <cfRule type="cellIs" dxfId="1603" priority="568" stopIfTrue="1" operator="lessThan">
      <formula>0</formula>
    </cfRule>
  </conditionalFormatting>
  <conditionalFormatting sqref="H825:H827 H829:H835 H838:H839">
    <cfRule type="cellIs" dxfId="1602" priority="567" stopIfTrue="1" operator="lessThan">
      <formula>0</formula>
    </cfRule>
  </conditionalFormatting>
  <conditionalFormatting sqref="H828">
    <cfRule type="cellIs" dxfId="1601" priority="566" stopIfTrue="1" operator="lessThan">
      <formula>0</formula>
    </cfRule>
  </conditionalFormatting>
  <conditionalFormatting sqref="H841">
    <cfRule type="cellIs" dxfId="1600" priority="565" stopIfTrue="1" operator="lessThan">
      <formula>0</formula>
    </cfRule>
  </conditionalFormatting>
  <conditionalFormatting sqref="H843">
    <cfRule type="cellIs" dxfId="1599" priority="563" stopIfTrue="1" operator="lessThan">
      <formula>0</formula>
    </cfRule>
  </conditionalFormatting>
  <conditionalFormatting sqref="H842">
    <cfRule type="cellIs" dxfId="1598" priority="564" stopIfTrue="1" operator="lessThan">
      <formula>0</formula>
    </cfRule>
  </conditionalFormatting>
  <conditionalFormatting sqref="H844">
    <cfRule type="cellIs" dxfId="1597" priority="562" stopIfTrue="1" operator="lessThan">
      <formula>0</formula>
    </cfRule>
  </conditionalFormatting>
  <conditionalFormatting sqref="H823">
    <cfRule type="cellIs" dxfId="1596" priority="561" stopIfTrue="1" operator="lessThan">
      <formula>0</formula>
    </cfRule>
  </conditionalFormatting>
  <conditionalFormatting sqref="H836:H837">
    <cfRule type="cellIs" dxfId="1595" priority="560" stopIfTrue="1" operator="lessThan">
      <formula>0</formula>
    </cfRule>
  </conditionalFormatting>
  <conditionalFormatting sqref="C824:G824 I824">
    <cfRule type="cellIs" dxfId="1594" priority="559" stopIfTrue="1" operator="lessThan">
      <formula>0</formula>
    </cfRule>
  </conditionalFormatting>
  <conditionalFormatting sqref="H824">
    <cfRule type="cellIs" dxfId="1593" priority="558" stopIfTrue="1" operator="lessThan">
      <formula>0</formula>
    </cfRule>
  </conditionalFormatting>
  <conditionalFormatting sqref="C840">
    <cfRule type="cellIs" dxfId="1592" priority="557" stopIfTrue="1" operator="lessThan">
      <formula>0</formula>
    </cfRule>
  </conditionalFormatting>
  <conditionalFormatting sqref="D840:I840">
    <cfRule type="cellIs" dxfId="1591" priority="556" stopIfTrue="1" operator="lessThan">
      <formula>0</formula>
    </cfRule>
  </conditionalFormatting>
  <conditionalFormatting sqref="K840">
    <cfRule type="cellIs" dxfId="1590" priority="555" stopIfTrue="1" operator="lessThan">
      <formula>0</formula>
    </cfRule>
  </conditionalFormatting>
  <conditionalFormatting sqref="N840:Q844 M838:Q839 M824:Q835">
    <cfRule type="cellIs" dxfId="1589" priority="554" stopIfTrue="1" operator="lessThan">
      <formula>0</formula>
    </cfRule>
  </conditionalFormatting>
  <conditionalFormatting sqref="M841">
    <cfRule type="cellIs" dxfId="1588" priority="553" stopIfTrue="1" operator="lessThan">
      <formula>0</formula>
    </cfRule>
  </conditionalFormatting>
  <conditionalFormatting sqref="M843">
    <cfRule type="cellIs" dxfId="1587" priority="551" stopIfTrue="1" operator="lessThan">
      <formula>0</formula>
    </cfRule>
  </conditionalFormatting>
  <conditionalFormatting sqref="M842">
    <cfRule type="cellIs" dxfId="1586" priority="552" stopIfTrue="1" operator="lessThan">
      <formula>0</formula>
    </cfRule>
  </conditionalFormatting>
  <conditionalFormatting sqref="M844">
    <cfRule type="cellIs" dxfId="1585" priority="550" stopIfTrue="1" operator="lessThan">
      <formula>0</formula>
    </cfRule>
  </conditionalFormatting>
  <conditionalFormatting sqref="N823:Q823">
    <cfRule type="cellIs" dxfId="1584" priority="549" stopIfTrue="1" operator="lessThan">
      <formula>0</formula>
    </cfRule>
  </conditionalFormatting>
  <conditionalFormatting sqref="M836:Q837">
    <cfRule type="cellIs" dxfId="1583" priority="548" stopIfTrue="1" operator="lessThan">
      <formula>0</formula>
    </cfRule>
  </conditionalFormatting>
  <conditionalFormatting sqref="M823">
    <cfRule type="cellIs" dxfId="1582" priority="547" stopIfTrue="1" operator="lessThan">
      <formula>0</formula>
    </cfRule>
  </conditionalFormatting>
  <conditionalFormatting sqref="M840">
    <cfRule type="cellIs" dxfId="1581" priority="546" stopIfTrue="1" operator="lessThan">
      <formula>0</formula>
    </cfRule>
  </conditionalFormatting>
  <conditionalFormatting sqref="B820:B822">
    <cfRule type="cellIs" dxfId="1580" priority="545" stopIfTrue="1" operator="lessThan">
      <formula>0</formula>
    </cfRule>
  </conditionalFormatting>
  <conditionalFormatting sqref="R818:AJ818">
    <cfRule type="cellIs" dxfId="1579" priority="544" stopIfTrue="1" operator="lessThan">
      <formula>0</formula>
    </cfRule>
  </conditionalFormatting>
  <conditionalFormatting sqref="D818:Q818 E819:Q819">
    <cfRule type="cellIs" dxfId="1578" priority="543" stopIfTrue="1" operator="lessThan">
      <formula>0</formula>
    </cfRule>
  </conditionalFormatting>
  <conditionalFormatting sqref="L765 J765">
    <cfRule type="cellIs" dxfId="1577" priority="542" stopIfTrue="1" operator="lessThan">
      <formula>0</formula>
    </cfRule>
  </conditionalFormatting>
  <conditionalFormatting sqref="K765">
    <cfRule type="cellIs" dxfId="1576" priority="541" stopIfTrue="1" operator="lessThan">
      <formula>0</formula>
    </cfRule>
  </conditionalFormatting>
  <conditionalFormatting sqref="C765:I765">
    <cfRule type="cellIs" dxfId="1575" priority="540" stopIfTrue="1" operator="lessThan">
      <formula>0</formula>
    </cfRule>
  </conditionalFormatting>
  <conditionalFormatting sqref="M765">
    <cfRule type="cellIs" dxfId="1574" priority="539" stopIfTrue="1" operator="lessThan">
      <formula>0</formula>
    </cfRule>
  </conditionalFormatting>
  <conditionalFormatting sqref="L769 J769 L767:M768 I767:J768 C767:G768 L766 J766 C770:M771">
    <cfRule type="cellIs" dxfId="1573" priority="538" stopIfTrue="1" operator="lessThan">
      <formula>0</formula>
    </cfRule>
  </conditionalFormatting>
  <conditionalFormatting sqref="H767:H768">
    <cfRule type="cellIs" dxfId="1572" priority="537" stopIfTrue="1" operator="lessThan">
      <formula>0</formula>
    </cfRule>
  </conditionalFormatting>
  <conditionalFormatting sqref="K767:K768">
    <cfRule type="cellIs" dxfId="1571" priority="536" stopIfTrue="1" operator="lessThan">
      <formula>0</formula>
    </cfRule>
  </conditionalFormatting>
  <conditionalFormatting sqref="C769">
    <cfRule type="cellIs" dxfId="1570" priority="535" stopIfTrue="1" operator="lessThan">
      <formula>0</formula>
    </cfRule>
  </conditionalFormatting>
  <conditionalFormatting sqref="D769:I769">
    <cfRule type="cellIs" dxfId="1569" priority="534" stopIfTrue="1" operator="lessThan">
      <formula>0</formula>
    </cfRule>
  </conditionalFormatting>
  <conditionalFormatting sqref="K769">
    <cfRule type="cellIs" dxfId="1568" priority="533" stopIfTrue="1" operator="lessThan">
      <formula>0</formula>
    </cfRule>
  </conditionalFormatting>
  <conditionalFormatting sqref="M769">
    <cfRule type="cellIs" dxfId="1567" priority="532" stopIfTrue="1" operator="lessThan">
      <formula>0</formula>
    </cfRule>
  </conditionalFormatting>
  <conditionalFormatting sqref="C766">
    <cfRule type="cellIs" dxfId="1566" priority="531" stopIfTrue="1" operator="lessThan">
      <formula>0</formula>
    </cfRule>
  </conditionalFormatting>
  <conditionalFormatting sqref="D766:I766">
    <cfRule type="cellIs" dxfId="1565" priority="530" stopIfTrue="1" operator="lessThan">
      <formula>0</formula>
    </cfRule>
  </conditionalFormatting>
  <conditionalFormatting sqref="K766">
    <cfRule type="cellIs" dxfId="1564" priority="529" stopIfTrue="1" operator="lessThan">
      <formula>0</formula>
    </cfRule>
  </conditionalFormatting>
  <conditionalFormatting sqref="M766">
    <cfRule type="cellIs" dxfId="1563" priority="528" stopIfTrue="1" operator="lessThan">
      <formula>0</formula>
    </cfRule>
  </conditionalFormatting>
  <conditionalFormatting sqref="L805 J805">
    <cfRule type="cellIs" dxfId="1562" priority="527" stopIfTrue="1" operator="lessThan">
      <formula>0</formula>
    </cfRule>
  </conditionalFormatting>
  <conditionalFormatting sqref="K805">
    <cfRule type="cellIs" dxfId="1561" priority="526" stopIfTrue="1" operator="lessThan">
      <formula>0</formula>
    </cfRule>
  </conditionalFormatting>
  <conditionalFormatting sqref="C805:I805">
    <cfRule type="cellIs" dxfId="1560" priority="525" stopIfTrue="1" operator="lessThan">
      <formula>0</formula>
    </cfRule>
  </conditionalFormatting>
  <conditionalFormatting sqref="M805">
    <cfRule type="cellIs" dxfId="1559" priority="524" stopIfTrue="1" operator="lessThan">
      <formula>0</formula>
    </cfRule>
  </conditionalFormatting>
  <conditionalFormatting sqref="L809 J809 L807:M808 I807:J808 C807:G808 L806 J806 C810:M811">
    <cfRule type="cellIs" dxfId="1558" priority="523" stopIfTrue="1" operator="lessThan">
      <formula>0</formula>
    </cfRule>
  </conditionalFormatting>
  <conditionalFormatting sqref="H807:H808">
    <cfRule type="cellIs" dxfId="1557" priority="522" stopIfTrue="1" operator="lessThan">
      <formula>0</formula>
    </cfRule>
  </conditionalFormatting>
  <conditionalFormatting sqref="K807:K808">
    <cfRule type="cellIs" dxfId="1556" priority="521" stopIfTrue="1" operator="lessThan">
      <formula>0</formula>
    </cfRule>
  </conditionalFormatting>
  <conditionalFormatting sqref="C809">
    <cfRule type="cellIs" dxfId="1555" priority="520" stopIfTrue="1" operator="lessThan">
      <formula>0</formula>
    </cfRule>
  </conditionalFormatting>
  <conditionalFormatting sqref="D809:I809">
    <cfRule type="cellIs" dxfId="1554" priority="519" stopIfTrue="1" operator="lessThan">
      <formula>0</formula>
    </cfRule>
  </conditionalFormatting>
  <conditionalFormatting sqref="K809">
    <cfRule type="cellIs" dxfId="1553" priority="518" stopIfTrue="1" operator="lessThan">
      <formula>0</formula>
    </cfRule>
  </conditionalFormatting>
  <conditionalFormatting sqref="M809">
    <cfRule type="cellIs" dxfId="1552" priority="517" stopIfTrue="1" operator="lessThan">
      <formula>0</formula>
    </cfRule>
  </conditionalFormatting>
  <conditionalFormatting sqref="C806">
    <cfRule type="cellIs" dxfId="1551" priority="516" stopIfTrue="1" operator="lessThan">
      <formula>0</formula>
    </cfRule>
  </conditionalFormatting>
  <conditionalFormatting sqref="D806:I806">
    <cfRule type="cellIs" dxfId="1550" priority="515" stopIfTrue="1" operator="lessThan">
      <formula>0</formula>
    </cfRule>
  </conditionalFormatting>
  <conditionalFormatting sqref="K806">
    <cfRule type="cellIs" dxfId="1549" priority="514" stopIfTrue="1" operator="lessThan">
      <formula>0</formula>
    </cfRule>
  </conditionalFormatting>
  <conditionalFormatting sqref="M806">
    <cfRule type="cellIs" dxfId="1548" priority="513" stopIfTrue="1" operator="lessThan">
      <formula>0</formula>
    </cfRule>
  </conditionalFormatting>
  <conditionalFormatting sqref="L845 J845">
    <cfRule type="cellIs" dxfId="1547" priority="512" stopIfTrue="1" operator="lessThan">
      <formula>0</formula>
    </cfRule>
  </conditionalFormatting>
  <conditionalFormatting sqref="K845">
    <cfRule type="cellIs" dxfId="1546" priority="511" stopIfTrue="1" operator="lessThan">
      <formula>0</formula>
    </cfRule>
  </conditionalFormatting>
  <conditionalFormatting sqref="C845:I845">
    <cfRule type="cellIs" dxfId="1545" priority="510" stopIfTrue="1" operator="lessThan">
      <formula>0</formula>
    </cfRule>
  </conditionalFormatting>
  <conditionalFormatting sqref="M845">
    <cfRule type="cellIs" dxfId="1544" priority="509" stopIfTrue="1" operator="lessThan">
      <formula>0</formula>
    </cfRule>
  </conditionalFormatting>
  <conditionalFormatting sqref="L849 J849 L847:M848 I847:J848 C847:G848 L846 J846 C850:M851">
    <cfRule type="cellIs" dxfId="1543" priority="508" stopIfTrue="1" operator="lessThan">
      <formula>0</formula>
    </cfRule>
  </conditionalFormatting>
  <conditionalFormatting sqref="H847:H848">
    <cfRule type="cellIs" dxfId="1542" priority="507" stopIfTrue="1" operator="lessThan">
      <formula>0</formula>
    </cfRule>
  </conditionalFormatting>
  <conditionalFormatting sqref="K847:K848">
    <cfRule type="cellIs" dxfId="1541" priority="506" stopIfTrue="1" operator="lessThan">
      <formula>0</formula>
    </cfRule>
  </conditionalFormatting>
  <conditionalFormatting sqref="C849">
    <cfRule type="cellIs" dxfId="1540" priority="505" stopIfTrue="1" operator="lessThan">
      <formula>0</formula>
    </cfRule>
  </conditionalFormatting>
  <conditionalFormatting sqref="D849:I849">
    <cfRule type="cellIs" dxfId="1539" priority="504" stopIfTrue="1" operator="lessThan">
      <formula>0</formula>
    </cfRule>
  </conditionalFormatting>
  <conditionalFormatting sqref="K849">
    <cfRule type="cellIs" dxfId="1538" priority="503" stopIfTrue="1" operator="lessThan">
      <formula>0</formula>
    </cfRule>
  </conditionalFormatting>
  <conditionalFormatting sqref="M849">
    <cfRule type="cellIs" dxfId="1537" priority="502" stopIfTrue="1" operator="lessThan">
      <formula>0</formula>
    </cfRule>
  </conditionalFormatting>
  <conditionalFormatting sqref="C846">
    <cfRule type="cellIs" dxfId="1536" priority="501" stopIfTrue="1" operator="lessThan">
      <formula>0</formula>
    </cfRule>
  </conditionalFormatting>
  <conditionalFormatting sqref="D846:I846">
    <cfRule type="cellIs" dxfId="1535" priority="500" stopIfTrue="1" operator="lessThan">
      <formula>0</formula>
    </cfRule>
  </conditionalFormatting>
  <conditionalFormatting sqref="K846">
    <cfRule type="cellIs" dxfId="1534" priority="499" stopIfTrue="1" operator="lessThan">
      <formula>0</formula>
    </cfRule>
  </conditionalFormatting>
  <conditionalFormatting sqref="M846">
    <cfRule type="cellIs" dxfId="1533" priority="498" stopIfTrue="1" operator="lessThan">
      <formula>0</formula>
    </cfRule>
  </conditionalFormatting>
  <conditionalFormatting sqref="AJ898 E859:Q859 E899:Q899 E939:Q939">
    <cfRule type="cellIs" dxfId="1532" priority="497" stopIfTrue="1" operator="lessThan">
      <formula>0</formula>
    </cfRule>
  </conditionalFormatting>
  <conditionalFormatting sqref="D898:AI898">
    <cfRule type="cellIs" dxfId="1531" priority="496" stopIfTrue="1" operator="lessThan">
      <formula>0</formula>
    </cfRule>
  </conditionalFormatting>
  <conditionalFormatting sqref="L880:L885 J880:J885 J878:Q879 J864:Q875">
    <cfRule type="cellIs" dxfId="1530" priority="495" stopIfTrue="1" operator="lessThan">
      <formula>0</formula>
    </cfRule>
  </conditionalFormatting>
  <conditionalFormatting sqref="K884">
    <cfRule type="cellIs" dxfId="1529" priority="490" stopIfTrue="1" operator="lessThan">
      <formula>0</formula>
    </cfRule>
  </conditionalFormatting>
  <conditionalFormatting sqref="K885">
    <cfRule type="cellIs" dxfId="1528" priority="494" stopIfTrue="1" operator="lessThan">
      <formula>0</formula>
    </cfRule>
  </conditionalFormatting>
  <conditionalFormatting sqref="K881">
    <cfRule type="cellIs" dxfId="1527" priority="493" stopIfTrue="1" operator="lessThan">
      <formula>0</formula>
    </cfRule>
  </conditionalFormatting>
  <conditionalFormatting sqref="K882">
    <cfRule type="cellIs" dxfId="1526" priority="492" stopIfTrue="1" operator="lessThan">
      <formula>0</formula>
    </cfRule>
  </conditionalFormatting>
  <conditionalFormatting sqref="K883">
    <cfRule type="cellIs" dxfId="1525" priority="491" stopIfTrue="1" operator="lessThan">
      <formula>0</formula>
    </cfRule>
  </conditionalFormatting>
  <conditionalFormatting sqref="L863 J863">
    <cfRule type="cellIs" dxfId="1524" priority="489" stopIfTrue="1" operator="lessThan">
      <formula>0</formula>
    </cfRule>
  </conditionalFormatting>
  <conditionalFormatting sqref="N863:Q863">
    <cfRule type="cellIs" dxfId="1523" priority="488" stopIfTrue="1" operator="lessThan">
      <formula>0</formula>
    </cfRule>
  </conditionalFormatting>
  <conditionalFormatting sqref="C863:G863">
    <cfRule type="cellIs" dxfId="1522" priority="487" stopIfTrue="1" operator="lessThan">
      <formula>0</formula>
    </cfRule>
  </conditionalFormatting>
  <conditionalFormatting sqref="J876:Q877">
    <cfRule type="cellIs" dxfId="1521" priority="486" stopIfTrue="1" operator="lessThan">
      <formula>0</formula>
    </cfRule>
  </conditionalFormatting>
  <conditionalFormatting sqref="I863">
    <cfRule type="cellIs" dxfId="1520" priority="485" stopIfTrue="1" operator="lessThan">
      <formula>0</formula>
    </cfRule>
  </conditionalFormatting>
  <conditionalFormatting sqref="K863">
    <cfRule type="cellIs" dxfId="1519" priority="484" stopIfTrue="1" operator="lessThan">
      <formula>0</formula>
    </cfRule>
  </conditionalFormatting>
  <conditionalFormatting sqref="M863">
    <cfRule type="cellIs" dxfId="1518" priority="483" stopIfTrue="1" operator="lessThan">
      <formula>0</formula>
    </cfRule>
  </conditionalFormatting>
  <conditionalFormatting sqref="H863">
    <cfRule type="cellIs" dxfId="1517" priority="482" stopIfTrue="1" operator="lessThan">
      <formula>0</formula>
    </cfRule>
  </conditionalFormatting>
  <conditionalFormatting sqref="C880">
    <cfRule type="cellIs" dxfId="1516" priority="481" stopIfTrue="1" operator="lessThan">
      <formula>0</formula>
    </cfRule>
  </conditionalFormatting>
  <conditionalFormatting sqref="D880:I880">
    <cfRule type="cellIs" dxfId="1515" priority="480" stopIfTrue="1" operator="lessThan">
      <formula>0</formula>
    </cfRule>
  </conditionalFormatting>
  <conditionalFormatting sqref="K880">
    <cfRule type="cellIs" dxfId="1514" priority="479" stopIfTrue="1" operator="lessThan">
      <formula>0</formula>
    </cfRule>
  </conditionalFormatting>
  <conditionalFormatting sqref="M880">
    <cfRule type="cellIs" dxfId="1513" priority="478" stopIfTrue="1" operator="lessThan">
      <formula>0</formula>
    </cfRule>
  </conditionalFormatting>
  <conditionalFormatting sqref="C864:I879">
    <cfRule type="cellIs" dxfId="1512" priority="477" stopIfTrue="1" operator="lessThan">
      <formula>0</formula>
    </cfRule>
  </conditionalFormatting>
  <conditionalFormatting sqref="C881:I885">
    <cfRule type="cellIs" dxfId="1511" priority="476" stopIfTrue="1" operator="lessThan">
      <formula>0</formula>
    </cfRule>
  </conditionalFormatting>
  <conditionalFormatting sqref="M881:M885">
    <cfRule type="cellIs" dxfId="1510" priority="475" stopIfTrue="1" operator="lessThan">
      <formula>0</formula>
    </cfRule>
  </conditionalFormatting>
  <conditionalFormatting sqref="L889 J889 L887:M888 I887:J888 C887:G888 L886 J886 C890:M891">
    <cfRule type="cellIs" dxfId="1509" priority="474" stopIfTrue="1" operator="lessThan">
      <formula>0</formula>
    </cfRule>
  </conditionalFormatting>
  <conditionalFormatting sqref="H887:H888">
    <cfRule type="cellIs" dxfId="1508" priority="473" stopIfTrue="1" operator="lessThan">
      <formula>0</formula>
    </cfRule>
  </conditionalFormatting>
  <conditionalFormatting sqref="K887:K888">
    <cfRule type="cellIs" dxfId="1507" priority="472" stopIfTrue="1" operator="lessThan">
      <formula>0</formula>
    </cfRule>
  </conditionalFormatting>
  <conditionalFormatting sqref="C889">
    <cfRule type="cellIs" dxfId="1506" priority="471" stopIfTrue="1" operator="lessThan">
      <formula>0</formula>
    </cfRule>
  </conditionalFormatting>
  <conditionalFormatting sqref="D889:I889">
    <cfRule type="cellIs" dxfId="1505" priority="470" stopIfTrue="1" operator="lessThan">
      <formula>0</formula>
    </cfRule>
  </conditionalFormatting>
  <conditionalFormatting sqref="K889">
    <cfRule type="cellIs" dxfId="1504" priority="469" stopIfTrue="1" operator="lessThan">
      <formula>0</formula>
    </cfRule>
  </conditionalFormatting>
  <conditionalFormatting sqref="M889">
    <cfRule type="cellIs" dxfId="1503" priority="468" stopIfTrue="1" operator="lessThan">
      <formula>0</formula>
    </cfRule>
  </conditionalFormatting>
  <conditionalFormatting sqref="C886">
    <cfRule type="cellIs" dxfId="1502" priority="467" stopIfTrue="1" operator="lessThan">
      <formula>0</formula>
    </cfRule>
  </conditionalFormatting>
  <conditionalFormatting sqref="D886:I886">
    <cfRule type="cellIs" dxfId="1501" priority="466" stopIfTrue="1" operator="lessThan">
      <formula>0</formula>
    </cfRule>
  </conditionalFormatting>
  <conditionalFormatting sqref="K886">
    <cfRule type="cellIs" dxfId="1500" priority="465" stopIfTrue="1" operator="lessThan">
      <formula>0</formula>
    </cfRule>
  </conditionalFormatting>
  <conditionalFormatting sqref="M886">
    <cfRule type="cellIs" dxfId="1499" priority="464" stopIfTrue="1" operator="lessThan">
      <formula>0</formula>
    </cfRule>
  </conditionalFormatting>
  <conditionalFormatting sqref="L920:L925 J920:J925 J918:Q919 J904:Q915">
    <cfRule type="cellIs" dxfId="1498" priority="463" stopIfTrue="1" operator="lessThan">
      <formula>0</formula>
    </cfRule>
  </conditionalFormatting>
  <conditionalFormatting sqref="K924">
    <cfRule type="cellIs" dxfId="1497" priority="458" stopIfTrue="1" operator="lessThan">
      <formula>0</formula>
    </cfRule>
  </conditionalFormatting>
  <conditionalFormatting sqref="K925">
    <cfRule type="cellIs" dxfId="1496" priority="462" stopIfTrue="1" operator="lessThan">
      <formula>0</formula>
    </cfRule>
  </conditionalFormatting>
  <conditionalFormatting sqref="K921">
    <cfRule type="cellIs" dxfId="1495" priority="461" stopIfTrue="1" operator="lessThan">
      <formula>0</formula>
    </cfRule>
  </conditionalFormatting>
  <conditionalFormatting sqref="K922">
    <cfRule type="cellIs" dxfId="1494" priority="460" stopIfTrue="1" operator="lessThan">
      <formula>0</formula>
    </cfRule>
  </conditionalFormatting>
  <conditionalFormatting sqref="K923">
    <cfRule type="cellIs" dxfId="1493" priority="459" stopIfTrue="1" operator="lessThan">
      <formula>0</formula>
    </cfRule>
  </conditionalFormatting>
  <conditionalFormatting sqref="L903 J903">
    <cfRule type="cellIs" dxfId="1492" priority="457" stopIfTrue="1" operator="lessThan">
      <formula>0</formula>
    </cfRule>
  </conditionalFormatting>
  <conditionalFormatting sqref="N903:Q903">
    <cfRule type="cellIs" dxfId="1491" priority="456" stopIfTrue="1" operator="lessThan">
      <formula>0</formula>
    </cfRule>
  </conditionalFormatting>
  <conditionalFormatting sqref="C903:G903">
    <cfRule type="cellIs" dxfId="1490" priority="455" stopIfTrue="1" operator="lessThan">
      <formula>0</formula>
    </cfRule>
  </conditionalFormatting>
  <conditionalFormatting sqref="J916:Q917">
    <cfRule type="cellIs" dxfId="1489" priority="454" stopIfTrue="1" operator="lessThan">
      <formula>0</formula>
    </cfRule>
  </conditionalFormatting>
  <conditionalFormatting sqref="I903">
    <cfRule type="cellIs" dxfId="1488" priority="453" stopIfTrue="1" operator="lessThan">
      <formula>0</formula>
    </cfRule>
  </conditionalFormatting>
  <conditionalFormatting sqref="K903">
    <cfRule type="cellIs" dxfId="1487" priority="452" stopIfTrue="1" operator="lessThan">
      <formula>0</formula>
    </cfRule>
  </conditionalFormatting>
  <conditionalFormatting sqref="M903">
    <cfRule type="cellIs" dxfId="1486" priority="451" stopIfTrue="1" operator="lessThan">
      <formula>0</formula>
    </cfRule>
  </conditionalFormatting>
  <conditionalFormatting sqref="H903">
    <cfRule type="cellIs" dxfId="1485" priority="450" stopIfTrue="1" operator="lessThan">
      <formula>0</formula>
    </cfRule>
  </conditionalFormatting>
  <conditionalFormatting sqref="C920">
    <cfRule type="cellIs" dxfId="1484" priority="449" stopIfTrue="1" operator="lessThan">
      <formula>0</formula>
    </cfRule>
  </conditionalFormatting>
  <conditionalFormatting sqref="D920:I920">
    <cfRule type="cellIs" dxfId="1483" priority="448" stopIfTrue="1" operator="lessThan">
      <formula>0</formula>
    </cfRule>
  </conditionalFormatting>
  <conditionalFormatting sqref="K920">
    <cfRule type="cellIs" dxfId="1482" priority="447" stopIfTrue="1" operator="lessThan">
      <formula>0</formula>
    </cfRule>
  </conditionalFormatting>
  <conditionalFormatting sqref="M920">
    <cfRule type="cellIs" dxfId="1481" priority="446" stopIfTrue="1" operator="lessThan">
      <formula>0</formula>
    </cfRule>
  </conditionalFormatting>
  <conditionalFormatting sqref="C904:I919">
    <cfRule type="cellIs" dxfId="1480" priority="445" stopIfTrue="1" operator="lessThan">
      <formula>0</formula>
    </cfRule>
  </conditionalFormatting>
  <conditionalFormatting sqref="C921:I925">
    <cfRule type="cellIs" dxfId="1479" priority="444" stopIfTrue="1" operator="lessThan">
      <formula>0</formula>
    </cfRule>
  </conditionalFormatting>
  <conditionalFormatting sqref="M921:M925">
    <cfRule type="cellIs" dxfId="1478" priority="443" stopIfTrue="1" operator="lessThan">
      <formula>0</formula>
    </cfRule>
  </conditionalFormatting>
  <conditionalFormatting sqref="L929 J929 L927:M928 I927:J928 C927:G928 L926 J926 C930:M931">
    <cfRule type="cellIs" dxfId="1477" priority="442" stopIfTrue="1" operator="lessThan">
      <formula>0</formula>
    </cfRule>
  </conditionalFormatting>
  <conditionalFormatting sqref="H927:H928">
    <cfRule type="cellIs" dxfId="1476" priority="441" stopIfTrue="1" operator="lessThan">
      <formula>0</formula>
    </cfRule>
  </conditionalFormatting>
  <conditionalFormatting sqref="K927:K928">
    <cfRule type="cellIs" dxfId="1475" priority="440" stopIfTrue="1" operator="lessThan">
      <formula>0</formula>
    </cfRule>
  </conditionalFormatting>
  <conditionalFormatting sqref="C929">
    <cfRule type="cellIs" dxfId="1474" priority="439" stopIfTrue="1" operator="lessThan">
      <formula>0</formula>
    </cfRule>
  </conditionalFormatting>
  <conditionalFormatting sqref="D929:I929">
    <cfRule type="cellIs" dxfId="1473" priority="438" stopIfTrue="1" operator="lessThan">
      <formula>0</formula>
    </cfRule>
  </conditionalFormatting>
  <conditionalFormatting sqref="K929">
    <cfRule type="cellIs" dxfId="1472" priority="437" stopIfTrue="1" operator="lessThan">
      <formula>0</formula>
    </cfRule>
  </conditionalFormatting>
  <conditionalFormatting sqref="M929">
    <cfRule type="cellIs" dxfId="1471" priority="436" stopIfTrue="1" operator="lessThan">
      <formula>0</formula>
    </cfRule>
  </conditionalFormatting>
  <conditionalFormatting sqref="C926">
    <cfRule type="cellIs" dxfId="1470" priority="435" stopIfTrue="1" operator="lessThan">
      <formula>0</formula>
    </cfRule>
  </conditionalFormatting>
  <conditionalFormatting sqref="D926:I926">
    <cfRule type="cellIs" dxfId="1469" priority="434" stopIfTrue="1" operator="lessThan">
      <formula>0</formula>
    </cfRule>
  </conditionalFormatting>
  <conditionalFormatting sqref="K926">
    <cfRule type="cellIs" dxfId="1468" priority="433" stopIfTrue="1" operator="lessThan">
      <formula>0</formula>
    </cfRule>
  </conditionalFormatting>
  <conditionalFormatting sqref="M926">
    <cfRule type="cellIs" dxfId="1467" priority="432" stopIfTrue="1" operator="lessThan">
      <formula>0</formula>
    </cfRule>
  </conditionalFormatting>
  <conditionalFormatting sqref="L960:L965 J960:J965 J958:Q959 J944:Q955">
    <cfRule type="cellIs" dxfId="1466" priority="431" stopIfTrue="1" operator="lessThan">
      <formula>0</formula>
    </cfRule>
  </conditionalFormatting>
  <conditionalFormatting sqref="K964">
    <cfRule type="cellIs" dxfId="1465" priority="426" stopIfTrue="1" operator="lessThan">
      <formula>0</formula>
    </cfRule>
  </conditionalFormatting>
  <conditionalFormatting sqref="K965">
    <cfRule type="cellIs" dxfId="1464" priority="430" stopIfTrue="1" operator="lessThan">
      <formula>0</formula>
    </cfRule>
  </conditionalFormatting>
  <conditionalFormatting sqref="K961">
    <cfRule type="cellIs" dxfId="1463" priority="429" stopIfTrue="1" operator="lessThan">
      <formula>0</formula>
    </cfRule>
  </conditionalFormatting>
  <conditionalFormatting sqref="K962">
    <cfRule type="cellIs" dxfId="1462" priority="428" stopIfTrue="1" operator="lessThan">
      <formula>0</formula>
    </cfRule>
  </conditionalFormatting>
  <conditionalFormatting sqref="K963">
    <cfRule type="cellIs" dxfId="1461" priority="427" stopIfTrue="1" operator="lessThan">
      <formula>0</formula>
    </cfRule>
  </conditionalFormatting>
  <conditionalFormatting sqref="L943 J943">
    <cfRule type="cellIs" dxfId="1460" priority="425" stopIfTrue="1" operator="lessThan">
      <formula>0</formula>
    </cfRule>
  </conditionalFormatting>
  <conditionalFormatting sqref="N943:Q943">
    <cfRule type="cellIs" dxfId="1459" priority="424" stopIfTrue="1" operator="lessThan">
      <formula>0</formula>
    </cfRule>
  </conditionalFormatting>
  <conditionalFormatting sqref="C943:G943">
    <cfRule type="cellIs" dxfId="1458" priority="423" stopIfTrue="1" operator="lessThan">
      <formula>0</formula>
    </cfRule>
  </conditionalFormatting>
  <conditionalFormatting sqref="J956:Q957">
    <cfRule type="cellIs" dxfId="1457" priority="422" stopIfTrue="1" operator="lessThan">
      <formula>0</formula>
    </cfRule>
  </conditionalFormatting>
  <conditionalFormatting sqref="I943">
    <cfRule type="cellIs" dxfId="1456" priority="421" stopIfTrue="1" operator="lessThan">
      <formula>0</formula>
    </cfRule>
  </conditionalFormatting>
  <conditionalFormatting sqref="K943">
    <cfRule type="cellIs" dxfId="1455" priority="420" stopIfTrue="1" operator="lessThan">
      <formula>0</formula>
    </cfRule>
  </conditionalFormatting>
  <conditionalFormatting sqref="M943">
    <cfRule type="cellIs" dxfId="1454" priority="419" stopIfTrue="1" operator="lessThan">
      <formula>0</formula>
    </cfRule>
  </conditionalFormatting>
  <conditionalFormatting sqref="H943">
    <cfRule type="cellIs" dxfId="1453" priority="418" stopIfTrue="1" operator="lessThan">
      <formula>0</formula>
    </cfRule>
  </conditionalFormatting>
  <conditionalFormatting sqref="C960">
    <cfRule type="cellIs" dxfId="1452" priority="417" stopIfTrue="1" operator="lessThan">
      <formula>0</formula>
    </cfRule>
  </conditionalFormatting>
  <conditionalFormatting sqref="D960:I960">
    <cfRule type="cellIs" dxfId="1451" priority="416" stopIfTrue="1" operator="lessThan">
      <formula>0</formula>
    </cfRule>
  </conditionalFormatting>
  <conditionalFormatting sqref="K960">
    <cfRule type="cellIs" dxfId="1450" priority="415" stopIfTrue="1" operator="lessThan">
      <formula>0</formula>
    </cfRule>
  </conditionalFormatting>
  <conditionalFormatting sqref="M960">
    <cfRule type="cellIs" dxfId="1449" priority="414" stopIfTrue="1" operator="lessThan">
      <formula>0</formula>
    </cfRule>
  </conditionalFormatting>
  <conditionalFormatting sqref="C944:I959">
    <cfRule type="cellIs" dxfId="1448" priority="413" stopIfTrue="1" operator="lessThan">
      <formula>0</formula>
    </cfRule>
  </conditionalFormatting>
  <conditionalFormatting sqref="C961:I965">
    <cfRule type="cellIs" dxfId="1447" priority="412" stopIfTrue="1" operator="lessThan">
      <formula>0</formula>
    </cfRule>
  </conditionalFormatting>
  <conditionalFormatting sqref="M961:M965">
    <cfRule type="cellIs" dxfId="1446" priority="411" stopIfTrue="1" operator="lessThan">
      <formula>0</formula>
    </cfRule>
  </conditionalFormatting>
  <conditionalFormatting sqref="L969 J969 L967:M968 I967:J968 C967:G968 L966 J966 C970:M971">
    <cfRule type="cellIs" dxfId="1445" priority="410" stopIfTrue="1" operator="lessThan">
      <formula>0</formula>
    </cfRule>
  </conditionalFormatting>
  <conditionalFormatting sqref="H967:H968">
    <cfRule type="cellIs" dxfId="1444" priority="409" stopIfTrue="1" operator="lessThan">
      <formula>0</formula>
    </cfRule>
  </conditionalFormatting>
  <conditionalFormatting sqref="K967:K968">
    <cfRule type="cellIs" dxfId="1443" priority="408" stopIfTrue="1" operator="lessThan">
      <formula>0</formula>
    </cfRule>
  </conditionalFormatting>
  <conditionalFormatting sqref="C969">
    <cfRule type="cellIs" dxfId="1442" priority="407" stopIfTrue="1" operator="lessThan">
      <formula>0</formula>
    </cfRule>
  </conditionalFormatting>
  <conditionalFormatting sqref="D969:I969">
    <cfRule type="cellIs" dxfId="1441" priority="406" stopIfTrue="1" operator="lessThan">
      <formula>0</formula>
    </cfRule>
  </conditionalFormatting>
  <conditionalFormatting sqref="K969">
    <cfRule type="cellIs" dxfId="1440" priority="405" stopIfTrue="1" operator="lessThan">
      <formula>0</formula>
    </cfRule>
  </conditionalFormatting>
  <conditionalFormatting sqref="M969">
    <cfRule type="cellIs" dxfId="1439" priority="404" stopIfTrue="1" operator="lessThan">
      <formula>0</formula>
    </cfRule>
  </conditionalFormatting>
  <conditionalFormatting sqref="C966">
    <cfRule type="cellIs" dxfId="1438" priority="403" stopIfTrue="1" operator="lessThan">
      <formula>0</formula>
    </cfRule>
  </conditionalFormatting>
  <conditionalFormatting sqref="D966:I966">
    <cfRule type="cellIs" dxfId="1437" priority="402" stopIfTrue="1" operator="lessThan">
      <formula>0</formula>
    </cfRule>
  </conditionalFormatting>
  <conditionalFormatting sqref="K966">
    <cfRule type="cellIs" dxfId="1436" priority="401" stopIfTrue="1" operator="lessThan">
      <formula>0</formula>
    </cfRule>
  </conditionalFormatting>
  <conditionalFormatting sqref="M966">
    <cfRule type="cellIs" dxfId="1435" priority="400" stopIfTrue="1" operator="lessThan">
      <formula>0</formula>
    </cfRule>
  </conditionalFormatting>
  <conditionalFormatting sqref="D59">
    <cfRule type="containsText" dxfId="1434" priority="399" operator="containsText" text="Please fill in">
      <formula>NOT(ISERROR(SEARCH("Please fill in",D59)))</formula>
    </cfRule>
  </conditionalFormatting>
  <conditionalFormatting sqref="D99">
    <cfRule type="containsText" dxfId="1433" priority="398" operator="containsText" text="Please fill in">
      <formula>NOT(ISERROR(SEARCH("Please fill in",D99)))</formula>
    </cfRule>
  </conditionalFormatting>
  <conditionalFormatting sqref="D139">
    <cfRule type="containsText" dxfId="1432" priority="397" operator="containsText" text="Please fill in">
      <formula>NOT(ISERROR(SEARCH("Please fill in",D139)))</formula>
    </cfRule>
  </conditionalFormatting>
  <conditionalFormatting sqref="D179">
    <cfRule type="containsText" dxfId="1431" priority="396" operator="containsText" text="Please fill in">
      <formula>NOT(ISERROR(SEARCH("Please fill in",D179)))</formula>
    </cfRule>
  </conditionalFormatting>
  <conditionalFormatting sqref="D219">
    <cfRule type="containsText" dxfId="1430" priority="395" operator="containsText" text="Please fill in">
      <formula>NOT(ISERROR(SEARCH("Please fill in",D219)))</formula>
    </cfRule>
  </conditionalFormatting>
  <conditionalFormatting sqref="D259">
    <cfRule type="containsText" dxfId="1429" priority="394" operator="containsText" text="Please fill in">
      <formula>NOT(ISERROR(SEARCH("Please fill in",D259)))</formula>
    </cfRule>
  </conditionalFormatting>
  <conditionalFormatting sqref="D299">
    <cfRule type="containsText" dxfId="1428" priority="393" operator="containsText" text="Please fill in">
      <formula>NOT(ISERROR(SEARCH("Please fill in",D299)))</formula>
    </cfRule>
  </conditionalFormatting>
  <conditionalFormatting sqref="D339">
    <cfRule type="containsText" dxfId="1427" priority="392" operator="containsText" text="Please fill in">
      <formula>NOT(ISERROR(SEARCH("Please fill in",D339)))</formula>
    </cfRule>
  </conditionalFormatting>
  <conditionalFormatting sqref="D379">
    <cfRule type="containsText" dxfId="1426" priority="391" operator="containsText" text="Please fill in">
      <formula>NOT(ISERROR(SEARCH("Please fill in",D379)))</formula>
    </cfRule>
  </conditionalFormatting>
  <conditionalFormatting sqref="D419">
    <cfRule type="containsText" dxfId="1425" priority="390" operator="containsText" text="Please fill in">
      <formula>NOT(ISERROR(SEARCH("Please fill in",D419)))</formula>
    </cfRule>
  </conditionalFormatting>
  <conditionalFormatting sqref="D459">
    <cfRule type="containsText" dxfId="1424" priority="389" operator="containsText" text="Please fill in">
      <formula>NOT(ISERROR(SEARCH("Please fill in",D459)))</formula>
    </cfRule>
  </conditionalFormatting>
  <conditionalFormatting sqref="D499">
    <cfRule type="containsText" dxfId="1423" priority="388" operator="containsText" text="Please fill in">
      <formula>NOT(ISERROR(SEARCH("Please fill in",D499)))</formula>
    </cfRule>
  </conditionalFormatting>
  <conditionalFormatting sqref="D539">
    <cfRule type="containsText" dxfId="1422" priority="387" operator="containsText" text="Please fill in">
      <formula>NOT(ISERROR(SEARCH("Please fill in",D539)))</formula>
    </cfRule>
  </conditionalFormatting>
  <conditionalFormatting sqref="D579">
    <cfRule type="containsText" dxfId="1421" priority="386" operator="containsText" text="Please fill in">
      <formula>NOT(ISERROR(SEARCH("Please fill in",D579)))</formula>
    </cfRule>
  </conditionalFormatting>
  <conditionalFormatting sqref="D619">
    <cfRule type="containsText" dxfId="1420" priority="385" operator="containsText" text="Please fill in">
      <formula>NOT(ISERROR(SEARCH("Please fill in",D619)))</formula>
    </cfRule>
  </conditionalFormatting>
  <conditionalFormatting sqref="D659">
    <cfRule type="containsText" dxfId="1419" priority="384" operator="containsText" text="Please fill in">
      <formula>NOT(ISERROR(SEARCH("Please fill in",D659)))</formula>
    </cfRule>
  </conditionalFormatting>
  <conditionalFormatting sqref="D699">
    <cfRule type="containsText" dxfId="1418" priority="383" operator="containsText" text="Please fill in">
      <formula>NOT(ISERROR(SEARCH("Please fill in",D699)))</formula>
    </cfRule>
  </conditionalFormatting>
  <conditionalFormatting sqref="D739">
    <cfRule type="containsText" dxfId="1417" priority="382" operator="containsText" text="Please fill in">
      <formula>NOT(ISERROR(SEARCH("Please fill in",D739)))</formula>
    </cfRule>
  </conditionalFormatting>
  <conditionalFormatting sqref="D779">
    <cfRule type="containsText" dxfId="1416" priority="381" operator="containsText" text="Please fill in">
      <formula>NOT(ISERROR(SEARCH("Please fill in",D779)))</formula>
    </cfRule>
  </conditionalFormatting>
  <conditionalFormatting sqref="D819">
    <cfRule type="containsText" dxfId="1415" priority="380" operator="containsText" text="Please fill in">
      <formula>NOT(ISERROR(SEARCH("Please fill in",D819)))</formula>
    </cfRule>
  </conditionalFormatting>
  <conditionalFormatting sqref="D859">
    <cfRule type="containsText" dxfId="1414" priority="379" operator="containsText" text="Please fill in">
      <formula>NOT(ISERROR(SEARCH("Please fill in",D859)))</formula>
    </cfRule>
  </conditionalFormatting>
  <conditionalFormatting sqref="D899">
    <cfRule type="containsText" dxfId="1413" priority="378" operator="containsText" text="Please fill in">
      <formula>NOT(ISERROR(SEARCH("Please fill in",D899)))</formula>
    </cfRule>
  </conditionalFormatting>
  <conditionalFormatting sqref="D939">
    <cfRule type="containsText" dxfId="1412" priority="377" operator="containsText" text="Please fill in">
      <formula>NOT(ISERROR(SEARCH("Please fill in",D939)))</formula>
    </cfRule>
  </conditionalFormatting>
  <conditionalFormatting sqref="B52">
    <cfRule type="cellIs" dxfId="1411" priority="374" stopIfTrue="1" operator="equal">
      <formula>"Pass"</formula>
    </cfRule>
    <cfRule type="cellIs" dxfId="1410" priority="375" stopIfTrue="1" operator="equal">
      <formula>"please check"</formula>
    </cfRule>
  </conditionalFormatting>
  <conditionalFormatting sqref="C55:Q55">
    <cfRule type="cellIs" dxfId="1409" priority="373" stopIfTrue="1" operator="lessThan">
      <formula>0</formula>
    </cfRule>
  </conditionalFormatting>
  <conditionalFormatting sqref="C55:Q55">
    <cfRule type="cellIs" dxfId="1408" priority="370" stopIfTrue="1" operator="equal">
      <formula>"Pass"</formula>
    </cfRule>
    <cfRule type="cellIs" dxfId="1407" priority="371" stopIfTrue="1" operator="equal">
      <formula>"please check"</formula>
    </cfRule>
  </conditionalFormatting>
  <conditionalFormatting sqref="C93:C94 E93:G94">
    <cfRule type="cellIs" dxfId="1406" priority="369" stopIfTrue="1" operator="lessThan">
      <formula>0</formula>
    </cfRule>
  </conditionalFormatting>
  <conditionalFormatting sqref="D93:D94">
    <cfRule type="cellIs" dxfId="1405" priority="368" stopIfTrue="1" operator="lessThan">
      <formula>0</formula>
    </cfRule>
  </conditionalFormatting>
  <conditionalFormatting sqref="M93:Q95">
    <cfRule type="cellIs" dxfId="1404" priority="367" stopIfTrue="1" operator="lessThan">
      <formula>0</formula>
    </cfRule>
  </conditionalFormatting>
  <conditionalFormatting sqref="C96">
    <cfRule type="cellIs" dxfId="1403" priority="366" stopIfTrue="1" operator="lessThan">
      <formula>0</formula>
    </cfRule>
  </conditionalFormatting>
  <conditionalFormatting sqref="O92:Q92">
    <cfRule type="cellIs" dxfId="1402" priority="365" stopIfTrue="1" operator="lessThan">
      <formula>0</formula>
    </cfRule>
  </conditionalFormatting>
  <conditionalFormatting sqref="H93:H94">
    <cfRule type="cellIs" dxfId="1401" priority="364" stopIfTrue="1" operator="lessThan">
      <formula>0</formula>
    </cfRule>
  </conditionalFormatting>
  <conditionalFormatting sqref="H95">
    <cfRule type="cellIs" dxfId="1400" priority="363" stopIfTrue="1" operator="lessThan">
      <formula>0</formula>
    </cfRule>
  </conditionalFormatting>
  <conditionalFormatting sqref="K93:K94">
    <cfRule type="cellIs" dxfId="1399" priority="362" stopIfTrue="1" operator="lessThan">
      <formula>0</formula>
    </cfRule>
  </conditionalFormatting>
  <conditionalFormatting sqref="K95">
    <cfRule type="cellIs" dxfId="1398" priority="361" stopIfTrue="1" operator="lessThan">
      <formula>0</formula>
    </cfRule>
  </conditionalFormatting>
  <conditionalFormatting sqref="C95:Q95">
    <cfRule type="cellIs" dxfId="1397" priority="360" stopIfTrue="1" operator="lessThan">
      <formula>0</formula>
    </cfRule>
  </conditionalFormatting>
  <conditionalFormatting sqref="C95:Q95">
    <cfRule type="cellIs" dxfId="1396" priority="357" stopIfTrue="1" operator="equal">
      <formula>"Pass"</formula>
    </cfRule>
    <cfRule type="cellIs" dxfId="1395" priority="358" stopIfTrue="1" operator="equal">
      <formula>"please check"</formula>
    </cfRule>
  </conditionalFormatting>
  <conditionalFormatting sqref="C133:C134 E133:G134">
    <cfRule type="cellIs" dxfId="1394" priority="356" stopIfTrue="1" operator="lessThan">
      <formula>0</formula>
    </cfRule>
  </conditionalFormatting>
  <conditionalFormatting sqref="D133:D134">
    <cfRule type="cellIs" dxfId="1393" priority="355" stopIfTrue="1" operator="lessThan">
      <formula>0</formula>
    </cfRule>
  </conditionalFormatting>
  <conditionalFormatting sqref="M133:Q135">
    <cfRule type="cellIs" dxfId="1392" priority="354" stopIfTrue="1" operator="lessThan">
      <formula>0</formula>
    </cfRule>
  </conditionalFormatting>
  <conditionalFormatting sqref="C136">
    <cfRule type="cellIs" dxfId="1391" priority="353" stopIfTrue="1" operator="lessThan">
      <formula>0</formula>
    </cfRule>
  </conditionalFormatting>
  <conditionalFormatting sqref="O132:Q132">
    <cfRule type="cellIs" dxfId="1390" priority="352" stopIfTrue="1" operator="lessThan">
      <formula>0</formula>
    </cfRule>
  </conditionalFormatting>
  <conditionalFormatting sqref="H133:H134">
    <cfRule type="cellIs" dxfId="1389" priority="351" stopIfTrue="1" operator="lessThan">
      <formula>0</formula>
    </cfRule>
  </conditionalFormatting>
  <conditionalFormatting sqref="H135">
    <cfRule type="cellIs" dxfId="1388" priority="350" stopIfTrue="1" operator="lessThan">
      <formula>0</formula>
    </cfRule>
  </conditionalFormatting>
  <conditionalFormatting sqref="K133:K134">
    <cfRule type="cellIs" dxfId="1387" priority="349" stopIfTrue="1" operator="lessThan">
      <formula>0</formula>
    </cfRule>
  </conditionalFormatting>
  <conditionalFormatting sqref="K135">
    <cfRule type="cellIs" dxfId="1386" priority="348" stopIfTrue="1" operator="lessThan">
      <formula>0</formula>
    </cfRule>
  </conditionalFormatting>
  <conditionalFormatting sqref="C135:Q135">
    <cfRule type="cellIs" dxfId="1385" priority="347" stopIfTrue="1" operator="lessThan">
      <formula>0</formula>
    </cfRule>
  </conditionalFormatting>
  <conditionalFormatting sqref="C135:Q135">
    <cfRule type="cellIs" dxfId="1384" priority="344" stopIfTrue="1" operator="equal">
      <formula>"Pass"</formula>
    </cfRule>
    <cfRule type="cellIs" dxfId="1383" priority="345" stopIfTrue="1" operator="equal">
      <formula>"please check"</formula>
    </cfRule>
  </conditionalFormatting>
  <conditionalFormatting sqref="C173:C174 E173:G174">
    <cfRule type="cellIs" dxfId="1382" priority="343" stopIfTrue="1" operator="lessThan">
      <formula>0</formula>
    </cfRule>
  </conditionalFormatting>
  <conditionalFormatting sqref="D173:D174">
    <cfRule type="cellIs" dxfId="1381" priority="342" stopIfTrue="1" operator="lessThan">
      <formula>0</formula>
    </cfRule>
  </conditionalFormatting>
  <conditionalFormatting sqref="M173:Q175">
    <cfRule type="cellIs" dxfId="1380" priority="341" stopIfTrue="1" operator="lessThan">
      <formula>0</formula>
    </cfRule>
  </conditionalFormatting>
  <conditionalFormatting sqref="C176">
    <cfRule type="cellIs" dxfId="1379" priority="340" stopIfTrue="1" operator="lessThan">
      <formula>0</formula>
    </cfRule>
  </conditionalFormatting>
  <conditionalFormatting sqref="O172:Q172">
    <cfRule type="cellIs" dxfId="1378" priority="339" stopIfTrue="1" operator="lessThan">
      <formula>0</formula>
    </cfRule>
  </conditionalFormatting>
  <conditionalFormatting sqref="H173:H174">
    <cfRule type="cellIs" dxfId="1377" priority="338" stopIfTrue="1" operator="lessThan">
      <formula>0</formula>
    </cfRule>
  </conditionalFormatting>
  <conditionalFormatting sqref="H175">
    <cfRule type="cellIs" dxfId="1376" priority="337" stopIfTrue="1" operator="lessThan">
      <formula>0</formula>
    </cfRule>
  </conditionalFormatting>
  <conditionalFormatting sqref="K173:K174">
    <cfRule type="cellIs" dxfId="1375" priority="336" stopIfTrue="1" operator="lessThan">
      <formula>0</formula>
    </cfRule>
  </conditionalFormatting>
  <conditionalFormatting sqref="K175">
    <cfRule type="cellIs" dxfId="1374" priority="335" stopIfTrue="1" operator="lessThan">
      <formula>0</formula>
    </cfRule>
  </conditionalFormatting>
  <conditionalFormatting sqref="C175:Q175">
    <cfRule type="cellIs" dxfId="1373" priority="334" stopIfTrue="1" operator="lessThan">
      <formula>0</formula>
    </cfRule>
  </conditionalFormatting>
  <conditionalFormatting sqref="C175:Q175">
    <cfRule type="cellIs" dxfId="1372" priority="331" stopIfTrue="1" operator="equal">
      <formula>"Pass"</formula>
    </cfRule>
    <cfRule type="cellIs" dxfId="1371" priority="332" stopIfTrue="1" operator="equal">
      <formula>"please check"</formula>
    </cfRule>
  </conditionalFormatting>
  <conditionalFormatting sqref="C217">
    <cfRule type="cellIs" dxfId="1370" priority="330" stopIfTrue="1" operator="lessThan">
      <formula>0</formula>
    </cfRule>
  </conditionalFormatting>
  <conditionalFormatting sqref="C213:C214 E213:G214">
    <cfRule type="cellIs" dxfId="1369" priority="329" stopIfTrue="1" operator="lessThan">
      <formula>0</formula>
    </cfRule>
  </conditionalFormatting>
  <conditionalFormatting sqref="D213:D214">
    <cfRule type="cellIs" dxfId="1368" priority="328" stopIfTrue="1" operator="lessThan">
      <formula>0</formula>
    </cfRule>
  </conditionalFormatting>
  <conditionalFormatting sqref="M213:Q215">
    <cfRule type="cellIs" dxfId="1367" priority="327" stopIfTrue="1" operator="lessThan">
      <formula>0</formula>
    </cfRule>
  </conditionalFormatting>
  <conditionalFormatting sqref="C216">
    <cfRule type="cellIs" dxfId="1366" priority="326" stopIfTrue="1" operator="lessThan">
      <formula>0</formula>
    </cfRule>
  </conditionalFormatting>
  <conditionalFormatting sqref="O212:Q212">
    <cfRule type="cellIs" dxfId="1365" priority="325" stopIfTrue="1" operator="lessThan">
      <formula>0</formula>
    </cfRule>
  </conditionalFormatting>
  <conditionalFormatting sqref="H213:H214">
    <cfRule type="cellIs" dxfId="1364" priority="324" stopIfTrue="1" operator="lessThan">
      <formula>0</formula>
    </cfRule>
  </conditionalFormatting>
  <conditionalFormatting sqref="H215">
    <cfRule type="cellIs" dxfId="1363" priority="323" stopIfTrue="1" operator="lessThan">
      <formula>0</formula>
    </cfRule>
  </conditionalFormatting>
  <conditionalFormatting sqref="K213:K214">
    <cfRule type="cellIs" dxfId="1362" priority="322" stopIfTrue="1" operator="lessThan">
      <formula>0</formula>
    </cfRule>
  </conditionalFormatting>
  <conditionalFormatting sqref="K215">
    <cfRule type="cellIs" dxfId="1361" priority="321" stopIfTrue="1" operator="lessThan">
      <formula>0</formula>
    </cfRule>
  </conditionalFormatting>
  <conditionalFormatting sqref="C215:Q215">
    <cfRule type="cellIs" dxfId="1360" priority="320" stopIfTrue="1" operator="lessThan">
      <formula>0</formula>
    </cfRule>
  </conditionalFormatting>
  <conditionalFormatting sqref="C215:Q215">
    <cfRule type="cellIs" dxfId="1359" priority="317" stopIfTrue="1" operator="equal">
      <formula>"Pass"</formula>
    </cfRule>
    <cfRule type="cellIs" dxfId="1358" priority="318" stopIfTrue="1" operator="equal">
      <formula>"please check"</formula>
    </cfRule>
  </conditionalFormatting>
  <conditionalFormatting sqref="C257">
    <cfRule type="cellIs" dxfId="1357" priority="316" stopIfTrue="1" operator="lessThan">
      <formula>0</formula>
    </cfRule>
  </conditionalFormatting>
  <conditionalFormatting sqref="C253:C254 E253:G254">
    <cfRule type="cellIs" dxfId="1356" priority="315" stopIfTrue="1" operator="lessThan">
      <formula>0</formula>
    </cfRule>
  </conditionalFormatting>
  <conditionalFormatting sqref="D253:D254">
    <cfRule type="cellIs" dxfId="1355" priority="314" stopIfTrue="1" operator="lessThan">
      <formula>0</formula>
    </cfRule>
  </conditionalFormatting>
  <conditionalFormatting sqref="M253:Q255">
    <cfRule type="cellIs" dxfId="1354" priority="313" stopIfTrue="1" operator="lessThan">
      <formula>0</formula>
    </cfRule>
  </conditionalFormatting>
  <conditionalFormatting sqref="C256">
    <cfRule type="cellIs" dxfId="1353" priority="312" stopIfTrue="1" operator="lessThan">
      <formula>0</formula>
    </cfRule>
  </conditionalFormatting>
  <conditionalFormatting sqref="O252:Q252">
    <cfRule type="cellIs" dxfId="1352" priority="311" stopIfTrue="1" operator="lessThan">
      <formula>0</formula>
    </cfRule>
  </conditionalFormatting>
  <conditionalFormatting sqref="H253:H254">
    <cfRule type="cellIs" dxfId="1351" priority="310" stopIfTrue="1" operator="lessThan">
      <formula>0</formula>
    </cfRule>
  </conditionalFormatting>
  <conditionalFormatting sqref="H255">
    <cfRule type="cellIs" dxfId="1350" priority="309" stopIfTrue="1" operator="lessThan">
      <formula>0</formula>
    </cfRule>
  </conditionalFormatting>
  <conditionalFormatting sqref="K253:K254">
    <cfRule type="cellIs" dxfId="1349" priority="308" stopIfTrue="1" operator="lessThan">
      <formula>0</formula>
    </cfRule>
  </conditionalFormatting>
  <conditionalFormatting sqref="K255">
    <cfRule type="cellIs" dxfId="1348" priority="307" stopIfTrue="1" operator="lessThan">
      <formula>0</formula>
    </cfRule>
  </conditionalFormatting>
  <conditionalFormatting sqref="C255:Q255">
    <cfRule type="cellIs" dxfId="1347" priority="306" stopIfTrue="1" operator="lessThan">
      <formula>0</formula>
    </cfRule>
  </conditionalFormatting>
  <conditionalFormatting sqref="C255:Q255">
    <cfRule type="cellIs" dxfId="1346" priority="303" stopIfTrue="1" operator="equal">
      <formula>"Pass"</formula>
    </cfRule>
    <cfRule type="cellIs" dxfId="1345" priority="304" stopIfTrue="1" operator="equal">
      <formula>"please check"</formula>
    </cfRule>
  </conditionalFormatting>
  <conditionalFormatting sqref="C297">
    <cfRule type="cellIs" dxfId="1344" priority="302" stopIfTrue="1" operator="lessThan">
      <formula>0</formula>
    </cfRule>
  </conditionalFormatting>
  <conditionalFormatting sqref="C293:C294 E293:G294">
    <cfRule type="cellIs" dxfId="1343" priority="301" stopIfTrue="1" operator="lessThan">
      <formula>0</formula>
    </cfRule>
  </conditionalFormatting>
  <conditionalFormatting sqref="D293:D294">
    <cfRule type="cellIs" dxfId="1342" priority="300" stopIfTrue="1" operator="lessThan">
      <formula>0</formula>
    </cfRule>
  </conditionalFormatting>
  <conditionalFormatting sqref="M293:Q295">
    <cfRule type="cellIs" dxfId="1341" priority="299" stopIfTrue="1" operator="lessThan">
      <formula>0</formula>
    </cfRule>
  </conditionalFormatting>
  <conditionalFormatting sqref="C296">
    <cfRule type="cellIs" dxfId="1340" priority="298" stopIfTrue="1" operator="lessThan">
      <formula>0</formula>
    </cfRule>
  </conditionalFormatting>
  <conditionalFormatting sqref="O292:Q292">
    <cfRule type="cellIs" dxfId="1339" priority="297" stopIfTrue="1" operator="lessThan">
      <formula>0</formula>
    </cfRule>
  </conditionalFormatting>
  <conditionalFormatting sqref="H293:H294">
    <cfRule type="cellIs" dxfId="1338" priority="296" stopIfTrue="1" operator="lessThan">
      <formula>0</formula>
    </cfRule>
  </conditionalFormatting>
  <conditionalFormatting sqref="H295">
    <cfRule type="cellIs" dxfId="1337" priority="295" stopIfTrue="1" operator="lessThan">
      <formula>0</formula>
    </cfRule>
  </conditionalFormatting>
  <conditionalFormatting sqref="K293:K294">
    <cfRule type="cellIs" dxfId="1336" priority="294" stopIfTrue="1" operator="lessThan">
      <formula>0</formula>
    </cfRule>
  </conditionalFormatting>
  <conditionalFormatting sqref="K295">
    <cfRule type="cellIs" dxfId="1335" priority="293" stopIfTrue="1" operator="lessThan">
      <formula>0</formula>
    </cfRule>
  </conditionalFormatting>
  <conditionalFormatting sqref="C295:Q295">
    <cfRule type="cellIs" dxfId="1334" priority="292" stopIfTrue="1" operator="lessThan">
      <formula>0</formula>
    </cfRule>
  </conditionalFormatting>
  <conditionalFormatting sqref="C295:Q295">
    <cfRule type="cellIs" dxfId="1333" priority="289" stopIfTrue="1" operator="equal">
      <formula>"Pass"</formula>
    </cfRule>
    <cfRule type="cellIs" dxfId="1332" priority="290" stopIfTrue="1" operator="equal">
      <formula>"please check"</formula>
    </cfRule>
  </conditionalFormatting>
  <conditionalFormatting sqref="C337">
    <cfRule type="cellIs" dxfId="1331" priority="288" stopIfTrue="1" operator="lessThan">
      <formula>0</formula>
    </cfRule>
  </conditionalFormatting>
  <conditionalFormatting sqref="C333:C334 E333:G334">
    <cfRule type="cellIs" dxfId="1330" priority="287" stopIfTrue="1" operator="lessThan">
      <formula>0</formula>
    </cfRule>
  </conditionalFormatting>
  <conditionalFormatting sqref="D333:D334">
    <cfRule type="cellIs" dxfId="1329" priority="286" stopIfTrue="1" operator="lessThan">
      <formula>0</formula>
    </cfRule>
  </conditionalFormatting>
  <conditionalFormatting sqref="M333:Q335">
    <cfRule type="cellIs" dxfId="1328" priority="285" stopIfTrue="1" operator="lessThan">
      <formula>0</formula>
    </cfRule>
  </conditionalFormatting>
  <conditionalFormatting sqref="C336">
    <cfRule type="cellIs" dxfId="1327" priority="284" stopIfTrue="1" operator="lessThan">
      <formula>0</formula>
    </cfRule>
  </conditionalFormatting>
  <conditionalFormatting sqref="O332:Q332">
    <cfRule type="cellIs" dxfId="1326" priority="283" stopIfTrue="1" operator="lessThan">
      <formula>0</formula>
    </cfRule>
  </conditionalFormatting>
  <conditionalFormatting sqref="H333:H334">
    <cfRule type="cellIs" dxfId="1325" priority="282" stopIfTrue="1" operator="lessThan">
      <formula>0</formula>
    </cfRule>
  </conditionalFormatting>
  <conditionalFormatting sqref="H335">
    <cfRule type="cellIs" dxfId="1324" priority="281" stopIfTrue="1" operator="lessThan">
      <formula>0</formula>
    </cfRule>
  </conditionalFormatting>
  <conditionalFormatting sqref="K333:K334">
    <cfRule type="cellIs" dxfId="1323" priority="280" stopIfTrue="1" operator="lessThan">
      <formula>0</formula>
    </cfRule>
  </conditionalFormatting>
  <conditionalFormatting sqref="K335">
    <cfRule type="cellIs" dxfId="1322" priority="279" stopIfTrue="1" operator="lessThan">
      <formula>0</formula>
    </cfRule>
  </conditionalFormatting>
  <conditionalFormatting sqref="C335:Q335">
    <cfRule type="cellIs" dxfId="1321" priority="278" stopIfTrue="1" operator="lessThan">
      <formula>0</formula>
    </cfRule>
  </conditionalFormatting>
  <conditionalFormatting sqref="C335:Q335">
    <cfRule type="cellIs" dxfId="1320" priority="275" stopIfTrue="1" operator="equal">
      <formula>"Pass"</formula>
    </cfRule>
    <cfRule type="cellIs" dxfId="1319" priority="276" stopIfTrue="1" operator="equal">
      <formula>"please check"</formula>
    </cfRule>
  </conditionalFormatting>
  <conditionalFormatting sqref="C377">
    <cfRule type="cellIs" dxfId="1318" priority="274" stopIfTrue="1" operator="lessThan">
      <formula>0</formula>
    </cfRule>
  </conditionalFormatting>
  <conditionalFormatting sqref="C373:C374 E373:G374">
    <cfRule type="cellIs" dxfId="1317" priority="273" stopIfTrue="1" operator="lessThan">
      <formula>0</formula>
    </cfRule>
  </conditionalFormatting>
  <conditionalFormatting sqref="D373:D374">
    <cfRule type="cellIs" dxfId="1316" priority="272" stopIfTrue="1" operator="lessThan">
      <formula>0</formula>
    </cfRule>
  </conditionalFormatting>
  <conditionalFormatting sqref="M373:Q375">
    <cfRule type="cellIs" dxfId="1315" priority="271" stopIfTrue="1" operator="lessThan">
      <formula>0</formula>
    </cfRule>
  </conditionalFormatting>
  <conditionalFormatting sqref="C376">
    <cfRule type="cellIs" dxfId="1314" priority="270" stopIfTrue="1" operator="lessThan">
      <formula>0</formula>
    </cfRule>
  </conditionalFormatting>
  <conditionalFormatting sqref="O372:Q372">
    <cfRule type="cellIs" dxfId="1313" priority="269" stopIfTrue="1" operator="lessThan">
      <formula>0</formula>
    </cfRule>
  </conditionalFormatting>
  <conditionalFormatting sqref="H373:H374">
    <cfRule type="cellIs" dxfId="1312" priority="268" stopIfTrue="1" operator="lessThan">
      <formula>0</formula>
    </cfRule>
  </conditionalFormatting>
  <conditionalFormatting sqref="H375">
    <cfRule type="cellIs" dxfId="1311" priority="267" stopIfTrue="1" operator="lessThan">
      <formula>0</formula>
    </cfRule>
  </conditionalFormatting>
  <conditionalFormatting sqref="K373:K374">
    <cfRule type="cellIs" dxfId="1310" priority="266" stopIfTrue="1" operator="lessThan">
      <formula>0</formula>
    </cfRule>
  </conditionalFormatting>
  <conditionalFormatting sqref="K375">
    <cfRule type="cellIs" dxfId="1309" priority="265" stopIfTrue="1" operator="lessThan">
      <formula>0</formula>
    </cfRule>
  </conditionalFormatting>
  <conditionalFormatting sqref="C375:Q375">
    <cfRule type="cellIs" dxfId="1308" priority="264" stopIfTrue="1" operator="lessThan">
      <formula>0</formula>
    </cfRule>
  </conditionalFormatting>
  <conditionalFormatting sqref="C375:Q375">
    <cfRule type="cellIs" dxfId="1307" priority="261" stopIfTrue="1" operator="equal">
      <formula>"Pass"</formula>
    </cfRule>
    <cfRule type="cellIs" dxfId="1306" priority="262" stopIfTrue="1" operator="equal">
      <formula>"please check"</formula>
    </cfRule>
  </conditionalFormatting>
  <conditionalFormatting sqref="C417">
    <cfRule type="cellIs" dxfId="1305" priority="260" stopIfTrue="1" operator="lessThan">
      <formula>0</formula>
    </cfRule>
  </conditionalFormatting>
  <conditionalFormatting sqref="C413:C414 E413:G414">
    <cfRule type="cellIs" dxfId="1304" priority="259" stopIfTrue="1" operator="lessThan">
      <formula>0</formula>
    </cfRule>
  </conditionalFormatting>
  <conditionalFormatting sqref="D413:D414">
    <cfRule type="cellIs" dxfId="1303" priority="258" stopIfTrue="1" operator="lessThan">
      <formula>0</formula>
    </cfRule>
  </conditionalFormatting>
  <conditionalFormatting sqref="M413:Q415">
    <cfRule type="cellIs" dxfId="1302" priority="257" stopIfTrue="1" operator="lessThan">
      <formula>0</formula>
    </cfRule>
  </conditionalFormatting>
  <conditionalFormatting sqref="C416">
    <cfRule type="cellIs" dxfId="1301" priority="256" stopIfTrue="1" operator="lessThan">
      <formula>0</formula>
    </cfRule>
  </conditionalFormatting>
  <conditionalFormatting sqref="O412:Q412">
    <cfRule type="cellIs" dxfId="1300" priority="255" stopIfTrue="1" operator="lessThan">
      <formula>0</formula>
    </cfRule>
  </conditionalFormatting>
  <conditionalFormatting sqref="H413:H414">
    <cfRule type="cellIs" dxfId="1299" priority="254" stopIfTrue="1" operator="lessThan">
      <formula>0</formula>
    </cfRule>
  </conditionalFormatting>
  <conditionalFormatting sqref="H415">
    <cfRule type="cellIs" dxfId="1298" priority="253" stopIfTrue="1" operator="lessThan">
      <formula>0</formula>
    </cfRule>
  </conditionalFormatting>
  <conditionalFormatting sqref="K413:K414">
    <cfRule type="cellIs" dxfId="1297" priority="252" stopIfTrue="1" operator="lessThan">
      <formula>0</formula>
    </cfRule>
  </conditionalFormatting>
  <conditionalFormatting sqref="K415">
    <cfRule type="cellIs" dxfId="1296" priority="251" stopIfTrue="1" operator="lessThan">
      <formula>0</formula>
    </cfRule>
  </conditionalFormatting>
  <conditionalFormatting sqref="C415:Q415">
    <cfRule type="cellIs" dxfId="1295" priority="250" stopIfTrue="1" operator="lessThan">
      <formula>0</formula>
    </cfRule>
  </conditionalFormatting>
  <conditionalFormatting sqref="C415:Q415">
    <cfRule type="cellIs" dxfId="1294" priority="247" stopIfTrue="1" operator="equal">
      <formula>"Pass"</formula>
    </cfRule>
    <cfRule type="cellIs" dxfId="1293" priority="248" stopIfTrue="1" operator="equal">
      <formula>"please check"</formula>
    </cfRule>
  </conditionalFormatting>
  <conditionalFormatting sqref="C457">
    <cfRule type="cellIs" dxfId="1292" priority="246" stopIfTrue="1" operator="lessThan">
      <formula>0</formula>
    </cfRule>
  </conditionalFormatting>
  <conditionalFormatting sqref="C453:C454 E453:G454">
    <cfRule type="cellIs" dxfId="1291" priority="245" stopIfTrue="1" operator="lessThan">
      <formula>0</formula>
    </cfRule>
  </conditionalFormatting>
  <conditionalFormatting sqref="D453:D454">
    <cfRule type="cellIs" dxfId="1290" priority="244" stopIfTrue="1" operator="lessThan">
      <formula>0</formula>
    </cfRule>
  </conditionalFormatting>
  <conditionalFormatting sqref="M453:Q455">
    <cfRule type="cellIs" dxfId="1289" priority="243" stopIfTrue="1" operator="lessThan">
      <formula>0</formula>
    </cfRule>
  </conditionalFormatting>
  <conditionalFormatting sqref="C456">
    <cfRule type="cellIs" dxfId="1288" priority="242" stopIfTrue="1" operator="lessThan">
      <formula>0</formula>
    </cfRule>
  </conditionalFormatting>
  <conditionalFormatting sqref="O452:Q452">
    <cfRule type="cellIs" dxfId="1287" priority="241" stopIfTrue="1" operator="lessThan">
      <formula>0</formula>
    </cfRule>
  </conditionalFormatting>
  <conditionalFormatting sqref="H453:H454">
    <cfRule type="cellIs" dxfId="1286" priority="240" stopIfTrue="1" operator="lessThan">
      <formula>0</formula>
    </cfRule>
  </conditionalFormatting>
  <conditionalFormatting sqref="H455">
    <cfRule type="cellIs" dxfId="1285" priority="239" stopIfTrue="1" operator="lessThan">
      <formula>0</formula>
    </cfRule>
  </conditionalFormatting>
  <conditionalFormatting sqref="K453:K454">
    <cfRule type="cellIs" dxfId="1284" priority="238" stopIfTrue="1" operator="lessThan">
      <formula>0</formula>
    </cfRule>
  </conditionalFormatting>
  <conditionalFormatting sqref="K455">
    <cfRule type="cellIs" dxfId="1283" priority="237" stopIfTrue="1" operator="lessThan">
      <formula>0</formula>
    </cfRule>
  </conditionalFormatting>
  <conditionalFormatting sqref="C455:Q455">
    <cfRule type="cellIs" dxfId="1282" priority="236" stopIfTrue="1" operator="lessThan">
      <formula>0</formula>
    </cfRule>
  </conditionalFormatting>
  <conditionalFormatting sqref="C455:Q455">
    <cfRule type="cellIs" dxfId="1281" priority="233" stopIfTrue="1" operator="equal">
      <formula>"Pass"</formula>
    </cfRule>
    <cfRule type="cellIs" dxfId="1280" priority="234" stopIfTrue="1" operator="equal">
      <formula>"please check"</formula>
    </cfRule>
  </conditionalFormatting>
  <conditionalFormatting sqref="C497">
    <cfRule type="cellIs" dxfId="1279" priority="232" stopIfTrue="1" operator="lessThan">
      <formula>0</formula>
    </cfRule>
  </conditionalFormatting>
  <conditionalFormatting sqref="C493:C494 E493:G494">
    <cfRule type="cellIs" dxfId="1278" priority="231" stopIfTrue="1" operator="lessThan">
      <formula>0</formula>
    </cfRule>
  </conditionalFormatting>
  <conditionalFormatting sqref="D493:D494">
    <cfRule type="cellIs" dxfId="1277" priority="230" stopIfTrue="1" operator="lessThan">
      <formula>0</formula>
    </cfRule>
  </conditionalFormatting>
  <conditionalFormatting sqref="M493:Q495">
    <cfRule type="cellIs" dxfId="1276" priority="229" stopIfTrue="1" operator="lessThan">
      <formula>0</formula>
    </cfRule>
  </conditionalFormatting>
  <conditionalFormatting sqref="C496">
    <cfRule type="cellIs" dxfId="1275" priority="228" stopIfTrue="1" operator="lessThan">
      <formula>0</formula>
    </cfRule>
  </conditionalFormatting>
  <conditionalFormatting sqref="O492:Q492">
    <cfRule type="cellIs" dxfId="1274" priority="227" stopIfTrue="1" operator="lessThan">
      <formula>0</formula>
    </cfRule>
  </conditionalFormatting>
  <conditionalFormatting sqref="H493:H494">
    <cfRule type="cellIs" dxfId="1273" priority="226" stopIfTrue="1" operator="lessThan">
      <formula>0</formula>
    </cfRule>
  </conditionalFormatting>
  <conditionalFormatting sqref="H495">
    <cfRule type="cellIs" dxfId="1272" priority="225" stopIfTrue="1" operator="lessThan">
      <formula>0</formula>
    </cfRule>
  </conditionalFormatting>
  <conditionalFormatting sqref="K493:K494">
    <cfRule type="cellIs" dxfId="1271" priority="224" stopIfTrue="1" operator="lessThan">
      <formula>0</formula>
    </cfRule>
  </conditionalFormatting>
  <conditionalFormatting sqref="K495">
    <cfRule type="cellIs" dxfId="1270" priority="223" stopIfTrue="1" operator="lessThan">
      <formula>0</formula>
    </cfRule>
  </conditionalFormatting>
  <conditionalFormatting sqref="C495:Q495">
    <cfRule type="cellIs" dxfId="1269" priority="222" stopIfTrue="1" operator="lessThan">
      <formula>0</formula>
    </cfRule>
  </conditionalFormatting>
  <conditionalFormatting sqref="C495:Q495">
    <cfRule type="cellIs" dxfId="1268" priority="219" stopIfTrue="1" operator="equal">
      <formula>"Pass"</formula>
    </cfRule>
    <cfRule type="cellIs" dxfId="1267" priority="220" stopIfTrue="1" operator="equal">
      <formula>"please check"</formula>
    </cfRule>
  </conditionalFormatting>
  <conditionalFormatting sqref="C537">
    <cfRule type="cellIs" dxfId="1266" priority="218" stopIfTrue="1" operator="lessThan">
      <formula>0</formula>
    </cfRule>
  </conditionalFormatting>
  <conditionalFormatting sqref="C533:C534 E533:G534">
    <cfRule type="cellIs" dxfId="1265" priority="217" stopIfTrue="1" operator="lessThan">
      <formula>0</formula>
    </cfRule>
  </conditionalFormatting>
  <conditionalFormatting sqref="D533:D534">
    <cfRule type="cellIs" dxfId="1264" priority="216" stopIfTrue="1" operator="lessThan">
      <formula>0</formula>
    </cfRule>
  </conditionalFormatting>
  <conditionalFormatting sqref="M533:Q535">
    <cfRule type="cellIs" dxfId="1263" priority="215" stopIfTrue="1" operator="lessThan">
      <formula>0</formula>
    </cfRule>
  </conditionalFormatting>
  <conditionalFormatting sqref="C536">
    <cfRule type="cellIs" dxfId="1262" priority="214" stopIfTrue="1" operator="lessThan">
      <formula>0</formula>
    </cfRule>
  </conditionalFormatting>
  <conditionalFormatting sqref="O532:Q532">
    <cfRule type="cellIs" dxfId="1261" priority="213" stopIfTrue="1" operator="lessThan">
      <formula>0</formula>
    </cfRule>
  </conditionalFormatting>
  <conditionalFormatting sqref="H533:H534">
    <cfRule type="cellIs" dxfId="1260" priority="212" stopIfTrue="1" operator="lessThan">
      <formula>0</formula>
    </cfRule>
  </conditionalFormatting>
  <conditionalFormatting sqref="H535">
    <cfRule type="cellIs" dxfId="1259" priority="211" stopIfTrue="1" operator="lessThan">
      <formula>0</formula>
    </cfRule>
  </conditionalFormatting>
  <conditionalFormatting sqref="K533:K534">
    <cfRule type="cellIs" dxfId="1258" priority="210" stopIfTrue="1" operator="lessThan">
      <formula>0</formula>
    </cfRule>
  </conditionalFormatting>
  <conditionalFormatting sqref="K535">
    <cfRule type="cellIs" dxfId="1257" priority="209" stopIfTrue="1" operator="lessThan">
      <formula>0</formula>
    </cfRule>
  </conditionalFormatting>
  <conditionalFormatting sqref="C535:Q535">
    <cfRule type="cellIs" dxfId="1256" priority="208" stopIfTrue="1" operator="lessThan">
      <formula>0</formula>
    </cfRule>
  </conditionalFormatting>
  <conditionalFormatting sqref="C535:Q535">
    <cfRule type="cellIs" dxfId="1255" priority="205" stopIfTrue="1" operator="equal">
      <formula>"Pass"</formula>
    </cfRule>
    <cfRule type="cellIs" dxfId="1254" priority="206" stopIfTrue="1" operator="equal">
      <formula>"please check"</formula>
    </cfRule>
  </conditionalFormatting>
  <conditionalFormatting sqref="C577">
    <cfRule type="cellIs" dxfId="1253" priority="204" stopIfTrue="1" operator="lessThan">
      <formula>0</formula>
    </cfRule>
  </conditionalFormatting>
  <conditionalFormatting sqref="C573:C574 E573:G574">
    <cfRule type="cellIs" dxfId="1252" priority="203" stopIfTrue="1" operator="lessThan">
      <formula>0</formula>
    </cfRule>
  </conditionalFormatting>
  <conditionalFormatting sqref="D573:D574">
    <cfRule type="cellIs" dxfId="1251" priority="202" stopIfTrue="1" operator="lessThan">
      <formula>0</formula>
    </cfRule>
  </conditionalFormatting>
  <conditionalFormatting sqref="M573:Q575">
    <cfRule type="cellIs" dxfId="1250" priority="201" stopIfTrue="1" operator="lessThan">
      <formula>0</formula>
    </cfRule>
  </conditionalFormatting>
  <conditionalFormatting sqref="C576">
    <cfRule type="cellIs" dxfId="1249" priority="200" stopIfTrue="1" operator="lessThan">
      <formula>0</formula>
    </cfRule>
  </conditionalFormatting>
  <conditionalFormatting sqref="O572:Q572">
    <cfRule type="cellIs" dxfId="1248" priority="199" stopIfTrue="1" operator="lessThan">
      <formula>0</formula>
    </cfRule>
  </conditionalFormatting>
  <conditionalFormatting sqref="H573:H574">
    <cfRule type="cellIs" dxfId="1247" priority="198" stopIfTrue="1" operator="lessThan">
      <formula>0</formula>
    </cfRule>
  </conditionalFormatting>
  <conditionalFormatting sqref="H575">
    <cfRule type="cellIs" dxfId="1246" priority="197" stopIfTrue="1" operator="lessThan">
      <formula>0</formula>
    </cfRule>
  </conditionalFormatting>
  <conditionalFormatting sqref="K573:K574">
    <cfRule type="cellIs" dxfId="1245" priority="196" stopIfTrue="1" operator="lessThan">
      <formula>0</formula>
    </cfRule>
  </conditionalFormatting>
  <conditionalFormatting sqref="K575">
    <cfRule type="cellIs" dxfId="1244" priority="195" stopIfTrue="1" operator="lessThan">
      <formula>0</formula>
    </cfRule>
  </conditionalFormatting>
  <conditionalFormatting sqref="C575:Q575">
    <cfRule type="cellIs" dxfId="1243" priority="194" stopIfTrue="1" operator="lessThan">
      <formula>0</formula>
    </cfRule>
  </conditionalFormatting>
  <conditionalFormatting sqref="C575:Q575">
    <cfRule type="cellIs" dxfId="1242" priority="191" stopIfTrue="1" operator="equal">
      <formula>"Pass"</formula>
    </cfRule>
    <cfRule type="cellIs" dxfId="1241" priority="192" stopIfTrue="1" operator="equal">
      <formula>"please check"</formula>
    </cfRule>
  </conditionalFormatting>
  <conditionalFormatting sqref="C617">
    <cfRule type="cellIs" dxfId="1240" priority="190" stopIfTrue="1" operator="lessThan">
      <formula>0</formula>
    </cfRule>
  </conditionalFormatting>
  <conditionalFormatting sqref="C613:C614 E613:G614">
    <cfRule type="cellIs" dxfId="1239" priority="189" stopIfTrue="1" operator="lessThan">
      <formula>0</formula>
    </cfRule>
  </conditionalFormatting>
  <conditionalFormatting sqref="D613:D614">
    <cfRule type="cellIs" dxfId="1238" priority="188" stopIfTrue="1" operator="lessThan">
      <formula>0</formula>
    </cfRule>
  </conditionalFormatting>
  <conditionalFormatting sqref="M613:Q615">
    <cfRule type="cellIs" dxfId="1237" priority="187" stopIfTrue="1" operator="lessThan">
      <formula>0</formula>
    </cfRule>
  </conditionalFormatting>
  <conditionalFormatting sqref="C616">
    <cfRule type="cellIs" dxfId="1236" priority="186" stopIfTrue="1" operator="lessThan">
      <formula>0</formula>
    </cfRule>
  </conditionalFormatting>
  <conditionalFormatting sqref="O612:Q612">
    <cfRule type="cellIs" dxfId="1235" priority="185" stopIfTrue="1" operator="lessThan">
      <formula>0</formula>
    </cfRule>
  </conditionalFormatting>
  <conditionalFormatting sqref="H613:H614">
    <cfRule type="cellIs" dxfId="1234" priority="184" stopIfTrue="1" operator="lessThan">
      <formula>0</formula>
    </cfRule>
  </conditionalFormatting>
  <conditionalFormatting sqref="H615">
    <cfRule type="cellIs" dxfId="1233" priority="183" stopIfTrue="1" operator="lessThan">
      <formula>0</formula>
    </cfRule>
  </conditionalFormatting>
  <conditionalFormatting sqref="K613:K614">
    <cfRule type="cellIs" dxfId="1232" priority="182" stopIfTrue="1" operator="lessThan">
      <formula>0</formula>
    </cfRule>
  </conditionalFormatting>
  <conditionalFormatting sqref="K615">
    <cfRule type="cellIs" dxfId="1231" priority="181" stopIfTrue="1" operator="lessThan">
      <formula>0</formula>
    </cfRule>
  </conditionalFormatting>
  <conditionalFormatting sqref="C615:Q615">
    <cfRule type="cellIs" dxfId="1230" priority="180" stopIfTrue="1" operator="lessThan">
      <formula>0</formula>
    </cfRule>
  </conditionalFormatting>
  <conditionalFormatting sqref="C615:Q615">
    <cfRule type="cellIs" dxfId="1229" priority="177" stopIfTrue="1" operator="equal">
      <formula>"Pass"</formula>
    </cfRule>
    <cfRule type="cellIs" dxfId="1228" priority="178" stopIfTrue="1" operator="equal">
      <formula>"please check"</formula>
    </cfRule>
  </conditionalFormatting>
  <conditionalFormatting sqref="C657">
    <cfRule type="cellIs" dxfId="1227" priority="176" stopIfTrue="1" operator="lessThan">
      <formula>0</formula>
    </cfRule>
  </conditionalFormatting>
  <conditionalFormatting sqref="C653:C654 E653:G654">
    <cfRule type="cellIs" dxfId="1226" priority="175" stopIfTrue="1" operator="lessThan">
      <formula>0</formula>
    </cfRule>
  </conditionalFormatting>
  <conditionalFormatting sqref="D653:D654">
    <cfRule type="cellIs" dxfId="1225" priority="174" stopIfTrue="1" operator="lessThan">
      <formula>0</formula>
    </cfRule>
  </conditionalFormatting>
  <conditionalFormatting sqref="M653:Q655">
    <cfRule type="cellIs" dxfId="1224" priority="173" stopIfTrue="1" operator="lessThan">
      <formula>0</formula>
    </cfRule>
  </conditionalFormatting>
  <conditionalFormatting sqref="C656">
    <cfRule type="cellIs" dxfId="1223" priority="172" stopIfTrue="1" operator="lessThan">
      <formula>0</formula>
    </cfRule>
  </conditionalFormatting>
  <conditionalFormatting sqref="O652:Q652">
    <cfRule type="cellIs" dxfId="1222" priority="171" stopIfTrue="1" operator="lessThan">
      <formula>0</formula>
    </cfRule>
  </conditionalFormatting>
  <conditionalFormatting sqref="H653:H654">
    <cfRule type="cellIs" dxfId="1221" priority="170" stopIfTrue="1" operator="lessThan">
      <formula>0</formula>
    </cfRule>
  </conditionalFormatting>
  <conditionalFormatting sqref="H655">
    <cfRule type="cellIs" dxfId="1220" priority="169" stopIfTrue="1" operator="lessThan">
      <formula>0</formula>
    </cfRule>
  </conditionalFormatting>
  <conditionalFormatting sqref="K653:K654">
    <cfRule type="cellIs" dxfId="1219" priority="168" stopIfTrue="1" operator="lessThan">
      <formula>0</formula>
    </cfRule>
  </conditionalFormatting>
  <conditionalFormatting sqref="K655">
    <cfRule type="cellIs" dxfId="1218" priority="167" stopIfTrue="1" operator="lessThan">
      <formula>0</formula>
    </cfRule>
  </conditionalFormatting>
  <conditionalFormatting sqref="C655:Q655">
    <cfRule type="cellIs" dxfId="1217" priority="166" stopIfTrue="1" operator="lessThan">
      <formula>0</formula>
    </cfRule>
  </conditionalFormatting>
  <conditionalFormatting sqref="C655:Q655">
    <cfRule type="cellIs" dxfId="1216" priority="163" stopIfTrue="1" operator="equal">
      <formula>"Pass"</formula>
    </cfRule>
    <cfRule type="cellIs" dxfId="1215" priority="164" stopIfTrue="1" operator="equal">
      <formula>"please check"</formula>
    </cfRule>
  </conditionalFormatting>
  <conditionalFormatting sqref="C697">
    <cfRule type="cellIs" dxfId="1214" priority="162" stopIfTrue="1" operator="lessThan">
      <formula>0</formula>
    </cfRule>
  </conditionalFormatting>
  <conditionalFormatting sqref="C693:C694 E693:G694">
    <cfRule type="cellIs" dxfId="1213" priority="161" stopIfTrue="1" operator="lessThan">
      <formula>0</formula>
    </cfRule>
  </conditionalFormatting>
  <conditionalFormatting sqref="D693:D694">
    <cfRule type="cellIs" dxfId="1212" priority="160" stopIfTrue="1" operator="lessThan">
      <formula>0</formula>
    </cfRule>
  </conditionalFormatting>
  <conditionalFormatting sqref="M693:Q695">
    <cfRule type="cellIs" dxfId="1211" priority="159" stopIfTrue="1" operator="lessThan">
      <formula>0</formula>
    </cfRule>
  </conditionalFormatting>
  <conditionalFormatting sqref="C696">
    <cfRule type="cellIs" dxfId="1210" priority="158" stopIfTrue="1" operator="lessThan">
      <formula>0</formula>
    </cfRule>
  </conditionalFormatting>
  <conditionalFormatting sqref="O692:Q692">
    <cfRule type="cellIs" dxfId="1209" priority="157" stopIfTrue="1" operator="lessThan">
      <formula>0</formula>
    </cfRule>
  </conditionalFormatting>
  <conditionalFormatting sqref="H693:H694">
    <cfRule type="cellIs" dxfId="1208" priority="156" stopIfTrue="1" operator="lessThan">
      <formula>0</formula>
    </cfRule>
  </conditionalFormatting>
  <conditionalFormatting sqref="H695">
    <cfRule type="cellIs" dxfId="1207" priority="155" stopIfTrue="1" operator="lessThan">
      <formula>0</formula>
    </cfRule>
  </conditionalFormatting>
  <conditionalFormatting sqref="K693:K694">
    <cfRule type="cellIs" dxfId="1206" priority="154" stopIfTrue="1" operator="lessThan">
      <formula>0</formula>
    </cfRule>
  </conditionalFormatting>
  <conditionalFormatting sqref="K695">
    <cfRule type="cellIs" dxfId="1205" priority="153" stopIfTrue="1" operator="lessThan">
      <formula>0</formula>
    </cfRule>
  </conditionalFormatting>
  <conditionalFormatting sqref="C695:Q695">
    <cfRule type="cellIs" dxfId="1204" priority="152" stopIfTrue="1" operator="lessThan">
      <formula>0</formula>
    </cfRule>
  </conditionalFormatting>
  <conditionalFormatting sqref="C695:Q695">
    <cfRule type="cellIs" dxfId="1203" priority="149" stopIfTrue="1" operator="equal">
      <formula>"Pass"</formula>
    </cfRule>
    <cfRule type="cellIs" dxfId="1202" priority="150" stopIfTrue="1" operator="equal">
      <formula>"please check"</formula>
    </cfRule>
  </conditionalFormatting>
  <conditionalFormatting sqref="C737">
    <cfRule type="cellIs" dxfId="1201" priority="148" stopIfTrue="1" operator="lessThan">
      <formula>0</formula>
    </cfRule>
  </conditionalFormatting>
  <conditionalFormatting sqref="C733:C734 E733:G734">
    <cfRule type="cellIs" dxfId="1200" priority="147" stopIfTrue="1" operator="lessThan">
      <formula>0</formula>
    </cfRule>
  </conditionalFormatting>
  <conditionalFormatting sqref="D733:D734">
    <cfRule type="cellIs" dxfId="1199" priority="146" stopIfTrue="1" operator="lessThan">
      <formula>0</formula>
    </cfRule>
  </conditionalFormatting>
  <conditionalFormatting sqref="M733:Q735">
    <cfRule type="cellIs" dxfId="1198" priority="145" stopIfTrue="1" operator="lessThan">
      <formula>0</formula>
    </cfRule>
  </conditionalFormatting>
  <conditionalFormatting sqref="C736">
    <cfRule type="cellIs" dxfId="1197" priority="144" stopIfTrue="1" operator="lessThan">
      <formula>0</formula>
    </cfRule>
  </conditionalFormatting>
  <conditionalFormatting sqref="O732:Q732">
    <cfRule type="cellIs" dxfId="1196" priority="143" stopIfTrue="1" operator="lessThan">
      <formula>0</formula>
    </cfRule>
  </conditionalFormatting>
  <conditionalFormatting sqref="H733:H734">
    <cfRule type="cellIs" dxfId="1195" priority="142" stopIfTrue="1" operator="lessThan">
      <formula>0</formula>
    </cfRule>
  </conditionalFormatting>
  <conditionalFormatting sqref="H735">
    <cfRule type="cellIs" dxfId="1194" priority="141" stopIfTrue="1" operator="lessThan">
      <formula>0</formula>
    </cfRule>
  </conditionalFormatting>
  <conditionalFormatting sqref="K733:K734">
    <cfRule type="cellIs" dxfId="1193" priority="140" stopIfTrue="1" operator="lessThan">
      <formula>0</formula>
    </cfRule>
  </conditionalFormatting>
  <conditionalFormatting sqref="K735">
    <cfRule type="cellIs" dxfId="1192" priority="139" stopIfTrue="1" operator="lessThan">
      <formula>0</formula>
    </cfRule>
  </conditionalFormatting>
  <conditionalFormatting sqref="C735:Q735">
    <cfRule type="cellIs" dxfId="1191" priority="138" stopIfTrue="1" operator="lessThan">
      <formula>0</formula>
    </cfRule>
  </conditionalFormatting>
  <conditionalFormatting sqref="C735:Q735">
    <cfRule type="cellIs" dxfId="1190" priority="135" stopIfTrue="1" operator="equal">
      <formula>"Pass"</formula>
    </cfRule>
    <cfRule type="cellIs" dxfId="1189" priority="136" stopIfTrue="1" operator="equal">
      <formula>"please check"</formula>
    </cfRule>
  </conditionalFormatting>
  <conditionalFormatting sqref="C777">
    <cfRule type="cellIs" dxfId="1188" priority="134" stopIfTrue="1" operator="lessThan">
      <formula>0</formula>
    </cfRule>
  </conditionalFormatting>
  <conditionalFormatting sqref="C773:C774 E773:G774">
    <cfRule type="cellIs" dxfId="1187" priority="133" stopIfTrue="1" operator="lessThan">
      <formula>0</formula>
    </cfRule>
  </conditionalFormatting>
  <conditionalFormatting sqref="D773:D774">
    <cfRule type="cellIs" dxfId="1186" priority="132" stopIfTrue="1" operator="lessThan">
      <formula>0</formula>
    </cfRule>
  </conditionalFormatting>
  <conditionalFormatting sqref="M773:Q775">
    <cfRule type="cellIs" dxfId="1185" priority="131" stopIfTrue="1" operator="lessThan">
      <formula>0</formula>
    </cfRule>
  </conditionalFormatting>
  <conditionalFormatting sqref="C776">
    <cfRule type="cellIs" dxfId="1184" priority="130" stopIfTrue="1" operator="lessThan">
      <formula>0</formula>
    </cfRule>
  </conditionalFormatting>
  <conditionalFormatting sqref="O772:Q772">
    <cfRule type="cellIs" dxfId="1183" priority="129" stopIfTrue="1" operator="lessThan">
      <formula>0</formula>
    </cfRule>
  </conditionalFormatting>
  <conditionalFormatting sqref="H773:H774">
    <cfRule type="cellIs" dxfId="1182" priority="128" stopIfTrue="1" operator="lessThan">
      <formula>0</formula>
    </cfRule>
  </conditionalFormatting>
  <conditionalFormatting sqref="H775">
    <cfRule type="cellIs" dxfId="1181" priority="127" stopIfTrue="1" operator="lessThan">
      <formula>0</formula>
    </cfRule>
  </conditionalFormatting>
  <conditionalFormatting sqref="K773:K774">
    <cfRule type="cellIs" dxfId="1180" priority="126" stopIfTrue="1" operator="lessThan">
      <formula>0</formula>
    </cfRule>
  </conditionalFormatting>
  <conditionalFormatting sqref="K775">
    <cfRule type="cellIs" dxfId="1179" priority="125" stopIfTrue="1" operator="lessThan">
      <formula>0</formula>
    </cfRule>
  </conditionalFormatting>
  <conditionalFormatting sqref="C775:Q775">
    <cfRule type="cellIs" dxfId="1178" priority="124" stopIfTrue="1" operator="lessThan">
      <formula>0</formula>
    </cfRule>
  </conditionalFormatting>
  <conditionalFormatting sqref="C775:Q775">
    <cfRule type="cellIs" dxfId="1177" priority="121" stopIfTrue="1" operator="equal">
      <formula>"Pass"</formula>
    </cfRule>
    <cfRule type="cellIs" dxfId="1176" priority="122" stopIfTrue="1" operator="equal">
      <formula>"please check"</formula>
    </cfRule>
  </conditionalFormatting>
  <conditionalFormatting sqref="C817">
    <cfRule type="cellIs" dxfId="1175" priority="120" stopIfTrue="1" operator="lessThan">
      <formula>0</formula>
    </cfRule>
  </conditionalFormatting>
  <conditionalFormatting sqref="C813:C814 E813:G814">
    <cfRule type="cellIs" dxfId="1174" priority="119" stopIfTrue="1" operator="lessThan">
      <formula>0</formula>
    </cfRule>
  </conditionalFormatting>
  <conditionalFormatting sqref="D813:D814">
    <cfRule type="cellIs" dxfId="1173" priority="118" stopIfTrue="1" operator="lessThan">
      <formula>0</formula>
    </cfRule>
  </conditionalFormatting>
  <conditionalFormatting sqref="M813:Q815">
    <cfRule type="cellIs" dxfId="1172" priority="117" stopIfTrue="1" operator="lessThan">
      <formula>0</formula>
    </cfRule>
  </conditionalFormatting>
  <conditionalFormatting sqref="C816">
    <cfRule type="cellIs" dxfId="1171" priority="116" stopIfTrue="1" operator="lessThan">
      <formula>0</formula>
    </cfRule>
  </conditionalFormatting>
  <conditionalFormatting sqref="O812:Q812">
    <cfRule type="cellIs" dxfId="1170" priority="115" stopIfTrue="1" operator="lessThan">
      <formula>0</formula>
    </cfRule>
  </conditionalFormatting>
  <conditionalFormatting sqref="H813:H814">
    <cfRule type="cellIs" dxfId="1169" priority="114" stopIfTrue="1" operator="lessThan">
      <formula>0</formula>
    </cfRule>
  </conditionalFormatting>
  <conditionalFormatting sqref="H815">
    <cfRule type="cellIs" dxfId="1168" priority="113" stopIfTrue="1" operator="lessThan">
      <formula>0</formula>
    </cfRule>
  </conditionalFormatting>
  <conditionalFormatting sqref="K813:K814">
    <cfRule type="cellIs" dxfId="1167" priority="112" stopIfTrue="1" operator="lessThan">
      <formula>0</formula>
    </cfRule>
  </conditionalFormatting>
  <conditionalFormatting sqref="K815">
    <cfRule type="cellIs" dxfId="1166" priority="111" stopIfTrue="1" operator="lessThan">
      <formula>0</formula>
    </cfRule>
  </conditionalFormatting>
  <conditionalFormatting sqref="C815:Q815">
    <cfRule type="cellIs" dxfId="1165" priority="110" stopIfTrue="1" operator="lessThan">
      <formula>0</formula>
    </cfRule>
  </conditionalFormatting>
  <conditionalFormatting sqref="C815:Q815">
    <cfRule type="cellIs" dxfId="1164" priority="107" stopIfTrue="1" operator="equal">
      <formula>"Pass"</formula>
    </cfRule>
    <cfRule type="cellIs" dxfId="1163" priority="108" stopIfTrue="1" operator="equal">
      <formula>"please check"</formula>
    </cfRule>
  </conditionalFormatting>
  <conditionalFormatting sqref="C857">
    <cfRule type="cellIs" dxfId="1162" priority="106" stopIfTrue="1" operator="lessThan">
      <formula>0</formula>
    </cfRule>
  </conditionalFormatting>
  <conditionalFormatting sqref="C853:C854 E853:G854">
    <cfRule type="cellIs" dxfId="1161" priority="105" stopIfTrue="1" operator="lessThan">
      <formula>0</formula>
    </cfRule>
  </conditionalFormatting>
  <conditionalFormatting sqref="D853:D854">
    <cfRule type="cellIs" dxfId="1160" priority="104" stopIfTrue="1" operator="lessThan">
      <formula>0</formula>
    </cfRule>
  </conditionalFormatting>
  <conditionalFormatting sqref="M853:Q855">
    <cfRule type="cellIs" dxfId="1159" priority="103" stopIfTrue="1" operator="lessThan">
      <formula>0</formula>
    </cfRule>
  </conditionalFormatting>
  <conditionalFormatting sqref="C856">
    <cfRule type="cellIs" dxfId="1158" priority="102" stopIfTrue="1" operator="lessThan">
      <formula>0</formula>
    </cfRule>
  </conditionalFormatting>
  <conditionalFormatting sqref="O852:Q852">
    <cfRule type="cellIs" dxfId="1157" priority="101" stopIfTrue="1" operator="lessThan">
      <formula>0</formula>
    </cfRule>
  </conditionalFormatting>
  <conditionalFormatting sqref="H853:H854">
    <cfRule type="cellIs" dxfId="1156" priority="100" stopIfTrue="1" operator="lessThan">
      <formula>0</formula>
    </cfRule>
  </conditionalFormatting>
  <conditionalFormatting sqref="H855">
    <cfRule type="cellIs" dxfId="1155" priority="99" stopIfTrue="1" operator="lessThan">
      <formula>0</formula>
    </cfRule>
  </conditionalFormatting>
  <conditionalFormatting sqref="K853:K854">
    <cfRule type="cellIs" dxfId="1154" priority="98" stopIfTrue="1" operator="lessThan">
      <formula>0</formula>
    </cfRule>
  </conditionalFormatting>
  <conditionalFormatting sqref="K855">
    <cfRule type="cellIs" dxfId="1153" priority="97" stopIfTrue="1" operator="lessThan">
      <formula>0</formula>
    </cfRule>
  </conditionalFormatting>
  <conditionalFormatting sqref="C855:Q855">
    <cfRule type="cellIs" dxfId="1152" priority="96" stopIfTrue="1" operator="lessThan">
      <formula>0</formula>
    </cfRule>
  </conditionalFormatting>
  <conditionalFormatting sqref="C855:Q855">
    <cfRule type="cellIs" dxfId="1151" priority="93" stopIfTrue="1" operator="equal">
      <formula>"Pass"</formula>
    </cfRule>
    <cfRule type="cellIs" dxfId="1150" priority="94" stopIfTrue="1" operator="equal">
      <formula>"please check"</formula>
    </cfRule>
  </conditionalFormatting>
  <conditionalFormatting sqref="C897">
    <cfRule type="cellIs" dxfId="1149" priority="92" stopIfTrue="1" operator="lessThan">
      <formula>0</formula>
    </cfRule>
  </conditionalFormatting>
  <conditionalFormatting sqref="C893:C894 E893:G894">
    <cfRule type="cellIs" dxfId="1148" priority="91" stopIfTrue="1" operator="lessThan">
      <formula>0</formula>
    </cfRule>
  </conditionalFormatting>
  <conditionalFormatting sqref="D893:D894">
    <cfRule type="cellIs" dxfId="1147" priority="90" stopIfTrue="1" operator="lessThan">
      <formula>0</formula>
    </cfRule>
  </conditionalFormatting>
  <conditionalFormatting sqref="M893:Q895">
    <cfRule type="cellIs" dxfId="1146" priority="89" stopIfTrue="1" operator="lessThan">
      <formula>0</formula>
    </cfRule>
  </conditionalFormatting>
  <conditionalFormatting sqref="C896">
    <cfRule type="cellIs" dxfId="1145" priority="88" stopIfTrue="1" operator="lessThan">
      <formula>0</formula>
    </cfRule>
  </conditionalFormatting>
  <conditionalFormatting sqref="O892:Q892">
    <cfRule type="cellIs" dxfId="1144" priority="87" stopIfTrue="1" operator="lessThan">
      <formula>0</formula>
    </cfRule>
  </conditionalFormatting>
  <conditionalFormatting sqref="H893:H894">
    <cfRule type="cellIs" dxfId="1143" priority="86" stopIfTrue="1" operator="lessThan">
      <formula>0</formula>
    </cfRule>
  </conditionalFormatting>
  <conditionalFormatting sqref="H895">
    <cfRule type="cellIs" dxfId="1142" priority="85" stopIfTrue="1" operator="lessThan">
      <formula>0</formula>
    </cfRule>
  </conditionalFormatting>
  <conditionalFormatting sqref="K893:K894">
    <cfRule type="cellIs" dxfId="1141" priority="84" stopIfTrue="1" operator="lessThan">
      <formula>0</formula>
    </cfRule>
  </conditionalFormatting>
  <conditionalFormatting sqref="K895">
    <cfRule type="cellIs" dxfId="1140" priority="83" stopIfTrue="1" operator="lessThan">
      <formula>0</formula>
    </cfRule>
  </conditionalFormatting>
  <conditionalFormatting sqref="C895:Q895">
    <cfRule type="cellIs" dxfId="1139" priority="82" stopIfTrue="1" operator="lessThan">
      <formula>0</formula>
    </cfRule>
  </conditionalFormatting>
  <conditionalFormatting sqref="C895:Q895">
    <cfRule type="cellIs" dxfId="1138" priority="79" stopIfTrue="1" operator="equal">
      <formula>"Pass"</formula>
    </cfRule>
    <cfRule type="cellIs" dxfId="1137" priority="80" stopIfTrue="1" operator="equal">
      <formula>"please check"</formula>
    </cfRule>
  </conditionalFormatting>
  <conditionalFormatting sqref="C937">
    <cfRule type="cellIs" dxfId="1136" priority="78" stopIfTrue="1" operator="lessThan">
      <formula>0</formula>
    </cfRule>
  </conditionalFormatting>
  <conditionalFormatting sqref="C933:C934 E933:G934">
    <cfRule type="cellIs" dxfId="1135" priority="77" stopIfTrue="1" operator="lessThan">
      <formula>0</formula>
    </cfRule>
  </conditionalFormatting>
  <conditionalFormatting sqref="D933:D934">
    <cfRule type="cellIs" dxfId="1134" priority="76" stopIfTrue="1" operator="lessThan">
      <formula>0</formula>
    </cfRule>
  </conditionalFormatting>
  <conditionalFormatting sqref="M933:Q935">
    <cfRule type="cellIs" dxfId="1133" priority="75" stopIfTrue="1" operator="lessThan">
      <formula>0</formula>
    </cfRule>
  </conditionalFormatting>
  <conditionalFormatting sqref="C936">
    <cfRule type="cellIs" dxfId="1132" priority="74" stopIfTrue="1" operator="lessThan">
      <formula>0</formula>
    </cfRule>
  </conditionalFormatting>
  <conditionalFormatting sqref="O932:Q932">
    <cfRule type="cellIs" dxfId="1131" priority="73" stopIfTrue="1" operator="lessThan">
      <formula>0</formula>
    </cfRule>
  </conditionalFormatting>
  <conditionalFormatting sqref="H933:H934">
    <cfRule type="cellIs" dxfId="1130" priority="72" stopIfTrue="1" operator="lessThan">
      <formula>0</formula>
    </cfRule>
  </conditionalFormatting>
  <conditionalFormatting sqref="H935">
    <cfRule type="cellIs" dxfId="1129" priority="71" stopIfTrue="1" operator="lessThan">
      <formula>0</formula>
    </cfRule>
  </conditionalFormatting>
  <conditionalFormatting sqref="K933:K934">
    <cfRule type="cellIs" dxfId="1128" priority="70" stopIfTrue="1" operator="lessThan">
      <formula>0</formula>
    </cfRule>
  </conditionalFormatting>
  <conditionalFormatting sqref="K935">
    <cfRule type="cellIs" dxfId="1127" priority="69" stopIfTrue="1" operator="lessThan">
      <formula>0</formula>
    </cfRule>
  </conditionalFormatting>
  <conditionalFormatting sqref="C935:Q935">
    <cfRule type="cellIs" dxfId="1126" priority="68" stopIfTrue="1" operator="lessThan">
      <formula>0</formula>
    </cfRule>
  </conditionalFormatting>
  <conditionalFormatting sqref="C935:Q935">
    <cfRule type="cellIs" dxfId="1125" priority="65" stopIfTrue="1" operator="equal">
      <formula>"Pass"</formula>
    </cfRule>
    <cfRule type="cellIs" dxfId="1124" priority="66" stopIfTrue="1" operator="equal">
      <formula>"please check"</formula>
    </cfRule>
  </conditionalFormatting>
  <conditionalFormatting sqref="C977">
    <cfRule type="cellIs" dxfId="1123" priority="64" stopIfTrue="1" operator="lessThan">
      <formula>0</formula>
    </cfRule>
  </conditionalFormatting>
  <conditionalFormatting sqref="C973:C974 E973:G974">
    <cfRule type="cellIs" dxfId="1122" priority="63" stopIfTrue="1" operator="lessThan">
      <formula>0</formula>
    </cfRule>
  </conditionalFormatting>
  <conditionalFormatting sqref="D973:D974">
    <cfRule type="cellIs" dxfId="1121" priority="62" stopIfTrue="1" operator="lessThan">
      <formula>0</formula>
    </cfRule>
  </conditionalFormatting>
  <conditionalFormatting sqref="M973:Q975">
    <cfRule type="cellIs" dxfId="1120" priority="61" stopIfTrue="1" operator="lessThan">
      <formula>0</formula>
    </cfRule>
  </conditionalFormatting>
  <conditionalFormatting sqref="C976">
    <cfRule type="cellIs" dxfId="1119" priority="60" stopIfTrue="1" operator="lessThan">
      <formula>0</formula>
    </cfRule>
  </conditionalFormatting>
  <conditionalFormatting sqref="O972:Q972">
    <cfRule type="cellIs" dxfId="1118" priority="59" stopIfTrue="1" operator="lessThan">
      <formula>0</formula>
    </cfRule>
  </conditionalFormatting>
  <conditionalFormatting sqref="H973:H974">
    <cfRule type="cellIs" dxfId="1117" priority="58" stopIfTrue="1" operator="lessThan">
      <formula>0</formula>
    </cfRule>
  </conditionalFormatting>
  <conditionalFormatting sqref="H975">
    <cfRule type="cellIs" dxfId="1116" priority="57" stopIfTrue="1" operator="lessThan">
      <formula>0</formula>
    </cfRule>
  </conditionalFormatting>
  <conditionalFormatting sqref="K973:K974">
    <cfRule type="cellIs" dxfId="1115" priority="56" stopIfTrue="1" operator="lessThan">
      <formula>0</formula>
    </cfRule>
  </conditionalFormatting>
  <conditionalFormatting sqref="K975">
    <cfRule type="cellIs" dxfId="1114" priority="55" stopIfTrue="1" operator="lessThan">
      <formula>0</formula>
    </cfRule>
  </conditionalFormatting>
  <conditionalFormatting sqref="C975:Q975">
    <cfRule type="cellIs" dxfId="1113" priority="54" stopIfTrue="1" operator="lessThan">
      <formula>0</formula>
    </cfRule>
  </conditionalFormatting>
  <conditionalFormatting sqref="C975:Q975">
    <cfRule type="cellIs" dxfId="1112" priority="51" stopIfTrue="1" operator="equal">
      <formula>"Pass"</formula>
    </cfRule>
    <cfRule type="cellIs" dxfId="1111" priority="52" stopIfTrue="1" operator="equal">
      <formula>"please check"</formula>
    </cfRule>
  </conditionalFormatting>
  <conditionalFormatting sqref="AJ938">
    <cfRule type="cellIs" dxfId="1110" priority="50" stopIfTrue="1" operator="lessThan">
      <formula>0</formula>
    </cfRule>
  </conditionalFormatting>
  <conditionalFormatting sqref="D938:AI938">
    <cfRule type="cellIs" dxfId="1109" priority="49" stopIfTrue="1" operator="lessThan">
      <formula>0</formula>
    </cfRule>
  </conditionalFormatting>
  <conditionalFormatting sqref="B92">
    <cfRule type="cellIs" dxfId="1108" priority="46" stopIfTrue="1" operator="equal">
      <formula>"Pass"</formula>
    </cfRule>
    <cfRule type="cellIs" dxfId="1107" priority="47" stopIfTrue="1" operator="equal">
      <formula>"please check"</formula>
    </cfRule>
  </conditionalFormatting>
  <conditionalFormatting sqref="B132">
    <cfRule type="cellIs" dxfId="1106" priority="43" stopIfTrue="1" operator="equal">
      <formula>"Pass"</formula>
    </cfRule>
    <cfRule type="cellIs" dxfId="1105" priority="44" stopIfTrue="1" operator="equal">
      <formula>"please check"</formula>
    </cfRule>
  </conditionalFormatting>
  <conditionalFormatting sqref="B172">
    <cfRule type="cellIs" dxfId="1104" priority="41" stopIfTrue="1" operator="equal">
      <formula>"Pass"</formula>
    </cfRule>
    <cfRule type="cellIs" dxfId="1103" priority="1437" stopIfTrue="1" operator="equal">
      <formula>"please check"</formula>
    </cfRule>
  </conditionalFormatting>
  <conditionalFormatting sqref="B212">
    <cfRule type="cellIs" dxfId="1102" priority="39" stopIfTrue="1" operator="equal">
      <formula>"Pass"</formula>
    </cfRule>
    <cfRule type="cellIs" dxfId="1101" priority="1438" stopIfTrue="1" operator="equal">
      <formula>"please check"</formula>
    </cfRule>
  </conditionalFormatting>
  <conditionalFormatting sqref="B252">
    <cfRule type="cellIs" dxfId="1100" priority="37" stopIfTrue="1" operator="equal">
      <formula>"Pass"</formula>
    </cfRule>
    <cfRule type="cellIs" dxfId="1099" priority="1439" stopIfTrue="1" operator="equal">
      <formula>"please check"</formula>
    </cfRule>
  </conditionalFormatting>
  <conditionalFormatting sqref="B292">
    <cfRule type="cellIs" dxfId="1098" priority="35" stopIfTrue="1" operator="equal">
      <formula>"Pass"</formula>
    </cfRule>
    <cfRule type="cellIs" dxfId="1097" priority="1440" stopIfTrue="1" operator="equal">
      <formula>"please check"</formula>
    </cfRule>
  </conditionalFormatting>
  <conditionalFormatting sqref="B332">
    <cfRule type="cellIs" dxfId="1096" priority="33" stopIfTrue="1" operator="equal">
      <formula>"Pass"</formula>
    </cfRule>
    <cfRule type="cellIs" dxfId="1095" priority="81" stopIfTrue="1" operator="equal">
      <formula>"please check"</formula>
    </cfRule>
  </conditionalFormatting>
  <conditionalFormatting sqref="B372">
    <cfRule type="cellIs" dxfId="1094" priority="31" stopIfTrue="1" operator="equal">
      <formula>"Pass"</formula>
    </cfRule>
    <cfRule type="cellIs" dxfId="1093" priority="1441" stopIfTrue="1" operator="equal">
      <formula>"please check"</formula>
    </cfRule>
  </conditionalFormatting>
  <conditionalFormatting sqref="B412">
    <cfRule type="cellIs" dxfId="1092" priority="29" stopIfTrue="1" operator="equal">
      <formula>"Pass"</formula>
    </cfRule>
    <cfRule type="cellIs" dxfId="1091" priority="1442" stopIfTrue="1" operator="equal">
      <formula>"please check"</formula>
    </cfRule>
  </conditionalFormatting>
  <conditionalFormatting sqref="B452">
    <cfRule type="cellIs" dxfId="1090" priority="27" stopIfTrue="1" operator="equal">
      <formula>"Pass"</formula>
    </cfRule>
    <cfRule type="cellIs" dxfId="1089" priority="1443" stopIfTrue="1" operator="equal">
      <formula>"please check"</formula>
    </cfRule>
  </conditionalFormatting>
  <conditionalFormatting sqref="B492">
    <cfRule type="cellIs" dxfId="1088" priority="25" stopIfTrue="1" operator="equal">
      <formula>"Pass"</formula>
    </cfRule>
    <cfRule type="cellIs" dxfId="1087" priority="1444" stopIfTrue="1" operator="equal">
      <formula>"please check"</formula>
    </cfRule>
  </conditionalFormatting>
  <conditionalFormatting sqref="B532">
    <cfRule type="cellIs" dxfId="1086" priority="23" stopIfTrue="1" operator="equal">
      <formula>"Pass"</formula>
    </cfRule>
    <cfRule type="cellIs" dxfId="1085" priority="1445" stopIfTrue="1" operator="equal">
      <formula>"please check"</formula>
    </cfRule>
  </conditionalFormatting>
  <conditionalFormatting sqref="B572">
    <cfRule type="cellIs" dxfId="1084" priority="21" stopIfTrue="1" operator="equal">
      <formula>"Pass"</formula>
    </cfRule>
    <cfRule type="cellIs" dxfId="1083" priority="1446" stopIfTrue="1" operator="equal">
      <formula>"please check"</formula>
    </cfRule>
  </conditionalFormatting>
  <conditionalFormatting sqref="B612">
    <cfRule type="cellIs" dxfId="1082" priority="19" stopIfTrue="1" operator="equal">
      <formula>"Pass"</formula>
    </cfRule>
    <cfRule type="cellIs" dxfId="1081" priority="67" stopIfTrue="1" operator="equal">
      <formula>"please check"</formula>
    </cfRule>
  </conditionalFormatting>
  <conditionalFormatting sqref="B652">
    <cfRule type="cellIs" dxfId="1080" priority="17" stopIfTrue="1" operator="equal">
      <formula>"Pass"</formula>
    </cfRule>
    <cfRule type="cellIs" dxfId="1079" priority="1447" stopIfTrue="1" operator="equal">
      <formula>"please check"</formula>
    </cfRule>
  </conditionalFormatting>
  <conditionalFormatting sqref="B692">
    <cfRule type="cellIs" dxfId="1078" priority="15" stopIfTrue="1" operator="equal">
      <formula>"Pass"</formula>
    </cfRule>
    <cfRule type="cellIs" dxfId="1077" priority="1448" stopIfTrue="1" operator="equal">
      <formula>"please check"</formula>
    </cfRule>
  </conditionalFormatting>
  <conditionalFormatting sqref="B732">
    <cfRule type="cellIs" dxfId="1076" priority="13" stopIfTrue="1" operator="equal">
      <formula>"Pass"</formula>
    </cfRule>
    <cfRule type="cellIs" dxfId="1075" priority="1449" stopIfTrue="1" operator="equal">
      <formula>"please check"</formula>
    </cfRule>
  </conditionalFormatting>
  <conditionalFormatting sqref="B772">
    <cfRule type="cellIs" dxfId="1074" priority="11" stopIfTrue="1" operator="equal">
      <formula>"Pass"</formula>
    </cfRule>
    <cfRule type="cellIs" dxfId="1073" priority="1450" stopIfTrue="1" operator="equal">
      <formula>"please check"</formula>
    </cfRule>
  </conditionalFormatting>
  <conditionalFormatting sqref="B812">
    <cfRule type="cellIs" dxfId="1072" priority="9" stopIfTrue="1" operator="equal">
      <formula>"Pass"</formula>
    </cfRule>
    <cfRule type="cellIs" dxfId="1071" priority="1451" stopIfTrue="1" operator="equal">
      <formula>"please check"</formula>
    </cfRule>
  </conditionalFormatting>
  <conditionalFormatting sqref="B852">
    <cfRule type="cellIs" dxfId="1070" priority="7" stopIfTrue="1" operator="equal">
      <formula>"Pass"</formula>
    </cfRule>
    <cfRule type="cellIs" dxfId="1069" priority="1452" stopIfTrue="1" operator="equal">
      <formula>"please check"</formula>
    </cfRule>
  </conditionalFormatting>
  <conditionalFormatting sqref="B892">
    <cfRule type="cellIs" dxfId="1068" priority="5" stopIfTrue="1" operator="equal">
      <formula>"Pass"</formula>
    </cfRule>
    <cfRule type="cellIs" dxfId="1067" priority="53" stopIfTrue="1" operator="equal">
      <formula>"please check"</formula>
    </cfRule>
  </conditionalFormatting>
  <conditionalFormatting sqref="B932">
    <cfRule type="cellIs" dxfId="1066" priority="3" stopIfTrue="1" operator="equal">
      <formula>"Pass"</formula>
    </cfRule>
    <cfRule type="cellIs" dxfId="1065" priority="1453" stopIfTrue="1" operator="equal">
      <formula>"please check"</formula>
    </cfRule>
  </conditionalFormatting>
  <conditionalFormatting sqref="B972">
    <cfRule type="cellIs" dxfId="1064" priority="1" stopIfTrue="1" operator="equal">
      <formula>"Pass"</formula>
    </cfRule>
    <cfRule type="cellIs" dxfId="1063" priority="1454" stopIfTrue="1" operator="equal">
      <formula>"please check"</formula>
    </cfRule>
  </conditionalFormatting>
  <dataValidations count="5">
    <dataValidation type="list" allowBlank="1" showInputMessage="1" showErrorMessage="1" sqref="C7:Z7">
      <formula1>EUCCPparticipation</formula1>
    </dataValidation>
    <dataValidation type="list" allowBlank="1" showInputMessage="1" showErrorMessage="1" sqref="C10:Z10">
      <formula1>EUCCPreached</formula1>
    </dataValidation>
    <dataValidation type="list" allowBlank="1" showInputMessage="1" showErrorMessage="1" sqref="C13:Z13">
      <formula1>EUCCPcountryclearingmember</formula1>
    </dataValidation>
    <dataValidation type="list" allowBlank="1" showInputMessage="1" showErrorMessage="1" sqref="C56 C136 C296 C936 C96 C176 C216 C256 C336 C376 C416 C456 C496 C536 C576 C616 C656 C696 C736 C776 C816 C856 C896 C976">
      <formula1>EUCCPCCRapproachused</formula1>
    </dataValidation>
    <dataValidation type="list" allowBlank="1" showInputMessage="1" showErrorMessage="1" sqref="C57 C137:C138 C297 C937:C938 C97 C177 C217 C257 C337 C377 C417 C457 C497 C537 C577 C617 C657 C697 C737 C777 C817 C857 C897 C977">
      <formula1>EUCCPownfundsapproach</formula1>
    </dataValidation>
  </dataValidations>
  <pageMargins left="0.7" right="0.7" top="0.75" bottom="0.75" header="0.3" footer="0.3"/>
  <pageSetup paperSize="9" orientation="portrait" r:id="rId1"/>
  <headerFooter>
    <oddHeader>&amp;L&amp;"Calibri"&amp;12&amp;K000000 EBA Regular Use&amp;1#_x000D_</oddHeader>
  </headerFooter>
  <extLst>
    <ext xmlns:x14="http://schemas.microsoft.com/office/spreadsheetml/2009/9/main" uri="{78C0D931-6437-407d-A8EE-F0AAD7539E65}">
      <x14:conditionalFormattings>
        <x14:conditionalFormatting xmlns:xm="http://schemas.microsoft.com/office/excel/2006/main">
          <x14:cfRule type="beginsWith" priority="376" stopIfTrue="1" operator="beginsWith" id="{77E6365D-D66A-4BF8-BA3F-4DFA0C3B2769}">
            <xm:f>LEFT(B52,LEN("Fail"))="Fail"</xm:f>
            <xm:f>"Fail"</xm:f>
            <x14:dxf>
              <font>
                <b/>
                <i val="0"/>
                <strike val="0"/>
                <color rgb="FFAA322F"/>
              </font>
              <fill>
                <patternFill patternType="solid">
                  <bgColor theme="0"/>
                </patternFill>
              </fill>
            </x14:dxf>
          </x14:cfRule>
          <xm:sqref>B52</xm:sqref>
        </x14:conditionalFormatting>
        <x14:conditionalFormatting xmlns:xm="http://schemas.microsoft.com/office/excel/2006/main">
          <x14:cfRule type="beginsWith" priority="372" stopIfTrue="1" operator="beginsWith" id="{D93C706A-0C08-4B16-AFDA-031A36F814E5}">
            <xm:f>LEFT(C55,LEN("Fail"))="Fail"</xm:f>
            <xm:f>"Fail"</xm:f>
            <x14:dxf>
              <font>
                <b/>
                <i val="0"/>
                <strike val="0"/>
                <color rgb="FFAA322F"/>
              </font>
              <fill>
                <patternFill patternType="solid">
                  <bgColor theme="0"/>
                </patternFill>
              </fill>
            </x14:dxf>
          </x14:cfRule>
          <xm:sqref>C55:Q55</xm:sqref>
        </x14:conditionalFormatting>
        <x14:conditionalFormatting xmlns:xm="http://schemas.microsoft.com/office/excel/2006/main">
          <x14:cfRule type="beginsWith" priority="359" stopIfTrue="1" operator="beginsWith" id="{13300638-462B-43A0-BD15-1E20AD0B07CC}">
            <xm:f>LEFT(C95,LEN("Fail"))="Fail"</xm:f>
            <xm:f>"Fail"</xm:f>
            <x14:dxf>
              <font>
                <b/>
                <i val="0"/>
                <strike val="0"/>
                <color rgb="FFAA322F"/>
              </font>
              <fill>
                <patternFill patternType="solid">
                  <bgColor theme="0"/>
                </patternFill>
              </fill>
            </x14:dxf>
          </x14:cfRule>
          <xm:sqref>C95:Q95</xm:sqref>
        </x14:conditionalFormatting>
        <x14:conditionalFormatting xmlns:xm="http://schemas.microsoft.com/office/excel/2006/main">
          <x14:cfRule type="beginsWith" priority="346" stopIfTrue="1" operator="beginsWith" id="{C659AB85-9017-4486-AD17-282FEE236492}">
            <xm:f>LEFT(C135,LEN("Fail"))="Fail"</xm:f>
            <xm:f>"Fail"</xm:f>
            <x14:dxf>
              <font>
                <b/>
                <i val="0"/>
                <strike val="0"/>
                <color rgb="FFAA322F"/>
              </font>
              <fill>
                <patternFill patternType="solid">
                  <bgColor theme="0"/>
                </patternFill>
              </fill>
            </x14:dxf>
          </x14:cfRule>
          <xm:sqref>C135:Q135</xm:sqref>
        </x14:conditionalFormatting>
        <x14:conditionalFormatting xmlns:xm="http://schemas.microsoft.com/office/excel/2006/main">
          <x14:cfRule type="beginsWith" priority="333" stopIfTrue="1" operator="beginsWith" id="{1FA5DB05-644D-4E21-9555-0E53CFDE160C}">
            <xm:f>LEFT(C175,LEN("Fail"))="Fail"</xm:f>
            <xm:f>"Fail"</xm:f>
            <x14:dxf>
              <font>
                <b/>
                <i val="0"/>
                <strike val="0"/>
                <color rgb="FFAA322F"/>
              </font>
              <fill>
                <patternFill patternType="solid">
                  <bgColor theme="0"/>
                </patternFill>
              </fill>
            </x14:dxf>
          </x14:cfRule>
          <xm:sqref>C175:Q175</xm:sqref>
        </x14:conditionalFormatting>
        <x14:conditionalFormatting xmlns:xm="http://schemas.microsoft.com/office/excel/2006/main">
          <x14:cfRule type="beginsWith" priority="319" stopIfTrue="1" operator="beginsWith" id="{CC24ECA3-5F6D-4240-B227-36AC4F80F7E4}">
            <xm:f>LEFT(C215,LEN("Fail"))="Fail"</xm:f>
            <xm:f>"Fail"</xm:f>
            <x14:dxf>
              <font>
                <b/>
                <i val="0"/>
                <strike val="0"/>
                <color rgb="FFAA322F"/>
              </font>
              <fill>
                <patternFill patternType="solid">
                  <bgColor theme="0"/>
                </patternFill>
              </fill>
            </x14:dxf>
          </x14:cfRule>
          <xm:sqref>C215:Q215</xm:sqref>
        </x14:conditionalFormatting>
        <x14:conditionalFormatting xmlns:xm="http://schemas.microsoft.com/office/excel/2006/main">
          <x14:cfRule type="beginsWith" priority="305" stopIfTrue="1" operator="beginsWith" id="{38386310-B0D0-42AD-8152-08B451B77654}">
            <xm:f>LEFT(C255,LEN("Fail"))="Fail"</xm:f>
            <xm:f>"Fail"</xm:f>
            <x14:dxf>
              <font>
                <b/>
                <i val="0"/>
                <strike val="0"/>
                <color rgb="FFAA322F"/>
              </font>
              <fill>
                <patternFill patternType="solid">
                  <bgColor theme="0"/>
                </patternFill>
              </fill>
            </x14:dxf>
          </x14:cfRule>
          <xm:sqref>C255:Q255</xm:sqref>
        </x14:conditionalFormatting>
        <x14:conditionalFormatting xmlns:xm="http://schemas.microsoft.com/office/excel/2006/main">
          <x14:cfRule type="beginsWith" priority="291" stopIfTrue="1" operator="beginsWith" id="{78720CB1-D476-4BBD-B892-595EE58AC973}">
            <xm:f>LEFT(C295,LEN("Fail"))="Fail"</xm:f>
            <xm:f>"Fail"</xm:f>
            <x14:dxf>
              <font>
                <b/>
                <i val="0"/>
                <strike val="0"/>
                <color rgb="FFAA322F"/>
              </font>
              <fill>
                <patternFill patternType="solid">
                  <bgColor theme="0"/>
                </patternFill>
              </fill>
            </x14:dxf>
          </x14:cfRule>
          <xm:sqref>C295:Q295</xm:sqref>
        </x14:conditionalFormatting>
        <x14:conditionalFormatting xmlns:xm="http://schemas.microsoft.com/office/excel/2006/main">
          <x14:cfRule type="beginsWith" priority="277" stopIfTrue="1" operator="beginsWith" id="{17609C43-C1A0-4616-957B-5E1C14FC201D}">
            <xm:f>LEFT(C335,LEN("Fail"))="Fail"</xm:f>
            <xm:f>"Fail"</xm:f>
            <x14:dxf>
              <font>
                <b/>
                <i val="0"/>
                <strike val="0"/>
                <color rgb="FFAA322F"/>
              </font>
              <fill>
                <patternFill patternType="solid">
                  <bgColor theme="0"/>
                </patternFill>
              </fill>
            </x14:dxf>
          </x14:cfRule>
          <xm:sqref>C335:Q335</xm:sqref>
        </x14:conditionalFormatting>
        <x14:conditionalFormatting xmlns:xm="http://schemas.microsoft.com/office/excel/2006/main">
          <x14:cfRule type="beginsWith" priority="263" stopIfTrue="1" operator="beginsWith" id="{2133BEDF-CE60-4EDE-B9B2-7F7EDE51DC7F}">
            <xm:f>LEFT(C375,LEN("Fail"))="Fail"</xm:f>
            <xm:f>"Fail"</xm:f>
            <x14:dxf>
              <font>
                <b/>
                <i val="0"/>
                <strike val="0"/>
                <color rgb="FFAA322F"/>
              </font>
              <fill>
                <patternFill patternType="solid">
                  <bgColor theme="0"/>
                </patternFill>
              </fill>
            </x14:dxf>
          </x14:cfRule>
          <xm:sqref>C375:Q375</xm:sqref>
        </x14:conditionalFormatting>
        <x14:conditionalFormatting xmlns:xm="http://schemas.microsoft.com/office/excel/2006/main">
          <x14:cfRule type="beginsWith" priority="249" stopIfTrue="1" operator="beginsWith" id="{766FFFA6-2B54-48DF-9781-535C1D3350A1}">
            <xm:f>LEFT(C415,LEN("Fail"))="Fail"</xm:f>
            <xm:f>"Fail"</xm:f>
            <x14:dxf>
              <font>
                <b/>
                <i val="0"/>
                <strike val="0"/>
                <color rgb="FFAA322F"/>
              </font>
              <fill>
                <patternFill patternType="solid">
                  <bgColor theme="0"/>
                </patternFill>
              </fill>
            </x14:dxf>
          </x14:cfRule>
          <xm:sqref>C415:Q415</xm:sqref>
        </x14:conditionalFormatting>
        <x14:conditionalFormatting xmlns:xm="http://schemas.microsoft.com/office/excel/2006/main">
          <x14:cfRule type="beginsWith" priority="235" stopIfTrue="1" operator="beginsWith" id="{AF4BBAB5-D004-45C0-89FA-22EB21AA9EE6}">
            <xm:f>LEFT(C455,LEN("Fail"))="Fail"</xm:f>
            <xm:f>"Fail"</xm:f>
            <x14:dxf>
              <font>
                <b/>
                <i val="0"/>
                <strike val="0"/>
                <color rgb="FFAA322F"/>
              </font>
              <fill>
                <patternFill patternType="solid">
                  <bgColor theme="0"/>
                </patternFill>
              </fill>
            </x14:dxf>
          </x14:cfRule>
          <xm:sqref>C455:Q455</xm:sqref>
        </x14:conditionalFormatting>
        <x14:conditionalFormatting xmlns:xm="http://schemas.microsoft.com/office/excel/2006/main">
          <x14:cfRule type="beginsWith" priority="221" stopIfTrue="1" operator="beginsWith" id="{8FCDC132-90E0-4BDB-8076-4484EF4805A5}">
            <xm:f>LEFT(C495,LEN("Fail"))="Fail"</xm:f>
            <xm:f>"Fail"</xm:f>
            <x14:dxf>
              <font>
                <b/>
                <i val="0"/>
                <strike val="0"/>
                <color rgb="FFAA322F"/>
              </font>
              <fill>
                <patternFill patternType="solid">
                  <bgColor theme="0"/>
                </patternFill>
              </fill>
            </x14:dxf>
          </x14:cfRule>
          <xm:sqref>C495:Q495</xm:sqref>
        </x14:conditionalFormatting>
        <x14:conditionalFormatting xmlns:xm="http://schemas.microsoft.com/office/excel/2006/main">
          <x14:cfRule type="beginsWith" priority="207" stopIfTrue="1" operator="beginsWith" id="{DBD4EEFE-5F3C-4B55-94CF-8144E8384387}">
            <xm:f>LEFT(C535,LEN("Fail"))="Fail"</xm:f>
            <xm:f>"Fail"</xm:f>
            <x14:dxf>
              <font>
                <b/>
                <i val="0"/>
                <strike val="0"/>
                <color rgb="FFAA322F"/>
              </font>
              <fill>
                <patternFill patternType="solid">
                  <bgColor theme="0"/>
                </patternFill>
              </fill>
            </x14:dxf>
          </x14:cfRule>
          <xm:sqref>C535:Q535</xm:sqref>
        </x14:conditionalFormatting>
        <x14:conditionalFormatting xmlns:xm="http://schemas.microsoft.com/office/excel/2006/main">
          <x14:cfRule type="beginsWith" priority="193" stopIfTrue="1" operator="beginsWith" id="{6944C61E-B005-45C7-AE57-6010304FE64E}">
            <xm:f>LEFT(C575,LEN("Fail"))="Fail"</xm:f>
            <xm:f>"Fail"</xm:f>
            <x14:dxf>
              <font>
                <b/>
                <i val="0"/>
                <strike val="0"/>
                <color rgb="FFAA322F"/>
              </font>
              <fill>
                <patternFill patternType="solid">
                  <bgColor theme="0"/>
                </patternFill>
              </fill>
            </x14:dxf>
          </x14:cfRule>
          <xm:sqref>C575:Q575</xm:sqref>
        </x14:conditionalFormatting>
        <x14:conditionalFormatting xmlns:xm="http://schemas.microsoft.com/office/excel/2006/main">
          <x14:cfRule type="beginsWith" priority="179" stopIfTrue="1" operator="beginsWith" id="{9BFF5FAF-91AE-4BEB-8B60-A98F441CA754}">
            <xm:f>LEFT(C615,LEN("Fail"))="Fail"</xm:f>
            <xm:f>"Fail"</xm:f>
            <x14:dxf>
              <font>
                <b/>
                <i val="0"/>
                <strike val="0"/>
                <color rgb="FFAA322F"/>
              </font>
              <fill>
                <patternFill patternType="solid">
                  <bgColor theme="0"/>
                </patternFill>
              </fill>
            </x14:dxf>
          </x14:cfRule>
          <xm:sqref>C615:Q615</xm:sqref>
        </x14:conditionalFormatting>
        <x14:conditionalFormatting xmlns:xm="http://schemas.microsoft.com/office/excel/2006/main">
          <x14:cfRule type="beginsWith" priority="165" stopIfTrue="1" operator="beginsWith" id="{F8983BAF-F3B0-476E-98F4-E5C16404C62C}">
            <xm:f>LEFT(C655,LEN("Fail"))="Fail"</xm:f>
            <xm:f>"Fail"</xm:f>
            <x14:dxf>
              <font>
                <b/>
                <i val="0"/>
                <strike val="0"/>
                <color rgb="FFAA322F"/>
              </font>
              <fill>
                <patternFill patternType="solid">
                  <bgColor theme="0"/>
                </patternFill>
              </fill>
            </x14:dxf>
          </x14:cfRule>
          <xm:sqref>C655:Q655</xm:sqref>
        </x14:conditionalFormatting>
        <x14:conditionalFormatting xmlns:xm="http://schemas.microsoft.com/office/excel/2006/main">
          <x14:cfRule type="beginsWith" priority="151" stopIfTrue="1" operator="beginsWith" id="{A69BE3CA-3C68-44DC-BA97-FBC34D84DA97}">
            <xm:f>LEFT(C695,LEN("Fail"))="Fail"</xm:f>
            <xm:f>"Fail"</xm:f>
            <x14:dxf>
              <font>
                <b/>
                <i val="0"/>
                <strike val="0"/>
                <color rgb="FFAA322F"/>
              </font>
              <fill>
                <patternFill patternType="solid">
                  <bgColor theme="0"/>
                </patternFill>
              </fill>
            </x14:dxf>
          </x14:cfRule>
          <xm:sqref>C695:Q695</xm:sqref>
        </x14:conditionalFormatting>
        <x14:conditionalFormatting xmlns:xm="http://schemas.microsoft.com/office/excel/2006/main">
          <x14:cfRule type="beginsWith" priority="137" stopIfTrue="1" operator="beginsWith" id="{E37302FD-FF17-4FC1-8D9A-042B2607ED8B}">
            <xm:f>LEFT(C735,LEN("Fail"))="Fail"</xm:f>
            <xm:f>"Fail"</xm:f>
            <x14:dxf>
              <font>
                <b/>
                <i val="0"/>
                <strike val="0"/>
                <color rgb="FFAA322F"/>
              </font>
              <fill>
                <patternFill patternType="solid">
                  <bgColor theme="0"/>
                </patternFill>
              </fill>
            </x14:dxf>
          </x14:cfRule>
          <xm:sqref>C735:Q735</xm:sqref>
        </x14:conditionalFormatting>
        <x14:conditionalFormatting xmlns:xm="http://schemas.microsoft.com/office/excel/2006/main">
          <x14:cfRule type="beginsWith" priority="123" stopIfTrue="1" operator="beginsWith" id="{E5E717D3-23F3-4C77-AEC9-1772D1B422D2}">
            <xm:f>LEFT(C775,LEN("Fail"))="Fail"</xm:f>
            <xm:f>"Fail"</xm:f>
            <x14:dxf>
              <font>
                <b/>
                <i val="0"/>
                <strike val="0"/>
                <color rgb="FFAA322F"/>
              </font>
              <fill>
                <patternFill patternType="solid">
                  <bgColor theme="0"/>
                </patternFill>
              </fill>
            </x14:dxf>
          </x14:cfRule>
          <xm:sqref>C775:Q775</xm:sqref>
        </x14:conditionalFormatting>
        <x14:conditionalFormatting xmlns:xm="http://schemas.microsoft.com/office/excel/2006/main">
          <x14:cfRule type="beginsWith" priority="109" stopIfTrue="1" operator="beginsWith" id="{B7F60738-FB00-49A1-A2CC-A2BD32EDE76B}">
            <xm:f>LEFT(C815,LEN("Fail"))="Fail"</xm:f>
            <xm:f>"Fail"</xm:f>
            <x14:dxf>
              <font>
                <b/>
                <i val="0"/>
                <strike val="0"/>
                <color rgb="FFAA322F"/>
              </font>
              <fill>
                <patternFill patternType="solid">
                  <bgColor theme="0"/>
                </patternFill>
              </fill>
            </x14:dxf>
          </x14:cfRule>
          <xm:sqref>C815:Q815</xm:sqref>
        </x14:conditionalFormatting>
        <x14:conditionalFormatting xmlns:xm="http://schemas.microsoft.com/office/excel/2006/main">
          <x14:cfRule type="beginsWith" priority="95" stopIfTrue="1" operator="beginsWith" id="{C9AA4B6A-4734-427F-8232-1A6FCFC04326}">
            <xm:f>LEFT(C855,LEN("Fail"))="Fail"</xm:f>
            <xm:f>"Fail"</xm:f>
            <x14:dxf>
              <font>
                <b/>
                <i val="0"/>
                <strike val="0"/>
                <color rgb="FFAA322F"/>
              </font>
              <fill>
                <patternFill patternType="solid">
                  <bgColor theme="0"/>
                </patternFill>
              </fill>
            </x14:dxf>
          </x14:cfRule>
          <xm:sqref>C855:Q855</xm:sqref>
        </x14:conditionalFormatting>
        <x14:conditionalFormatting xmlns:xm="http://schemas.microsoft.com/office/excel/2006/main">
          <x14:cfRule type="beginsWith" priority="1455" stopIfTrue="1" operator="beginsWith" id="{C7C034D1-BAAC-46B7-8604-DCE4918F1C4B}">
            <xm:f>LEFT(C895,LEN("Fail"))="Fail"</xm:f>
            <xm:f>"Fail"</xm:f>
            <x14:dxf>
              <font>
                <b/>
                <i val="0"/>
                <strike val="0"/>
                <color rgb="FFAA322F"/>
              </font>
              <fill>
                <patternFill patternType="solid">
                  <bgColor theme="0"/>
                </patternFill>
              </fill>
            </x14:dxf>
          </x14:cfRule>
          <xm:sqref>C895:Q895</xm:sqref>
        </x14:conditionalFormatting>
        <x14:conditionalFormatting xmlns:xm="http://schemas.microsoft.com/office/excel/2006/main">
          <x14:cfRule type="beginsWith" priority="1456" stopIfTrue="1" operator="beginsWith" id="{2A65867A-FFF0-4B5E-A868-E35BEEEC6499}">
            <xm:f>LEFT(C935,LEN("Fail"))="Fail"</xm:f>
            <xm:f>"Fail"</xm:f>
            <x14:dxf>
              <font>
                <b/>
                <i val="0"/>
                <strike val="0"/>
                <color rgb="FFAA322F"/>
              </font>
              <fill>
                <patternFill patternType="solid">
                  <bgColor theme="0"/>
                </patternFill>
              </fill>
            </x14:dxf>
          </x14:cfRule>
          <xm:sqref>C935:Q935</xm:sqref>
        </x14:conditionalFormatting>
        <x14:conditionalFormatting xmlns:xm="http://schemas.microsoft.com/office/excel/2006/main">
          <x14:cfRule type="beginsWith" priority="1457" stopIfTrue="1" operator="beginsWith" id="{24E8FA5B-3152-44D5-8346-BDCDAB3051E1}">
            <xm:f>LEFT(C975,LEN("Fail"))="Fail"</xm:f>
            <xm:f>"Fail"</xm:f>
            <x14:dxf>
              <font>
                <b/>
                <i val="0"/>
                <strike val="0"/>
                <color rgb="FFAA322F"/>
              </font>
              <fill>
                <patternFill patternType="solid">
                  <bgColor theme="0"/>
                </patternFill>
              </fill>
            </x14:dxf>
          </x14:cfRule>
          <xm:sqref>C975:Q975</xm:sqref>
        </x14:conditionalFormatting>
        <x14:conditionalFormatting xmlns:xm="http://schemas.microsoft.com/office/excel/2006/main">
          <x14:cfRule type="beginsWith" priority="48" stopIfTrue="1" operator="beginsWith" id="{128C47E2-DC47-412A-9F71-E2F341A6C865}">
            <xm:f>LEFT(B92,LEN("Fail"))="Fail"</xm:f>
            <xm:f>"Fail"</xm:f>
            <x14:dxf>
              <font>
                <b/>
                <i val="0"/>
                <strike val="0"/>
                <color rgb="FFAA322F"/>
              </font>
              <fill>
                <patternFill patternType="solid">
                  <bgColor theme="0"/>
                </patternFill>
              </fill>
            </x14:dxf>
          </x14:cfRule>
          <xm:sqref>B92</xm:sqref>
        </x14:conditionalFormatting>
        <x14:conditionalFormatting xmlns:xm="http://schemas.microsoft.com/office/excel/2006/main">
          <x14:cfRule type="beginsWith" priority="45" stopIfTrue="1" operator="beginsWith" id="{C76D8DC1-B390-4CB7-A9B0-6A45D8ECBF46}">
            <xm:f>LEFT(B132,LEN("Fail"))="Fail"</xm:f>
            <xm:f>"Fail"</xm:f>
            <x14:dxf>
              <font>
                <b/>
                <i val="0"/>
                <strike val="0"/>
                <color rgb="FFAA322F"/>
              </font>
              <fill>
                <patternFill patternType="solid">
                  <bgColor theme="0"/>
                </patternFill>
              </fill>
            </x14:dxf>
          </x14:cfRule>
          <xm:sqref>B132</xm:sqref>
        </x14:conditionalFormatting>
        <x14:conditionalFormatting xmlns:xm="http://schemas.microsoft.com/office/excel/2006/main">
          <x14:cfRule type="beginsWith" priority="42" stopIfTrue="1" operator="beginsWith" id="{94AD3010-5B83-4D03-A41C-A6A081ADB17D}">
            <xm:f>LEFT(B172,LEN("Fail"))="Fail"</xm:f>
            <xm:f>"Fail"</xm:f>
            <x14:dxf>
              <font>
                <b/>
                <i val="0"/>
                <strike val="0"/>
                <color rgb="FFAA322F"/>
              </font>
              <fill>
                <patternFill patternType="solid">
                  <bgColor theme="0"/>
                </patternFill>
              </fill>
            </x14:dxf>
          </x14:cfRule>
          <xm:sqref>B172</xm:sqref>
        </x14:conditionalFormatting>
        <x14:conditionalFormatting xmlns:xm="http://schemas.microsoft.com/office/excel/2006/main">
          <x14:cfRule type="beginsWith" priority="40" stopIfTrue="1" operator="beginsWith" id="{D1A041B9-E2BD-4294-A397-5A024BD879A1}">
            <xm:f>LEFT(B212,LEN("Fail"))="Fail"</xm:f>
            <xm:f>"Fail"</xm:f>
            <x14:dxf>
              <font>
                <b/>
                <i val="0"/>
                <strike val="0"/>
                <color rgb="FFAA322F"/>
              </font>
              <fill>
                <patternFill patternType="solid">
                  <bgColor theme="0"/>
                </patternFill>
              </fill>
            </x14:dxf>
          </x14:cfRule>
          <xm:sqref>B212</xm:sqref>
        </x14:conditionalFormatting>
        <x14:conditionalFormatting xmlns:xm="http://schemas.microsoft.com/office/excel/2006/main">
          <x14:cfRule type="beginsWith" priority="38" stopIfTrue="1" operator="beginsWith" id="{E4875BE3-F8D0-40A5-900D-704FE1DA8A19}">
            <xm:f>LEFT(B252,LEN("Fail"))="Fail"</xm:f>
            <xm:f>"Fail"</xm:f>
            <x14:dxf>
              <font>
                <b/>
                <i val="0"/>
                <strike val="0"/>
                <color rgb="FFAA322F"/>
              </font>
              <fill>
                <patternFill patternType="solid">
                  <bgColor theme="0"/>
                </patternFill>
              </fill>
            </x14:dxf>
          </x14:cfRule>
          <xm:sqref>B252</xm:sqref>
        </x14:conditionalFormatting>
        <x14:conditionalFormatting xmlns:xm="http://schemas.microsoft.com/office/excel/2006/main">
          <x14:cfRule type="beginsWith" priority="36" stopIfTrue="1" operator="beginsWith" id="{B9440341-1BED-4425-97AC-97769E27192A}">
            <xm:f>LEFT(B292,LEN("Fail"))="Fail"</xm:f>
            <xm:f>"Fail"</xm:f>
            <x14:dxf>
              <font>
                <b/>
                <i val="0"/>
                <strike val="0"/>
                <color rgb="FFAA322F"/>
              </font>
              <fill>
                <patternFill patternType="solid">
                  <bgColor theme="0"/>
                </patternFill>
              </fill>
            </x14:dxf>
          </x14:cfRule>
          <xm:sqref>B292</xm:sqref>
        </x14:conditionalFormatting>
        <x14:conditionalFormatting xmlns:xm="http://schemas.microsoft.com/office/excel/2006/main">
          <x14:cfRule type="beginsWith" priority="34" stopIfTrue="1" operator="beginsWith" id="{4809D7D2-A1D7-4313-855C-F08B8FC494CD}">
            <xm:f>LEFT(B332,LEN("Fail"))="Fail"</xm:f>
            <xm:f>"Fail"</xm:f>
            <x14:dxf>
              <font>
                <b/>
                <i val="0"/>
                <strike val="0"/>
                <color rgb="FFAA322F"/>
              </font>
              <fill>
                <patternFill patternType="solid">
                  <bgColor theme="0"/>
                </patternFill>
              </fill>
            </x14:dxf>
          </x14:cfRule>
          <xm:sqref>B332</xm:sqref>
        </x14:conditionalFormatting>
        <x14:conditionalFormatting xmlns:xm="http://schemas.microsoft.com/office/excel/2006/main">
          <x14:cfRule type="beginsWith" priority="32" stopIfTrue="1" operator="beginsWith" id="{15439EC5-BF10-4497-BBDE-FD42587F640D}">
            <xm:f>LEFT(B372,LEN("Fail"))="Fail"</xm:f>
            <xm:f>"Fail"</xm:f>
            <x14:dxf>
              <font>
                <b/>
                <i val="0"/>
                <strike val="0"/>
                <color rgb="FFAA322F"/>
              </font>
              <fill>
                <patternFill patternType="solid">
                  <bgColor theme="0"/>
                </patternFill>
              </fill>
            </x14:dxf>
          </x14:cfRule>
          <xm:sqref>B372</xm:sqref>
        </x14:conditionalFormatting>
        <x14:conditionalFormatting xmlns:xm="http://schemas.microsoft.com/office/excel/2006/main">
          <x14:cfRule type="beginsWith" priority="30" stopIfTrue="1" operator="beginsWith" id="{C65B15BF-C388-458D-8141-8624B209A4AE}">
            <xm:f>LEFT(B412,LEN("Fail"))="Fail"</xm:f>
            <xm:f>"Fail"</xm:f>
            <x14:dxf>
              <font>
                <b/>
                <i val="0"/>
                <strike val="0"/>
                <color rgb="FFAA322F"/>
              </font>
              <fill>
                <patternFill patternType="solid">
                  <bgColor theme="0"/>
                </patternFill>
              </fill>
            </x14:dxf>
          </x14:cfRule>
          <xm:sqref>B412</xm:sqref>
        </x14:conditionalFormatting>
        <x14:conditionalFormatting xmlns:xm="http://schemas.microsoft.com/office/excel/2006/main">
          <x14:cfRule type="beginsWith" priority="28" stopIfTrue="1" operator="beginsWith" id="{31335A3F-9B6F-460C-B145-79BB3D0974EA}">
            <xm:f>LEFT(B452,LEN("Fail"))="Fail"</xm:f>
            <xm:f>"Fail"</xm:f>
            <x14:dxf>
              <font>
                <b/>
                <i val="0"/>
                <strike val="0"/>
                <color rgb="FFAA322F"/>
              </font>
              <fill>
                <patternFill patternType="solid">
                  <bgColor theme="0"/>
                </patternFill>
              </fill>
            </x14:dxf>
          </x14:cfRule>
          <xm:sqref>B452</xm:sqref>
        </x14:conditionalFormatting>
        <x14:conditionalFormatting xmlns:xm="http://schemas.microsoft.com/office/excel/2006/main">
          <x14:cfRule type="beginsWith" priority="26" stopIfTrue="1" operator="beginsWith" id="{9AAB68C7-6670-4BA5-80BF-0D5EA93C063A}">
            <xm:f>LEFT(B492,LEN("Fail"))="Fail"</xm:f>
            <xm:f>"Fail"</xm:f>
            <x14:dxf>
              <font>
                <b/>
                <i val="0"/>
                <strike val="0"/>
                <color rgb="FFAA322F"/>
              </font>
              <fill>
                <patternFill patternType="solid">
                  <bgColor theme="0"/>
                </patternFill>
              </fill>
            </x14:dxf>
          </x14:cfRule>
          <xm:sqref>B492</xm:sqref>
        </x14:conditionalFormatting>
        <x14:conditionalFormatting xmlns:xm="http://schemas.microsoft.com/office/excel/2006/main">
          <x14:cfRule type="beginsWith" priority="24" stopIfTrue="1" operator="beginsWith" id="{F1FFD95A-9C82-4907-A4D9-84F2EF1743AD}">
            <xm:f>LEFT(B532,LEN("Fail"))="Fail"</xm:f>
            <xm:f>"Fail"</xm:f>
            <x14:dxf>
              <font>
                <b/>
                <i val="0"/>
                <strike val="0"/>
                <color rgb="FFAA322F"/>
              </font>
              <fill>
                <patternFill patternType="solid">
                  <bgColor theme="0"/>
                </patternFill>
              </fill>
            </x14:dxf>
          </x14:cfRule>
          <xm:sqref>B532</xm:sqref>
        </x14:conditionalFormatting>
        <x14:conditionalFormatting xmlns:xm="http://schemas.microsoft.com/office/excel/2006/main">
          <x14:cfRule type="beginsWith" priority="22" stopIfTrue="1" operator="beginsWith" id="{BE7989B1-B725-4174-B3E9-C535D77FCF98}">
            <xm:f>LEFT(B572,LEN("Fail"))="Fail"</xm:f>
            <xm:f>"Fail"</xm:f>
            <x14:dxf>
              <font>
                <b/>
                <i val="0"/>
                <strike val="0"/>
                <color rgb="FFAA322F"/>
              </font>
              <fill>
                <patternFill patternType="solid">
                  <bgColor theme="0"/>
                </patternFill>
              </fill>
            </x14:dxf>
          </x14:cfRule>
          <xm:sqref>B572</xm:sqref>
        </x14:conditionalFormatting>
        <x14:conditionalFormatting xmlns:xm="http://schemas.microsoft.com/office/excel/2006/main">
          <x14:cfRule type="beginsWith" priority="20" stopIfTrue="1" operator="beginsWith" id="{D5E696FC-72B3-45F2-8B84-8CB1F281C991}">
            <xm:f>LEFT(B612,LEN("Fail"))="Fail"</xm:f>
            <xm:f>"Fail"</xm:f>
            <x14:dxf>
              <font>
                <b/>
                <i val="0"/>
                <strike val="0"/>
                <color rgb="FFAA322F"/>
              </font>
              <fill>
                <patternFill patternType="solid">
                  <bgColor theme="0"/>
                </patternFill>
              </fill>
            </x14:dxf>
          </x14:cfRule>
          <xm:sqref>B612</xm:sqref>
        </x14:conditionalFormatting>
        <x14:conditionalFormatting xmlns:xm="http://schemas.microsoft.com/office/excel/2006/main">
          <x14:cfRule type="beginsWith" priority="18" stopIfTrue="1" operator="beginsWith" id="{144CBF33-134C-44E5-8ABA-66A5E61B7D23}">
            <xm:f>LEFT(B652,LEN("Fail"))="Fail"</xm:f>
            <xm:f>"Fail"</xm:f>
            <x14:dxf>
              <font>
                <b/>
                <i val="0"/>
                <strike val="0"/>
                <color rgb="FFAA322F"/>
              </font>
              <fill>
                <patternFill patternType="solid">
                  <bgColor theme="0"/>
                </patternFill>
              </fill>
            </x14:dxf>
          </x14:cfRule>
          <xm:sqref>B652</xm:sqref>
        </x14:conditionalFormatting>
        <x14:conditionalFormatting xmlns:xm="http://schemas.microsoft.com/office/excel/2006/main">
          <x14:cfRule type="beginsWith" priority="16" stopIfTrue="1" operator="beginsWith" id="{1A3A8A5D-CDB5-47D5-B6CD-90D2F188480B}">
            <xm:f>LEFT(B692,LEN("Fail"))="Fail"</xm:f>
            <xm:f>"Fail"</xm:f>
            <x14:dxf>
              <font>
                <b/>
                <i val="0"/>
                <strike val="0"/>
                <color rgb="FFAA322F"/>
              </font>
              <fill>
                <patternFill patternType="solid">
                  <bgColor theme="0"/>
                </patternFill>
              </fill>
            </x14:dxf>
          </x14:cfRule>
          <xm:sqref>B692</xm:sqref>
        </x14:conditionalFormatting>
        <x14:conditionalFormatting xmlns:xm="http://schemas.microsoft.com/office/excel/2006/main">
          <x14:cfRule type="beginsWith" priority="14" stopIfTrue="1" operator="beginsWith" id="{35408B64-CCE2-4531-BFCF-BC8EF053EDE0}">
            <xm:f>LEFT(B732,LEN("Fail"))="Fail"</xm:f>
            <xm:f>"Fail"</xm:f>
            <x14:dxf>
              <font>
                <b/>
                <i val="0"/>
                <strike val="0"/>
                <color rgb="FFAA322F"/>
              </font>
              <fill>
                <patternFill patternType="solid">
                  <bgColor theme="0"/>
                </patternFill>
              </fill>
            </x14:dxf>
          </x14:cfRule>
          <xm:sqref>B732</xm:sqref>
        </x14:conditionalFormatting>
        <x14:conditionalFormatting xmlns:xm="http://schemas.microsoft.com/office/excel/2006/main">
          <x14:cfRule type="beginsWith" priority="12" stopIfTrue="1" operator="beginsWith" id="{4A055088-8BF4-4B94-B834-49AEE8AF7422}">
            <xm:f>LEFT(B772,LEN("Fail"))="Fail"</xm:f>
            <xm:f>"Fail"</xm:f>
            <x14:dxf>
              <font>
                <b/>
                <i val="0"/>
                <strike val="0"/>
                <color rgb="FFAA322F"/>
              </font>
              <fill>
                <patternFill patternType="solid">
                  <bgColor theme="0"/>
                </patternFill>
              </fill>
            </x14:dxf>
          </x14:cfRule>
          <xm:sqref>B772</xm:sqref>
        </x14:conditionalFormatting>
        <x14:conditionalFormatting xmlns:xm="http://schemas.microsoft.com/office/excel/2006/main">
          <x14:cfRule type="beginsWith" priority="10" stopIfTrue="1" operator="beginsWith" id="{92C32386-422E-4D69-93E9-7697DC8CDDBD}">
            <xm:f>LEFT(B812,LEN("Fail"))="Fail"</xm:f>
            <xm:f>"Fail"</xm:f>
            <x14:dxf>
              <font>
                <b/>
                <i val="0"/>
                <strike val="0"/>
                <color rgb="FFAA322F"/>
              </font>
              <fill>
                <patternFill patternType="solid">
                  <bgColor theme="0"/>
                </patternFill>
              </fill>
            </x14:dxf>
          </x14:cfRule>
          <xm:sqref>B812</xm:sqref>
        </x14:conditionalFormatting>
        <x14:conditionalFormatting xmlns:xm="http://schemas.microsoft.com/office/excel/2006/main">
          <x14:cfRule type="beginsWith" priority="8" stopIfTrue="1" operator="beginsWith" id="{44D575D1-AD9F-4150-9A2B-FD592360639C}">
            <xm:f>LEFT(B852,LEN("Fail"))="Fail"</xm:f>
            <xm:f>"Fail"</xm:f>
            <x14:dxf>
              <font>
                <b/>
                <i val="0"/>
                <strike val="0"/>
                <color rgb="FFAA322F"/>
              </font>
              <fill>
                <patternFill patternType="solid">
                  <bgColor theme="0"/>
                </patternFill>
              </fill>
            </x14:dxf>
          </x14:cfRule>
          <xm:sqref>B852</xm:sqref>
        </x14:conditionalFormatting>
        <x14:conditionalFormatting xmlns:xm="http://schemas.microsoft.com/office/excel/2006/main">
          <x14:cfRule type="beginsWith" priority="6" stopIfTrue="1" operator="beginsWith" id="{ABA276B6-A85B-48C7-B5DF-BF707F574735}">
            <xm:f>LEFT(B892,LEN("Fail"))="Fail"</xm:f>
            <xm:f>"Fail"</xm:f>
            <x14:dxf>
              <font>
                <b/>
                <i val="0"/>
                <strike val="0"/>
                <color rgb="FFAA322F"/>
              </font>
              <fill>
                <patternFill patternType="solid">
                  <bgColor theme="0"/>
                </patternFill>
              </fill>
            </x14:dxf>
          </x14:cfRule>
          <xm:sqref>B892</xm:sqref>
        </x14:conditionalFormatting>
        <x14:conditionalFormatting xmlns:xm="http://schemas.microsoft.com/office/excel/2006/main">
          <x14:cfRule type="beginsWith" priority="4" stopIfTrue="1" operator="beginsWith" id="{695CC528-A24D-450D-B9CE-2771DDDD956E}">
            <xm:f>LEFT(B932,LEN("Fail"))="Fail"</xm:f>
            <xm:f>"Fail"</xm:f>
            <x14:dxf>
              <font>
                <b/>
                <i val="0"/>
                <strike val="0"/>
                <color rgb="FFAA322F"/>
              </font>
              <fill>
                <patternFill patternType="solid">
                  <bgColor theme="0"/>
                </patternFill>
              </fill>
            </x14:dxf>
          </x14:cfRule>
          <xm:sqref>B932</xm:sqref>
        </x14:conditionalFormatting>
        <x14:conditionalFormatting xmlns:xm="http://schemas.microsoft.com/office/excel/2006/main">
          <x14:cfRule type="beginsWith" priority="2" stopIfTrue="1" operator="beginsWith" id="{F83FB89E-15A2-4687-88DD-17C9E26352FB}">
            <xm:f>LEFT(B972,LEN("Fail"))="Fail"</xm:f>
            <xm:f>"Fail"</xm:f>
            <x14:dxf>
              <font>
                <b/>
                <i val="0"/>
                <strike val="0"/>
                <color rgb="FFAA322F"/>
              </font>
              <fill>
                <patternFill patternType="solid">
                  <bgColor theme="0"/>
                </patternFill>
              </fill>
            </x14:dxf>
          </x14:cfRule>
          <xm:sqref>B972</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sheetPr>
  <dimension ref="A1:W373"/>
  <sheetViews>
    <sheetView zoomScale="75" zoomScaleNormal="75" zoomScaleSheetLayoutView="50" workbookViewId="0">
      <pane xSplit="6" ySplit="1" topLeftCell="G20" activePane="bottomRight" state="frozen"/>
      <selection activeCell="P35" sqref="P35"/>
      <selection pane="topRight" activeCell="P35" sqref="P35"/>
      <selection pane="bottomLeft" activeCell="P35" sqref="P35"/>
      <selection pane="bottomRight" activeCell="G12" sqref="G12"/>
    </sheetView>
  </sheetViews>
  <sheetFormatPr defaultColWidth="0" defaultRowHeight="0" customHeight="1" zeroHeight="1" x14ac:dyDescent="0.35"/>
  <cols>
    <col min="1" max="1" width="1.6640625" style="98" customWidth="1"/>
    <col min="2" max="3" width="10.6640625" style="98" customWidth="1"/>
    <col min="4" max="7" width="22.6640625" style="98" customWidth="1"/>
    <col min="8" max="8" width="28.6640625" style="205" customWidth="1"/>
    <col min="9" max="9" width="28.6640625" style="98" customWidth="1"/>
    <col min="10" max="10" width="42.6640625" style="98" customWidth="1"/>
    <col min="11" max="11" width="22.6640625" style="98" customWidth="1"/>
    <col min="12" max="12" width="28.6640625" style="205" customWidth="1"/>
    <col min="13" max="13" width="28.6640625" style="98" customWidth="1"/>
    <col min="14" max="14" width="42.6640625" style="98" customWidth="1"/>
    <col min="15" max="15" width="22.6640625" style="98" customWidth="1"/>
    <col min="16" max="16" width="28.6640625" style="205" customWidth="1"/>
    <col min="17" max="17" width="28.6640625" style="98" customWidth="1"/>
    <col min="18" max="18" width="42.6640625" style="98" customWidth="1"/>
    <col min="19" max="19" width="22.6640625" style="98" customWidth="1"/>
    <col min="20" max="20" width="28.6640625" style="205" customWidth="1"/>
    <col min="21" max="21" width="28.6640625" style="98" customWidth="1"/>
    <col min="22" max="22" width="42.6640625" style="98" customWidth="1"/>
    <col min="23" max="23" width="1.6640625" style="98" customWidth="1"/>
    <col min="24" max="16384" width="16.88671875" hidden="1"/>
  </cols>
  <sheetData>
    <row r="1" spans="1:23" ht="30" customHeight="1" x14ac:dyDescent="0.65">
      <c r="A1" s="766" t="s">
        <v>1081</v>
      </c>
      <c r="B1" s="767"/>
      <c r="C1" s="752"/>
      <c r="D1" s="752"/>
      <c r="E1" s="739" t="str">
        <f>CONCATENATE("Reporting unit: ", 'General Info'!$C$7, " ", 'General Info'!$C$5)</f>
        <v>Reporting unit: 1000 eur</v>
      </c>
      <c r="F1" s="972"/>
      <c r="G1" s="739"/>
      <c r="H1" s="973"/>
      <c r="I1" s="752"/>
      <c r="J1" s="752"/>
      <c r="K1" s="739"/>
      <c r="L1" s="973"/>
      <c r="M1" s="752"/>
      <c r="N1" s="752"/>
      <c r="O1" s="739"/>
      <c r="P1" s="973"/>
      <c r="Q1" s="752"/>
      <c r="R1" s="752"/>
      <c r="S1" s="739"/>
      <c r="T1" s="973"/>
      <c r="U1" s="752"/>
      <c r="V1" s="752"/>
      <c r="W1" s="537"/>
    </row>
    <row r="2" spans="1:23" ht="45" customHeight="1" x14ac:dyDescent="0.45">
      <c r="A2" s="280" t="s">
        <v>1082</v>
      </c>
      <c r="B2" s="153"/>
      <c r="C2" s="137"/>
      <c r="D2" s="137"/>
      <c r="E2" s="137"/>
      <c r="F2" s="154"/>
      <c r="G2" s="137"/>
      <c r="H2" s="204"/>
      <c r="I2" s="137"/>
      <c r="J2" s="137"/>
      <c r="K2" s="137"/>
      <c r="L2" s="204"/>
      <c r="M2" s="137"/>
      <c r="N2" s="137"/>
      <c r="O2" s="137"/>
      <c r="P2" s="204"/>
      <c r="Q2" s="137"/>
      <c r="R2" s="137"/>
      <c r="S2" s="137"/>
      <c r="T2" s="204"/>
      <c r="U2" s="137"/>
      <c r="V2" s="137"/>
      <c r="W2" s="677"/>
    </row>
    <row r="3" spans="1:23" ht="45" customHeight="1" x14ac:dyDescent="0.45">
      <c r="A3" s="280" t="s">
        <v>1083</v>
      </c>
      <c r="B3" s="153"/>
      <c r="C3" s="137"/>
      <c r="D3" s="137"/>
      <c r="E3" s="137"/>
      <c r="F3" s="154"/>
      <c r="G3" s="137"/>
      <c r="H3" s="204"/>
      <c r="I3" s="137"/>
      <c r="J3" s="137"/>
      <c r="K3" s="137"/>
      <c r="L3" s="204"/>
      <c r="M3" s="137"/>
      <c r="N3" s="137"/>
      <c r="O3" s="137"/>
      <c r="P3" s="204"/>
      <c r="Q3" s="137"/>
      <c r="R3" s="137"/>
      <c r="S3" s="137"/>
      <c r="T3" s="204"/>
      <c r="U3" s="137"/>
      <c r="V3" s="137"/>
      <c r="W3" s="677"/>
    </row>
    <row r="4" spans="1:23" ht="15" customHeight="1" x14ac:dyDescent="0.35">
      <c r="A4" s="263"/>
      <c r="B4" s="897"/>
      <c r="C4" s="739"/>
      <c r="D4" s="739"/>
      <c r="E4" s="739"/>
      <c r="F4" s="678"/>
      <c r="G4" s="977" t="s">
        <v>1039</v>
      </c>
      <c r="H4" s="979" t="s">
        <v>1084</v>
      </c>
      <c r="I4" s="2766" t="s">
        <v>41</v>
      </c>
      <c r="J4" s="2750"/>
      <c r="K4" s="137"/>
      <c r="L4" s="204"/>
      <c r="M4" s="137"/>
      <c r="N4" s="137"/>
      <c r="O4" s="137"/>
      <c r="P4" s="204"/>
      <c r="Q4" s="137"/>
      <c r="R4" s="137"/>
      <c r="S4" s="137"/>
      <c r="T4" s="204"/>
      <c r="U4" s="137"/>
      <c r="V4" s="137"/>
      <c r="W4" s="315"/>
    </row>
    <row r="5" spans="1:23" ht="15" customHeight="1" x14ac:dyDescent="0.35">
      <c r="A5" s="263"/>
      <c r="B5" s="131" t="s">
        <v>1085</v>
      </c>
      <c r="C5" s="188"/>
      <c r="D5" s="188"/>
      <c r="E5" s="188"/>
      <c r="F5" s="189"/>
      <c r="G5" s="223">
        <f>IF(ISNUMBER(G56), G56, "")</f>
        <v>21889</v>
      </c>
      <c r="H5" s="1444"/>
      <c r="I5" s="1445"/>
      <c r="J5" s="1447"/>
      <c r="K5" s="137"/>
      <c r="L5" s="204"/>
      <c r="M5" s="137"/>
      <c r="N5" s="137"/>
      <c r="O5" s="137"/>
      <c r="P5" s="204"/>
      <c r="Q5" s="137"/>
      <c r="R5" s="137"/>
      <c r="S5" s="137"/>
      <c r="T5" s="204"/>
      <c r="U5" s="137"/>
      <c r="V5" s="137"/>
      <c r="W5" s="315"/>
    </row>
    <row r="6" spans="1:23" ht="15" customHeight="1" x14ac:dyDescent="0.35">
      <c r="A6" s="263"/>
      <c r="B6" s="132" t="s">
        <v>1086</v>
      </c>
      <c r="C6" s="167"/>
      <c r="D6" s="167"/>
      <c r="E6" s="167"/>
      <c r="F6" s="168"/>
      <c r="G6" s="180"/>
      <c r="H6" s="961" t="s">
        <v>1087</v>
      </c>
      <c r="I6" s="1446"/>
      <c r="J6" s="1448"/>
      <c r="K6" s="137"/>
      <c r="L6" s="204"/>
      <c r="M6" s="137"/>
      <c r="N6" s="137"/>
      <c r="O6" s="137"/>
      <c r="P6" s="204"/>
      <c r="Q6" s="137"/>
      <c r="R6" s="137"/>
      <c r="S6" s="137"/>
      <c r="T6" s="204"/>
      <c r="U6" s="137"/>
      <c r="V6" s="137"/>
      <c r="W6" s="315"/>
    </row>
    <row r="7" spans="1:23" ht="15" customHeight="1" x14ac:dyDescent="0.35">
      <c r="A7" s="263"/>
      <c r="B7" s="1442" t="s">
        <v>1088</v>
      </c>
      <c r="G7" s="186">
        <f>IF('General Info'!$D$48&lt;&gt;Parameters!$D$609, IF(ISNUMBER(G$127), G$127, ""), IF(AND(ISNUMBER(G$29), ISNUMBER(G$36), ISNUMBER(G$43), ISNUMBER(G$40)), 1.3*G$29+3.5*G$36+1.9*G$43+1.2*G$40, ""))</f>
        <v>34663.578479359996</v>
      </c>
      <c r="H7" s="961" t="s">
        <v>18</v>
      </c>
      <c r="I7" s="689"/>
      <c r="J7" s="1437"/>
      <c r="K7" s="137"/>
      <c r="L7" s="204"/>
      <c r="M7" s="137"/>
      <c r="N7" s="137"/>
      <c r="O7" s="137"/>
      <c r="P7" s="204"/>
      <c r="Q7" s="137"/>
      <c r="R7" s="137"/>
      <c r="S7" s="137"/>
      <c r="T7" s="204"/>
      <c r="U7" s="137"/>
      <c r="V7" s="137"/>
      <c r="W7" s="315"/>
    </row>
    <row r="8" spans="1:23" ht="15" customHeight="1" x14ac:dyDescent="0.35">
      <c r="A8" s="263"/>
      <c r="B8" s="1442" t="s">
        <v>1089</v>
      </c>
      <c r="G8" s="186">
        <f>IF('General Info'!$D$48&lt;&gt;Parameters!$D$609, IF(ISNUMBER(K$127), K$127, ""), IF(AND(ISNUMBER(G$29), ISNUMBER(G$36), ISNUMBER(G$43), ISNUMBER(G$40)), 1.3*G$29+3.5*G$36+1.9*G$43+1.2*G$40, ""))</f>
        <v>34663.578479359996</v>
      </c>
      <c r="H8" s="961" t="s">
        <v>18</v>
      </c>
      <c r="I8" s="689"/>
      <c r="J8" s="1437"/>
      <c r="K8" s="137"/>
      <c r="L8" s="204"/>
      <c r="M8" s="137"/>
      <c r="N8" s="137"/>
      <c r="O8" s="137"/>
      <c r="P8" s="204"/>
      <c r="Q8" s="137"/>
      <c r="R8" s="137"/>
      <c r="S8" s="137"/>
      <c r="T8" s="204"/>
      <c r="U8" s="137"/>
      <c r="V8" s="137"/>
      <c r="W8" s="315"/>
    </row>
    <row r="9" spans="1:23" ht="15" customHeight="1" x14ac:dyDescent="0.35">
      <c r="A9" s="263"/>
      <c r="B9" s="1442" t="s">
        <v>1090</v>
      </c>
      <c r="G9" s="186">
        <f>IF('General Info'!$D$48&lt;&gt;Parameters!$D$609, IF(ISNUMBER(O$127), O$127, ""), IF(AND(ISNUMBER(G$29), ISNUMBER(G$36), ISNUMBER(G$43), ISNUMBER(G$40)), 1.3*G$29+3.5*G$36+1.9*G$43+1.2*G$40, ""))</f>
        <v>34663.578479359996</v>
      </c>
      <c r="H9" s="961" t="s">
        <v>18</v>
      </c>
      <c r="I9" s="689"/>
      <c r="J9" s="1437"/>
      <c r="K9" s="137"/>
      <c r="L9" s="204"/>
      <c r="M9" s="137"/>
      <c r="N9" s="137"/>
      <c r="O9" s="137"/>
      <c r="P9" s="204"/>
      <c r="Q9" s="137"/>
      <c r="R9" s="137"/>
      <c r="S9" s="137"/>
      <c r="T9" s="204"/>
      <c r="U9" s="137"/>
      <c r="V9" s="137"/>
      <c r="W9" s="315"/>
    </row>
    <row r="10" spans="1:23" ht="15" customHeight="1" x14ac:dyDescent="0.35">
      <c r="A10" s="263"/>
      <c r="B10" s="1442" t="s">
        <v>1091</v>
      </c>
      <c r="G10" s="186">
        <f>IF('General Info'!$D$48&lt;&gt;Parameters!$D$609, IF(ISNUMBER(S$127), S$127, ""), IF(AND(ISNUMBER(G$29), ISNUMBER(G$36), ISNUMBER(G$43), ISNUMBER(G$40)), 1.3*G$29+3.5*G$36+1.9*G$43+1.2*G$40, ""))</f>
        <v>34663.578479359996</v>
      </c>
      <c r="H10" s="961" t="s">
        <v>18</v>
      </c>
      <c r="I10" s="227"/>
      <c r="J10" s="465"/>
      <c r="K10" s="137"/>
      <c r="L10" s="204"/>
      <c r="M10" s="137"/>
      <c r="N10" s="137"/>
      <c r="O10" s="137"/>
      <c r="P10" s="204"/>
      <c r="Q10" s="137"/>
      <c r="R10" s="137"/>
      <c r="S10" s="137"/>
      <c r="T10" s="204"/>
      <c r="U10" s="137"/>
      <c r="V10" s="137"/>
      <c r="W10" s="315"/>
    </row>
    <row r="11" spans="1:23" ht="15" customHeight="1" x14ac:dyDescent="0.35">
      <c r="A11" s="263"/>
      <c r="B11" s="222" t="s">
        <v>1092</v>
      </c>
      <c r="C11" s="206"/>
      <c r="D11" s="206"/>
      <c r="E11" s="206"/>
      <c r="F11" s="206"/>
      <c r="G11" s="224"/>
      <c r="H11" s="1443"/>
      <c r="I11" s="2991" t="str">
        <f>IF(AND(OR('General Info'!D48="No", 'General Info'!D48=Parameters!D609), 'General Info'!D49="No"), "", IF(G11&lt;&gt;"",""," Cell left blank: please check if appropriate"))</f>
        <v/>
      </c>
      <c r="J11" s="2992"/>
      <c r="K11" s="137"/>
      <c r="L11" s="204"/>
      <c r="M11" s="137"/>
      <c r="N11" s="137"/>
      <c r="O11" s="137"/>
      <c r="P11" s="204"/>
      <c r="Q11" s="137"/>
      <c r="R11" s="137"/>
      <c r="S11" s="137"/>
      <c r="T11" s="204"/>
      <c r="U11" s="137"/>
      <c r="V11" s="137"/>
      <c r="W11" s="315"/>
    </row>
    <row r="12" spans="1:23" ht="45" customHeight="1" x14ac:dyDescent="0.45">
      <c r="A12" s="280" t="s">
        <v>1093</v>
      </c>
      <c r="B12" s="153"/>
      <c r="C12" s="137"/>
      <c r="D12" s="137"/>
      <c r="E12" s="137"/>
      <c r="F12" s="154"/>
      <c r="G12" s="85"/>
      <c r="H12" s="204"/>
      <c r="I12" s="137"/>
      <c r="J12" s="137"/>
      <c r="K12" s="137"/>
      <c r="L12" s="204"/>
      <c r="M12" s="137"/>
      <c r="N12" s="137"/>
      <c r="O12" s="137"/>
      <c r="P12" s="204"/>
      <c r="Q12" s="137"/>
      <c r="R12" s="137"/>
      <c r="S12" s="137"/>
      <c r="T12" s="204"/>
      <c r="U12" s="137"/>
      <c r="V12" s="137"/>
      <c r="W12" s="677"/>
    </row>
    <row r="13" spans="1:23" ht="15" customHeight="1" x14ac:dyDescent="0.35">
      <c r="A13" s="259"/>
      <c r="B13" s="897"/>
      <c r="C13" s="921"/>
      <c r="D13" s="898" t="s">
        <v>1094</v>
      </c>
      <c r="E13" s="884"/>
      <c r="F13" s="898" t="s">
        <v>1094</v>
      </c>
      <c r="G13" s="1451" t="s">
        <v>163</v>
      </c>
      <c r="H13" s="1452"/>
      <c r="I13" s="1452"/>
      <c r="J13" s="1452"/>
      <c r="K13" s="137"/>
      <c r="L13" s="204"/>
      <c r="M13" s="137"/>
      <c r="N13" s="137"/>
      <c r="O13" s="137"/>
      <c r="P13" s="204"/>
      <c r="Q13" s="137"/>
      <c r="R13" s="137"/>
      <c r="S13" s="137"/>
      <c r="T13" s="204"/>
      <c r="U13" s="137"/>
      <c r="V13" s="137"/>
      <c r="W13" s="279"/>
    </row>
    <row r="14" spans="1:23" ht="15" customHeight="1" x14ac:dyDescent="0.35">
      <c r="A14" s="259"/>
      <c r="B14" s="482" t="s">
        <v>1095</v>
      </c>
      <c r="C14" s="680"/>
      <c r="D14" s="681">
        <f>COUNT('TB IMA Backtesting-P&amp;L'!H6:KB6)</f>
        <v>0</v>
      </c>
      <c r="E14" s="1388"/>
      <c r="F14" s="1438"/>
      <c r="G14" s="1449" t="s">
        <v>1096</v>
      </c>
      <c r="H14" s="1450" t="s">
        <v>220</v>
      </c>
      <c r="I14" s="1450" t="s">
        <v>171</v>
      </c>
      <c r="J14" s="1453"/>
      <c r="K14" s="137"/>
      <c r="L14" s="204"/>
      <c r="M14" s="137"/>
      <c r="N14" s="137"/>
      <c r="O14" s="137"/>
      <c r="P14" s="204"/>
      <c r="Q14" s="137"/>
      <c r="R14" s="137"/>
      <c r="S14" s="137"/>
      <c r="T14" s="204"/>
      <c r="U14" s="137"/>
      <c r="V14" s="137"/>
      <c r="W14" s="279"/>
    </row>
    <row r="15" spans="1:23" ht="15" customHeight="1" x14ac:dyDescent="0.35">
      <c r="A15" s="259"/>
      <c r="B15" s="152" t="s">
        <v>1097</v>
      </c>
      <c r="C15" s="228"/>
      <c r="D15" s="283">
        <f>100-COUNTBLANK(C170:C269)</f>
        <v>0</v>
      </c>
      <c r="E15" s="749"/>
      <c r="F15" s="1439"/>
      <c r="G15" s="1818" t="s">
        <v>1098</v>
      </c>
      <c r="H15" s="790" t="str">
        <f>IF(ISBLANK('General Info'!C48), "", 'General Info'!C48)</f>
        <v>Yes</v>
      </c>
      <c r="I15" s="791" t="str">
        <f>IF(ISBLANK('General Info'!D48), "", 'General Info'!D48)</f>
        <v>Yes (simplified SA)</v>
      </c>
      <c r="J15" s="382"/>
      <c r="K15" s="137"/>
      <c r="L15" s="204"/>
      <c r="M15" s="137"/>
      <c r="N15" s="137"/>
      <c r="O15" s="137"/>
      <c r="P15" s="204"/>
      <c r="Q15" s="137"/>
      <c r="R15" s="137"/>
      <c r="S15" s="137"/>
      <c r="T15" s="204"/>
      <c r="U15" s="137"/>
      <c r="V15" s="137"/>
      <c r="W15" s="279"/>
    </row>
    <row r="16" spans="1:23" ht="15" customHeight="1" x14ac:dyDescent="0.35">
      <c r="A16" s="259"/>
      <c r="B16" s="152" t="str">
        <f>'TB IMA Backtesting-P&amp;L'!A8</f>
        <v>A. Risk measures</v>
      </c>
      <c r="C16" s="228"/>
      <c r="D16" s="78"/>
      <c r="E16" s="1336" t="str">
        <f>'TB IMA Backtesting-P&amp;L'!A422</f>
        <v>B. P&amp;L</v>
      </c>
      <c r="F16" s="78"/>
      <c r="G16" s="1441" t="s">
        <v>1099</v>
      </c>
      <c r="H16" s="788" t="str">
        <f>IF(ISBLANK('General Info'!C49), "", 'General Info'!C49)</f>
        <v>No</v>
      </c>
      <c r="I16" s="789" t="str">
        <f>IF(ISBLANK('General Info'!D49), "", 'General Info'!D49)</f>
        <v>No</v>
      </c>
      <c r="J16" s="382"/>
      <c r="K16" s="137"/>
      <c r="L16" s="204"/>
      <c r="M16" s="137"/>
      <c r="N16" s="137"/>
      <c r="O16" s="137"/>
      <c r="P16" s="204"/>
      <c r="Q16" s="137"/>
      <c r="R16" s="137"/>
      <c r="S16" s="137"/>
      <c r="T16" s="204"/>
      <c r="U16" s="137"/>
      <c r="V16" s="137"/>
      <c r="W16" s="279"/>
    </row>
    <row r="17" spans="1:23" ht="15" customHeight="1" x14ac:dyDescent="0.35">
      <c r="A17" s="259"/>
      <c r="B17" s="164" t="str">
        <f>'TB IMA Backtesting-P&amp;L'!A9</f>
        <v>A.1 1-day 99% VaR</v>
      </c>
      <c r="C17" s="228"/>
      <c r="D17" s="140" t="str">
        <f>IF(COUNT('TB IMA Backtesting-P&amp;L'!H11:H110)&gt;=1,"Yes","No")</f>
        <v>No</v>
      </c>
      <c r="E17" s="508" t="str">
        <f>'TB IMA Backtesting-P&amp;L'!A423</f>
        <v>B.1 Actual P&amp;L</v>
      </c>
      <c r="F17" s="140" t="str">
        <f>IF(COUNT('TB IMA Backtesting-P&amp;L'!H425:H524)&gt;=1,"Yes","No")</f>
        <v>No</v>
      </c>
      <c r="G17" s="2993" t="s">
        <v>38</v>
      </c>
      <c r="H17" s="2996" t="str">
        <f>IF(AND($H$16="Yes", $H$15="No", SUM(G28,G30,G32:G35,G37:G39,G41:G42,G44:G45)&gt;0), "The combination of approach flags selected on the General Info worksheet (see above) will cause all SA figures reported in panel B1a to be replaced with ZERO - please check.", IF(AND($H$16="No",$H$15="Yes", SUM(G47:G48,G50,G52:G55)&gt;0), "The combination of approach flags selected on the General Info worksheet (see above) will cause all IMA figures reported in panel B1b to be replaced with ZERO - please check.", IF(AND($H$16="No", $H$15="No"), "The combination of approach flags selected on the General Info worksheet (see above) will cause all SA and IMA figures reported in panel B1 to be ignored - please check.", "Ok")))</f>
        <v>Ok</v>
      </c>
      <c r="I17" s="2997"/>
      <c r="J17" s="2997"/>
      <c r="K17" s="137"/>
      <c r="L17" s="204"/>
      <c r="M17" s="137"/>
      <c r="N17" s="137"/>
      <c r="O17" s="137"/>
      <c r="P17" s="204"/>
      <c r="Q17" s="137"/>
      <c r="R17" s="137"/>
      <c r="S17" s="137"/>
      <c r="T17" s="204"/>
      <c r="U17" s="137"/>
      <c r="V17" s="137"/>
      <c r="W17" s="279"/>
    </row>
    <row r="18" spans="1:23" ht="15" customHeight="1" x14ac:dyDescent="0.35">
      <c r="A18" s="259"/>
      <c r="B18" s="164" t="str">
        <f>'TB IMA Backtesting-P&amp;L'!A112</f>
        <v>A.2 1-day 97.5% VaR</v>
      </c>
      <c r="C18" s="228"/>
      <c r="D18" s="140" t="str">
        <f>IF(COUNT('TB IMA Backtesting-P&amp;L'!H114:H213)&gt;=1,"Yes","No")</f>
        <v>No</v>
      </c>
      <c r="E18" s="508" t="str">
        <f>'TB IMA Backtesting-P&amp;L'!A526</f>
        <v>B.2 Hypothetical P&amp;L</v>
      </c>
      <c r="F18" s="140" t="str">
        <f>IF(COUNT('TB IMA Backtesting-P&amp;L'!H528:H627)&gt;=1,"Yes","No")</f>
        <v>No</v>
      </c>
      <c r="G18" s="2994"/>
      <c r="H18" s="2996"/>
      <c r="I18" s="2997"/>
      <c r="J18" s="2997"/>
      <c r="K18" s="137"/>
      <c r="L18" s="204"/>
      <c r="M18" s="137"/>
      <c r="N18" s="137"/>
      <c r="O18" s="137"/>
      <c r="P18" s="204"/>
      <c r="Q18" s="137"/>
      <c r="R18" s="137"/>
      <c r="S18" s="137"/>
      <c r="T18" s="204"/>
      <c r="U18" s="137"/>
      <c r="V18" s="137"/>
      <c r="W18" s="279"/>
    </row>
    <row r="19" spans="1:23" ht="15" customHeight="1" x14ac:dyDescent="0.35">
      <c r="A19" s="259"/>
      <c r="B19" s="164" t="str">
        <f>'TB IMA Backtesting-P&amp;L'!A215</f>
        <v>A.3 1-day 97.5% ES</v>
      </c>
      <c r="C19" s="228"/>
      <c r="D19" s="140" t="str">
        <f>IF(COUNT('TB IMA Backtesting-P&amp;L'!H217:H316)&gt;=1,"Yes","No")</f>
        <v>No</v>
      </c>
      <c r="E19" s="508" t="str">
        <f>'TB IMA Backtesting-P&amp;L'!A629</f>
        <v>B.3 Risk-theoretical P&amp;L</v>
      </c>
      <c r="F19" s="140" t="str">
        <f>IF(COUNT('TB IMA Backtesting-P&amp;L'!H631:H730)&gt;=1,"Yes","No")</f>
        <v>No</v>
      </c>
      <c r="G19" s="2994"/>
      <c r="H19" s="2998" t="str">
        <f>IF(AND($I$16="Yes", $I$15="No", SUM(G63:G67, G69:G73, G75:G80, G82:G86, K63:K67, K69:K73, K75:K80, K82:K86, O63:O67, O69:O73, O75:O80, O82:O86, S63:S67, S69:S73, S75:S80, S82:S86)&gt;0), "The combination of approach flags selected on the General Info worksheet (see above) will cause all SA figures reported in panel B2a to be replaced with ZERO - please check.", IF(AND($I$16="No", $I$15="Yes", SUM(G89, G91:G113, G118:G123, G135:G139, G141:G145, G147:G153, K89, K91:K113, K118:K123, K135:K139, K141:K145, K147:K153, O89, O91:O113, O118:O123, O135:O139, O141:O145, O147:O153, S89, S91:S113, S118:S123, S135:S139, S141:S145, S147:S153)&gt;0), "The combination of approach flags selected on the General Info worksheet (see above) will cause all IMA figures reported in panels B2b and B3 to be replaced with ZERO - please check.", IF(AND($I$16="No", $I$15="No"), "The combination of approach flags selected on the General Info worksheet (see above) will cause all SA and IMA figures reported in panels B2b and B3 to be ignored - please check.", "Ok")))</f>
        <v>Ok</v>
      </c>
      <c r="I19" s="2999"/>
      <c r="J19" s="2999"/>
      <c r="K19" s="137"/>
      <c r="L19" s="204"/>
      <c r="M19" s="137"/>
      <c r="N19" s="137"/>
      <c r="O19" s="137"/>
      <c r="P19" s="204"/>
      <c r="Q19" s="137"/>
      <c r="R19" s="137"/>
      <c r="S19" s="137"/>
      <c r="T19" s="204"/>
      <c r="U19" s="137"/>
      <c r="V19" s="137"/>
      <c r="W19" s="279"/>
    </row>
    <row r="20" spans="1:23" ht="15" customHeight="1" x14ac:dyDescent="0.35">
      <c r="A20" s="259"/>
      <c r="B20" s="238" t="str">
        <f>'TB IMA Backtesting-P&amp;L'!A318</f>
        <v>A.4 P values</v>
      </c>
      <c r="C20" s="193"/>
      <c r="D20" s="141" t="str">
        <f>IF(COUNT('TB IMA Backtesting-P&amp;L'!H320:H419)&gt;=1,"Yes","No")</f>
        <v>No</v>
      </c>
      <c r="E20" s="10"/>
      <c r="F20" s="1440"/>
      <c r="G20" s="2995"/>
      <c r="H20" s="3000"/>
      <c r="I20" s="3001"/>
      <c r="J20" s="3001"/>
      <c r="K20" s="137"/>
      <c r="L20" s="204"/>
      <c r="M20" s="137"/>
      <c r="N20" s="137"/>
      <c r="O20" s="137"/>
      <c r="P20" s="204"/>
      <c r="Q20" s="137"/>
      <c r="R20" s="137"/>
      <c r="S20" s="137"/>
      <c r="T20" s="204"/>
      <c r="U20" s="137"/>
      <c r="V20" s="137"/>
      <c r="W20" s="279"/>
    </row>
    <row r="21" spans="1:23" ht="15" customHeight="1" x14ac:dyDescent="0.35">
      <c r="A21" s="259"/>
      <c r="B21" s="229"/>
      <c r="C21" s="230"/>
      <c r="D21" s="231"/>
      <c r="E21" s="232"/>
      <c r="F21" s="85"/>
      <c r="G21" s="85"/>
      <c r="I21" s="85"/>
      <c r="J21" s="85"/>
      <c r="K21" s="85"/>
      <c r="M21" s="85"/>
      <c r="N21" s="85"/>
      <c r="O21" s="85"/>
      <c r="Q21" s="85"/>
      <c r="R21" s="85"/>
      <c r="S21" s="85"/>
      <c r="U21" s="85"/>
      <c r="V21" s="85"/>
      <c r="W21" s="875"/>
    </row>
    <row r="22" spans="1:23" ht="45" customHeight="1" x14ac:dyDescent="0.45">
      <c r="A22" s="676" t="s">
        <v>1100</v>
      </c>
      <c r="B22" s="974"/>
      <c r="C22" s="966"/>
      <c r="D22" s="966"/>
      <c r="E22" s="966"/>
      <c r="F22" s="975"/>
      <c r="G22" s="966"/>
      <c r="H22" s="976"/>
      <c r="I22" s="966"/>
      <c r="J22" s="966"/>
      <c r="K22" s="966"/>
      <c r="L22" s="976"/>
      <c r="M22" s="966"/>
      <c r="N22" s="966"/>
      <c r="O22" s="966"/>
      <c r="P22" s="976"/>
      <c r="Q22" s="966"/>
      <c r="R22" s="966"/>
      <c r="S22" s="966"/>
      <c r="T22" s="976"/>
      <c r="U22" s="966"/>
      <c r="V22" s="966"/>
      <c r="W22" s="687"/>
    </row>
    <row r="23" spans="1:23" ht="60" customHeight="1" x14ac:dyDescent="0.35">
      <c r="A23" s="263"/>
      <c r="B23" s="3042"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Info'!C47),COLUMN('General Info'!C47),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C47 of the 'General Info' worksheet (ie 'Yes' if the revised boundary definition is used and 'No' otherwise).</v>
      </c>
      <c r="C23" s="3042"/>
      <c r="D23" s="3042"/>
      <c r="E23" s="3042"/>
      <c r="F23" s="3042"/>
      <c r="G23" s="3042"/>
      <c r="H23" s="3042"/>
      <c r="I23" s="3042"/>
      <c r="J23" s="3042"/>
      <c r="K23" s="980"/>
      <c r="L23" s="980"/>
      <c r="M23" s="980"/>
      <c r="N23" s="980"/>
      <c r="O23" s="980"/>
      <c r="P23" s="980"/>
      <c r="Q23" s="980"/>
      <c r="R23" s="980"/>
      <c r="S23" s="980"/>
      <c r="T23" s="980"/>
      <c r="U23" s="980"/>
      <c r="V23" s="980"/>
      <c r="W23" s="315"/>
    </row>
    <row r="24" spans="1:23" ht="30" customHeight="1" x14ac:dyDescent="0.35">
      <c r="A24" s="263"/>
      <c r="B24" s="3042" t="s">
        <v>1101</v>
      </c>
      <c r="C24" s="3042"/>
      <c r="D24" s="3042"/>
      <c r="E24" s="3042"/>
      <c r="F24" s="3042"/>
      <c r="G24" s="3042"/>
      <c r="H24" s="3042"/>
      <c r="I24" s="3042"/>
      <c r="J24" s="3042"/>
      <c r="K24" s="980"/>
      <c r="L24" s="980"/>
      <c r="M24" s="980"/>
      <c r="N24" s="980"/>
      <c r="O24" s="980"/>
      <c r="P24" s="980"/>
      <c r="Q24" s="980"/>
      <c r="R24" s="980"/>
      <c r="S24" s="980"/>
      <c r="T24" s="980"/>
      <c r="U24" s="980"/>
      <c r="V24" s="980"/>
      <c r="W24" s="315"/>
    </row>
    <row r="25" spans="1:23" ht="60" customHeight="1" x14ac:dyDescent="0.45">
      <c r="A25" s="280" t="s">
        <v>1102</v>
      </c>
      <c r="B25" s="153"/>
      <c r="C25" s="137"/>
      <c r="D25" s="137"/>
      <c r="E25" s="137"/>
      <c r="F25" s="154"/>
      <c r="G25" s="137"/>
      <c r="H25" s="204"/>
      <c r="I25" s="137"/>
      <c r="J25" s="137"/>
      <c r="K25" s="137"/>
      <c r="L25" s="204"/>
      <c r="M25" s="137"/>
      <c r="N25" s="137"/>
      <c r="O25" s="137"/>
      <c r="P25" s="204"/>
      <c r="Q25" s="137"/>
      <c r="R25" s="137"/>
      <c r="S25" s="137"/>
      <c r="T25" s="204"/>
      <c r="U25" s="137"/>
      <c r="V25" s="137"/>
      <c r="W25" s="677"/>
    </row>
    <row r="26" spans="1:23" ht="150" customHeight="1" x14ac:dyDescent="0.35">
      <c r="A26" s="280"/>
      <c r="B26" s="3041" t="s">
        <v>1103</v>
      </c>
      <c r="C26" s="3041"/>
      <c r="D26" s="3041"/>
      <c r="E26" s="3041"/>
      <c r="F26" s="3041"/>
      <c r="G26" s="3041"/>
      <c r="H26" s="3041"/>
      <c r="I26" s="3041"/>
      <c r="J26" s="3041"/>
      <c r="K26" s="137"/>
      <c r="L26" s="204"/>
      <c r="M26" s="137"/>
      <c r="N26" s="137"/>
      <c r="O26" s="137"/>
      <c r="P26" s="204"/>
      <c r="Q26" s="137"/>
      <c r="R26" s="137"/>
      <c r="S26" s="137"/>
      <c r="T26" s="204"/>
      <c r="U26" s="137"/>
      <c r="V26" s="137"/>
      <c r="W26" s="677"/>
    </row>
    <row r="27" spans="1:23" ht="45" customHeight="1" x14ac:dyDescent="0.35">
      <c r="A27" s="265"/>
      <c r="B27" s="978"/>
      <c r="C27" s="752"/>
      <c r="D27" s="752"/>
      <c r="E27" s="752"/>
      <c r="F27" s="760" t="s">
        <v>1104</v>
      </c>
      <c r="G27" s="770" t="s">
        <v>1105</v>
      </c>
      <c r="H27" s="968"/>
      <c r="I27" s="1221"/>
      <c r="J27" s="137"/>
      <c r="K27" s="137"/>
      <c r="L27" s="204"/>
      <c r="M27" s="137"/>
      <c r="N27" s="137"/>
      <c r="O27" s="137"/>
      <c r="P27" s="204"/>
      <c r="Q27" s="137"/>
      <c r="R27" s="137"/>
      <c r="S27" s="137"/>
      <c r="T27" s="204"/>
      <c r="U27" s="137"/>
      <c r="V27" s="137"/>
      <c r="W27" s="315"/>
    </row>
    <row r="28" spans="1:23" ht="15" customHeight="1" x14ac:dyDescent="0.35">
      <c r="A28" s="265"/>
      <c r="B28" s="983" t="s">
        <v>1106</v>
      </c>
      <c r="C28" s="463"/>
      <c r="D28" s="463"/>
      <c r="E28" s="463"/>
      <c r="F28" s="682">
        <v>9131</v>
      </c>
      <c r="G28" s="682">
        <f>F28+F55</f>
        <v>21889</v>
      </c>
      <c r="H28" s="3009" t="str">
        <f>IF(G28&lt;&gt;"", IF('General Info'!$C$48="No", "Check flag on 'General Info'!C" &amp; ROW('General Info'!$C$48), ""), IF('General Info'!$C$48="Yes", "Cell left blank: please check", "Can be left blank for banks without SA"))</f>
        <v/>
      </c>
      <c r="I28" s="3010"/>
      <c r="J28" s="137"/>
      <c r="K28" s="137"/>
      <c r="L28" s="204"/>
      <c r="M28" s="137"/>
      <c r="N28" s="137"/>
      <c r="O28" s="137"/>
      <c r="P28" s="204"/>
      <c r="Q28" s="137"/>
      <c r="R28" s="137"/>
      <c r="S28" s="137"/>
      <c r="T28" s="204"/>
      <c r="U28" s="137"/>
      <c r="V28" s="137"/>
      <c r="W28" s="315"/>
    </row>
    <row r="29" spans="1:23" ht="15" customHeight="1" x14ac:dyDescent="0.35">
      <c r="A29" s="265"/>
      <c r="B29" s="164" t="s">
        <v>1107</v>
      </c>
      <c r="C29" s="161"/>
      <c r="D29" s="161"/>
      <c r="E29" s="161"/>
      <c r="F29" s="30">
        <f>IF(AND(ISNUMBER(F30), ISNUMBER(F31), ISNUMBER(F35)), (F30+F31+F35), "")</f>
        <v>8620</v>
      </c>
      <c r="G29" s="30">
        <f>IF(AND(ISNUMBER(G30), ISNUMBER(G31), ISNUMBER(G35)), (G30+G31+G35), "")</f>
        <v>19065.713987199997</v>
      </c>
      <c r="H29" s="3007"/>
      <c r="I29" s="3008"/>
      <c r="J29" s="137"/>
      <c r="K29" s="137"/>
      <c r="L29" s="204"/>
      <c r="M29" s="137"/>
      <c r="N29" s="137"/>
      <c r="O29" s="137"/>
      <c r="P29" s="204"/>
      <c r="Q29" s="137"/>
      <c r="R29" s="137"/>
      <c r="S29" s="137"/>
      <c r="T29" s="204"/>
      <c r="U29" s="137"/>
      <c r="V29" s="137"/>
      <c r="W29" s="315"/>
    </row>
    <row r="30" spans="1:23" ht="15" customHeight="1" x14ac:dyDescent="0.35">
      <c r="A30" s="265"/>
      <c r="B30" s="267" t="s">
        <v>1108</v>
      </c>
      <c r="C30" s="161"/>
      <c r="D30" s="161"/>
      <c r="E30" s="161"/>
      <c r="F30" s="23">
        <v>8113</v>
      </c>
      <c r="G30" s="23">
        <f>F30+[2]Posizione!$J$3/1000</f>
        <v>18558.713987199997</v>
      </c>
      <c r="H30" s="3005" t="str">
        <f>IF(G30&lt;&gt;"", IF('General Info'!$C$48="No", "Check flag on 'General Info'!C" &amp; ROW('General Info'!$C$48), ""), IF('General Info'!$C$48="Yes", "Cell left blank: please check", "Can be left blank for banks without SA"))</f>
        <v/>
      </c>
      <c r="I30" s="3006"/>
      <c r="J30" s="137"/>
      <c r="K30" s="137"/>
      <c r="L30" s="204"/>
      <c r="M30" s="137"/>
      <c r="N30" s="137"/>
      <c r="O30" s="137"/>
      <c r="P30" s="204"/>
      <c r="Q30" s="137"/>
      <c r="R30" s="137"/>
      <c r="S30" s="137"/>
      <c r="T30" s="204"/>
      <c r="U30" s="137"/>
      <c r="V30" s="137"/>
      <c r="W30" s="315"/>
    </row>
    <row r="31" spans="1:23" ht="15" customHeight="1" x14ac:dyDescent="0.35">
      <c r="A31" s="265"/>
      <c r="B31" s="267" t="s">
        <v>1109</v>
      </c>
      <c r="C31" s="161"/>
      <c r="D31" s="161"/>
      <c r="E31" s="161"/>
      <c r="F31" s="30">
        <f>IF(AND(ISNUMBER(F32), ISNUMBER(F33), ISNUMBER(F34)), (F32+F33+F34), "")</f>
        <v>500</v>
      </c>
      <c r="G31" s="30">
        <f>IF(AND(ISNUMBER(G32), ISNUMBER(G33), ISNUMBER(G34)), (G32+G33+G34), "")</f>
        <v>500</v>
      </c>
      <c r="H31" s="3007"/>
      <c r="I31" s="3008"/>
      <c r="J31" s="137"/>
      <c r="K31" s="137"/>
      <c r="L31" s="204"/>
      <c r="M31" s="137"/>
      <c r="N31" s="137"/>
      <c r="O31" s="137"/>
      <c r="P31" s="204"/>
      <c r="Q31" s="137"/>
      <c r="R31" s="137"/>
      <c r="S31" s="137"/>
      <c r="T31" s="204"/>
      <c r="U31" s="137"/>
      <c r="V31" s="137"/>
      <c r="W31" s="315"/>
    </row>
    <row r="32" spans="1:23" ht="15" customHeight="1" x14ac:dyDescent="0.35">
      <c r="A32" s="265"/>
      <c r="B32" s="266" t="s">
        <v>1110</v>
      </c>
      <c r="C32" s="161"/>
      <c r="D32" s="161"/>
      <c r="E32" s="161"/>
      <c r="F32" s="23">
        <v>500</v>
      </c>
      <c r="G32" s="23">
        <f>F32</f>
        <v>500</v>
      </c>
      <c r="H32" s="3005" t="str">
        <f>IF(G32&lt;&gt;"", IF('General Info'!$C$48="No", "Check flag on 'General Info'!C" &amp; ROW('General Info'!$C$48), ""), IF('General Info'!$C$48="Yes", "Cell left blank: please check", "Can be left blank for banks without SA"))</f>
        <v/>
      </c>
      <c r="I32" s="3006"/>
      <c r="J32" s="137"/>
      <c r="K32" s="137"/>
      <c r="L32" s="204"/>
      <c r="M32" s="137"/>
      <c r="N32" s="137"/>
      <c r="O32" s="137"/>
      <c r="P32" s="204"/>
      <c r="Q32" s="137"/>
      <c r="R32" s="137"/>
      <c r="S32" s="137"/>
      <c r="T32" s="204"/>
      <c r="U32" s="137"/>
      <c r="V32" s="137"/>
      <c r="W32" s="315"/>
    </row>
    <row r="33" spans="1:23" ht="15" customHeight="1" x14ac:dyDescent="0.35">
      <c r="A33" s="265"/>
      <c r="B33" s="266" t="s">
        <v>1111</v>
      </c>
      <c r="C33" s="161"/>
      <c r="D33" s="161"/>
      <c r="E33" s="161"/>
      <c r="F33" s="23">
        <v>0</v>
      </c>
      <c r="G33" s="2547">
        <f t="shared" ref="G33:G35" si="0">F33</f>
        <v>0</v>
      </c>
      <c r="H33" s="3005" t="str">
        <f>IF(G33&lt;&gt;"", IF('General Info'!$C$48="No", "Check flag on 'General Info'!C" &amp; ROW('General Info'!$C$48), ""), IF('General Info'!$C$48="Yes", "Cell left blank: please check", "Can be left blank for banks without SA"))</f>
        <v/>
      </c>
      <c r="I33" s="3006"/>
      <c r="J33" s="137"/>
      <c r="K33" s="137"/>
      <c r="L33" s="204"/>
      <c r="M33" s="137"/>
      <c r="N33" s="137"/>
      <c r="O33" s="137"/>
      <c r="P33" s="204"/>
      <c r="Q33" s="137"/>
      <c r="R33" s="137"/>
      <c r="S33" s="137"/>
      <c r="T33" s="204"/>
      <c r="U33" s="137"/>
      <c r="V33" s="137"/>
      <c r="W33" s="315"/>
    </row>
    <row r="34" spans="1:23" ht="15" customHeight="1" x14ac:dyDescent="0.35">
      <c r="A34" s="265"/>
      <c r="B34" s="266" t="s">
        <v>1112</v>
      </c>
      <c r="C34" s="161"/>
      <c r="D34" s="161"/>
      <c r="E34" s="161"/>
      <c r="F34" s="23">
        <v>0</v>
      </c>
      <c r="G34" s="2547">
        <f t="shared" si="0"/>
        <v>0</v>
      </c>
      <c r="H34" s="3005" t="str">
        <f>IF(G34&lt;&gt;"", IF('General Info'!$C$48="No", "Check flag on 'General Info'!C" &amp; ROW('General Info'!$C$48), ""), IF('General Info'!$C$48="Yes", "Cell left blank: please check", "Can be left blank for banks without SA"))</f>
        <v/>
      </c>
      <c r="I34" s="3006"/>
      <c r="J34" s="137"/>
      <c r="K34" s="137"/>
      <c r="L34" s="204"/>
      <c r="M34" s="137"/>
      <c r="N34" s="137"/>
      <c r="O34" s="137"/>
      <c r="P34" s="204"/>
      <c r="Q34" s="137"/>
      <c r="R34" s="137"/>
      <c r="S34" s="137"/>
      <c r="T34" s="204"/>
      <c r="U34" s="137"/>
      <c r="V34" s="137"/>
      <c r="W34" s="315"/>
    </row>
    <row r="35" spans="1:23" ht="30" customHeight="1" x14ac:dyDescent="0.35">
      <c r="A35" s="265"/>
      <c r="B35" s="3047" t="s">
        <v>1113</v>
      </c>
      <c r="C35" s="3047"/>
      <c r="D35" s="3047"/>
      <c r="E35" s="3047"/>
      <c r="F35" s="23">
        <v>7</v>
      </c>
      <c r="G35" s="2547">
        <f t="shared" si="0"/>
        <v>7</v>
      </c>
      <c r="H35" s="3005" t="str">
        <f>IF(G35&lt;&gt;"", IF('General Info'!$C$48="No", "Check flag on 'General Info'!C" &amp; ROW('General Info'!$C$48), ""), IF('General Info'!$C$48="Yes", "Cell left blank: please check", "Can be left blank for banks without SA"))</f>
        <v/>
      </c>
      <c r="I35" s="3006"/>
      <c r="J35" s="137"/>
      <c r="K35" s="137"/>
      <c r="L35" s="204"/>
      <c r="M35" s="137"/>
      <c r="N35" s="137"/>
      <c r="O35" s="137"/>
      <c r="P35" s="204"/>
      <c r="Q35" s="137"/>
      <c r="R35" s="137"/>
      <c r="S35" s="137"/>
      <c r="T35" s="204"/>
      <c r="U35" s="137"/>
      <c r="V35" s="137"/>
      <c r="W35" s="315"/>
    </row>
    <row r="36" spans="1:23" ht="15" customHeight="1" x14ac:dyDescent="0.35">
      <c r="A36" s="265"/>
      <c r="B36" s="164" t="s">
        <v>1114</v>
      </c>
      <c r="C36" s="161"/>
      <c r="D36" s="161"/>
      <c r="E36" s="161"/>
      <c r="F36" s="30">
        <f>IF(AND(ISNUMBER(F37), ISNUMBER(F38), ISNUMBER(F39)), (F37+F38+F39), "")</f>
        <v>511</v>
      </c>
      <c r="G36" s="30">
        <f>IF(AND(ISNUMBER(G37), ISNUMBER(G38), ISNUMBER(G39)), (G37+G38+G39), "")</f>
        <v>2822.3286560000006</v>
      </c>
      <c r="H36" s="3007"/>
      <c r="I36" s="3008"/>
      <c r="J36" s="137"/>
      <c r="K36" s="137"/>
      <c r="L36" s="204"/>
      <c r="M36" s="137"/>
      <c r="N36" s="137"/>
      <c r="O36" s="137"/>
      <c r="P36" s="204"/>
      <c r="Q36" s="137"/>
      <c r="R36" s="137"/>
      <c r="S36" s="137"/>
      <c r="T36" s="204"/>
      <c r="U36" s="137"/>
      <c r="V36" s="137"/>
      <c r="W36" s="315"/>
    </row>
    <row r="37" spans="1:23" ht="15" customHeight="1" x14ac:dyDescent="0.35">
      <c r="A37" s="265"/>
      <c r="B37" s="267" t="s">
        <v>1115</v>
      </c>
      <c r="C37" s="161"/>
      <c r="D37" s="161"/>
      <c r="E37" s="161"/>
      <c r="F37" s="34">
        <v>174</v>
      </c>
      <c r="G37" s="34">
        <f>F37+[2]Posizione!$J$2/1000</f>
        <v>2485.3286560000006</v>
      </c>
      <c r="H37" s="3005" t="str">
        <f>IF(G37&lt;&gt;"", IF('General Info'!$C$48="No", "Check flag on 'General Info'!C" &amp; ROW('General Info'!$C$48), ""), IF('General Info'!$C$48="Yes", "Cell left blank: please check", "Can be left blank for banks without SA"))</f>
        <v/>
      </c>
      <c r="I37" s="3006"/>
      <c r="J37" s="137"/>
      <c r="K37" s="137"/>
      <c r="L37" s="204"/>
      <c r="M37" s="137"/>
      <c r="N37" s="137"/>
      <c r="O37" s="137"/>
      <c r="P37" s="204"/>
      <c r="Q37" s="137"/>
      <c r="R37" s="137"/>
      <c r="S37" s="137"/>
      <c r="T37" s="204"/>
      <c r="U37" s="137"/>
      <c r="V37" s="137"/>
      <c r="W37" s="315"/>
    </row>
    <row r="38" spans="1:23" ht="15" customHeight="1" x14ac:dyDescent="0.35">
      <c r="A38" s="263"/>
      <c r="B38" s="267" t="s">
        <v>1116</v>
      </c>
      <c r="C38" s="161"/>
      <c r="D38" s="161"/>
      <c r="E38" s="161"/>
      <c r="F38" s="34">
        <v>337</v>
      </c>
      <c r="G38" s="34">
        <f>F38</f>
        <v>337</v>
      </c>
      <c r="H38" s="3005" t="str">
        <f>IF(G38&lt;&gt;"", IF('General Info'!$C$48="No", "Check flag on 'General Info'!C" &amp; ROW('General Info'!$C$48), ""), IF('General Info'!$C$48="Yes", "Cell left blank: please check", "Can be left blank for banks without SA"))</f>
        <v/>
      </c>
      <c r="I38" s="3006"/>
      <c r="J38" s="137"/>
      <c r="K38" s="137"/>
      <c r="L38" s="204"/>
      <c r="M38" s="137"/>
      <c r="N38" s="137"/>
      <c r="O38" s="137"/>
      <c r="P38" s="204"/>
      <c r="Q38" s="137"/>
      <c r="R38" s="137"/>
      <c r="S38" s="137"/>
      <c r="T38" s="204"/>
      <c r="U38" s="137"/>
      <c r="V38" s="137"/>
      <c r="W38" s="315"/>
    </row>
    <row r="39" spans="1:23" ht="30" customHeight="1" x14ac:dyDescent="0.35">
      <c r="A39" s="263"/>
      <c r="B39" s="3047" t="s">
        <v>1117</v>
      </c>
      <c r="C39" s="3047"/>
      <c r="D39" s="3047"/>
      <c r="E39" s="3047"/>
      <c r="F39" s="34">
        <v>0</v>
      </c>
      <c r="G39" s="34">
        <v>0</v>
      </c>
      <c r="H39" s="3005" t="str">
        <f>IF(G39&lt;&gt;"", IF('General Info'!$C$48="No", "Check flag on 'General Info'!C" &amp; ROW('General Info'!$C$48), ""), IF('General Info'!$C$48="Yes", "Cell left blank: please check", "Can be left blank for banks without SA"))</f>
        <v/>
      </c>
      <c r="I39" s="3006"/>
      <c r="J39" s="137"/>
      <c r="K39" s="137"/>
      <c r="L39" s="204"/>
      <c r="M39" s="137"/>
      <c r="N39" s="137"/>
      <c r="O39" s="137"/>
      <c r="P39" s="204"/>
      <c r="Q39" s="137"/>
      <c r="R39" s="137"/>
      <c r="S39" s="137"/>
      <c r="T39" s="204"/>
      <c r="U39" s="137"/>
      <c r="V39" s="137"/>
      <c r="W39" s="315"/>
    </row>
    <row r="40" spans="1:23" ht="15" customHeight="1" x14ac:dyDescent="0.35">
      <c r="A40" s="263"/>
      <c r="B40" s="164" t="s">
        <v>1118</v>
      </c>
      <c r="C40" s="161"/>
      <c r="D40" s="161"/>
      <c r="E40" s="161"/>
      <c r="F40" s="30">
        <f>IF(AND(ISNUMBER(F41), ISNUMBER(F42)), (F41+F42), "")</f>
        <v>0</v>
      </c>
      <c r="G40" s="30">
        <f>IF(AND(ISNUMBER(G41), ISNUMBER(G42)), (G41+G42), "")</f>
        <v>0</v>
      </c>
      <c r="H40" s="3007"/>
      <c r="I40" s="3008"/>
      <c r="J40" s="137"/>
      <c r="K40" s="137"/>
      <c r="L40" s="204"/>
      <c r="M40" s="137"/>
      <c r="N40" s="137"/>
      <c r="O40" s="137"/>
      <c r="P40" s="204"/>
      <c r="Q40" s="137"/>
      <c r="R40" s="137"/>
      <c r="S40" s="137"/>
      <c r="T40" s="204"/>
      <c r="U40" s="137"/>
      <c r="V40" s="137"/>
      <c r="W40" s="315"/>
    </row>
    <row r="41" spans="1:23" ht="15" customHeight="1" x14ac:dyDescent="0.35">
      <c r="A41" s="263"/>
      <c r="B41" s="267" t="s">
        <v>1119</v>
      </c>
      <c r="C41" s="161"/>
      <c r="D41" s="161"/>
      <c r="E41" s="161"/>
      <c r="F41" s="34">
        <v>0</v>
      </c>
      <c r="G41" s="34">
        <v>0</v>
      </c>
      <c r="H41" s="3005" t="str">
        <f>IF(G41&lt;&gt;"", IF('General Info'!$C$48="No", "Check flag on 'General Info'!C" &amp; ROW('General Info'!$C$48), ""), IF('General Info'!$C$48="Yes", "Cell left blank: please check", "Can be left blank for banks without SA"))</f>
        <v/>
      </c>
      <c r="I41" s="3006"/>
      <c r="J41" s="137"/>
      <c r="K41" s="137"/>
      <c r="L41" s="204"/>
      <c r="M41" s="137"/>
      <c r="N41" s="137"/>
      <c r="O41" s="137"/>
      <c r="P41" s="204"/>
      <c r="Q41" s="137"/>
      <c r="R41" s="137"/>
      <c r="S41" s="137"/>
      <c r="T41" s="204"/>
      <c r="U41" s="137"/>
      <c r="V41" s="137"/>
      <c r="W41" s="315"/>
    </row>
    <row r="42" spans="1:23" ht="30" customHeight="1" x14ac:dyDescent="0.35">
      <c r="A42" s="263"/>
      <c r="B42" s="3047" t="s">
        <v>1120</v>
      </c>
      <c r="C42" s="3047"/>
      <c r="D42" s="3047"/>
      <c r="E42" s="3047"/>
      <c r="F42" s="34">
        <v>0</v>
      </c>
      <c r="G42" s="34">
        <v>0</v>
      </c>
      <c r="H42" s="3005" t="str">
        <f>IF(G42&lt;&gt;"", IF('General Info'!$C$48="No", "Check flag on 'General Info'!C" &amp; ROW('General Info'!$C$48), ""), IF('General Info'!$C$48="Yes", "Cell left blank: please check", "Can be left blank for banks without SA"))</f>
        <v/>
      </c>
      <c r="I42" s="3006"/>
      <c r="J42" s="137"/>
      <c r="K42" s="137"/>
      <c r="L42" s="204"/>
      <c r="M42" s="137"/>
      <c r="N42" s="137"/>
      <c r="O42" s="137"/>
      <c r="P42" s="204"/>
      <c r="Q42" s="137"/>
      <c r="R42" s="137"/>
      <c r="S42" s="137"/>
      <c r="T42" s="204"/>
      <c r="U42" s="137"/>
      <c r="V42" s="137"/>
      <c r="W42" s="315"/>
    </row>
    <row r="43" spans="1:23" ht="15" customHeight="1" x14ac:dyDescent="0.35">
      <c r="A43" s="263"/>
      <c r="B43" s="164" t="s">
        <v>1121</v>
      </c>
      <c r="C43" s="161"/>
      <c r="D43" s="161"/>
      <c r="E43" s="161"/>
      <c r="F43" s="30">
        <f>IF(AND(ISNUMBER(F44), ISNUMBER(F45)), (F44+F45), "")</f>
        <v>0</v>
      </c>
      <c r="G43" s="30">
        <f>IF(AND(ISNUMBER(G44), ISNUMBER(G45)), (G44+G45), "")</f>
        <v>0</v>
      </c>
      <c r="H43" s="3007"/>
      <c r="I43" s="3008"/>
      <c r="J43" s="137"/>
      <c r="K43" s="137"/>
      <c r="L43" s="204"/>
      <c r="M43" s="137"/>
      <c r="N43" s="137"/>
      <c r="O43" s="137"/>
      <c r="P43" s="204"/>
      <c r="Q43" s="137"/>
      <c r="R43" s="137"/>
      <c r="S43" s="137"/>
      <c r="T43" s="204"/>
      <c r="U43" s="137"/>
      <c r="V43" s="137"/>
      <c r="W43" s="315"/>
    </row>
    <row r="44" spans="1:23" ht="15" customHeight="1" x14ac:dyDescent="0.35">
      <c r="A44" s="263"/>
      <c r="B44" s="267" t="s">
        <v>1122</v>
      </c>
      <c r="C44" s="161"/>
      <c r="D44" s="161"/>
      <c r="E44" s="161"/>
      <c r="F44" s="34">
        <v>0</v>
      </c>
      <c r="G44" s="34">
        <v>0</v>
      </c>
      <c r="H44" s="3005" t="str">
        <f>IF(G44&lt;&gt;"", IF('General Info'!$C$48="No", "Check flag on 'General Info'!C" &amp; ROW('General Info'!$C$48), ""), IF('General Info'!$C$48="Yes", "Cell left blank: please check", "Can be left blank for banks without SA"))</f>
        <v/>
      </c>
      <c r="I44" s="3006"/>
      <c r="J44" s="137"/>
      <c r="K44" s="137"/>
      <c r="L44" s="204"/>
      <c r="M44" s="137"/>
      <c r="N44" s="137"/>
      <c r="O44" s="137"/>
      <c r="P44" s="204"/>
      <c r="Q44" s="137"/>
      <c r="R44" s="137"/>
      <c r="S44" s="137"/>
      <c r="T44" s="204"/>
      <c r="U44" s="137"/>
      <c r="V44" s="137"/>
      <c r="W44" s="315"/>
    </row>
    <row r="45" spans="1:23" ht="30" customHeight="1" x14ac:dyDescent="0.35">
      <c r="A45" s="263"/>
      <c r="B45" s="3047" t="s">
        <v>1123</v>
      </c>
      <c r="C45" s="3047"/>
      <c r="D45" s="3047"/>
      <c r="E45" s="3047"/>
      <c r="F45" s="23">
        <v>0</v>
      </c>
      <c r="G45" s="23">
        <v>0</v>
      </c>
      <c r="H45" s="3005" t="str">
        <f>IF(G45&lt;&gt;"", IF('General Info'!$C$48="No", "Check flag on 'General Info'!C" &amp; ROW('General Info'!$C$48), ""), IF('General Info'!$C$48="Yes", "Cell left blank: please check", "Can be left blank for banks without SA"))</f>
        <v/>
      </c>
      <c r="I45" s="3006"/>
      <c r="J45" s="137"/>
      <c r="K45" s="137"/>
      <c r="L45" s="204"/>
      <c r="M45" s="137"/>
      <c r="N45" s="137"/>
      <c r="O45" s="137"/>
      <c r="P45" s="204"/>
      <c r="Q45" s="137"/>
      <c r="R45" s="137"/>
      <c r="S45" s="137"/>
      <c r="T45" s="204"/>
      <c r="U45" s="137"/>
      <c r="V45" s="137"/>
      <c r="W45" s="315"/>
    </row>
    <row r="46" spans="1:23" ht="15" customHeight="1" x14ac:dyDescent="0.35">
      <c r="A46" s="263"/>
      <c r="B46" s="239" t="s">
        <v>1124</v>
      </c>
      <c r="C46" s="161"/>
      <c r="D46" s="161"/>
      <c r="E46" s="161"/>
      <c r="F46" s="30">
        <f>IF('General Info'!C49="Yes", IF(AND(ISNUMBER(F47), ISNUMBER(F52), ISNUMBER(F53), ISNUMBER(F54)), SUM(F47, F52:F54), ""), 0)</f>
        <v>0</v>
      </c>
      <c r="G46" s="30">
        <f>IF('General Info'!C49="Yes", IF(AND(ISNUMBER(G47), ISNUMBER(G52), ISNUMBER(G53), ISNUMBER(G54)), SUM(G47, G52:G54), ""), 0)</f>
        <v>0</v>
      </c>
      <c r="H46" s="3007"/>
      <c r="I46" s="3008"/>
      <c r="J46" s="137"/>
      <c r="K46" s="137"/>
      <c r="L46" s="204"/>
      <c r="M46" s="137"/>
      <c r="N46" s="137"/>
      <c r="O46" s="137"/>
      <c r="P46" s="204"/>
      <c r="Q46" s="137"/>
      <c r="R46" s="137"/>
      <c r="S46" s="137"/>
      <c r="T46" s="204"/>
      <c r="U46" s="137"/>
      <c r="V46" s="137"/>
      <c r="W46" s="315"/>
    </row>
    <row r="47" spans="1:23" ht="30" customHeight="1" x14ac:dyDescent="0.35">
      <c r="A47" s="263"/>
      <c r="B47" s="3050" t="s">
        <v>1125</v>
      </c>
      <c r="C47" s="3050"/>
      <c r="D47" s="3050"/>
      <c r="E47" s="3051"/>
      <c r="F47" s="169"/>
      <c r="G47" s="169"/>
      <c r="H47" s="3005" t="str">
        <f>IF(G47&lt;&gt;"", IF('General Info'!$C$49="No", "Check the flag in 'General Info'!C" &amp; ROW('General Info'!$C$49),""), IF('General Info'!$C$49="Yes", "Cell left blank: please check", "Can be left blank for banks using SA only"))</f>
        <v>Can be left blank for banks using SA only</v>
      </c>
      <c r="I47" s="3006"/>
      <c r="J47" s="137"/>
      <c r="K47" s="137"/>
      <c r="L47" s="204"/>
      <c r="M47" s="137"/>
      <c r="N47" s="137"/>
      <c r="O47" s="137"/>
      <c r="P47" s="204"/>
      <c r="Q47" s="137"/>
      <c r="R47" s="137"/>
      <c r="S47" s="137"/>
      <c r="T47" s="204"/>
      <c r="U47" s="137"/>
      <c r="V47" s="137"/>
      <c r="W47" s="315"/>
    </row>
    <row r="48" spans="1:23" ht="15" customHeight="1" x14ac:dyDescent="0.35">
      <c r="A48" s="263"/>
      <c r="B48" s="163" t="s">
        <v>1126</v>
      </c>
      <c r="C48" s="161"/>
      <c r="D48" s="161"/>
      <c r="E48" s="161"/>
      <c r="F48" s="169"/>
      <c r="G48" s="169"/>
      <c r="H48" s="3005" t="str">
        <f>IF(G48&lt;&gt;"", IF('General Info'!$C$49="No", "Check the flag in 'General Info'!C" &amp; ROW('General Info'!$C$49),""), IF('General Info'!$C$49="Yes", "Cell left blank: please check", "Can be left blank for banks using SA only"))</f>
        <v>Can be left blank for banks using SA only</v>
      </c>
      <c r="I48" s="3006"/>
      <c r="J48" s="137"/>
      <c r="K48" s="137"/>
      <c r="L48" s="204"/>
      <c r="M48" s="137"/>
      <c r="N48" s="137"/>
      <c r="O48" s="137"/>
      <c r="P48" s="204"/>
      <c r="Q48" s="137"/>
      <c r="R48" s="137"/>
      <c r="S48" s="137"/>
      <c r="T48" s="204"/>
      <c r="U48" s="137"/>
      <c r="V48" s="137"/>
      <c r="W48" s="315"/>
    </row>
    <row r="49" spans="1:23" ht="30" customHeight="1" x14ac:dyDescent="0.35">
      <c r="A49" s="263"/>
      <c r="B49" s="3048" t="s">
        <v>1127</v>
      </c>
      <c r="C49" s="3048"/>
      <c r="D49" s="3048"/>
      <c r="E49" s="3049"/>
      <c r="F49" s="352" t="str">
        <f>IF(AND(ISNUMBER(F47), ISNUMBER(F48)), IF(AND(F47&gt;0, OR(F48=0, F48&gt;F47)), "Fail", "Pass"), "")</f>
        <v/>
      </c>
      <c r="G49" s="352" t="str">
        <f>IF(AND(ISNUMBER(G47), ISNUMBER(G48)), IF(AND(G47&gt;0, OR(G48=0, G48&gt;G47)), "Fail", "Pass"), "")</f>
        <v/>
      </c>
      <c r="H49" s="3007"/>
      <c r="I49" s="3008"/>
      <c r="J49" s="137"/>
      <c r="K49" s="137"/>
      <c r="L49" s="204"/>
      <c r="M49" s="137"/>
      <c r="N49" s="137"/>
      <c r="O49" s="137"/>
      <c r="P49" s="204"/>
      <c r="Q49" s="137"/>
      <c r="R49" s="137"/>
      <c r="S49" s="137"/>
      <c r="T49" s="204"/>
      <c r="U49" s="137"/>
      <c r="V49" s="137"/>
      <c r="W49" s="315"/>
    </row>
    <row r="50" spans="1:23" ht="15" customHeight="1" x14ac:dyDescent="0.35">
      <c r="A50" s="263"/>
      <c r="B50" s="163" t="s">
        <v>1128</v>
      </c>
      <c r="C50" s="161"/>
      <c r="D50" s="161"/>
      <c r="E50" s="161"/>
      <c r="F50" s="169"/>
      <c r="G50" s="169"/>
      <c r="H50" s="3005" t="str">
        <f>IF(G50&lt;&gt;"", IF('General Info'!$C$49="No", "Check the flag in 'General Info'!C" &amp; ROW('General Info'!$C$49),""), IF('General Info'!$C$49="Yes", "Cell left blank: please check", "Can be left blank for banks using SA only"))</f>
        <v>Can be left blank for banks using SA only</v>
      </c>
      <c r="I50" s="3006"/>
      <c r="J50" s="137"/>
      <c r="K50" s="137"/>
      <c r="L50" s="204"/>
      <c r="M50" s="137"/>
      <c r="N50" s="137"/>
      <c r="O50" s="137"/>
      <c r="P50" s="204"/>
      <c r="Q50" s="137"/>
      <c r="R50" s="137"/>
      <c r="S50" s="137"/>
      <c r="T50" s="204"/>
      <c r="U50" s="137"/>
      <c r="V50" s="137"/>
      <c r="W50" s="315"/>
    </row>
    <row r="51" spans="1:23" ht="30" customHeight="1" x14ac:dyDescent="0.35">
      <c r="A51" s="263"/>
      <c r="B51" s="3048" t="s">
        <v>1129</v>
      </c>
      <c r="C51" s="3048"/>
      <c r="D51" s="3048"/>
      <c r="E51" s="3049"/>
      <c r="F51" s="352" t="str">
        <f>IF(AND(ISNUMBER(F48), ISNUMBER(F50)), IF(OR(AND(F48&gt;0, F50=0), AND(F50&gt;0, F48=0)), "Fail", "Pass"), "")</f>
        <v/>
      </c>
      <c r="G51" s="352" t="str">
        <f>IF(AND(ISNUMBER(G48), ISNUMBER(G50)), IF(OR(AND(G48&gt;0, G50=0), AND(G50&gt;0, G48=0)), "Fail", "Pass"), "")</f>
        <v/>
      </c>
      <c r="H51" s="3007"/>
      <c r="I51" s="3008"/>
      <c r="J51" s="137"/>
      <c r="K51" s="137"/>
      <c r="L51" s="204"/>
      <c r="M51" s="137"/>
      <c r="N51" s="137"/>
      <c r="O51" s="137"/>
      <c r="P51" s="204"/>
      <c r="Q51" s="137"/>
      <c r="R51" s="137"/>
      <c r="S51" s="137"/>
      <c r="T51" s="204"/>
      <c r="U51" s="137"/>
      <c r="V51" s="137"/>
      <c r="W51" s="315"/>
    </row>
    <row r="52" spans="1:23" ht="15" customHeight="1" x14ac:dyDescent="0.35">
      <c r="A52" s="263"/>
      <c r="B52" s="164" t="s">
        <v>1130</v>
      </c>
      <c r="C52" s="161"/>
      <c r="D52" s="161"/>
      <c r="E52" s="161"/>
      <c r="F52" s="169"/>
      <c r="G52" s="169"/>
      <c r="H52" s="3005" t="str">
        <f>IF(G52&lt;&gt;"", IF('General Info'!$C$49="No", "Check the flag in 'General Info'!C" &amp; ROW('General Info'!$C$49),""), IF('General Info'!$C$49="Yes", "Cell left blank: please check", "Can be left blank for banks using SA only"))</f>
        <v>Can be left blank for banks using SA only</v>
      </c>
      <c r="I52" s="3006"/>
      <c r="J52" s="204"/>
      <c r="K52" s="204"/>
      <c r="L52" s="204"/>
      <c r="M52" s="137"/>
      <c r="N52" s="137"/>
      <c r="O52" s="204"/>
      <c r="P52" s="204"/>
      <c r="Q52" s="137"/>
      <c r="R52" s="137"/>
      <c r="S52" s="204"/>
      <c r="T52" s="204"/>
      <c r="U52" s="137"/>
      <c r="V52" s="137"/>
      <c r="W52" s="315"/>
    </row>
    <row r="53" spans="1:23" ht="15" customHeight="1" x14ac:dyDescent="0.35">
      <c r="A53" s="263"/>
      <c r="B53" s="164" t="s">
        <v>1131</v>
      </c>
      <c r="C53" s="161"/>
      <c r="D53" s="161"/>
      <c r="E53" s="161"/>
      <c r="F53" s="169"/>
      <c r="G53" s="169"/>
      <c r="H53" s="3005" t="str">
        <f>IF(G53&lt;&gt;"", IF('General Info'!$C$49="No", "Check the flag in 'General Info'!C" &amp; ROW('General Info'!$C$49),""), IF('General Info'!$C$49="Yes", "Cell left blank: please check", "Can be left blank for banks using SA only"))</f>
        <v>Can be left blank for banks using SA only</v>
      </c>
      <c r="I53" s="3006"/>
      <c r="J53" s="204"/>
      <c r="K53" s="204"/>
      <c r="L53" s="204"/>
      <c r="M53" s="137"/>
      <c r="N53" s="137"/>
      <c r="O53" s="204"/>
      <c r="P53" s="204"/>
      <c r="Q53" s="137"/>
      <c r="R53" s="137"/>
      <c r="S53" s="204"/>
      <c r="T53" s="204"/>
      <c r="U53" s="137"/>
      <c r="V53" s="137"/>
      <c r="W53" s="315"/>
    </row>
    <row r="54" spans="1:23" ht="15" customHeight="1" x14ac:dyDescent="0.35">
      <c r="A54" s="263"/>
      <c r="B54" s="164" t="s">
        <v>1132</v>
      </c>
      <c r="C54" s="161"/>
      <c r="D54" s="161"/>
      <c r="E54" s="161"/>
      <c r="F54" s="169"/>
      <c r="G54" s="169"/>
      <c r="H54" s="3005" t="str">
        <f>IF(G54&lt;&gt;"", IF('General Info'!$C$49="No", "Check the flag in 'General Info'!C" &amp; ROW('General Info'!$C$49),""), IF('General Info'!$C$49="Yes", "Cell left blank: please check", "Can be left blank for banks using SA only"))</f>
        <v>Can be left blank for banks using SA only</v>
      </c>
      <c r="I54" s="3006"/>
      <c r="J54" s="204"/>
      <c r="K54" s="204"/>
      <c r="L54" s="204"/>
      <c r="M54" s="137"/>
      <c r="N54" s="137"/>
      <c r="O54" s="204"/>
      <c r="P54" s="204"/>
      <c r="Q54" s="137"/>
      <c r="R54" s="137"/>
      <c r="S54" s="204"/>
      <c r="T54" s="204"/>
      <c r="U54" s="137"/>
      <c r="V54" s="137"/>
      <c r="W54" s="315"/>
    </row>
    <row r="55" spans="1:23" ht="15" customHeight="1" x14ac:dyDescent="0.35">
      <c r="A55" s="263"/>
      <c r="B55" s="273" t="s">
        <v>1133</v>
      </c>
      <c r="C55" s="171"/>
      <c r="D55" s="171"/>
      <c r="E55" s="171"/>
      <c r="F55" s="580">
        <v>12758</v>
      </c>
      <c r="G55" s="580">
        <v>0</v>
      </c>
      <c r="H55" s="3013" t="str">
        <f>IF(G55&lt;&gt;"", IF(AND('General Info'!C48="No", 'General Info'!$C$49="No"), "Check the flags in 'General Info'!C" &amp; ROW('General Info'!$C$48) &amp; " and C" &amp; ROW('General Info'!$C$49), ""), IF(OR('General Info'!C48="Yes", 'General Info'!$C$49="Yes"), "Cell left blank: please check", ""))</f>
        <v/>
      </c>
      <c r="I55" s="3014"/>
      <c r="J55" s="204"/>
      <c r="K55" s="204"/>
      <c r="L55" s="204"/>
      <c r="M55" s="137"/>
      <c r="N55" s="137"/>
      <c r="O55" s="204"/>
      <c r="P55" s="204"/>
      <c r="Q55" s="137"/>
      <c r="R55" s="137"/>
      <c r="S55" s="204"/>
      <c r="T55" s="204"/>
      <c r="U55" s="137"/>
      <c r="V55" s="137"/>
      <c r="W55" s="315"/>
    </row>
    <row r="56" spans="1:23" ht="15" customHeight="1" x14ac:dyDescent="0.35">
      <c r="A56" s="265"/>
      <c r="B56" s="739" t="s">
        <v>1134</v>
      </c>
      <c r="C56" s="752"/>
      <c r="D56" s="752"/>
      <c r="E56" s="752"/>
      <c r="F56" s="969">
        <f>IF(AND(OR(ISNUMBER(F28), 'General Info'!C48="No"), ISNUMBER(F46)), SUM(IF( 'General Info'!C48="No", 0, F28), F46, F55), "")</f>
        <v>21889</v>
      </c>
      <c r="G56" s="969">
        <f>IF(AND(OR(ISNUMBER(G28), 'General Info'!C48="No"), ISNUMBER(G46)), SUM(IF( 'General Info'!C48="No", 0, G28), G46, G55), "")</f>
        <v>21889</v>
      </c>
      <c r="H56" s="3015"/>
      <c r="I56" s="3016"/>
      <c r="J56" s="204"/>
      <c r="K56" s="204"/>
      <c r="L56" s="204"/>
      <c r="M56" s="137"/>
      <c r="N56" s="137"/>
      <c r="O56" s="204"/>
      <c r="P56" s="204"/>
      <c r="Q56" s="137"/>
      <c r="R56" s="137"/>
      <c r="S56" s="204"/>
      <c r="T56" s="204"/>
      <c r="U56" s="137"/>
      <c r="V56" s="137"/>
      <c r="W56" s="315"/>
    </row>
    <row r="57" spans="1:23" ht="105" customHeight="1" x14ac:dyDescent="0.35">
      <c r="A57" s="2577" t="s">
        <v>1135</v>
      </c>
      <c r="B57" s="2578"/>
      <c r="C57" s="2578"/>
      <c r="D57" s="2578"/>
      <c r="E57" s="2578"/>
      <c r="F57" s="2578"/>
      <c r="G57" s="2578"/>
      <c r="H57" s="2578"/>
      <c r="I57" s="2578"/>
      <c r="J57" s="2578"/>
      <c r="K57" s="2578"/>
      <c r="L57" s="2578"/>
      <c r="M57" s="2578"/>
      <c r="N57" s="2578"/>
      <c r="O57" s="2578"/>
      <c r="P57" s="2578"/>
      <c r="Q57" s="2578"/>
      <c r="R57" s="2578"/>
      <c r="S57" s="2578"/>
      <c r="T57" s="2578"/>
      <c r="U57" s="2578"/>
      <c r="V57" s="2578"/>
      <c r="W57" s="3043"/>
    </row>
    <row r="58" spans="1:23" ht="15" customHeight="1" x14ac:dyDescent="0.35">
      <c r="A58" s="280"/>
      <c r="B58" s="3045"/>
      <c r="C58" s="3045"/>
      <c r="D58" s="3045"/>
      <c r="E58" s="3045"/>
      <c r="F58" s="3045"/>
      <c r="G58" s="3003" t="s">
        <v>1136</v>
      </c>
      <c r="H58" s="3003"/>
      <c r="I58" s="3003"/>
      <c r="J58" s="3003"/>
      <c r="K58" s="3002" t="s">
        <v>1137</v>
      </c>
      <c r="L58" s="3003"/>
      <c r="M58" s="3003"/>
      <c r="N58" s="3004"/>
      <c r="O58" s="3002" t="s">
        <v>1138</v>
      </c>
      <c r="P58" s="3003"/>
      <c r="Q58" s="3003"/>
      <c r="R58" s="3004"/>
      <c r="S58" s="3002" t="s">
        <v>1139</v>
      </c>
      <c r="T58" s="3003"/>
      <c r="U58" s="3003"/>
      <c r="V58" s="3003"/>
      <c r="W58" s="677"/>
    </row>
    <row r="59" spans="1:23" ht="30" customHeight="1" x14ac:dyDescent="0.35">
      <c r="A59" s="263"/>
      <c r="B59" s="3046"/>
      <c r="C59" s="3046"/>
      <c r="D59" s="3046"/>
      <c r="E59" s="3046"/>
      <c r="F59" s="3046"/>
      <c r="G59" s="1080" t="s">
        <v>1039</v>
      </c>
      <c r="H59" s="770" t="s">
        <v>1140</v>
      </c>
      <c r="I59" s="765" t="s">
        <v>1141</v>
      </c>
      <c r="J59" s="765" t="s">
        <v>41</v>
      </c>
      <c r="K59" s="984" t="s">
        <v>1039</v>
      </c>
      <c r="L59" s="770" t="s">
        <v>1140</v>
      </c>
      <c r="M59" s="765" t="s">
        <v>1141</v>
      </c>
      <c r="N59" s="765" t="s">
        <v>41</v>
      </c>
      <c r="O59" s="984" t="s">
        <v>1039</v>
      </c>
      <c r="P59" s="770" t="s">
        <v>1140</v>
      </c>
      <c r="Q59" s="765" t="s">
        <v>1141</v>
      </c>
      <c r="R59" s="765" t="s">
        <v>41</v>
      </c>
      <c r="S59" s="984" t="s">
        <v>1039</v>
      </c>
      <c r="T59" s="770" t="s">
        <v>1140</v>
      </c>
      <c r="U59" s="765" t="s">
        <v>1141</v>
      </c>
      <c r="V59" s="765" t="s">
        <v>41</v>
      </c>
      <c r="W59" s="315"/>
    </row>
    <row r="60" spans="1:23" ht="15" x14ac:dyDescent="0.35">
      <c r="A60" s="263"/>
      <c r="B60" s="474" t="s">
        <v>1142</v>
      </c>
      <c r="C60" s="463"/>
      <c r="D60" s="463"/>
      <c r="E60" s="463"/>
      <c r="F60" s="188"/>
      <c r="G60" s="985">
        <f>IF('General Info'!$D$48="Yes", IF(AND(ISNUMBER(G61), ISNUMBER(G86), ISNUMBER(G80), ISNUMBER(G81)), SUM(G61,G86,0.001*G80,G81), ""), 0)</f>
        <v>0</v>
      </c>
      <c r="H60" s="1312"/>
      <c r="I60" s="967"/>
      <c r="J60" s="967"/>
      <c r="K60" s="985">
        <f>IF('General Info'!$D$48="Yes", IF(AND(ISNUMBER(K61), ISNUMBER(K86), ISNUMBER(K80), ISNUMBER(K81)), SUM(K61,K86,0.001*K80,K81), ""), 0)</f>
        <v>0</v>
      </c>
      <c r="L60" s="967"/>
      <c r="M60" s="967"/>
      <c r="N60" s="967"/>
      <c r="O60" s="985">
        <f>IF('General Info'!$D$48="Yes", IF(AND(ISNUMBER(O61), ISNUMBER(O86), ISNUMBER(O80), ISNUMBER(O81)), SUM(O61,O86,0.001*O80,O81), ""), 0)</f>
        <v>0</v>
      </c>
      <c r="P60" s="967"/>
      <c r="Q60" s="967"/>
      <c r="R60" s="967"/>
      <c r="S60" s="985">
        <f>IF('General Info'!$D$48="Yes", IF(AND(ISNUMBER(S61), ISNUMBER(S86), ISNUMBER(S80), ISNUMBER(S81)), SUM(S61,S86,0.001*S80,S81), ""), 0)</f>
        <v>0</v>
      </c>
      <c r="T60" s="967"/>
      <c r="U60" s="967"/>
      <c r="V60" s="967"/>
      <c r="W60" s="315"/>
    </row>
    <row r="61" spans="1:23" ht="15" x14ac:dyDescent="0.35">
      <c r="A61" s="263"/>
      <c r="B61" s="164" t="s">
        <v>1143</v>
      </c>
      <c r="C61" s="161"/>
      <c r="D61" s="161"/>
      <c r="E61" s="161"/>
      <c r="F61" s="161"/>
      <c r="G61" s="418">
        <f>IF('General Info'!$D$48="Yes", IF(AND(ISNUMBER(G62), ISNUMBER(G68), ISNUMBER(G74)), SUM(G62,G68,G74), ""), 0)</f>
        <v>0</v>
      </c>
      <c r="H61" s="227"/>
      <c r="I61" s="227"/>
      <c r="J61" s="227"/>
      <c r="K61" s="1313">
        <f>IF('General Info'!$D$48="Yes", IF(AND(ISNUMBER(K62), ISNUMBER(K68), ISNUMBER(K74)), SUM(K62,K68,K74), ""), 0)</f>
        <v>0</v>
      </c>
      <c r="L61" s="227"/>
      <c r="M61" s="227"/>
      <c r="N61" s="227"/>
      <c r="O61" s="1313">
        <f>IF('General Info'!$D$48="Yes", IF(AND(ISNUMBER(O62), ISNUMBER(O68), ISNUMBER(O74)), SUM(O62,O68,O74), ""), 0)</f>
        <v>0</v>
      </c>
      <c r="P61" s="227"/>
      <c r="Q61" s="227"/>
      <c r="R61" s="227"/>
      <c r="S61" s="1313">
        <f>IF('General Info'!$D$48="Yes", IF(AND(ISNUMBER(S62), ISNUMBER(S68), ISNUMBER(S74)), SUM(S62,S68,S74), ""), 0)</f>
        <v>0</v>
      </c>
      <c r="T61" s="227"/>
      <c r="U61" s="227"/>
      <c r="V61" s="227"/>
      <c r="W61" s="315"/>
    </row>
    <row r="62" spans="1:23" ht="15" customHeight="1" x14ac:dyDescent="0.35">
      <c r="A62" s="263"/>
      <c r="B62" s="165" t="s">
        <v>1144</v>
      </c>
      <c r="C62" s="161"/>
      <c r="D62" s="161"/>
      <c r="E62" s="161"/>
      <c r="F62" s="161"/>
      <c r="G62" s="97">
        <f>IF('General Info'!$D$48="Yes", IF(COUNT(G63:G67)=ROWS(G63:G67), SUM(G63:G67), ""), 0)</f>
        <v>0</v>
      </c>
      <c r="H62" s="227"/>
      <c r="I62" s="227"/>
      <c r="J62" s="227"/>
      <c r="K62" s="987">
        <f>IF('General Info'!$D$48="Yes", IF(COUNT(K63:K67)=ROWS(K63:K67), SUM(K63:K67), ""), 0)</f>
        <v>0</v>
      </c>
      <c r="L62" s="227"/>
      <c r="M62" s="227"/>
      <c r="N62" s="227"/>
      <c r="O62" s="987">
        <f>IF('General Info'!$D$48="Yes", IF(COUNT(O63:O67)=ROWS(O63:O67), SUM(O63:O67), ""), 0)</f>
        <v>0</v>
      </c>
      <c r="P62" s="227"/>
      <c r="Q62" s="227"/>
      <c r="R62" s="227"/>
      <c r="S62" s="987">
        <f>IF('General Info'!$D$48="Yes", IF(COUNT(S63:S67)=ROWS(S63:S67), SUM(S63:S67), ""), 0)</f>
        <v>0</v>
      </c>
      <c r="T62" s="227"/>
      <c r="U62" s="227"/>
      <c r="V62" s="227"/>
      <c r="W62" s="315"/>
    </row>
    <row r="63" spans="1:23" ht="15" customHeight="1" x14ac:dyDescent="0.35">
      <c r="A63" s="263"/>
      <c r="B63" s="170" t="s">
        <v>1145</v>
      </c>
      <c r="C63" s="161"/>
      <c r="D63" s="161"/>
      <c r="E63" s="161"/>
      <c r="F63" s="161"/>
      <c r="G63" s="175"/>
      <c r="H63" s="227"/>
      <c r="I63" s="227"/>
      <c r="J63" s="963" t="str">
        <f>IF(G63&lt;&gt;"", IF(OR('General Info'!$D$48="No", 'General Info'!$D$48=Parameters!$D$609), "Check the flag in 'General Info'!D" &amp; ROW('General Info'!$D$48),""), IF('General Info'!$D$48="Yes", "Please check if appropriate", "Can be left blank for banks without SA"))</f>
        <v>Can be left blank for banks without SA</v>
      </c>
      <c r="K63" s="988"/>
      <c r="L63" s="227"/>
      <c r="M63" s="227"/>
      <c r="N63" s="963" t="str">
        <f>IF(K63&lt;&gt;"", IF(OR('General Info'!$D$48="No", 'General Info'!$D$48=Parameters!$D$609), "Check the flag in 'General Info'!D" &amp; ROW('General Info'!$D$48),""), IF('General Info'!$D$48="Yes", "Please check if appropriate", "Can be left blank for banks without SA"))</f>
        <v>Can be left blank for banks without SA</v>
      </c>
      <c r="O63" s="988"/>
      <c r="P63" s="227"/>
      <c r="Q63" s="227"/>
      <c r="R63" s="963" t="str">
        <f>IF(O63&lt;&gt;"", IF(OR('General Info'!$D$48="No", 'General Info'!$D$48=Parameters!$D$609), "Check the flag in 'General Info'!D" &amp; ROW('General Info'!$D$48),""), IF('General Info'!$D$48="Yes", "Please check if appropriate", "Can be left blank for banks without SA"))</f>
        <v>Can be left blank for banks without SA</v>
      </c>
      <c r="S63" s="988"/>
      <c r="T63" s="227"/>
      <c r="U63" s="227"/>
      <c r="V63" s="963" t="str">
        <f>IF(S63&lt;&gt;"", IF(OR('General Info'!$D$48="No", 'General Info'!$D$48=Parameters!$D$609), "Check the flag in 'General Info'!D" &amp; ROW('General Info'!$D$48),""), IF('General Info'!$D$48="Yes", "Please check if appropriate", "Can be left blank for banks without SA"))</f>
        <v>Can be left blank for banks without SA</v>
      </c>
      <c r="W63" s="315"/>
    </row>
    <row r="64" spans="1:23" ht="15" customHeight="1" x14ac:dyDescent="0.35">
      <c r="A64" s="263"/>
      <c r="B64" s="170" t="s">
        <v>1146</v>
      </c>
      <c r="C64" s="161"/>
      <c r="D64" s="161"/>
      <c r="E64" s="161"/>
      <c r="F64" s="161"/>
      <c r="G64" s="175"/>
      <c r="H64" s="227"/>
      <c r="I64" s="227"/>
      <c r="J64" s="963" t="str">
        <f>IF(G64&lt;&gt;"", IF(OR('General Info'!$D$48="No", 'General Info'!$D$48=Parameters!$D$609), "Check the flag in 'General Info'!D" &amp; ROW('General Info'!$D$48),""), IF('General Info'!$D$48="Yes", "Please check if appropriate", "Can be left blank for banks without SA"))</f>
        <v>Can be left blank for banks without SA</v>
      </c>
      <c r="K64" s="988"/>
      <c r="L64" s="227"/>
      <c r="M64" s="227"/>
      <c r="N64" s="963" t="str">
        <f>IF(K64&lt;&gt;"", IF(OR('General Info'!$D$48="No", 'General Info'!$D$48=Parameters!$D$609), "Check the flag in 'General Info'!D" &amp; ROW('General Info'!$D$48),""), IF('General Info'!$D$48="Yes", "Please check if appropriate", "Can be left blank for banks without SA"))</f>
        <v>Can be left blank for banks without SA</v>
      </c>
      <c r="O64" s="988"/>
      <c r="P64" s="227"/>
      <c r="Q64" s="227"/>
      <c r="R64" s="963" t="str">
        <f>IF(O64&lt;&gt;"", IF(OR('General Info'!$D$48="No", 'General Info'!$D$48=Parameters!$D$609), "Check the flag in 'General Info'!D" &amp; ROW('General Info'!$D$48),""), IF('General Info'!$D$48="Yes", "Please check if appropriate", "Can be left blank for banks without SA"))</f>
        <v>Can be left blank for banks without SA</v>
      </c>
      <c r="S64" s="988"/>
      <c r="T64" s="227"/>
      <c r="U64" s="227"/>
      <c r="V64" s="963" t="str">
        <f>IF(S64&lt;&gt;"", IF(OR('General Info'!$D$48="No", 'General Info'!$D$48=Parameters!$D$609), "Check the flag in 'General Info'!D" &amp; ROW('General Info'!$D$48),""), IF('General Info'!$D$48="Yes", "Please check if appropriate", "Can be left blank for banks without SA"))</f>
        <v>Can be left blank for banks without SA</v>
      </c>
      <c r="W64" s="315"/>
    </row>
    <row r="65" spans="1:23" ht="15" customHeight="1" x14ac:dyDescent="0.35">
      <c r="A65" s="263"/>
      <c r="B65" s="170" t="s">
        <v>1147</v>
      </c>
      <c r="C65" s="161"/>
      <c r="D65" s="161"/>
      <c r="E65" s="161"/>
      <c r="F65" s="161"/>
      <c r="G65" s="175"/>
      <c r="H65" s="227"/>
      <c r="I65" s="227"/>
      <c r="J65" s="963" t="str">
        <f>IF(G65&lt;&gt;"", IF(OR('General Info'!$D$48="No", 'General Info'!$D$48=Parameters!$D$609), "Check the flag in 'General Info'!D" &amp; ROW('General Info'!$D$48),""), IF('General Info'!$D$48="Yes", "Please check if appropriate", "Can be left blank for banks without SA"))</f>
        <v>Can be left blank for banks without SA</v>
      </c>
      <c r="K65" s="988"/>
      <c r="L65" s="227"/>
      <c r="M65" s="227"/>
      <c r="N65" s="963" t="str">
        <f>IF(K65&lt;&gt;"", IF(OR('General Info'!$D$48="No", 'General Info'!$D$48=Parameters!$D$609), "Check the flag in 'General Info'!D" &amp; ROW('General Info'!$D$48),""), IF('General Info'!$D$48="Yes", "Please check if appropriate", "Can be left blank for banks without SA"))</f>
        <v>Can be left blank for banks without SA</v>
      </c>
      <c r="O65" s="988"/>
      <c r="P65" s="227"/>
      <c r="Q65" s="227"/>
      <c r="R65" s="963" t="str">
        <f>IF(O65&lt;&gt;"", IF(OR('General Info'!$D$48="No", 'General Info'!$D$48=Parameters!$D$609), "Check the flag in 'General Info'!D" &amp; ROW('General Info'!$D$48),""), IF('General Info'!$D$48="Yes", "Please check if appropriate", "Can be left blank for banks without SA"))</f>
        <v>Can be left blank for banks without SA</v>
      </c>
      <c r="S65" s="988"/>
      <c r="T65" s="227"/>
      <c r="U65" s="227"/>
      <c r="V65" s="963" t="str">
        <f>IF(S65&lt;&gt;"", IF(OR('General Info'!$D$48="No", 'General Info'!$D$48=Parameters!$D$609), "Check the flag in 'General Info'!D" &amp; ROW('General Info'!$D$48),""), IF('General Info'!$D$48="Yes", "Please check if appropriate", "Can be left blank for banks without SA"))</f>
        <v>Can be left blank for banks without SA</v>
      </c>
      <c r="W65" s="315"/>
    </row>
    <row r="66" spans="1:23" ht="15" customHeight="1" x14ac:dyDescent="0.35">
      <c r="A66" s="263"/>
      <c r="B66" s="170" t="s">
        <v>1148</v>
      </c>
      <c r="C66" s="161"/>
      <c r="D66" s="161"/>
      <c r="E66" s="161"/>
      <c r="F66" s="161"/>
      <c r="G66" s="175"/>
      <c r="H66" s="227"/>
      <c r="I66" s="227"/>
      <c r="J66" s="963" t="str">
        <f>IF(G66&lt;&gt;"", IF(OR('General Info'!$D$48="No", 'General Info'!$D$48=Parameters!$D$609), "Check the flag in 'General Info'!D" &amp; ROW('General Info'!$D$48),""), IF('General Info'!$D$48="Yes", "Please check if appropriate", "Can be left blank for banks without SA"))</f>
        <v>Can be left blank for banks without SA</v>
      </c>
      <c r="K66" s="988"/>
      <c r="L66" s="227"/>
      <c r="M66" s="227"/>
      <c r="N66" s="963" t="str">
        <f>IF(K66&lt;&gt;"", IF(OR('General Info'!$D$48="No", 'General Info'!$D$48=Parameters!$D$609), "Check the flag in 'General Info'!D" &amp; ROW('General Info'!$D$48),""), IF('General Info'!$D$48="Yes", "Please check if appropriate", "Can be left blank for banks without SA"))</f>
        <v>Can be left blank for banks without SA</v>
      </c>
      <c r="O66" s="988"/>
      <c r="P66" s="227"/>
      <c r="Q66" s="227"/>
      <c r="R66" s="963" t="str">
        <f>IF(O66&lt;&gt;"", IF(OR('General Info'!$D$48="No", 'General Info'!$D$48=Parameters!$D$609), "Check the flag in 'General Info'!D" &amp; ROW('General Info'!$D$48),""), IF('General Info'!$D$48="Yes", "Please check if appropriate", "Can be left blank for banks without SA"))</f>
        <v>Can be left blank for banks without SA</v>
      </c>
      <c r="S66" s="988"/>
      <c r="T66" s="227"/>
      <c r="U66" s="227"/>
      <c r="V66" s="963" t="str">
        <f>IF(S66&lt;&gt;"", IF(OR('General Info'!$D$48="No", 'General Info'!$D$48=Parameters!$D$609), "Check the flag in 'General Info'!D" &amp; ROW('General Info'!$D$48),""), IF('General Info'!$D$48="Yes", "Please check if appropriate", "Can be left blank for banks without SA"))</f>
        <v>Can be left blank for banks without SA</v>
      </c>
      <c r="W66" s="315"/>
    </row>
    <row r="67" spans="1:23" ht="15" customHeight="1" x14ac:dyDescent="0.35">
      <c r="A67" s="263"/>
      <c r="B67" s="170" t="s">
        <v>1149</v>
      </c>
      <c r="C67" s="161"/>
      <c r="D67" s="161"/>
      <c r="E67" s="161"/>
      <c r="F67" s="161"/>
      <c r="G67" s="175"/>
      <c r="H67" s="227"/>
      <c r="I67" s="227"/>
      <c r="J67" s="963" t="str">
        <f>IF(G67&lt;&gt;"", IF(OR('General Info'!$D$48="No", 'General Info'!$D$48=Parameters!$D$609), "Check the flag in 'General Info'!D" &amp; ROW('General Info'!$D$48),""), IF('General Info'!$D$48="Yes", "Please check if appropriate", "Can be left blank for banks without SA"))</f>
        <v>Can be left blank for banks without SA</v>
      </c>
      <c r="K67" s="988"/>
      <c r="L67" s="227"/>
      <c r="M67" s="227"/>
      <c r="N67" s="963" t="str">
        <f>IF(K67&lt;&gt;"", IF(OR('General Info'!$D$48="No", 'General Info'!$D$48=Parameters!$D$609), "Check the flag in 'General Info'!D" &amp; ROW('General Info'!$D$48),""), IF('General Info'!$D$48="Yes", "Please check if appropriate", "Can be left blank for banks without SA"))</f>
        <v>Can be left blank for banks without SA</v>
      </c>
      <c r="O67" s="988"/>
      <c r="P67" s="227"/>
      <c r="Q67" s="227"/>
      <c r="R67" s="963" t="str">
        <f>IF(O67&lt;&gt;"", IF(OR('General Info'!$D$48="No", 'General Info'!$D$48=Parameters!$D$609), "Check the flag in 'General Info'!D" &amp; ROW('General Info'!$D$48),""), IF('General Info'!$D$48="Yes", "Please check if appropriate", "Can be left blank for banks without SA"))</f>
        <v>Can be left blank for banks without SA</v>
      </c>
      <c r="S67" s="988"/>
      <c r="T67" s="227"/>
      <c r="U67" s="227"/>
      <c r="V67" s="963" t="str">
        <f>IF(S67&lt;&gt;"", IF(OR('General Info'!$D$48="No", 'General Info'!$D$48=Parameters!$D$609), "Check the flag in 'General Info'!D" &amp; ROW('General Info'!$D$48),""), IF('General Info'!$D$48="Yes", "Please check if appropriate", "Can be left blank for banks without SA"))</f>
        <v>Can be left blank for banks without SA</v>
      </c>
      <c r="W67" s="315"/>
    </row>
    <row r="68" spans="1:23" ht="15" customHeight="1" x14ac:dyDescent="0.35">
      <c r="A68" s="263"/>
      <c r="B68" s="165" t="s">
        <v>1150</v>
      </c>
      <c r="C68" s="161"/>
      <c r="D68" s="161"/>
      <c r="E68" s="161"/>
      <c r="F68" s="161"/>
      <c r="G68" s="97">
        <f>IF('General Info'!$D$48="Yes", IF(COUNT(G69:G73)=ROWS(G69:G73), SUM(G69:G73), ""), 0)</f>
        <v>0</v>
      </c>
      <c r="H68" s="227"/>
      <c r="I68" s="227"/>
      <c r="J68" s="227"/>
      <c r="K68" s="987">
        <f>IF('General Info'!$D$48="Yes", IF(COUNT(K69:K73)=ROWS(K69:K73), SUM(K69:K73), ""), 0)</f>
        <v>0</v>
      </c>
      <c r="L68" s="227"/>
      <c r="M68" s="227"/>
      <c r="N68" s="227"/>
      <c r="O68" s="987">
        <f>IF('General Info'!$D$48="Yes", IF(COUNT(O69:O73)=ROWS(O69:O73), SUM(O69:O73), ""), 0)</f>
        <v>0</v>
      </c>
      <c r="P68" s="227"/>
      <c r="Q68" s="227"/>
      <c r="R68" s="227"/>
      <c r="S68" s="987">
        <f>IF('General Info'!$D$48="Yes", IF(COUNT(S69:S73)=ROWS(S69:S73), SUM(S69:S73), ""), 0)</f>
        <v>0</v>
      </c>
      <c r="T68" s="227"/>
      <c r="U68" s="227"/>
      <c r="V68" s="227"/>
      <c r="W68" s="315"/>
    </row>
    <row r="69" spans="1:23" ht="15" customHeight="1" x14ac:dyDescent="0.35">
      <c r="A69" s="263"/>
      <c r="B69" s="170" t="s">
        <v>1145</v>
      </c>
      <c r="C69" s="161"/>
      <c r="D69" s="161"/>
      <c r="E69" s="161"/>
      <c r="F69" s="161"/>
      <c r="G69" s="175"/>
      <c r="H69" s="227"/>
      <c r="I69" s="227"/>
      <c r="J69" s="963" t="str">
        <f>IF(G69&lt;&gt;"", IF(OR('General Info'!$D$48="No", 'General Info'!$D$48=Parameters!$D$609), "Check the flag in 'General Info'!D" &amp; ROW('General Info'!$D$48),""), IF('General Info'!$D$48="Yes", "Please check if appropriate", "Can be left blank for banks without SA"))</f>
        <v>Can be left blank for banks without SA</v>
      </c>
      <c r="K69" s="988"/>
      <c r="L69" s="227"/>
      <c r="M69" s="227"/>
      <c r="N69" s="963" t="str">
        <f>IF(K69&lt;&gt;"", IF(OR('General Info'!$D$48="No", 'General Info'!$D$48=Parameters!$D$609), "Check the flag in 'General Info'!D" &amp; ROW('General Info'!$D$48),""), IF('General Info'!$D$48="Yes", "Please check if appropriate", "Can be left blank for banks without SA"))</f>
        <v>Can be left blank for banks without SA</v>
      </c>
      <c r="O69" s="988"/>
      <c r="P69" s="227"/>
      <c r="Q69" s="227"/>
      <c r="R69" s="963" t="str">
        <f>IF(O69&lt;&gt;"", IF(OR('General Info'!$D$48="No", 'General Info'!$D$48=Parameters!$D$609), "Check the flag in 'General Info'!D" &amp; ROW('General Info'!$D$48),""), IF('General Info'!$D$48="Yes", "Please check if appropriate", "Can be left blank for banks without SA"))</f>
        <v>Can be left blank for banks without SA</v>
      </c>
      <c r="S69" s="988"/>
      <c r="T69" s="227"/>
      <c r="U69" s="227"/>
      <c r="V69" s="963" t="str">
        <f>IF(S69&lt;&gt;"", IF(OR('General Info'!$D$48="No", 'General Info'!$D$48=Parameters!$D$609), "Check the flag in 'General Info'!D" &amp; ROW('General Info'!$D$48),""), IF('General Info'!$D$48="Yes", "Please check if appropriate", "Can be left blank for banks without SA"))</f>
        <v>Can be left blank for banks without SA</v>
      </c>
      <c r="W69" s="315"/>
    </row>
    <row r="70" spans="1:23" ht="15" customHeight="1" x14ac:dyDescent="0.35">
      <c r="A70" s="263"/>
      <c r="B70" s="170" t="s">
        <v>1146</v>
      </c>
      <c r="C70" s="161"/>
      <c r="D70" s="161"/>
      <c r="E70" s="161"/>
      <c r="F70" s="161"/>
      <c r="G70" s="175"/>
      <c r="H70" s="227"/>
      <c r="I70" s="227"/>
      <c r="J70" s="963" t="str">
        <f>IF(G70&lt;&gt;"", IF(OR('General Info'!$D$48="No", 'General Info'!$D$48=Parameters!$D$609), "Check the flag in 'General Info'!D" &amp; ROW('General Info'!$D$48),""), IF('General Info'!$D$48="Yes", "Please check if appropriate", "Can be left blank for banks without SA"))</f>
        <v>Can be left blank for banks without SA</v>
      </c>
      <c r="K70" s="988"/>
      <c r="L70" s="227"/>
      <c r="M70" s="227"/>
      <c r="N70" s="963" t="str">
        <f>IF(K70&lt;&gt;"", IF(OR('General Info'!$D$48="No", 'General Info'!$D$48=Parameters!$D$609), "Check the flag in 'General Info'!D" &amp; ROW('General Info'!$D$48),""), IF('General Info'!$D$48="Yes", "Please check if appropriate", "Can be left blank for banks without SA"))</f>
        <v>Can be left blank for banks without SA</v>
      </c>
      <c r="O70" s="988"/>
      <c r="P70" s="227"/>
      <c r="Q70" s="227"/>
      <c r="R70" s="963" t="str">
        <f>IF(O70&lt;&gt;"", IF(OR('General Info'!$D$48="No", 'General Info'!$D$48=Parameters!$D$609), "Check the flag in 'General Info'!D" &amp; ROW('General Info'!$D$48),""), IF('General Info'!$D$48="Yes", "Please check if appropriate", "Can be left blank for banks without SA"))</f>
        <v>Can be left blank for banks without SA</v>
      </c>
      <c r="S70" s="988"/>
      <c r="T70" s="227"/>
      <c r="U70" s="227"/>
      <c r="V70" s="963" t="str">
        <f>IF(S70&lt;&gt;"", IF(OR('General Info'!$D$48="No", 'General Info'!$D$48=Parameters!$D$609), "Check the flag in 'General Info'!D" &amp; ROW('General Info'!$D$48),""), IF('General Info'!$D$48="Yes", "Please check if appropriate", "Can be left blank for banks without SA"))</f>
        <v>Can be left blank for banks without SA</v>
      </c>
      <c r="W70" s="315"/>
    </row>
    <row r="71" spans="1:23" ht="15" customHeight="1" x14ac:dyDescent="0.35">
      <c r="A71" s="263"/>
      <c r="B71" s="170" t="s">
        <v>1147</v>
      </c>
      <c r="C71" s="161"/>
      <c r="D71" s="161"/>
      <c r="E71" s="161"/>
      <c r="F71" s="161"/>
      <c r="G71" s="175"/>
      <c r="H71" s="227"/>
      <c r="I71" s="227"/>
      <c r="J71" s="963" t="str">
        <f>IF(G71&lt;&gt;"", IF(OR('General Info'!$D$48="No", 'General Info'!$D$48=Parameters!$D$609), "Check the flag in 'General Info'!D" &amp; ROW('General Info'!$D$48),""), IF('General Info'!$D$48="Yes", "Please check if appropriate", "Can be left blank for banks without SA"))</f>
        <v>Can be left blank for banks without SA</v>
      </c>
      <c r="K71" s="988"/>
      <c r="L71" s="227"/>
      <c r="M71" s="227"/>
      <c r="N71" s="963" t="str">
        <f>IF(K71&lt;&gt;"", IF(OR('General Info'!$D$48="No", 'General Info'!$D$48=Parameters!$D$609), "Check the flag in 'General Info'!D" &amp; ROW('General Info'!$D$48),""), IF('General Info'!$D$48="Yes", "Please check if appropriate", "Can be left blank for banks without SA"))</f>
        <v>Can be left blank for banks without SA</v>
      </c>
      <c r="O71" s="988"/>
      <c r="P71" s="227"/>
      <c r="Q71" s="227"/>
      <c r="R71" s="963" t="str">
        <f>IF(O71&lt;&gt;"", IF(OR('General Info'!$D$48="No", 'General Info'!$D$48=Parameters!$D$609), "Check the flag in 'General Info'!D" &amp; ROW('General Info'!$D$48),""), IF('General Info'!$D$48="Yes", "Please check if appropriate", "Can be left blank for banks without SA"))</f>
        <v>Can be left blank for banks without SA</v>
      </c>
      <c r="S71" s="988"/>
      <c r="T71" s="227"/>
      <c r="U71" s="227"/>
      <c r="V71" s="963" t="str">
        <f>IF(S71&lt;&gt;"", IF(OR('General Info'!$D$48="No", 'General Info'!$D$48=Parameters!$D$609), "Check the flag in 'General Info'!D" &amp; ROW('General Info'!$D$48),""), IF('General Info'!$D$48="Yes", "Please check if appropriate", "Can be left blank for banks without SA"))</f>
        <v>Can be left blank for banks without SA</v>
      </c>
      <c r="W71" s="315"/>
    </row>
    <row r="72" spans="1:23" ht="15" customHeight="1" x14ac:dyDescent="0.35">
      <c r="A72" s="263"/>
      <c r="B72" s="170" t="s">
        <v>1148</v>
      </c>
      <c r="C72" s="161"/>
      <c r="D72" s="161"/>
      <c r="E72" s="161"/>
      <c r="F72" s="161"/>
      <c r="G72" s="175"/>
      <c r="H72" s="227"/>
      <c r="I72" s="227"/>
      <c r="J72" s="963" t="str">
        <f>IF(G72&lt;&gt;"", IF(OR('General Info'!$D$48="No", 'General Info'!$D$48=Parameters!$D$609), "Check the flag in 'General Info'!D" &amp; ROW('General Info'!$D$48),""), IF('General Info'!$D$48="Yes", "Please check if appropriate", "Can be left blank for banks without SA"))</f>
        <v>Can be left blank for banks without SA</v>
      </c>
      <c r="K72" s="988"/>
      <c r="L72" s="227"/>
      <c r="M72" s="227"/>
      <c r="N72" s="963" t="str">
        <f>IF(K72&lt;&gt;"", IF(OR('General Info'!$D$48="No", 'General Info'!$D$48=Parameters!$D$609), "Check the flag in 'General Info'!D" &amp; ROW('General Info'!$D$48),""), IF('General Info'!$D$48="Yes", "Please check if appropriate", "Can be left blank for banks without SA"))</f>
        <v>Can be left blank for banks without SA</v>
      </c>
      <c r="O72" s="988"/>
      <c r="P72" s="227"/>
      <c r="Q72" s="227"/>
      <c r="R72" s="963" t="str">
        <f>IF(O72&lt;&gt;"", IF(OR('General Info'!$D$48="No", 'General Info'!$D$48=Parameters!$D$609), "Check the flag in 'General Info'!D" &amp; ROW('General Info'!$D$48),""), IF('General Info'!$D$48="Yes", "Please check if appropriate", "Can be left blank for banks without SA"))</f>
        <v>Can be left blank for banks without SA</v>
      </c>
      <c r="S72" s="988"/>
      <c r="T72" s="227"/>
      <c r="U72" s="227"/>
      <c r="V72" s="963" t="str">
        <f>IF(S72&lt;&gt;"", IF(OR('General Info'!$D$48="No", 'General Info'!$D$48=Parameters!$D$609), "Check the flag in 'General Info'!D" &amp; ROW('General Info'!$D$48),""), IF('General Info'!$D$48="Yes", "Please check if appropriate", "Can be left blank for banks without SA"))</f>
        <v>Can be left blank for banks without SA</v>
      </c>
      <c r="W72" s="315"/>
    </row>
    <row r="73" spans="1:23" ht="15" customHeight="1" x14ac:dyDescent="0.35">
      <c r="A73" s="263"/>
      <c r="B73" s="170" t="s">
        <v>1149</v>
      </c>
      <c r="C73" s="161"/>
      <c r="D73" s="161"/>
      <c r="E73" s="161"/>
      <c r="F73" s="161"/>
      <c r="G73" s="175"/>
      <c r="H73" s="227"/>
      <c r="I73" s="227"/>
      <c r="J73" s="963" t="str">
        <f>IF(G73&lt;&gt;"", IF(OR('General Info'!$D$48="No", 'General Info'!$D$48=Parameters!$D$609), "Check the flag in 'General Info'!D" &amp; ROW('General Info'!$D$48),""), IF('General Info'!$D$48="Yes", "Please check if appropriate", "Can be left blank for banks without SA"))</f>
        <v>Can be left blank for banks without SA</v>
      </c>
      <c r="K73" s="988"/>
      <c r="L73" s="227"/>
      <c r="M73" s="227"/>
      <c r="N73" s="963" t="str">
        <f>IF(K73&lt;&gt;"", IF(OR('General Info'!$D$48="No", 'General Info'!$D$48=Parameters!$D$609), "Check the flag in 'General Info'!D" &amp; ROW('General Info'!$D$48),""), IF('General Info'!$D$48="Yes", "Please check if appropriate", "Can be left blank for banks without SA"))</f>
        <v>Can be left blank for banks without SA</v>
      </c>
      <c r="O73" s="988"/>
      <c r="P73" s="227"/>
      <c r="Q73" s="227"/>
      <c r="R73" s="963" t="str">
        <f>IF(O73&lt;&gt;"", IF(OR('General Info'!$D$48="No", 'General Info'!$D$48=Parameters!$D$609), "Check the flag in 'General Info'!D" &amp; ROW('General Info'!$D$48),""), IF('General Info'!$D$48="Yes", "Please check if appropriate", "Can be left blank for banks without SA"))</f>
        <v>Can be left blank for banks without SA</v>
      </c>
      <c r="S73" s="988"/>
      <c r="T73" s="227"/>
      <c r="U73" s="227"/>
      <c r="V73" s="963" t="str">
        <f>IF(S73&lt;&gt;"", IF(OR('General Info'!$D$48="No", 'General Info'!$D$48=Parameters!$D$609), "Check the flag in 'General Info'!D" &amp; ROW('General Info'!$D$48),""), IF('General Info'!$D$48="Yes", "Please check if appropriate", "Can be left blank for banks without SA"))</f>
        <v>Can be left blank for banks without SA</v>
      </c>
      <c r="W73" s="315"/>
    </row>
    <row r="74" spans="1:23" ht="15" customHeight="1" x14ac:dyDescent="0.35">
      <c r="A74" s="263"/>
      <c r="B74" s="165" t="s">
        <v>1151</v>
      </c>
      <c r="C74" s="161"/>
      <c r="D74" s="161"/>
      <c r="E74" s="161"/>
      <c r="F74" s="161"/>
      <c r="G74" s="97">
        <f>IF('General Info'!$D$48="Yes", IF(COUNT(G75:G79)=ROWS(G75:G79), SUM(G75:G79), ""), 0)</f>
        <v>0</v>
      </c>
      <c r="H74" s="227"/>
      <c r="I74" s="227"/>
      <c r="J74" s="227"/>
      <c r="K74" s="987">
        <f>IF('General Info'!$D$48="Yes", IF(COUNT(K75:K79)=ROWS(K75:K79), SUM(K75:K79), ""), 0)</f>
        <v>0</v>
      </c>
      <c r="L74" s="227"/>
      <c r="M74" s="227"/>
      <c r="N74" s="227"/>
      <c r="O74" s="987">
        <f>IF('General Info'!$D$48="Yes", IF(COUNT(O75:O79)=ROWS(O75:O79), SUM(O75:O79), ""), 0)</f>
        <v>0</v>
      </c>
      <c r="P74" s="227"/>
      <c r="Q74" s="227"/>
      <c r="R74" s="227"/>
      <c r="S74" s="987">
        <f>IF('General Info'!$D$48="Yes", IF(COUNT(S75:S79)=ROWS(S75:S79), SUM(S75:S79), ""), 0)</f>
        <v>0</v>
      </c>
      <c r="T74" s="227"/>
      <c r="U74" s="227"/>
      <c r="V74" s="227"/>
      <c r="W74" s="315"/>
    </row>
    <row r="75" spans="1:23" ht="15" customHeight="1" x14ac:dyDescent="0.35">
      <c r="A75" s="263"/>
      <c r="B75" s="170" t="s">
        <v>1145</v>
      </c>
      <c r="C75" s="161"/>
      <c r="D75" s="161"/>
      <c r="E75" s="161"/>
      <c r="F75" s="161"/>
      <c r="G75" s="175"/>
      <c r="H75" s="227"/>
      <c r="I75" s="227"/>
      <c r="J75" s="963" t="str">
        <f>IF(G75&lt;&gt;"", IF(OR('General Info'!$D$48="No", 'General Info'!$D$48=Parameters!$D$609), "Check the flag in 'General Info'!D" &amp; ROW('General Info'!$D$48),""), IF('General Info'!$D$48="Yes", "Please check if appropriate", "Can be left blank for banks without SA"))</f>
        <v>Can be left blank for banks without SA</v>
      </c>
      <c r="K75" s="988"/>
      <c r="L75" s="227"/>
      <c r="M75" s="227"/>
      <c r="N75" s="963" t="str">
        <f>IF(K75&lt;&gt;"", IF(OR('General Info'!$D$48="No", 'General Info'!$D$48=Parameters!$D$609), "Check the flag in 'General Info'!D" &amp; ROW('General Info'!$D$48),""), IF('General Info'!$D$48="Yes", "Please check if appropriate", "Can be left blank for banks without SA"))</f>
        <v>Can be left blank for banks without SA</v>
      </c>
      <c r="O75" s="988"/>
      <c r="P75" s="227"/>
      <c r="Q75" s="227"/>
      <c r="R75" s="963" t="str">
        <f>IF(O75&lt;&gt;"", IF(OR('General Info'!$D$48="No", 'General Info'!$D$48=Parameters!$D$609), "Check the flag in 'General Info'!D" &amp; ROW('General Info'!$D$48),""), IF('General Info'!$D$48="Yes", "Please check if appropriate", "Can be left blank for banks without SA"))</f>
        <v>Can be left blank for banks without SA</v>
      </c>
      <c r="S75" s="988"/>
      <c r="T75" s="227"/>
      <c r="U75" s="227"/>
      <c r="V75" s="963" t="str">
        <f>IF(S75&lt;&gt;"", IF(OR('General Info'!$D$48="No", 'General Info'!$D$48=Parameters!$D$609), "Check the flag in 'General Info'!D" &amp; ROW('General Info'!$D$48),""), IF('General Info'!$D$48="Yes", "Please check if appropriate", "Can be left blank for banks without SA"))</f>
        <v>Can be left blank for banks without SA</v>
      </c>
      <c r="W75" s="315"/>
    </row>
    <row r="76" spans="1:23" ht="15" customHeight="1" x14ac:dyDescent="0.35">
      <c r="A76" s="263"/>
      <c r="B76" s="170" t="s">
        <v>1146</v>
      </c>
      <c r="C76" s="161"/>
      <c r="D76" s="161"/>
      <c r="E76" s="161"/>
      <c r="F76" s="161"/>
      <c r="G76" s="175"/>
      <c r="H76" s="227"/>
      <c r="I76" s="227"/>
      <c r="J76" s="963" t="str">
        <f>IF(G76&lt;&gt;"", IF(OR('General Info'!$D$48="No", 'General Info'!$D$48=Parameters!$D$609), "Check the flag in 'General Info'!D" &amp; ROW('General Info'!$D$48),""), IF('General Info'!$D$48="Yes", "Please check if appropriate", "Can be left blank for banks without SA"))</f>
        <v>Can be left blank for banks without SA</v>
      </c>
      <c r="K76" s="988"/>
      <c r="L76" s="227"/>
      <c r="M76" s="227"/>
      <c r="N76" s="963" t="str">
        <f>IF(K76&lt;&gt;"", IF(OR('General Info'!$D$48="No", 'General Info'!$D$48=Parameters!$D$609), "Check the flag in 'General Info'!D" &amp; ROW('General Info'!$D$48),""), IF('General Info'!$D$48="Yes", "Please check if appropriate", "Can be left blank for banks without SA"))</f>
        <v>Can be left blank for banks without SA</v>
      </c>
      <c r="O76" s="988"/>
      <c r="P76" s="227"/>
      <c r="Q76" s="227"/>
      <c r="R76" s="963" t="str">
        <f>IF(O76&lt;&gt;"", IF(OR('General Info'!$D$48="No", 'General Info'!$D$48=Parameters!$D$609), "Check the flag in 'General Info'!D" &amp; ROW('General Info'!$D$48),""), IF('General Info'!$D$48="Yes", "Please check if appropriate", "Can be left blank for banks without SA"))</f>
        <v>Can be left blank for banks without SA</v>
      </c>
      <c r="S76" s="988"/>
      <c r="T76" s="227"/>
      <c r="U76" s="227"/>
      <c r="V76" s="963" t="str">
        <f>IF(S76&lt;&gt;"", IF(OR('General Info'!$D$48="No", 'General Info'!$D$48=Parameters!$D$609), "Check the flag in 'General Info'!D" &amp; ROW('General Info'!$D$48),""), IF('General Info'!$D$48="Yes", "Please check if appropriate", "Can be left blank for banks without SA"))</f>
        <v>Can be left blank for banks without SA</v>
      </c>
      <c r="W76" s="315"/>
    </row>
    <row r="77" spans="1:23" ht="15" customHeight="1" x14ac:dyDescent="0.35">
      <c r="A77" s="263"/>
      <c r="B77" s="170" t="s">
        <v>1147</v>
      </c>
      <c r="C77" s="161"/>
      <c r="D77" s="161"/>
      <c r="E77" s="161"/>
      <c r="F77" s="161"/>
      <c r="G77" s="175"/>
      <c r="H77" s="227"/>
      <c r="I77" s="227"/>
      <c r="J77" s="963" t="str">
        <f>IF(G77&lt;&gt;"", IF(OR('General Info'!$D$48="No", 'General Info'!$D$48=Parameters!$D$609), "Check the flag in 'General Info'!D" &amp; ROW('General Info'!$D$48),""), IF('General Info'!$D$48="Yes", "Please check if appropriate", "Can be left blank for banks without SA"))</f>
        <v>Can be left blank for banks without SA</v>
      </c>
      <c r="K77" s="988"/>
      <c r="L77" s="227"/>
      <c r="M77" s="227"/>
      <c r="N77" s="963" t="str">
        <f>IF(K77&lt;&gt;"", IF(OR('General Info'!$D$48="No", 'General Info'!$D$48=Parameters!$D$609), "Check the flag in 'General Info'!D" &amp; ROW('General Info'!$D$48),""), IF('General Info'!$D$48="Yes", "Please check if appropriate", "Can be left blank for banks without SA"))</f>
        <v>Can be left blank for banks without SA</v>
      </c>
      <c r="O77" s="988"/>
      <c r="P77" s="227"/>
      <c r="Q77" s="227"/>
      <c r="R77" s="963" t="str">
        <f>IF(O77&lt;&gt;"", IF(OR('General Info'!$D$48="No", 'General Info'!$D$48=Parameters!$D$609), "Check the flag in 'General Info'!D" &amp; ROW('General Info'!$D$48),""), IF('General Info'!$D$48="Yes", "Please check if appropriate", "Can be left blank for banks without SA"))</f>
        <v>Can be left blank for banks without SA</v>
      </c>
      <c r="S77" s="988"/>
      <c r="T77" s="227"/>
      <c r="U77" s="227"/>
      <c r="V77" s="963" t="str">
        <f>IF(S77&lt;&gt;"", IF(OR('General Info'!$D$48="No", 'General Info'!$D$48=Parameters!$D$609), "Check the flag in 'General Info'!D" &amp; ROW('General Info'!$D$48),""), IF('General Info'!$D$48="Yes", "Please check if appropriate", "Can be left blank for banks without SA"))</f>
        <v>Can be left blank for banks without SA</v>
      </c>
      <c r="W77" s="315"/>
    </row>
    <row r="78" spans="1:23" ht="15" customHeight="1" x14ac:dyDescent="0.35">
      <c r="A78" s="263"/>
      <c r="B78" s="170" t="s">
        <v>1148</v>
      </c>
      <c r="C78" s="161"/>
      <c r="D78" s="161"/>
      <c r="E78" s="161"/>
      <c r="F78" s="161"/>
      <c r="G78" s="175"/>
      <c r="H78" s="227"/>
      <c r="I78" s="227"/>
      <c r="J78" s="963" t="str">
        <f>IF(G78&lt;&gt;"", IF(OR('General Info'!$D$48="No", 'General Info'!$D$48=Parameters!$D$609), "Check the flag in 'General Info'!D" &amp; ROW('General Info'!$D$48),""), IF('General Info'!$D$48="Yes", "Please check if appropriate", "Can be left blank for banks without SA"))</f>
        <v>Can be left blank for banks without SA</v>
      </c>
      <c r="K78" s="988"/>
      <c r="L78" s="227"/>
      <c r="M78" s="227"/>
      <c r="N78" s="963" t="str">
        <f>IF(K78&lt;&gt;"", IF(OR('General Info'!$D$48="No", 'General Info'!$D$48=Parameters!$D$609), "Check the flag in 'General Info'!D" &amp; ROW('General Info'!$D$48),""), IF('General Info'!$D$48="Yes", "Please check if appropriate", "Can be left blank for banks without SA"))</f>
        <v>Can be left blank for banks without SA</v>
      </c>
      <c r="O78" s="988"/>
      <c r="P78" s="227"/>
      <c r="Q78" s="227"/>
      <c r="R78" s="963" t="str">
        <f>IF(O78&lt;&gt;"", IF(OR('General Info'!$D$48="No", 'General Info'!$D$48=Parameters!$D$609), "Check the flag in 'General Info'!D" &amp; ROW('General Info'!$D$48),""), IF('General Info'!$D$48="Yes", "Please check if appropriate", "Can be left blank for banks without SA"))</f>
        <v>Can be left blank for banks without SA</v>
      </c>
      <c r="S78" s="988"/>
      <c r="T78" s="227"/>
      <c r="U78" s="227"/>
      <c r="V78" s="963" t="str">
        <f>IF(S78&lt;&gt;"", IF(OR('General Info'!$D$48="No", 'General Info'!$D$48=Parameters!$D$609), "Check the flag in 'General Info'!D" &amp; ROW('General Info'!$D$48),""), IF('General Info'!$D$48="Yes", "Please check if appropriate", "Can be left blank for banks without SA"))</f>
        <v>Can be left blank for banks without SA</v>
      </c>
      <c r="W78" s="315"/>
    </row>
    <row r="79" spans="1:23" ht="15" customHeight="1" x14ac:dyDescent="0.35">
      <c r="A79" s="263"/>
      <c r="B79" s="170" t="s">
        <v>1149</v>
      </c>
      <c r="C79" s="161"/>
      <c r="D79" s="161"/>
      <c r="E79" s="161"/>
      <c r="F79" s="161"/>
      <c r="G79" s="175"/>
      <c r="H79" s="227"/>
      <c r="I79" s="227"/>
      <c r="J79" s="963" t="str">
        <f>IF(G79&lt;&gt;"", IF(OR('General Info'!$D$48="No", 'General Info'!$D$48=Parameters!$D$609), "Check the flag in 'General Info'!D" &amp; ROW('General Info'!$D$48),""), IF('General Info'!$D$48="Yes", "Please check if appropriate", "Can be left blank for banks without SA"))</f>
        <v>Can be left blank for banks without SA</v>
      </c>
      <c r="K79" s="988"/>
      <c r="L79" s="227"/>
      <c r="M79" s="227"/>
      <c r="N79" s="963" t="str">
        <f>IF(K79&lt;&gt;"", IF(OR('General Info'!$D$48="No", 'General Info'!$D$48=Parameters!$D$609), "Check the flag in 'General Info'!D" &amp; ROW('General Info'!$D$48),""), IF('General Info'!$D$48="Yes", "Please check if appropriate", "Can be left blank for banks without SA"))</f>
        <v>Can be left blank for banks without SA</v>
      </c>
      <c r="O79" s="988"/>
      <c r="P79" s="227"/>
      <c r="Q79" s="227"/>
      <c r="R79" s="963" t="str">
        <f>IF(O79&lt;&gt;"", IF(OR('General Info'!$D$48="No", 'General Info'!$D$48=Parameters!$D$609), "Check the flag in 'General Info'!D" &amp; ROW('General Info'!$D$48),""), IF('General Info'!$D$48="Yes", "Please check if appropriate", "Can be left blank for banks without SA"))</f>
        <v>Can be left blank for banks without SA</v>
      </c>
      <c r="S79" s="988"/>
      <c r="T79" s="227"/>
      <c r="U79" s="227"/>
      <c r="V79" s="963" t="str">
        <f>IF(S79&lt;&gt;"", IF(OR('General Info'!$D$48="No", 'General Info'!$D$48=Parameters!$D$609), "Check the flag in 'General Info'!D" &amp; ROW('General Info'!$D$48),""), IF('General Info'!$D$48="Yes", "Please check if appropriate", "Can be left blank for banks without SA"))</f>
        <v>Can be left blank for banks without SA</v>
      </c>
      <c r="W79" s="315"/>
    </row>
    <row r="80" spans="1:23" ht="15" customHeight="1" x14ac:dyDescent="0.35">
      <c r="A80" s="263"/>
      <c r="B80" s="164" t="s">
        <v>1152</v>
      </c>
      <c r="C80" s="161"/>
      <c r="D80" s="161"/>
      <c r="E80" s="161"/>
      <c r="F80" s="161"/>
      <c r="G80" s="175"/>
      <c r="H80" s="227"/>
      <c r="I80" s="227"/>
      <c r="J80" s="963" t="str">
        <f>IF(G80&lt;&gt;"", IF(OR('General Info'!$D$48="No", 'General Info'!$D$48=Parameters!$D$609), "Check the flag in 'General Info'!D" &amp; ROW('General Info'!$D$48),""), IF('General Info'!$D$48="Yes", "Please check if appropriate", "Can be left blank for banks without SA"))</f>
        <v>Can be left blank for banks without SA</v>
      </c>
      <c r="K80" s="988"/>
      <c r="L80" s="227"/>
      <c r="M80" s="227"/>
      <c r="N80" s="963" t="str">
        <f>IF(K80&lt;&gt;"", IF(OR('General Info'!$D$48="No", 'General Info'!$D$48=Parameters!$D$609), "Check the flag in 'General Info'!D" &amp; ROW('General Info'!$D$48),""), IF('General Info'!$D$48="Yes", "Please check if appropriate", "Can be left blank for banks without SA"))</f>
        <v>Can be left blank for banks without SA</v>
      </c>
      <c r="O80" s="988"/>
      <c r="P80" s="227"/>
      <c r="Q80" s="227"/>
      <c r="R80" s="963" t="str">
        <f>IF(O80&lt;&gt;"", IF(OR('General Info'!$D$48="No", 'General Info'!$D$48=Parameters!$D$609), "Check the flag in 'General Info'!D" &amp; ROW('General Info'!$D$48),""), IF('General Info'!$D$48="Yes", "Please check if appropriate", "Can be left blank for banks without SA"))</f>
        <v>Can be left blank for banks without SA</v>
      </c>
      <c r="S80" s="988"/>
      <c r="T80" s="227"/>
      <c r="U80" s="227"/>
      <c r="V80" s="963" t="str">
        <f>IF(S80&lt;&gt;"", IF(OR('General Info'!$D$48="No", 'General Info'!$D$48=Parameters!$D$609), "Check the flag in 'General Info'!D" &amp; ROW('General Info'!$D$48),""), IF('General Info'!$D$48="Yes", "Please check if appropriate", "Can be left blank for banks without SA"))</f>
        <v>Can be left blank for banks without SA</v>
      </c>
      <c r="W80" s="315"/>
    </row>
    <row r="81" spans="1:23" ht="15" customHeight="1" x14ac:dyDescent="0.35">
      <c r="A81" s="263"/>
      <c r="B81" s="164" t="s">
        <v>1153</v>
      </c>
      <c r="C81" s="161"/>
      <c r="D81" s="161"/>
      <c r="E81" s="161"/>
      <c r="F81" s="161"/>
      <c r="G81" s="97">
        <f>IF('General Info'!$D$48="Yes", IF(AND(ISNUMBER(G82), ISNUMBER(G83), ISNUMBER(G84), ISNUMBER(G85)), SUM((SUM(G82:G84) * 0.001), (G85 * 0.01)), ""), 0)</f>
        <v>0</v>
      </c>
      <c r="H81" s="227"/>
      <c r="I81" s="227"/>
      <c r="J81" s="227"/>
      <c r="K81" s="987">
        <f>IF('General Info'!$D$48="Yes", IF(AND(ISNUMBER(K82), ISNUMBER(K83), ISNUMBER(K84), ISNUMBER(K85)), SUM((SUM(K82:K84) * 0.001), (K85 * 0.01)), ""), 0)</f>
        <v>0</v>
      </c>
      <c r="L81" s="227"/>
      <c r="M81" s="227"/>
      <c r="N81" s="227"/>
      <c r="O81" s="987">
        <f>IF('General Info'!$D$48="Yes", IF(AND(ISNUMBER(O82), ISNUMBER(O83), ISNUMBER(O84), ISNUMBER(O85)), SUM((SUM(O82:O84) * 0.001), (O85 * 0.01)), ""), 0)</f>
        <v>0</v>
      </c>
      <c r="P81" s="227"/>
      <c r="Q81" s="227"/>
      <c r="R81" s="227"/>
      <c r="S81" s="987">
        <f>IF('General Info'!$D$48="Yes", IF(AND(ISNUMBER(S82), ISNUMBER(S83), ISNUMBER(S84), ISNUMBER(S85)), SUM((SUM(S82:S84) * 0.001), (S85 * 0.01)), ""), 0)</f>
        <v>0</v>
      </c>
      <c r="T81" s="227"/>
      <c r="U81" s="227"/>
      <c r="V81" s="227"/>
      <c r="W81" s="315"/>
    </row>
    <row r="82" spans="1:23" ht="15" customHeight="1" x14ac:dyDescent="0.35">
      <c r="A82" s="263"/>
      <c r="B82" s="165" t="s">
        <v>1154</v>
      </c>
      <c r="C82" s="161"/>
      <c r="D82" s="161"/>
      <c r="E82" s="161"/>
      <c r="F82" s="161"/>
      <c r="G82" s="175"/>
      <c r="H82" s="227"/>
      <c r="I82" s="227"/>
      <c r="J82" s="963" t="str">
        <f>IF(G82&lt;&gt;"", IF(OR('General Info'!$D$48="No", 'General Info'!$D$48=Parameters!$D$609), "Check the flag in 'General Info'!D" &amp; ROW('General Info'!$D$48),""), IF('General Info'!$D$48="Yes", "Please check if appropriate", "Can be left blank for banks without SA"))</f>
        <v>Can be left blank for banks without SA</v>
      </c>
      <c r="K82" s="988"/>
      <c r="L82" s="227"/>
      <c r="M82" s="227"/>
      <c r="N82" s="963" t="str">
        <f>IF(K82&lt;&gt;"", IF(OR('General Info'!$D$48="No", 'General Info'!$D$48=Parameters!$D$609), "Check the flag in 'General Info'!D" &amp; ROW('General Info'!$D$48),""), IF('General Info'!$D$48="Yes", "Please check if appropriate", "Can be left blank for banks without SA"))</f>
        <v>Can be left blank for banks without SA</v>
      </c>
      <c r="O82" s="988"/>
      <c r="P82" s="227"/>
      <c r="Q82" s="227"/>
      <c r="R82" s="963" t="str">
        <f>IF(O82&lt;&gt;"", IF(OR('General Info'!$D$48="No", 'General Info'!$D$48=Parameters!$D$609), "Check the flag in 'General Info'!D" &amp; ROW('General Info'!$D$48),""), IF('General Info'!$D$48="Yes", "Please check if appropriate", "Can be left blank for banks without SA"))</f>
        <v>Can be left blank for banks without SA</v>
      </c>
      <c r="S82" s="988"/>
      <c r="T82" s="227"/>
      <c r="U82" s="227"/>
      <c r="V82" s="963" t="str">
        <f>IF(S82&lt;&gt;"", IF(OR('General Info'!$D$48="No", 'General Info'!$D$48=Parameters!$D$609), "Check the flag in 'General Info'!D" &amp; ROW('General Info'!$D$48),""), IF('General Info'!$D$48="Yes", "Please check if appropriate", "Can be left blank for banks without SA"))</f>
        <v>Can be left blank for banks without SA</v>
      </c>
      <c r="W82" s="315"/>
    </row>
    <row r="83" spans="1:23" ht="15" customHeight="1" x14ac:dyDescent="0.35">
      <c r="A83" s="263"/>
      <c r="B83" s="165" t="s">
        <v>1155</v>
      </c>
      <c r="C83" s="161"/>
      <c r="D83" s="161"/>
      <c r="E83" s="161"/>
      <c r="F83" s="161"/>
      <c r="G83" s="175"/>
      <c r="H83" s="227"/>
      <c r="I83" s="227"/>
      <c r="J83" s="963" t="str">
        <f>IF(G83&lt;&gt;"", IF(OR('General Info'!$D$48="No", 'General Info'!$D$48=Parameters!$D$609), "Check the flag in 'General Info'!D" &amp; ROW('General Info'!$D$48),""), IF('General Info'!$D$48="Yes", "Please check if appropriate", "Can be left blank for banks without SA"))</f>
        <v>Can be left blank for banks without SA</v>
      </c>
      <c r="K83" s="988"/>
      <c r="L83" s="227"/>
      <c r="M83" s="227"/>
      <c r="N83" s="963" t="str">
        <f>IF(K83&lt;&gt;"", IF(OR('General Info'!$D$48="No", 'General Info'!$D$48=Parameters!$D$609), "Check the flag in 'General Info'!D" &amp; ROW('General Info'!$D$48),""), IF('General Info'!$D$48="Yes", "Please check if appropriate", "Can be left blank for banks without SA"))</f>
        <v>Can be left blank for banks without SA</v>
      </c>
      <c r="O83" s="988"/>
      <c r="P83" s="227"/>
      <c r="Q83" s="227"/>
      <c r="R83" s="963" t="str">
        <f>IF(O83&lt;&gt;"", IF(OR('General Info'!$D$48="No", 'General Info'!$D$48=Parameters!$D$609), "Check the flag in 'General Info'!D" &amp; ROW('General Info'!$D$48),""), IF('General Info'!$D$48="Yes", "Please check if appropriate", "Can be left blank for banks without SA"))</f>
        <v>Can be left blank for banks without SA</v>
      </c>
      <c r="S83" s="988"/>
      <c r="T83" s="227"/>
      <c r="U83" s="227"/>
      <c r="V83" s="963" t="str">
        <f>IF(S83&lt;&gt;"", IF(OR('General Info'!$D$48="No", 'General Info'!$D$48=Parameters!$D$609), "Check the flag in 'General Info'!D" &amp; ROW('General Info'!$D$48),""), IF('General Info'!$D$48="Yes", "Please check if appropriate", "Can be left blank for banks without SA"))</f>
        <v>Can be left blank for banks without SA</v>
      </c>
      <c r="W83" s="315"/>
    </row>
    <row r="84" spans="1:23" ht="15" customHeight="1" x14ac:dyDescent="0.35">
      <c r="A84" s="263"/>
      <c r="B84" s="165" t="s">
        <v>1156</v>
      </c>
      <c r="C84" s="161"/>
      <c r="D84" s="161"/>
      <c r="E84" s="161"/>
      <c r="F84" s="161"/>
      <c r="G84" s="175"/>
      <c r="H84" s="227"/>
      <c r="I84" s="227"/>
      <c r="J84" s="963" t="str">
        <f>IF(G84&lt;&gt;"", IF(OR('General Info'!$D$48="No", 'General Info'!$D$48=Parameters!$D$609), "Check the flag in 'General Info'!D" &amp; ROW('General Info'!$D$48),""), IF('General Info'!$D$48="Yes", "Please check if appropriate", "Can be left blank for banks without SA"))</f>
        <v>Can be left blank for banks without SA</v>
      </c>
      <c r="K84" s="988"/>
      <c r="L84" s="227"/>
      <c r="M84" s="227"/>
      <c r="N84" s="963" t="str">
        <f>IF(K84&lt;&gt;"", IF(OR('General Info'!$D$48="No", 'General Info'!$D$48=Parameters!$D$609), "Check the flag in 'General Info'!D" &amp; ROW('General Info'!$D$48),""), IF('General Info'!$D$48="Yes", "Please check if appropriate", "Can be left blank for banks without SA"))</f>
        <v>Can be left blank for banks without SA</v>
      </c>
      <c r="O84" s="988"/>
      <c r="P84" s="227"/>
      <c r="Q84" s="227"/>
      <c r="R84" s="963" t="str">
        <f>IF(O84&lt;&gt;"", IF(OR('General Info'!$D$48="No", 'General Info'!$D$48=Parameters!$D$609), "Check the flag in 'General Info'!D" &amp; ROW('General Info'!$D$48),""), IF('General Info'!$D$48="Yes", "Please check if appropriate", "Can be left blank for banks without SA"))</f>
        <v>Can be left blank for banks without SA</v>
      </c>
      <c r="S84" s="988"/>
      <c r="T84" s="227"/>
      <c r="U84" s="227"/>
      <c r="V84" s="963" t="str">
        <f>IF(S84&lt;&gt;"", IF(OR('General Info'!$D$48="No", 'General Info'!$D$48=Parameters!$D$609), "Check the flag in 'General Info'!D" &amp; ROW('General Info'!$D$48),""), IF('General Info'!$D$48="Yes", "Please check if appropriate", "Can be left blank for banks without SA"))</f>
        <v>Can be left blank for banks without SA</v>
      </c>
      <c r="W84" s="315"/>
    </row>
    <row r="85" spans="1:23" ht="15" customHeight="1" x14ac:dyDescent="0.35">
      <c r="A85" s="263"/>
      <c r="B85" s="165" t="s">
        <v>1157</v>
      </c>
      <c r="C85" s="161"/>
      <c r="D85" s="161"/>
      <c r="E85" s="161"/>
      <c r="F85" s="161"/>
      <c r="G85" s="175"/>
      <c r="H85" s="227"/>
      <c r="I85" s="227"/>
      <c r="J85" s="963" t="str">
        <f>IF(G85&lt;&gt;"", IF(OR('General Info'!$D$48="No", 'General Info'!$D$48=Parameters!$D$609), "Check the flag in 'General Info'!D" &amp; ROW('General Info'!$D$48),""), IF('General Info'!$D$48="Yes", "Please check if appropriate", "Can be left blank for banks without SA"))</f>
        <v>Can be left blank for banks without SA</v>
      </c>
      <c r="K85" s="988"/>
      <c r="L85" s="227"/>
      <c r="M85" s="227"/>
      <c r="N85" s="963" t="str">
        <f>IF(K85&lt;&gt;"", IF(OR('General Info'!$D$48="No", 'General Info'!$D$48=Parameters!$D$609), "Check the flag in 'General Info'!D" &amp; ROW('General Info'!$D$48),""), IF('General Info'!$D$48="Yes", "Please check if appropriate", "Can be left blank for banks without SA"))</f>
        <v>Can be left blank for banks without SA</v>
      </c>
      <c r="O85" s="988"/>
      <c r="P85" s="227"/>
      <c r="Q85" s="227"/>
      <c r="R85" s="963" t="str">
        <f>IF(O85&lt;&gt;"", IF(OR('General Info'!$D$48="No", 'General Info'!$D$48=Parameters!$D$609), "Check the flag in 'General Info'!D" &amp; ROW('General Info'!$D$48),""), IF('General Info'!$D$48="Yes", "Please check if appropriate", "Can be left blank for banks without SA"))</f>
        <v>Can be left blank for banks without SA</v>
      </c>
      <c r="S85" s="988"/>
      <c r="T85" s="227"/>
      <c r="U85" s="227"/>
      <c r="V85" s="963" t="str">
        <f>IF(S85&lt;&gt;"", IF(OR('General Info'!$D$48="No", 'General Info'!$D$48=Parameters!$D$609), "Check the flag in 'General Info'!D" &amp; ROW('General Info'!$D$48),""), IF('General Info'!$D$48="Yes", "Please check if appropriate", "Can be left blank for banks without SA"))</f>
        <v>Can be left blank for banks without SA</v>
      </c>
      <c r="W85" s="315"/>
    </row>
    <row r="86" spans="1:23" ht="15" customHeight="1" x14ac:dyDescent="0.35">
      <c r="A86" s="263"/>
      <c r="B86" s="164" t="s">
        <v>1158</v>
      </c>
      <c r="C86" s="161"/>
      <c r="D86" s="161"/>
      <c r="E86" s="161"/>
      <c r="F86" s="161"/>
      <c r="G86" s="175"/>
      <c r="H86" s="227"/>
      <c r="I86" s="227"/>
      <c r="J86" s="963" t="str">
        <f>IF(G86&lt;&gt;"", IF(OR('General Info'!$D$48="No", 'General Info'!$D$48=Parameters!$D$609), "Check the flag in 'General Info'!D" &amp; ROW('General Info'!$D$48),""), IF('General Info'!$D$48="Yes", "Please check if appropriate", "Can be left blank for banks without SA"))</f>
        <v>Can be left blank for banks without SA</v>
      </c>
      <c r="K86" s="988"/>
      <c r="L86" s="227"/>
      <c r="M86" s="227"/>
      <c r="N86" s="963" t="str">
        <f>IF(K86&lt;&gt;"", IF(OR('General Info'!$D$48="No", 'General Info'!$D$48=Parameters!$D$609), "Check the flag in 'General Info'!D" &amp; ROW('General Info'!$D$48),""), IF('General Info'!$D$48="Yes", "Please check if appropriate", "Can be left blank for banks without SA"))</f>
        <v>Can be left blank for banks without SA</v>
      </c>
      <c r="O86" s="988"/>
      <c r="P86" s="227"/>
      <c r="Q86" s="227"/>
      <c r="R86" s="963" t="str">
        <f>IF(O86&lt;&gt;"", IF(OR('General Info'!$D$48="No", 'General Info'!$D$48=Parameters!$D$609), "Check the flag in 'General Info'!D" &amp; ROW('General Info'!$D$48),""), IF('General Info'!$D$48="Yes", "Please check if appropriate", "Can be left blank for banks without SA"))</f>
        <v>Can be left blank for banks without SA</v>
      </c>
      <c r="S86" s="988"/>
      <c r="T86" s="227"/>
      <c r="U86" s="227"/>
      <c r="V86" s="963" t="str">
        <f>IF(S86&lt;&gt;"", IF(OR('General Info'!$D$48="No", 'General Info'!$D$48=Parameters!$D$609), "Check the flag in 'General Info'!D" &amp; ROW('General Info'!$D$48),""), IF('General Info'!$D$48="Yes", "Please check if appropriate", "Can be left blank for banks without SA"))</f>
        <v>Can be left blank for banks without SA</v>
      </c>
      <c r="W86" s="315"/>
    </row>
    <row r="87" spans="1:23" ht="15" customHeight="1" x14ac:dyDescent="0.35">
      <c r="A87" s="263"/>
      <c r="B87" s="3044" t="s">
        <v>1159</v>
      </c>
      <c r="C87" s="3044"/>
      <c r="D87" s="3044"/>
      <c r="E87" s="3044"/>
      <c r="F87" s="3044"/>
      <c r="G87" s="97">
        <f>IF('General Info'!$D$49="Yes", IF(AND(ISNUMBER(G88), ISNUMBER(G117), ISNUMBER(G123)), SUM((1.5*G88), G117,G123), ""), 0)</f>
        <v>0</v>
      </c>
      <c r="H87" s="227"/>
      <c r="I87" s="227"/>
      <c r="J87" s="227"/>
      <c r="K87" s="987">
        <f>IF('General Info'!$D$49="Yes", IF(AND(ISNUMBER(K88), ISNUMBER(K117), ISNUMBER(K123)), SUM((1.5*K88), K117,K123), ""), 0)</f>
        <v>0</v>
      </c>
      <c r="L87" s="227"/>
      <c r="M87" s="227"/>
      <c r="N87" s="227"/>
      <c r="O87" s="987">
        <f>IF('General Info'!$D$49="Yes", IF(AND(ISNUMBER(O88), ISNUMBER(O117), ISNUMBER(O123)), SUM((1.5*O88), O117,O123), ""), 0)</f>
        <v>0</v>
      </c>
      <c r="P87" s="227"/>
      <c r="Q87" s="227"/>
      <c r="R87" s="227"/>
      <c r="S87" s="987">
        <f>IF('General Info'!$D$49="Yes", IF(AND(ISNUMBER(S88), ISNUMBER(S117), ISNUMBER(S123)), SUM((1.5*S88), S117,S123), ""), 0)</f>
        <v>0</v>
      </c>
      <c r="T87" s="227"/>
      <c r="U87" s="227"/>
      <c r="V87" s="227"/>
      <c r="W87" s="315"/>
    </row>
    <row r="88" spans="1:23" ht="15" customHeight="1" x14ac:dyDescent="0.35">
      <c r="A88" s="263"/>
      <c r="B88" s="164" t="s">
        <v>1160</v>
      </c>
      <c r="C88" s="161"/>
      <c r="D88" s="161"/>
      <c r="E88" s="161"/>
      <c r="F88" s="161"/>
      <c r="G88" s="97">
        <f>IF('General Info'!$D$49="Yes", IF(AND(ISNUMBER(G89), ISNUMBER(G90)), (0.5*G89)+(0.5*G90), ""), 0)</f>
        <v>0</v>
      </c>
      <c r="H88" s="227"/>
      <c r="I88" s="227"/>
      <c r="J88" s="227"/>
      <c r="K88" s="987">
        <f>IF('General Info'!$D$49="Yes", IF(AND(ISNUMBER(K89), ISNUMBER(K90)), (0.5*K89)+(0.5*K90), ""), 0)</f>
        <v>0</v>
      </c>
      <c r="L88" s="227"/>
      <c r="M88" s="227"/>
      <c r="N88" s="227"/>
      <c r="O88" s="987">
        <f>IF('General Info'!$D$49="Yes", IF(AND(ISNUMBER(O89), ISNUMBER(O90)), (0.5*O89)+(0.5*O90), ""), 0)</f>
        <v>0</v>
      </c>
      <c r="P88" s="227"/>
      <c r="Q88" s="227"/>
      <c r="R88" s="227"/>
      <c r="S88" s="987">
        <f>IF('General Info'!$D$49="Yes", IF(AND(ISNUMBER(S89), ISNUMBER(S90)), (0.5*S89)+(0.5*S90), ""), 0)</f>
        <v>0</v>
      </c>
      <c r="T88" s="227"/>
      <c r="U88" s="227"/>
      <c r="V88" s="227"/>
      <c r="W88" s="315"/>
    </row>
    <row r="89" spans="1:23" ht="15" customHeight="1" x14ac:dyDescent="0.35">
      <c r="A89" s="263"/>
      <c r="B89" s="163" t="s">
        <v>1161</v>
      </c>
      <c r="C89" s="166"/>
      <c r="D89" s="166"/>
      <c r="E89" s="166"/>
      <c r="F89" s="161"/>
      <c r="G89" s="175"/>
      <c r="H89" s="227"/>
      <c r="I89" s="227"/>
      <c r="J89" s="962" t="str">
        <f>IF(G89&lt;&gt;"", IF('General Info'!$D$49="No", "Check the flag in 'General Info'!D" &amp; ROW('General Info'!$D$49), ""), IF('General Info'!$D$49="Yes","Please check if appropriate", "Can be left blank for banks without IMA"))</f>
        <v>Can be left blank for banks without IMA</v>
      </c>
      <c r="K89" s="988"/>
      <c r="L89" s="227"/>
      <c r="M89" s="227"/>
      <c r="N89" s="962" t="str">
        <f>IF(K89&lt;&gt;"", IF('General Info'!$D$49="No", "Check the flag in 'General Info'!D" &amp; ROW('General Info'!$D$49), ""), IF('General Info'!$D$49="Yes","Please check if appropriate", "Can be left blank for banks without IMA"))</f>
        <v>Can be left blank for banks without IMA</v>
      </c>
      <c r="O89" s="988"/>
      <c r="P89" s="227"/>
      <c r="Q89" s="227"/>
      <c r="R89" s="962" t="str">
        <f>IF(O89&lt;&gt;"", IF('General Info'!$D$49="No", "Check the flag in 'General Info'!D" &amp; ROW('General Info'!$D$49), ""), IF('General Info'!$D$49="Yes","Please check if appropriate", "Can be left blank for banks without IMA"))</f>
        <v>Can be left blank for banks without IMA</v>
      </c>
      <c r="S89" s="988"/>
      <c r="T89" s="227"/>
      <c r="U89" s="227"/>
      <c r="V89" s="962" t="str">
        <f>IF(S89&lt;&gt;"", IF('General Info'!$D$49="No", "Check the flag in 'General Info'!D" &amp; ROW('General Info'!$D$49), ""), IF('General Info'!$D$49="Yes","Please check if appropriate", "Can be left blank for banks without IMA"))</f>
        <v>Can be left blank for banks without IMA</v>
      </c>
      <c r="W89" s="315"/>
    </row>
    <row r="90" spans="1:23" ht="15" customHeight="1" x14ac:dyDescent="0.35">
      <c r="A90" s="263"/>
      <c r="B90" s="165" t="s">
        <v>1162</v>
      </c>
      <c r="C90" s="161"/>
      <c r="D90" s="161"/>
      <c r="E90" s="161"/>
      <c r="F90" s="161"/>
      <c r="G90" s="97">
        <f>IF('General Info'!$D$49="Yes", IF(AND(ISNUMBER(G91), ISNUMBER(G96), ISNUMBER(G102), ISNUMBER(G107), ISNUMBER(G113)), SUM(G91, G96, G102, G107, G113), ""), 0)</f>
        <v>0</v>
      </c>
      <c r="H90" s="227"/>
      <c r="I90" s="227"/>
      <c r="J90" s="227"/>
      <c r="K90" s="987">
        <f>IF('General Info'!$D$49="Yes", IF(AND(ISNUMBER(K91), ISNUMBER(K96), ISNUMBER(K102), ISNUMBER(K107), ISNUMBER(K113)), SUM(K91, K96, K102, K107, K113), ""), 0)</f>
        <v>0</v>
      </c>
      <c r="L90" s="227"/>
      <c r="M90" s="227"/>
      <c r="N90" s="227"/>
      <c r="O90" s="987">
        <f>IF('General Info'!$D$49="Yes", IF(AND(ISNUMBER(O91), ISNUMBER(O96), ISNUMBER(O102), ISNUMBER(O107), ISNUMBER(O113)), SUM(O91, O96, O102, O107, O113), ""), 0)</f>
        <v>0</v>
      </c>
      <c r="P90" s="227"/>
      <c r="Q90" s="227"/>
      <c r="R90" s="227"/>
      <c r="S90" s="987">
        <f>IF('General Info'!$D$49="Yes", IF(AND(ISNUMBER(S91), ISNUMBER(S96), ISNUMBER(S102), ISNUMBER(S107), ISNUMBER(S113)), SUM(S91, S96, S102, S107, S113), ""), 0)</f>
        <v>0</v>
      </c>
      <c r="T90" s="227"/>
      <c r="U90" s="227"/>
      <c r="V90" s="227"/>
      <c r="W90" s="315"/>
    </row>
    <row r="91" spans="1:23" ht="15" customHeight="1" x14ac:dyDescent="0.35">
      <c r="A91" s="263"/>
      <c r="B91" s="170" t="s">
        <v>1163</v>
      </c>
      <c r="C91" s="161"/>
      <c r="D91" s="161"/>
      <c r="E91" s="161"/>
      <c r="F91" s="161"/>
      <c r="G91" s="169"/>
      <c r="H91" s="465"/>
      <c r="I91" s="227"/>
      <c r="J91" s="962" t="str">
        <f>IF(G91&lt;&gt;"", IF('General Info'!$D$49="No", "Check the flag in 'General Info'!D" &amp; ROW('General Info'!$D$49), ""), IF('General Info'!$D$49="Yes","Please check if appropriate", "Can be left blank for banks without IMA"))</f>
        <v>Can be left blank for banks without IMA</v>
      </c>
      <c r="K91" s="988"/>
      <c r="L91" s="227"/>
      <c r="M91" s="227"/>
      <c r="N91" s="962" t="str">
        <f>IF(K91&lt;&gt;"", IF('General Info'!$D$49="No", "Check the flag in 'General Info'!D" &amp; ROW('General Info'!$D$49), ""), IF('General Info'!$D$49="Yes","Please check if appropriate", "Can be left blank for banks without IMA"))</f>
        <v>Can be left blank for banks without IMA</v>
      </c>
      <c r="O91" s="988"/>
      <c r="P91" s="227"/>
      <c r="Q91" s="227"/>
      <c r="R91" s="1172" t="str">
        <f>IF(O91&lt;&gt;"", IF('General Info'!$D$49="No", "Check the flag in 'General Info'!D" &amp; ROW('General Info'!$D$49), ""), IF('General Info'!$D$49="Yes","Please check if appropriate", "Can be left blank for banks without IMA"))</f>
        <v>Can be left blank for banks without IMA</v>
      </c>
      <c r="S91" s="175"/>
      <c r="T91" s="227"/>
      <c r="U91" s="227"/>
      <c r="V91" s="962" t="str">
        <f>IF(S91&lt;&gt;"", IF('General Info'!$D$49="No", "Check the flag in 'General Info'!D" &amp; ROW('General Info'!$D$49), ""), IF('General Info'!$D$49="Yes","Please check if appropriate", "Can be left blank for banks without IMA"))</f>
        <v>Can be left blank for banks without IMA</v>
      </c>
      <c r="W91" s="315"/>
    </row>
    <row r="92" spans="1:23" ht="15" customHeight="1" x14ac:dyDescent="0.35">
      <c r="A92" s="263"/>
      <c r="B92" s="1081" t="s">
        <v>1164</v>
      </c>
      <c r="C92" s="161"/>
      <c r="D92" s="161"/>
      <c r="E92" s="161"/>
      <c r="F92" s="161"/>
      <c r="G92" s="169"/>
      <c r="H92" s="465"/>
      <c r="I92" s="227"/>
      <c r="J92" s="962" t="str">
        <f>IF(G92&lt;&gt;"", IF('General Info'!$D$49="No", "Check the flag in 'General Info'!D" &amp; ROW('General Info'!$D$49), ""), IF('General Info'!$D$49="Yes","Please check if appropriate", "Can be left blank for banks without IMA"))</f>
        <v>Can be left blank for banks without IMA</v>
      </c>
      <c r="K92" s="988"/>
      <c r="L92" s="227"/>
      <c r="M92" s="227"/>
      <c r="N92" s="962" t="str">
        <f>IF(K92&lt;&gt;"", IF('General Info'!$D$49="No", "Check the flag in 'General Info'!D" &amp; ROW('General Info'!$D$49), ""), IF('General Info'!$D$49="Yes","Please check if appropriate", "Can be left blank for banks without IMA"))</f>
        <v>Can be left blank for banks without IMA</v>
      </c>
      <c r="O92" s="988"/>
      <c r="P92" s="227"/>
      <c r="Q92" s="227"/>
      <c r="R92" s="1172" t="str">
        <f>IF(O92&lt;&gt;"", IF('General Info'!$D$49="No", "Check the flag in 'General Info'!D" &amp; ROW('General Info'!$D$49), ""), IF('General Info'!$D$49="Yes","Please check if appropriate", "Can be left blank for banks without IMA"))</f>
        <v>Can be left blank for banks without IMA</v>
      </c>
      <c r="S92" s="175"/>
      <c r="T92" s="227"/>
      <c r="U92" s="227"/>
      <c r="V92" s="962" t="str">
        <f>IF(S92&lt;&gt;"", IF('General Info'!$D$49="No", "Check the flag in 'General Info'!D" &amp; ROW('General Info'!$D$49), ""), IF('General Info'!$D$49="Yes","Please check if appropriate", "Can be left blank for banks without IMA"))</f>
        <v>Can be left blank for banks without IMA</v>
      </c>
      <c r="W92" s="315"/>
    </row>
    <row r="93" spans="1:23" ht="15" customHeight="1" x14ac:dyDescent="0.35">
      <c r="A93" s="263"/>
      <c r="B93" s="1081" t="s">
        <v>1165</v>
      </c>
      <c r="C93" s="161"/>
      <c r="D93" s="161"/>
      <c r="E93" s="161"/>
      <c r="F93" s="161"/>
      <c r="G93" s="169"/>
      <c r="H93" s="465"/>
      <c r="I93" s="227"/>
      <c r="J93" s="962" t="str">
        <f>IF(G93&lt;&gt;"", IF('General Info'!$D$49="No", "Check the flag in 'General Info'!D" &amp; ROW('General Info'!$D$49), ""), IF('General Info'!$D$49="Yes","Please check if appropriate", "Can be left blank for banks without IMA"))</f>
        <v>Can be left blank for banks without IMA</v>
      </c>
      <c r="K93" s="988"/>
      <c r="L93" s="227"/>
      <c r="M93" s="227"/>
      <c r="N93" s="962" t="str">
        <f>IF(K93&lt;&gt;"", IF('General Info'!$D$49="No", "Check the flag in 'General Info'!D" &amp; ROW('General Info'!$D$49), ""), IF('General Info'!$D$49="Yes","Please check if appropriate", "Can be left blank for banks without IMA"))</f>
        <v>Can be left blank for banks without IMA</v>
      </c>
      <c r="O93" s="988"/>
      <c r="P93" s="227"/>
      <c r="Q93" s="227"/>
      <c r="R93" s="1172" t="str">
        <f>IF(O93&lt;&gt;"", IF('General Info'!$D$49="No", "Check the flag in 'General Info'!D" &amp; ROW('General Info'!$D$49), ""), IF('General Info'!$D$49="Yes","Please check if appropriate", "Can be left blank for banks without IMA"))</f>
        <v>Can be left blank for banks without IMA</v>
      </c>
      <c r="S93" s="175"/>
      <c r="T93" s="227"/>
      <c r="U93" s="227"/>
      <c r="V93" s="962" t="str">
        <f>IF(S93&lt;&gt;"", IF('General Info'!$D$49="No", "Check the flag in 'General Info'!D" &amp; ROW('General Info'!$D$49), ""), IF('General Info'!$D$49="Yes","Please check if appropriate", "Can be left blank for banks without IMA"))</f>
        <v>Can be left blank for banks without IMA</v>
      </c>
      <c r="W93" s="315"/>
    </row>
    <row r="94" spans="1:23" ht="15" customHeight="1" x14ac:dyDescent="0.35">
      <c r="A94" s="263"/>
      <c r="B94" s="1081" t="s">
        <v>1166</v>
      </c>
      <c r="C94" s="161"/>
      <c r="D94" s="161"/>
      <c r="E94" s="161"/>
      <c r="F94" s="161"/>
      <c r="G94" s="169"/>
      <c r="H94" s="465"/>
      <c r="I94" s="227"/>
      <c r="J94" s="962" t="str">
        <f>IF(G94&lt;&gt;"", IF('General Info'!$D$49="No", "Check the flag in 'General Info'!D" &amp; ROW('General Info'!$D$49), ""), IF('General Info'!$D$49="Yes","Please check if appropriate", "Can be left blank for banks without IMA"))</f>
        <v>Can be left blank for banks without IMA</v>
      </c>
      <c r="K94" s="988"/>
      <c r="L94" s="227"/>
      <c r="M94" s="227"/>
      <c r="N94" s="962" t="str">
        <f>IF(K94&lt;&gt;"", IF('General Info'!$D$49="No", "Check the flag in 'General Info'!D" &amp; ROW('General Info'!$D$49), ""), IF('General Info'!$D$49="Yes","Please check if appropriate", "Can be left blank for banks without IMA"))</f>
        <v>Can be left blank for banks without IMA</v>
      </c>
      <c r="O94" s="988"/>
      <c r="P94" s="227"/>
      <c r="Q94" s="227"/>
      <c r="R94" s="1172" t="str">
        <f>IF(O94&lt;&gt;"", IF('General Info'!$D$49="No", "Check the flag in 'General Info'!D" &amp; ROW('General Info'!$D$49), ""), IF('General Info'!$D$49="Yes","Please check if appropriate", "Can be left blank for banks without IMA"))</f>
        <v>Can be left blank for banks without IMA</v>
      </c>
      <c r="S94" s="175"/>
      <c r="T94" s="227"/>
      <c r="U94" s="227"/>
      <c r="V94" s="962" t="str">
        <f>IF(S94&lt;&gt;"", IF('General Info'!$D$49="No", "Check the flag in 'General Info'!D" &amp; ROW('General Info'!$D$49), ""), IF('General Info'!$D$49="Yes","Please check if appropriate", "Can be left blank for banks without IMA"))</f>
        <v>Can be left blank for banks without IMA</v>
      </c>
      <c r="W94" s="315"/>
    </row>
    <row r="95" spans="1:23" ht="15" customHeight="1" x14ac:dyDescent="0.35">
      <c r="A95" s="263"/>
      <c r="B95" s="1081" t="s">
        <v>1167</v>
      </c>
      <c r="C95" s="161"/>
      <c r="D95" s="161"/>
      <c r="E95" s="161"/>
      <c r="F95" s="161"/>
      <c r="G95" s="169"/>
      <c r="H95" s="465"/>
      <c r="I95" s="227"/>
      <c r="J95" s="962" t="str">
        <f>IF(G95&lt;&gt;"", IF('General Info'!$D$49="No", "Check the flag in 'General Info'!D" &amp; ROW('General Info'!$D$49), ""), IF('General Info'!$D$49="Yes","Please check if appropriate", "Can be left blank for banks without IMA"))</f>
        <v>Can be left blank for banks without IMA</v>
      </c>
      <c r="K95" s="988"/>
      <c r="L95" s="227"/>
      <c r="M95" s="227"/>
      <c r="N95" s="962" t="str">
        <f>IF(K95&lt;&gt;"", IF('General Info'!$D$49="No", "Check the flag in 'General Info'!D" &amp; ROW('General Info'!$D$49), ""), IF('General Info'!$D$49="Yes","Please check if appropriate", "Can be left blank for banks without IMA"))</f>
        <v>Can be left blank for banks without IMA</v>
      </c>
      <c r="O95" s="988"/>
      <c r="P95" s="227"/>
      <c r="Q95" s="227"/>
      <c r="R95" s="1172" t="str">
        <f>IF(O95&lt;&gt;"", IF('General Info'!$D$49="No", "Check the flag in 'General Info'!D" &amp; ROW('General Info'!$D$49), ""), IF('General Info'!$D$49="Yes","Please check if appropriate", "Can be left blank for banks without IMA"))</f>
        <v>Can be left blank for banks without IMA</v>
      </c>
      <c r="S95" s="175"/>
      <c r="T95" s="227"/>
      <c r="U95" s="227"/>
      <c r="V95" s="962" t="str">
        <f>IF(S95&lt;&gt;"", IF('General Info'!$D$49="No", "Check the flag in 'General Info'!D" &amp; ROW('General Info'!$D$49), ""), IF('General Info'!$D$49="Yes","Please check if appropriate", "Can be left blank for banks without IMA"))</f>
        <v>Can be left blank for banks without IMA</v>
      </c>
      <c r="W95" s="315"/>
    </row>
    <row r="96" spans="1:23" ht="15" customHeight="1" x14ac:dyDescent="0.35">
      <c r="A96" s="263"/>
      <c r="B96" s="170" t="s">
        <v>1168</v>
      </c>
      <c r="C96" s="161"/>
      <c r="D96" s="161"/>
      <c r="E96" s="161"/>
      <c r="F96" s="161"/>
      <c r="G96" s="169"/>
      <c r="H96" s="465"/>
      <c r="I96" s="227"/>
      <c r="J96" s="962" t="str">
        <f>IF(G96&lt;&gt;"", IF('General Info'!$D$49="No", "Check the flag in 'General Info'!D" &amp; ROW('General Info'!$D$49), ""), IF('General Info'!$D$49="Yes","Please check if appropriate", "Can be left blank for banks without IMA"))</f>
        <v>Can be left blank for banks without IMA</v>
      </c>
      <c r="K96" s="988"/>
      <c r="L96" s="227"/>
      <c r="M96" s="227"/>
      <c r="N96" s="962" t="str">
        <f>IF(K96&lt;&gt;"", IF('General Info'!$D$49="No", "Check the flag in 'General Info'!D" &amp; ROW('General Info'!$D$49), ""), IF('General Info'!$D$49="Yes","Please check if appropriate", "Can be left blank for banks without IMA"))</f>
        <v>Can be left blank for banks without IMA</v>
      </c>
      <c r="O96" s="988"/>
      <c r="P96" s="227"/>
      <c r="Q96" s="227"/>
      <c r="R96" s="1172" t="str">
        <f>IF(O96&lt;&gt;"", IF('General Info'!$D$49="No", "Check the flag in 'General Info'!D" &amp; ROW('General Info'!$D$49), ""), IF('General Info'!$D$49="Yes","Please check if appropriate", "Can be left blank for banks without IMA"))</f>
        <v>Can be left blank for banks without IMA</v>
      </c>
      <c r="S96" s="175"/>
      <c r="T96" s="227"/>
      <c r="U96" s="227"/>
      <c r="V96" s="962" t="str">
        <f>IF(S96&lt;&gt;"", IF('General Info'!$D$49="No", "Check the flag in 'General Info'!D" &amp; ROW('General Info'!$D$49), ""), IF('General Info'!$D$49="Yes","Please check if appropriate", "Can be left blank for banks without IMA"))</f>
        <v>Can be left blank for banks without IMA</v>
      </c>
      <c r="W96" s="315"/>
    </row>
    <row r="97" spans="1:23" ht="15" customHeight="1" x14ac:dyDescent="0.35">
      <c r="A97" s="263"/>
      <c r="B97" s="1081" t="s">
        <v>1164</v>
      </c>
      <c r="C97" s="161"/>
      <c r="D97" s="161"/>
      <c r="E97" s="161"/>
      <c r="F97" s="161"/>
      <c r="G97" s="169"/>
      <c r="H97" s="465"/>
      <c r="I97" s="227"/>
      <c r="J97" s="962" t="str">
        <f>IF(G97&lt;&gt;"", IF('General Info'!$D$49="No", "Check the flag in 'General Info'!D" &amp; ROW('General Info'!$D$49), ""), IF('General Info'!$D$49="Yes","Please check if appropriate", "Can be left blank for banks without IMA"))</f>
        <v>Can be left blank for banks without IMA</v>
      </c>
      <c r="K97" s="988"/>
      <c r="L97" s="227"/>
      <c r="M97" s="227"/>
      <c r="N97" s="962" t="str">
        <f>IF(K97&lt;&gt;"", IF('General Info'!$D$49="No", "Check the flag in 'General Info'!D" &amp; ROW('General Info'!$D$49), ""), IF('General Info'!$D$49="Yes","Please check if appropriate", "Can be left blank for banks without IMA"))</f>
        <v>Can be left blank for banks without IMA</v>
      </c>
      <c r="O97" s="988"/>
      <c r="P97" s="227"/>
      <c r="Q97" s="227"/>
      <c r="R97" s="1172" t="str">
        <f>IF(O97&lt;&gt;"", IF('General Info'!$D$49="No", "Check the flag in 'General Info'!D" &amp; ROW('General Info'!$D$49), ""), IF('General Info'!$D$49="Yes","Please check if appropriate", "Can be left blank for banks without IMA"))</f>
        <v>Can be left blank for banks without IMA</v>
      </c>
      <c r="S97" s="175"/>
      <c r="T97" s="227"/>
      <c r="U97" s="227"/>
      <c r="V97" s="962" t="str">
        <f>IF(S97&lt;&gt;"", IF('General Info'!$D$49="No", "Check the flag in 'General Info'!D" &amp; ROW('General Info'!$D$49), ""), IF('General Info'!$D$49="Yes","Please check if appropriate", "Can be left blank for banks without IMA"))</f>
        <v>Can be left blank for banks without IMA</v>
      </c>
      <c r="W97" s="315"/>
    </row>
    <row r="98" spans="1:23" ht="15" customHeight="1" x14ac:dyDescent="0.35">
      <c r="A98" s="263"/>
      <c r="B98" s="1081" t="s">
        <v>1165</v>
      </c>
      <c r="C98" s="161"/>
      <c r="D98" s="161"/>
      <c r="E98" s="161"/>
      <c r="F98" s="161"/>
      <c r="G98" s="169"/>
      <c r="H98" s="465"/>
      <c r="I98" s="227"/>
      <c r="J98" s="962" t="str">
        <f>IF(G98&lt;&gt;"", IF('General Info'!$D$49="No", "Check the flag in 'General Info'!D" &amp; ROW('General Info'!$D$49), ""), IF('General Info'!$D$49="Yes","Please check if appropriate", "Can be left blank for banks without IMA"))</f>
        <v>Can be left blank for banks without IMA</v>
      </c>
      <c r="K98" s="988"/>
      <c r="L98" s="227"/>
      <c r="M98" s="227"/>
      <c r="N98" s="962" t="str">
        <f>IF(K98&lt;&gt;"", IF('General Info'!$D$49="No", "Check the flag in 'General Info'!D" &amp; ROW('General Info'!$D$49), ""), IF('General Info'!$D$49="Yes","Please check if appropriate", "Can be left blank for banks without IMA"))</f>
        <v>Can be left blank for banks without IMA</v>
      </c>
      <c r="O98" s="988"/>
      <c r="P98" s="227"/>
      <c r="Q98" s="227"/>
      <c r="R98" s="1172" t="str">
        <f>IF(O98&lt;&gt;"", IF('General Info'!$D$49="No", "Check the flag in 'General Info'!D" &amp; ROW('General Info'!$D$49), ""), IF('General Info'!$D$49="Yes","Please check if appropriate", "Can be left blank for banks without IMA"))</f>
        <v>Can be left blank for banks without IMA</v>
      </c>
      <c r="S98" s="175"/>
      <c r="T98" s="227"/>
      <c r="U98" s="227"/>
      <c r="V98" s="962" t="str">
        <f>IF(S98&lt;&gt;"", IF('General Info'!$D$49="No", "Check the flag in 'General Info'!D" &amp; ROW('General Info'!$D$49), ""), IF('General Info'!$D$49="Yes","Please check if appropriate", "Can be left blank for banks without IMA"))</f>
        <v>Can be left blank for banks without IMA</v>
      </c>
      <c r="W98" s="315"/>
    </row>
    <row r="99" spans="1:23" ht="15" customHeight="1" x14ac:dyDescent="0.35">
      <c r="A99" s="263"/>
      <c r="B99" s="1081" t="s">
        <v>1166</v>
      </c>
      <c r="C99" s="161"/>
      <c r="D99" s="161"/>
      <c r="E99" s="161"/>
      <c r="F99" s="161"/>
      <c r="G99" s="169"/>
      <c r="H99" s="465"/>
      <c r="I99" s="227"/>
      <c r="J99" s="962" t="str">
        <f>IF(G99&lt;&gt;"", IF('General Info'!$D$49="No", "Check the flag in 'General Info'!D" &amp; ROW('General Info'!$D$49), ""), IF('General Info'!$D$49="Yes","Please check if appropriate", "Can be left blank for banks without IMA"))</f>
        <v>Can be left blank for banks without IMA</v>
      </c>
      <c r="K99" s="988"/>
      <c r="L99" s="227"/>
      <c r="M99" s="227"/>
      <c r="N99" s="962" t="str">
        <f>IF(K99&lt;&gt;"", IF('General Info'!$D$49="No", "Check the flag in 'General Info'!D" &amp; ROW('General Info'!$D$49), ""), IF('General Info'!$D$49="Yes","Please check if appropriate", "Can be left blank for banks without IMA"))</f>
        <v>Can be left blank for banks without IMA</v>
      </c>
      <c r="O99" s="988"/>
      <c r="P99" s="227"/>
      <c r="Q99" s="227"/>
      <c r="R99" s="1172" t="str">
        <f>IF(O99&lt;&gt;"", IF('General Info'!$D$49="No", "Check the flag in 'General Info'!D" &amp; ROW('General Info'!$D$49), ""), IF('General Info'!$D$49="Yes","Please check if appropriate", "Can be left blank for banks without IMA"))</f>
        <v>Can be left blank for banks without IMA</v>
      </c>
      <c r="S99" s="175"/>
      <c r="T99" s="227"/>
      <c r="U99" s="227"/>
      <c r="V99" s="962" t="str">
        <f>IF(S99&lt;&gt;"", IF('General Info'!$D$49="No", "Check the flag in 'General Info'!D" &amp; ROW('General Info'!$D$49), ""), IF('General Info'!$D$49="Yes","Please check if appropriate", "Can be left blank for banks without IMA"))</f>
        <v>Can be left blank for banks without IMA</v>
      </c>
      <c r="W99" s="315"/>
    </row>
    <row r="100" spans="1:23" ht="15" customHeight="1" x14ac:dyDescent="0.35">
      <c r="A100" s="263"/>
      <c r="B100" s="1081" t="s">
        <v>1167</v>
      </c>
      <c r="C100" s="161"/>
      <c r="D100" s="161"/>
      <c r="E100" s="161"/>
      <c r="F100" s="161"/>
      <c r="G100" s="169"/>
      <c r="H100" s="465"/>
      <c r="I100" s="227"/>
      <c r="J100" s="962" t="str">
        <f>IF(G100&lt;&gt;"", IF('General Info'!$D$49="No", "Check the flag in 'General Info'!D" &amp; ROW('General Info'!$D$49), ""), IF('General Info'!$D$49="Yes","Please check if appropriate", "Can be left blank for banks without IMA"))</f>
        <v>Can be left blank for banks without IMA</v>
      </c>
      <c r="K100" s="988"/>
      <c r="L100" s="227"/>
      <c r="M100" s="227"/>
      <c r="N100" s="962" t="str">
        <f>IF(K100&lt;&gt;"", IF('General Info'!$D$49="No", "Check the flag in 'General Info'!D" &amp; ROW('General Info'!$D$49), ""), IF('General Info'!$D$49="Yes","Please check if appropriate", "Can be left blank for banks without IMA"))</f>
        <v>Can be left blank for banks without IMA</v>
      </c>
      <c r="O100" s="988"/>
      <c r="P100" s="227"/>
      <c r="Q100" s="227"/>
      <c r="R100" s="1172" t="str">
        <f>IF(O100&lt;&gt;"", IF('General Info'!$D$49="No", "Check the flag in 'General Info'!D" &amp; ROW('General Info'!$D$49), ""), IF('General Info'!$D$49="Yes","Please check if appropriate", "Can be left blank for banks without IMA"))</f>
        <v>Can be left blank for banks without IMA</v>
      </c>
      <c r="S100" s="175"/>
      <c r="T100" s="227"/>
      <c r="U100" s="227"/>
      <c r="V100" s="962" t="str">
        <f>IF(S100&lt;&gt;"", IF('General Info'!$D$49="No", "Check the flag in 'General Info'!D" &amp; ROW('General Info'!$D$49), ""), IF('General Info'!$D$49="Yes","Please check if appropriate", "Can be left blank for banks without IMA"))</f>
        <v>Can be left blank for banks without IMA</v>
      </c>
      <c r="W100" s="315"/>
    </row>
    <row r="101" spans="1:23" ht="15" customHeight="1" x14ac:dyDescent="0.35">
      <c r="A101" s="263"/>
      <c r="B101" s="1081" t="s">
        <v>1169</v>
      </c>
      <c r="C101" s="161"/>
      <c r="D101" s="161"/>
      <c r="E101" s="161"/>
      <c r="F101" s="161"/>
      <c r="G101" s="169"/>
      <c r="H101" s="465"/>
      <c r="I101" s="227"/>
      <c r="J101" s="962" t="str">
        <f>IF(G101&lt;&gt;"", IF('General Info'!$D$49="No", "Check the flag in 'General Info'!D" &amp; ROW('General Info'!$D$49), ""), IF('General Info'!$D$49="Yes","Please check if appropriate", "Can be left blank for banks without IMA"))</f>
        <v>Can be left blank for banks without IMA</v>
      </c>
      <c r="K101" s="988"/>
      <c r="L101" s="227"/>
      <c r="M101" s="227"/>
      <c r="N101" s="962" t="str">
        <f>IF(K101&lt;&gt;"", IF('General Info'!$D$49="No", "Check the flag in 'General Info'!D" &amp; ROW('General Info'!$D$49), ""), IF('General Info'!$D$49="Yes","Please check if appropriate", "Can be left blank for banks without IMA"))</f>
        <v>Can be left blank for banks without IMA</v>
      </c>
      <c r="O101" s="988"/>
      <c r="P101" s="227"/>
      <c r="Q101" s="227"/>
      <c r="R101" s="1172" t="str">
        <f>IF(O101&lt;&gt;"", IF('General Info'!$D$49="No", "Check the flag in 'General Info'!D" &amp; ROW('General Info'!$D$49), ""), IF('General Info'!$D$49="Yes","Please check if appropriate", "Can be left blank for banks without IMA"))</f>
        <v>Can be left blank for banks without IMA</v>
      </c>
      <c r="S101" s="175"/>
      <c r="T101" s="227"/>
      <c r="U101" s="227"/>
      <c r="V101" s="962" t="str">
        <f>IF(S101&lt;&gt;"", IF('General Info'!$D$49="No", "Check the flag in 'General Info'!D" &amp; ROW('General Info'!$D$49), ""), IF('General Info'!$D$49="Yes","Please check if appropriate", "Can be left blank for banks without IMA"))</f>
        <v>Can be left blank for banks without IMA</v>
      </c>
      <c r="W101" s="315"/>
    </row>
    <row r="102" spans="1:23" ht="15" customHeight="1" x14ac:dyDescent="0.35">
      <c r="A102" s="263"/>
      <c r="B102" s="170" t="s">
        <v>1170</v>
      </c>
      <c r="C102" s="161"/>
      <c r="D102" s="161"/>
      <c r="E102" s="161"/>
      <c r="F102" s="161"/>
      <c r="G102" s="169"/>
      <c r="H102" s="465"/>
      <c r="I102" s="227"/>
      <c r="J102" s="962" t="str">
        <f>IF(G102&lt;&gt;"", IF('General Info'!$D$49="No", "Check the flag in 'General Info'!D" &amp; ROW('General Info'!$D$49), ""), IF('General Info'!$D$49="Yes","Please check if appropriate", "Can be left blank for banks without IMA"))</f>
        <v>Can be left blank for banks without IMA</v>
      </c>
      <c r="K102" s="988"/>
      <c r="L102" s="227"/>
      <c r="M102" s="227"/>
      <c r="N102" s="962" t="str">
        <f>IF(K102&lt;&gt;"", IF('General Info'!$D$49="No", "Check the flag in 'General Info'!D" &amp; ROW('General Info'!$D$49), ""), IF('General Info'!$D$49="Yes","Please check if appropriate", "Can be left blank for banks without IMA"))</f>
        <v>Can be left blank for banks without IMA</v>
      </c>
      <c r="O102" s="988"/>
      <c r="P102" s="227"/>
      <c r="Q102" s="227"/>
      <c r="R102" s="1172" t="str">
        <f>IF(O102&lt;&gt;"", IF('General Info'!$D$49="No", "Check the flag in 'General Info'!D" &amp; ROW('General Info'!$D$49), ""), IF('General Info'!$D$49="Yes","Please check if appropriate", "Can be left blank for banks without IMA"))</f>
        <v>Can be left blank for banks without IMA</v>
      </c>
      <c r="S102" s="175"/>
      <c r="T102" s="227"/>
      <c r="U102" s="227"/>
      <c r="V102" s="962" t="str">
        <f>IF(S102&lt;&gt;"", IF('General Info'!$D$49="No", "Check the flag in 'General Info'!D" &amp; ROW('General Info'!$D$49), ""), IF('General Info'!$D$49="Yes","Please check if appropriate", "Can be left blank for banks without IMA"))</f>
        <v>Can be left blank for banks without IMA</v>
      </c>
      <c r="W102" s="315"/>
    </row>
    <row r="103" spans="1:23" ht="15" customHeight="1" x14ac:dyDescent="0.35">
      <c r="A103" s="263"/>
      <c r="B103" s="1081" t="s">
        <v>1164</v>
      </c>
      <c r="C103" s="161"/>
      <c r="D103" s="161"/>
      <c r="E103" s="161"/>
      <c r="F103" s="161"/>
      <c r="G103" s="169"/>
      <c r="H103" s="465"/>
      <c r="I103" s="227"/>
      <c r="J103" s="962" t="str">
        <f>IF(G103&lt;&gt;"", IF('General Info'!$D$49="No", "Check the flag in 'General Info'!D" &amp; ROW('General Info'!$D$49), ""), IF('General Info'!$D$49="Yes","Please check if appropriate", "Can be left blank for banks without IMA"))</f>
        <v>Can be left blank for banks without IMA</v>
      </c>
      <c r="K103" s="988"/>
      <c r="L103" s="227"/>
      <c r="M103" s="227"/>
      <c r="N103" s="962" t="str">
        <f>IF(K103&lt;&gt;"", IF('General Info'!$D$49="No", "Check the flag in 'General Info'!D" &amp; ROW('General Info'!$D$49), ""), IF('General Info'!$D$49="Yes","Please check if appropriate", "Can be left blank for banks without IMA"))</f>
        <v>Can be left blank for banks without IMA</v>
      </c>
      <c r="O103" s="988"/>
      <c r="P103" s="227"/>
      <c r="Q103" s="227"/>
      <c r="R103" s="1172" t="str">
        <f>IF(O103&lt;&gt;"", IF('General Info'!$D$49="No", "Check the flag in 'General Info'!D" &amp; ROW('General Info'!$D$49), ""), IF('General Info'!$D$49="Yes","Please check if appropriate", "Can be left blank for banks without IMA"))</f>
        <v>Can be left blank for banks without IMA</v>
      </c>
      <c r="S103" s="175"/>
      <c r="T103" s="227"/>
      <c r="U103" s="227"/>
      <c r="V103" s="962" t="str">
        <f>IF(S103&lt;&gt;"", IF('General Info'!$D$49="No", "Check the flag in 'General Info'!D" &amp; ROW('General Info'!$D$49), ""), IF('General Info'!$D$49="Yes","Please check if appropriate", "Can be left blank for banks without IMA"))</f>
        <v>Can be left blank for banks without IMA</v>
      </c>
      <c r="W103" s="315"/>
    </row>
    <row r="104" spans="1:23" ht="15" customHeight="1" x14ac:dyDescent="0.35">
      <c r="A104" s="263"/>
      <c r="B104" s="1081" t="s">
        <v>1165</v>
      </c>
      <c r="C104" s="161"/>
      <c r="D104" s="161"/>
      <c r="E104" s="161"/>
      <c r="F104" s="161"/>
      <c r="G104" s="169"/>
      <c r="H104" s="465"/>
      <c r="I104" s="227"/>
      <c r="J104" s="962" t="str">
        <f>IF(G104&lt;&gt;"", IF('General Info'!$D$49="No", "Check the flag in 'General Info'!D" &amp; ROW('General Info'!$D$49), ""), IF('General Info'!$D$49="Yes","Please check if appropriate", "Can be left blank for banks without IMA"))</f>
        <v>Can be left blank for banks without IMA</v>
      </c>
      <c r="K104" s="988"/>
      <c r="L104" s="227"/>
      <c r="M104" s="227"/>
      <c r="N104" s="962" t="str">
        <f>IF(K104&lt;&gt;"", IF('General Info'!$D$49="No", "Check the flag in 'General Info'!D" &amp; ROW('General Info'!$D$49), ""), IF('General Info'!$D$49="Yes","Please check if appropriate", "Can be left blank for banks without IMA"))</f>
        <v>Can be left blank for banks without IMA</v>
      </c>
      <c r="O104" s="988"/>
      <c r="P104" s="227"/>
      <c r="Q104" s="227"/>
      <c r="R104" s="1172" t="str">
        <f>IF(O104&lt;&gt;"", IF('General Info'!$D$49="No", "Check the flag in 'General Info'!D" &amp; ROW('General Info'!$D$49), ""), IF('General Info'!$D$49="Yes","Please check if appropriate", "Can be left blank for banks without IMA"))</f>
        <v>Can be left blank for banks without IMA</v>
      </c>
      <c r="S104" s="175"/>
      <c r="T104" s="227"/>
      <c r="U104" s="227"/>
      <c r="V104" s="962" t="str">
        <f>IF(S104&lt;&gt;"", IF('General Info'!$D$49="No", "Check the flag in 'General Info'!D" &amp; ROW('General Info'!$D$49), ""), IF('General Info'!$D$49="Yes","Please check if appropriate", "Can be left blank for banks without IMA"))</f>
        <v>Can be left blank for banks without IMA</v>
      </c>
      <c r="W104" s="315"/>
    </row>
    <row r="105" spans="1:23" ht="15" customHeight="1" x14ac:dyDescent="0.35">
      <c r="A105" s="263"/>
      <c r="B105" s="1081" t="s">
        <v>1166</v>
      </c>
      <c r="C105" s="161"/>
      <c r="D105" s="161"/>
      <c r="E105" s="161"/>
      <c r="F105" s="161"/>
      <c r="G105" s="169"/>
      <c r="H105" s="465"/>
      <c r="I105" s="227"/>
      <c r="J105" s="962" t="str">
        <f>IF(G105&lt;&gt;"", IF('General Info'!$D$49="No", "Check the flag in 'General Info'!D" &amp; ROW('General Info'!$D$49), ""), IF('General Info'!$D$49="Yes","Please check if appropriate", "Can be left blank for banks without IMA"))</f>
        <v>Can be left blank for banks without IMA</v>
      </c>
      <c r="K105" s="988"/>
      <c r="L105" s="227"/>
      <c r="M105" s="227"/>
      <c r="N105" s="962" t="str">
        <f>IF(K105&lt;&gt;"", IF('General Info'!$D$49="No", "Check the flag in 'General Info'!D" &amp; ROW('General Info'!$D$49), ""), IF('General Info'!$D$49="Yes","Please check if appropriate", "Can be left blank for banks without IMA"))</f>
        <v>Can be left blank for banks without IMA</v>
      </c>
      <c r="O105" s="988"/>
      <c r="P105" s="227"/>
      <c r="Q105" s="227"/>
      <c r="R105" s="1172" t="str">
        <f>IF(O105&lt;&gt;"", IF('General Info'!$D$49="No", "Check the flag in 'General Info'!D" &amp; ROW('General Info'!$D$49), ""), IF('General Info'!$D$49="Yes","Please check if appropriate", "Can be left blank for banks without IMA"))</f>
        <v>Can be left blank for banks without IMA</v>
      </c>
      <c r="S105" s="175"/>
      <c r="T105" s="227"/>
      <c r="U105" s="227"/>
      <c r="V105" s="962" t="str">
        <f>IF(S105&lt;&gt;"", IF('General Info'!$D$49="No", "Check the flag in 'General Info'!D" &amp; ROW('General Info'!$D$49), ""), IF('General Info'!$D$49="Yes","Please check if appropriate", "Can be left blank for banks without IMA"))</f>
        <v>Can be left blank for banks without IMA</v>
      </c>
      <c r="W105" s="315"/>
    </row>
    <row r="106" spans="1:23" ht="15" customHeight="1" x14ac:dyDescent="0.35">
      <c r="A106" s="263"/>
      <c r="B106" s="1081" t="s">
        <v>1167</v>
      </c>
      <c r="C106" s="161"/>
      <c r="D106" s="161"/>
      <c r="E106" s="161"/>
      <c r="F106" s="161"/>
      <c r="G106" s="169"/>
      <c r="H106" s="465"/>
      <c r="I106" s="227"/>
      <c r="J106" s="962" t="str">
        <f>IF(G106&lt;&gt;"", IF('General Info'!$D$49="No", "Check the flag in 'General Info'!D" &amp; ROW('General Info'!$D$49), ""), IF('General Info'!$D$49="Yes","Please check if appropriate", "Can be left blank for banks without IMA"))</f>
        <v>Can be left blank for banks without IMA</v>
      </c>
      <c r="K106" s="988"/>
      <c r="L106" s="227"/>
      <c r="M106" s="227"/>
      <c r="N106" s="962" t="str">
        <f>IF(K106&lt;&gt;"", IF('General Info'!$D$49="No", "Check the flag in 'General Info'!D" &amp; ROW('General Info'!$D$49), ""), IF('General Info'!$D$49="Yes","Please check if appropriate", "Can be left blank for banks without IMA"))</f>
        <v>Can be left blank for banks without IMA</v>
      </c>
      <c r="O106" s="988"/>
      <c r="P106" s="227"/>
      <c r="Q106" s="227"/>
      <c r="R106" s="1172" t="str">
        <f>IF(O106&lt;&gt;"", IF('General Info'!$D$49="No", "Check the flag in 'General Info'!D" &amp; ROW('General Info'!$D$49), ""), IF('General Info'!$D$49="Yes","Please check if appropriate", "Can be left blank for banks without IMA"))</f>
        <v>Can be left blank for banks without IMA</v>
      </c>
      <c r="S106" s="175"/>
      <c r="T106" s="227"/>
      <c r="U106" s="227"/>
      <c r="V106" s="962" t="str">
        <f>IF(S106&lt;&gt;"", IF('General Info'!$D$49="No", "Check the flag in 'General Info'!D" &amp; ROW('General Info'!$D$49), ""), IF('General Info'!$D$49="Yes","Please check if appropriate", "Can be left blank for banks without IMA"))</f>
        <v>Can be left blank for banks without IMA</v>
      </c>
      <c r="W106" s="315"/>
    </row>
    <row r="107" spans="1:23" ht="15" customHeight="1" x14ac:dyDescent="0.35">
      <c r="A107" s="263"/>
      <c r="B107" s="170" t="s">
        <v>1171</v>
      </c>
      <c r="C107" s="161"/>
      <c r="D107" s="161"/>
      <c r="E107" s="161"/>
      <c r="F107" s="161"/>
      <c r="G107" s="169"/>
      <c r="H107" s="465"/>
      <c r="I107" s="227"/>
      <c r="J107" s="962" t="str">
        <f>IF(G107&lt;&gt;"", IF('General Info'!$D$49="No", "Check the flag in 'General Info'!D" &amp; ROW('General Info'!$D$49), ""), IF('General Info'!$D$49="Yes","Please check if appropriate", "Can be left blank for banks without IMA"))</f>
        <v>Can be left blank for banks without IMA</v>
      </c>
      <c r="K107" s="988"/>
      <c r="L107" s="227"/>
      <c r="M107" s="227"/>
      <c r="N107" s="962" t="str">
        <f>IF(K107&lt;&gt;"", IF('General Info'!$D$49="No", "Check the flag in 'General Info'!D" &amp; ROW('General Info'!$D$49), ""), IF('General Info'!$D$49="Yes","Please check if appropriate", "Can be left blank for banks without IMA"))</f>
        <v>Can be left blank for banks without IMA</v>
      </c>
      <c r="O107" s="988"/>
      <c r="P107" s="227"/>
      <c r="Q107" s="227"/>
      <c r="R107" s="1172" t="str">
        <f>IF(O107&lt;&gt;"", IF('General Info'!$D$49="No", "Check the flag in 'General Info'!D" &amp; ROW('General Info'!$D$49), ""), IF('General Info'!$D$49="Yes","Please check if appropriate", "Can be left blank for banks without IMA"))</f>
        <v>Can be left blank for banks without IMA</v>
      </c>
      <c r="S107" s="175"/>
      <c r="T107" s="227"/>
      <c r="U107" s="227"/>
      <c r="V107" s="962" t="str">
        <f>IF(S107&lt;&gt;"", IF('General Info'!$D$49="No", "Check the flag in 'General Info'!D" &amp; ROW('General Info'!$D$49), ""), IF('General Info'!$D$49="Yes","Please check if appropriate", "Can be left blank for banks without IMA"))</f>
        <v>Can be left blank for banks without IMA</v>
      </c>
      <c r="W107" s="315"/>
    </row>
    <row r="108" spans="1:23" ht="15" customHeight="1" x14ac:dyDescent="0.35">
      <c r="A108" s="263"/>
      <c r="B108" s="1081" t="s">
        <v>1164</v>
      </c>
      <c r="C108" s="161"/>
      <c r="D108" s="161"/>
      <c r="E108" s="161"/>
      <c r="F108" s="161"/>
      <c r="G108" s="169"/>
      <c r="H108" s="465"/>
      <c r="I108" s="227"/>
      <c r="J108" s="962" t="str">
        <f>IF(G108&lt;&gt;"", IF('General Info'!$D$49="No", "Check the flag in 'General Info'!D" &amp; ROW('General Info'!$D$49), ""), IF('General Info'!$D$49="Yes","Please check if appropriate", "Can be left blank for banks without IMA"))</f>
        <v>Can be left blank for banks without IMA</v>
      </c>
      <c r="K108" s="988"/>
      <c r="L108" s="227"/>
      <c r="M108" s="227"/>
      <c r="N108" s="962" t="str">
        <f>IF(K108&lt;&gt;"", IF('General Info'!$D$49="No", "Check the flag in 'General Info'!D" &amp; ROW('General Info'!$D$49), ""), IF('General Info'!$D$49="Yes","Please check if appropriate", "Can be left blank for banks without IMA"))</f>
        <v>Can be left blank for banks without IMA</v>
      </c>
      <c r="O108" s="988"/>
      <c r="P108" s="227"/>
      <c r="Q108" s="227"/>
      <c r="R108" s="1172" t="str">
        <f>IF(O108&lt;&gt;"", IF('General Info'!$D$49="No", "Check the flag in 'General Info'!D" &amp; ROW('General Info'!$D$49), ""), IF('General Info'!$D$49="Yes","Please check if appropriate", "Can be left blank for banks without IMA"))</f>
        <v>Can be left blank for banks without IMA</v>
      </c>
      <c r="S108" s="175"/>
      <c r="T108" s="227"/>
      <c r="U108" s="227"/>
      <c r="V108" s="962" t="str">
        <f>IF(S108&lt;&gt;"", IF('General Info'!$D$49="No", "Check the flag in 'General Info'!D" &amp; ROW('General Info'!$D$49), ""), IF('General Info'!$D$49="Yes","Please check if appropriate", "Can be left blank for banks without IMA"))</f>
        <v>Can be left blank for banks without IMA</v>
      </c>
      <c r="W108" s="315"/>
    </row>
    <row r="109" spans="1:23" ht="15" customHeight="1" x14ac:dyDescent="0.35">
      <c r="A109" s="263"/>
      <c r="B109" s="1081" t="s">
        <v>1165</v>
      </c>
      <c r="C109" s="161"/>
      <c r="D109" s="161"/>
      <c r="E109" s="161"/>
      <c r="F109" s="161"/>
      <c r="G109" s="169"/>
      <c r="H109" s="465"/>
      <c r="I109" s="227"/>
      <c r="J109" s="962" t="str">
        <f>IF(G109&lt;&gt;"", IF('General Info'!$D$49="No", "Check the flag in 'General Info'!D" &amp; ROW('General Info'!$D$49), ""), IF('General Info'!$D$49="Yes","Please check if appropriate", "Can be left blank for banks without IMA"))</f>
        <v>Can be left blank for banks without IMA</v>
      </c>
      <c r="K109" s="988"/>
      <c r="L109" s="227"/>
      <c r="M109" s="227"/>
      <c r="N109" s="962" t="str">
        <f>IF(K109&lt;&gt;"", IF('General Info'!$D$49="No", "Check the flag in 'General Info'!D" &amp; ROW('General Info'!$D$49), ""), IF('General Info'!$D$49="Yes","Please check if appropriate", "Can be left blank for banks without IMA"))</f>
        <v>Can be left blank for banks without IMA</v>
      </c>
      <c r="O109" s="988"/>
      <c r="P109" s="227"/>
      <c r="Q109" s="227"/>
      <c r="R109" s="1172" t="str">
        <f>IF(O109&lt;&gt;"", IF('General Info'!$D$49="No", "Check the flag in 'General Info'!D" &amp; ROW('General Info'!$D$49), ""), IF('General Info'!$D$49="Yes","Please check if appropriate", "Can be left blank for banks without IMA"))</f>
        <v>Can be left blank for banks without IMA</v>
      </c>
      <c r="S109" s="175"/>
      <c r="T109" s="227"/>
      <c r="U109" s="227"/>
      <c r="V109" s="962" t="str">
        <f>IF(S109&lt;&gt;"", IF('General Info'!$D$49="No", "Check the flag in 'General Info'!D" &amp; ROW('General Info'!$D$49), ""), IF('General Info'!$D$49="Yes","Please check if appropriate", "Can be left blank for banks without IMA"))</f>
        <v>Can be left blank for banks without IMA</v>
      </c>
      <c r="W109" s="315"/>
    </row>
    <row r="110" spans="1:23" ht="15" customHeight="1" x14ac:dyDescent="0.35">
      <c r="A110" s="263"/>
      <c r="B110" s="1081" t="s">
        <v>1166</v>
      </c>
      <c r="C110" s="161"/>
      <c r="D110" s="161"/>
      <c r="E110" s="161"/>
      <c r="F110" s="161"/>
      <c r="G110" s="169"/>
      <c r="H110" s="465"/>
      <c r="I110" s="227"/>
      <c r="J110" s="962" t="str">
        <f>IF(G110&lt;&gt;"", IF('General Info'!$D$49="No", "Check the flag in 'General Info'!D" &amp; ROW('General Info'!$D$49), ""), IF('General Info'!$D$49="Yes","Please check if appropriate", "Can be left blank for banks without IMA"))</f>
        <v>Can be left blank for banks without IMA</v>
      </c>
      <c r="K110" s="988"/>
      <c r="L110" s="227"/>
      <c r="M110" s="227"/>
      <c r="N110" s="962" t="str">
        <f>IF(K110&lt;&gt;"", IF('General Info'!$D$49="No", "Check the flag in 'General Info'!D" &amp; ROW('General Info'!$D$49), ""), IF('General Info'!$D$49="Yes","Please check if appropriate", "Can be left blank for banks without IMA"))</f>
        <v>Can be left blank for banks without IMA</v>
      </c>
      <c r="O110" s="988"/>
      <c r="P110" s="227"/>
      <c r="Q110" s="227"/>
      <c r="R110" s="1172" t="str">
        <f>IF(O110&lt;&gt;"", IF('General Info'!$D$49="No", "Check the flag in 'General Info'!D" &amp; ROW('General Info'!$D$49), ""), IF('General Info'!$D$49="Yes","Please check if appropriate", "Can be left blank for banks without IMA"))</f>
        <v>Can be left blank for banks without IMA</v>
      </c>
      <c r="S110" s="175"/>
      <c r="T110" s="227"/>
      <c r="U110" s="227"/>
      <c r="V110" s="962" t="str">
        <f>IF(S110&lt;&gt;"", IF('General Info'!$D$49="No", "Check the flag in 'General Info'!D" &amp; ROW('General Info'!$D$49), ""), IF('General Info'!$D$49="Yes","Please check if appropriate", "Can be left blank for banks without IMA"))</f>
        <v>Can be left blank for banks without IMA</v>
      </c>
      <c r="W110" s="315"/>
    </row>
    <row r="111" spans="1:23" ht="15" customHeight="1" x14ac:dyDescent="0.35">
      <c r="A111" s="263"/>
      <c r="B111" s="1081" t="s">
        <v>1167</v>
      </c>
      <c r="C111" s="161"/>
      <c r="D111" s="161"/>
      <c r="E111" s="161"/>
      <c r="F111" s="161"/>
      <c r="G111" s="169"/>
      <c r="H111" s="465"/>
      <c r="I111" s="227"/>
      <c r="J111" s="962" t="str">
        <f>IF(G111&lt;&gt;"", IF('General Info'!$D$49="No", "Check the flag in 'General Info'!D" &amp; ROW('General Info'!$D$49), ""), IF('General Info'!$D$49="Yes","Please check if appropriate", "Can be left blank for banks without IMA"))</f>
        <v>Can be left blank for banks without IMA</v>
      </c>
      <c r="K111" s="988"/>
      <c r="L111" s="227"/>
      <c r="M111" s="227"/>
      <c r="N111" s="962" t="str">
        <f>IF(K111&lt;&gt;"", IF('General Info'!$D$49="No", "Check the flag in 'General Info'!D" &amp; ROW('General Info'!$D$49), ""), IF('General Info'!$D$49="Yes","Please check if appropriate", "Can be left blank for banks without IMA"))</f>
        <v>Can be left blank for banks without IMA</v>
      </c>
      <c r="O111" s="988"/>
      <c r="P111" s="227"/>
      <c r="Q111" s="227"/>
      <c r="R111" s="1172" t="str">
        <f>IF(O111&lt;&gt;"", IF('General Info'!$D$49="No", "Check the flag in 'General Info'!D" &amp; ROW('General Info'!$D$49), ""), IF('General Info'!$D$49="Yes","Please check if appropriate", "Can be left blank for banks without IMA"))</f>
        <v>Can be left blank for banks without IMA</v>
      </c>
      <c r="S111" s="175"/>
      <c r="T111" s="227"/>
      <c r="U111" s="227"/>
      <c r="V111" s="962" t="str">
        <f>IF(S111&lt;&gt;"", IF('General Info'!$D$49="No", "Check the flag in 'General Info'!D" &amp; ROW('General Info'!$D$49), ""), IF('General Info'!$D$49="Yes","Please check if appropriate", "Can be left blank for banks without IMA"))</f>
        <v>Can be left blank for banks without IMA</v>
      </c>
      <c r="W111" s="315"/>
    </row>
    <row r="112" spans="1:23" ht="15" customHeight="1" x14ac:dyDescent="0.35">
      <c r="A112" s="263"/>
      <c r="B112" s="1081" t="s">
        <v>1169</v>
      </c>
      <c r="C112" s="161"/>
      <c r="D112" s="161"/>
      <c r="E112" s="161"/>
      <c r="F112" s="161"/>
      <c r="G112" s="169"/>
      <c r="H112" s="465"/>
      <c r="I112" s="227"/>
      <c r="J112" s="962" t="str">
        <f>IF(G112&lt;&gt;"", IF('General Info'!$D$49="No", "Check the flag in 'General Info'!D" &amp; ROW('General Info'!$D$49), ""), IF('General Info'!$D$49="Yes","Please check if appropriate", "Can be left blank for banks without IMA"))</f>
        <v>Can be left blank for banks without IMA</v>
      </c>
      <c r="K112" s="988"/>
      <c r="L112" s="227"/>
      <c r="M112" s="227"/>
      <c r="N112" s="962" t="str">
        <f>IF(K112&lt;&gt;"", IF('General Info'!$D$49="No", "Check the flag in 'General Info'!D" &amp; ROW('General Info'!$D$49), ""), IF('General Info'!$D$49="Yes","Please check if appropriate", "Can be left blank for banks without IMA"))</f>
        <v>Can be left blank for banks without IMA</v>
      </c>
      <c r="O112" s="988"/>
      <c r="P112" s="227"/>
      <c r="Q112" s="227"/>
      <c r="R112" s="1172" t="str">
        <f>IF(O112&lt;&gt;"", IF('General Info'!$D$49="No", "Check the flag in 'General Info'!D" &amp; ROW('General Info'!$D$49), ""), IF('General Info'!$D$49="Yes","Please check if appropriate", "Can be left blank for banks without IMA"))</f>
        <v>Can be left blank for banks without IMA</v>
      </c>
      <c r="S112" s="175"/>
      <c r="T112" s="227"/>
      <c r="U112" s="227"/>
      <c r="V112" s="962" t="str">
        <f>IF(S112&lt;&gt;"", IF('General Info'!$D$49="No", "Check the flag in 'General Info'!D" &amp; ROW('General Info'!$D$49), ""), IF('General Info'!$D$49="Yes","Please check if appropriate", "Can be left blank for banks without IMA"))</f>
        <v>Can be left blank for banks without IMA</v>
      </c>
      <c r="W112" s="315"/>
    </row>
    <row r="113" spans="1:23" ht="15" customHeight="1" x14ac:dyDescent="0.35">
      <c r="A113" s="263"/>
      <c r="B113" s="170" t="s">
        <v>1172</v>
      </c>
      <c r="C113" s="161"/>
      <c r="D113" s="161"/>
      <c r="E113" s="161"/>
      <c r="F113" s="161"/>
      <c r="G113" s="169"/>
      <c r="H113" s="465"/>
      <c r="I113" s="227"/>
      <c r="J113" s="962" t="str">
        <f>IF(G113&lt;&gt;"", IF('General Info'!$D$49="No", "Check the flag in 'General Info'!D" &amp; ROW('General Info'!$D$49), ""), IF('General Info'!$D$49="Yes","Please check if appropriate", "Can be left blank for banks without IMA"))</f>
        <v>Can be left blank for banks without IMA</v>
      </c>
      <c r="K113" s="988"/>
      <c r="L113" s="227"/>
      <c r="M113" s="227"/>
      <c r="N113" s="962" t="str">
        <f>IF(K113&lt;&gt;"", IF('General Info'!$D$49="No", "Check the flag in 'General Info'!D" &amp; ROW('General Info'!$D$49), ""), IF('General Info'!$D$49="Yes","Please check if appropriate", "Can be left blank for banks without IMA"))</f>
        <v>Can be left blank for banks without IMA</v>
      </c>
      <c r="O113" s="988"/>
      <c r="P113" s="227"/>
      <c r="Q113" s="227"/>
      <c r="R113" s="1172" t="str">
        <f>IF(O113&lt;&gt;"", IF('General Info'!$D$49="No", "Check the flag in 'General Info'!D" &amp; ROW('General Info'!$D$49), ""), IF('General Info'!$D$49="Yes","Please check if appropriate", "Can be left blank for banks without IMA"))</f>
        <v>Can be left blank for banks without IMA</v>
      </c>
      <c r="S113" s="175"/>
      <c r="T113" s="227"/>
      <c r="U113" s="227"/>
      <c r="V113" s="962" t="str">
        <f>IF(S113&lt;&gt;"", IF('General Info'!$D$49="No", "Check the flag in 'General Info'!D" &amp; ROW('General Info'!$D$49), ""), IF('General Info'!$D$49="Yes","Please check if appropriate", "Can be left blank for banks without IMA"))</f>
        <v>Can be left blank for banks without IMA</v>
      </c>
      <c r="W113" s="315"/>
    </row>
    <row r="114" spans="1:23" ht="15" customHeight="1" x14ac:dyDescent="0.35">
      <c r="A114" s="263"/>
      <c r="B114" s="1081" t="s">
        <v>1164</v>
      </c>
      <c r="C114" s="161"/>
      <c r="D114" s="161"/>
      <c r="E114" s="161"/>
      <c r="F114" s="161"/>
      <c r="G114" s="169"/>
      <c r="H114" s="465"/>
      <c r="I114" s="227"/>
      <c r="J114" s="962" t="str">
        <f>IF(G114&lt;&gt;"", IF('General Info'!$D$49="No", "Check the flag in 'General Info'!D" &amp; ROW('General Info'!$D$49), ""), IF('General Info'!$D$49="Yes","Please check if appropriate", "Can be left blank for banks without IMA"))</f>
        <v>Can be left blank for banks without IMA</v>
      </c>
      <c r="K114" s="988"/>
      <c r="L114" s="227"/>
      <c r="M114" s="227"/>
      <c r="N114" s="962" t="str">
        <f>IF(K114&lt;&gt;"", IF('General Info'!$D$49="No", "Check the flag in 'General Info'!D" &amp; ROW('General Info'!$D$49), ""), IF('General Info'!$D$49="Yes","Please check if appropriate", "Can be left blank for banks without IMA"))</f>
        <v>Can be left blank for banks without IMA</v>
      </c>
      <c r="O114" s="988"/>
      <c r="P114" s="227"/>
      <c r="Q114" s="227"/>
      <c r="R114" s="1172" t="str">
        <f>IF(O114&lt;&gt;"", IF('General Info'!$D$49="No", "Check the flag in 'General Info'!D" &amp; ROW('General Info'!$D$49), ""), IF('General Info'!$D$49="Yes","Please check if appropriate", "Can be left blank for banks without IMA"))</f>
        <v>Can be left blank for banks without IMA</v>
      </c>
      <c r="S114" s="175"/>
      <c r="T114" s="227"/>
      <c r="U114" s="227"/>
      <c r="V114" s="962" t="str">
        <f>IF(S114&lt;&gt;"", IF('General Info'!$D$49="No", "Check the flag in 'General Info'!D" &amp; ROW('General Info'!$D$49), ""), IF('General Info'!$D$49="Yes","Please check if appropriate", "Can be left blank for banks without IMA"))</f>
        <v>Can be left blank for banks without IMA</v>
      </c>
      <c r="W114" s="315"/>
    </row>
    <row r="115" spans="1:23" ht="15" customHeight="1" x14ac:dyDescent="0.35">
      <c r="A115" s="263"/>
      <c r="B115" s="1081" t="s">
        <v>1165</v>
      </c>
      <c r="C115" s="161"/>
      <c r="D115" s="161"/>
      <c r="E115" s="161"/>
      <c r="F115" s="161"/>
      <c r="G115" s="175"/>
      <c r="H115" s="227"/>
      <c r="I115" s="227"/>
      <c r="J115" s="962" t="str">
        <f>IF(G115&lt;&gt;"", IF('General Info'!$D$49="No", "Check the flag in 'General Info'!D" &amp; ROW('General Info'!$D$49), ""), IF('General Info'!$D$49="Yes","Please check if appropriate", "Can be left blank for banks without IMA"))</f>
        <v>Can be left blank for banks without IMA</v>
      </c>
      <c r="K115" s="988"/>
      <c r="L115" s="227"/>
      <c r="M115" s="227"/>
      <c r="N115" s="962" t="str">
        <f>IF(K115&lt;&gt;"", IF('General Info'!$D$49="No", "Check the flag in 'General Info'!D" &amp; ROW('General Info'!$D$49), ""), IF('General Info'!$D$49="Yes","Please check if appropriate", "Can be left blank for banks without IMA"))</f>
        <v>Can be left blank for banks without IMA</v>
      </c>
      <c r="O115" s="988"/>
      <c r="P115" s="227"/>
      <c r="Q115" s="227"/>
      <c r="R115" s="1172" t="str">
        <f>IF(O115&lt;&gt;"", IF('General Info'!$D$49="No", "Check the flag in 'General Info'!D" &amp; ROW('General Info'!$D$49), ""), IF('General Info'!$D$49="Yes","Please check if appropriate", "Can be left blank for banks without IMA"))</f>
        <v>Can be left blank for banks without IMA</v>
      </c>
      <c r="S115" s="175"/>
      <c r="T115" s="227"/>
      <c r="U115" s="227"/>
      <c r="V115" s="962" t="str">
        <f>IF(S115&lt;&gt;"", IF('General Info'!$D$49="No", "Check the flag in 'General Info'!D" &amp; ROW('General Info'!$D$49), ""), IF('General Info'!$D$49="Yes","Please check if appropriate", "Can be left blank for banks without IMA"))</f>
        <v>Can be left blank for banks without IMA</v>
      </c>
      <c r="W115" s="315"/>
    </row>
    <row r="116" spans="1:23" ht="15" customHeight="1" x14ac:dyDescent="0.35">
      <c r="A116" s="263"/>
      <c r="B116" s="1081" t="s">
        <v>1166</v>
      </c>
      <c r="C116" s="161"/>
      <c r="D116" s="161"/>
      <c r="E116" s="161"/>
      <c r="F116" s="161"/>
      <c r="G116" s="175"/>
      <c r="H116" s="227"/>
      <c r="I116" s="227"/>
      <c r="J116" s="962" t="str">
        <f>IF(G116&lt;&gt;"", IF('General Info'!$D$49="No", "Check the flag in 'General Info'!D" &amp; ROW('General Info'!$D$49), ""), IF('General Info'!$D$49="Yes","Please check if appropriate", "Can be left blank for banks without IMA"))</f>
        <v>Can be left blank for banks without IMA</v>
      </c>
      <c r="K116" s="988"/>
      <c r="L116" s="227"/>
      <c r="M116" s="227"/>
      <c r="N116" s="962" t="str">
        <f>IF(K116&lt;&gt;"", IF('General Info'!$D$49="No", "Check the flag in 'General Info'!D" &amp; ROW('General Info'!$D$49), ""), IF('General Info'!$D$49="Yes","Please check if appropriate", "Can be left blank for banks without IMA"))</f>
        <v>Can be left blank for banks without IMA</v>
      </c>
      <c r="O116" s="988"/>
      <c r="P116" s="227"/>
      <c r="Q116" s="227"/>
      <c r="R116" s="1555" t="str">
        <f>IF(O116&lt;&gt;"", IF('General Info'!$D$49="No", "Check the flag in 'General Info'!D" &amp; ROW('General Info'!$D$49), ""), IF('General Info'!$D$49="Yes","Please check if appropriate", "Can be left blank for banks without IMA"))</f>
        <v>Can be left blank for banks without IMA</v>
      </c>
      <c r="S116" s="175"/>
      <c r="T116" s="227"/>
      <c r="U116" s="227"/>
      <c r="V116" s="962" t="str">
        <f>IF(S116&lt;&gt;"", IF('General Info'!$D$49="No", "Check the flag in 'General Info'!D" &amp; ROW('General Info'!$D$49), ""), IF('General Info'!$D$49="Yes","Please check if appropriate", "Can be left blank for banks without IMA"))</f>
        <v>Can be left blank for banks without IMA</v>
      </c>
      <c r="W116" s="315"/>
    </row>
    <row r="117" spans="1:23" ht="15" customHeight="1" x14ac:dyDescent="0.35">
      <c r="A117" s="263"/>
      <c r="B117" s="164" t="s">
        <v>1173</v>
      </c>
      <c r="C117" s="161"/>
      <c r="D117" s="161"/>
      <c r="E117" s="161"/>
      <c r="F117" s="161"/>
      <c r="G117" s="97">
        <f>IF('General Info'!$D$49="Yes", IF(AND(COUNT(G118:G122)=ROWS(G118:G122), COUNT(H118:H122)=ROWS(H118:H122), ISNUMBER(I119), ISNUMBER(I120)), SUM(SQRT(I119), SQRT(I120), SQRT((0.6*SUM(G118:G122))^2+(1-0.6^2)*SUM(H118:H122))), ""), 0)</f>
        <v>0</v>
      </c>
      <c r="H117" s="227"/>
      <c r="I117" s="227"/>
      <c r="J117" s="227"/>
      <c r="K117" s="987">
        <f>IF('General Info'!$D$49="Yes", IF(AND(COUNT(K118:K122)=ROWS(K118:K122), COUNT(L118:L122)=ROWS(L118:L122), ISNUMBER(M119), ISNUMBER(M120)), SUM(SQRT(M119), SQRT(M120), SQRT((0.6*SUM(K118:K122))^2+(1-0.6^2)*SUM(L118:L122))), ""), 0)</f>
        <v>0</v>
      </c>
      <c r="L117" s="227"/>
      <c r="M117" s="227"/>
      <c r="N117" s="227"/>
      <c r="O117" s="987">
        <f>IF('General Info'!$D$49="Yes", IF(AND(COUNT(O118:O122)=ROWS(O118:O122), COUNT(P118:P122)=ROWS(P118:P122), ISNUMBER(Q119), ISNUMBER(Q120)), SUM(SQRT(Q119), SQRT(Q120), SQRT((0.6*SUM(O118:O122))^2+(1-0.6^2)*SUM(P118:P122))), ""), 0)</f>
        <v>0</v>
      </c>
      <c r="P117" s="227"/>
      <c r="Q117" s="227"/>
      <c r="R117" s="227"/>
      <c r="S117" s="987">
        <f>IF('General Info'!$D$49="Yes", IF(AND(COUNT(S118:S122)=ROWS(S118:S122), COUNT(T118:T122)=ROWS(T118:T122), ISNUMBER(U119), ISNUMBER(U120)), SUM(SQRT(U119), SQRT(U120), SQRT((0.6*SUM(S118:S122))^2+(1-0.6^2)*SUM(T118:T122))), ""), 0)</f>
        <v>0</v>
      </c>
      <c r="T117" s="227"/>
      <c r="U117" s="227"/>
      <c r="V117" s="227"/>
      <c r="W117" s="315"/>
    </row>
    <row r="118" spans="1:23" ht="15" customHeight="1" x14ac:dyDescent="0.35">
      <c r="A118" s="263"/>
      <c r="B118" s="165" t="s">
        <v>1174</v>
      </c>
      <c r="C118" s="161"/>
      <c r="D118" s="161"/>
      <c r="E118" s="161"/>
      <c r="F118" s="161"/>
      <c r="G118" s="175"/>
      <c r="H118" s="169"/>
      <c r="I118" s="227"/>
      <c r="J118" s="962" t="str">
        <f>IF(G118&lt;&gt;"", IF('General Info'!$D$49="No", "Check the flag in 'General Info'!D" &amp; ROW('General Info'!$D$49), ""), IF('General Info'!$D$49="Yes","Please check if appropriate", "Can be left blank for banks without IMA"))</f>
        <v>Can be left blank for banks without IMA</v>
      </c>
      <c r="K118" s="988"/>
      <c r="L118" s="169"/>
      <c r="M118" s="227"/>
      <c r="N118" s="962" t="str">
        <f>IF(K118&lt;&gt;"", IF('General Info'!$D$49="No", "Check the flag in 'General Info'!D" &amp; ROW('General Info'!$D$49), ""), IF('General Info'!$D$49="Yes","Please check if appropriate", "Can be left blank for banks without IMA"))</f>
        <v>Can be left blank for banks without IMA</v>
      </c>
      <c r="O118" s="988"/>
      <c r="P118" s="169"/>
      <c r="Q118" s="227"/>
      <c r="R118" s="962" t="str">
        <f>IF(O118&lt;&gt;"", IF('General Info'!$D$49="No", "Check the flag in 'General Info'!D" &amp; ROW('General Info'!$D$49), ""), IF('General Info'!$D$49="Yes","Please check if appropriate", "Can be left blank for banks without IMA"))</f>
        <v>Can be left blank for banks without IMA</v>
      </c>
      <c r="S118" s="988"/>
      <c r="T118" s="169"/>
      <c r="U118" s="227"/>
      <c r="V118" s="962" t="str">
        <f>IF(S118&lt;&gt;"", IF('General Info'!$D$49="No", "Check the flag in 'General Info'!D" &amp; ROW('General Info'!$D$49), ""), IF('General Info'!$D$49="Yes","Please check if appropriate", "Can be left blank for banks without IMA"))</f>
        <v>Can be left blank for banks without IMA</v>
      </c>
      <c r="W118" s="315"/>
    </row>
    <row r="119" spans="1:23" ht="15" customHeight="1" x14ac:dyDescent="0.35">
      <c r="A119" s="263"/>
      <c r="B119" s="165" t="s">
        <v>1175</v>
      </c>
      <c r="C119" s="161"/>
      <c r="D119" s="161"/>
      <c r="E119" s="161"/>
      <c r="F119" s="161"/>
      <c r="G119" s="175"/>
      <c r="H119" s="169"/>
      <c r="I119" s="136"/>
      <c r="J119" s="962" t="str">
        <f>IF(G119&lt;&gt;"", IF('General Info'!$D$49="No", "Check the flag in 'General Info'!D" &amp; ROW('General Info'!$D$49), ""), IF('General Info'!$D$49="Yes","Please check if appropriate", "Can be left blank for banks without IMA"))</f>
        <v>Can be left blank for banks without IMA</v>
      </c>
      <c r="K119" s="988"/>
      <c r="L119" s="169"/>
      <c r="M119" s="136"/>
      <c r="N119" s="962" t="str">
        <f>IF(K119&lt;&gt;"", IF('General Info'!$D$49="No", "Check the flag in 'General Info'!D" &amp; ROW('General Info'!$D$49), ""), IF('General Info'!$D$49="Yes","Please check if appropriate", "Can be left blank for banks without IMA"))</f>
        <v>Can be left blank for banks without IMA</v>
      </c>
      <c r="O119" s="988"/>
      <c r="P119" s="169"/>
      <c r="Q119" s="136"/>
      <c r="R119" s="962" t="str">
        <f>IF(O119&lt;&gt;"", IF('General Info'!$D$49="No", "Check the flag in 'General Info'!D" &amp; ROW('General Info'!$D$49), ""), IF('General Info'!$D$49="Yes","Please check if appropriate", "Can be left blank for banks without IMA"))</f>
        <v>Can be left blank for banks without IMA</v>
      </c>
      <c r="S119" s="988"/>
      <c r="T119" s="169"/>
      <c r="U119" s="136"/>
      <c r="V119" s="962" t="str">
        <f>IF(S119&lt;&gt;"", IF('General Info'!$D$49="No", "Check the flag in 'General Info'!D" &amp; ROW('General Info'!$D$49), ""), IF('General Info'!$D$49="Yes","Please check if appropriate", "Can be left blank for banks without IMA"))</f>
        <v>Can be left blank for banks without IMA</v>
      </c>
      <c r="W119" s="315"/>
    </row>
    <row r="120" spans="1:23" ht="15" customHeight="1" x14ac:dyDescent="0.35">
      <c r="A120" s="263"/>
      <c r="B120" s="165" t="s">
        <v>1176</v>
      </c>
      <c r="C120" s="161"/>
      <c r="D120" s="161"/>
      <c r="E120" s="161"/>
      <c r="F120" s="161"/>
      <c r="G120" s="175"/>
      <c r="H120" s="169"/>
      <c r="I120" s="136"/>
      <c r="J120" s="962" t="str">
        <f>IF(G120&lt;&gt;"", IF('General Info'!$D$49="No", "Check the flag in 'General Info'!D" &amp; ROW('General Info'!$D$49), ""), IF('General Info'!$D$49="Yes","Please check if appropriate", "Can be left blank for banks without IMA"))</f>
        <v>Can be left blank for banks without IMA</v>
      </c>
      <c r="K120" s="988"/>
      <c r="L120" s="169"/>
      <c r="M120" s="136"/>
      <c r="N120" s="962" t="str">
        <f>IF(K120&lt;&gt;"", IF('General Info'!$D$49="No", "Check the flag in 'General Info'!D" &amp; ROW('General Info'!$D$49), ""), IF('General Info'!$D$49="Yes","Please check if appropriate", "Can be left blank for banks without IMA"))</f>
        <v>Can be left blank for banks without IMA</v>
      </c>
      <c r="O120" s="988"/>
      <c r="P120" s="169"/>
      <c r="Q120" s="136"/>
      <c r="R120" s="962" t="str">
        <f>IF(O120&lt;&gt;"", IF('General Info'!$D$49="No", "Check the flag in 'General Info'!D" &amp; ROW('General Info'!$D$49), ""), IF('General Info'!$D$49="Yes","Please check if appropriate", "Can be left blank for banks without IMA"))</f>
        <v>Can be left blank for banks without IMA</v>
      </c>
      <c r="S120" s="988"/>
      <c r="T120" s="169"/>
      <c r="U120" s="136"/>
      <c r="V120" s="962" t="str">
        <f>IF(S120&lt;&gt;"", IF('General Info'!$D$49="No", "Check the flag in 'General Info'!D" &amp; ROW('General Info'!$D$49), ""), IF('General Info'!$D$49="Yes","Please check if appropriate", "Can be left blank for banks without IMA"))</f>
        <v>Can be left blank for banks without IMA</v>
      </c>
      <c r="W120" s="315"/>
    </row>
    <row r="121" spans="1:23" ht="15" customHeight="1" x14ac:dyDescent="0.35">
      <c r="A121" s="263"/>
      <c r="B121" s="165" t="s">
        <v>1177</v>
      </c>
      <c r="C121" s="161"/>
      <c r="D121" s="161"/>
      <c r="E121" s="161"/>
      <c r="F121" s="161"/>
      <c r="G121" s="175"/>
      <c r="H121" s="169"/>
      <c r="I121" s="227"/>
      <c r="J121" s="962" t="str">
        <f>IF(G121&lt;&gt;"", IF('General Info'!$D$49="No", "Check the flag in 'General Info'!D" &amp; ROW('General Info'!$D$49), ""), IF('General Info'!$D$49="Yes","Please check if appropriate", "Can be left blank for banks without IMA"))</f>
        <v>Can be left blank for banks without IMA</v>
      </c>
      <c r="K121" s="988"/>
      <c r="L121" s="169"/>
      <c r="M121" s="227"/>
      <c r="N121" s="962" t="str">
        <f>IF(K121&lt;&gt;"", IF('General Info'!$D$49="No", "Check the flag in 'General Info'!D" &amp; ROW('General Info'!$D$49), ""), IF('General Info'!$D$49="Yes","Please check if appropriate", "Can be left blank for banks without IMA"))</f>
        <v>Can be left blank for banks without IMA</v>
      </c>
      <c r="O121" s="988"/>
      <c r="P121" s="169"/>
      <c r="Q121" s="227"/>
      <c r="R121" s="962" t="str">
        <f>IF(O121&lt;&gt;"", IF('General Info'!$D$49="No", "Check the flag in 'General Info'!D" &amp; ROW('General Info'!$D$49), ""), IF('General Info'!$D$49="Yes","Please check if appropriate", "Can be left blank for banks without IMA"))</f>
        <v>Can be left blank for banks without IMA</v>
      </c>
      <c r="S121" s="988"/>
      <c r="T121" s="169"/>
      <c r="U121" s="227"/>
      <c r="V121" s="962" t="str">
        <f>IF(S121&lt;&gt;"", IF('General Info'!$D$49="No", "Check the flag in 'General Info'!D" &amp; ROW('General Info'!$D$49), ""), IF('General Info'!$D$49="Yes","Please check if appropriate", "Can be left blank for banks without IMA"))</f>
        <v>Can be left blank for banks without IMA</v>
      </c>
      <c r="W121" s="315"/>
    </row>
    <row r="122" spans="1:23" ht="15" customHeight="1" x14ac:dyDescent="0.35">
      <c r="A122" s="263"/>
      <c r="B122" s="165" t="s">
        <v>1178</v>
      </c>
      <c r="C122" s="161"/>
      <c r="D122" s="161"/>
      <c r="E122" s="161"/>
      <c r="F122" s="161"/>
      <c r="G122" s="175"/>
      <c r="H122" s="169"/>
      <c r="I122" s="227"/>
      <c r="J122" s="962" t="str">
        <f>IF(G122&lt;&gt;"", IF('General Info'!$D$49="No", "Check the flag in 'General Info'!D" &amp; ROW('General Info'!$D$49), ""), IF('General Info'!$D$49="Yes","Please check if appropriate", "Can be left blank for banks without IMA"))</f>
        <v>Can be left blank for banks without IMA</v>
      </c>
      <c r="K122" s="988"/>
      <c r="L122" s="169"/>
      <c r="M122" s="227"/>
      <c r="N122" s="962" t="str">
        <f>IF(K122&lt;&gt;"", IF('General Info'!$D$49="No", "Check the flag in 'General Info'!D" &amp; ROW('General Info'!$D$49), ""), IF('General Info'!$D$49="Yes","Please check if appropriate", "Can be left blank for banks without IMA"))</f>
        <v>Can be left blank for banks without IMA</v>
      </c>
      <c r="O122" s="988"/>
      <c r="P122" s="169"/>
      <c r="Q122" s="227"/>
      <c r="R122" s="962" t="str">
        <f>IF(O122&lt;&gt;"", IF('General Info'!$D$49="No", "Check the flag in 'General Info'!D" &amp; ROW('General Info'!$D$49), ""), IF('General Info'!$D$49="Yes","Please check if appropriate", "Can be left blank for banks without IMA"))</f>
        <v>Can be left blank for banks without IMA</v>
      </c>
      <c r="S122" s="988"/>
      <c r="T122" s="169"/>
      <c r="U122" s="227"/>
      <c r="V122" s="962" t="str">
        <f>IF(S122&lt;&gt;"", IF('General Info'!$D$49="No", "Check the flag in 'General Info'!D" &amp; ROW('General Info'!$D$49), ""), IF('General Info'!$D$49="Yes","Please check if appropriate", "Can be left blank for banks without IMA"))</f>
        <v>Can be left blank for banks without IMA</v>
      </c>
      <c r="W122" s="315"/>
    </row>
    <row r="123" spans="1:23" ht="15" customHeight="1" x14ac:dyDescent="0.35">
      <c r="A123" s="263"/>
      <c r="B123" s="270" t="s">
        <v>1179</v>
      </c>
      <c r="C123" s="167"/>
      <c r="D123" s="167"/>
      <c r="E123" s="167"/>
      <c r="F123" s="167"/>
      <c r="G123" s="1170"/>
      <c r="H123" s="689"/>
      <c r="I123" s="689"/>
      <c r="J123" s="962" t="str">
        <f>IF(G123&lt;&gt;"", IF('General Info'!$D$49="No", "Check the flag in 'General Info'!D" &amp; ROW('General Info'!$D$49), ""), IF('General Info'!$D$49="Yes","Please check if appropriate", "Can be left blank for banks without IMA"))</f>
        <v>Can be left blank for banks without IMA</v>
      </c>
      <c r="K123" s="989"/>
      <c r="L123" s="689"/>
      <c r="M123" s="689"/>
      <c r="N123" s="962" t="str">
        <f>IF(K123&lt;&gt;"", IF('General Info'!$D$49="No", "Check the flag in 'General Info'!D" &amp; ROW('General Info'!$D$49), ""), IF('General Info'!$D$49="Yes","Please check if appropriate", "Can be left blank for banks without IMA"))</f>
        <v>Can be left blank for banks without IMA</v>
      </c>
      <c r="O123" s="989"/>
      <c r="P123" s="689"/>
      <c r="Q123" s="689"/>
      <c r="R123" s="962" t="str">
        <f>IF(O123&lt;&gt;"", IF('General Info'!$D$49="No", "Check the flag in 'General Info'!D" &amp; ROW('General Info'!$D$49), ""), IF('General Info'!$D$49="Yes","Please check if appropriate", "Can be left blank for banks without IMA"))</f>
        <v>Can be left blank for banks without IMA</v>
      </c>
      <c r="S123" s="989"/>
      <c r="T123" s="689"/>
      <c r="U123" s="689"/>
      <c r="V123" s="962" t="str">
        <f>IF(S123&lt;&gt;"", IF('General Info'!$D$49="No", "Check the flag in 'General Info'!D" &amp; ROW('General Info'!$D$49), ""), IF('General Info'!$D$49="Yes","Please check if appropriate", "Can be left blank for banks without IMA"))</f>
        <v>Can be left blank for banks without IMA</v>
      </c>
      <c r="W123" s="315"/>
    </row>
    <row r="124" spans="1:23" ht="15" customHeight="1" x14ac:dyDescent="0.35">
      <c r="A124" s="263"/>
      <c r="B124" s="3029" t="s">
        <v>1180</v>
      </c>
      <c r="C124" s="3030"/>
      <c r="D124" s="3030"/>
      <c r="E124" s="3030"/>
      <c r="F124" s="3031"/>
      <c r="G124" s="1177"/>
      <c r="H124" s="240"/>
      <c r="I124" s="240"/>
      <c r="J124" s="227"/>
      <c r="K124" s="988"/>
      <c r="L124" s="240"/>
      <c r="M124" s="240"/>
      <c r="N124" s="962" t="str">
        <f>IF(K124&lt;&gt;"", IF('General Info'!$D$49="No", "Check the flag in 'General Info'!D" &amp; ROW('General Info'!$D$49), ""), IF('General Info'!$D$49="Yes","Please check if appropriate", "Can be left blank for banks without IMA"))</f>
        <v>Can be left blank for banks without IMA</v>
      </c>
      <c r="O124" s="988"/>
      <c r="P124" s="240"/>
      <c r="Q124" s="240"/>
      <c r="R124" s="962" t="str">
        <f>IF(O124&lt;&gt;"", IF('General Info'!$D$49="No", "Check the flag in 'General Info'!D" &amp; ROW('General Info'!$D$49), ""), IF('General Info'!$D$49="Yes","Please check if appropriate", "Can be left blank for banks without IMA"))</f>
        <v>Can be left blank for banks without IMA</v>
      </c>
      <c r="S124" s="988"/>
      <c r="T124" s="240"/>
      <c r="U124" s="240"/>
      <c r="V124" s="962" t="str">
        <f>IF(S124&lt;&gt;"", IF('General Info'!$D$49="No", "Check the flag in 'General Info'!D" &amp; ROW('General Info'!$D$49), ""), IF('General Info'!$D$49="Yes","Please check if appropriate", "Can be left blank for banks without IMA"))</f>
        <v>Can be left blank for banks without IMA</v>
      </c>
      <c r="W124" s="315"/>
    </row>
    <row r="125" spans="1:23" ht="15" customHeight="1" x14ac:dyDescent="0.35">
      <c r="A125" s="263"/>
      <c r="B125" s="3029" t="s">
        <v>1181</v>
      </c>
      <c r="C125" s="3030"/>
      <c r="D125" s="3030"/>
      <c r="E125" s="3030"/>
      <c r="F125" s="3031"/>
      <c r="G125" s="97" t="str">
        <f>IF(ISNUMBER($G11), $G11, "")</f>
        <v/>
      </c>
      <c r="H125" s="240"/>
      <c r="I125" s="240"/>
      <c r="J125" s="227"/>
      <c r="K125" s="987" t="str">
        <f>IF(ISNUMBER($G11), $G11, "")</f>
        <v/>
      </c>
      <c r="L125" s="240"/>
      <c r="M125" s="240"/>
      <c r="N125" s="227"/>
      <c r="O125" s="987" t="str">
        <f>IF(ISNUMBER($G11), $G11, "")</f>
        <v/>
      </c>
      <c r="P125" s="240"/>
      <c r="Q125" s="240"/>
      <c r="R125" s="227"/>
      <c r="S125" s="987" t="str">
        <f>IF(ISNUMBER($G11), $G11, "")</f>
        <v/>
      </c>
      <c r="T125" s="240"/>
      <c r="U125" s="240"/>
      <c r="V125" s="227"/>
      <c r="W125" s="315"/>
    </row>
    <row r="126" spans="1:23" ht="15" customHeight="1" x14ac:dyDescent="0.35">
      <c r="A126" s="263"/>
      <c r="B126" s="3029" t="s">
        <v>1182</v>
      </c>
      <c r="C126" s="3030"/>
      <c r="D126" s="3030"/>
      <c r="E126" s="3030"/>
      <c r="F126" s="3031"/>
      <c r="G126" s="1178">
        <f>IF(ISNUMBER(G132), G132, "")</f>
        <v>0</v>
      </c>
      <c r="H126" s="986"/>
      <c r="I126" s="986"/>
      <c r="J126" s="971"/>
      <c r="K126" s="994">
        <f>IF(ISNUMBER(K132), K132, "")</f>
        <v>0</v>
      </c>
      <c r="L126" s="986"/>
      <c r="M126" s="986"/>
      <c r="N126" s="971"/>
      <c r="O126" s="994">
        <f>IF(ISNUMBER(O132), O132, "")</f>
        <v>0</v>
      </c>
      <c r="P126" s="986"/>
      <c r="Q126" s="986"/>
      <c r="R126" s="971"/>
      <c r="S126" s="994">
        <f>IF(ISNUMBER(S132), S132, "")</f>
        <v>0</v>
      </c>
      <c r="T126" s="986"/>
      <c r="U126" s="986"/>
      <c r="V126" s="971"/>
      <c r="W126" s="315"/>
    </row>
    <row r="127" spans="1:23" ht="15" customHeight="1" x14ac:dyDescent="0.35">
      <c r="A127" s="263"/>
      <c r="B127" s="683" t="s">
        <v>1134</v>
      </c>
      <c r="C127" s="752"/>
      <c r="D127" s="752"/>
      <c r="E127" s="752"/>
      <c r="F127" s="752"/>
      <c r="G127" s="1171" t="str">
        <f>IF(AND(ISNUMBER(G60),ISNUMBER(G87),ISNUMBER(G125),ISNUMBER(G126)), MIN(G125, G87+G60)+MAX(0, G87-G126),"")</f>
        <v/>
      </c>
      <c r="H127" s="970"/>
      <c r="I127" s="970"/>
      <c r="J127" s="968"/>
      <c r="K127" s="1169" t="str">
        <f>IF(AND(ISNUMBER(K60), ISNUMBER(K87), ISNUMBER(K124), ISNUMBER(K125), ISNUMBER(K126)), MIN(K125, K87+K124+K60)+MAX(0, K87-K126), "")</f>
        <v/>
      </c>
      <c r="L127" s="970"/>
      <c r="M127" s="970"/>
      <c r="N127" s="968"/>
      <c r="O127" s="1169" t="str">
        <f>IF(AND(ISNUMBER(O60), ISNUMBER(O87), ISNUMBER(O125), ISNUMBER(O126)), MIN(O125, O87+O60)+MAX(0, O87-O126), "")</f>
        <v/>
      </c>
      <c r="P127" s="970"/>
      <c r="Q127" s="970"/>
      <c r="R127" s="968"/>
      <c r="S127" s="1169" t="str">
        <f>IF(AND(ISNUMBER(S60), ISNUMBER(S87), ISNUMBER(S124), ISNUMBER(S125), ISNUMBER(S126)), MIN(S125, S87+S124+S60)+MAX(0, S87-S126), "")</f>
        <v/>
      </c>
      <c r="T127" s="970"/>
      <c r="U127" s="970"/>
      <c r="V127" s="968"/>
      <c r="W127" s="315"/>
    </row>
    <row r="128" spans="1:23" ht="105" customHeight="1" x14ac:dyDescent="0.35">
      <c r="A128" s="2577" t="s">
        <v>1183</v>
      </c>
      <c r="B128" s="2578"/>
      <c r="C128" s="2578"/>
      <c r="D128" s="2578"/>
      <c r="E128" s="2578"/>
      <c r="F128" s="2578"/>
      <c r="G128" s="2578"/>
      <c r="H128" s="2578"/>
      <c r="I128" s="2578"/>
      <c r="J128" s="2578"/>
      <c r="K128" s="137"/>
      <c r="L128" s="204"/>
      <c r="M128" s="137"/>
      <c r="N128" s="137"/>
      <c r="O128" s="137"/>
      <c r="P128" s="204"/>
      <c r="Q128" s="137"/>
      <c r="R128" s="137"/>
      <c r="S128" s="137"/>
      <c r="T128" s="204"/>
      <c r="U128" s="137"/>
      <c r="V128" s="137"/>
      <c r="W128" s="677"/>
    </row>
    <row r="129" spans="1:23" ht="15" customHeight="1" x14ac:dyDescent="0.35">
      <c r="A129" s="280"/>
      <c r="B129" s="3032"/>
      <c r="C129" s="3032"/>
      <c r="D129" s="3032"/>
      <c r="E129" s="3032"/>
      <c r="F129" s="3032"/>
      <c r="G129" s="3003" t="s">
        <v>1136</v>
      </c>
      <c r="H129" s="3003"/>
      <c r="I129" s="3003"/>
      <c r="J129" s="3004"/>
      <c r="K129" s="3003" t="s">
        <v>1137</v>
      </c>
      <c r="L129" s="3003"/>
      <c r="M129" s="3003"/>
      <c r="N129" s="3003"/>
      <c r="O129" s="3002" t="s">
        <v>1138</v>
      </c>
      <c r="P129" s="3003"/>
      <c r="Q129" s="3003"/>
      <c r="R129" s="3004"/>
      <c r="S129" s="3002" t="s">
        <v>1139</v>
      </c>
      <c r="T129" s="3003"/>
      <c r="U129" s="3003"/>
      <c r="V129" s="3004"/>
      <c r="W129" s="677"/>
    </row>
    <row r="130" spans="1:23" ht="15" customHeight="1" x14ac:dyDescent="0.35">
      <c r="A130" s="263"/>
      <c r="B130" s="3033"/>
      <c r="C130" s="3033"/>
      <c r="D130" s="3033"/>
      <c r="E130" s="3033"/>
      <c r="F130" s="3033"/>
      <c r="G130" s="526" t="s">
        <v>1039</v>
      </c>
      <c r="H130" s="970"/>
      <c r="I130" s="970"/>
      <c r="J130" s="1173"/>
      <c r="K130" s="526" t="s">
        <v>1039</v>
      </c>
      <c r="L130" s="970"/>
      <c r="M130" s="970"/>
      <c r="N130" s="968"/>
      <c r="O130" s="526" t="s">
        <v>1039</v>
      </c>
      <c r="P130" s="970"/>
      <c r="Q130" s="970"/>
      <c r="R130" s="968"/>
      <c r="S130" s="526" t="s">
        <v>1039</v>
      </c>
      <c r="T130" s="970"/>
      <c r="U130" s="970"/>
      <c r="V130" s="968"/>
      <c r="W130" s="315"/>
    </row>
    <row r="131" spans="1:23" ht="15" customHeight="1" x14ac:dyDescent="0.35">
      <c r="A131" s="263"/>
      <c r="B131" s="160" t="s">
        <v>1184</v>
      </c>
      <c r="C131" s="188"/>
      <c r="D131" s="188"/>
      <c r="E131" s="188"/>
      <c r="F131" s="188"/>
      <c r="G131" s="726">
        <f>IF(ISNUMBER(G87), G87, "")</f>
        <v>0</v>
      </c>
      <c r="H131" s="227"/>
      <c r="I131" s="227"/>
      <c r="J131" s="1175"/>
      <c r="K131" s="726">
        <f>IF(ISNUMBER(K87), K87, "")</f>
        <v>0</v>
      </c>
      <c r="L131" s="227"/>
      <c r="M131" s="227"/>
      <c r="N131" s="679"/>
      <c r="O131" s="726">
        <f>IF(ISNUMBER(O87), O87, "")</f>
        <v>0</v>
      </c>
      <c r="P131" s="227"/>
      <c r="Q131" s="227"/>
      <c r="R131" s="679"/>
      <c r="S131" s="726">
        <f>IF(ISNUMBER(S87), S87, "")</f>
        <v>0</v>
      </c>
      <c r="T131" s="227"/>
      <c r="U131" s="227"/>
      <c r="V131" s="679"/>
      <c r="W131" s="315"/>
    </row>
    <row r="132" spans="1:23" ht="15" customHeight="1" x14ac:dyDescent="0.35">
      <c r="A132" s="263"/>
      <c r="B132" s="100" t="s">
        <v>1185</v>
      </c>
      <c r="C132" s="161"/>
      <c r="D132" s="161"/>
      <c r="E132" s="161"/>
      <c r="F132" s="161"/>
      <c r="G132" s="97">
        <f>IF('General Info'!$D$49="Yes", IF(AND(ISNUMBER(G133), ISNUMBER(G152), ISNUMBER(G153)), SUM(G133,G152,G153), ""), 0)</f>
        <v>0</v>
      </c>
      <c r="H132" s="227"/>
      <c r="I132" s="227"/>
      <c r="J132" s="993"/>
      <c r="K132" s="97">
        <f>IF('General Info'!$D$49="Yes", IF(AND(ISNUMBER(K133), ISNUMBER(K152), ISNUMBER(K153)), SUM(K133,K152,K153), ""), 0)</f>
        <v>0</v>
      </c>
      <c r="L132" s="227"/>
      <c r="M132" s="227"/>
      <c r="N132" s="227"/>
      <c r="O132" s="97">
        <f>IF('General Info'!$D$49="Yes", IF(AND(ISNUMBER(O133), ISNUMBER(O152), ISNUMBER(O153)), SUM(O133,O152,O153), ""), 0)</f>
        <v>0</v>
      </c>
      <c r="P132" s="227"/>
      <c r="Q132" s="227"/>
      <c r="R132" s="227"/>
      <c r="S132" s="97">
        <f>IF('General Info'!$D$49="Yes", IF(AND(ISNUMBER(S133), ISNUMBER(S152), ISNUMBER(S153)), SUM(S133,S152,S153), ""), 0)</f>
        <v>0</v>
      </c>
      <c r="T132" s="227"/>
      <c r="U132" s="227"/>
      <c r="V132" s="227"/>
      <c r="W132" s="315"/>
    </row>
    <row r="133" spans="1:23" ht="15" customHeight="1" x14ac:dyDescent="0.35">
      <c r="A133" s="263"/>
      <c r="B133" s="164" t="s">
        <v>1186</v>
      </c>
      <c r="C133" s="161"/>
      <c r="D133" s="161"/>
      <c r="E133" s="161"/>
      <c r="F133" s="161"/>
      <c r="G133" s="97">
        <f>IF('General Info'!$D$49="Yes", IF(AND(ISNUMBER(G134), ISNUMBER(G140), ISNUMBER(G146)), SUM(G134,G140,G146), ""), 0)</f>
        <v>0</v>
      </c>
      <c r="H133" s="227"/>
      <c r="I133" s="227"/>
      <c r="J133" s="993"/>
      <c r="K133" s="97">
        <f>IF('General Info'!$D$49="Yes", IF(AND(ISNUMBER(K134), ISNUMBER(K140), ISNUMBER(K146)), SUM(K134,K140,K146), ""), 0)</f>
        <v>0</v>
      </c>
      <c r="L133" s="227"/>
      <c r="M133" s="227"/>
      <c r="N133" s="227"/>
      <c r="O133" s="97">
        <f>IF('General Info'!$D$49="Yes", IF(AND(ISNUMBER(O134), ISNUMBER(O140), ISNUMBER(O146)), SUM(O134,O140,O146), ""), 0)</f>
        <v>0</v>
      </c>
      <c r="P133" s="227"/>
      <c r="Q133" s="227"/>
      <c r="R133" s="227"/>
      <c r="S133" s="97">
        <f>IF('General Info'!$D$49="Yes", IF(AND(ISNUMBER(S134), ISNUMBER(S140), ISNUMBER(S146)), SUM(S134,S140,S146), ""), 0)</f>
        <v>0</v>
      </c>
      <c r="T133" s="227"/>
      <c r="U133" s="227"/>
      <c r="V133" s="227"/>
      <c r="W133" s="315"/>
    </row>
    <row r="134" spans="1:23" ht="15" customHeight="1" x14ac:dyDescent="0.35">
      <c r="A134" s="263"/>
      <c r="B134" s="165" t="s">
        <v>1144</v>
      </c>
      <c r="C134" s="161"/>
      <c r="D134" s="161"/>
      <c r="E134" s="161"/>
      <c r="F134" s="161"/>
      <c r="G134" s="97">
        <f>IF('General Info'!$D$49="Yes", IF(COUNT(G135:G139)=ROWS(G135:G139), SUM(G135:G139), ""), 0)</f>
        <v>0</v>
      </c>
      <c r="H134" s="227"/>
      <c r="I134" s="227"/>
      <c r="J134" s="993"/>
      <c r="K134" s="97">
        <f>IF('General Info'!$D$49="Yes", IF(COUNT(K135:K139)=ROWS(K135:K139), SUM(K135:K139), ""), 0)</f>
        <v>0</v>
      </c>
      <c r="L134" s="227"/>
      <c r="M134" s="227"/>
      <c r="N134" s="227"/>
      <c r="O134" s="97">
        <f>IF('General Info'!$D$49="Yes", IF(COUNT(O135:O139)=ROWS(O135:O139), SUM(O135:O139), ""), 0)</f>
        <v>0</v>
      </c>
      <c r="P134" s="227"/>
      <c r="Q134" s="227"/>
      <c r="R134" s="227"/>
      <c r="S134" s="97">
        <f>IF('General Info'!$D$49="Yes", IF(COUNT(S135:S139)=ROWS(S135:S139), SUM(S135:S139), ""), 0)</f>
        <v>0</v>
      </c>
      <c r="T134" s="227"/>
      <c r="U134" s="227"/>
      <c r="V134" s="227"/>
      <c r="W134" s="315"/>
    </row>
    <row r="135" spans="1:23" ht="15" customHeight="1" x14ac:dyDescent="0.35">
      <c r="A135" s="263"/>
      <c r="B135" s="170" t="s">
        <v>1145</v>
      </c>
      <c r="C135" s="161"/>
      <c r="D135" s="161"/>
      <c r="E135" s="161"/>
      <c r="F135" s="161"/>
      <c r="G135" s="175"/>
      <c r="H135" s="227"/>
      <c r="I135" s="227"/>
      <c r="J135" s="1172" t="str">
        <f>IF(G135&lt;&gt;"", IF('General Info'!$D$49="No", "Check the flag in 'General Info'!D" &amp; ROW('General Info'!$D$49), ""), IF('General Info'!$D$49="Yes","Please check if appropriate", "Can be left blank for banks without IMA"))</f>
        <v>Can be left blank for banks without IMA</v>
      </c>
      <c r="K135" s="175"/>
      <c r="L135" s="227"/>
      <c r="M135" s="227"/>
      <c r="N135" s="962" t="str">
        <f>IF(K135&lt;&gt;"", IF('General Info'!$D$49="No", "Check the flag in 'General Info'!D" &amp; ROW('General Info'!$D$49), ""), IF('General Info'!$D$49="Yes","Please check if appropriate", "Can be left blank for banks without IMA"))</f>
        <v>Can be left blank for banks without IMA</v>
      </c>
      <c r="O135" s="175"/>
      <c r="P135" s="227"/>
      <c r="Q135" s="227"/>
      <c r="R135" s="962" t="str">
        <f>IF(O135&lt;&gt;"", IF('General Info'!$D$49="No", "Check the flag in 'General Info'!D" &amp; ROW('General Info'!$D$49), ""), IF('General Info'!$D$49="Yes","Please check if appropriate", "Can be left blank for banks without IMA"))</f>
        <v>Can be left blank for banks without IMA</v>
      </c>
      <c r="S135" s="175"/>
      <c r="T135" s="227"/>
      <c r="U135" s="227"/>
      <c r="V135" s="962" t="str">
        <f>IF(S135&lt;&gt;"", IF('General Info'!$D$49="No", "Check the flag in 'General Info'!D" &amp; ROW('General Info'!$D$49), ""), IF('General Info'!$D$49="Yes","Please check if appropriate", "Can be left blank for banks without IMA"))</f>
        <v>Can be left blank for banks without IMA</v>
      </c>
      <c r="W135" s="315"/>
    </row>
    <row r="136" spans="1:23" ht="15" customHeight="1" x14ac:dyDescent="0.35">
      <c r="A136" s="263"/>
      <c r="B136" s="170" t="s">
        <v>1146</v>
      </c>
      <c r="C136" s="161"/>
      <c r="D136" s="161"/>
      <c r="E136" s="161"/>
      <c r="F136" s="161"/>
      <c r="G136" s="175"/>
      <c r="H136" s="227"/>
      <c r="I136" s="227"/>
      <c r="J136" s="1172" t="str">
        <f>IF(G136&lt;&gt;"", IF('General Info'!$D$49="No", "Check the flag in 'General Info'!D" &amp; ROW('General Info'!$D$49), ""), IF('General Info'!$D$49="Yes","Please check if appropriate", "Can be left blank for banks without IMA"))</f>
        <v>Can be left blank for banks without IMA</v>
      </c>
      <c r="K136" s="175"/>
      <c r="L136" s="227"/>
      <c r="M136" s="227"/>
      <c r="N136" s="962" t="str">
        <f>IF(K136&lt;&gt;"", IF('General Info'!$D$49="No", "Check the flag in 'General Info'!D" &amp; ROW('General Info'!$D$49), ""), IF('General Info'!$D$49="Yes","Please check if appropriate", "Can be left blank for banks without IMA"))</f>
        <v>Can be left blank for banks without IMA</v>
      </c>
      <c r="O136" s="175"/>
      <c r="P136" s="227"/>
      <c r="Q136" s="227"/>
      <c r="R136" s="962" t="str">
        <f>IF(O136&lt;&gt;"", IF('General Info'!$D$49="No", "Check the flag in 'General Info'!D" &amp; ROW('General Info'!$D$49), ""), IF('General Info'!$D$49="Yes","Please check if appropriate", "Can be left blank for banks without IMA"))</f>
        <v>Can be left blank for banks without IMA</v>
      </c>
      <c r="S136" s="175"/>
      <c r="T136" s="227"/>
      <c r="U136" s="227"/>
      <c r="V136" s="962" t="str">
        <f>IF(S136&lt;&gt;"", IF('General Info'!$D$49="No", "Check the flag in 'General Info'!D" &amp; ROW('General Info'!$D$49), ""), IF('General Info'!$D$49="Yes","Please check if appropriate", "Can be left blank for banks without IMA"))</f>
        <v>Can be left blank for banks without IMA</v>
      </c>
      <c r="W136" s="315"/>
    </row>
    <row r="137" spans="1:23" ht="15" customHeight="1" x14ac:dyDescent="0.35">
      <c r="A137" s="263"/>
      <c r="B137" s="170" t="s">
        <v>1147</v>
      </c>
      <c r="C137" s="161"/>
      <c r="D137" s="161"/>
      <c r="E137" s="161"/>
      <c r="F137" s="161"/>
      <c r="G137" s="175"/>
      <c r="H137" s="227"/>
      <c r="I137" s="227"/>
      <c r="J137" s="1172" t="str">
        <f>IF(G137&lt;&gt;"", IF('General Info'!$D$49="No", "Check the flag in 'General Info'!D" &amp; ROW('General Info'!$D$49), ""), IF('General Info'!$D$49="Yes","Please check if appropriate", "Can be left blank for banks without IMA"))</f>
        <v>Can be left blank for banks without IMA</v>
      </c>
      <c r="K137" s="175"/>
      <c r="L137" s="227"/>
      <c r="M137" s="227"/>
      <c r="N137" s="962" t="str">
        <f>IF(K137&lt;&gt;"", IF('General Info'!$D$49="No", "Check the flag in 'General Info'!D" &amp; ROW('General Info'!$D$49), ""), IF('General Info'!$D$49="Yes","Please check if appropriate", "Can be left blank for banks without IMA"))</f>
        <v>Can be left blank for banks without IMA</v>
      </c>
      <c r="O137" s="175"/>
      <c r="P137" s="227"/>
      <c r="Q137" s="227"/>
      <c r="R137" s="962" t="str">
        <f>IF(O137&lt;&gt;"", IF('General Info'!$D$49="No", "Check the flag in 'General Info'!D" &amp; ROW('General Info'!$D$49), ""), IF('General Info'!$D$49="Yes","Please check if appropriate", "Can be left blank for banks without IMA"))</f>
        <v>Can be left blank for banks without IMA</v>
      </c>
      <c r="S137" s="175"/>
      <c r="T137" s="227"/>
      <c r="U137" s="227"/>
      <c r="V137" s="962" t="str">
        <f>IF(S137&lt;&gt;"", IF('General Info'!$D$49="No", "Check the flag in 'General Info'!D" &amp; ROW('General Info'!$D$49), ""), IF('General Info'!$D$49="Yes","Please check if appropriate", "Can be left blank for banks without IMA"))</f>
        <v>Can be left blank for banks without IMA</v>
      </c>
      <c r="W137" s="315"/>
    </row>
    <row r="138" spans="1:23" ht="15" customHeight="1" x14ac:dyDescent="0.35">
      <c r="A138" s="263"/>
      <c r="B138" s="170" t="s">
        <v>1148</v>
      </c>
      <c r="C138" s="161"/>
      <c r="D138" s="161"/>
      <c r="E138" s="161"/>
      <c r="F138" s="161"/>
      <c r="G138" s="175"/>
      <c r="H138" s="227"/>
      <c r="I138" s="227"/>
      <c r="J138" s="1172" t="str">
        <f>IF(G138&lt;&gt;"", IF('General Info'!$D$49="No", "Check the flag in 'General Info'!D" &amp; ROW('General Info'!$D$49), ""), IF('General Info'!$D$49="Yes","Please check if appropriate", "Can be left blank for banks without IMA"))</f>
        <v>Can be left blank for banks without IMA</v>
      </c>
      <c r="K138" s="175"/>
      <c r="L138" s="227"/>
      <c r="M138" s="227"/>
      <c r="N138" s="962" t="str">
        <f>IF(K138&lt;&gt;"", IF('General Info'!$D$49="No", "Check the flag in 'General Info'!D" &amp; ROW('General Info'!$D$49), ""), IF('General Info'!$D$49="Yes","Please check if appropriate", "Can be left blank for banks without IMA"))</f>
        <v>Can be left blank for banks without IMA</v>
      </c>
      <c r="O138" s="175"/>
      <c r="P138" s="227"/>
      <c r="Q138" s="227"/>
      <c r="R138" s="962" t="str">
        <f>IF(O138&lt;&gt;"", IF('General Info'!$D$49="No", "Check the flag in 'General Info'!D" &amp; ROW('General Info'!$D$49), ""), IF('General Info'!$D$49="Yes","Please check if appropriate", "Can be left blank for banks without IMA"))</f>
        <v>Can be left blank for banks without IMA</v>
      </c>
      <c r="S138" s="175"/>
      <c r="T138" s="227"/>
      <c r="U138" s="227"/>
      <c r="V138" s="962" t="str">
        <f>IF(S138&lt;&gt;"", IF('General Info'!$D$49="No", "Check the flag in 'General Info'!D" &amp; ROW('General Info'!$D$49), ""), IF('General Info'!$D$49="Yes","Please check if appropriate", "Can be left blank for banks without IMA"))</f>
        <v>Can be left blank for banks without IMA</v>
      </c>
      <c r="W138" s="315"/>
    </row>
    <row r="139" spans="1:23" ht="15" customHeight="1" x14ac:dyDescent="0.35">
      <c r="A139" s="263"/>
      <c r="B139" s="170" t="s">
        <v>1149</v>
      </c>
      <c r="C139" s="161"/>
      <c r="D139" s="161"/>
      <c r="E139" s="161"/>
      <c r="F139" s="161"/>
      <c r="G139" s="175"/>
      <c r="H139" s="227"/>
      <c r="I139" s="227"/>
      <c r="J139" s="1172" t="str">
        <f>IF(G139&lt;&gt;"", IF('General Info'!$D$49="No", "Check the flag in 'General Info'!D" &amp; ROW('General Info'!$D$49), ""), IF('General Info'!$D$49="Yes","Please check if appropriate", "Can be left blank for banks without IMA"))</f>
        <v>Can be left blank for banks without IMA</v>
      </c>
      <c r="K139" s="175"/>
      <c r="L139" s="227"/>
      <c r="M139" s="227"/>
      <c r="N139" s="962" t="str">
        <f>IF(K139&lt;&gt;"", IF('General Info'!$D$49="No", "Check the flag in 'General Info'!D" &amp; ROW('General Info'!$D$49), ""), IF('General Info'!$D$49="Yes","Please check if appropriate", "Can be left blank for banks without IMA"))</f>
        <v>Can be left blank for banks without IMA</v>
      </c>
      <c r="O139" s="175"/>
      <c r="P139" s="227"/>
      <c r="Q139" s="227"/>
      <c r="R139" s="962" t="str">
        <f>IF(O139&lt;&gt;"", IF('General Info'!$D$49="No", "Check the flag in 'General Info'!D" &amp; ROW('General Info'!$D$49), ""), IF('General Info'!$D$49="Yes","Please check if appropriate", "Can be left blank for banks without IMA"))</f>
        <v>Can be left blank for banks without IMA</v>
      </c>
      <c r="S139" s="175"/>
      <c r="T139" s="227"/>
      <c r="U139" s="227"/>
      <c r="V139" s="962" t="str">
        <f>IF(S139&lt;&gt;"", IF('General Info'!$D$49="No", "Check the flag in 'General Info'!D" &amp; ROW('General Info'!$D$49), ""), IF('General Info'!$D$49="Yes","Please check if appropriate", "Can be left blank for banks without IMA"))</f>
        <v>Can be left blank for banks without IMA</v>
      </c>
      <c r="W139" s="315"/>
    </row>
    <row r="140" spans="1:23" ht="15" customHeight="1" x14ac:dyDescent="0.35">
      <c r="A140" s="263"/>
      <c r="B140" s="165" t="s">
        <v>1150</v>
      </c>
      <c r="C140" s="161"/>
      <c r="D140" s="161"/>
      <c r="E140" s="161"/>
      <c r="F140" s="161"/>
      <c r="G140" s="97">
        <f>IF('General Info'!$D$49="Yes", IF(COUNT(G141:G145)=ROWS(G141:G145), SUM(G141:G145), ""), 0)</f>
        <v>0</v>
      </c>
      <c r="H140" s="227"/>
      <c r="I140" s="227"/>
      <c r="J140" s="993"/>
      <c r="K140" s="97">
        <f>IF('General Info'!$D$49="Yes", IF(COUNT(K141:K145)=ROWS(K141:K145), SUM(K141:K145), ""), 0)</f>
        <v>0</v>
      </c>
      <c r="L140" s="227"/>
      <c r="M140" s="227"/>
      <c r="N140" s="227"/>
      <c r="O140" s="97">
        <f>IF('General Info'!$D$49="Yes", IF(COUNT(O141:O145)=ROWS(O141:O145), SUM(O141:O145), ""), 0)</f>
        <v>0</v>
      </c>
      <c r="P140" s="227"/>
      <c r="Q140" s="227"/>
      <c r="R140" s="227"/>
      <c r="S140" s="97">
        <f>IF('General Info'!$D$49="Yes", IF(COUNT(S141:S145)=ROWS(S141:S145), SUM(S141:S145), ""), 0)</f>
        <v>0</v>
      </c>
      <c r="T140" s="227"/>
      <c r="U140" s="227"/>
      <c r="V140" s="227"/>
      <c r="W140" s="315"/>
    </row>
    <row r="141" spans="1:23" ht="15" customHeight="1" x14ac:dyDescent="0.35">
      <c r="A141" s="263"/>
      <c r="B141" s="170" t="s">
        <v>1145</v>
      </c>
      <c r="C141" s="161"/>
      <c r="D141" s="161"/>
      <c r="E141" s="161"/>
      <c r="F141" s="161"/>
      <c r="G141" s="175"/>
      <c r="H141" s="227"/>
      <c r="I141" s="227"/>
      <c r="J141" s="1172" t="str">
        <f>IF(G141&lt;&gt;"", IF('General Info'!$D$49="No", "Check the flag in 'General Info'!D" &amp; ROW('General Info'!$D$49), ""), IF('General Info'!$D$49="Yes","Please check if appropriate", "Can be left blank for banks without IMA"))</f>
        <v>Can be left blank for banks without IMA</v>
      </c>
      <c r="K141" s="175"/>
      <c r="L141" s="227"/>
      <c r="M141" s="227"/>
      <c r="N141" s="962" t="str">
        <f>IF(K141&lt;&gt;"", IF('General Info'!$D$49="No", "Check the flag in 'General Info'!D" &amp; ROW('General Info'!$D$49), ""), IF('General Info'!$D$49="Yes","Please check if appropriate", "Can be left blank for banks without IMA"))</f>
        <v>Can be left blank for banks without IMA</v>
      </c>
      <c r="O141" s="175"/>
      <c r="P141" s="227"/>
      <c r="Q141" s="227"/>
      <c r="R141" s="962" t="str">
        <f>IF(O141&lt;&gt;"", IF('General Info'!$D$49="No", "Check the flag in 'General Info'!D" &amp; ROW('General Info'!$D$49), ""), IF('General Info'!$D$49="Yes","Please check if appropriate", "Can be left blank for banks without IMA"))</f>
        <v>Can be left blank for banks without IMA</v>
      </c>
      <c r="S141" s="175"/>
      <c r="T141" s="227"/>
      <c r="U141" s="227"/>
      <c r="V141" s="962" t="str">
        <f>IF(S141&lt;&gt;"", IF('General Info'!$D$49="No", "Check the flag in 'General Info'!D" &amp; ROW('General Info'!$D$49), ""), IF('General Info'!$D$49="Yes","Please check if appropriate", "Can be left blank for banks without IMA"))</f>
        <v>Can be left blank for banks without IMA</v>
      </c>
      <c r="W141" s="315"/>
    </row>
    <row r="142" spans="1:23" ht="15" customHeight="1" x14ac:dyDescent="0.35">
      <c r="A142" s="263"/>
      <c r="B142" s="170" t="s">
        <v>1146</v>
      </c>
      <c r="C142" s="161"/>
      <c r="D142" s="161"/>
      <c r="E142" s="161"/>
      <c r="F142" s="161"/>
      <c r="G142" s="175"/>
      <c r="H142" s="227"/>
      <c r="I142" s="227"/>
      <c r="J142" s="1172" t="str">
        <f>IF(G142&lt;&gt;"", IF('General Info'!$D$49="No", "Check the flag in 'General Info'!D" &amp; ROW('General Info'!$D$49), ""), IF('General Info'!$D$49="Yes","Please check if appropriate", "Can be left blank for banks without IMA"))</f>
        <v>Can be left blank for banks without IMA</v>
      </c>
      <c r="K142" s="175"/>
      <c r="L142" s="227"/>
      <c r="M142" s="227"/>
      <c r="N142" s="962" t="str">
        <f>IF(K142&lt;&gt;"", IF('General Info'!$D$49="No", "Check the flag in 'General Info'!D" &amp; ROW('General Info'!$D$49), ""), IF('General Info'!$D$49="Yes","Please check if appropriate", "Can be left blank for banks without IMA"))</f>
        <v>Can be left blank for banks without IMA</v>
      </c>
      <c r="O142" s="175"/>
      <c r="P142" s="227"/>
      <c r="Q142" s="227"/>
      <c r="R142" s="962" t="str">
        <f>IF(O142&lt;&gt;"", IF('General Info'!$D$49="No", "Check the flag in 'General Info'!D" &amp; ROW('General Info'!$D$49), ""), IF('General Info'!$D$49="Yes","Please check if appropriate", "Can be left blank for banks without IMA"))</f>
        <v>Can be left blank for banks without IMA</v>
      </c>
      <c r="S142" s="175"/>
      <c r="T142" s="227"/>
      <c r="U142" s="227"/>
      <c r="V142" s="962" t="str">
        <f>IF(S142&lt;&gt;"", IF('General Info'!$D$49="No", "Check the flag in 'General Info'!D" &amp; ROW('General Info'!$D$49), ""), IF('General Info'!$D$49="Yes","Please check if appropriate", "Can be left blank for banks without IMA"))</f>
        <v>Can be left blank for banks without IMA</v>
      </c>
      <c r="W142" s="315"/>
    </row>
    <row r="143" spans="1:23" ht="15" customHeight="1" x14ac:dyDescent="0.35">
      <c r="A143" s="263"/>
      <c r="B143" s="170" t="s">
        <v>1147</v>
      </c>
      <c r="C143" s="161"/>
      <c r="D143" s="161"/>
      <c r="E143" s="161"/>
      <c r="F143" s="161"/>
      <c r="G143" s="175"/>
      <c r="H143" s="227"/>
      <c r="I143" s="227"/>
      <c r="J143" s="1172" t="str">
        <f>IF(G143&lt;&gt;"", IF('General Info'!$D$49="No", "Check the flag in 'General Info'!D" &amp; ROW('General Info'!$D$49), ""), IF('General Info'!$D$49="Yes","Please check if appropriate", "Can be left blank for banks without IMA"))</f>
        <v>Can be left blank for banks without IMA</v>
      </c>
      <c r="K143" s="175"/>
      <c r="L143" s="227"/>
      <c r="M143" s="227"/>
      <c r="N143" s="962" t="str">
        <f>IF(K143&lt;&gt;"", IF('General Info'!$D$49="No", "Check the flag in 'General Info'!D" &amp; ROW('General Info'!$D$49), ""), IF('General Info'!$D$49="Yes","Please check if appropriate", "Can be left blank for banks without IMA"))</f>
        <v>Can be left blank for banks without IMA</v>
      </c>
      <c r="O143" s="175"/>
      <c r="P143" s="227"/>
      <c r="Q143" s="227"/>
      <c r="R143" s="962" t="str">
        <f>IF(O143&lt;&gt;"", IF('General Info'!$D$49="No", "Check the flag in 'General Info'!D" &amp; ROW('General Info'!$D$49), ""), IF('General Info'!$D$49="Yes","Please check if appropriate", "Can be left blank for banks without IMA"))</f>
        <v>Can be left blank for banks without IMA</v>
      </c>
      <c r="S143" s="175"/>
      <c r="T143" s="227"/>
      <c r="U143" s="227"/>
      <c r="V143" s="962" t="str">
        <f>IF(S143&lt;&gt;"", IF('General Info'!$D$49="No", "Check the flag in 'General Info'!D" &amp; ROW('General Info'!$D$49), ""), IF('General Info'!$D$49="Yes","Please check if appropriate", "Can be left blank for banks without IMA"))</f>
        <v>Can be left blank for banks without IMA</v>
      </c>
      <c r="W143" s="315"/>
    </row>
    <row r="144" spans="1:23" ht="15" customHeight="1" x14ac:dyDescent="0.35">
      <c r="A144" s="263"/>
      <c r="B144" s="170" t="s">
        <v>1148</v>
      </c>
      <c r="C144" s="161"/>
      <c r="D144" s="161"/>
      <c r="E144" s="161"/>
      <c r="F144" s="161"/>
      <c r="G144" s="175"/>
      <c r="H144" s="227"/>
      <c r="I144" s="227"/>
      <c r="J144" s="1172" t="str">
        <f>IF(G144&lt;&gt;"", IF('General Info'!$D$49="No", "Check the flag in 'General Info'!D" &amp; ROW('General Info'!$D$49), ""), IF('General Info'!$D$49="Yes","Please check if appropriate", "Can be left blank for banks without IMA"))</f>
        <v>Can be left blank for banks without IMA</v>
      </c>
      <c r="K144" s="175"/>
      <c r="L144" s="227"/>
      <c r="M144" s="227"/>
      <c r="N144" s="962" t="str">
        <f>IF(K144&lt;&gt;"", IF('General Info'!$D$49="No", "Check the flag in 'General Info'!D" &amp; ROW('General Info'!$D$49), ""), IF('General Info'!$D$49="Yes","Please check if appropriate", "Can be left blank for banks without IMA"))</f>
        <v>Can be left blank for banks without IMA</v>
      </c>
      <c r="O144" s="175"/>
      <c r="P144" s="227"/>
      <c r="Q144" s="227"/>
      <c r="R144" s="962" t="str">
        <f>IF(O144&lt;&gt;"", IF('General Info'!$D$49="No", "Check the flag in 'General Info'!D" &amp; ROW('General Info'!$D$49), ""), IF('General Info'!$D$49="Yes","Please check if appropriate", "Can be left blank for banks without IMA"))</f>
        <v>Can be left blank for banks without IMA</v>
      </c>
      <c r="S144" s="175"/>
      <c r="T144" s="227"/>
      <c r="U144" s="227"/>
      <c r="V144" s="962" t="str">
        <f>IF(S144&lt;&gt;"", IF('General Info'!$D$49="No", "Check the flag in 'General Info'!D" &amp; ROW('General Info'!$D$49), ""), IF('General Info'!$D$49="Yes","Please check if appropriate", "Can be left blank for banks without IMA"))</f>
        <v>Can be left blank for banks without IMA</v>
      </c>
      <c r="W144" s="315"/>
    </row>
    <row r="145" spans="1:23" ht="15" customHeight="1" x14ac:dyDescent="0.35">
      <c r="A145" s="263"/>
      <c r="B145" s="170" t="s">
        <v>1149</v>
      </c>
      <c r="C145" s="161"/>
      <c r="D145" s="161"/>
      <c r="E145" s="161"/>
      <c r="F145" s="161"/>
      <c r="G145" s="175"/>
      <c r="H145" s="227"/>
      <c r="I145" s="227"/>
      <c r="J145" s="1172" t="str">
        <f>IF(G145&lt;&gt;"", IF('General Info'!$D$49="No", "Check the flag in 'General Info'!D" &amp; ROW('General Info'!$D$49), ""), IF('General Info'!$D$49="Yes","Please check if appropriate", "Can be left blank for banks without IMA"))</f>
        <v>Can be left blank for banks without IMA</v>
      </c>
      <c r="K145" s="175"/>
      <c r="L145" s="227"/>
      <c r="M145" s="227"/>
      <c r="N145" s="962" t="str">
        <f>IF(K145&lt;&gt;"", IF('General Info'!$D$49="No", "Check the flag in 'General Info'!D" &amp; ROW('General Info'!$D$49), ""), IF('General Info'!$D$49="Yes","Please check if appropriate", "Can be left blank for banks without IMA"))</f>
        <v>Can be left blank for banks without IMA</v>
      </c>
      <c r="O145" s="175"/>
      <c r="P145" s="227"/>
      <c r="Q145" s="227"/>
      <c r="R145" s="962" t="str">
        <f>IF(O145&lt;&gt;"", IF('General Info'!$D$49="No", "Check the flag in 'General Info'!D" &amp; ROW('General Info'!$D$49), ""), IF('General Info'!$D$49="Yes","Please check if appropriate", "Can be left blank for banks without IMA"))</f>
        <v>Can be left blank for banks without IMA</v>
      </c>
      <c r="S145" s="175"/>
      <c r="T145" s="227"/>
      <c r="U145" s="227"/>
      <c r="V145" s="962" t="str">
        <f>IF(S145&lt;&gt;"", IF('General Info'!$D$49="No", "Check the flag in 'General Info'!D" &amp; ROW('General Info'!$D$49), ""), IF('General Info'!$D$49="Yes","Please check if appropriate", "Can be left blank for banks without IMA"))</f>
        <v>Can be left blank for banks without IMA</v>
      </c>
      <c r="W145" s="315"/>
    </row>
    <row r="146" spans="1:23" ht="15" customHeight="1" x14ac:dyDescent="0.35">
      <c r="A146" s="263"/>
      <c r="B146" s="165" t="s">
        <v>1151</v>
      </c>
      <c r="C146" s="161"/>
      <c r="D146" s="161"/>
      <c r="E146" s="161"/>
      <c r="F146" s="161"/>
      <c r="G146" s="97">
        <f>IF('General Info'!$D$49="Yes", IF(COUNT(G147:G151)=ROWS(G147:G151), SUM(G147:G151), ""), 0)</f>
        <v>0</v>
      </c>
      <c r="H146" s="227"/>
      <c r="I146" s="227"/>
      <c r="J146" s="993"/>
      <c r="K146" s="97">
        <f>IF('General Info'!$D$49="Yes", IF(COUNT(K147:K151)=ROWS(K147:K151), SUM(K147:K151), ""), 0)</f>
        <v>0</v>
      </c>
      <c r="L146" s="227"/>
      <c r="M146" s="227"/>
      <c r="N146" s="227"/>
      <c r="O146" s="97">
        <f>IF('General Info'!$D$49="Yes", IF(COUNT(O147:O151)=ROWS(O147:O151), SUM(O147:O151), ""), 0)</f>
        <v>0</v>
      </c>
      <c r="P146" s="227"/>
      <c r="Q146" s="227"/>
      <c r="R146" s="227"/>
      <c r="S146" s="97">
        <f>IF('General Info'!$D$49="Yes", IF(COUNT(S147:S151)=ROWS(S147:S151), SUM(S147:S151), ""), 0)</f>
        <v>0</v>
      </c>
      <c r="T146" s="227"/>
      <c r="U146" s="227"/>
      <c r="V146" s="227"/>
      <c r="W146" s="315"/>
    </row>
    <row r="147" spans="1:23" ht="15" customHeight="1" x14ac:dyDescent="0.35">
      <c r="A147" s="263"/>
      <c r="B147" s="170" t="s">
        <v>1145</v>
      </c>
      <c r="C147" s="161"/>
      <c r="D147" s="161"/>
      <c r="E147" s="161"/>
      <c r="F147" s="161"/>
      <c r="G147" s="175"/>
      <c r="H147" s="227"/>
      <c r="I147" s="227"/>
      <c r="J147" s="1172" t="str">
        <f>IF(G147&lt;&gt;"", IF('General Info'!$D$49="No", "Check the flag in 'General Info'!D" &amp; ROW('General Info'!$D$49), ""), IF('General Info'!$D$49="Yes","Please check if appropriate", "Can be left blank for banks without IMA"))</f>
        <v>Can be left blank for banks without IMA</v>
      </c>
      <c r="K147" s="175"/>
      <c r="L147" s="227"/>
      <c r="M147" s="227"/>
      <c r="N147" s="962" t="str">
        <f>IF(K147&lt;&gt;"", IF('General Info'!$D$49="No", "Check the flag in 'General Info'!D" &amp; ROW('General Info'!$D$49), ""), IF('General Info'!$D$49="Yes","Please check if appropriate", "Can be left blank for banks without IMA"))</f>
        <v>Can be left blank for banks without IMA</v>
      </c>
      <c r="O147" s="175"/>
      <c r="P147" s="227"/>
      <c r="Q147" s="227"/>
      <c r="R147" s="962" t="str">
        <f>IF(O147&lt;&gt;"", IF('General Info'!$D$49="No", "Check the flag in 'General Info'!D" &amp; ROW('General Info'!$D$49), ""), IF('General Info'!$D$49="Yes","Please check if appropriate", "Can be left blank for banks without IMA"))</f>
        <v>Can be left blank for banks without IMA</v>
      </c>
      <c r="S147" s="175"/>
      <c r="T147" s="227"/>
      <c r="U147" s="227"/>
      <c r="V147" s="962" t="str">
        <f>IF(S147&lt;&gt;"", IF('General Info'!$D$49="No", "Check the flag in 'General Info'!D" &amp; ROW('General Info'!$D$49), ""), IF('General Info'!$D$49="Yes","Please check if appropriate", "Can be left blank for banks without IMA"))</f>
        <v>Can be left blank for banks without IMA</v>
      </c>
      <c r="W147" s="315"/>
    </row>
    <row r="148" spans="1:23" ht="15" customHeight="1" x14ac:dyDescent="0.35">
      <c r="A148" s="263"/>
      <c r="B148" s="170" t="s">
        <v>1146</v>
      </c>
      <c r="C148" s="161"/>
      <c r="D148" s="161"/>
      <c r="E148" s="161"/>
      <c r="F148" s="161"/>
      <c r="G148" s="175"/>
      <c r="H148" s="227"/>
      <c r="I148" s="227"/>
      <c r="J148" s="1172" t="str">
        <f>IF(G148&lt;&gt;"", IF('General Info'!$D$49="No", "Check the flag in 'General Info'!D" &amp; ROW('General Info'!$D$49), ""), IF('General Info'!$D$49="Yes","Please check if appropriate", "Can be left blank for banks without IMA"))</f>
        <v>Can be left blank for banks without IMA</v>
      </c>
      <c r="K148" s="175"/>
      <c r="L148" s="227"/>
      <c r="M148" s="227"/>
      <c r="N148" s="962" t="str">
        <f>IF(K148&lt;&gt;"", IF('General Info'!$D$49="No", "Check the flag in 'General Info'!D" &amp; ROW('General Info'!$D$49), ""), IF('General Info'!$D$49="Yes","Please check if appropriate", "Can be left blank for banks without IMA"))</f>
        <v>Can be left blank for banks without IMA</v>
      </c>
      <c r="O148" s="175"/>
      <c r="P148" s="227"/>
      <c r="Q148" s="227"/>
      <c r="R148" s="962" t="str">
        <f>IF(O148&lt;&gt;"", IF('General Info'!$D$49="No", "Check the flag in 'General Info'!D" &amp; ROW('General Info'!$D$49), ""), IF('General Info'!$D$49="Yes","Please check if appropriate", "Can be left blank for banks without IMA"))</f>
        <v>Can be left blank for banks without IMA</v>
      </c>
      <c r="S148" s="175"/>
      <c r="T148" s="227"/>
      <c r="U148" s="227"/>
      <c r="V148" s="962" t="str">
        <f>IF(S148&lt;&gt;"", IF('General Info'!$D$49="No", "Check the flag in 'General Info'!D" &amp; ROW('General Info'!$D$49), ""), IF('General Info'!$D$49="Yes","Please check if appropriate", "Can be left blank for banks without IMA"))</f>
        <v>Can be left blank for banks without IMA</v>
      </c>
      <c r="W148" s="315"/>
    </row>
    <row r="149" spans="1:23" ht="15" customHeight="1" x14ac:dyDescent="0.35">
      <c r="A149" s="263"/>
      <c r="B149" s="170" t="s">
        <v>1147</v>
      </c>
      <c r="C149" s="161"/>
      <c r="D149" s="161"/>
      <c r="E149" s="161"/>
      <c r="F149" s="161"/>
      <c r="G149" s="175"/>
      <c r="H149" s="227"/>
      <c r="I149" s="227"/>
      <c r="J149" s="1172" t="str">
        <f>IF(G149&lt;&gt;"", IF('General Info'!$D$49="No", "Check the flag in 'General Info'!D" &amp; ROW('General Info'!$D$49), ""), IF('General Info'!$D$49="Yes","Please check if appropriate", "Can be left blank for banks without IMA"))</f>
        <v>Can be left blank for banks without IMA</v>
      </c>
      <c r="K149" s="175"/>
      <c r="L149" s="227"/>
      <c r="M149" s="227"/>
      <c r="N149" s="962" t="str">
        <f>IF(K149&lt;&gt;"", IF('General Info'!$D$49="No", "Check the flag in 'General Info'!D" &amp; ROW('General Info'!$D$49), ""), IF('General Info'!$D$49="Yes","Please check if appropriate", "Can be left blank for banks without IMA"))</f>
        <v>Can be left blank for banks without IMA</v>
      </c>
      <c r="O149" s="175"/>
      <c r="P149" s="227"/>
      <c r="Q149" s="227"/>
      <c r="R149" s="962" t="str">
        <f>IF(O149&lt;&gt;"", IF('General Info'!$D$49="No", "Check the flag in 'General Info'!D" &amp; ROW('General Info'!$D$49), ""), IF('General Info'!$D$49="Yes","Please check if appropriate", "Can be left blank for banks without IMA"))</f>
        <v>Can be left blank for banks without IMA</v>
      </c>
      <c r="S149" s="175"/>
      <c r="T149" s="227"/>
      <c r="U149" s="227"/>
      <c r="V149" s="962" t="str">
        <f>IF(S149&lt;&gt;"", IF('General Info'!$D$49="No", "Check the flag in 'General Info'!D" &amp; ROW('General Info'!$D$49), ""), IF('General Info'!$D$49="Yes","Please check if appropriate", "Can be left blank for banks without IMA"))</f>
        <v>Can be left blank for banks without IMA</v>
      </c>
      <c r="W149" s="315"/>
    </row>
    <row r="150" spans="1:23" ht="15" customHeight="1" x14ac:dyDescent="0.35">
      <c r="A150" s="263"/>
      <c r="B150" s="170" t="s">
        <v>1148</v>
      </c>
      <c r="C150" s="161"/>
      <c r="D150" s="161"/>
      <c r="E150" s="161"/>
      <c r="F150" s="161"/>
      <c r="G150" s="175"/>
      <c r="H150" s="227"/>
      <c r="I150" s="227"/>
      <c r="J150" s="1172" t="str">
        <f>IF(G150&lt;&gt;"", IF('General Info'!$D$49="No", "Check the flag in 'General Info'!D" &amp; ROW('General Info'!$D$49), ""), IF('General Info'!$D$49="Yes","Please check if appropriate", "Can be left blank for banks without IMA"))</f>
        <v>Can be left blank for banks without IMA</v>
      </c>
      <c r="K150" s="175"/>
      <c r="L150" s="227"/>
      <c r="M150" s="227"/>
      <c r="N150" s="962" t="str">
        <f>IF(K150&lt;&gt;"", IF('General Info'!$D$49="No", "Check the flag in 'General Info'!D" &amp; ROW('General Info'!$D$49), ""), IF('General Info'!$D$49="Yes","Please check if appropriate", "Can be left blank for banks without IMA"))</f>
        <v>Can be left blank for banks without IMA</v>
      </c>
      <c r="O150" s="175"/>
      <c r="P150" s="227"/>
      <c r="Q150" s="227"/>
      <c r="R150" s="962" t="str">
        <f>IF(O150&lt;&gt;"", IF('General Info'!$D$49="No", "Check the flag in 'General Info'!D" &amp; ROW('General Info'!$D$49), ""), IF('General Info'!$D$49="Yes","Please check if appropriate", "Can be left blank for banks without IMA"))</f>
        <v>Can be left blank for banks without IMA</v>
      </c>
      <c r="S150" s="175"/>
      <c r="T150" s="227"/>
      <c r="U150" s="227"/>
      <c r="V150" s="962" t="str">
        <f>IF(S150&lt;&gt;"", IF('General Info'!$D$49="No", "Check the flag in 'General Info'!D" &amp; ROW('General Info'!$D$49), ""), IF('General Info'!$D$49="Yes","Please check if appropriate", "Can be left blank for banks without IMA"))</f>
        <v>Can be left blank for banks without IMA</v>
      </c>
      <c r="W150" s="315"/>
    </row>
    <row r="151" spans="1:23" ht="15" customHeight="1" x14ac:dyDescent="0.35">
      <c r="A151" s="263"/>
      <c r="B151" s="170" t="s">
        <v>1149</v>
      </c>
      <c r="C151" s="161"/>
      <c r="D151" s="161"/>
      <c r="E151" s="161"/>
      <c r="F151" s="161"/>
      <c r="G151" s="175"/>
      <c r="H151" s="227"/>
      <c r="I151" s="227"/>
      <c r="J151" s="1172" t="str">
        <f>IF(G151&lt;&gt;"", IF('General Info'!$D$49="No", "Check the flag in 'General Info'!D" &amp; ROW('General Info'!$D$49), ""), IF('General Info'!$D$49="Yes","Please check if appropriate", "Can be left blank for banks without IMA"))</f>
        <v>Can be left blank for banks without IMA</v>
      </c>
      <c r="K151" s="175"/>
      <c r="L151" s="227"/>
      <c r="M151" s="227"/>
      <c r="N151" s="962" t="str">
        <f>IF(K151&lt;&gt;"", IF('General Info'!$D$49="No", "Check the flag in 'General Info'!D" &amp; ROW('General Info'!$D$49), ""), IF('General Info'!$D$49="Yes","Please check if appropriate", "Can be left blank for banks without IMA"))</f>
        <v>Can be left blank for banks without IMA</v>
      </c>
      <c r="O151" s="175"/>
      <c r="P151" s="227"/>
      <c r="Q151" s="227"/>
      <c r="R151" s="962" t="str">
        <f>IF(O151&lt;&gt;"", IF('General Info'!$D$49="No", "Check the flag in 'General Info'!D" &amp; ROW('General Info'!$D$49), ""), IF('General Info'!$D$49="Yes","Please check if appropriate", "Can be left blank for banks without IMA"))</f>
        <v>Can be left blank for banks without IMA</v>
      </c>
      <c r="S151" s="175"/>
      <c r="T151" s="227"/>
      <c r="U151" s="227"/>
      <c r="V151" s="962" t="str">
        <f>IF(S151&lt;&gt;"", IF('General Info'!$D$49="No", "Check the flag in 'General Info'!D" &amp; ROW('General Info'!$D$49), ""), IF('General Info'!$D$49="Yes","Please check if appropriate", "Can be left blank for banks without IMA"))</f>
        <v>Can be left blank for banks without IMA</v>
      </c>
      <c r="W151" s="315"/>
    </row>
    <row r="152" spans="1:23" ht="15" customHeight="1" x14ac:dyDescent="0.35">
      <c r="A152" s="263"/>
      <c r="B152" s="162" t="s">
        <v>1187</v>
      </c>
      <c r="C152" s="161"/>
      <c r="D152" s="161"/>
      <c r="E152" s="161"/>
      <c r="F152" s="161"/>
      <c r="G152" s="175"/>
      <c r="H152" s="227"/>
      <c r="I152" s="227"/>
      <c r="J152" s="1172" t="str">
        <f>IF(G152&lt;&gt;"", IF('General Info'!$D$49="No", "Check the flag in 'General Info'!D" &amp; ROW('General Info'!$D$49), ""), IF('General Info'!$D$49="Yes","Please check if appropriate", "Can be left blank for banks without IMA"))</f>
        <v>Can be left blank for banks without IMA</v>
      </c>
      <c r="K152" s="175"/>
      <c r="L152" s="227"/>
      <c r="M152" s="227"/>
      <c r="N152" s="962" t="str">
        <f>IF(K152&lt;&gt;"", IF('General Info'!$D$49="No", "Check the flag in 'General Info'!D" &amp; ROW('General Info'!$D$49), ""), IF('General Info'!$D$49="Yes","Please check if appropriate", "Can be left blank for banks without IMA"))</f>
        <v>Can be left blank for banks without IMA</v>
      </c>
      <c r="O152" s="175"/>
      <c r="P152" s="227"/>
      <c r="Q152" s="227"/>
      <c r="R152" s="962" t="str">
        <f>IF(O152&lt;&gt;"", IF('General Info'!$D$49="No", "Check the flag in 'General Info'!D" &amp; ROW('General Info'!$D$49), ""), IF('General Info'!$D$49="Yes","Please check if appropriate", "Can be left blank for banks without IMA"))</f>
        <v>Can be left blank for banks without IMA</v>
      </c>
      <c r="S152" s="175"/>
      <c r="T152" s="227"/>
      <c r="U152" s="227"/>
      <c r="V152" s="962" t="str">
        <f>IF(S152&lt;&gt;"", IF('General Info'!$D$49="No", "Check the flag in 'General Info'!D" &amp; ROW('General Info'!$D$49), ""), IF('General Info'!$D$49="Yes","Please check if appropriate", "Can be left blank for banks without IMA"))</f>
        <v>Can be left blank for banks without IMA</v>
      </c>
      <c r="W152" s="315"/>
    </row>
    <row r="153" spans="1:23" ht="15" customHeight="1" x14ac:dyDescent="0.35">
      <c r="A153" s="263"/>
      <c r="B153" s="238" t="s">
        <v>1188</v>
      </c>
      <c r="C153" s="171"/>
      <c r="D153" s="171"/>
      <c r="E153" s="171"/>
      <c r="F153" s="171"/>
      <c r="G153" s="1174"/>
      <c r="H153" s="971"/>
      <c r="I153" s="971"/>
      <c r="J153" s="1176" t="str">
        <f>IF(G153&lt;&gt;"", IF('General Info'!$D$49="No", "Check the flag in 'General Info'!D" &amp; ROW('General Info'!$D$49), ""), IF('General Info'!$D$49="Yes","Please check if appropriate", "Can be left blank for banks without IMA"))</f>
        <v>Can be left blank for banks without IMA</v>
      </c>
      <c r="K153" s="1174"/>
      <c r="L153" s="971"/>
      <c r="M153" s="971"/>
      <c r="N153" s="964" t="str">
        <f>IF(K153&lt;&gt;"", IF('General Info'!$D$49="No", "Check the flag in 'General Info'!D" &amp; ROW('General Info'!$D$49), ""), IF('General Info'!$D$49="Yes","Please check if appropriate", "Can be left blank for banks without IMA"))</f>
        <v>Can be left blank for banks without IMA</v>
      </c>
      <c r="O153" s="1174"/>
      <c r="P153" s="971"/>
      <c r="Q153" s="971"/>
      <c r="R153" s="964" t="str">
        <f>IF(O153&lt;&gt;"", IF('General Info'!$D$49="No", "Check the flag in 'General Info'!D" &amp; ROW('General Info'!$D$49), ""), IF('General Info'!$D$49="Yes","Please check if appropriate", "Can be left blank for banks without IMA"))</f>
        <v>Can be left blank for banks without IMA</v>
      </c>
      <c r="S153" s="1174"/>
      <c r="T153" s="971"/>
      <c r="U153" s="971"/>
      <c r="V153" s="964" t="str">
        <f>IF(S153&lt;&gt;"", IF('General Info'!$D$49="No", "Check the flag in 'General Info'!D" &amp; ROW('General Info'!$D$49), ""), IF('General Info'!$D$49="Yes","Please check if appropriate", "Can be left blank for banks without IMA"))</f>
        <v>Can be left blank for banks without IMA</v>
      </c>
      <c r="W153" s="315"/>
    </row>
    <row r="154" spans="1:23" ht="60" customHeight="1" x14ac:dyDescent="0.35">
      <c r="A154" s="3039" t="s">
        <v>1189</v>
      </c>
      <c r="B154" s="3040"/>
      <c r="C154" s="3040"/>
      <c r="D154" s="3040"/>
      <c r="E154" s="3040"/>
      <c r="F154" s="3040"/>
      <c r="G154" s="3040"/>
      <c r="H154" s="3040"/>
      <c r="I154" s="3040"/>
      <c r="J154" s="3040"/>
      <c r="K154" s="981"/>
      <c r="L154" s="981"/>
      <c r="M154" s="981"/>
      <c r="N154" s="981"/>
      <c r="O154" s="981"/>
      <c r="P154" s="981"/>
      <c r="Q154" s="981"/>
      <c r="R154" s="981"/>
      <c r="S154" s="981"/>
      <c r="T154" s="981"/>
      <c r="U154" s="981"/>
      <c r="V154" s="981"/>
      <c r="W154" s="930"/>
    </row>
    <row r="155" spans="1:23" ht="30" customHeight="1" x14ac:dyDescent="0.35">
      <c r="A155" s="280"/>
      <c r="B155" s="3038" t="s">
        <v>1190</v>
      </c>
      <c r="C155" s="3038"/>
      <c r="D155" s="3038"/>
      <c r="E155" s="3038"/>
      <c r="F155" s="3038"/>
      <c r="G155" s="3038"/>
      <c r="H155" s="3038"/>
      <c r="I155" s="3038"/>
      <c r="J155" s="3038"/>
      <c r="K155" s="982"/>
      <c r="L155" s="982"/>
      <c r="M155" s="982"/>
      <c r="N155" s="982"/>
      <c r="O155" s="982"/>
      <c r="P155" s="982"/>
      <c r="Q155" s="982"/>
      <c r="R155" s="982"/>
      <c r="S155" s="982"/>
      <c r="T155" s="982"/>
      <c r="U155" s="982"/>
      <c r="V155" s="982"/>
      <c r="W155" s="677"/>
    </row>
    <row r="156" spans="1:23" ht="15" customHeight="1" x14ac:dyDescent="0.35">
      <c r="A156" s="263"/>
      <c r="B156" s="978"/>
      <c r="C156" s="752"/>
      <c r="D156" s="752"/>
      <c r="E156" s="752"/>
      <c r="F156" s="678"/>
      <c r="G156" s="979" t="s">
        <v>1039</v>
      </c>
      <c r="H156" s="970"/>
      <c r="I156" s="970"/>
      <c r="J156" s="968"/>
      <c r="K156" s="981"/>
      <c r="L156" s="981"/>
      <c r="M156" s="981"/>
      <c r="N156" s="981"/>
      <c r="O156" s="981"/>
      <c r="P156" s="981"/>
      <c r="Q156" s="981"/>
      <c r="R156" s="981"/>
      <c r="S156" s="981"/>
      <c r="T156" s="981"/>
      <c r="U156" s="981"/>
      <c r="V156" s="981"/>
      <c r="W156" s="315"/>
    </row>
    <row r="157" spans="1:23" ht="15" customHeight="1" x14ac:dyDescent="0.35">
      <c r="A157" s="263"/>
      <c r="B157" s="670" t="s">
        <v>1191</v>
      </c>
      <c r="C157" s="463"/>
      <c r="D157" s="463"/>
      <c r="E157" s="463"/>
      <c r="F157" s="463"/>
      <c r="G157" s="684"/>
      <c r="H157" s="679"/>
      <c r="I157" s="679"/>
      <c r="J157" s="381"/>
      <c r="K157" s="981"/>
      <c r="L157" s="981"/>
      <c r="M157" s="981"/>
      <c r="N157" s="981"/>
      <c r="O157" s="981"/>
      <c r="P157" s="981"/>
      <c r="Q157" s="981"/>
      <c r="R157" s="981"/>
      <c r="S157" s="981"/>
      <c r="T157" s="981"/>
      <c r="U157" s="981"/>
      <c r="V157" s="981"/>
      <c r="W157" s="315"/>
    </row>
    <row r="158" spans="1:23" ht="15" customHeight="1" x14ac:dyDescent="0.35">
      <c r="A158" s="263"/>
      <c r="B158" s="164" t="s">
        <v>1192</v>
      </c>
      <c r="C158" s="161"/>
      <c r="D158" s="161"/>
      <c r="E158" s="161"/>
      <c r="F158" s="161"/>
      <c r="G158" s="169">
        <v>0</v>
      </c>
      <c r="H158" s="227"/>
      <c r="I158" s="227"/>
      <c r="J158" s="965" t="str">
        <f>IF(AND('General Info'!D48="No", 'General Info'!D49="No"), "", IF(G158&lt;&gt;"","","Cell left blank: please check"))</f>
        <v/>
      </c>
      <c r="K158" s="981"/>
      <c r="L158" s="981"/>
      <c r="M158" s="981"/>
      <c r="N158" s="981"/>
      <c r="O158" s="981"/>
      <c r="P158" s="981"/>
      <c r="Q158" s="981"/>
      <c r="R158" s="981"/>
      <c r="S158" s="981"/>
      <c r="T158" s="981"/>
      <c r="U158" s="981"/>
      <c r="V158" s="981"/>
      <c r="W158" s="315"/>
    </row>
    <row r="159" spans="1:23" ht="15" customHeight="1" x14ac:dyDescent="0.35">
      <c r="A159" s="263"/>
      <c r="B159" s="164" t="s">
        <v>1193</v>
      </c>
      <c r="C159" s="161"/>
      <c r="D159" s="161"/>
      <c r="E159" s="161"/>
      <c r="F159" s="161"/>
      <c r="G159" s="169">
        <v>0</v>
      </c>
      <c r="H159" s="227"/>
      <c r="I159" s="227"/>
      <c r="J159" s="965" t="str">
        <f>IF(AND('General Info'!D48="No", 'General Info'!D49="No"), "", IF(G159&lt;&gt;"","","Cell left blank: please check"))</f>
        <v/>
      </c>
      <c r="K159" s="981"/>
      <c r="L159" s="981"/>
      <c r="M159" s="981"/>
      <c r="N159" s="981"/>
      <c r="O159" s="981"/>
      <c r="P159" s="981"/>
      <c r="Q159" s="981"/>
      <c r="R159" s="981"/>
      <c r="S159" s="981"/>
      <c r="T159" s="981"/>
      <c r="U159" s="981"/>
      <c r="V159" s="981"/>
      <c r="W159" s="315"/>
    </row>
    <row r="160" spans="1:23" ht="15" customHeight="1" x14ac:dyDescent="0.35">
      <c r="A160" s="263"/>
      <c r="B160" s="100" t="s">
        <v>1194</v>
      </c>
      <c r="C160" s="161"/>
      <c r="D160" s="161"/>
      <c r="E160" s="161"/>
      <c r="F160" s="161"/>
      <c r="G160" s="240"/>
      <c r="H160" s="227"/>
      <c r="I160" s="227"/>
      <c r="J160" s="227"/>
      <c r="K160" s="981"/>
      <c r="L160" s="981"/>
      <c r="M160" s="981"/>
      <c r="N160" s="981"/>
      <c r="O160" s="981"/>
      <c r="P160" s="981"/>
      <c r="Q160" s="981"/>
      <c r="R160" s="981"/>
      <c r="S160" s="981"/>
      <c r="T160" s="981"/>
      <c r="U160" s="981"/>
      <c r="V160" s="981"/>
      <c r="W160" s="315"/>
    </row>
    <row r="161" spans="1:23" ht="15" customHeight="1" x14ac:dyDescent="0.35">
      <c r="A161" s="263"/>
      <c r="B161" s="164" t="s">
        <v>1192</v>
      </c>
      <c r="C161" s="161"/>
      <c r="D161" s="161"/>
      <c r="E161" s="161"/>
      <c r="F161" s="161"/>
      <c r="G161" s="169">
        <v>0</v>
      </c>
      <c r="H161" s="227"/>
      <c r="I161" s="227"/>
      <c r="J161" s="965" t="str">
        <f>IF(AND('General Info'!D48="No", 'General Info'!D49="No"), "", IF(G161&lt;&gt;"","","Cell left blank: please check"))</f>
        <v/>
      </c>
      <c r="K161" s="981"/>
      <c r="L161" s="981"/>
      <c r="M161" s="981"/>
      <c r="N161" s="981"/>
      <c r="O161" s="981"/>
      <c r="P161" s="981"/>
      <c r="Q161" s="981"/>
      <c r="R161" s="981"/>
      <c r="S161" s="981"/>
      <c r="T161" s="981"/>
      <c r="U161" s="981"/>
      <c r="V161" s="981"/>
      <c r="W161" s="315"/>
    </row>
    <row r="162" spans="1:23" ht="15" customHeight="1" x14ac:dyDescent="0.35">
      <c r="A162" s="263"/>
      <c r="B162" s="164" t="s">
        <v>1193</v>
      </c>
      <c r="C162" s="161"/>
      <c r="D162" s="161"/>
      <c r="E162" s="161"/>
      <c r="F162" s="161"/>
      <c r="G162" s="169">
        <v>0</v>
      </c>
      <c r="H162" s="227"/>
      <c r="I162" s="227"/>
      <c r="J162" s="965" t="str">
        <f>IF(AND('General Info'!D48="No", 'General Info'!D49="No"), "", IF(G162&lt;&gt;"","","Cell left blank: please check"))</f>
        <v/>
      </c>
      <c r="K162" s="981"/>
      <c r="L162" s="981"/>
      <c r="M162" s="981"/>
      <c r="N162" s="981"/>
      <c r="O162" s="981"/>
      <c r="P162" s="981"/>
      <c r="Q162" s="981"/>
      <c r="R162" s="981"/>
      <c r="S162" s="981"/>
      <c r="T162" s="981"/>
      <c r="U162" s="981"/>
      <c r="V162" s="981"/>
      <c r="W162" s="315"/>
    </row>
    <row r="163" spans="1:23" ht="15" customHeight="1" x14ac:dyDescent="0.35">
      <c r="A163" s="263"/>
      <c r="B163" s="100" t="s">
        <v>1195</v>
      </c>
      <c r="C163" s="161"/>
      <c r="D163" s="161"/>
      <c r="E163" s="161"/>
      <c r="F163" s="161"/>
      <c r="G163" s="240"/>
      <c r="H163" s="227"/>
      <c r="I163" s="227"/>
      <c r="J163" s="227"/>
      <c r="K163" s="981"/>
      <c r="L163" s="981"/>
      <c r="M163" s="981"/>
      <c r="N163" s="981"/>
      <c r="O163" s="981"/>
      <c r="P163" s="981"/>
      <c r="Q163" s="981"/>
      <c r="R163" s="981"/>
      <c r="S163" s="981"/>
      <c r="T163" s="981"/>
      <c r="U163" s="981"/>
      <c r="V163" s="981"/>
      <c r="W163" s="315"/>
    </row>
    <row r="164" spans="1:23" ht="15" customHeight="1" x14ac:dyDescent="0.35">
      <c r="A164" s="263"/>
      <c r="B164" s="164" t="s">
        <v>1196</v>
      </c>
      <c r="C164" s="161"/>
      <c r="D164" s="161"/>
      <c r="E164" s="161"/>
      <c r="F164" s="161"/>
      <c r="G164" s="169">
        <v>0</v>
      </c>
      <c r="H164" s="227"/>
      <c r="I164" s="227"/>
      <c r="J164" s="965" t="str">
        <f>IF(AND('General Info'!D48="No", 'General Info'!D49="No"), "", IF(G164&lt;&gt;"","","Cell left blank: please check"))</f>
        <v/>
      </c>
      <c r="K164" s="981"/>
      <c r="L164" s="981"/>
      <c r="M164" s="981"/>
      <c r="N164" s="981"/>
      <c r="O164" s="981"/>
      <c r="P164" s="981"/>
      <c r="Q164" s="981"/>
      <c r="R164" s="981"/>
      <c r="S164" s="981"/>
      <c r="T164" s="981"/>
      <c r="U164" s="981"/>
      <c r="V164" s="981"/>
      <c r="W164" s="315"/>
    </row>
    <row r="165" spans="1:23" ht="15" customHeight="1" x14ac:dyDescent="0.35">
      <c r="A165" s="263"/>
      <c r="B165" s="238" t="s">
        <v>1193</v>
      </c>
      <c r="C165" s="171"/>
      <c r="D165" s="171"/>
      <c r="E165" s="171"/>
      <c r="F165" s="171"/>
      <c r="G165" s="133">
        <v>0</v>
      </c>
      <c r="H165" s="971"/>
      <c r="I165" s="971"/>
      <c r="J165" s="964" t="str">
        <f>IF(AND('General Info'!D48="No", 'General Info'!D49="No"), "", IF(G165&lt;&gt;"","","Cell left blank: please check"))</f>
        <v/>
      </c>
      <c r="K165" s="981"/>
      <c r="L165" s="981"/>
      <c r="M165" s="981"/>
      <c r="N165" s="981"/>
      <c r="O165" s="981"/>
      <c r="P165" s="981"/>
      <c r="Q165" s="981"/>
      <c r="R165" s="981"/>
      <c r="S165" s="981"/>
      <c r="T165" s="981"/>
      <c r="U165" s="981"/>
      <c r="V165" s="981"/>
      <c r="W165" s="315"/>
    </row>
    <row r="166" spans="1:23" ht="15" customHeight="1" x14ac:dyDescent="0.35">
      <c r="A166" s="717"/>
      <c r="B166" s="275"/>
      <c r="C166" s="275"/>
      <c r="D166" s="275"/>
      <c r="E166" s="275"/>
      <c r="F166" s="275"/>
      <c r="G166" s="275"/>
      <c r="H166" s="1819"/>
      <c r="I166" s="275"/>
      <c r="J166" s="275"/>
      <c r="K166" s="275"/>
      <c r="L166" s="1819"/>
      <c r="M166" s="275"/>
      <c r="N166" s="275"/>
      <c r="O166" s="275"/>
      <c r="P166" s="1819"/>
      <c r="Q166" s="275"/>
      <c r="R166" s="275"/>
      <c r="S166" s="275"/>
      <c r="T166" s="1819"/>
      <c r="U166" s="275"/>
      <c r="V166" s="275"/>
      <c r="W166" s="567"/>
    </row>
    <row r="167" spans="1:23" ht="45" customHeight="1" x14ac:dyDescent="0.45">
      <c r="A167" s="280" t="s">
        <v>1197</v>
      </c>
      <c r="B167" s="153"/>
      <c r="C167" s="137"/>
      <c r="D167" s="137"/>
      <c r="E167" s="137"/>
      <c r="F167" s="154"/>
      <c r="G167" s="137"/>
      <c r="H167" s="204"/>
      <c r="I167" s="137"/>
      <c r="J167" s="137"/>
      <c r="K167" s="137"/>
      <c r="L167" s="204"/>
      <c r="M167" s="137"/>
      <c r="N167" s="137"/>
      <c r="O167" s="137"/>
      <c r="P167" s="204"/>
      <c r="Q167" s="137"/>
      <c r="R167" s="137"/>
      <c r="S167" s="137"/>
      <c r="T167" s="204"/>
      <c r="U167" s="137"/>
      <c r="V167" s="137"/>
      <c r="W167" s="677"/>
    </row>
    <row r="168" spans="1:23" ht="45" customHeight="1" x14ac:dyDescent="0.35">
      <c r="A168" s="263"/>
      <c r="B168" s="3041" t="s">
        <v>1198</v>
      </c>
      <c r="C168" s="3041"/>
      <c r="D168" s="3041"/>
      <c r="E168" s="3041"/>
      <c r="F168" s="3041"/>
      <c r="G168" s="3041"/>
      <c r="H168" s="3041"/>
      <c r="I168" s="3041"/>
      <c r="J168" s="3041"/>
      <c r="L168" s="98"/>
      <c r="P168" s="98"/>
      <c r="T168" s="98"/>
      <c r="W168" s="315"/>
    </row>
    <row r="169" spans="1:23" ht="30" customHeight="1" x14ac:dyDescent="0.35">
      <c r="A169" s="263"/>
      <c r="B169" s="685" t="s">
        <v>1199</v>
      </c>
      <c r="C169" s="750" t="s">
        <v>1200</v>
      </c>
      <c r="D169" s="2758" t="s">
        <v>1201</v>
      </c>
      <c r="E169" s="2761"/>
      <c r="F169" s="3034"/>
      <c r="G169" s="3025" t="s">
        <v>1202</v>
      </c>
      <c r="H169" s="3026"/>
      <c r="I169" s="999" t="s">
        <v>1203</v>
      </c>
      <c r="J169" s="999" t="s">
        <v>1204</v>
      </c>
      <c r="K169" s="999" t="s">
        <v>1205</v>
      </c>
      <c r="L169" s="999" t="s">
        <v>1206</v>
      </c>
      <c r="M169" s="999" t="s">
        <v>1207</v>
      </c>
      <c r="N169" s="999" t="s">
        <v>1208</v>
      </c>
      <c r="O169" s="999" t="s">
        <v>1209</v>
      </c>
      <c r="P169" s="98"/>
      <c r="T169" s="98"/>
      <c r="W169" s="315"/>
    </row>
    <row r="170" spans="1:23" ht="15" customHeight="1" x14ac:dyDescent="0.35">
      <c r="A170" s="263"/>
      <c r="B170" s="686" t="s">
        <v>1210</v>
      </c>
      <c r="C170" s="874"/>
      <c r="D170" s="3035"/>
      <c r="E170" s="3036"/>
      <c r="F170" s="3037"/>
      <c r="G170" s="3027"/>
      <c r="H170" s="3028"/>
      <c r="I170" s="997"/>
      <c r="J170" s="997"/>
      <c r="K170" s="23"/>
      <c r="L170" s="34"/>
      <c r="M170" s="1"/>
      <c r="N170" s="1"/>
      <c r="O170" s="1"/>
      <c r="P170" s="98"/>
      <c r="T170" s="98"/>
      <c r="W170" s="315"/>
    </row>
    <row r="171" spans="1:23" ht="15" customHeight="1" x14ac:dyDescent="0.35">
      <c r="A171" s="263"/>
      <c r="B171" s="996" t="s">
        <v>1211</v>
      </c>
      <c r="C171" s="11"/>
      <c r="D171" s="3019"/>
      <c r="E171" s="3020"/>
      <c r="F171" s="3021"/>
      <c r="G171" s="3011"/>
      <c r="H171" s="3012"/>
      <c r="I171" s="995"/>
      <c r="J171" s="995"/>
      <c r="K171" s="23"/>
      <c r="L171" s="34"/>
      <c r="M171" s="1"/>
      <c r="N171" s="1"/>
      <c r="O171" s="1"/>
      <c r="P171" s="98"/>
      <c r="T171" s="98"/>
      <c r="W171" s="315"/>
    </row>
    <row r="172" spans="1:23" ht="15" customHeight="1" x14ac:dyDescent="0.35">
      <c r="A172" s="263"/>
      <c r="B172" s="146" t="s">
        <v>1212</v>
      </c>
      <c r="C172" s="23"/>
      <c r="D172" s="3019"/>
      <c r="E172" s="3020"/>
      <c r="F172" s="3021"/>
      <c r="G172" s="3011"/>
      <c r="H172" s="3012"/>
      <c r="I172" s="225"/>
      <c r="J172" s="225"/>
      <c r="K172" s="23"/>
      <c r="L172" s="34"/>
      <c r="M172" s="1"/>
      <c r="N172" s="1"/>
      <c r="O172" s="1"/>
      <c r="P172" s="98"/>
      <c r="T172" s="98"/>
      <c r="W172" s="315"/>
    </row>
    <row r="173" spans="1:23" ht="15" customHeight="1" x14ac:dyDescent="0.35">
      <c r="A173" s="263"/>
      <c r="B173" s="146" t="s">
        <v>1213</v>
      </c>
      <c r="C173" s="23"/>
      <c r="D173" s="3019"/>
      <c r="E173" s="3020"/>
      <c r="F173" s="3021"/>
      <c r="G173" s="3011"/>
      <c r="H173" s="3012"/>
      <c r="I173" s="225"/>
      <c r="J173" s="225"/>
      <c r="K173" s="23"/>
      <c r="L173" s="34"/>
      <c r="M173" s="1"/>
      <c r="N173" s="1"/>
      <c r="O173" s="1"/>
      <c r="P173" s="98"/>
      <c r="T173" s="98"/>
      <c r="W173" s="315"/>
    </row>
    <row r="174" spans="1:23" ht="15" customHeight="1" x14ac:dyDescent="0.35">
      <c r="A174" s="263"/>
      <c r="B174" s="146" t="s">
        <v>1214</v>
      </c>
      <c r="C174" s="23"/>
      <c r="D174" s="3019"/>
      <c r="E174" s="3020"/>
      <c r="F174" s="3021"/>
      <c r="G174" s="3011"/>
      <c r="H174" s="3012"/>
      <c r="I174" s="225"/>
      <c r="J174" s="225"/>
      <c r="K174" s="23"/>
      <c r="L174" s="34"/>
      <c r="M174" s="1"/>
      <c r="N174" s="1"/>
      <c r="O174" s="1"/>
      <c r="P174" s="98"/>
      <c r="T174" s="98"/>
      <c r="W174" s="315"/>
    </row>
    <row r="175" spans="1:23" ht="15" customHeight="1" x14ac:dyDescent="0.35">
      <c r="A175" s="263"/>
      <c r="B175" s="146" t="s">
        <v>1215</v>
      </c>
      <c r="C175" s="23"/>
      <c r="D175" s="3019"/>
      <c r="E175" s="3020"/>
      <c r="F175" s="3021"/>
      <c r="G175" s="3011"/>
      <c r="H175" s="3012"/>
      <c r="I175" s="225"/>
      <c r="J175" s="225"/>
      <c r="K175" s="23"/>
      <c r="L175" s="34"/>
      <c r="M175" s="1"/>
      <c r="N175" s="1"/>
      <c r="O175" s="1"/>
      <c r="P175" s="98"/>
      <c r="T175" s="98"/>
      <c r="W175" s="315"/>
    </row>
    <row r="176" spans="1:23" ht="15" customHeight="1" x14ac:dyDescent="0.35">
      <c r="A176" s="263"/>
      <c r="B176" s="146" t="s">
        <v>1216</v>
      </c>
      <c r="C176" s="23"/>
      <c r="D176" s="3019"/>
      <c r="E176" s="3020"/>
      <c r="F176" s="3021"/>
      <c r="G176" s="3011"/>
      <c r="H176" s="3012"/>
      <c r="I176" s="225"/>
      <c r="J176" s="225"/>
      <c r="K176" s="23"/>
      <c r="L176" s="34"/>
      <c r="M176" s="1"/>
      <c r="N176" s="1"/>
      <c r="O176" s="1"/>
      <c r="P176" s="98"/>
      <c r="T176" s="98"/>
      <c r="W176" s="315"/>
    </row>
    <row r="177" spans="1:23" ht="15" customHeight="1" x14ac:dyDescent="0.35">
      <c r="A177" s="263"/>
      <c r="B177" s="146" t="s">
        <v>1217</v>
      </c>
      <c r="C177" s="23"/>
      <c r="D177" s="3019"/>
      <c r="E177" s="3020"/>
      <c r="F177" s="3021"/>
      <c r="G177" s="3011"/>
      <c r="H177" s="3012"/>
      <c r="I177" s="225"/>
      <c r="J177" s="225"/>
      <c r="K177" s="23"/>
      <c r="L177" s="34"/>
      <c r="M177" s="1"/>
      <c r="N177" s="1"/>
      <c r="O177" s="1"/>
      <c r="P177" s="98"/>
      <c r="T177" s="98"/>
      <c r="W177" s="315"/>
    </row>
    <row r="178" spans="1:23" ht="15" customHeight="1" x14ac:dyDescent="0.35">
      <c r="A178" s="263"/>
      <c r="B178" s="146" t="s">
        <v>1218</v>
      </c>
      <c r="C178" s="23"/>
      <c r="D178" s="3019"/>
      <c r="E178" s="3020"/>
      <c r="F178" s="3021"/>
      <c r="G178" s="3011"/>
      <c r="H178" s="3012"/>
      <c r="I178" s="225"/>
      <c r="J178" s="225"/>
      <c r="K178" s="23"/>
      <c r="L178" s="34"/>
      <c r="M178" s="1"/>
      <c r="N178" s="1"/>
      <c r="O178" s="1"/>
      <c r="P178" s="98"/>
      <c r="T178" s="98"/>
      <c r="W178" s="315"/>
    </row>
    <row r="179" spans="1:23" ht="15" customHeight="1" x14ac:dyDescent="0.35">
      <c r="A179" s="263"/>
      <c r="B179" s="146" t="s">
        <v>1219</v>
      </c>
      <c r="C179" s="23"/>
      <c r="D179" s="3019"/>
      <c r="E179" s="3020"/>
      <c r="F179" s="3021"/>
      <c r="G179" s="3011"/>
      <c r="H179" s="3012"/>
      <c r="I179" s="225"/>
      <c r="J179" s="225"/>
      <c r="K179" s="23"/>
      <c r="L179" s="34"/>
      <c r="M179" s="1"/>
      <c r="N179" s="1"/>
      <c r="O179" s="1"/>
      <c r="P179" s="98"/>
      <c r="T179" s="98"/>
      <c r="W179" s="315"/>
    </row>
    <row r="180" spans="1:23" ht="15" customHeight="1" x14ac:dyDescent="0.35">
      <c r="A180" s="263"/>
      <c r="B180" s="146" t="s">
        <v>1220</v>
      </c>
      <c r="C180" s="23"/>
      <c r="D180" s="3019"/>
      <c r="E180" s="3020"/>
      <c r="F180" s="3021"/>
      <c r="G180" s="3011"/>
      <c r="H180" s="3012"/>
      <c r="I180" s="225"/>
      <c r="J180" s="225"/>
      <c r="K180" s="23"/>
      <c r="L180" s="34"/>
      <c r="M180" s="1"/>
      <c r="N180" s="1"/>
      <c r="O180" s="1"/>
      <c r="P180" s="98"/>
      <c r="T180" s="98"/>
      <c r="W180" s="315"/>
    </row>
    <row r="181" spans="1:23" ht="15" customHeight="1" x14ac:dyDescent="0.35">
      <c r="A181" s="263"/>
      <c r="B181" s="146" t="s">
        <v>1221</v>
      </c>
      <c r="C181" s="23"/>
      <c r="D181" s="3019"/>
      <c r="E181" s="3020"/>
      <c r="F181" s="3021"/>
      <c r="G181" s="3011"/>
      <c r="H181" s="3012"/>
      <c r="I181" s="225"/>
      <c r="J181" s="225"/>
      <c r="K181" s="23"/>
      <c r="L181" s="34"/>
      <c r="M181" s="1"/>
      <c r="N181" s="1"/>
      <c r="O181" s="1"/>
      <c r="P181" s="98"/>
      <c r="T181" s="98"/>
      <c r="W181" s="315"/>
    </row>
    <row r="182" spans="1:23" ht="15" customHeight="1" x14ac:dyDescent="0.35">
      <c r="A182" s="263"/>
      <c r="B182" s="146" t="s">
        <v>1222</v>
      </c>
      <c r="C182" s="23"/>
      <c r="D182" s="3019"/>
      <c r="E182" s="3020"/>
      <c r="F182" s="3021"/>
      <c r="G182" s="3011"/>
      <c r="H182" s="3012"/>
      <c r="I182" s="225"/>
      <c r="J182" s="225"/>
      <c r="K182" s="23"/>
      <c r="L182" s="34"/>
      <c r="M182" s="1"/>
      <c r="N182" s="1"/>
      <c r="O182" s="1"/>
      <c r="P182" s="98"/>
      <c r="T182" s="98"/>
      <c r="W182" s="315"/>
    </row>
    <row r="183" spans="1:23" ht="15" customHeight="1" x14ac:dyDescent="0.35">
      <c r="A183" s="263"/>
      <c r="B183" s="146" t="s">
        <v>1223</v>
      </c>
      <c r="C183" s="23"/>
      <c r="D183" s="3019"/>
      <c r="E183" s="3020"/>
      <c r="F183" s="3021"/>
      <c r="G183" s="3011"/>
      <c r="H183" s="3012"/>
      <c r="I183" s="225"/>
      <c r="J183" s="225"/>
      <c r="K183" s="23"/>
      <c r="L183" s="34"/>
      <c r="M183" s="1"/>
      <c r="N183" s="1"/>
      <c r="O183" s="1"/>
      <c r="P183" s="98"/>
      <c r="T183" s="98"/>
      <c r="W183" s="315"/>
    </row>
    <row r="184" spans="1:23" ht="15" customHeight="1" x14ac:dyDescent="0.35">
      <c r="A184" s="263"/>
      <c r="B184" s="146" t="s">
        <v>1224</v>
      </c>
      <c r="C184" s="23"/>
      <c r="D184" s="3019"/>
      <c r="E184" s="3020"/>
      <c r="F184" s="3021"/>
      <c r="G184" s="3011"/>
      <c r="H184" s="3012"/>
      <c r="I184" s="225"/>
      <c r="J184" s="225"/>
      <c r="K184" s="23"/>
      <c r="L184" s="34"/>
      <c r="M184" s="1"/>
      <c r="N184" s="1"/>
      <c r="O184" s="1"/>
      <c r="P184" s="98"/>
      <c r="T184" s="98"/>
      <c r="W184" s="315"/>
    </row>
    <row r="185" spans="1:23" ht="15" customHeight="1" x14ac:dyDescent="0.35">
      <c r="A185" s="263"/>
      <c r="B185" s="146" t="s">
        <v>1225</v>
      </c>
      <c r="C185" s="23"/>
      <c r="D185" s="3019"/>
      <c r="E185" s="3020"/>
      <c r="F185" s="3021"/>
      <c r="G185" s="3011"/>
      <c r="H185" s="3012"/>
      <c r="I185" s="225"/>
      <c r="J185" s="225"/>
      <c r="K185" s="23"/>
      <c r="L185" s="34"/>
      <c r="M185" s="1"/>
      <c r="N185" s="1"/>
      <c r="O185" s="1"/>
      <c r="P185" s="98"/>
      <c r="T185" s="98"/>
      <c r="W185" s="315"/>
    </row>
    <row r="186" spans="1:23" ht="15" customHeight="1" x14ac:dyDescent="0.35">
      <c r="A186" s="263"/>
      <c r="B186" s="146" t="s">
        <v>1226</v>
      </c>
      <c r="C186" s="23"/>
      <c r="D186" s="3019"/>
      <c r="E186" s="3020"/>
      <c r="F186" s="3021"/>
      <c r="G186" s="3011"/>
      <c r="H186" s="3012"/>
      <c r="I186" s="225"/>
      <c r="J186" s="225"/>
      <c r="K186" s="23"/>
      <c r="L186" s="34"/>
      <c r="M186" s="1"/>
      <c r="N186" s="1"/>
      <c r="O186" s="1"/>
      <c r="P186" s="98"/>
      <c r="T186" s="98"/>
      <c r="W186" s="315"/>
    </row>
    <row r="187" spans="1:23" ht="15" customHeight="1" x14ac:dyDescent="0.35">
      <c r="A187" s="263"/>
      <c r="B187" s="146" t="s">
        <v>1227</v>
      </c>
      <c r="C187" s="23"/>
      <c r="D187" s="3019"/>
      <c r="E187" s="3020"/>
      <c r="F187" s="3021"/>
      <c r="G187" s="3011"/>
      <c r="H187" s="3012"/>
      <c r="I187" s="225"/>
      <c r="J187" s="225"/>
      <c r="K187" s="23"/>
      <c r="L187" s="34"/>
      <c r="M187" s="1"/>
      <c r="N187" s="1"/>
      <c r="O187" s="1"/>
      <c r="P187" s="98"/>
      <c r="T187" s="98"/>
      <c r="W187" s="315"/>
    </row>
    <row r="188" spans="1:23" ht="15" customHeight="1" x14ac:dyDescent="0.35">
      <c r="A188" s="263"/>
      <c r="B188" s="146" t="s">
        <v>1228</v>
      </c>
      <c r="C188" s="23"/>
      <c r="D188" s="3019"/>
      <c r="E188" s="3020"/>
      <c r="F188" s="3021"/>
      <c r="G188" s="3011"/>
      <c r="H188" s="3012"/>
      <c r="I188" s="225"/>
      <c r="J188" s="225"/>
      <c r="K188" s="23"/>
      <c r="L188" s="34"/>
      <c r="M188" s="1"/>
      <c r="N188" s="1"/>
      <c r="O188" s="1"/>
      <c r="P188" s="98"/>
      <c r="T188" s="98"/>
      <c r="W188" s="315"/>
    </row>
    <row r="189" spans="1:23" ht="15" customHeight="1" x14ac:dyDescent="0.35">
      <c r="A189" s="263"/>
      <c r="B189" s="146" t="s">
        <v>1229</v>
      </c>
      <c r="C189" s="23"/>
      <c r="D189" s="3019"/>
      <c r="E189" s="3020"/>
      <c r="F189" s="3021"/>
      <c r="G189" s="3011"/>
      <c r="H189" s="3012"/>
      <c r="I189" s="225"/>
      <c r="J189" s="225"/>
      <c r="K189" s="23"/>
      <c r="L189" s="34"/>
      <c r="M189" s="1"/>
      <c r="N189" s="1"/>
      <c r="O189" s="1"/>
      <c r="P189" s="98"/>
      <c r="T189" s="98"/>
      <c r="W189" s="315"/>
    </row>
    <row r="190" spans="1:23" ht="15" customHeight="1" x14ac:dyDescent="0.35">
      <c r="A190" s="263"/>
      <c r="B190" s="146" t="s">
        <v>1230</v>
      </c>
      <c r="C190" s="23"/>
      <c r="D190" s="3019"/>
      <c r="E190" s="3020"/>
      <c r="F190" s="3021"/>
      <c r="G190" s="3011"/>
      <c r="H190" s="3012"/>
      <c r="I190" s="225"/>
      <c r="J190" s="225"/>
      <c r="K190" s="23"/>
      <c r="L190" s="34"/>
      <c r="M190" s="1"/>
      <c r="N190" s="1"/>
      <c r="O190" s="1"/>
      <c r="P190" s="98"/>
      <c r="T190" s="98"/>
      <c r="W190" s="315"/>
    </row>
    <row r="191" spans="1:23" ht="15" customHeight="1" x14ac:dyDescent="0.35">
      <c r="A191" s="263"/>
      <c r="B191" s="146" t="s">
        <v>1231</v>
      </c>
      <c r="C191" s="23"/>
      <c r="D191" s="3019"/>
      <c r="E191" s="3020"/>
      <c r="F191" s="3021"/>
      <c r="G191" s="3011"/>
      <c r="H191" s="3012"/>
      <c r="I191" s="225"/>
      <c r="J191" s="225"/>
      <c r="K191" s="23"/>
      <c r="L191" s="34"/>
      <c r="M191" s="1"/>
      <c r="N191" s="1"/>
      <c r="O191" s="1"/>
      <c r="P191" s="98"/>
      <c r="T191" s="98"/>
      <c r="W191" s="315"/>
    </row>
    <row r="192" spans="1:23" ht="15" customHeight="1" x14ac:dyDescent="0.35">
      <c r="A192" s="263"/>
      <c r="B192" s="146" t="s">
        <v>1232</v>
      </c>
      <c r="C192" s="23"/>
      <c r="D192" s="3019"/>
      <c r="E192" s="3020"/>
      <c r="F192" s="3021"/>
      <c r="G192" s="3011"/>
      <c r="H192" s="3012"/>
      <c r="I192" s="225"/>
      <c r="J192" s="225"/>
      <c r="K192" s="23"/>
      <c r="L192" s="34"/>
      <c r="M192" s="1"/>
      <c r="N192" s="1"/>
      <c r="O192" s="1"/>
      <c r="P192" s="98"/>
      <c r="T192" s="98"/>
      <c r="W192" s="315"/>
    </row>
    <row r="193" spans="1:23" ht="15" customHeight="1" x14ac:dyDescent="0.35">
      <c r="A193" s="263"/>
      <c r="B193" s="146" t="s">
        <v>1233</v>
      </c>
      <c r="C193" s="23"/>
      <c r="D193" s="3019"/>
      <c r="E193" s="3020"/>
      <c r="F193" s="3021"/>
      <c r="G193" s="3011"/>
      <c r="H193" s="3012"/>
      <c r="I193" s="225"/>
      <c r="J193" s="225"/>
      <c r="K193" s="23"/>
      <c r="L193" s="34"/>
      <c r="M193" s="1"/>
      <c r="N193" s="1"/>
      <c r="O193" s="1"/>
      <c r="P193" s="98"/>
      <c r="T193" s="98"/>
      <c r="W193" s="315"/>
    </row>
    <row r="194" spans="1:23" ht="15" customHeight="1" x14ac:dyDescent="0.35">
      <c r="A194" s="263"/>
      <c r="B194" s="146" t="s">
        <v>1234</v>
      </c>
      <c r="C194" s="23"/>
      <c r="D194" s="3019"/>
      <c r="E194" s="3020"/>
      <c r="F194" s="3021"/>
      <c r="G194" s="3011"/>
      <c r="H194" s="3012"/>
      <c r="I194" s="225"/>
      <c r="J194" s="225"/>
      <c r="K194" s="23"/>
      <c r="L194" s="34"/>
      <c r="M194" s="1"/>
      <c r="N194" s="1"/>
      <c r="O194" s="1"/>
      <c r="P194" s="98"/>
      <c r="T194" s="98"/>
      <c r="W194" s="315"/>
    </row>
    <row r="195" spans="1:23" ht="15" customHeight="1" x14ac:dyDescent="0.35">
      <c r="A195" s="263"/>
      <c r="B195" s="146" t="s">
        <v>1235</v>
      </c>
      <c r="C195" s="23"/>
      <c r="D195" s="3019"/>
      <c r="E195" s="3020"/>
      <c r="F195" s="3021"/>
      <c r="G195" s="3011"/>
      <c r="H195" s="3012"/>
      <c r="I195" s="225"/>
      <c r="J195" s="225"/>
      <c r="K195" s="23"/>
      <c r="L195" s="34"/>
      <c r="M195" s="1"/>
      <c r="N195" s="1"/>
      <c r="O195" s="1"/>
      <c r="P195" s="98"/>
      <c r="T195" s="98"/>
      <c r="W195" s="315"/>
    </row>
    <row r="196" spans="1:23" ht="15" customHeight="1" x14ac:dyDescent="0.35">
      <c r="A196" s="263"/>
      <c r="B196" s="146" t="s">
        <v>1236</v>
      </c>
      <c r="C196" s="23"/>
      <c r="D196" s="3019"/>
      <c r="E196" s="3020"/>
      <c r="F196" s="3021"/>
      <c r="G196" s="3011"/>
      <c r="H196" s="3012"/>
      <c r="I196" s="225"/>
      <c r="J196" s="225"/>
      <c r="K196" s="23"/>
      <c r="L196" s="34"/>
      <c r="M196" s="1"/>
      <c r="N196" s="1"/>
      <c r="O196" s="1"/>
      <c r="P196" s="98"/>
      <c r="T196" s="98"/>
      <c r="W196" s="315"/>
    </row>
    <row r="197" spans="1:23" ht="15" customHeight="1" x14ac:dyDescent="0.35">
      <c r="A197" s="263"/>
      <c r="B197" s="146" t="s">
        <v>1237</v>
      </c>
      <c r="C197" s="23"/>
      <c r="D197" s="3019"/>
      <c r="E197" s="3020"/>
      <c r="F197" s="3021"/>
      <c r="G197" s="3011"/>
      <c r="H197" s="3012"/>
      <c r="I197" s="225"/>
      <c r="J197" s="225"/>
      <c r="K197" s="23"/>
      <c r="L197" s="34"/>
      <c r="M197" s="1"/>
      <c r="N197" s="1"/>
      <c r="O197" s="1"/>
      <c r="P197" s="98"/>
      <c r="T197" s="98"/>
      <c r="W197" s="315"/>
    </row>
    <row r="198" spans="1:23" ht="15" customHeight="1" x14ac:dyDescent="0.35">
      <c r="A198" s="263"/>
      <c r="B198" s="146" t="s">
        <v>1238</v>
      </c>
      <c r="C198" s="23"/>
      <c r="D198" s="3019"/>
      <c r="E198" s="3020"/>
      <c r="F198" s="3021"/>
      <c r="G198" s="3011"/>
      <c r="H198" s="3012"/>
      <c r="I198" s="225"/>
      <c r="J198" s="225"/>
      <c r="K198" s="23"/>
      <c r="L198" s="34"/>
      <c r="M198" s="1"/>
      <c r="N198" s="1"/>
      <c r="O198" s="1"/>
      <c r="P198" s="98"/>
      <c r="T198" s="98"/>
      <c r="W198" s="315"/>
    </row>
    <row r="199" spans="1:23" ht="15" customHeight="1" x14ac:dyDescent="0.35">
      <c r="A199" s="263"/>
      <c r="B199" s="146" t="s">
        <v>1239</v>
      </c>
      <c r="C199" s="23"/>
      <c r="D199" s="3019"/>
      <c r="E199" s="3020"/>
      <c r="F199" s="3021"/>
      <c r="G199" s="3011"/>
      <c r="H199" s="3012"/>
      <c r="I199" s="225"/>
      <c r="J199" s="225"/>
      <c r="K199" s="23"/>
      <c r="L199" s="34"/>
      <c r="M199" s="1"/>
      <c r="N199" s="1"/>
      <c r="O199" s="1"/>
      <c r="P199" s="98"/>
      <c r="T199" s="98"/>
      <c r="W199" s="315"/>
    </row>
    <row r="200" spans="1:23" ht="15" customHeight="1" x14ac:dyDescent="0.35">
      <c r="A200" s="263"/>
      <c r="B200" s="146" t="s">
        <v>1240</v>
      </c>
      <c r="C200" s="23"/>
      <c r="D200" s="3019"/>
      <c r="E200" s="3020"/>
      <c r="F200" s="3021"/>
      <c r="G200" s="3011"/>
      <c r="H200" s="3012"/>
      <c r="I200" s="225"/>
      <c r="J200" s="225"/>
      <c r="K200" s="23"/>
      <c r="L200" s="34"/>
      <c r="M200" s="1"/>
      <c r="N200" s="1"/>
      <c r="O200" s="1"/>
      <c r="P200" s="98"/>
      <c r="T200" s="98"/>
      <c r="W200" s="315"/>
    </row>
    <row r="201" spans="1:23" ht="15" customHeight="1" x14ac:dyDescent="0.35">
      <c r="A201" s="263"/>
      <c r="B201" s="146" t="s">
        <v>1241</v>
      </c>
      <c r="C201" s="23"/>
      <c r="D201" s="3019"/>
      <c r="E201" s="3020"/>
      <c r="F201" s="3021"/>
      <c r="G201" s="3011"/>
      <c r="H201" s="3012"/>
      <c r="I201" s="225"/>
      <c r="J201" s="225"/>
      <c r="K201" s="23"/>
      <c r="L201" s="34"/>
      <c r="M201" s="1"/>
      <c r="N201" s="1"/>
      <c r="O201" s="1"/>
      <c r="P201" s="98"/>
      <c r="T201" s="98"/>
      <c r="W201" s="315"/>
    </row>
    <row r="202" spans="1:23" ht="15" customHeight="1" x14ac:dyDescent="0.35">
      <c r="A202" s="263"/>
      <c r="B202" s="146" t="s">
        <v>1242</v>
      </c>
      <c r="C202" s="23"/>
      <c r="D202" s="3019"/>
      <c r="E202" s="3020"/>
      <c r="F202" s="3021"/>
      <c r="G202" s="3011"/>
      <c r="H202" s="3012"/>
      <c r="I202" s="225"/>
      <c r="J202" s="225"/>
      <c r="K202" s="23"/>
      <c r="L202" s="34"/>
      <c r="M202" s="1"/>
      <c r="N202" s="1"/>
      <c r="O202" s="1"/>
      <c r="P202" s="98"/>
      <c r="T202" s="98"/>
      <c r="W202" s="315"/>
    </row>
    <row r="203" spans="1:23" ht="15" customHeight="1" x14ac:dyDescent="0.35">
      <c r="A203" s="263"/>
      <c r="B203" s="146" t="s">
        <v>1243</v>
      </c>
      <c r="C203" s="23"/>
      <c r="D203" s="3019"/>
      <c r="E203" s="3020"/>
      <c r="F203" s="3021"/>
      <c r="G203" s="3011"/>
      <c r="H203" s="3012"/>
      <c r="I203" s="225"/>
      <c r="J203" s="225"/>
      <c r="K203" s="23"/>
      <c r="L203" s="34"/>
      <c r="M203" s="1"/>
      <c r="N203" s="1"/>
      <c r="O203" s="1"/>
      <c r="P203" s="98"/>
      <c r="T203" s="98"/>
      <c r="W203" s="315"/>
    </row>
    <row r="204" spans="1:23" ht="15" customHeight="1" x14ac:dyDescent="0.35">
      <c r="A204" s="263"/>
      <c r="B204" s="146" t="s">
        <v>1244</v>
      </c>
      <c r="C204" s="23"/>
      <c r="D204" s="3019"/>
      <c r="E204" s="3020"/>
      <c r="F204" s="3021"/>
      <c r="G204" s="3011"/>
      <c r="H204" s="3012"/>
      <c r="I204" s="225"/>
      <c r="J204" s="225"/>
      <c r="K204" s="23"/>
      <c r="L204" s="34"/>
      <c r="M204" s="1"/>
      <c r="N204" s="1"/>
      <c r="O204" s="1"/>
      <c r="P204" s="98"/>
      <c r="T204" s="98"/>
      <c r="W204" s="315"/>
    </row>
    <row r="205" spans="1:23" ht="15" customHeight="1" x14ac:dyDescent="0.35">
      <c r="A205" s="263"/>
      <c r="B205" s="146" t="s">
        <v>1245</v>
      </c>
      <c r="C205" s="23"/>
      <c r="D205" s="3019"/>
      <c r="E205" s="3020"/>
      <c r="F205" s="3021"/>
      <c r="G205" s="3011"/>
      <c r="H205" s="3012"/>
      <c r="I205" s="225"/>
      <c r="J205" s="225"/>
      <c r="K205" s="23"/>
      <c r="L205" s="34"/>
      <c r="M205" s="1"/>
      <c r="N205" s="1"/>
      <c r="O205" s="1"/>
      <c r="P205" s="98"/>
      <c r="T205" s="98"/>
      <c r="W205" s="315"/>
    </row>
    <row r="206" spans="1:23" ht="15" customHeight="1" x14ac:dyDescent="0.35">
      <c r="A206" s="263"/>
      <c r="B206" s="146" t="s">
        <v>1246</v>
      </c>
      <c r="C206" s="23"/>
      <c r="D206" s="3019"/>
      <c r="E206" s="3020"/>
      <c r="F206" s="3021"/>
      <c r="G206" s="3011"/>
      <c r="H206" s="3012"/>
      <c r="I206" s="225"/>
      <c r="J206" s="225"/>
      <c r="K206" s="23"/>
      <c r="L206" s="34"/>
      <c r="M206" s="1"/>
      <c r="N206" s="1"/>
      <c r="O206" s="1"/>
      <c r="P206" s="98"/>
      <c r="T206" s="98"/>
      <c r="W206" s="315"/>
    </row>
    <row r="207" spans="1:23" ht="15" customHeight="1" x14ac:dyDescent="0.35">
      <c r="A207" s="263"/>
      <c r="B207" s="146" t="s">
        <v>1247</v>
      </c>
      <c r="C207" s="23"/>
      <c r="D207" s="3019"/>
      <c r="E207" s="3020"/>
      <c r="F207" s="3021"/>
      <c r="G207" s="3011"/>
      <c r="H207" s="3012"/>
      <c r="I207" s="225"/>
      <c r="J207" s="225"/>
      <c r="K207" s="23"/>
      <c r="L207" s="34"/>
      <c r="M207" s="1"/>
      <c r="N207" s="1"/>
      <c r="O207" s="1"/>
      <c r="P207" s="98"/>
      <c r="T207" s="98"/>
      <c r="W207" s="315"/>
    </row>
    <row r="208" spans="1:23" ht="15" customHeight="1" x14ac:dyDescent="0.35">
      <c r="A208" s="263"/>
      <c r="B208" s="146" t="s">
        <v>1248</v>
      </c>
      <c r="C208" s="23"/>
      <c r="D208" s="3019"/>
      <c r="E208" s="3020"/>
      <c r="F208" s="3021"/>
      <c r="G208" s="3011"/>
      <c r="H208" s="3012"/>
      <c r="I208" s="225"/>
      <c r="J208" s="225"/>
      <c r="K208" s="23"/>
      <c r="L208" s="34"/>
      <c r="M208" s="1"/>
      <c r="N208" s="1"/>
      <c r="O208" s="1"/>
      <c r="P208" s="98"/>
      <c r="T208" s="98"/>
      <c r="W208" s="315"/>
    </row>
    <row r="209" spans="1:23" ht="15" customHeight="1" x14ac:dyDescent="0.35">
      <c r="A209" s="263"/>
      <c r="B209" s="146" t="s">
        <v>1249</v>
      </c>
      <c r="C209" s="23"/>
      <c r="D209" s="3019"/>
      <c r="E209" s="3020"/>
      <c r="F209" s="3021"/>
      <c r="G209" s="3011"/>
      <c r="H209" s="3012"/>
      <c r="I209" s="225"/>
      <c r="J209" s="225"/>
      <c r="K209" s="23"/>
      <c r="L209" s="34"/>
      <c r="M209" s="1"/>
      <c r="N209" s="1"/>
      <c r="O209" s="1"/>
      <c r="P209" s="98"/>
      <c r="T209" s="98"/>
      <c r="W209" s="315"/>
    </row>
    <row r="210" spans="1:23" ht="15" customHeight="1" x14ac:dyDescent="0.35">
      <c r="A210" s="263"/>
      <c r="B210" s="146" t="s">
        <v>1250</v>
      </c>
      <c r="C210" s="23"/>
      <c r="D210" s="3019"/>
      <c r="E210" s="3020"/>
      <c r="F210" s="3021"/>
      <c r="G210" s="3011"/>
      <c r="H210" s="3012"/>
      <c r="I210" s="225"/>
      <c r="J210" s="225"/>
      <c r="K210" s="23"/>
      <c r="L210" s="34"/>
      <c r="M210" s="1"/>
      <c r="N210" s="1"/>
      <c r="O210" s="1"/>
      <c r="P210" s="98"/>
      <c r="T210" s="98"/>
      <c r="W210" s="315"/>
    </row>
    <row r="211" spans="1:23" ht="15" customHeight="1" x14ac:dyDescent="0.35">
      <c r="A211" s="263"/>
      <c r="B211" s="146" t="s">
        <v>1251</v>
      </c>
      <c r="C211" s="23"/>
      <c r="D211" s="3019"/>
      <c r="E211" s="3020"/>
      <c r="F211" s="3021"/>
      <c r="G211" s="3011"/>
      <c r="H211" s="3012"/>
      <c r="I211" s="225"/>
      <c r="J211" s="225"/>
      <c r="K211" s="23"/>
      <c r="L211" s="34"/>
      <c r="M211" s="1"/>
      <c r="N211" s="1"/>
      <c r="O211" s="1"/>
      <c r="P211" s="98"/>
      <c r="T211" s="98"/>
      <c r="W211" s="315"/>
    </row>
    <row r="212" spans="1:23" ht="15" customHeight="1" x14ac:dyDescent="0.35">
      <c r="A212" s="263"/>
      <c r="B212" s="146" t="s">
        <v>1252</v>
      </c>
      <c r="C212" s="23"/>
      <c r="D212" s="3019"/>
      <c r="E212" s="3020"/>
      <c r="F212" s="3021"/>
      <c r="G212" s="3011"/>
      <c r="H212" s="3012"/>
      <c r="I212" s="225"/>
      <c r="J212" s="225"/>
      <c r="K212" s="23"/>
      <c r="L212" s="34"/>
      <c r="M212" s="1"/>
      <c r="N212" s="1"/>
      <c r="O212" s="1"/>
      <c r="P212" s="98"/>
      <c r="T212" s="98"/>
      <c r="W212" s="315"/>
    </row>
    <row r="213" spans="1:23" ht="15" customHeight="1" x14ac:dyDescent="0.35">
      <c r="A213" s="263"/>
      <c r="B213" s="146" t="s">
        <v>1253</v>
      </c>
      <c r="C213" s="23"/>
      <c r="D213" s="3019"/>
      <c r="E213" s="3020"/>
      <c r="F213" s="3021"/>
      <c r="G213" s="3011"/>
      <c r="H213" s="3012"/>
      <c r="I213" s="225"/>
      <c r="J213" s="225"/>
      <c r="K213" s="23"/>
      <c r="L213" s="34"/>
      <c r="M213" s="1"/>
      <c r="N213" s="1"/>
      <c r="O213" s="1"/>
      <c r="P213" s="98"/>
      <c r="T213" s="98"/>
      <c r="W213" s="315"/>
    </row>
    <row r="214" spans="1:23" ht="15" customHeight="1" x14ac:dyDescent="0.35">
      <c r="A214" s="263"/>
      <c r="B214" s="146" t="s">
        <v>1254</v>
      </c>
      <c r="C214" s="23"/>
      <c r="D214" s="3019"/>
      <c r="E214" s="3020"/>
      <c r="F214" s="3021"/>
      <c r="G214" s="3011"/>
      <c r="H214" s="3012"/>
      <c r="I214" s="225"/>
      <c r="J214" s="225"/>
      <c r="K214" s="23"/>
      <c r="L214" s="34"/>
      <c r="M214" s="1"/>
      <c r="N214" s="1"/>
      <c r="O214" s="1"/>
      <c r="P214" s="98"/>
      <c r="T214" s="98"/>
      <c r="W214" s="315"/>
    </row>
    <row r="215" spans="1:23" ht="15" customHeight="1" x14ac:dyDescent="0.35">
      <c r="A215" s="263"/>
      <c r="B215" s="146" t="s">
        <v>1255</v>
      </c>
      <c r="C215" s="23"/>
      <c r="D215" s="3019"/>
      <c r="E215" s="3020"/>
      <c r="F215" s="3021"/>
      <c r="G215" s="3011"/>
      <c r="H215" s="3012"/>
      <c r="I215" s="225"/>
      <c r="J215" s="225"/>
      <c r="K215" s="23"/>
      <c r="L215" s="34"/>
      <c r="M215" s="1"/>
      <c r="N215" s="1"/>
      <c r="O215" s="1"/>
      <c r="P215" s="98"/>
      <c r="T215" s="98"/>
      <c r="W215" s="315"/>
    </row>
    <row r="216" spans="1:23" ht="15" customHeight="1" x14ac:dyDescent="0.35">
      <c r="A216" s="263"/>
      <c r="B216" s="146" t="s">
        <v>1256</v>
      </c>
      <c r="C216" s="23"/>
      <c r="D216" s="3019"/>
      <c r="E216" s="3020"/>
      <c r="F216" s="3021"/>
      <c r="G216" s="3011"/>
      <c r="H216" s="3012"/>
      <c r="I216" s="225"/>
      <c r="J216" s="225"/>
      <c r="K216" s="23"/>
      <c r="L216" s="34"/>
      <c r="M216" s="1"/>
      <c r="N216" s="1"/>
      <c r="O216" s="1"/>
      <c r="P216" s="98"/>
      <c r="T216" s="98"/>
      <c r="W216" s="315"/>
    </row>
    <row r="217" spans="1:23" ht="15" customHeight="1" x14ac:dyDescent="0.35">
      <c r="A217" s="263"/>
      <c r="B217" s="146" t="s">
        <v>1257</v>
      </c>
      <c r="C217" s="23"/>
      <c r="D217" s="3019"/>
      <c r="E217" s="3020"/>
      <c r="F217" s="3021"/>
      <c r="G217" s="3011"/>
      <c r="H217" s="3012"/>
      <c r="I217" s="225"/>
      <c r="J217" s="225"/>
      <c r="K217" s="23"/>
      <c r="L217" s="34"/>
      <c r="M217" s="1"/>
      <c r="N217" s="1"/>
      <c r="O217" s="1"/>
      <c r="P217" s="98"/>
      <c r="T217" s="98"/>
      <c r="W217" s="315"/>
    </row>
    <row r="218" spans="1:23" ht="15" customHeight="1" x14ac:dyDescent="0.35">
      <c r="A218" s="263"/>
      <c r="B218" s="146" t="s">
        <v>1258</v>
      </c>
      <c r="C218" s="23"/>
      <c r="D218" s="3019"/>
      <c r="E218" s="3020"/>
      <c r="F218" s="3021"/>
      <c r="G218" s="3011"/>
      <c r="H218" s="3012"/>
      <c r="I218" s="225"/>
      <c r="J218" s="225"/>
      <c r="K218" s="23"/>
      <c r="L218" s="34"/>
      <c r="M218" s="1"/>
      <c r="N218" s="1"/>
      <c r="O218" s="1"/>
      <c r="P218" s="98"/>
      <c r="T218" s="98"/>
      <c r="W218" s="315"/>
    </row>
    <row r="219" spans="1:23" ht="15" customHeight="1" x14ac:dyDescent="0.35">
      <c r="A219" s="263"/>
      <c r="B219" s="146" t="s">
        <v>1259</v>
      </c>
      <c r="C219" s="23"/>
      <c r="D219" s="3019"/>
      <c r="E219" s="3020"/>
      <c r="F219" s="3021"/>
      <c r="G219" s="3011"/>
      <c r="H219" s="3012"/>
      <c r="I219" s="225"/>
      <c r="J219" s="225"/>
      <c r="K219" s="23"/>
      <c r="L219" s="34"/>
      <c r="M219" s="1"/>
      <c r="N219" s="1"/>
      <c r="O219" s="1"/>
      <c r="P219" s="98"/>
      <c r="T219" s="98"/>
      <c r="W219" s="315"/>
    </row>
    <row r="220" spans="1:23" ht="15" customHeight="1" x14ac:dyDescent="0.35">
      <c r="A220" s="263"/>
      <c r="B220" s="146" t="s">
        <v>1260</v>
      </c>
      <c r="C220" s="23"/>
      <c r="D220" s="3019"/>
      <c r="E220" s="3020"/>
      <c r="F220" s="3021"/>
      <c r="G220" s="3011"/>
      <c r="H220" s="3012"/>
      <c r="I220" s="225"/>
      <c r="J220" s="225"/>
      <c r="K220" s="23"/>
      <c r="L220" s="34"/>
      <c r="M220" s="1"/>
      <c r="N220" s="1"/>
      <c r="O220" s="1"/>
      <c r="P220" s="98"/>
      <c r="T220" s="98"/>
      <c r="W220" s="315"/>
    </row>
    <row r="221" spans="1:23" ht="15" customHeight="1" x14ac:dyDescent="0.35">
      <c r="A221" s="263"/>
      <c r="B221" s="146" t="s">
        <v>1261</v>
      </c>
      <c r="C221" s="23"/>
      <c r="D221" s="3019"/>
      <c r="E221" s="3020"/>
      <c r="F221" s="3021"/>
      <c r="G221" s="3011"/>
      <c r="H221" s="3012"/>
      <c r="I221" s="225"/>
      <c r="J221" s="225"/>
      <c r="K221" s="23"/>
      <c r="L221" s="34"/>
      <c r="M221" s="1"/>
      <c r="N221" s="1"/>
      <c r="O221" s="1"/>
      <c r="P221" s="98"/>
      <c r="T221" s="98"/>
      <c r="W221" s="315"/>
    </row>
    <row r="222" spans="1:23" ht="15" customHeight="1" x14ac:dyDescent="0.35">
      <c r="A222" s="263"/>
      <c r="B222" s="146" t="s">
        <v>1262</v>
      </c>
      <c r="C222" s="23"/>
      <c r="D222" s="3019"/>
      <c r="E222" s="3020"/>
      <c r="F222" s="3021"/>
      <c r="G222" s="3011"/>
      <c r="H222" s="3012"/>
      <c r="I222" s="225"/>
      <c r="J222" s="225"/>
      <c r="K222" s="23"/>
      <c r="L222" s="34"/>
      <c r="M222" s="1"/>
      <c r="N222" s="1"/>
      <c r="O222" s="1"/>
      <c r="P222" s="98"/>
      <c r="T222" s="98"/>
      <c r="W222" s="315"/>
    </row>
    <row r="223" spans="1:23" ht="15" customHeight="1" x14ac:dyDescent="0.35">
      <c r="A223" s="263"/>
      <c r="B223" s="146" t="s">
        <v>1263</v>
      </c>
      <c r="C223" s="23"/>
      <c r="D223" s="3019"/>
      <c r="E223" s="3020"/>
      <c r="F223" s="3021"/>
      <c r="G223" s="3011"/>
      <c r="H223" s="3012"/>
      <c r="I223" s="225"/>
      <c r="J223" s="225"/>
      <c r="K223" s="23"/>
      <c r="L223" s="34"/>
      <c r="M223" s="1"/>
      <c r="N223" s="1"/>
      <c r="O223" s="1"/>
      <c r="P223" s="98"/>
      <c r="T223" s="98"/>
      <c r="W223" s="315"/>
    </row>
    <row r="224" spans="1:23" ht="15" customHeight="1" x14ac:dyDescent="0.35">
      <c r="A224" s="263"/>
      <c r="B224" s="146" t="s">
        <v>1264</v>
      </c>
      <c r="C224" s="23"/>
      <c r="D224" s="3019"/>
      <c r="E224" s="3020"/>
      <c r="F224" s="3021"/>
      <c r="G224" s="3011"/>
      <c r="H224" s="3012"/>
      <c r="I224" s="225"/>
      <c r="J224" s="225"/>
      <c r="K224" s="23"/>
      <c r="L224" s="34"/>
      <c r="M224" s="1"/>
      <c r="N224" s="1"/>
      <c r="O224" s="1"/>
      <c r="P224" s="98"/>
      <c r="T224" s="98"/>
      <c r="W224" s="315"/>
    </row>
    <row r="225" spans="1:23" ht="15" customHeight="1" x14ac:dyDescent="0.35">
      <c r="A225" s="263"/>
      <c r="B225" s="146" t="s">
        <v>1265</v>
      </c>
      <c r="C225" s="23"/>
      <c r="D225" s="3019"/>
      <c r="E225" s="3020"/>
      <c r="F225" s="3021"/>
      <c r="G225" s="3011"/>
      <c r="H225" s="3012"/>
      <c r="I225" s="225"/>
      <c r="J225" s="225"/>
      <c r="K225" s="23"/>
      <c r="L225" s="34"/>
      <c r="M225" s="1"/>
      <c r="N225" s="1"/>
      <c r="O225" s="1"/>
      <c r="P225" s="98"/>
      <c r="T225" s="98"/>
      <c r="W225" s="315"/>
    </row>
    <row r="226" spans="1:23" ht="15" customHeight="1" x14ac:dyDescent="0.35">
      <c r="A226" s="263"/>
      <c r="B226" s="146" t="s">
        <v>1266</v>
      </c>
      <c r="C226" s="23"/>
      <c r="D226" s="3019"/>
      <c r="E226" s="3020"/>
      <c r="F226" s="3021"/>
      <c r="G226" s="3011"/>
      <c r="H226" s="3012"/>
      <c r="I226" s="225"/>
      <c r="J226" s="225"/>
      <c r="K226" s="23"/>
      <c r="L226" s="34"/>
      <c r="M226" s="1"/>
      <c r="N226" s="1"/>
      <c r="O226" s="1"/>
      <c r="P226" s="98"/>
      <c r="T226" s="98"/>
      <c r="W226" s="315"/>
    </row>
    <row r="227" spans="1:23" ht="15" customHeight="1" x14ac:dyDescent="0.35">
      <c r="A227" s="263"/>
      <c r="B227" s="146" t="s">
        <v>1267</v>
      </c>
      <c r="C227" s="23"/>
      <c r="D227" s="3019"/>
      <c r="E227" s="3020"/>
      <c r="F227" s="3021"/>
      <c r="G227" s="3011"/>
      <c r="H227" s="3012"/>
      <c r="I227" s="225"/>
      <c r="J227" s="225"/>
      <c r="K227" s="23"/>
      <c r="L227" s="34"/>
      <c r="M227" s="1"/>
      <c r="N227" s="1"/>
      <c r="O227" s="1"/>
      <c r="P227" s="98"/>
      <c r="T227" s="98"/>
      <c r="W227" s="315"/>
    </row>
    <row r="228" spans="1:23" ht="15" customHeight="1" x14ac:dyDescent="0.35">
      <c r="A228" s="263"/>
      <c r="B228" s="146" t="s">
        <v>1268</v>
      </c>
      <c r="C228" s="23"/>
      <c r="D228" s="3019"/>
      <c r="E228" s="3020"/>
      <c r="F228" s="3021"/>
      <c r="G228" s="3011"/>
      <c r="H228" s="3012"/>
      <c r="I228" s="225"/>
      <c r="J228" s="225"/>
      <c r="K228" s="23"/>
      <c r="L228" s="34"/>
      <c r="M228" s="1"/>
      <c r="N228" s="1"/>
      <c r="O228" s="1"/>
      <c r="P228" s="98"/>
      <c r="T228" s="98"/>
      <c r="W228" s="315"/>
    </row>
    <row r="229" spans="1:23" ht="15" customHeight="1" x14ac:dyDescent="0.35">
      <c r="A229" s="263"/>
      <c r="B229" s="146" t="s">
        <v>1269</v>
      </c>
      <c r="C229" s="23"/>
      <c r="D229" s="3019"/>
      <c r="E229" s="3020"/>
      <c r="F229" s="3021"/>
      <c r="G229" s="3011"/>
      <c r="H229" s="3012"/>
      <c r="I229" s="225"/>
      <c r="J229" s="225"/>
      <c r="K229" s="23"/>
      <c r="L229" s="34"/>
      <c r="M229" s="1"/>
      <c r="N229" s="1"/>
      <c r="O229" s="1"/>
      <c r="P229" s="98"/>
      <c r="T229" s="98"/>
      <c r="W229" s="315"/>
    </row>
    <row r="230" spans="1:23" ht="15" customHeight="1" x14ac:dyDescent="0.35">
      <c r="A230" s="263"/>
      <c r="B230" s="146" t="s">
        <v>1270</v>
      </c>
      <c r="C230" s="23"/>
      <c r="D230" s="3019"/>
      <c r="E230" s="3020"/>
      <c r="F230" s="3021"/>
      <c r="G230" s="3011"/>
      <c r="H230" s="3012"/>
      <c r="I230" s="225"/>
      <c r="J230" s="225"/>
      <c r="K230" s="23"/>
      <c r="L230" s="34"/>
      <c r="M230" s="1"/>
      <c r="N230" s="1"/>
      <c r="O230" s="1"/>
      <c r="P230" s="98"/>
      <c r="T230" s="98"/>
      <c r="W230" s="315"/>
    </row>
    <row r="231" spans="1:23" ht="15" customHeight="1" x14ac:dyDescent="0.35">
      <c r="A231" s="263"/>
      <c r="B231" s="146" t="s">
        <v>1271</v>
      </c>
      <c r="C231" s="23"/>
      <c r="D231" s="3019"/>
      <c r="E231" s="3020"/>
      <c r="F231" s="3021"/>
      <c r="G231" s="3011"/>
      <c r="H231" s="3012"/>
      <c r="I231" s="225"/>
      <c r="J231" s="225"/>
      <c r="K231" s="23"/>
      <c r="L231" s="34"/>
      <c r="M231" s="1"/>
      <c r="N231" s="1"/>
      <c r="O231" s="1"/>
      <c r="P231" s="98"/>
      <c r="T231" s="98"/>
      <c r="W231" s="315"/>
    </row>
    <row r="232" spans="1:23" ht="15" customHeight="1" x14ac:dyDescent="0.35">
      <c r="A232" s="263"/>
      <c r="B232" s="146" t="s">
        <v>1272</v>
      </c>
      <c r="C232" s="23"/>
      <c r="D232" s="3019"/>
      <c r="E232" s="3020"/>
      <c r="F232" s="3021"/>
      <c r="G232" s="3011"/>
      <c r="H232" s="3012"/>
      <c r="I232" s="225"/>
      <c r="J232" s="225"/>
      <c r="K232" s="23"/>
      <c r="L232" s="34"/>
      <c r="M232" s="1"/>
      <c r="N232" s="1"/>
      <c r="O232" s="1"/>
      <c r="P232" s="98"/>
      <c r="T232" s="98"/>
      <c r="W232" s="315"/>
    </row>
    <row r="233" spans="1:23" ht="15" customHeight="1" x14ac:dyDescent="0.35">
      <c r="A233" s="263"/>
      <c r="B233" s="146" t="s">
        <v>1273</v>
      </c>
      <c r="C233" s="23"/>
      <c r="D233" s="3019"/>
      <c r="E233" s="3020"/>
      <c r="F233" s="3021"/>
      <c r="G233" s="3011"/>
      <c r="H233" s="3012"/>
      <c r="I233" s="225"/>
      <c r="J233" s="225"/>
      <c r="K233" s="23"/>
      <c r="L233" s="34"/>
      <c r="M233" s="1"/>
      <c r="N233" s="1"/>
      <c r="O233" s="1"/>
      <c r="P233" s="98"/>
      <c r="T233" s="98"/>
      <c r="W233" s="315"/>
    </row>
    <row r="234" spans="1:23" ht="15" customHeight="1" x14ac:dyDescent="0.35">
      <c r="A234" s="263"/>
      <c r="B234" s="146" t="s">
        <v>1274</v>
      </c>
      <c r="C234" s="23"/>
      <c r="D234" s="3019"/>
      <c r="E234" s="3020"/>
      <c r="F234" s="3021"/>
      <c r="G234" s="3011"/>
      <c r="H234" s="3012"/>
      <c r="I234" s="225"/>
      <c r="J234" s="225"/>
      <c r="K234" s="23"/>
      <c r="L234" s="34"/>
      <c r="M234" s="1"/>
      <c r="N234" s="1"/>
      <c r="O234" s="1"/>
      <c r="P234" s="98"/>
      <c r="T234" s="98"/>
      <c r="W234" s="315"/>
    </row>
    <row r="235" spans="1:23" ht="15" customHeight="1" x14ac:dyDescent="0.35">
      <c r="A235" s="263"/>
      <c r="B235" s="146" t="s">
        <v>1275</v>
      </c>
      <c r="C235" s="23"/>
      <c r="D235" s="3019"/>
      <c r="E235" s="3020"/>
      <c r="F235" s="3021"/>
      <c r="G235" s="3011"/>
      <c r="H235" s="3012"/>
      <c r="I235" s="225"/>
      <c r="J235" s="225"/>
      <c r="K235" s="23"/>
      <c r="L235" s="34"/>
      <c r="M235" s="1"/>
      <c r="N235" s="1"/>
      <c r="O235" s="1"/>
      <c r="P235" s="98"/>
      <c r="T235" s="98"/>
      <c r="W235" s="315"/>
    </row>
    <row r="236" spans="1:23" ht="15" customHeight="1" x14ac:dyDescent="0.35">
      <c r="A236" s="263"/>
      <c r="B236" s="146" t="s">
        <v>1276</v>
      </c>
      <c r="C236" s="23"/>
      <c r="D236" s="3019"/>
      <c r="E236" s="3020"/>
      <c r="F236" s="3021"/>
      <c r="G236" s="3011"/>
      <c r="H236" s="3012"/>
      <c r="I236" s="225"/>
      <c r="J236" s="225"/>
      <c r="K236" s="23"/>
      <c r="L236" s="34"/>
      <c r="M236" s="1"/>
      <c r="N236" s="1"/>
      <c r="O236" s="1"/>
      <c r="P236" s="98"/>
      <c r="T236" s="98"/>
      <c r="W236" s="315"/>
    </row>
    <row r="237" spans="1:23" ht="15" customHeight="1" x14ac:dyDescent="0.35">
      <c r="A237" s="263"/>
      <c r="B237" s="146" t="s">
        <v>1277</v>
      </c>
      <c r="C237" s="23"/>
      <c r="D237" s="3019"/>
      <c r="E237" s="3020"/>
      <c r="F237" s="3021"/>
      <c r="G237" s="3011"/>
      <c r="H237" s="3012"/>
      <c r="I237" s="225"/>
      <c r="J237" s="225"/>
      <c r="K237" s="23"/>
      <c r="L237" s="34"/>
      <c r="M237" s="1"/>
      <c r="N237" s="1"/>
      <c r="O237" s="1"/>
      <c r="P237" s="98"/>
      <c r="T237" s="98"/>
      <c r="W237" s="315"/>
    </row>
    <row r="238" spans="1:23" ht="15" customHeight="1" x14ac:dyDescent="0.35">
      <c r="A238" s="263"/>
      <c r="B238" s="146" t="s">
        <v>1278</v>
      </c>
      <c r="C238" s="23"/>
      <c r="D238" s="3019"/>
      <c r="E238" s="3020"/>
      <c r="F238" s="3021"/>
      <c r="G238" s="3011"/>
      <c r="H238" s="3012"/>
      <c r="I238" s="225"/>
      <c r="J238" s="225"/>
      <c r="K238" s="23"/>
      <c r="L238" s="34"/>
      <c r="M238" s="1"/>
      <c r="N238" s="1"/>
      <c r="O238" s="1"/>
      <c r="P238" s="98"/>
      <c r="T238" s="98"/>
      <c r="W238" s="315"/>
    </row>
    <row r="239" spans="1:23" ht="15" customHeight="1" x14ac:dyDescent="0.35">
      <c r="A239" s="263"/>
      <c r="B239" s="146" t="s">
        <v>1279</v>
      </c>
      <c r="C239" s="23"/>
      <c r="D239" s="3019"/>
      <c r="E239" s="3020"/>
      <c r="F239" s="3021"/>
      <c r="G239" s="3011"/>
      <c r="H239" s="3012"/>
      <c r="I239" s="225"/>
      <c r="J239" s="225"/>
      <c r="K239" s="23"/>
      <c r="L239" s="34"/>
      <c r="M239" s="1"/>
      <c r="N239" s="1"/>
      <c r="O239" s="1"/>
      <c r="P239" s="98"/>
      <c r="T239" s="98"/>
      <c r="W239" s="315"/>
    </row>
    <row r="240" spans="1:23" ht="15" customHeight="1" x14ac:dyDescent="0.35">
      <c r="A240" s="263"/>
      <c r="B240" s="146" t="s">
        <v>1280</v>
      </c>
      <c r="C240" s="23"/>
      <c r="D240" s="3019"/>
      <c r="E240" s="3020"/>
      <c r="F240" s="3021"/>
      <c r="G240" s="3011"/>
      <c r="H240" s="3012"/>
      <c r="I240" s="225"/>
      <c r="J240" s="225"/>
      <c r="K240" s="23"/>
      <c r="L240" s="34"/>
      <c r="M240" s="1"/>
      <c r="N240" s="1"/>
      <c r="O240" s="1"/>
      <c r="P240" s="98"/>
      <c r="T240" s="98"/>
      <c r="W240" s="315"/>
    </row>
    <row r="241" spans="1:23" ht="15" customHeight="1" x14ac:dyDescent="0.35">
      <c r="A241" s="263"/>
      <c r="B241" s="146" t="s">
        <v>1281</v>
      </c>
      <c r="C241" s="23"/>
      <c r="D241" s="3019"/>
      <c r="E241" s="3020"/>
      <c r="F241" s="3021"/>
      <c r="G241" s="3011"/>
      <c r="H241" s="3012"/>
      <c r="I241" s="225"/>
      <c r="J241" s="225"/>
      <c r="K241" s="23"/>
      <c r="L241" s="34"/>
      <c r="M241" s="1"/>
      <c r="N241" s="1"/>
      <c r="O241" s="1"/>
      <c r="P241" s="98"/>
      <c r="T241" s="98"/>
      <c r="W241" s="315"/>
    </row>
    <row r="242" spans="1:23" ht="15" customHeight="1" x14ac:dyDescent="0.35">
      <c r="A242" s="263"/>
      <c r="B242" s="146" t="s">
        <v>1282</v>
      </c>
      <c r="C242" s="23"/>
      <c r="D242" s="3019"/>
      <c r="E242" s="3020"/>
      <c r="F242" s="3021"/>
      <c r="G242" s="3011"/>
      <c r="H242" s="3012"/>
      <c r="I242" s="225"/>
      <c r="J242" s="225"/>
      <c r="K242" s="23"/>
      <c r="L242" s="34"/>
      <c r="M242" s="1"/>
      <c r="N242" s="1"/>
      <c r="O242" s="1"/>
      <c r="P242" s="98"/>
      <c r="T242" s="98"/>
      <c r="W242" s="315"/>
    </row>
    <row r="243" spans="1:23" ht="15" customHeight="1" x14ac:dyDescent="0.35">
      <c r="A243" s="263"/>
      <c r="B243" s="146" t="s">
        <v>1283</v>
      </c>
      <c r="C243" s="23"/>
      <c r="D243" s="3019"/>
      <c r="E243" s="3020"/>
      <c r="F243" s="3021"/>
      <c r="G243" s="3011"/>
      <c r="H243" s="3012"/>
      <c r="I243" s="225"/>
      <c r="J243" s="225"/>
      <c r="K243" s="23"/>
      <c r="L243" s="34"/>
      <c r="M243" s="1"/>
      <c r="N243" s="1"/>
      <c r="O243" s="1"/>
      <c r="P243" s="98"/>
      <c r="T243" s="98"/>
      <c r="W243" s="315"/>
    </row>
    <row r="244" spans="1:23" ht="15" customHeight="1" x14ac:dyDescent="0.35">
      <c r="A244" s="263"/>
      <c r="B244" s="146" t="s">
        <v>1284</v>
      </c>
      <c r="C244" s="23"/>
      <c r="D244" s="3019"/>
      <c r="E244" s="3020"/>
      <c r="F244" s="3021"/>
      <c r="G244" s="3011"/>
      <c r="H244" s="3012"/>
      <c r="I244" s="225"/>
      <c r="J244" s="225"/>
      <c r="K244" s="23"/>
      <c r="L244" s="34"/>
      <c r="M244" s="1"/>
      <c r="N244" s="1"/>
      <c r="O244" s="1"/>
      <c r="P244" s="98"/>
      <c r="T244" s="98"/>
      <c r="W244" s="315"/>
    </row>
    <row r="245" spans="1:23" ht="15" customHeight="1" x14ac:dyDescent="0.35">
      <c r="A245" s="263"/>
      <c r="B245" s="146" t="s">
        <v>1285</v>
      </c>
      <c r="C245" s="23"/>
      <c r="D245" s="3019"/>
      <c r="E245" s="3020"/>
      <c r="F245" s="3021"/>
      <c r="G245" s="3011"/>
      <c r="H245" s="3012"/>
      <c r="I245" s="225"/>
      <c r="J245" s="225"/>
      <c r="K245" s="23"/>
      <c r="L245" s="34"/>
      <c r="M245" s="1"/>
      <c r="N245" s="1"/>
      <c r="O245" s="1"/>
      <c r="P245" s="98"/>
      <c r="T245" s="98"/>
      <c r="W245" s="315"/>
    </row>
    <row r="246" spans="1:23" ht="15" customHeight="1" x14ac:dyDescent="0.35">
      <c r="A246" s="263"/>
      <c r="B246" s="146" t="s">
        <v>1286</v>
      </c>
      <c r="C246" s="23"/>
      <c r="D246" s="3019"/>
      <c r="E246" s="3020"/>
      <c r="F246" s="3021"/>
      <c r="G246" s="3011"/>
      <c r="H246" s="3012"/>
      <c r="I246" s="225"/>
      <c r="J246" s="225"/>
      <c r="K246" s="23"/>
      <c r="L246" s="34"/>
      <c r="M246" s="1"/>
      <c r="N246" s="1"/>
      <c r="O246" s="1"/>
      <c r="P246" s="98"/>
      <c r="T246" s="98"/>
      <c r="W246" s="315"/>
    </row>
    <row r="247" spans="1:23" ht="15" customHeight="1" x14ac:dyDescent="0.35">
      <c r="A247" s="263"/>
      <c r="B247" s="146" t="s">
        <v>1287</v>
      </c>
      <c r="C247" s="23"/>
      <c r="D247" s="3019"/>
      <c r="E247" s="3020"/>
      <c r="F247" s="3021"/>
      <c r="G247" s="3011"/>
      <c r="H247" s="3012"/>
      <c r="I247" s="225"/>
      <c r="J247" s="225"/>
      <c r="K247" s="23"/>
      <c r="L247" s="34"/>
      <c r="M247" s="1"/>
      <c r="N247" s="1"/>
      <c r="O247" s="1"/>
      <c r="P247" s="98"/>
      <c r="T247" s="98"/>
      <c r="W247" s="315"/>
    </row>
    <row r="248" spans="1:23" ht="15" customHeight="1" x14ac:dyDescent="0.35">
      <c r="A248" s="263"/>
      <c r="B248" s="146" t="s">
        <v>1288</v>
      </c>
      <c r="C248" s="23"/>
      <c r="D248" s="3019"/>
      <c r="E248" s="3020"/>
      <c r="F248" s="3021"/>
      <c r="G248" s="3011"/>
      <c r="H248" s="3012"/>
      <c r="I248" s="225"/>
      <c r="J248" s="225"/>
      <c r="K248" s="23"/>
      <c r="L248" s="34"/>
      <c r="M248" s="1"/>
      <c r="N248" s="1"/>
      <c r="O248" s="1"/>
      <c r="P248" s="98"/>
      <c r="T248" s="98"/>
      <c r="W248" s="315"/>
    </row>
    <row r="249" spans="1:23" ht="15" customHeight="1" x14ac:dyDescent="0.35">
      <c r="A249" s="263"/>
      <c r="B249" s="146" t="s">
        <v>1289</v>
      </c>
      <c r="C249" s="23"/>
      <c r="D249" s="3019"/>
      <c r="E249" s="3020"/>
      <c r="F249" s="3021"/>
      <c r="G249" s="3011"/>
      <c r="H249" s="3012"/>
      <c r="I249" s="225"/>
      <c r="J249" s="225"/>
      <c r="K249" s="23"/>
      <c r="L249" s="34"/>
      <c r="M249" s="1"/>
      <c r="N249" s="1"/>
      <c r="O249" s="1"/>
      <c r="P249" s="98"/>
      <c r="T249" s="98"/>
      <c r="W249" s="315"/>
    </row>
    <row r="250" spans="1:23" ht="15" customHeight="1" x14ac:dyDescent="0.35">
      <c r="A250" s="263"/>
      <c r="B250" s="146" t="s">
        <v>1290</v>
      </c>
      <c r="C250" s="23"/>
      <c r="D250" s="3019"/>
      <c r="E250" s="3020"/>
      <c r="F250" s="3021"/>
      <c r="G250" s="3011"/>
      <c r="H250" s="3012"/>
      <c r="I250" s="225"/>
      <c r="J250" s="225"/>
      <c r="K250" s="23"/>
      <c r="L250" s="34"/>
      <c r="M250" s="1"/>
      <c r="N250" s="1"/>
      <c r="O250" s="1"/>
      <c r="P250" s="98"/>
      <c r="T250" s="98"/>
      <c r="W250" s="315"/>
    </row>
    <row r="251" spans="1:23" ht="15" customHeight="1" x14ac:dyDescent="0.35">
      <c r="A251" s="263"/>
      <c r="B251" s="146" t="s">
        <v>1291</v>
      </c>
      <c r="C251" s="23"/>
      <c r="D251" s="3019"/>
      <c r="E251" s="3020"/>
      <c r="F251" s="3021"/>
      <c r="G251" s="3011"/>
      <c r="H251" s="3012"/>
      <c r="I251" s="225"/>
      <c r="J251" s="225"/>
      <c r="K251" s="23"/>
      <c r="L251" s="34"/>
      <c r="M251" s="1"/>
      <c r="N251" s="1"/>
      <c r="O251" s="1"/>
      <c r="P251" s="98"/>
      <c r="T251" s="98"/>
      <c r="W251" s="315"/>
    </row>
    <row r="252" spans="1:23" ht="15" customHeight="1" x14ac:dyDescent="0.35">
      <c r="A252" s="263"/>
      <c r="B252" s="146" t="s">
        <v>1292</v>
      </c>
      <c r="C252" s="23"/>
      <c r="D252" s="3019"/>
      <c r="E252" s="3020"/>
      <c r="F252" s="3021"/>
      <c r="G252" s="3011"/>
      <c r="H252" s="3012"/>
      <c r="I252" s="225"/>
      <c r="J252" s="225"/>
      <c r="K252" s="23"/>
      <c r="L252" s="34"/>
      <c r="M252" s="1"/>
      <c r="N252" s="1"/>
      <c r="O252" s="1"/>
      <c r="P252" s="98"/>
      <c r="T252" s="98"/>
      <c r="W252" s="315"/>
    </row>
    <row r="253" spans="1:23" ht="15" customHeight="1" x14ac:dyDescent="0.35">
      <c r="A253" s="263"/>
      <c r="B253" s="146" t="s">
        <v>1293</v>
      </c>
      <c r="C253" s="23"/>
      <c r="D253" s="3019"/>
      <c r="E253" s="3020"/>
      <c r="F253" s="3021"/>
      <c r="G253" s="3011"/>
      <c r="H253" s="3012"/>
      <c r="I253" s="225"/>
      <c r="J253" s="225"/>
      <c r="K253" s="23"/>
      <c r="L253" s="34"/>
      <c r="M253" s="1"/>
      <c r="N253" s="1"/>
      <c r="O253" s="1"/>
      <c r="P253" s="98"/>
      <c r="T253" s="98"/>
      <c r="W253" s="315"/>
    </row>
    <row r="254" spans="1:23" ht="15" customHeight="1" x14ac:dyDescent="0.35">
      <c r="A254" s="263"/>
      <c r="B254" s="146" t="s">
        <v>1294</v>
      </c>
      <c r="C254" s="23"/>
      <c r="D254" s="3019"/>
      <c r="E254" s="3020"/>
      <c r="F254" s="3021"/>
      <c r="G254" s="3011"/>
      <c r="H254" s="3012"/>
      <c r="I254" s="225"/>
      <c r="J254" s="225"/>
      <c r="K254" s="23"/>
      <c r="L254" s="34"/>
      <c r="M254" s="1"/>
      <c r="N254" s="1"/>
      <c r="O254" s="1"/>
      <c r="P254" s="98"/>
      <c r="T254" s="98"/>
      <c r="W254" s="315"/>
    </row>
    <row r="255" spans="1:23" ht="15" customHeight="1" x14ac:dyDescent="0.35">
      <c r="A255" s="263"/>
      <c r="B255" s="146" t="s">
        <v>1295</v>
      </c>
      <c r="C255" s="23"/>
      <c r="D255" s="3019"/>
      <c r="E255" s="3020"/>
      <c r="F255" s="3021"/>
      <c r="G255" s="3011"/>
      <c r="H255" s="3012"/>
      <c r="I255" s="225"/>
      <c r="J255" s="225"/>
      <c r="K255" s="23"/>
      <c r="L255" s="34"/>
      <c r="M255" s="1"/>
      <c r="N255" s="1"/>
      <c r="O255" s="1"/>
      <c r="P255" s="98"/>
      <c r="T255" s="98"/>
      <c r="W255" s="315"/>
    </row>
    <row r="256" spans="1:23" ht="15" customHeight="1" x14ac:dyDescent="0.35">
      <c r="A256" s="263"/>
      <c r="B256" s="146" t="s">
        <v>1296</v>
      </c>
      <c r="C256" s="23"/>
      <c r="D256" s="3019"/>
      <c r="E256" s="3020"/>
      <c r="F256" s="3021"/>
      <c r="G256" s="3011"/>
      <c r="H256" s="3012"/>
      <c r="I256" s="225"/>
      <c r="J256" s="225"/>
      <c r="K256" s="23"/>
      <c r="L256" s="34"/>
      <c r="M256" s="1"/>
      <c r="N256" s="1"/>
      <c r="O256" s="1"/>
      <c r="P256" s="98"/>
      <c r="T256" s="98"/>
      <c r="W256" s="315"/>
    </row>
    <row r="257" spans="1:23" ht="15" customHeight="1" x14ac:dyDescent="0.35">
      <c r="A257" s="263"/>
      <c r="B257" s="146" t="s">
        <v>1297</v>
      </c>
      <c r="C257" s="23"/>
      <c r="D257" s="3019"/>
      <c r="E257" s="3020"/>
      <c r="F257" s="3021"/>
      <c r="G257" s="3011"/>
      <c r="H257" s="3012"/>
      <c r="I257" s="225"/>
      <c r="J257" s="225"/>
      <c r="K257" s="23"/>
      <c r="L257" s="34"/>
      <c r="M257" s="1"/>
      <c r="N257" s="1"/>
      <c r="O257" s="1"/>
      <c r="P257" s="98"/>
      <c r="T257" s="98"/>
      <c r="W257" s="315"/>
    </row>
    <row r="258" spans="1:23" ht="15" customHeight="1" x14ac:dyDescent="0.35">
      <c r="A258" s="263"/>
      <c r="B258" s="146" t="s">
        <v>1298</v>
      </c>
      <c r="C258" s="23"/>
      <c r="D258" s="3019"/>
      <c r="E258" s="3020"/>
      <c r="F258" s="3021"/>
      <c r="G258" s="3011"/>
      <c r="H258" s="3012"/>
      <c r="I258" s="225"/>
      <c r="J258" s="225"/>
      <c r="K258" s="23"/>
      <c r="L258" s="34"/>
      <c r="M258" s="1"/>
      <c r="N258" s="1"/>
      <c r="O258" s="1"/>
      <c r="P258" s="98"/>
      <c r="T258" s="98"/>
      <c r="W258" s="315"/>
    </row>
    <row r="259" spans="1:23" ht="15" customHeight="1" x14ac:dyDescent="0.35">
      <c r="A259" s="263"/>
      <c r="B259" s="146" t="s">
        <v>1299</v>
      </c>
      <c r="C259" s="23"/>
      <c r="D259" s="3019"/>
      <c r="E259" s="3020"/>
      <c r="F259" s="3021"/>
      <c r="G259" s="3011"/>
      <c r="H259" s="3012"/>
      <c r="I259" s="225"/>
      <c r="J259" s="225"/>
      <c r="K259" s="23"/>
      <c r="L259" s="34"/>
      <c r="M259" s="1"/>
      <c r="N259" s="1"/>
      <c r="O259" s="1"/>
      <c r="P259" s="98"/>
      <c r="T259" s="98"/>
      <c r="W259" s="315"/>
    </row>
    <row r="260" spans="1:23" ht="15" customHeight="1" x14ac:dyDescent="0.35">
      <c r="A260" s="263"/>
      <c r="B260" s="146" t="s">
        <v>1300</v>
      </c>
      <c r="C260" s="23"/>
      <c r="D260" s="3019"/>
      <c r="E260" s="3020"/>
      <c r="F260" s="3021"/>
      <c r="G260" s="3011"/>
      <c r="H260" s="3012"/>
      <c r="I260" s="225"/>
      <c r="J260" s="225"/>
      <c r="K260" s="23"/>
      <c r="L260" s="34"/>
      <c r="M260" s="1"/>
      <c r="N260" s="1"/>
      <c r="O260" s="1"/>
      <c r="P260" s="98"/>
      <c r="T260" s="98"/>
      <c r="W260" s="315"/>
    </row>
    <row r="261" spans="1:23" ht="15" customHeight="1" x14ac:dyDescent="0.35">
      <c r="A261" s="263"/>
      <c r="B261" s="146" t="s">
        <v>1301</v>
      </c>
      <c r="C261" s="23"/>
      <c r="D261" s="3019"/>
      <c r="E261" s="3020"/>
      <c r="F261" s="3021"/>
      <c r="G261" s="3011"/>
      <c r="H261" s="3012"/>
      <c r="I261" s="225"/>
      <c r="J261" s="225"/>
      <c r="K261" s="23"/>
      <c r="L261" s="34"/>
      <c r="M261" s="1"/>
      <c r="N261" s="1"/>
      <c r="O261" s="1"/>
      <c r="P261" s="98"/>
      <c r="T261" s="98"/>
      <c r="W261" s="315"/>
    </row>
    <row r="262" spans="1:23" ht="15" customHeight="1" x14ac:dyDescent="0.35">
      <c r="A262" s="263"/>
      <c r="B262" s="146" t="s">
        <v>1302</v>
      </c>
      <c r="C262" s="23"/>
      <c r="D262" s="3019"/>
      <c r="E262" s="3020"/>
      <c r="F262" s="3021"/>
      <c r="G262" s="3011"/>
      <c r="H262" s="3012"/>
      <c r="I262" s="225"/>
      <c r="J262" s="225"/>
      <c r="K262" s="23"/>
      <c r="L262" s="34"/>
      <c r="M262" s="1"/>
      <c r="N262" s="1"/>
      <c r="O262" s="1"/>
      <c r="P262" s="98"/>
      <c r="T262" s="98"/>
      <c r="W262" s="315"/>
    </row>
    <row r="263" spans="1:23" ht="15" customHeight="1" x14ac:dyDescent="0.35">
      <c r="A263" s="263"/>
      <c r="B263" s="146" t="s">
        <v>1303</v>
      </c>
      <c r="C263" s="23"/>
      <c r="D263" s="3019"/>
      <c r="E263" s="3020"/>
      <c r="F263" s="3021"/>
      <c r="G263" s="3011"/>
      <c r="H263" s="3012"/>
      <c r="I263" s="225"/>
      <c r="J263" s="225"/>
      <c r="K263" s="23"/>
      <c r="L263" s="34"/>
      <c r="M263" s="1"/>
      <c r="N263" s="1"/>
      <c r="O263" s="1"/>
      <c r="P263" s="98"/>
      <c r="T263" s="98"/>
      <c r="W263" s="315"/>
    </row>
    <row r="264" spans="1:23" ht="15" customHeight="1" x14ac:dyDescent="0.35">
      <c r="A264" s="263"/>
      <c r="B264" s="146" t="s">
        <v>1304</v>
      </c>
      <c r="C264" s="23"/>
      <c r="D264" s="3019"/>
      <c r="E264" s="3020"/>
      <c r="F264" s="3021"/>
      <c r="G264" s="3011"/>
      <c r="H264" s="3012"/>
      <c r="I264" s="225"/>
      <c r="J264" s="225"/>
      <c r="K264" s="23"/>
      <c r="L264" s="34"/>
      <c r="M264" s="1"/>
      <c r="N264" s="1"/>
      <c r="O264" s="1"/>
      <c r="P264" s="98"/>
      <c r="T264" s="98"/>
      <c r="W264" s="315"/>
    </row>
    <row r="265" spans="1:23" ht="15" customHeight="1" x14ac:dyDescent="0.35">
      <c r="A265" s="263"/>
      <c r="B265" s="146" t="s">
        <v>1305</v>
      </c>
      <c r="C265" s="23"/>
      <c r="D265" s="3019"/>
      <c r="E265" s="3020"/>
      <c r="F265" s="3021"/>
      <c r="G265" s="3011"/>
      <c r="H265" s="3012"/>
      <c r="I265" s="225"/>
      <c r="J265" s="225"/>
      <c r="K265" s="23"/>
      <c r="L265" s="34"/>
      <c r="M265" s="1"/>
      <c r="N265" s="1"/>
      <c r="O265" s="1"/>
      <c r="P265" s="98"/>
      <c r="T265" s="98"/>
      <c r="W265" s="315"/>
    </row>
    <row r="266" spans="1:23" ht="15" customHeight="1" x14ac:dyDescent="0.35">
      <c r="A266" s="263"/>
      <c r="B266" s="146" t="s">
        <v>1306</v>
      </c>
      <c r="C266" s="23"/>
      <c r="D266" s="3019"/>
      <c r="E266" s="3020"/>
      <c r="F266" s="3021"/>
      <c r="G266" s="3011"/>
      <c r="H266" s="3012"/>
      <c r="I266" s="225"/>
      <c r="J266" s="225"/>
      <c r="K266" s="23"/>
      <c r="L266" s="34"/>
      <c r="M266" s="1"/>
      <c r="N266" s="1"/>
      <c r="O266" s="1"/>
      <c r="P266" s="98"/>
      <c r="T266" s="98"/>
      <c r="W266" s="315"/>
    </row>
    <row r="267" spans="1:23" ht="15" customHeight="1" x14ac:dyDescent="0.35">
      <c r="A267" s="263"/>
      <c r="B267" s="146" t="s">
        <v>1307</v>
      </c>
      <c r="C267" s="23"/>
      <c r="D267" s="3019"/>
      <c r="E267" s="3020"/>
      <c r="F267" s="3021"/>
      <c r="G267" s="3011"/>
      <c r="H267" s="3012"/>
      <c r="I267" s="225"/>
      <c r="J267" s="225"/>
      <c r="K267" s="23"/>
      <c r="L267" s="34"/>
      <c r="M267" s="1"/>
      <c r="N267" s="1"/>
      <c r="O267" s="1"/>
      <c r="P267" s="98"/>
      <c r="T267" s="98"/>
      <c r="W267" s="315"/>
    </row>
    <row r="268" spans="1:23" ht="15" customHeight="1" x14ac:dyDescent="0.35">
      <c r="A268" s="263"/>
      <c r="B268" s="146" t="s">
        <v>1308</v>
      </c>
      <c r="C268" s="23"/>
      <c r="D268" s="3019"/>
      <c r="E268" s="3020"/>
      <c r="F268" s="3021"/>
      <c r="G268" s="3011"/>
      <c r="H268" s="3012"/>
      <c r="I268" s="225"/>
      <c r="J268" s="225"/>
      <c r="K268" s="23"/>
      <c r="L268" s="34"/>
      <c r="M268" s="1"/>
      <c r="N268" s="1"/>
      <c r="O268" s="1"/>
      <c r="P268" s="98"/>
      <c r="T268" s="98"/>
      <c r="W268" s="315"/>
    </row>
    <row r="269" spans="1:23" ht="15" customHeight="1" x14ac:dyDescent="0.35">
      <c r="A269" s="263"/>
      <c r="B269" s="149" t="s">
        <v>1309</v>
      </c>
      <c r="C269" s="18"/>
      <c r="D269" s="3022"/>
      <c r="E269" s="3023"/>
      <c r="F269" s="3024"/>
      <c r="G269" s="3017"/>
      <c r="H269" s="3018"/>
      <c r="I269" s="226"/>
      <c r="J269" s="226"/>
      <c r="K269" s="18"/>
      <c r="L269" s="72"/>
      <c r="M269" s="1"/>
      <c r="N269" s="1"/>
      <c r="O269" s="1"/>
      <c r="P269" s="98"/>
      <c r="T269" s="98"/>
      <c r="W269" s="315"/>
    </row>
    <row r="270" spans="1:23" ht="15" customHeight="1" x14ac:dyDescent="0.35">
      <c r="A270" s="263"/>
      <c r="J270" s="275"/>
      <c r="K270" s="275"/>
      <c r="N270" s="275"/>
      <c r="P270" s="98"/>
      <c r="R270" s="275"/>
      <c r="T270" s="98"/>
      <c r="V270" s="275"/>
      <c r="W270" s="567"/>
    </row>
    <row r="271" spans="1:23" ht="45" customHeight="1" x14ac:dyDescent="0.45">
      <c r="A271" s="676" t="s">
        <v>1310</v>
      </c>
      <c r="B271" s="974"/>
      <c r="C271" s="966"/>
      <c r="D271" s="966"/>
      <c r="E271" s="966"/>
      <c r="F271" s="975"/>
      <c r="G271" s="966"/>
      <c r="H271" s="976"/>
      <c r="I271" s="966"/>
      <c r="J271" s="137"/>
      <c r="K271" s="966"/>
      <c r="L271" s="976"/>
      <c r="M271" s="966"/>
      <c r="N271" s="137"/>
      <c r="O271" s="966"/>
      <c r="P271" s="976"/>
      <c r="Q271" s="966"/>
      <c r="R271" s="137"/>
      <c r="S271" s="966"/>
      <c r="T271" s="976"/>
      <c r="U271" s="966"/>
      <c r="V271" s="137"/>
      <c r="W271" s="677"/>
    </row>
    <row r="272" spans="1:23" ht="15" customHeight="1" x14ac:dyDescent="0.35">
      <c r="A272" s="263"/>
      <c r="B272" s="683" t="s">
        <v>1075</v>
      </c>
      <c r="C272" s="979" t="s">
        <v>1076</v>
      </c>
      <c r="D272" s="2758" t="s">
        <v>1026</v>
      </c>
      <c r="E272" s="2761"/>
      <c r="F272" s="2761"/>
      <c r="G272" s="2758" t="s">
        <v>1311</v>
      </c>
      <c r="H272" s="2761"/>
      <c r="I272" s="2761"/>
      <c r="J272" s="2761"/>
      <c r="K272" s="2761"/>
      <c r="L272" s="2761"/>
      <c r="W272" s="315"/>
    </row>
    <row r="273" spans="1:23" ht="60" customHeight="1" x14ac:dyDescent="0.35">
      <c r="A273" s="263"/>
      <c r="B273" s="143" t="str">
        <f>"Q-"&amp;(ROW(B273)-ROW(B$272))</f>
        <v>Q-1</v>
      </c>
      <c r="C273" s="144"/>
      <c r="D273" s="3052"/>
      <c r="E273" s="3053"/>
      <c r="F273" s="3053"/>
      <c r="G273" s="3056" t="s">
        <v>1312</v>
      </c>
      <c r="H273" s="3056"/>
      <c r="I273" s="3056"/>
      <c r="J273" s="3056"/>
      <c r="K273" s="3056"/>
      <c r="L273" s="3056"/>
      <c r="W273" s="315"/>
    </row>
    <row r="274" spans="1:23" ht="60" customHeight="1" x14ac:dyDescent="0.35">
      <c r="A274" s="263"/>
      <c r="B274" s="143" t="str">
        <f t="shared" ref="B274:B337" si="1">"Q-"&amp;(ROW(B274)-ROW(B$272))</f>
        <v>Q-2</v>
      </c>
      <c r="C274" s="961"/>
      <c r="D274" s="3054"/>
      <c r="E274" s="3055"/>
      <c r="F274" s="3055"/>
      <c r="G274" s="3057" t="s">
        <v>1313</v>
      </c>
      <c r="H274" s="3057"/>
      <c r="I274" s="3057"/>
      <c r="J274" s="3057"/>
      <c r="K274" s="3057"/>
      <c r="L274" s="3057"/>
      <c r="W274" s="315"/>
    </row>
    <row r="275" spans="1:23" ht="60" customHeight="1" x14ac:dyDescent="0.35">
      <c r="A275" s="263"/>
      <c r="B275" s="143" t="str">
        <f t="shared" si="1"/>
        <v>Q-3</v>
      </c>
      <c r="C275" s="961"/>
      <c r="D275" s="3054"/>
      <c r="E275" s="3055"/>
      <c r="F275" s="3055"/>
      <c r="G275" s="3057" t="s">
        <v>1314</v>
      </c>
      <c r="H275" s="3057"/>
      <c r="I275" s="3057"/>
      <c r="J275" s="3057"/>
      <c r="K275" s="3057"/>
      <c r="L275" s="3057"/>
      <c r="W275" s="315"/>
    </row>
    <row r="276" spans="1:23" ht="60" customHeight="1" x14ac:dyDescent="0.35">
      <c r="A276" s="263"/>
      <c r="B276" s="143" t="str">
        <f t="shared" si="1"/>
        <v>Q-4</v>
      </c>
      <c r="C276" s="961"/>
      <c r="D276" s="3054"/>
      <c r="E276" s="3055"/>
      <c r="F276" s="3055"/>
      <c r="G276" s="3057" t="s">
        <v>1315</v>
      </c>
      <c r="H276" s="3057"/>
      <c r="I276" s="3057"/>
      <c r="J276" s="3057"/>
      <c r="K276" s="3057"/>
      <c r="L276" s="3057"/>
      <c r="W276" s="315"/>
    </row>
    <row r="277" spans="1:23" ht="75" customHeight="1" x14ac:dyDescent="0.35">
      <c r="A277" s="263"/>
      <c r="B277" s="143" t="str">
        <f t="shared" si="1"/>
        <v>Q-5</v>
      </c>
      <c r="C277" s="961"/>
      <c r="D277" s="3054"/>
      <c r="E277" s="3055"/>
      <c r="F277" s="3055"/>
      <c r="G277" s="3057" t="s">
        <v>1316</v>
      </c>
      <c r="H277" s="3057"/>
      <c r="I277" s="3057"/>
      <c r="J277" s="3057"/>
      <c r="K277" s="3057"/>
      <c r="L277" s="3057"/>
      <c r="W277" s="315"/>
    </row>
    <row r="278" spans="1:23" ht="75" customHeight="1" x14ac:dyDescent="0.35">
      <c r="A278" s="263"/>
      <c r="B278" s="143" t="str">
        <f t="shared" si="1"/>
        <v>Q-6</v>
      </c>
      <c r="C278" s="961"/>
      <c r="D278" s="3054"/>
      <c r="E278" s="3055"/>
      <c r="F278" s="3055"/>
      <c r="G278" s="3057" t="s">
        <v>1317</v>
      </c>
      <c r="H278" s="3057"/>
      <c r="I278" s="3057"/>
      <c r="J278" s="3057"/>
      <c r="K278" s="3057"/>
      <c r="L278" s="3057"/>
      <c r="W278" s="315"/>
    </row>
    <row r="279" spans="1:23" ht="60" customHeight="1" x14ac:dyDescent="0.35">
      <c r="A279" s="263"/>
      <c r="B279" s="143" t="str">
        <f t="shared" si="1"/>
        <v>Q-7</v>
      </c>
      <c r="C279" s="961"/>
      <c r="D279" s="3054"/>
      <c r="E279" s="3055"/>
      <c r="F279" s="3055"/>
      <c r="G279" s="3057" t="s">
        <v>1318</v>
      </c>
      <c r="H279" s="3057"/>
      <c r="I279" s="3057"/>
      <c r="J279" s="3057"/>
      <c r="K279" s="3057"/>
      <c r="L279" s="3057"/>
      <c r="W279" s="315"/>
    </row>
    <row r="280" spans="1:23" ht="60" customHeight="1" x14ac:dyDescent="0.35">
      <c r="A280" s="263"/>
      <c r="B280" s="143" t="str">
        <f t="shared" si="1"/>
        <v>Q-8</v>
      </c>
      <c r="C280" s="961"/>
      <c r="D280" s="3054"/>
      <c r="E280" s="3055"/>
      <c r="F280" s="3055"/>
      <c r="G280" s="3057" t="s">
        <v>1319</v>
      </c>
      <c r="H280" s="3057"/>
      <c r="I280" s="3057"/>
      <c r="J280" s="3057"/>
      <c r="K280" s="3057"/>
      <c r="L280" s="3057"/>
      <c r="W280" s="315"/>
    </row>
    <row r="281" spans="1:23" ht="45" customHeight="1" x14ac:dyDescent="0.35">
      <c r="A281" s="1736"/>
      <c r="B281" s="143" t="str">
        <f t="shared" si="1"/>
        <v>Q-9</v>
      </c>
      <c r="C281" s="961"/>
      <c r="D281" s="3054"/>
      <c r="E281" s="3055"/>
      <c r="F281" s="3055"/>
      <c r="G281" s="3057" t="s">
        <v>1320</v>
      </c>
      <c r="H281" s="3057"/>
      <c r="I281" s="3057"/>
      <c r="J281" s="3057"/>
      <c r="K281" s="3057"/>
      <c r="L281" s="3057"/>
      <c r="W281" s="315"/>
    </row>
    <row r="282" spans="1:23" ht="60" customHeight="1" x14ac:dyDescent="0.35">
      <c r="A282" s="263"/>
      <c r="B282" s="143" t="str">
        <f t="shared" si="1"/>
        <v>Q-10</v>
      </c>
      <c r="C282" s="961"/>
      <c r="D282" s="3054"/>
      <c r="E282" s="3055"/>
      <c r="F282" s="3055"/>
      <c r="G282" s="3057" t="s">
        <v>1321</v>
      </c>
      <c r="H282" s="3057"/>
      <c r="I282" s="3057"/>
      <c r="J282" s="3057"/>
      <c r="K282" s="3057"/>
      <c r="L282" s="3057"/>
      <c r="W282" s="315"/>
    </row>
    <row r="283" spans="1:23" ht="45" customHeight="1" x14ac:dyDescent="0.35">
      <c r="A283" s="263"/>
      <c r="B283" s="143" t="str">
        <f t="shared" si="1"/>
        <v>Q-11</v>
      </c>
      <c r="C283" s="961"/>
      <c r="D283" s="3054"/>
      <c r="E283" s="3055"/>
      <c r="F283" s="3055"/>
      <c r="G283" s="3057" t="s">
        <v>1322</v>
      </c>
      <c r="H283" s="3057"/>
      <c r="I283" s="3057"/>
      <c r="J283" s="3057"/>
      <c r="K283" s="3057"/>
      <c r="L283" s="3057"/>
      <c r="W283" s="315"/>
    </row>
    <row r="284" spans="1:23" ht="60" customHeight="1" x14ac:dyDescent="0.35">
      <c r="A284" s="263"/>
      <c r="B284" s="143" t="str">
        <f t="shared" si="1"/>
        <v>Q-12</v>
      </c>
      <c r="C284" s="961"/>
      <c r="D284" s="3054"/>
      <c r="E284" s="3055"/>
      <c r="F284" s="3055"/>
      <c r="G284" s="3057" t="s">
        <v>1323</v>
      </c>
      <c r="H284" s="3057"/>
      <c r="I284" s="3057"/>
      <c r="J284" s="3057"/>
      <c r="K284" s="3057"/>
      <c r="L284" s="3057"/>
      <c r="W284" s="315"/>
    </row>
    <row r="285" spans="1:23" ht="60" customHeight="1" x14ac:dyDescent="0.35">
      <c r="A285" s="263"/>
      <c r="B285" s="143" t="str">
        <f t="shared" si="1"/>
        <v>Q-13</v>
      </c>
      <c r="C285" s="961"/>
      <c r="D285" s="3054"/>
      <c r="E285" s="3055"/>
      <c r="F285" s="3055"/>
      <c r="G285" s="3057" t="s">
        <v>1324</v>
      </c>
      <c r="H285" s="3057"/>
      <c r="I285" s="3057"/>
      <c r="J285" s="3057"/>
      <c r="K285" s="3057"/>
      <c r="L285" s="3057"/>
      <c r="W285" s="315"/>
    </row>
    <row r="286" spans="1:23" ht="45" customHeight="1" x14ac:dyDescent="0.35">
      <c r="A286" s="263"/>
      <c r="B286" s="143" t="str">
        <f t="shared" si="1"/>
        <v>Q-14</v>
      </c>
      <c r="C286" s="961"/>
      <c r="D286" s="3054"/>
      <c r="E286" s="3055"/>
      <c r="F286" s="3055"/>
      <c r="G286" s="3057" t="s">
        <v>1325</v>
      </c>
      <c r="H286" s="3057"/>
      <c r="I286" s="3057"/>
      <c r="J286" s="3057"/>
      <c r="K286" s="3057"/>
      <c r="L286" s="3057"/>
      <c r="W286" s="315"/>
    </row>
    <row r="287" spans="1:23" ht="45" customHeight="1" x14ac:dyDescent="0.35">
      <c r="A287" s="263"/>
      <c r="B287" s="143" t="str">
        <f t="shared" si="1"/>
        <v>Q-15</v>
      </c>
      <c r="C287" s="961"/>
      <c r="D287" s="3054"/>
      <c r="E287" s="3055"/>
      <c r="F287" s="3055"/>
      <c r="G287" s="3057" t="s">
        <v>1326</v>
      </c>
      <c r="H287" s="3057"/>
      <c r="I287" s="3057"/>
      <c r="J287" s="3057"/>
      <c r="K287" s="3057"/>
      <c r="L287" s="3057"/>
      <c r="W287" s="315"/>
    </row>
    <row r="288" spans="1:23" ht="75" customHeight="1" x14ac:dyDescent="0.35">
      <c r="A288" s="263"/>
      <c r="B288" s="143" t="str">
        <f t="shared" si="1"/>
        <v>Q-16</v>
      </c>
      <c r="C288" s="961"/>
      <c r="D288" s="3054"/>
      <c r="E288" s="3055"/>
      <c r="F288" s="3055"/>
      <c r="G288" s="3057" t="s">
        <v>1327</v>
      </c>
      <c r="H288" s="3057"/>
      <c r="I288" s="3057"/>
      <c r="J288" s="3057"/>
      <c r="K288" s="3057"/>
      <c r="L288" s="3057"/>
      <c r="W288" s="315"/>
    </row>
    <row r="289" spans="1:23" ht="45" customHeight="1" x14ac:dyDescent="0.35">
      <c r="A289" s="263"/>
      <c r="B289" s="143" t="str">
        <f t="shared" si="1"/>
        <v>Q-17</v>
      </c>
      <c r="C289" s="961"/>
      <c r="D289" s="3054"/>
      <c r="E289" s="3055"/>
      <c r="F289" s="3055"/>
      <c r="G289" s="3057" t="s">
        <v>1328</v>
      </c>
      <c r="H289" s="3057"/>
      <c r="I289" s="3057"/>
      <c r="J289" s="3057"/>
      <c r="K289" s="3057"/>
      <c r="L289" s="3057"/>
      <c r="W289" s="315"/>
    </row>
    <row r="290" spans="1:23" ht="45" customHeight="1" x14ac:dyDescent="0.35">
      <c r="A290" s="263"/>
      <c r="B290" s="143" t="str">
        <f t="shared" si="1"/>
        <v>Q-18</v>
      </c>
      <c r="C290" s="961"/>
      <c r="D290" s="3054"/>
      <c r="E290" s="3055"/>
      <c r="F290" s="3055"/>
      <c r="G290" s="3057" t="s">
        <v>1329</v>
      </c>
      <c r="H290" s="3057"/>
      <c r="I290" s="3057"/>
      <c r="J290" s="3057"/>
      <c r="K290" s="3057"/>
      <c r="L290" s="3057"/>
      <c r="W290" s="315"/>
    </row>
    <row r="291" spans="1:23" ht="75" customHeight="1" x14ac:dyDescent="0.35">
      <c r="A291" s="263"/>
      <c r="B291" s="143" t="str">
        <f t="shared" si="1"/>
        <v>Q-19</v>
      </c>
      <c r="C291" s="961"/>
      <c r="D291" s="3054"/>
      <c r="E291" s="3055"/>
      <c r="F291" s="3055"/>
      <c r="G291" s="3057" t="s">
        <v>1330</v>
      </c>
      <c r="H291" s="3057"/>
      <c r="I291" s="3057"/>
      <c r="J291" s="3057"/>
      <c r="K291" s="3057"/>
      <c r="L291" s="3057"/>
      <c r="W291" s="315"/>
    </row>
    <row r="292" spans="1:23" ht="75" customHeight="1" x14ac:dyDescent="0.35">
      <c r="A292" s="263"/>
      <c r="B292" s="143" t="str">
        <f t="shared" si="1"/>
        <v>Q-20</v>
      </c>
      <c r="C292" s="961"/>
      <c r="D292" s="3054"/>
      <c r="E292" s="3055"/>
      <c r="F292" s="3055"/>
      <c r="G292" s="3057" t="s">
        <v>1331</v>
      </c>
      <c r="H292" s="3057"/>
      <c r="I292" s="3057"/>
      <c r="J292" s="3057"/>
      <c r="K292" s="3057"/>
      <c r="L292" s="3057"/>
      <c r="W292" s="315"/>
    </row>
    <row r="293" spans="1:23" ht="75" customHeight="1" x14ac:dyDescent="0.35">
      <c r="A293" s="263"/>
      <c r="B293" s="143" t="str">
        <f t="shared" si="1"/>
        <v>Q-21</v>
      </c>
      <c r="C293" s="961"/>
      <c r="D293" s="3054"/>
      <c r="E293" s="3055"/>
      <c r="F293" s="3055"/>
      <c r="G293" s="3057" t="s">
        <v>1332</v>
      </c>
      <c r="H293" s="3057"/>
      <c r="I293" s="3057"/>
      <c r="J293" s="3057"/>
      <c r="K293" s="3057"/>
      <c r="L293" s="3057"/>
      <c r="W293" s="315"/>
    </row>
    <row r="294" spans="1:23" ht="60" customHeight="1" x14ac:dyDescent="0.35">
      <c r="A294" s="263"/>
      <c r="B294" s="143" t="str">
        <f t="shared" si="1"/>
        <v>Q-22</v>
      </c>
      <c r="C294" s="961"/>
      <c r="D294" s="3054"/>
      <c r="E294" s="3055"/>
      <c r="F294" s="3055"/>
      <c r="G294" s="3057" t="s">
        <v>1333</v>
      </c>
      <c r="H294" s="3057"/>
      <c r="I294" s="3057"/>
      <c r="J294" s="3057"/>
      <c r="K294" s="3057"/>
      <c r="L294" s="3057"/>
      <c r="W294" s="315"/>
    </row>
    <row r="295" spans="1:23" ht="45" customHeight="1" x14ac:dyDescent="0.35">
      <c r="A295" s="263"/>
      <c r="B295" s="143" t="str">
        <f t="shared" si="1"/>
        <v>Q-23</v>
      </c>
      <c r="C295" s="961"/>
      <c r="D295" s="3054"/>
      <c r="E295" s="3055"/>
      <c r="F295" s="3055"/>
      <c r="G295" s="3057" t="s">
        <v>1334</v>
      </c>
      <c r="H295" s="3057"/>
      <c r="I295" s="3057"/>
      <c r="J295" s="3057"/>
      <c r="K295" s="3057"/>
      <c r="L295" s="3057"/>
      <c r="W295" s="315"/>
    </row>
    <row r="296" spans="1:23" ht="60" customHeight="1" x14ac:dyDescent="0.35">
      <c r="A296" s="263"/>
      <c r="B296" s="143" t="str">
        <f t="shared" si="1"/>
        <v>Q-24</v>
      </c>
      <c r="C296" s="961"/>
      <c r="D296" s="3054"/>
      <c r="E296" s="3055"/>
      <c r="F296" s="3055"/>
      <c r="G296" s="3057" t="s">
        <v>1335</v>
      </c>
      <c r="H296" s="3057"/>
      <c r="I296" s="3057"/>
      <c r="J296" s="3057"/>
      <c r="K296" s="3057"/>
      <c r="L296" s="3057"/>
      <c r="W296" s="315"/>
    </row>
    <row r="297" spans="1:23" ht="75" customHeight="1" x14ac:dyDescent="0.35">
      <c r="A297" s="263"/>
      <c r="B297" s="143" t="str">
        <f t="shared" si="1"/>
        <v>Q-25</v>
      </c>
      <c r="C297" s="961"/>
      <c r="D297" s="3054"/>
      <c r="E297" s="3055"/>
      <c r="F297" s="3055"/>
      <c r="G297" s="3057" t="s">
        <v>1336</v>
      </c>
      <c r="H297" s="3057"/>
      <c r="I297" s="3057"/>
      <c r="J297" s="3057"/>
      <c r="K297" s="3057"/>
      <c r="L297" s="3057"/>
      <c r="W297" s="315"/>
    </row>
    <row r="298" spans="1:23" ht="45" customHeight="1" x14ac:dyDescent="0.35">
      <c r="A298" s="263"/>
      <c r="B298" s="143" t="str">
        <f t="shared" si="1"/>
        <v>Q-26</v>
      </c>
      <c r="C298" s="961"/>
      <c r="D298" s="3054"/>
      <c r="E298" s="3055"/>
      <c r="F298" s="3055"/>
      <c r="G298" s="3057" t="s">
        <v>1337</v>
      </c>
      <c r="H298" s="3057"/>
      <c r="I298" s="3057"/>
      <c r="J298" s="3057"/>
      <c r="K298" s="3057"/>
      <c r="L298" s="3057"/>
      <c r="W298" s="315"/>
    </row>
    <row r="299" spans="1:23" ht="60" customHeight="1" x14ac:dyDescent="0.35">
      <c r="A299" s="263"/>
      <c r="B299" s="143" t="str">
        <f t="shared" si="1"/>
        <v>Q-27</v>
      </c>
      <c r="C299" s="961"/>
      <c r="D299" s="3054"/>
      <c r="E299" s="3055"/>
      <c r="F299" s="3055"/>
      <c r="G299" s="3057" t="s">
        <v>1338</v>
      </c>
      <c r="H299" s="3057"/>
      <c r="I299" s="3057"/>
      <c r="J299" s="3057"/>
      <c r="K299" s="3057"/>
      <c r="L299" s="3057"/>
      <c r="W299" s="315"/>
    </row>
    <row r="300" spans="1:23" ht="15" customHeight="1" x14ac:dyDescent="0.35">
      <c r="A300" s="263"/>
      <c r="B300" s="143" t="str">
        <f t="shared" si="1"/>
        <v>Q-28</v>
      </c>
      <c r="C300" s="961"/>
      <c r="D300" s="3054"/>
      <c r="E300" s="3055"/>
      <c r="F300" s="3055"/>
      <c r="G300" s="3060" t="s">
        <v>1339</v>
      </c>
      <c r="H300" s="3060"/>
      <c r="I300" s="3060"/>
      <c r="J300" s="3060"/>
      <c r="K300" s="3060"/>
      <c r="L300" s="3060"/>
      <c r="W300" s="315"/>
    </row>
    <row r="301" spans="1:23" ht="150" customHeight="1" x14ac:dyDescent="0.35">
      <c r="A301" s="263"/>
      <c r="B301" s="143" t="str">
        <f t="shared" si="1"/>
        <v>Q-29</v>
      </c>
      <c r="C301" s="961"/>
      <c r="D301" s="3054"/>
      <c r="E301" s="3055"/>
      <c r="F301" s="3055"/>
      <c r="G301" s="3057" t="s">
        <v>1340</v>
      </c>
      <c r="H301" s="3057"/>
      <c r="I301" s="3057"/>
      <c r="J301" s="3057"/>
      <c r="K301" s="3057"/>
      <c r="L301" s="3057"/>
      <c r="W301" s="315"/>
    </row>
    <row r="302" spans="1:23" ht="150" customHeight="1" x14ac:dyDescent="0.35">
      <c r="A302" s="263"/>
      <c r="B302" s="143" t="str">
        <f t="shared" si="1"/>
        <v>Q-30</v>
      </c>
      <c r="C302" s="961"/>
      <c r="D302" s="3054"/>
      <c r="E302" s="3055"/>
      <c r="F302" s="3055"/>
      <c r="G302" s="3057" t="s">
        <v>1341</v>
      </c>
      <c r="H302" s="3057"/>
      <c r="I302" s="3057"/>
      <c r="J302" s="3057"/>
      <c r="K302" s="3057"/>
      <c r="L302" s="3057"/>
      <c r="W302" s="315"/>
    </row>
    <row r="303" spans="1:23" ht="150" customHeight="1" x14ac:dyDescent="0.35">
      <c r="A303" s="263"/>
      <c r="B303" s="143" t="str">
        <f t="shared" si="1"/>
        <v>Q-31</v>
      </c>
      <c r="C303" s="961"/>
      <c r="D303" s="3054"/>
      <c r="E303" s="3055"/>
      <c r="F303" s="3055"/>
      <c r="G303" s="3057" t="s">
        <v>1342</v>
      </c>
      <c r="H303" s="3057"/>
      <c r="I303" s="3057"/>
      <c r="J303" s="3057"/>
      <c r="K303" s="3057"/>
      <c r="L303" s="3057"/>
      <c r="W303" s="315"/>
    </row>
    <row r="304" spans="1:23" ht="150" customHeight="1" x14ac:dyDescent="0.35">
      <c r="A304" s="263"/>
      <c r="B304" s="143" t="str">
        <f t="shared" si="1"/>
        <v>Q-32</v>
      </c>
      <c r="C304" s="961"/>
      <c r="D304" s="3054"/>
      <c r="E304" s="3055"/>
      <c r="F304" s="3055"/>
      <c r="G304" s="3057" t="s">
        <v>1343</v>
      </c>
      <c r="H304" s="3057"/>
      <c r="I304" s="3057"/>
      <c r="J304" s="3057"/>
      <c r="K304" s="3057"/>
      <c r="L304" s="3057"/>
      <c r="W304" s="315"/>
    </row>
    <row r="305" spans="1:23" ht="150" customHeight="1" x14ac:dyDescent="0.35">
      <c r="A305" s="263"/>
      <c r="B305" s="143" t="str">
        <f t="shared" si="1"/>
        <v>Q-33</v>
      </c>
      <c r="C305" s="961"/>
      <c r="D305" s="3054"/>
      <c r="E305" s="3055"/>
      <c r="F305" s="3055"/>
      <c r="G305" s="3057" t="s">
        <v>1344</v>
      </c>
      <c r="H305" s="3057"/>
      <c r="I305" s="3057"/>
      <c r="J305" s="3057"/>
      <c r="K305" s="3057"/>
      <c r="L305" s="3057"/>
      <c r="W305" s="315"/>
    </row>
    <row r="306" spans="1:23" ht="60" customHeight="1" x14ac:dyDescent="0.35">
      <c r="A306" s="263"/>
      <c r="B306" s="143" t="str">
        <f t="shared" si="1"/>
        <v>Q-34</v>
      </c>
      <c r="C306" s="961"/>
      <c r="D306" s="3054"/>
      <c r="E306" s="3055"/>
      <c r="F306" s="3055"/>
      <c r="G306" s="3057" t="s">
        <v>1345</v>
      </c>
      <c r="H306" s="3057"/>
      <c r="I306" s="3057"/>
      <c r="J306" s="3057"/>
      <c r="K306" s="3057"/>
      <c r="L306" s="3057"/>
      <c r="W306" s="315"/>
    </row>
    <row r="307" spans="1:23" ht="45" customHeight="1" x14ac:dyDescent="0.35">
      <c r="A307" s="263"/>
      <c r="B307" s="143" t="str">
        <f t="shared" si="1"/>
        <v>Q-35</v>
      </c>
      <c r="C307" s="961"/>
      <c r="D307" s="3054"/>
      <c r="E307" s="3055"/>
      <c r="F307" s="3055"/>
      <c r="G307" s="3057" t="s">
        <v>1346</v>
      </c>
      <c r="H307" s="3057"/>
      <c r="I307" s="3057"/>
      <c r="J307" s="3057"/>
      <c r="K307" s="3057"/>
      <c r="L307" s="3057"/>
      <c r="W307" s="315"/>
    </row>
    <row r="308" spans="1:23" ht="45" customHeight="1" x14ac:dyDescent="0.35">
      <c r="A308" s="263"/>
      <c r="B308" s="143" t="str">
        <f t="shared" si="1"/>
        <v>Q-36</v>
      </c>
      <c r="C308" s="961"/>
      <c r="D308" s="3054"/>
      <c r="E308" s="3055"/>
      <c r="F308" s="3055"/>
      <c r="G308" s="3057" t="s">
        <v>1347</v>
      </c>
      <c r="H308" s="3057"/>
      <c r="I308" s="3057"/>
      <c r="J308" s="3057"/>
      <c r="K308" s="3057"/>
      <c r="L308" s="3057"/>
      <c r="W308" s="315"/>
    </row>
    <row r="309" spans="1:23" ht="75" customHeight="1" x14ac:dyDescent="0.35">
      <c r="A309" s="263"/>
      <c r="B309" s="143" t="str">
        <f t="shared" si="1"/>
        <v>Q-37</v>
      </c>
      <c r="C309" s="961"/>
      <c r="D309" s="3054"/>
      <c r="E309" s="3055"/>
      <c r="F309" s="3055"/>
      <c r="G309" s="3057" t="s">
        <v>1348</v>
      </c>
      <c r="H309" s="3057"/>
      <c r="I309" s="3057"/>
      <c r="J309" s="3057"/>
      <c r="K309" s="3057"/>
      <c r="L309" s="3057"/>
      <c r="W309" s="315"/>
    </row>
    <row r="310" spans="1:23" ht="75" customHeight="1" x14ac:dyDescent="0.35">
      <c r="A310" s="263"/>
      <c r="B310" s="143" t="str">
        <f t="shared" si="1"/>
        <v>Q-38</v>
      </c>
      <c r="C310" s="961"/>
      <c r="D310" s="3054"/>
      <c r="E310" s="3055"/>
      <c r="F310" s="3055"/>
      <c r="G310" s="3057" t="s">
        <v>1349</v>
      </c>
      <c r="H310" s="3057"/>
      <c r="I310" s="3057"/>
      <c r="J310" s="3057"/>
      <c r="K310" s="3057"/>
      <c r="L310" s="3057"/>
      <c r="W310" s="315"/>
    </row>
    <row r="311" spans="1:23" ht="75" customHeight="1" x14ac:dyDescent="0.35">
      <c r="A311" s="263"/>
      <c r="B311" s="143" t="str">
        <f t="shared" si="1"/>
        <v>Q-39</v>
      </c>
      <c r="C311" s="961"/>
      <c r="D311" s="3054"/>
      <c r="E311" s="3055"/>
      <c r="F311" s="3055"/>
      <c r="G311" s="3057" t="s">
        <v>1350</v>
      </c>
      <c r="H311" s="3057"/>
      <c r="I311" s="3057"/>
      <c r="J311" s="3057"/>
      <c r="K311" s="3057"/>
      <c r="L311" s="3057"/>
      <c r="W311" s="315"/>
    </row>
    <row r="312" spans="1:23" ht="75" customHeight="1" x14ac:dyDescent="0.35">
      <c r="A312" s="263"/>
      <c r="B312" s="143" t="str">
        <f t="shared" si="1"/>
        <v>Q-40</v>
      </c>
      <c r="C312" s="961"/>
      <c r="D312" s="3054"/>
      <c r="E312" s="3055"/>
      <c r="F312" s="3055"/>
      <c r="G312" s="3057" t="s">
        <v>1351</v>
      </c>
      <c r="H312" s="3057"/>
      <c r="I312" s="3057"/>
      <c r="J312" s="3057"/>
      <c r="K312" s="3057"/>
      <c r="L312" s="3057"/>
      <c r="W312" s="315"/>
    </row>
    <row r="313" spans="1:23" ht="75" customHeight="1" x14ac:dyDescent="0.35">
      <c r="A313" s="263"/>
      <c r="B313" s="143" t="str">
        <f t="shared" si="1"/>
        <v>Q-41</v>
      </c>
      <c r="C313" s="961"/>
      <c r="D313" s="3054"/>
      <c r="E313" s="3055"/>
      <c r="F313" s="3055"/>
      <c r="G313" s="3057" t="s">
        <v>1352</v>
      </c>
      <c r="H313" s="3057"/>
      <c r="I313" s="3057"/>
      <c r="J313" s="3057"/>
      <c r="K313" s="3057"/>
      <c r="L313" s="3057"/>
      <c r="W313" s="315"/>
    </row>
    <row r="314" spans="1:23" ht="75" customHeight="1" x14ac:dyDescent="0.35">
      <c r="A314" s="263"/>
      <c r="B314" s="143" t="str">
        <f t="shared" si="1"/>
        <v>Q-42</v>
      </c>
      <c r="C314" s="961"/>
      <c r="D314" s="3054"/>
      <c r="E314" s="3055"/>
      <c r="F314" s="3055"/>
      <c r="G314" s="3057" t="s">
        <v>1353</v>
      </c>
      <c r="H314" s="3057"/>
      <c r="I314" s="3057"/>
      <c r="J314" s="3057"/>
      <c r="K314" s="3057"/>
      <c r="L314" s="3057"/>
      <c r="W314" s="315"/>
    </row>
    <row r="315" spans="1:23" ht="75" customHeight="1" x14ac:dyDescent="0.35">
      <c r="A315" s="263"/>
      <c r="B315" s="143" t="str">
        <f t="shared" si="1"/>
        <v>Q-43</v>
      </c>
      <c r="C315" s="961"/>
      <c r="D315" s="3054"/>
      <c r="E315" s="3055"/>
      <c r="F315" s="3055"/>
      <c r="G315" s="3057" t="s">
        <v>1354</v>
      </c>
      <c r="H315" s="3057"/>
      <c r="I315" s="3057"/>
      <c r="J315" s="3057"/>
      <c r="K315" s="3057"/>
      <c r="L315" s="3057"/>
      <c r="W315" s="315"/>
    </row>
    <row r="316" spans="1:23" ht="75" customHeight="1" x14ac:dyDescent="0.35">
      <c r="A316" s="263"/>
      <c r="B316" s="143" t="str">
        <f t="shared" si="1"/>
        <v>Q-44</v>
      </c>
      <c r="C316" s="961"/>
      <c r="D316" s="3054"/>
      <c r="E316" s="3055"/>
      <c r="F316" s="3055"/>
      <c r="G316" s="3057" t="s">
        <v>1355</v>
      </c>
      <c r="H316" s="3057"/>
      <c r="I316" s="3057"/>
      <c r="J316" s="3057"/>
      <c r="K316" s="3057"/>
      <c r="L316" s="3057"/>
      <c r="W316" s="315"/>
    </row>
    <row r="317" spans="1:23" ht="135" customHeight="1" x14ac:dyDescent="0.35">
      <c r="A317" s="263"/>
      <c r="B317" s="143" t="str">
        <f t="shared" si="1"/>
        <v>Q-45</v>
      </c>
      <c r="C317" s="961"/>
      <c r="D317" s="3054"/>
      <c r="E317" s="3055"/>
      <c r="F317" s="3055"/>
      <c r="G317" s="3057" t="s">
        <v>1356</v>
      </c>
      <c r="H317" s="3057"/>
      <c r="I317" s="3057"/>
      <c r="J317" s="3057"/>
      <c r="K317" s="3057"/>
      <c r="L317" s="3057"/>
      <c r="W317" s="315"/>
    </row>
    <row r="318" spans="1:23" ht="120" customHeight="1" x14ac:dyDescent="0.35">
      <c r="A318" s="263"/>
      <c r="B318" s="143" t="str">
        <f t="shared" si="1"/>
        <v>Q-46</v>
      </c>
      <c r="C318" s="961"/>
      <c r="D318" s="3054"/>
      <c r="E318" s="3055"/>
      <c r="F318" s="3055"/>
      <c r="G318" s="3057" t="s">
        <v>1357</v>
      </c>
      <c r="H318" s="3057"/>
      <c r="I318" s="3057"/>
      <c r="J318" s="3057"/>
      <c r="K318" s="3057"/>
      <c r="L318" s="3057"/>
      <c r="W318" s="315"/>
    </row>
    <row r="319" spans="1:23" ht="120" customHeight="1" x14ac:dyDescent="0.35">
      <c r="A319" s="263"/>
      <c r="B319" s="143" t="str">
        <f t="shared" si="1"/>
        <v>Q-47</v>
      </c>
      <c r="C319" s="961"/>
      <c r="D319" s="3054"/>
      <c r="E319" s="3055"/>
      <c r="F319" s="3055"/>
      <c r="G319" s="3057" t="s">
        <v>1358</v>
      </c>
      <c r="H319" s="3057"/>
      <c r="I319" s="3057"/>
      <c r="J319" s="3057"/>
      <c r="K319" s="3057"/>
      <c r="L319" s="3057"/>
      <c r="W319" s="315"/>
    </row>
    <row r="320" spans="1:23" ht="120" customHeight="1" x14ac:dyDescent="0.35">
      <c r="A320" s="263"/>
      <c r="B320" s="143" t="str">
        <f t="shared" si="1"/>
        <v>Q-48</v>
      </c>
      <c r="C320" s="961"/>
      <c r="D320" s="3054"/>
      <c r="E320" s="3055"/>
      <c r="F320" s="3055"/>
      <c r="G320" s="3057" t="s">
        <v>1359</v>
      </c>
      <c r="H320" s="3057"/>
      <c r="I320" s="3057"/>
      <c r="J320" s="3057"/>
      <c r="K320" s="3057"/>
      <c r="L320" s="3057"/>
      <c r="W320" s="315"/>
    </row>
    <row r="321" spans="1:23" ht="120" customHeight="1" x14ac:dyDescent="0.35">
      <c r="A321" s="263"/>
      <c r="B321" s="143" t="str">
        <f t="shared" si="1"/>
        <v>Q-49</v>
      </c>
      <c r="C321" s="961"/>
      <c r="D321" s="3054"/>
      <c r="E321" s="3055"/>
      <c r="F321" s="3055"/>
      <c r="G321" s="3057" t="s">
        <v>1360</v>
      </c>
      <c r="H321" s="3057"/>
      <c r="I321" s="3057"/>
      <c r="J321" s="3057"/>
      <c r="K321" s="3057"/>
      <c r="L321" s="3057"/>
      <c r="W321" s="315"/>
    </row>
    <row r="322" spans="1:23" ht="120" customHeight="1" x14ac:dyDescent="0.35">
      <c r="A322" s="263"/>
      <c r="B322" s="143" t="str">
        <f t="shared" si="1"/>
        <v>Q-50</v>
      </c>
      <c r="C322" s="961"/>
      <c r="D322" s="3054"/>
      <c r="E322" s="3055"/>
      <c r="F322" s="3055"/>
      <c r="G322" s="3057" t="s">
        <v>1361</v>
      </c>
      <c r="H322" s="3057"/>
      <c r="I322" s="3057"/>
      <c r="J322" s="3057"/>
      <c r="K322" s="3057"/>
      <c r="L322" s="3057"/>
      <c r="W322" s="315"/>
    </row>
    <row r="323" spans="1:23" ht="120" customHeight="1" x14ac:dyDescent="0.35">
      <c r="A323" s="263"/>
      <c r="B323" s="143" t="str">
        <f t="shared" si="1"/>
        <v>Q-51</v>
      </c>
      <c r="C323" s="961"/>
      <c r="D323" s="3054"/>
      <c r="E323" s="3055"/>
      <c r="F323" s="3055"/>
      <c r="G323" s="3057" t="s">
        <v>1362</v>
      </c>
      <c r="H323" s="3057"/>
      <c r="I323" s="3057"/>
      <c r="J323" s="3057"/>
      <c r="K323" s="3057"/>
      <c r="L323" s="3057"/>
      <c r="W323" s="315"/>
    </row>
    <row r="324" spans="1:23" ht="120" customHeight="1" x14ac:dyDescent="0.35">
      <c r="A324" s="263"/>
      <c r="B324" s="143" t="str">
        <f t="shared" si="1"/>
        <v>Q-52</v>
      </c>
      <c r="C324" s="961"/>
      <c r="D324" s="3054"/>
      <c r="E324" s="3055"/>
      <c r="F324" s="3055"/>
      <c r="G324" s="3057" t="s">
        <v>1363</v>
      </c>
      <c r="H324" s="3057"/>
      <c r="I324" s="3057"/>
      <c r="J324" s="3057"/>
      <c r="K324" s="3057"/>
      <c r="L324" s="3057"/>
      <c r="W324" s="315"/>
    </row>
    <row r="325" spans="1:23" ht="120" customHeight="1" x14ac:dyDescent="0.35">
      <c r="A325" s="263"/>
      <c r="B325" s="143" t="str">
        <f t="shared" si="1"/>
        <v>Q-53</v>
      </c>
      <c r="C325" s="961"/>
      <c r="D325" s="3054"/>
      <c r="E325" s="3055"/>
      <c r="F325" s="3055"/>
      <c r="G325" s="3057" t="s">
        <v>1364</v>
      </c>
      <c r="H325" s="3057"/>
      <c r="I325" s="3057"/>
      <c r="J325" s="3057"/>
      <c r="K325" s="3057"/>
      <c r="L325" s="3057"/>
      <c r="W325" s="315"/>
    </row>
    <row r="326" spans="1:23" ht="15" customHeight="1" x14ac:dyDescent="0.35">
      <c r="A326" s="263"/>
      <c r="B326" s="143" t="str">
        <f t="shared" si="1"/>
        <v>Q-54</v>
      </c>
      <c r="C326" s="961"/>
      <c r="D326" s="3054"/>
      <c r="E326" s="3055"/>
      <c r="F326" s="3055"/>
      <c r="G326" s="161"/>
      <c r="H326" s="1583"/>
      <c r="I326" s="161"/>
      <c r="J326" s="161"/>
      <c r="K326" s="161"/>
      <c r="L326" s="1583"/>
      <c r="W326" s="315"/>
    </row>
    <row r="327" spans="1:23" ht="15" customHeight="1" x14ac:dyDescent="0.35">
      <c r="A327" s="263"/>
      <c r="B327" s="143" t="str">
        <f t="shared" si="1"/>
        <v>Q-55</v>
      </c>
      <c r="C327" s="961"/>
      <c r="D327" s="3054"/>
      <c r="E327" s="3055"/>
      <c r="F327" s="3055"/>
      <c r="G327" s="161"/>
      <c r="H327" s="1583"/>
      <c r="I327" s="161"/>
      <c r="J327" s="161"/>
      <c r="K327" s="161"/>
      <c r="L327" s="1583"/>
      <c r="W327" s="315"/>
    </row>
    <row r="328" spans="1:23" ht="15" customHeight="1" x14ac:dyDescent="0.35">
      <c r="A328" s="263"/>
      <c r="B328" s="143" t="str">
        <f t="shared" si="1"/>
        <v>Q-56</v>
      </c>
      <c r="C328" s="961"/>
      <c r="D328" s="3054"/>
      <c r="E328" s="3055"/>
      <c r="F328" s="3055"/>
      <c r="G328" s="161"/>
      <c r="H328" s="1583"/>
      <c r="I328" s="161"/>
      <c r="J328" s="161"/>
      <c r="K328" s="161"/>
      <c r="L328" s="1583"/>
      <c r="W328" s="315"/>
    </row>
    <row r="329" spans="1:23" ht="15" customHeight="1" x14ac:dyDescent="0.35">
      <c r="A329" s="263"/>
      <c r="B329" s="143" t="str">
        <f t="shared" si="1"/>
        <v>Q-57</v>
      </c>
      <c r="C329" s="961"/>
      <c r="D329" s="3054"/>
      <c r="E329" s="3055"/>
      <c r="F329" s="3055"/>
      <c r="G329" s="161"/>
      <c r="H329" s="1583"/>
      <c r="I329" s="161"/>
      <c r="J329" s="161"/>
      <c r="K329" s="161"/>
      <c r="L329" s="1583"/>
      <c r="W329" s="315"/>
    </row>
    <row r="330" spans="1:23" ht="15" customHeight="1" x14ac:dyDescent="0.35">
      <c r="A330" s="263"/>
      <c r="B330" s="143" t="str">
        <f t="shared" si="1"/>
        <v>Q-58</v>
      </c>
      <c r="C330" s="961"/>
      <c r="D330" s="3054"/>
      <c r="E330" s="3055"/>
      <c r="F330" s="3055"/>
      <c r="G330" s="161"/>
      <c r="H330" s="1583"/>
      <c r="I330" s="161"/>
      <c r="J330" s="161"/>
      <c r="K330" s="161"/>
      <c r="L330" s="1583"/>
      <c r="W330" s="315"/>
    </row>
    <row r="331" spans="1:23" ht="15" customHeight="1" x14ac:dyDescent="0.35">
      <c r="A331" s="263"/>
      <c r="B331" s="143" t="str">
        <f t="shared" si="1"/>
        <v>Q-59</v>
      </c>
      <c r="C331" s="961"/>
      <c r="D331" s="3054"/>
      <c r="E331" s="3055"/>
      <c r="F331" s="3055"/>
      <c r="G331" s="161"/>
      <c r="H331" s="1583"/>
      <c r="I331" s="161"/>
      <c r="J331" s="161"/>
      <c r="K331" s="161"/>
      <c r="L331" s="1583"/>
      <c r="W331" s="315"/>
    </row>
    <row r="332" spans="1:23" ht="15" customHeight="1" x14ac:dyDescent="0.35">
      <c r="A332" s="263"/>
      <c r="B332" s="143" t="str">
        <f t="shared" si="1"/>
        <v>Q-60</v>
      </c>
      <c r="C332" s="961"/>
      <c r="D332" s="3054"/>
      <c r="E332" s="3055"/>
      <c r="F332" s="3055"/>
      <c r="G332" s="161"/>
      <c r="H332" s="1583"/>
      <c r="I332" s="161"/>
      <c r="J332" s="161"/>
      <c r="K332" s="161"/>
      <c r="L332" s="1583"/>
      <c r="W332" s="315"/>
    </row>
    <row r="333" spans="1:23" ht="15" customHeight="1" x14ac:dyDescent="0.35">
      <c r="A333" s="263"/>
      <c r="B333" s="143" t="str">
        <f t="shared" si="1"/>
        <v>Q-61</v>
      </c>
      <c r="C333" s="961"/>
      <c r="D333" s="3054"/>
      <c r="E333" s="3055"/>
      <c r="F333" s="3055"/>
      <c r="G333" s="161"/>
      <c r="H333" s="1583"/>
      <c r="I333" s="161"/>
      <c r="J333" s="161"/>
      <c r="K333" s="161"/>
      <c r="L333" s="1583"/>
      <c r="W333" s="315"/>
    </row>
    <row r="334" spans="1:23" ht="15" customHeight="1" x14ac:dyDescent="0.35">
      <c r="A334" s="263"/>
      <c r="B334" s="143" t="str">
        <f t="shared" si="1"/>
        <v>Q-62</v>
      </c>
      <c r="C334" s="961"/>
      <c r="D334" s="3054"/>
      <c r="E334" s="3055"/>
      <c r="F334" s="3055"/>
      <c r="G334" s="161"/>
      <c r="H334" s="1583"/>
      <c r="I334" s="161"/>
      <c r="J334" s="161"/>
      <c r="K334" s="161"/>
      <c r="L334" s="1583"/>
      <c r="W334" s="315"/>
    </row>
    <row r="335" spans="1:23" ht="15" customHeight="1" x14ac:dyDescent="0.35">
      <c r="A335" s="263"/>
      <c r="B335" s="143" t="str">
        <f t="shared" si="1"/>
        <v>Q-63</v>
      </c>
      <c r="C335" s="961"/>
      <c r="D335" s="3054"/>
      <c r="E335" s="3055"/>
      <c r="F335" s="3055"/>
      <c r="G335" s="161"/>
      <c r="H335" s="1583"/>
      <c r="I335" s="161"/>
      <c r="J335" s="161"/>
      <c r="K335" s="161"/>
      <c r="L335" s="1583"/>
      <c r="W335" s="315"/>
    </row>
    <row r="336" spans="1:23" ht="15" customHeight="1" x14ac:dyDescent="0.35">
      <c r="A336" s="263"/>
      <c r="B336" s="143" t="str">
        <f t="shared" si="1"/>
        <v>Q-64</v>
      </c>
      <c r="C336" s="961"/>
      <c r="D336" s="3054"/>
      <c r="E336" s="3055"/>
      <c r="F336" s="3055"/>
      <c r="G336" s="161"/>
      <c r="H336" s="1583"/>
      <c r="I336" s="161"/>
      <c r="J336" s="161"/>
      <c r="K336" s="161"/>
      <c r="L336" s="1583"/>
      <c r="W336" s="315"/>
    </row>
    <row r="337" spans="1:23" ht="15" customHeight="1" x14ac:dyDescent="0.35">
      <c r="A337" s="263"/>
      <c r="B337" s="143" t="str">
        <f t="shared" si="1"/>
        <v>Q-65</v>
      </c>
      <c r="C337" s="961"/>
      <c r="D337" s="3054"/>
      <c r="E337" s="3055"/>
      <c r="F337" s="3055"/>
      <c r="G337" s="161"/>
      <c r="H337" s="1583"/>
      <c r="I337" s="161"/>
      <c r="J337" s="161"/>
      <c r="K337" s="161"/>
      <c r="L337" s="1583"/>
      <c r="W337" s="315"/>
    </row>
    <row r="338" spans="1:23" ht="15" customHeight="1" x14ac:dyDescent="0.35">
      <c r="A338" s="263"/>
      <c r="B338" s="143" t="str">
        <f t="shared" ref="B338:B372" si="2">"Q-"&amp;(ROW(B338)-ROW(B$272))</f>
        <v>Q-66</v>
      </c>
      <c r="C338" s="961"/>
      <c r="D338" s="3054"/>
      <c r="E338" s="3055"/>
      <c r="F338" s="3055"/>
      <c r="G338" s="161"/>
      <c r="H338" s="1583"/>
      <c r="I338" s="161"/>
      <c r="J338" s="161"/>
      <c r="K338" s="161"/>
      <c r="L338" s="1583"/>
      <c r="W338" s="315"/>
    </row>
    <row r="339" spans="1:23" ht="15" customHeight="1" x14ac:dyDescent="0.35">
      <c r="A339" s="263"/>
      <c r="B339" s="143" t="str">
        <f t="shared" si="2"/>
        <v>Q-67</v>
      </c>
      <c r="C339" s="961"/>
      <c r="D339" s="3054"/>
      <c r="E339" s="3055"/>
      <c r="F339" s="3055"/>
      <c r="G339" s="161"/>
      <c r="H339" s="1583"/>
      <c r="I339" s="161"/>
      <c r="J339" s="161"/>
      <c r="K339" s="161"/>
      <c r="L339" s="1583"/>
      <c r="W339" s="315"/>
    </row>
    <row r="340" spans="1:23" ht="15" customHeight="1" x14ac:dyDescent="0.35">
      <c r="A340" s="263"/>
      <c r="B340" s="143" t="str">
        <f t="shared" si="2"/>
        <v>Q-68</v>
      </c>
      <c r="C340" s="961"/>
      <c r="D340" s="3054"/>
      <c r="E340" s="3055"/>
      <c r="F340" s="3055"/>
      <c r="G340" s="161"/>
      <c r="H340" s="1583"/>
      <c r="I340" s="161"/>
      <c r="J340" s="161"/>
      <c r="K340" s="161"/>
      <c r="L340" s="1583"/>
      <c r="W340" s="315"/>
    </row>
    <row r="341" spans="1:23" ht="15" customHeight="1" x14ac:dyDescent="0.35">
      <c r="A341" s="263"/>
      <c r="B341" s="143" t="str">
        <f t="shared" si="2"/>
        <v>Q-69</v>
      </c>
      <c r="C341" s="961"/>
      <c r="D341" s="3054"/>
      <c r="E341" s="3055"/>
      <c r="F341" s="3055"/>
      <c r="G341" s="161"/>
      <c r="H341" s="1583"/>
      <c r="I341" s="161"/>
      <c r="J341" s="161"/>
      <c r="K341" s="161"/>
      <c r="L341" s="1583"/>
      <c r="W341" s="315"/>
    </row>
    <row r="342" spans="1:23" ht="15" customHeight="1" x14ac:dyDescent="0.35">
      <c r="A342" s="263"/>
      <c r="B342" s="143" t="str">
        <f t="shared" si="2"/>
        <v>Q-70</v>
      </c>
      <c r="C342" s="961"/>
      <c r="D342" s="3054"/>
      <c r="E342" s="3055"/>
      <c r="F342" s="3055"/>
      <c r="G342" s="161"/>
      <c r="H342" s="1583"/>
      <c r="I342" s="161"/>
      <c r="J342" s="161"/>
      <c r="K342" s="161"/>
      <c r="L342" s="1583"/>
      <c r="W342" s="315"/>
    </row>
    <row r="343" spans="1:23" ht="15" customHeight="1" x14ac:dyDescent="0.35">
      <c r="A343" s="263"/>
      <c r="B343" s="143" t="str">
        <f t="shared" si="2"/>
        <v>Q-71</v>
      </c>
      <c r="C343" s="961"/>
      <c r="D343" s="3054"/>
      <c r="E343" s="3055"/>
      <c r="F343" s="3055"/>
      <c r="G343" s="161"/>
      <c r="H343" s="1583"/>
      <c r="I343" s="161"/>
      <c r="J343" s="161"/>
      <c r="K343" s="161"/>
      <c r="L343" s="1583"/>
      <c r="W343" s="315"/>
    </row>
    <row r="344" spans="1:23" ht="15" customHeight="1" x14ac:dyDescent="0.35">
      <c r="A344" s="263"/>
      <c r="B344" s="143" t="str">
        <f t="shared" si="2"/>
        <v>Q-72</v>
      </c>
      <c r="C344" s="961"/>
      <c r="D344" s="3054"/>
      <c r="E344" s="3055"/>
      <c r="F344" s="3055"/>
      <c r="G344" s="161"/>
      <c r="H344" s="1583"/>
      <c r="I344" s="161"/>
      <c r="J344" s="161"/>
      <c r="K344" s="161"/>
      <c r="L344" s="1583"/>
      <c r="W344" s="315"/>
    </row>
    <row r="345" spans="1:23" ht="15" customHeight="1" x14ac:dyDescent="0.35">
      <c r="A345" s="263"/>
      <c r="B345" s="143" t="str">
        <f t="shared" si="2"/>
        <v>Q-73</v>
      </c>
      <c r="C345" s="961"/>
      <c r="D345" s="3054"/>
      <c r="E345" s="3055"/>
      <c r="F345" s="3055"/>
      <c r="G345" s="161"/>
      <c r="H345" s="1583"/>
      <c r="I345" s="161"/>
      <c r="J345" s="161"/>
      <c r="K345" s="161"/>
      <c r="L345" s="1583"/>
      <c r="W345" s="315"/>
    </row>
    <row r="346" spans="1:23" ht="15" customHeight="1" x14ac:dyDescent="0.35">
      <c r="A346" s="263"/>
      <c r="B346" s="143" t="str">
        <f t="shared" si="2"/>
        <v>Q-74</v>
      </c>
      <c r="C346" s="961"/>
      <c r="D346" s="3054"/>
      <c r="E346" s="3055"/>
      <c r="F346" s="3055"/>
      <c r="G346" s="161"/>
      <c r="H346" s="1583"/>
      <c r="I346" s="161"/>
      <c r="J346" s="161"/>
      <c r="K346" s="161"/>
      <c r="L346" s="1583"/>
      <c r="W346" s="315"/>
    </row>
    <row r="347" spans="1:23" ht="15" customHeight="1" x14ac:dyDescent="0.35">
      <c r="A347" s="263"/>
      <c r="B347" s="143" t="str">
        <f t="shared" si="2"/>
        <v>Q-75</v>
      </c>
      <c r="C347" s="961"/>
      <c r="D347" s="3054"/>
      <c r="E347" s="3055"/>
      <c r="F347" s="3055"/>
      <c r="G347" s="161"/>
      <c r="H347" s="1583"/>
      <c r="I347" s="161"/>
      <c r="J347" s="161"/>
      <c r="K347" s="161"/>
      <c r="L347" s="1583"/>
      <c r="W347" s="315"/>
    </row>
    <row r="348" spans="1:23" ht="15" customHeight="1" x14ac:dyDescent="0.35">
      <c r="A348" s="263"/>
      <c r="B348" s="143" t="str">
        <f t="shared" si="2"/>
        <v>Q-76</v>
      </c>
      <c r="C348" s="961"/>
      <c r="D348" s="3054"/>
      <c r="E348" s="3055"/>
      <c r="F348" s="3055"/>
      <c r="G348" s="161"/>
      <c r="H348" s="1583"/>
      <c r="I348" s="161"/>
      <c r="J348" s="161"/>
      <c r="K348" s="161"/>
      <c r="L348" s="1583"/>
      <c r="W348" s="315"/>
    </row>
    <row r="349" spans="1:23" ht="15" customHeight="1" x14ac:dyDescent="0.35">
      <c r="A349" s="263"/>
      <c r="B349" s="143" t="str">
        <f t="shared" si="2"/>
        <v>Q-77</v>
      </c>
      <c r="C349" s="961"/>
      <c r="D349" s="3054"/>
      <c r="E349" s="3055"/>
      <c r="F349" s="3055"/>
      <c r="G349" s="161"/>
      <c r="H349" s="1583"/>
      <c r="I349" s="161"/>
      <c r="J349" s="161"/>
      <c r="K349" s="161"/>
      <c r="L349" s="1583"/>
      <c r="W349" s="315"/>
    </row>
    <row r="350" spans="1:23" ht="15" customHeight="1" x14ac:dyDescent="0.35">
      <c r="A350" s="263"/>
      <c r="B350" s="143" t="str">
        <f t="shared" si="2"/>
        <v>Q-78</v>
      </c>
      <c r="C350" s="961"/>
      <c r="D350" s="3054"/>
      <c r="E350" s="3055"/>
      <c r="F350" s="3055"/>
      <c r="G350" s="161"/>
      <c r="H350" s="1583"/>
      <c r="I350" s="161"/>
      <c r="J350" s="161"/>
      <c r="K350" s="161"/>
      <c r="L350" s="1583"/>
      <c r="W350" s="315"/>
    </row>
    <row r="351" spans="1:23" ht="15" customHeight="1" x14ac:dyDescent="0.35">
      <c r="A351" s="263"/>
      <c r="B351" s="143" t="str">
        <f t="shared" si="2"/>
        <v>Q-79</v>
      </c>
      <c r="C351" s="961"/>
      <c r="D351" s="3054"/>
      <c r="E351" s="3055"/>
      <c r="F351" s="3055"/>
      <c r="G351" s="161"/>
      <c r="H351" s="1583"/>
      <c r="I351" s="161"/>
      <c r="J351" s="161"/>
      <c r="K351" s="161"/>
      <c r="L351" s="1583"/>
      <c r="W351" s="315"/>
    </row>
    <row r="352" spans="1:23" ht="15" customHeight="1" x14ac:dyDescent="0.35">
      <c r="A352" s="263"/>
      <c r="B352" s="143" t="str">
        <f t="shared" si="2"/>
        <v>Q-80</v>
      </c>
      <c r="C352" s="961"/>
      <c r="D352" s="3054"/>
      <c r="E352" s="3055"/>
      <c r="F352" s="3055"/>
      <c r="G352" s="161"/>
      <c r="H352" s="1583"/>
      <c r="I352" s="161"/>
      <c r="J352" s="161"/>
      <c r="K352" s="161"/>
      <c r="L352" s="1583"/>
      <c r="W352" s="315"/>
    </row>
    <row r="353" spans="1:23" ht="15" customHeight="1" x14ac:dyDescent="0.35">
      <c r="A353" s="263"/>
      <c r="B353" s="143" t="str">
        <f t="shared" si="2"/>
        <v>Q-81</v>
      </c>
      <c r="C353" s="961"/>
      <c r="D353" s="3054"/>
      <c r="E353" s="3055"/>
      <c r="F353" s="3055"/>
      <c r="G353" s="161"/>
      <c r="H353" s="1583"/>
      <c r="I353" s="161"/>
      <c r="J353" s="161"/>
      <c r="K353" s="161"/>
      <c r="L353" s="1583"/>
      <c r="W353" s="315"/>
    </row>
    <row r="354" spans="1:23" ht="15" customHeight="1" x14ac:dyDescent="0.35">
      <c r="A354" s="263"/>
      <c r="B354" s="143" t="str">
        <f t="shared" si="2"/>
        <v>Q-82</v>
      </c>
      <c r="C354" s="961"/>
      <c r="D354" s="3054"/>
      <c r="E354" s="3055"/>
      <c r="F354" s="3055"/>
      <c r="G354" s="161"/>
      <c r="H354" s="1583"/>
      <c r="I354" s="161"/>
      <c r="J354" s="161"/>
      <c r="K354" s="161"/>
      <c r="L354" s="1583"/>
      <c r="W354" s="315"/>
    </row>
    <row r="355" spans="1:23" ht="15" customHeight="1" x14ac:dyDescent="0.35">
      <c r="A355" s="263"/>
      <c r="B355" s="143" t="str">
        <f t="shared" si="2"/>
        <v>Q-83</v>
      </c>
      <c r="C355" s="961"/>
      <c r="D355" s="3054"/>
      <c r="E355" s="3055"/>
      <c r="F355" s="3055"/>
      <c r="G355" s="161"/>
      <c r="H355" s="1583"/>
      <c r="I355" s="161"/>
      <c r="J355" s="161"/>
      <c r="K355" s="161"/>
      <c r="L355" s="1583"/>
      <c r="W355" s="315"/>
    </row>
    <row r="356" spans="1:23" ht="15" customHeight="1" x14ac:dyDescent="0.35">
      <c r="A356" s="263"/>
      <c r="B356" s="143" t="str">
        <f t="shared" si="2"/>
        <v>Q-84</v>
      </c>
      <c r="C356" s="961"/>
      <c r="D356" s="3054"/>
      <c r="E356" s="3055"/>
      <c r="F356" s="3055"/>
      <c r="G356" s="161"/>
      <c r="H356" s="1583"/>
      <c r="I356" s="161"/>
      <c r="J356" s="161"/>
      <c r="K356" s="161"/>
      <c r="L356" s="1583"/>
      <c r="W356" s="315"/>
    </row>
    <row r="357" spans="1:23" ht="15" customHeight="1" x14ac:dyDescent="0.35">
      <c r="A357" s="263"/>
      <c r="B357" s="143" t="str">
        <f t="shared" si="2"/>
        <v>Q-85</v>
      </c>
      <c r="C357" s="961"/>
      <c r="D357" s="3054"/>
      <c r="E357" s="3055"/>
      <c r="F357" s="3055"/>
      <c r="G357" s="161"/>
      <c r="H357" s="1583"/>
      <c r="I357" s="161"/>
      <c r="J357" s="161"/>
      <c r="K357" s="161"/>
      <c r="L357" s="1583"/>
      <c r="W357" s="315"/>
    </row>
    <row r="358" spans="1:23" ht="15" customHeight="1" x14ac:dyDescent="0.35">
      <c r="A358" s="263"/>
      <c r="B358" s="143" t="str">
        <f t="shared" si="2"/>
        <v>Q-86</v>
      </c>
      <c r="C358" s="961"/>
      <c r="D358" s="3054"/>
      <c r="E358" s="3055"/>
      <c r="F358" s="3055"/>
      <c r="G358" s="161"/>
      <c r="H358" s="1583"/>
      <c r="I358" s="161"/>
      <c r="J358" s="161"/>
      <c r="K358" s="161"/>
      <c r="L358" s="1583"/>
      <c r="W358" s="315"/>
    </row>
    <row r="359" spans="1:23" ht="15" customHeight="1" x14ac:dyDescent="0.35">
      <c r="A359" s="263"/>
      <c r="B359" s="143" t="str">
        <f t="shared" si="2"/>
        <v>Q-87</v>
      </c>
      <c r="C359" s="961"/>
      <c r="D359" s="3054"/>
      <c r="E359" s="3055"/>
      <c r="F359" s="3055"/>
      <c r="G359" s="161"/>
      <c r="H359" s="1583"/>
      <c r="I359" s="161"/>
      <c r="J359" s="161"/>
      <c r="K359" s="161"/>
      <c r="L359" s="1583"/>
      <c r="W359" s="315"/>
    </row>
    <row r="360" spans="1:23" ht="15" customHeight="1" x14ac:dyDescent="0.35">
      <c r="A360" s="263"/>
      <c r="B360" s="143" t="str">
        <f t="shared" si="2"/>
        <v>Q-88</v>
      </c>
      <c r="C360" s="961"/>
      <c r="D360" s="3054"/>
      <c r="E360" s="3055"/>
      <c r="F360" s="3055"/>
      <c r="G360" s="161"/>
      <c r="H360" s="1583"/>
      <c r="I360" s="161"/>
      <c r="J360" s="161"/>
      <c r="K360" s="161"/>
      <c r="L360" s="1583"/>
      <c r="W360" s="315"/>
    </row>
    <row r="361" spans="1:23" ht="15" customHeight="1" x14ac:dyDescent="0.35">
      <c r="A361" s="263"/>
      <c r="B361" s="143" t="str">
        <f t="shared" si="2"/>
        <v>Q-89</v>
      </c>
      <c r="C361" s="961"/>
      <c r="D361" s="3054"/>
      <c r="E361" s="3055"/>
      <c r="F361" s="3055"/>
      <c r="G361" s="161"/>
      <c r="H361" s="1583"/>
      <c r="I361" s="161"/>
      <c r="J361" s="161"/>
      <c r="K361" s="161"/>
      <c r="L361" s="1583"/>
      <c r="W361" s="315"/>
    </row>
    <row r="362" spans="1:23" ht="15" customHeight="1" x14ac:dyDescent="0.35">
      <c r="A362" s="263"/>
      <c r="B362" s="143" t="str">
        <f t="shared" si="2"/>
        <v>Q-90</v>
      </c>
      <c r="C362" s="961"/>
      <c r="D362" s="3054"/>
      <c r="E362" s="3055"/>
      <c r="F362" s="3055"/>
      <c r="G362" s="161"/>
      <c r="H362" s="1583"/>
      <c r="I362" s="161"/>
      <c r="J362" s="161"/>
      <c r="K362" s="161"/>
      <c r="L362" s="1583"/>
      <c r="W362" s="315"/>
    </row>
    <row r="363" spans="1:23" ht="15" customHeight="1" x14ac:dyDescent="0.35">
      <c r="A363" s="263"/>
      <c r="B363" s="143" t="str">
        <f t="shared" si="2"/>
        <v>Q-91</v>
      </c>
      <c r="C363" s="961"/>
      <c r="D363" s="3054"/>
      <c r="E363" s="3055"/>
      <c r="F363" s="3055"/>
      <c r="G363" s="161"/>
      <c r="H363" s="1583"/>
      <c r="I363" s="161"/>
      <c r="J363" s="161"/>
      <c r="K363" s="161"/>
      <c r="L363" s="1583"/>
      <c r="W363" s="315"/>
    </row>
    <row r="364" spans="1:23" ht="15" customHeight="1" x14ac:dyDescent="0.35">
      <c r="A364" s="263"/>
      <c r="B364" s="143" t="str">
        <f t="shared" si="2"/>
        <v>Q-92</v>
      </c>
      <c r="C364" s="961"/>
      <c r="D364" s="3054"/>
      <c r="E364" s="3055"/>
      <c r="F364" s="3055"/>
      <c r="G364" s="161"/>
      <c r="H364" s="1583"/>
      <c r="I364" s="161"/>
      <c r="J364" s="161"/>
      <c r="K364" s="161"/>
      <c r="L364" s="1583"/>
      <c r="W364" s="315"/>
    </row>
    <row r="365" spans="1:23" ht="15" customHeight="1" x14ac:dyDescent="0.35">
      <c r="A365" s="263"/>
      <c r="B365" s="143" t="str">
        <f t="shared" si="2"/>
        <v>Q-93</v>
      </c>
      <c r="C365" s="961"/>
      <c r="D365" s="3054"/>
      <c r="E365" s="3055"/>
      <c r="F365" s="3055"/>
      <c r="G365" s="161"/>
      <c r="H365" s="1583"/>
      <c r="I365" s="161"/>
      <c r="J365" s="161"/>
      <c r="K365" s="161"/>
      <c r="L365" s="1583"/>
      <c r="W365" s="315"/>
    </row>
    <row r="366" spans="1:23" ht="15" customHeight="1" x14ac:dyDescent="0.35">
      <c r="A366" s="263"/>
      <c r="B366" s="143" t="str">
        <f t="shared" si="2"/>
        <v>Q-94</v>
      </c>
      <c r="C366" s="961"/>
      <c r="D366" s="3054"/>
      <c r="E366" s="3055"/>
      <c r="F366" s="3055"/>
      <c r="G366" s="161"/>
      <c r="H366" s="1583"/>
      <c r="I366" s="161"/>
      <c r="J366" s="161"/>
      <c r="K366" s="161"/>
      <c r="L366" s="1583"/>
      <c r="W366" s="315"/>
    </row>
    <row r="367" spans="1:23" ht="15" customHeight="1" x14ac:dyDescent="0.35">
      <c r="A367" s="263"/>
      <c r="B367" s="143" t="str">
        <f t="shared" si="2"/>
        <v>Q-95</v>
      </c>
      <c r="C367" s="961"/>
      <c r="D367" s="3054"/>
      <c r="E367" s="3055"/>
      <c r="F367" s="3055"/>
      <c r="G367" s="161"/>
      <c r="H367" s="1583"/>
      <c r="I367" s="161"/>
      <c r="J367" s="161"/>
      <c r="K367" s="161"/>
      <c r="L367" s="1583"/>
      <c r="W367" s="315"/>
    </row>
    <row r="368" spans="1:23" ht="15" customHeight="1" x14ac:dyDescent="0.35">
      <c r="A368" s="263"/>
      <c r="B368" s="143" t="str">
        <f t="shared" si="2"/>
        <v>Q-96</v>
      </c>
      <c r="C368" s="961"/>
      <c r="D368" s="3054"/>
      <c r="E368" s="3055"/>
      <c r="F368" s="3055"/>
      <c r="G368" s="161"/>
      <c r="H368" s="1583"/>
      <c r="I368" s="161"/>
      <c r="J368" s="161"/>
      <c r="K368" s="161"/>
      <c r="L368" s="1583"/>
      <c r="W368" s="315"/>
    </row>
    <row r="369" spans="1:23" ht="15" customHeight="1" x14ac:dyDescent="0.35">
      <c r="A369" s="263"/>
      <c r="B369" s="143" t="str">
        <f t="shared" si="2"/>
        <v>Q-97</v>
      </c>
      <c r="C369" s="961"/>
      <c r="D369" s="3054"/>
      <c r="E369" s="3055"/>
      <c r="F369" s="3055"/>
      <c r="G369" s="161"/>
      <c r="H369" s="1583"/>
      <c r="I369" s="161"/>
      <c r="J369" s="161"/>
      <c r="K369" s="161"/>
      <c r="L369" s="1583"/>
      <c r="W369" s="315"/>
    </row>
    <row r="370" spans="1:23" ht="15" customHeight="1" x14ac:dyDescent="0.35">
      <c r="A370" s="263"/>
      <c r="B370" s="143" t="str">
        <f t="shared" si="2"/>
        <v>Q-98</v>
      </c>
      <c r="C370" s="961"/>
      <c r="D370" s="3054"/>
      <c r="E370" s="3055"/>
      <c r="F370" s="3055"/>
      <c r="G370" s="161"/>
      <c r="H370" s="1583"/>
      <c r="I370" s="161"/>
      <c r="J370" s="161"/>
      <c r="K370" s="161"/>
      <c r="L370" s="1583"/>
      <c r="W370" s="315"/>
    </row>
    <row r="371" spans="1:23" ht="15" customHeight="1" x14ac:dyDescent="0.35">
      <c r="A371" s="263"/>
      <c r="B371" s="143" t="str">
        <f t="shared" si="2"/>
        <v>Q-99</v>
      </c>
      <c r="C371" s="961"/>
      <c r="D371" s="3054"/>
      <c r="E371" s="3055"/>
      <c r="F371" s="3055"/>
      <c r="G371" s="161"/>
      <c r="H371" s="1583"/>
      <c r="I371" s="161"/>
      <c r="J371" s="161"/>
      <c r="K371" s="161"/>
      <c r="L371" s="1583"/>
      <c r="W371" s="315"/>
    </row>
    <row r="372" spans="1:23" ht="15" customHeight="1" x14ac:dyDescent="0.35">
      <c r="A372" s="263"/>
      <c r="B372" s="145" t="str">
        <f t="shared" si="2"/>
        <v>Q-100</v>
      </c>
      <c r="C372" s="960"/>
      <c r="D372" s="3058"/>
      <c r="E372" s="3059"/>
      <c r="F372" s="3059"/>
      <c r="G372" s="171"/>
      <c r="H372" s="1584"/>
      <c r="I372" s="171"/>
      <c r="J372" s="171"/>
      <c r="K372" s="171"/>
      <c r="L372" s="1584"/>
      <c r="W372" s="315"/>
    </row>
    <row r="373" spans="1:23" ht="15" customHeight="1" x14ac:dyDescent="0.35">
      <c r="A373" s="717"/>
      <c r="B373" s="275"/>
      <c r="C373" s="275"/>
      <c r="D373" s="275"/>
      <c r="E373" s="275"/>
      <c r="F373" s="275"/>
      <c r="G373" s="275"/>
      <c r="H373" s="1819"/>
      <c r="I373" s="275"/>
      <c r="J373" s="275"/>
      <c r="K373" s="275"/>
      <c r="L373" s="1819"/>
      <c r="M373" s="275"/>
      <c r="N373" s="275"/>
      <c r="O373" s="275"/>
      <c r="P373" s="1819"/>
      <c r="Q373" s="275"/>
      <c r="R373" s="275"/>
      <c r="S373" s="275"/>
      <c r="T373" s="1819"/>
      <c r="U373" s="275"/>
      <c r="V373" s="275"/>
      <c r="W373" s="567"/>
    </row>
  </sheetData>
  <sheetProtection algorithmName="SHA-512" hashValue="KWo9nvS8X/wlJnXgysM44C/p1osooZdtw29f4/5t4oDKfBzbjUmaeeaDLHn5Y4xNXU7CNv8UowotRV97+A67Ew==" saltValue="Jj0psyB3l4qJmXc68W/qaA==" spinCount="100000" sheet="1" objects="1" scenarios="1"/>
  <mergeCells count="420">
    <mergeCell ref="G325:L325"/>
    <mergeCell ref="G316:L316"/>
    <mergeCell ref="G317:L317"/>
    <mergeCell ref="G318:L318"/>
    <mergeCell ref="G319:L319"/>
    <mergeCell ref="G320:L320"/>
    <mergeCell ref="G321:L321"/>
    <mergeCell ref="G322:L322"/>
    <mergeCell ref="G323:L323"/>
    <mergeCell ref="G324:L324"/>
    <mergeCell ref="G307:L307"/>
    <mergeCell ref="G308:L308"/>
    <mergeCell ref="G309:L309"/>
    <mergeCell ref="G310:L310"/>
    <mergeCell ref="G311:L311"/>
    <mergeCell ref="G312:L312"/>
    <mergeCell ref="G313:L313"/>
    <mergeCell ref="G314:L314"/>
    <mergeCell ref="G315:L315"/>
    <mergeCell ref="G298:L298"/>
    <mergeCell ref="G299:L299"/>
    <mergeCell ref="G300:L300"/>
    <mergeCell ref="G301:L301"/>
    <mergeCell ref="G302:L302"/>
    <mergeCell ref="G303:L303"/>
    <mergeCell ref="G304:L304"/>
    <mergeCell ref="G305:L305"/>
    <mergeCell ref="G306:L306"/>
    <mergeCell ref="G289:L289"/>
    <mergeCell ref="G290:L290"/>
    <mergeCell ref="G291:L291"/>
    <mergeCell ref="G292:L292"/>
    <mergeCell ref="G293:L293"/>
    <mergeCell ref="G294:L294"/>
    <mergeCell ref="G295:L295"/>
    <mergeCell ref="G296:L296"/>
    <mergeCell ref="G297:L297"/>
    <mergeCell ref="G280:L280"/>
    <mergeCell ref="G281:L281"/>
    <mergeCell ref="G282:L282"/>
    <mergeCell ref="G283:L283"/>
    <mergeCell ref="G284:L284"/>
    <mergeCell ref="G285:L285"/>
    <mergeCell ref="G286:L286"/>
    <mergeCell ref="G287:L287"/>
    <mergeCell ref="G288:L288"/>
    <mergeCell ref="G272:L272"/>
    <mergeCell ref="G273:L273"/>
    <mergeCell ref="G274:L274"/>
    <mergeCell ref="G275:L275"/>
    <mergeCell ref="G276:L276"/>
    <mergeCell ref="G277:L277"/>
    <mergeCell ref="G278:L278"/>
    <mergeCell ref="G279:L279"/>
    <mergeCell ref="D372:F372"/>
    <mergeCell ref="D363:F363"/>
    <mergeCell ref="D364:F364"/>
    <mergeCell ref="D365:F365"/>
    <mergeCell ref="D366:F366"/>
    <mergeCell ref="D367:F367"/>
    <mergeCell ref="D368:F368"/>
    <mergeCell ref="D369:F369"/>
    <mergeCell ref="D370:F370"/>
    <mergeCell ref="D371:F371"/>
    <mergeCell ref="D354:F354"/>
    <mergeCell ref="D355:F355"/>
    <mergeCell ref="D356:F356"/>
    <mergeCell ref="D357:F357"/>
    <mergeCell ref="D358:F358"/>
    <mergeCell ref="D359:F359"/>
    <mergeCell ref="D360:F360"/>
    <mergeCell ref="D361:F361"/>
    <mergeCell ref="D362:F362"/>
    <mergeCell ref="D345:F345"/>
    <mergeCell ref="D346:F346"/>
    <mergeCell ref="D347:F347"/>
    <mergeCell ref="D348:F348"/>
    <mergeCell ref="D349:F349"/>
    <mergeCell ref="D350:F350"/>
    <mergeCell ref="D351:F351"/>
    <mergeCell ref="D352:F352"/>
    <mergeCell ref="D353:F353"/>
    <mergeCell ref="D336:F336"/>
    <mergeCell ref="D337:F337"/>
    <mergeCell ref="D338:F338"/>
    <mergeCell ref="D339:F339"/>
    <mergeCell ref="D340:F340"/>
    <mergeCell ref="D341:F341"/>
    <mergeCell ref="D342:F342"/>
    <mergeCell ref="D343:F343"/>
    <mergeCell ref="D344:F344"/>
    <mergeCell ref="D327:F327"/>
    <mergeCell ref="D328:F328"/>
    <mergeCell ref="D329:F329"/>
    <mergeCell ref="D330:F330"/>
    <mergeCell ref="D331:F331"/>
    <mergeCell ref="D332:F332"/>
    <mergeCell ref="D333:F333"/>
    <mergeCell ref="D334:F334"/>
    <mergeCell ref="D335:F335"/>
    <mergeCell ref="D318:F318"/>
    <mergeCell ref="D319:F319"/>
    <mergeCell ref="D320:F320"/>
    <mergeCell ref="D321:F321"/>
    <mergeCell ref="D322:F322"/>
    <mergeCell ref="D323:F323"/>
    <mergeCell ref="D324:F324"/>
    <mergeCell ref="D325:F325"/>
    <mergeCell ref="D326:F326"/>
    <mergeCell ref="D309:F309"/>
    <mergeCell ref="D310:F310"/>
    <mergeCell ref="D311:F311"/>
    <mergeCell ref="D312:F312"/>
    <mergeCell ref="D313:F313"/>
    <mergeCell ref="D314:F314"/>
    <mergeCell ref="D315:F315"/>
    <mergeCell ref="D316:F316"/>
    <mergeCell ref="D317:F317"/>
    <mergeCell ref="D300:F300"/>
    <mergeCell ref="D301:F301"/>
    <mergeCell ref="D302:F302"/>
    <mergeCell ref="D303:F303"/>
    <mergeCell ref="D304:F304"/>
    <mergeCell ref="D305:F305"/>
    <mergeCell ref="D306:F306"/>
    <mergeCell ref="D307:F307"/>
    <mergeCell ref="D308:F308"/>
    <mergeCell ref="D291:F291"/>
    <mergeCell ref="D292:F292"/>
    <mergeCell ref="D293:F293"/>
    <mergeCell ref="D294:F294"/>
    <mergeCell ref="D295:F295"/>
    <mergeCell ref="D296:F296"/>
    <mergeCell ref="D297:F297"/>
    <mergeCell ref="D298:F298"/>
    <mergeCell ref="D299:F299"/>
    <mergeCell ref="D282:F282"/>
    <mergeCell ref="D283:F283"/>
    <mergeCell ref="D284:F284"/>
    <mergeCell ref="D285:F285"/>
    <mergeCell ref="D286:F286"/>
    <mergeCell ref="D287:F287"/>
    <mergeCell ref="D288:F288"/>
    <mergeCell ref="D289:F289"/>
    <mergeCell ref="D290:F290"/>
    <mergeCell ref="D273:F273"/>
    <mergeCell ref="D274:F274"/>
    <mergeCell ref="D275:F275"/>
    <mergeCell ref="D276:F276"/>
    <mergeCell ref="D277:F277"/>
    <mergeCell ref="D278:F278"/>
    <mergeCell ref="D279:F279"/>
    <mergeCell ref="D280:F280"/>
    <mergeCell ref="D281:F281"/>
    <mergeCell ref="D252:F252"/>
    <mergeCell ref="D253:F253"/>
    <mergeCell ref="D254:F254"/>
    <mergeCell ref="D255:F255"/>
    <mergeCell ref="D256:F256"/>
    <mergeCell ref="D257:F257"/>
    <mergeCell ref="D258:F258"/>
    <mergeCell ref="D259:F259"/>
    <mergeCell ref="D260:F260"/>
    <mergeCell ref="D243:F243"/>
    <mergeCell ref="D244:F244"/>
    <mergeCell ref="D245:F245"/>
    <mergeCell ref="D246:F246"/>
    <mergeCell ref="D247:F247"/>
    <mergeCell ref="D248:F248"/>
    <mergeCell ref="D249:F249"/>
    <mergeCell ref="D250:F250"/>
    <mergeCell ref="D251:F251"/>
    <mergeCell ref="D234:F234"/>
    <mergeCell ref="D235:F235"/>
    <mergeCell ref="D236:F236"/>
    <mergeCell ref="D237:F237"/>
    <mergeCell ref="D238:F238"/>
    <mergeCell ref="D239:F239"/>
    <mergeCell ref="D240:F240"/>
    <mergeCell ref="D241:F241"/>
    <mergeCell ref="D242:F242"/>
    <mergeCell ref="D225:F225"/>
    <mergeCell ref="D226:F226"/>
    <mergeCell ref="D227:F227"/>
    <mergeCell ref="D228:F228"/>
    <mergeCell ref="D229:F229"/>
    <mergeCell ref="D230:F230"/>
    <mergeCell ref="D231:F231"/>
    <mergeCell ref="D232:F232"/>
    <mergeCell ref="D233:F233"/>
    <mergeCell ref="D216:F216"/>
    <mergeCell ref="D217:F217"/>
    <mergeCell ref="D218:F218"/>
    <mergeCell ref="D219:F219"/>
    <mergeCell ref="D220:F220"/>
    <mergeCell ref="D221:F221"/>
    <mergeCell ref="D222:F222"/>
    <mergeCell ref="D223:F223"/>
    <mergeCell ref="D224:F224"/>
    <mergeCell ref="D207:F207"/>
    <mergeCell ref="D208:F208"/>
    <mergeCell ref="D209:F209"/>
    <mergeCell ref="D210:F210"/>
    <mergeCell ref="D211:F211"/>
    <mergeCell ref="D212:F212"/>
    <mergeCell ref="D213:F213"/>
    <mergeCell ref="D214:F214"/>
    <mergeCell ref="D215:F215"/>
    <mergeCell ref="D198:F198"/>
    <mergeCell ref="D199:F199"/>
    <mergeCell ref="D200:F200"/>
    <mergeCell ref="D201:F201"/>
    <mergeCell ref="D202:F202"/>
    <mergeCell ref="D203:F203"/>
    <mergeCell ref="D204:F204"/>
    <mergeCell ref="D205:F205"/>
    <mergeCell ref="D206:F206"/>
    <mergeCell ref="D189:F189"/>
    <mergeCell ref="D190:F190"/>
    <mergeCell ref="D191:F191"/>
    <mergeCell ref="D192:F192"/>
    <mergeCell ref="D193:F193"/>
    <mergeCell ref="D194:F194"/>
    <mergeCell ref="D195:F195"/>
    <mergeCell ref="D196:F196"/>
    <mergeCell ref="D197:F197"/>
    <mergeCell ref="D180:F180"/>
    <mergeCell ref="D181:F181"/>
    <mergeCell ref="D182:F182"/>
    <mergeCell ref="D183:F183"/>
    <mergeCell ref="D184:F184"/>
    <mergeCell ref="D185:F185"/>
    <mergeCell ref="D186:F186"/>
    <mergeCell ref="D187:F187"/>
    <mergeCell ref="D188:F188"/>
    <mergeCell ref="D171:F171"/>
    <mergeCell ref="D172:F172"/>
    <mergeCell ref="D173:F173"/>
    <mergeCell ref="D174:F174"/>
    <mergeCell ref="D175:F175"/>
    <mergeCell ref="D176:F176"/>
    <mergeCell ref="D177:F177"/>
    <mergeCell ref="D178:F178"/>
    <mergeCell ref="D179:F179"/>
    <mergeCell ref="D169:F169"/>
    <mergeCell ref="D170:F170"/>
    <mergeCell ref="B155:J155"/>
    <mergeCell ref="A154:J154"/>
    <mergeCell ref="B26:J26"/>
    <mergeCell ref="B23:J23"/>
    <mergeCell ref="B24:J24"/>
    <mergeCell ref="A57:W57"/>
    <mergeCell ref="B87:F87"/>
    <mergeCell ref="G58:J58"/>
    <mergeCell ref="B58:F59"/>
    <mergeCell ref="H42:I42"/>
    <mergeCell ref="H46:I46"/>
    <mergeCell ref="H47:I47"/>
    <mergeCell ref="B35:E35"/>
    <mergeCell ref="B39:E39"/>
    <mergeCell ref="B42:E42"/>
    <mergeCell ref="B45:E45"/>
    <mergeCell ref="B49:E49"/>
    <mergeCell ref="B51:E51"/>
    <mergeCell ref="B47:E47"/>
    <mergeCell ref="B168:J168"/>
    <mergeCell ref="B124:F124"/>
    <mergeCell ref="B125:F125"/>
    <mergeCell ref="B126:F126"/>
    <mergeCell ref="A128:J128"/>
    <mergeCell ref="G129:J129"/>
    <mergeCell ref="B129:F130"/>
    <mergeCell ref="H48:I48"/>
    <mergeCell ref="H49:I49"/>
    <mergeCell ref="H51:I51"/>
    <mergeCell ref="H52:I52"/>
    <mergeCell ref="H43:I43"/>
    <mergeCell ref="H44:I44"/>
    <mergeCell ref="H45:I45"/>
    <mergeCell ref="H37:I37"/>
    <mergeCell ref="G169:H169"/>
    <mergeCell ref="G181:H181"/>
    <mergeCell ref="G182:H182"/>
    <mergeCell ref="G183:H183"/>
    <mergeCell ref="G184:H184"/>
    <mergeCell ref="G185:H185"/>
    <mergeCell ref="G176:H176"/>
    <mergeCell ref="G177:H177"/>
    <mergeCell ref="G178:H178"/>
    <mergeCell ref="G179:H179"/>
    <mergeCell ref="G180:H180"/>
    <mergeCell ref="G171:H171"/>
    <mergeCell ref="G172:H172"/>
    <mergeCell ref="G173:H173"/>
    <mergeCell ref="G174:H174"/>
    <mergeCell ref="G175:H175"/>
    <mergeCell ref="G170:H170"/>
    <mergeCell ref="G191:H191"/>
    <mergeCell ref="G192:H192"/>
    <mergeCell ref="G193:H193"/>
    <mergeCell ref="G194:H194"/>
    <mergeCell ref="G195:H195"/>
    <mergeCell ref="G186:H186"/>
    <mergeCell ref="G187:H187"/>
    <mergeCell ref="G188:H188"/>
    <mergeCell ref="G189:H189"/>
    <mergeCell ref="G190:H190"/>
    <mergeCell ref="G201:H201"/>
    <mergeCell ref="G202:H202"/>
    <mergeCell ref="G203:H203"/>
    <mergeCell ref="G204:H204"/>
    <mergeCell ref="G205:H205"/>
    <mergeCell ref="G196:H196"/>
    <mergeCell ref="G197:H197"/>
    <mergeCell ref="G198:H198"/>
    <mergeCell ref="G199:H199"/>
    <mergeCell ref="G200:H200"/>
    <mergeCell ref="G211:H211"/>
    <mergeCell ref="G212:H212"/>
    <mergeCell ref="G213:H213"/>
    <mergeCell ref="G214:H214"/>
    <mergeCell ref="G215:H215"/>
    <mergeCell ref="G206:H206"/>
    <mergeCell ref="G207:H207"/>
    <mergeCell ref="G208:H208"/>
    <mergeCell ref="G209:H209"/>
    <mergeCell ref="G210:H210"/>
    <mergeCell ref="G221:H221"/>
    <mergeCell ref="G222:H222"/>
    <mergeCell ref="G223:H223"/>
    <mergeCell ref="G224:H224"/>
    <mergeCell ref="G225:H225"/>
    <mergeCell ref="G216:H216"/>
    <mergeCell ref="G217:H217"/>
    <mergeCell ref="G218:H218"/>
    <mergeCell ref="G219:H219"/>
    <mergeCell ref="G220:H220"/>
    <mergeCell ref="G268:H268"/>
    <mergeCell ref="G269:H269"/>
    <mergeCell ref="D272:F272"/>
    <mergeCell ref="G261:H261"/>
    <mergeCell ref="G262:H262"/>
    <mergeCell ref="G263:H263"/>
    <mergeCell ref="G264:H264"/>
    <mergeCell ref="G265:H265"/>
    <mergeCell ref="G256:H256"/>
    <mergeCell ref="G257:H257"/>
    <mergeCell ref="G258:H258"/>
    <mergeCell ref="G259:H259"/>
    <mergeCell ref="G260:H260"/>
    <mergeCell ref="G266:H266"/>
    <mergeCell ref="G267:H267"/>
    <mergeCell ref="D261:F261"/>
    <mergeCell ref="D262:F262"/>
    <mergeCell ref="D263:F263"/>
    <mergeCell ref="D264:F264"/>
    <mergeCell ref="D265:F265"/>
    <mergeCell ref="D266:F266"/>
    <mergeCell ref="D267:F267"/>
    <mergeCell ref="D268:F268"/>
    <mergeCell ref="D269:F269"/>
    <mergeCell ref="G240:H240"/>
    <mergeCell ref="G231:H231"/>
    <mergeCell ref="G232:H232"/>
    <mergeCell ref="G233:H233"/>
    <mergeCell ref="G234:H234"/>
    <mergeCell ref="G235:H235"/>
    <mergeCell ref="G226:H226"/>
    <mergeCell ref="G227:H227"/>
    <mergeCell ref="G228:H228"/>
    <mergeCell ref="G229:H229"/>
    <mergeCell ref="G230:H230"/>
    <mergeCell ref="H36:I36"/>
    <mergeCell ref="G251:H251"/>
    <mergeCell ref="G252:H252"/>
    <mergeCell ref="G253:H253"/>
    <mergeCell ref="G254:H254"/>
    <mergeCell ref="G255:H255"/>
    <mergeCell ref="G246:H246"/>
    <mergeCell ref="G247:H247"/>
    <mergeCell ref="G248:H248"/>
    <mergeCell ref="G249:H249"/>
    <mergeCell ref="G250:H250"/>
    <mergeCell ref="G241:H241"/>
    <mergeCell ref="G242:H242"/>
    <mergeCell ref="G243:H243"/>
    <mergeCell ref="G244:H244"/>
    <mergeCell ref="G245:H245"/>
    <mergeCell ref="H53:I53"/>
    <mergeCell ref="H54:I54"/>
    <mergeCell ref="H55:I55"/>
    <mergeCell ref="H56:I56"/>
    <mergeCell ref="G236:H236"/>
    <mergeCell ref="G237:H237"/>
    <mergeCell ref="G238:H238"/>
    <mergeCell ref="G239:H239"/>
    <mergeCell ref="I11:J11"/>
    <mergeCell ref="I4:J4"/>
    <mergeCell ref="G17:G20"/>
    <mergeCell ref="H17:J18"/>
    <mergeCell ref="H19:J20"/>
    <mergeCell ref="O58:R58"/>
    <mergeCell ref="O129:R129"/>
    <mergeCell ref="S58:V58"/>
    <mergeCell ref="S129:V129"/>
    <mergeCell ref="H38:I38"/>
    <mergeCell ref="H39:I39"/>
    <mergeCell ref="H40:I40"/>
    <mergeCell ref="H41:I41"/>
    <mergeCell ref="H50:I50"/>
    <mergeCell ref="K58:N58"/>
    <mergeCell ref="K129:N129"/>
    <mergeCell ref="H28:I28"/>
    <mergeCell ref="H29:I29"/>
    <mergeCell ref="H30:I30"/>
    <mergeCell ref="H31:I31"/>
    <mergeCell ref="H32:I32"/>
    <mergeCell ref="H33:I33"/>
    <mergeCell ref="H34:I34"/>
    <mergeCell ref="H35:I35"/>
  </mergeCells>
  <conditionalFormatting sqref="G11 G30 G37:G39 G41:G42 G44:G45 G63:G67 G69:G73 G75:G80 G82:G86 G89 G118:G123 G28 G47:G48 G50 G52:G55 G135:G139 G141:G145 G147:G153 G158:G159 G161:G162 G164:G165 G125 G91:G116 G32:G35">
    <cfRule type="cellIs" dxfId="1014" priority="411" stopIfTrue="1" operator="lessThan">
      <formula>0</formula>
    </cfRule>
  </conditionalFormatting>
  <conditionalFormatting sqref="H47:H55">
    <cfRule type="cellIs" dxfId="1013" priority="19" stopIfTrue="1" operator="equal">
      <formula>"Can be left blank for banks using SA only"</formula>
    </cfRule>
  </conditionalFormatting>
  <conditionalFormatting sqref="F28 F30 F32:F35 F37:F39 F41:F42 F44:F45 F47:F48 F50 F52:F55">
    <cfRule type="cellIs" dxfId="1012" priority="404" stopIfTrue="1" operator="lessThan">
      <formula>0</formula>
    </cfRule>
  </conditionalFormatting>
  <conditionalFormatting sqref="H118:H122 I119:I120">
    <cfRule type="cellIs" dxfId="1011" priority="400" stopIfTrue="1" operator="lessThan">
      <formula>0</formula>
    </cfRule>
  </conditionalFormatting>
  <conditionalFormatting sqref="L118:L122 M119:M120 G126 K147:K153 K118:K126">
    <cfRule type="cellIs" dxfId="1010" priority="396" stopIfTrue="1" operator="lessThan">
      <formula>0</formula>
    </cfRule>
  </conditionalFormatting>
  <conditionalFormatting sqref="J135:J153 N135:N153 J89:J123 N89:N124">
    <cfRule type="cellIs" dxfId="1009" priority="26" stopIfTrue="1" operator="equal">
      <formula>"Can be left blank for banks without IMA"</formula>
    </cfRule>
  </conditionalFormatting>
  <conditionalFormatting sqref="J63:J86 N63:N86 H28:H45">
    <cfRule type="cellIs" dxfId="1008" priority="20" stopIfTrue="1" operator="equal">
      <formula>"Can be left blank for banks without SA"</formula>
    </cfRule>
  </conditionalFormatting>
  <conditionalFormatting sqref="K135:K139 K141:K145">
    <cfRule type="cellIs" dxfId="1007" priority="134" stopIfTrue="1" operator="lessThan">
      <formula>0</formula>
    </cfRule>
  </conditionalFormatting>
  <conditionalFormatting sqref="K89">
    <cfRule type="cellIs" dxfId="1006" priority="132" stopIfTrue="1" operator="lessThan">
      <formula>0</formula>
    </cfRule>
  </conditionalFormatting>
  <conditionalFormatting sqref="K63:K67 K69:K73 K75:K80 K82:K86">
    <cfRule type="cellIs" dxfId="1005" priority="115" stopIfTrue="1" operator="lessThan">
      <formula>0</formula>
    </cfRule>
  </conditionalFormatting>
  <conditionalFormatting sqref="P118:P122 Q119:Q120 O147:O153 O118:O126">
    <cfRule type="cellIs" dxfId="1004" priority="18" stopIfTrue="1" operator="lessThan">
      <formula>0</formula>
    </cfRule>
  </conditionalFormatting>
  <conditionalFormatting sqref="R135:R153 R89:R124">
    <cfRule type="cellIs" dxfId="1003" priority="14" stopIfTrue="1" operator="equal">
      <formula>"Can be left blank for banks without IMA"</formula>
    </cfRule>
  </conditionalFormatting>
  <conditionalFormatting sqref="O135:O139 O141:O145">
    <cfRule type="cellIs" dxfId="1002" priority="17" stopIfTrue="1" operator="lessThan">
      <formula>0</formula>
    </cfRule>
  </conditionalFormatting>
  <conditionalFormatting sqref="O89">
    <cfRule type="cellIs" dxfId="1001" priority="16" stopIfTrue="1" operator="lessThan">
      <formula>0</formula>
    </cfRule>
  </conditionalFormatting>
  <conditionalFormatting sqref="O63:O67 O69:O73 O75:O80 O82:O86">
    <cfRule type="cellIs" dxfId="1000" priority="15" stopIfTrue="1" operator="lessThan">
      <formula>0</formula>
    </cfRule>
  </conditionalFormatting>
  <conditionalFormatting sqref="T118:T122 U119:U120 S147:S153 S118:S126">
    <cfRule type="cellIs" dxfId="999" priority="12" stopIfTrue="1" operator="lessThan">
      <formula>0</formula>
    </cfRule>
  </conditionalFormatting>
  <conditionalFormatting sqref="V135:V153 V89:V124">
    <cfRule type="cellIs" dxfId="998" priority="8" stopIfTrue="1" operator="equal">
      <formula>"Can be left blank for banks without IMA"</formula>
    </cfRule>
  </conditionalFormatting>
  <conditionalFormatting sqref="V63:V86 R63:R86">
    <cfRule type="cellIs" dxfId="997" priority="7" stopIfTrue="1" operator="equal">
      <formula>"Can be left blank for banks without SA"</formula>
    </cfRule>
  </conditionalFormatting>
  <conditionalFormatting sqref="S135:S139 S141:S145">
    <cfRule type="cellIs" dxfId="996" priority="11" stopIfTrue="1" operator="lessThan">
      <formula>0</formula>
    </cfRule>
  </conditionalFormatting>
  <conditionalFormatting sqref="S89">
    <cfRule type="cellIs" dxfId="995" priority="10" stopIfTrue="1" operator="lessThan">
      <formula>0</formula>
    </cfRule>
  </conditionalFormatting>
  <conditionalFormatting sqref="S63:S67 S69:S73 S75:S80 S82:S86">
    <cfRule type="cellIs" dxfId="994" priority="9" stopIfTrue="1" operator="lessThan">
      <formula>0</formula>
    </cfRule>
  </conditionalFormatting>
  <conditionalFormatting sqref="K91:K116">
    <cfRule type="cellIs" dxfId="993" priority="3" stopIfTrue="1" operator="lessThan">
      <formula>0</formula>
    </cfRule>
  </conditionalFormatting>
  <conditionalFormatting sqref="O91:O116">
    <cfRule type="cellIs" dxfId="992" priority="2" stopIfTrue="1" operator="lessThan">
      <formula>0</formula>
    </cfRule>
  </conditionalFormatting>
  <conditionalFormatting sqref="S91:S116">
    <cfRule type="cellIs" dxfId="991" priority="1" stopIfTrue="1" operator="lessThan">
      <formula>0</formula>
    </cfRule>
  </conditionalFormatting>
  <dataValidations count="6">
    <dataValidation type="list" allowBlank="1" showInputMessage="1" showErrorMessage="1" sqref="C273:C372">
      <formula1>QNumericZ100</formula1>
    </dataValidation>
    <dataValidation type="list" allowBlank="1" showInputMessage="1" showErrorMessage="1" sqref="G170:G269">
      <formula1>RegDesks</formula1>
    </dataValidation>
    <dataValidation type="list" allowBlank="1" showInputMessage="1" showErrorMessage="1" sqref="I170:I269">
      <formula1>YesNo</formula1>
    </dataValidation>
    <dataValidation type="list" allowBlank="1" showInputMessage="1" showErrorMessage="1" sqref="J170:J269">
      <formula1>YesNoDontKnow</formula1>
    </dataValidation>
    <dataValidation type="list" showInputMessage="1" showErrorMessage="1" sqref="H7:H10">
      <formula1>YesNo</formula1>
    </dataValidation>
    <dataValidation type="list" allowBlank="1" showInputMessage="1" showErrorMessage="1" sqref="H6">
      <formula1>TBreliability</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26" max="11" man="1"/>
    <brk id="56" max="9" man="1"/>
    <brk id="101" max="22" man="1"/>
    <brk id="127" max="22" man="1"/>
    <brk id="153" max="9" man="1"/>
    <brk id="198" max="9" man="1"/>
    <brk id="252" max="9" man="1"/>
    <brk id="270" max="9" man="1"/>
    <brk id="322" max="9" man="1"/>
  </rowBreaks>
  <colBreaks count="3" manualBreakCount="3">
    <brk id="10" min="56" max="152" man="1"/>
    <brk id="14" min="56" max="152" man="1"/>
    <brk id="18" min="56" max="15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AA322F"/>
  </sheetPr>
  <dimension ref="A1:AP309"/>
  <sheetViews>
    <sheetView topLeftCell="A292" zoomScale="75" zoomScaleNormal="75" workbookViewId="0">
      <selection activeCell="N224" sqref="N224"/>
    </sheetView>
  </sheetViews>
  <sheetFormatPr defaultColWidth="0" defaultRowHeight="0" customHeight="1" zeroHeight="1" x14ac:dyDescent="0.35"/>
  <cols>
    <col min="1" max="1" width="1.6640625" style="263" customWidth="1"/>
    <col min="2" max="2" width="8.6640625" style="98" customWidth="1"/>
    <col min="3" max="3" width="60.6640625" style="98" customWidth="1"/>
    <col min="4" max="41" width="8.6640625" style="98" customWidth="1"/>
    <col min="42" max="42" width="1.6640625" style="315" customWidth="1"/>
    <col min="43" max="16384" width="9.109375" hidden="1"/>
  </cols>
  <sheetData>
    <row r="1" spans="1:42" ht="30" customHeight="1" x14ac:dyDescent="0.65">
      <c r="A1" s="766" t="s">
        <v>38</v>
      </c>
      <c r="B1" s="767"/>
      <c r="C1" s="767"/>
      <c r="D1" s="767"/>
      <c r="E1" s="767"/>
      <c r="F1" s="767"/>
      <c r="G1" s="767"/>
      <c r="H1" s="767"/>
      <c r="I1" s="767"/>
      <c r="J1" s="767"/>
      <c r="K1" s="767"/>
      <c r="L1" s="767"/>
      <c r="M1" s="767"/>
      <c r="N1" s="767"/>
      <c r="O1" s="767"/>
      <c r="P1" s="767"/>
      <c r="Q1" s="767"/>
      <c r="R1" s="767"/>
      <c r="S1" s="767"/>
      <c r="T1" s="767"/>
      <c r="U1" s="767"/>
      <c r="V1" s="767"/>
      <c r="W1" s="767"/>
      <c r="X1" s="767"/>
      <c r="Y1" s="767"/>
      <c r="Z1" s="767"/>
      <c r="AA1" s="767"/>
      <c r="AB1" s="767"/>
      <c r="AC1" s="767"/>
      <c r="AD1" s="767"/>
      <c r="AE1" s="767"/>
      <c r="AF1" s="767"/>
      <c r="AG1" s="767"/>
      <c r="AH1" s="767"/>
      <c r="AI1" s="767"/>
      <c r="AJ1" s="767"/>
      <c r="AK1" s="767"/>
      <c r="AL1" s="767"/>
      <c r="AM1" s="767"/>
      <c r="AN1" s="767"/>
      <c r="AO1" s="767"/>
      <c r="AP1" s="522"/>
    </row>
    <row r="2" spans="1:42" ht="45" customHeight="1" x14ac:dyDescent="0.35">
      <c r="A2" s="264" t="s">
        <v>39</v>
      </c>
    </row>
    <row r="3" spans="1:42" ht="15" customHeight="1" x14ac:dyDescent="0.35">
      <c r="B3" s="526" t="s">
        <v>40</v>
      </c>
      <c r="C3" s="931" t="s">
        <v>41</v>
      </c>
      <c r="D3" s="752"/>
      <c r="E3" s="752"/>
      <c r="F3" s="752"/>
      <c r="G3" s="752"/>
      <c r="H3" s="752"/>
      <c r="I3" s="752"/>
      <c r="J3" s="1309" t="str">
        <f>CONCATENATE("Col ", LEFT(ADDRESS(ROW('General Info'!C65),COLUMN('General Info'!C65),4), 1))</f>
        <v>Col C</v>
      </c>
      <c r="K3" s="1309" t="str">
        <f>CONCATENATE("Col ", LEFT(ADDRESS(ROW('General Info'!D65),COLUMN('General Info'!D65),4), 1))</f>
        <v>Col D</v>
      </c>
      <c r="L3" s="1309" t="str">
        <f>CONCATENATE("Col ", LEFT(ADDRESS(ROW('General Info'!E65),COLUMN('General Info'!E65),4), 1))</f>
        <v>Col E</v>
      </c>
    </row>
    <row r="4" spans="1:42" ht="15" customHeight="1" x14ac:dyDescent="0.35">
      <c r="B4" s="115" t="s">
        <v>42</v>
      </c>
      <c r="C4" s="217" t="str">
        <f>'General Info'!B65</f>
        <v>Check: Tier 1 adjustments should be ≤ additional Tier 1 prior to adjustments</v>
      </c>
      <c r="D4" s="161"/>
      <c r="E4" s="161"/>
      <c r="F4" s="161"/>
      <c r="G4" s="161"/>
      <c r="H4" s="161"/>
      <c r="I4" s="161"/>
      <c r="J4" s="359" t="str">
        <f>'General Info'!C65</f>
        <v>Pass</v>
      </c>
      <c r="K4" s="180"/>
      <c r="L4" s="178"/>
    </row>
    <row r="5" spans="1:42" ht="15" customHeight="1" x14ac:dyDescent="0.35">
      <c r="B5" s="115" t="s">
        <v>42</v>
      </c>
      <c r="C5" s="217" t="str">
        <f>'General Info'!B70</f>
        <v>Check: Tier 2 adjustments should be ≤ additional Tier 2 prior to adjustments</v>
      </c>
      <c r="D5" s="161"/>
      <c r="E5" s="161"/>
      <c r="F5" s="161"/>
      <c r="G5" s="161"/>
      <c r="H5" s="161"/>
      <c r="I5" s="161"/>
      <c r="J5" s="359" t="str">
        <f>'General Info'!C70</f>
        <v>Pass</v>
      </c>
      <c r="K5" s="180"/>
      <c r="L5" s="178"/>
    </row>
    <row r="6" spans="1:42" ht="15" customHeight="1" x14ac:dyDescent="0.35">
      <c r="B6" s="115" t="s">
        <v>43</v>
      </c>
      <c r="C6" s="217" t="str">
        <f>'General Info'!E$74 &amp; ": " &amp; 'General Info'!B79</f>
        <v>Check: 12m ≥ 6m: Dividends on CET1 instruments</v>
      </c>
      <c r="D6" s="161"/>
      <c r="E6" s="161"/>
      <c r="F6" s="161"/>
      <c r="G6" s="161"/>
      <c r="H6" s="161"/>
      <c r="I6" s="161"/>
      <c r="J6" s="182"/>
      <c r="K6" s="180"/>
      <c r="L6" s="356" t="str">
        <f>'General Info'!E79</f>
        <v>Pass</v>
      </c>
    </row>
    <row r="7" spans="1:42" ht="15" customHeight="1" x14ac:dyDescent="0.35">
      <c r="B7" s="115" t="s">
        <v>43</v>
      </c>
      <c r="C7" s="217" t="str">
        <f>'General Info'!E$74 &amp; ": " &amp; 'General Info'!B80</f>
        <v>Check: 12m ≥ 6m: Other coupon/dividend payments on Tier 1 instruments; of which:</v>
      </c>
      <c r="D7" s="161"/>
      <c r="E7" s="161"/>
      <c r="F7" s="161"/>
      <c r="G7" s="161"/>
      <c r="H7" s="161"/>
      <c r="I7" s="161"/>
      <c r="J7" s="182"/>
      <c r="K7" s="180"/>
      <c r="L7" s="356" t="str">
        <f>'General Info'!E80</f>
        <v>Pass</v>
      </c>
    </row>
    <row r="8" spans="1:42" ht="15" customHeight="1" x14ac:dyDescent="0.35">
      <c r="B8" s="115" t="s">
        <v>43</v>
      </c>
      <c r="C8" s="217" t="str">
        <f>'General Info'!E$74 &amp; ": " &amp; 'General Info'!B81</f>
        <v>Check: 12m ≥ 6m: Considered as expenses</v>
      </c>
      <c r="D8" s="161"/>
      <c r="E8" s="161"/>
      <c r="F8" s="161"/>
      <c r="G8" s="161"/>
      <c r="H8" s="161"/>
      <c r="I8" s="161"/>
      <c r="J8" s="182"/>
      <c r="K8" s="180"/>
      <c r="L8" s="356" t="str">
        <f>'General Info'!E81</f>
        <v>Pass</v>
      </c>
    </row>
    <row r="9" spans="1:42" ht="15" customHeight="1" x14ac:dyDescent="0.35">
      <c r="B9" s="115" t="s">
        <v>43</v>
      </c>
      <c r="C9" s="217" t="str">
        <f>'General Info'!E$74 &amp; ": " &amp; 'General Info'!B82</f>
        <v>Check: 12m ≥ 6m: Common stock share buybacks</v>
      </c>
      <c r="D9" s="161"/>
      <c r="E9" s="161"/>
      <c r="F9" s="161"/>
      <c r="G9" s="161"/>
      <c r="H9" s="161"/>
      <c r="I9" s="161"/>
      <c r="J9" s="182"/>
      <c r="K9" s="180"/>
      <c r="L9" s="356" t="str">
        <f>'General Info'!E82</f>
        <v>Pass</v>
      </c>
    </row>
    <row r="10" spans="1:42" ht="15" customHeight="1" x14ac:dyDescent="0.35">
      <c r="B10" s="115" t="s">
        <v>43</v>
      </c>
      <c r="C10" s="217" t="str">
        <f>'General Info'!E$74 &amp; ": " &amp; 'General Info'!B83</f>
        <v>Check: 12m ≥ 6m: Other Tier 1 buyback or repayment (gross)</v>
      </c>
      <c r="D10" s="161"/>
      <c r="E10" s="161"/>
      <c r="F10" s="161"/>
      <c r="G10" s="161"/>
      <c r="H10" s="161"/>
      <c r="I10" s="161"/>
      <c r="J10" s="182"/>
      <c r="K10" s="180"/>
      <c r="L10" s="356" t="str">
        <f>'General Info'!E83</f>
        <v>Pass</v>
      </c>
    </row>
    <row r="11" spans="1:42" ht="15" customHeight="1" x14ac:dyDescent="0.35">
      <c r="B11" s="115" t="s">
        <v>43</v>
      </c>
      <c r="C11" s="217" t="str">
        <f>'General Info'!E$74 &amp; ": " &amp; 'General Info'!B84</f>
        <v>Check: 12m ≥ 6m: Discretionary staff compensation/bonuses</v>
      </c>
      <c r="D11" s="161"/>
      <c r="E11" s="161"/>
      <c r="F11" s="161"/>
      <c r="G11" s="161"/>
      <c r="H11" s="161"/>
      <c r="I11" s="161"/>
      <c r="J11" s="182"/>
      <c r="K11" s="180"/>
      <c r="L11" s="356" t="str">
        <f>'General Info'!E84</f>
        <v>Pass</v>
      </c>
    </row>
    <row r="12" spans="1:42" ht="15" customHeight="1" x14ac:dyDescent="0.35">
      <c r="B12" s="115" t="s">
        <v>43</v>
      </c>
      <c r="C12" s="217" t="str">
        <f>'General Info'!E$74 &amp; ": " &amp; 'General Info'!B85</f>
        <v>Check: 12m ≥ 6m: Tier 2 buyback or repayment (gross)</v>
      </c>
      <c r="D12" s="161"/>
      <c r="E12" s="161"/>
      <c r="F12" s="161"/>
      <c r="G12" s="161"/>
      <c r="H12" s="161"/>
      <c r="I12" s="161"/>
      <c r="J12" s="182"/>
      <c r="K12" s="180"/>
      <c r="L12" s="356" t="str">
        <f>'General Info'!E85</f>
        <v>Pass</v>
      </c>
    </row>
    <row r="13" spans="1:42" ht="15" customHeight="1" x14ac:dyDescent="0.35">
      <c r="B13" s="115" t="s">
        <v>43</v>
      </c>
      <c r="C13" s="217" t="str">
        <f>'General Info'!E$74 &amp; ": " &amp; 'General Info'!B87</f>
        <v>Check: 12m ≥ 6m: CET1</v>
      </c>
      <c r="D13" s="161"/>
      <c r="E13" s="161"/>
      <c r="F13" s="161"/>
      <c r="G13" s="161"/>
      <c r="H13" s="161"/>
      <c r="I13" s="161"/>
      <c r="J13" s="182"/>
      <c r="K13" s="180"/>
      <c r="L13" s="356" t="str">
        <f>'General Info'!E87</f>
        <v>Pass</v>
      </c>
    </row>
    <row r="14" spans="1:42" ht="15" customHeight="1" x14ac:dyDescent="0.35">
      <c r="B14" s="115" t="s">
        <v>43</v>
      </c>
      <c r="C14" s="217" t="str">
        <f>'General Info'!E$74 &amp; ": " &amp; 'General Info'!B88</f>
        <v>Check: 12m ≥ 6m: Additional Tier 1</v>
      </c>
      <c r="D14" s="161"/>
      <c r="E14" s="161"/>
      <c r="F14" s="161"/>
      <c r="G14" s="161"/>
      <c r="H14" s="161"/>
      <c r="I14" s="161"/>
      <c r="J14" s="182"/>
      <c r="K14" s="180"/>
      <c r="L14" s="356" t="str">
        <f>'General Info'!E88</f>
        <v>Pass</v>
      </c>
    </row>
    <row r="15" spans="1:42" ht="15" customHeight="1" x14ac:dyDescent="0.35">
      <c r="B15" s="174" t="s">
        <v>43</v>
      </c>
      <c r="C15" s="1254" t="str">
        <f>'General Info'!E$74 &amp; ": " &amp; 'General Info'!B89</f>
        <v>Check: 12m ≥ 6m: Tier 2</v>
      </c>
      <c r="D15" s="171"/>
      <c r="E15" s="171"/>
      <c r="F15" s="171"/>
      <c r="G15" s="171"/>
      <c r="H15" s="171"/>
      <c r="I15" s="171"/>
      <c r="J15" s="184"/>
      <c r="K15" s="234"/>
      <c r="L15" s="353" t="str">
        <f>'General Info'!E89</f>
        <v>Pass</v>
      </c>
    </row>
    <row r="16" spans="1:42" ht="15" customHeight="1" x14ac:dyDescent="0.35"/>
    <row r="17" spans="1:42" ht="45" customHeight="1" x14ac:dyDescent="0.35">
      <c r="A17" s="536" t="s">
        <v>44</v>
      </c>
      <c r="B17" s="741"/>
      <c r="C17" s="741"/>
      <c r="D17" s="741"/>
      <c r="E17" s="741"/>
      <c r="F17" s="741"/>
      <c r="G17" s="741"/>
      <c r="H17" s="741"/>
      <c r="I17" s="741"/>
      <c r="J17" s="741"/>
      <c r="K17" s="741"/>
      <c r="L17" s="741"/>
      <c r="M17" s="741"/>
      <c r="N17" s="741"/>
      <c r="O17" s="741"/>
      <c r="P17" s="741"/>
      <c r="Q17" s="741"/>
      <c r="R17" s="741"/>
      <c r="S17" s="741"/>
      <c r="T17" s="741"/>
      <c r="U17" s="741"/>
      <c r="V17" s="741"/>
      <c r="W17" s="741"/>
      <c r="X17" s="741"/>
      <c r="Y17" s="741"/>
      <c r="Z17" s="741"/>
      <c r="AA17" s="741"/>
      <c r="AB17" s="741"/>
      <c r="AC17" s="741"/>
      <c r="AD17" s="741"/>
      <c r="AE17" s="741"/>
      <c r="AF17" s="741"/>
      <c r="AG17" s="741"/>
      <c r="AH17" s="741"/>
      <c r="AI17" s="741"/>
      <c r="AJ17" s="741"/>
      <c r="AK17" s="741"/>
      <c r="AL17" s="741"/>
      <c r="AM17" s="741"/>
      <c r="AN17" s="741"/>
      <c r="AO17" s="741"/>
      <c r="AP17" s="537"/>
    </row>
    <row r="18" spans="1:42" ht="45" customHeight="1" x14ac:dyDescent="0.35">
      <c r="A18" s="264" t="s">
        <v>45</v>
      </c>
    </row>
    <row r="19" spans="1:42" ht="15" customHeight="1" x14ac:dyDescent="0.35">
      <c r="B19" s="526" t="s">
        <v>40</v>
      </c>
      <c r="C19" s="931" t="s">
        <v>41</v>
      </c>
      <c r="D19" s="752"/>
      <c r="E19" s="752"/>
      <c r="F19" s="752"/>
      <c r="G19" s="752"/>
      <c r="H19" s="752"/>
      <c r="I19" s="752"/>
      <c r="J19" s="1309" t="str">
        <f>CONCATENATE("Col ", LEFT(ADDRESS(ROW('General Info'!D85),COLUMN('General Info'!D85),4), 1))</f>
        <v>Col D</v>
      </c>
      <c r="K19" s="765" t="str">
        <f>CONCATENATE("Col ", LEFT(ADDRESS(ROW('General Info'!E85),COLUMN('General Info'!E85),4), 1))</f>
        <v>Col E</v>
      </c>
    </row>
    <row r="20" spans="1:42" ht="15" customHeight="1" x14ac:dyDescent="0.35">
      <c r="B20" s="523" t="s">
        <v>46</v>
      </c>
      <c r="C20" s="528" t="str">
        <f>DefCap!C116</f>
        <v>Check: row 115 ≤ row 114</v>
      </c>
      <c r="D20" s="463"/>
      <c r="E20" s="463"/>
      <c r="F20" s="463"/>
      <c r="G20" s="463"/>
      <c r="H20" s="463"/>
      <c r="I20" s="463"/>
      <c r="J20" s="488" t="str">
        <f>DefCap!D116</f>
        <v>Pass</v>
      </c>
      <c r="K20" s="525" t="str">
        <f>DefCap!E116</f>
        <v>Pass</v>
      </c>
    </row>
    <row r="21" spans="1:42" ht="15" customHeight="1" x14ac:dyDescent="0.35">
      <c r="B21" s="174" t="s">
        <v>46</v>
      </c>
      <c r="C21" s="349" t="str">
        <f>DefCap!C123</f>
        <v>Check: row 122 ≤ row 121</v>
      </c>
      <c r="D21" s="171"/>
      <c r="E21" s="171"/>
      <c r="F21" s="171"/>
      <c r="G21" s="171"/>
      <c r="H21" s="171"/>
      <c r="I21" s="171"/>
      <c r="J21" s="360" t="str">
        <f>DefCap!D123</f>
        <v>Pass</v>
      </c>
      <c r="K21" s="353" t="str">
        <f>DefCap!E123</f>
        <v>Pass</v>
      </c>
    </row>
    <row r="22" spans="1:42" ht="45" customHeight="1" x14ac:dyDescent="0.35">
      <c r="A22" s="264" t="s">
        <v>47</v>
      </c>
    </row>
    <row r="23" spans="1:42" ht="15" customHeight="1" x14ac:dyDescent="0.35">
      <c r="B23" s="526" t="s">
        <v>40</v>
      </c>
      <c r="C23" s="931" t="s">
        <v>41</v>
      </c>
      <c r="D23" s="752"/>
      <c r="E23" s="752"/>
      <c r="F23" s="752"/>
      <c r="G23" s="752"/>
      <c r="H23" s="752"/>
      <c r="I23" s="752"/>
      <c r="J23" s="1309" t="str">
        <f>CONCATENATE("Col ", LEFT(ADDRESS(ROW(TLAC!C12),COLUMN(TLAC!C16),4), 1))</f>
        <v>Col C</v>
      </c>
      <c r="K23" s="765" t="str">
        <f>CONCATENATE("Col ", LEFT(ADDRESS(ROW(TLAC!D12),COLUMN(TLAC!D16),4), 1))</f>
        <v>Col D</v>
      </c>
    </row>
    <row r="24" spans="1:42" ht="15" customHeight="1" x14ac:dyDescent="0.35">
      <c r="B24" s="538" t="s">
        <v>42</v>
      </c>
      <c r="C24" s="932" t="str">
        <f>TLAC!B16</f>
        <v>Check: row 15 ≤ row 14</v>
      </c>
      <c r="D24" s="752"/>
      <c r="E24" s="752"/>
      <c r="F24" s="752"/>
      <c r="G24" s="752"/>
      <c r="H24" s="752"/>
      <c r="I24" s="752"/>
      <c r="J24" s="539" t="str">
        <f>TLAC!C16</f>
        <v>Pass</v>
      </c>
      <c r="K24" s="853" t="str">
        <f>TLAC!D16</f>
        <v>Pass</v>
      </c>
    </row>
    <row r="25" spans="1:42" ht="15" customHeight="1" x14ac:dyDescent="0.35">
      <c r="W25" s="275"/>
    </row>
    <row r="26" spans="1:42" ht="45" customHeight="1" x14ac:dyDescent="0.35">
      <c r="A26" s="536" t="s">
        <v>48</v>
      </c>
      <c r="B26" s="741"/>
      <c r="C26" s="741"/>
      <c r="D26" s="741"/>
      <c r="E26" s="741"/>
      <c r="F26" s="741"/>
      <c r="G26" s="741"/>
      <c r="H26" s="741"/>
      <c r="I26" s="741"/>
      <c r="J26" s="741"/>
      <c r="K26" s="741"/>
      <c r="L26" s="741"/>
      <c r="M26" s="741"/>
      <c r="N26" s="741"/>
      <c r="O26" s="741"/>
      <c r="P26" s="741"/>
      <c r="Q26" s="741"/>
      <c r="R26" s="741"/>
      <c r="S26" s="741"/>
      <c r="T26" s="741"/>
      <c r="U26" s="741"/>
      <c r="V26" s="741"/>
      <c r="W26" s="741"/>
      <c r="X26" s="741"/>
      <c r="Y26" s="741"/>
      <c r="Z26" s="741"/>
      <c r="AA26" s="741"/>
      <c r="AB26" s="741"/>
      <c r="AC26" s="741"/>
      <c r="AD26" s="741"/>
      <c r="AE26" s="741"/>
      <c r="AF26" s="741"/>
      <c r="AG26" s="741"/>
      <c r="AH26" s="741"/>
      <c r="AI26" s="741"/>
      <c r="AJ26" s="741"/>
      <c r="AK26" s="741"/>
      <c r="AL26" s="741"/>
      <c r="AM26" s="741"/>
      <c r="AN26" s="741"/>
      <c r="AO26" s="741"/>
      <c r="AP26" s="537"/>
    </row>
    <row r="27" spans="1:42" ht="45" customHeight="1" x14ac:dyDescent="0.35">
      <c r="A27" s="264" t="s">
        <v>49</v>
      </c>
    </row>
    <row r="28" spans="1:42" ht="15" customHeight="1" x14ac:dyDescent="0.35">
      <c r="B28" s="526" t="s">
        <v>40</v>
      </c>
      <c r="C28" s="931" t="s">
        <v>41</v>
      </c>
      <c r="D28" s="752"/>
      <c r="E28" s="752"/>
      <c r="F28" s="752"/>
      <c r="G28" s="752"/>
      <c r="H28" s="752"/>
      <c r="I28" s="752"/>
      <c r="J28" s="760" t="str">
        <f>CONCATENATE("Col ", LEFT(ADDRESS(ROW('Leverage ratio'!G1),COLUMN('Leverage ratio'!G1),4), 1))</f>
        <v>Col G</v>
      </c>
      <c r="K28" s="770" t="str">
        <f>CONCATENATE("Col ", LEFT(ADDRESS(ROW('Leverage ratio'!H1),COLUMN('Leverage ratio'!H1),4), 1))</f>
        <v>Col H</v>
      </c>
      <c r="L28" s="770" t="str">
        <f>CONCATENATE("Col ", LEFT(ADDRESS(ROW('Leverage ratio'!I1),COLUMN('Leverage ratio'!I1),4), 1))</f>
        <v>Col I</v>
      </c>
      <c r="M28" s="770" t="str">
        <f>CONCATENATE("Col ", LEFT(ADDRESS(ROW('Leverage ratio'!J1),COLUMN('Leverage ratio'!J1),4), 1))</f>
        <v>Col J</v>
      </c>
      <c r="N28" s="765" t="str">
        <f>CONCATENATE("Col ", LEFT(ADDRESS(ROW('Leverage ratio'!K1),COLUMN('Leverage ratio'!K1),4), 1))</f>
        <v>Col K</v>
      </c>
      <c r="O28" s="765" t="str">
        <f>CONCATENATE("Col ", LEFT(ADDRESS(ROW('Leverage ratio'!L1),COLUMN('Leverage ratio'!L1),4), 1))</f>
        <v>Col L</v>
      </c>
    </row>
    <row r="29" spans="1:42" ht="15" customHeight="1" x14ac:dyDescent="0.35">
      <c r="B29" s="523" t="s">
        <v>50</v>
      </c>
      <c r="C29" s="1328" t="str">
        <f>'Leverage ratio'!C8</f>
        <v>Check: total ≥ amounts associated with affiliated entities</v>
      </c>
      <c r="D29" s="463"/>
      <c r="E29" s="463"/>
      <c r="F29" s="463"/>
      <c r="G29" s="463"/>
      <c r="H29" s="463"/>
      <c r="I29" s="463"/>
      <c r="J29" s="469"/>
      <c r="K29" s="470"/>
      <c r="L29" s="470"/>
      <c r="M29" s="470"/>
      <c r="N29" s="525" t="str">
        <f>'Leverage ratio'!K8</f>
        <v>Pass</v>
      </c>
      <c r="O29" s="178"/>
    </row>
    <row r="30" spans="1:42" ht="15" customHeight="1" x14ac:dyDescent="0.35">
      <c r="B30" s="115" t="s">
        <v>50</v>
      </c>
      <c r="C30" s="217" t="str">
        <f>CONCATENATE('Leverage ratio'!$J$4, ": ", 'Leverage ratio'!C12)</f>
        <v>Check: accounting ≤ gross value: SFT agent transactions eligible for the exceptional treatment</v>
      </c>
      <c r="D30" s="161"/>
      <c r="E30" s="161"/>
      <c r="F30" s="161"/>
      <c r="G30" s="161"/>
      <c r="H30" s="161"/>
      <c r="I30" s="161"/>
      <c r="J30" s="182"/>
      <c r="K30" s="180"/>
      <c r="L30" s="180"/>
      <c r="M30" s="352" t="str">
        <f>'Leverage ratio'!J12</f>
        <v>Pass</v>
      </c>
      <c r="N30" s="178"/>
      <c r="O30" s="178"/>
    </row>
    <row r="31" spans="1:42" ht="15" customHeight="1" x14ac:dyDescent="0.35">
      <c r="B31" s="115" t="s">
        <v>50</v>
      </c>
      <c r="C31" s="217" t="str">
        <f>CONCATENATE('Leverage ratio'!$J$4, ": ", 'Leverage ratio'!C13)</f>
        <v>Check: accounting ≤ gross value: Other SFTs</v>
      </c>
      <c r="D31" s="161"/>
      <c r="E31" s="161"/>
      <c r="F31" s="161"/>
      <c r="G31" s="161"/>
      <c r="H31" s="161"/>
      <c r="I31" s="161"/>
      <c r="J31" s="182"/>
      <c r="K31" s="180"/>
      <c r="L31" s="180"/>
      <c r="M31" s="352" t="str">
        <f>'Leverage ratio'!J13</f>
        <v>Pass</v>
      </c>
      <c r="N31" s="178"/>
      <c r="O31" s="178"/>
    </row>
    <row r="32" spans="1:42" ht="15" customHeight="1" x14ac:dyDescent="0.35">
      <c r="B32" s="115" t="s">
        <v>50</v>
      </c>
      <c r="C32" s="217" t="str">
        <f>CONCATENATE('Leverage ratio'!$J$4, ": ", 'Leverage ratio'!C19)</f>
        <v>Check: accounting ≤ gross value: Cash pooling transactions; of which:</v>
      </c>
      <c r="D32" s="161"/>
      <c r="E32" s="161"/>
      <c r="F32" s="161"/>
      <c r="G32" s="161"/>
      <c r="H32" s="161"/>
      <c r="I32" s="161"/>
      <c r="J32" s="182"/>
      <c r="K32" s="180"/>
      <c r="L32" s="180"/>
      <c r="M32" s="352" t="str">
        <f>'Leverage ratio'!J19</f>
        <v>Pass</v>
      </c>
      <c r="N32" s="178"/>
      <c r="O32" s="178"/>
    </row>
    <row r="33" spans="1:15" ht="15" customHeight="1" x14ac:dyDescent="0.35">
      <c r="B33" s="115" t="s">
        <v>50</v>
      </c>
      <c r="C33" s="217" t="str">
        <f>CONCATENATE('Leverage ratio'!$J$4, ": ", 'Leverage ratio'!C20)</f>
        <v>Check: accounting ≤ gross value: Cash pooling transactions that meet the criteria of LEV30.12</v>
      </c>
      <c r="D33" s="161"/>
      <c r="E33" s="161"/>
      <c r="F33" s="161"/>
      <c r="G33" s="161"/>
      <c r="H33" s="161"/>
      <c r="I33" s="161"/>
      <c r="J33" s="182"/>
      <c r="K33" s="180"/>
      <c r="L33" s="180"/>
      <c r="M33" s="352" t="str">
        <f>'Leverage ratio'!J20</f>
        <v>Pass</v>
      </c>
      <c r="N33" s="178"/>
      <c r="O33" s="178"/>
    </row>
    <row r="34" spans="1:15" ht="15" customHeight="1" x14ac:dyDescent="0.35">
      <c r="B34" s="115" t="s">
        <v>50</v>
      </c>
      <c r="C34" s="217" t="str">
        <f>'Leverage ratio'!C21</f>
        <v>Check: total ≥ of which amount</v>
      </c>
      <c r="D34" s="161"/>
      <c r="E34" s="161"/>
      <c r="F34" s="161"/>
      <c r="G34" s="161"/>
      <c r="H34" s="161"/>
      <c r="I34" s="161"/>
      <c r="J34" s="359" t="str">
        <f>'Leverage ratio'!G21</f>
        <v>Pass</v>
      </c>
      <c r="K34" s="352" t="str">
        <f>'Leverage ratio'!H21</f>
        <v>Pass</v>
      </c>
      <c r="L34" s="352" t="str">
        <f>'Leverage ratio'!I21</f>
        <v>Pass</v>
      </c>
      <c r="M34" s="180"/>
      <c r="N34" s="178"/>
      <c r="O34" s="178"/>
    </row>
    <row r="35" spans="1:15" ht="15" customHeight="1" x14ac:dyDescent="0.35">
      <c r="B35" s="115" t="s">
        <v>50</v>
      </c>
      <c r="C35" s="217" t="str">
        <f>'Leverage ratio'!C22</f>
        <v>Check: gross value ≥ exposure value ≥ net value</v>
      </c>
      <c r="D35" s="161"/>
      <c r="E35" s="161"/>
      <c r="F35" s="161"/>
      <c r="G35" s="161"/>
      <c r="H35" s="161"/>
      <c r="I35" s="161"/>
      <c r="J35" s="182"/>
      <c r="K35" s="180"/>
      <c r="L35" s="352" t="str">
        <f>'Leverage ratio'!I22</f>
        <v>Pass</v>
      </c>
      <c r="M35" s="180"/>
      <c r="N35" s="178"/>
      <c r="O35" s="178"/>
    </row>
    <row r="36" spans="1:15" ht="15" customHeight="1" x14ac:dyDescent="0.35">
      <c r="B36" s="115" t="s">
        <v>50</v>
      </c>
      <c r="C36" s="217" t="str">
        <f>'Leverage ratio'!C23</f>
        <v>Check: consistent reporting in rows 19 and 20</v>
      </c>
      <c r="D36" s="161"/>
      <c r="E36" s="161"/>
      <c r="F36" s="161"/>
      <c r="G36" s="161"/>
      <c r="H36" s="161"/>
      <c r="I36" s="161"/>
      <c r="J36" s="182"/>
      <c r="K36" s="180"/>
      <c r="L36" s="352" t="str">
        <f>'Leverage ratio'!I23</f>
        <v>Pass</v>
      </c>
      <c r="M36" s="180"/>
      <c r="N36" s="178"/>
      <c r="O36" s="178"/>
    </row>
    <row r="37" spans="1:15" ht="15" customHeight="1" x14ac:dyDescent="0.35">
      <c r="B37" s="115" t="s">
        <v>50</v>
      </c>
      <c r="C37" s="217" t="str">
        <f>'Leverage ratio'!C27</f>
        <v>Check: total ≥ of which amount</v>
      </c>
      <c r="D37" s="161"/>
      <c r="E37" s="161"/>
      <c r="F37" s="161"/>
      <c r="G37" s="161"/>
      <c r="H37" s="161"/>
      <c r="I37" s="161"/>
      <c r="J37" s="182"/>
      <c r="K37" s="180"/>
      <c r="L37" s="352" t="str">
        <f>'Leverage ratio'!I27</f>
        <v>Pass</v>
      </c>
      <c r="M37" s="180"/>
      <c r="N37" s="178"/>
      <c r="O37" s="178"/>
    </row>
    <row r="38" spans="1:15" ht="15" customHeight="1" x14ac:dyDescent="0.35">
      <c r="B38" s="115" t="s">
        <v>42</v>
      </c>
      <c r="C38" s="217" t="str">
        <f>'Leverage ratio'!L30</f>
        <v>Check: SA-CCR ≤ modified CCR</v>
      </c>
      <c r="D38" s="161"/>
      <c r="E38" s="161"/>
      <c r="F38" s="161"/>
      <c r="G38" s="161"/>
      <c r="H38" s="161"/>
      <c r="I38" s="161"/>
      <c r="J38" s="182"/>
      <c r="K38" s="180"/>
      <c r="L38" s="180"/>
      <c r="M38" s="180"/>
      <c r="N38" s="178"/>
      <c r="O38" s="356" t="str">
        <f>'Leverage ratio'!L34</f>
        <v>Pass</v>
      </c>
    </row>
    <row r="39" spans="1:15" ht="15" customHeight="1" x14ac:dyDescent="0.35">
      <c r="B39" s="115" t="s">
        <v>42</v>
      </c>
      <c r="C39" s="217" t="str">
        <f>'Leverage ratio'!C35</f>
        <v>Check: total ≥ of which amount</v>
      </c>
      <c r="D39" s="161"/>
      <c r="E39" s="161"/>
      <c r="F39" s="161"/>
      <c r="G39" s="161"/>
      <c r="H39" s="161"/>
      <c r="I39" s="161"/>
      <c r="J39" s="182"/>
      <c r="K39" s="180"/>
      <c r="L39" s="180"/>
      <c r="M39" s="356" t="str">
        <f>'Leverage ratio'!J35</f>
        <v>Pass</v>
      </c>
      <c r="N39" s="356" t="str">
        <f>'Leverage ratio'!K35</f>
        <v>Pass</v>
      </c>
      <c r="O39" s="178"/>
    </row>
    <row r="40" spans="1:15" ht="15" customHeight="1" x14ac:dyDescent="0.35">
      <c r="B40" s="115" t="s">
        <v>42</v>
      </c>
      <c r="C40" s="217" t="str">
        <f>'Leverage ratio'!C38</f>
        <v>Check: total ≥ of which amount</v>
      </c>
      <c r="D40" s="161"/>
      <c r="E40" s="161"/>
      <c r="F40" s="161"/>
      <c r="G40" s="161"/>
      <c r="H40" s="161"/>
      <c r="I40" s="161"/>
      <c r="J40" s="182"/>
      <c r="K40" s="180"/>
      <c r="L40" s="180"/>
      <c r="M40" s="356" t="str">
        <f>'Leverage ratio'!J38</f>
        <v>Pass</v>
      </c>
      <c r="N40" s="178"/>
      <c r="O40" s="178"/>
    </row>
    <row r="41" spans="1:15" ht="15" customHeight="1" x14ac:dyDescent="0.35">
      <c r="B41" s="115" t="s">
        <v>42</v>
      </c>
      <c r="C41" s="217" t="str">
        <f>'Leverage ratio'!C54:G54</f>
        <v>Check: sum of OBS items ≥ deduction of eligible specific and general provisions in row 52</v>
      </c>
      <c r="D41" s="161"/>
      <c r="E41" s="161"/>
      <c r="F41" s="161"/>
      <c r="G41" s="161"/>
      <c r="H41" s="161"/>
      <c r="I41" s="161"/>
      <c r="J41" s="182"/>
      <c r="K41" s="180"/>
      <c r="L41" s="352" t="str">
        <f>'Leverage ratio'!I54</f>
        <v>Pass</v>
      </c>
      <c r="M41" s="180"/>
      <c r="N41" s="178"/>
      <c r="O41" s="178"/>
    </row>
    <row r="42" spans="1:15" ht="15" customHeight="1" x14ac:dyDescent="0.35">
      <c r="B42" s="115" t="s">
        <v>43</v>
      </c>
      <c r="C42" s="217" t="str">
        <f>'Leverage ratio'!C63:H63</f>
        <v>Check: credit derivatives are consistently filled-in (see reporting instructions for more details)</v>
      </c>
      <c r="D42" s="161"/>
      <c r="E42" s="161"/>
      <c r="F42" s="161"/>
      <c r="G42" s="161"/>
      <c r="H42" s="161"/>
      <c r="I42" s="161"/>
      <c r="J42" s="182"/>
      <c r="K42" s="180"/>
      <c r="L42" s="352" t="str">
        <f>'Leverage ratio'!I63</f>
        <v>Pass</v>
      </c>
      <c r="M42" s="352" t="str">
        <f>'Leverage ratio'!J63</f>
        <v>Pass</v>
      </c>
      <c r="N42" s="356" t="str">
        <f>'Leverage ratio'!K63</f>
        <v>Pass</v>
      </c>
      <c r="O42" s="178"/>
    </row>
    <row r="43" spans="1:15" ht="15" customHeight="1" x14ac:dyDescent="0.35">
      <c r="B43" s="115" t="s">
        <v>51</v>
      </c>
      <c r="C43" s="217" t="str">
        <f>'Leverage ratio'!C131</f>
        <v>Check: PSEs in rows 129 and 130 should be less than or equal to overall PSEs in row 128</v>
      </c>
      <c r="D43" s="161"/>
      <c r="E43" s="161"/>
      <c r="F43" s="161"/>
      <c r="G43" s="161"/>
      <c r="H43" s="161"/>
      <c r="I43" s="161"/>
      <c r="J43" s="182"/>
      <c r="K43" s="180"/>
      <c r="L43" s="180"/>
      <c r="M43" s="180"/>
      <c r="N43" s="356" t="str">
        <f>'Leverage ratio'!K131</f>
        <v>Pass</v>
      </c>
      <c r="O43" s="178"/>
    </row>
    <row r="44" spans="1:15" ht="15" customHeight="1" x14ac:dyDescent="0.35">
      <c r="B44" s="174" t="s">
        <v>51</v>
      </c>
      <c r="C44" s="1254" t="str">
        <f>'Leverage ratio'!C148</f>
        <v>Check: securitisation exposures should be lower than or equal total other exposures</v>
      </c>
      <c r="D44" s="171"/>
      <c r="E44" s="171"/>
      <c r="F44" s="171"/>
      <c r="G44" s="171"/>
      <c r="H44" s="171"/>
      <c r="I44" s="171"/>
      <c r="J44" s="184"/>
      <c r="K44" s="234"/>
      <c r="L44" s="234"/>
      <c r="M44" s="234"/>
      <c r="N44" s="353" t="str">
        <f>'Leverage ratio'!K148</f>
        <v>Pass</v>
      </c>
      <c r="O44" s="235"/>
    </row>
    <row r="45" spans="1:15" ht="45" customHeight="1" x14ac:dyDescent="0.35">
      <c r="A45" s="264" t="s">
        <v>52</v>
      </c>
    </row>
    <row r="46" spans="1:15" ht="15" customHeight="1" x14ac:dyDescent="0.35">
      <c r="B46" s="526" t="s">
        <v>40</v>
      </c>
      <c r="C46" s="931" t="s">
        <v>41</v>
      </c>
      <c r="D46" s="752"/>
      <c r="E46" s="752"/>
      <c r="F46" s="752"/>
      <c r="G46" s="752"/>
      <c r="H46" s="752"/>
      <c r="I46" s="752"/>
      <c r="J46" s="760" t="str">
        <f>CONCATENATE("Col ", LEFT(ADDRESS(ROW('Leverage ratio additional'!M4),COLUMN('Leverage ratio'!L3),4), 1))</f>
        <v>Col L</v>
      </c>
      <c r="K46" s="770" t="str">
        <f>CONCATENATE("Col ", LEFT(ADDRESS(ROW('Leverage ratio additional'!N4),COLUMN('Leverage ratio'!M3),4), 1))</f>
        <v>Col M</v>
      </c>
      <c r="L46" s="770" t="str">
        <f>CONCATENATE("Col ", LEFT(ADDRESS(ROW('Leverage ratio additional'!O4),COLUMN('Leverage ratio'!N3),4), 1))</f>
        <v>Col N</v>
      </c>
      <c r="M46" s="770" t="str">
        <f>CONCATENATE("Col ", LEFT(ADDRESS(ROW('Leverage ratio additional'!P4),COLUMN('Leverage ratio'!O3),4), 1))</f>
        <v>Col O</v>
      </c>
    </row>
    <row r="47" spans="1:15" ht="15" customHeight="1" x14ac:dyDescent="0.35">
      <c r="B47" s="523" t="s">
        <v>53</v>
      </c>
      <c r="C47" s="1328" t="str">
        <f>'Leverage ratio additional'!B5</f>
        <v>SFTs - adjusted gross assets (ie receivables)</v>
      </c>
      <c r="D47" s="463"/>
      <c r="E47" s="463"/>
      <c r="F47" s="463"/>
      <c r="G47" s="463"/>
      <c r="H47" s="463"/>
      <c r="I47" s="463"/>
      <c r="J47" s="488" t="str">
        <f>'Leverage ratio additional'!L5</f>
        <v>Pass</v>
      </c>
      <c r="K47" s="489" t="str">
        <f>'Leverage ratio additional'!M5</f>
        <v>Pass</v>
      </c>
      <c r="L47" s="489" t="str">
        <f>'Leverage ratio additional'!N5</f>
        <v>Pass</v>
      </c>
      <c r="M47" s="525" t="str">
        <f>'Leverage ratio additional'!O5</f>
        <v/>
      </c>
    </row>
    <row r="48" spans="1:15" ht="15" customHeight="1" x14ac:dyDescent="0.35">
      <c r="B48" s="115" t="s">
        <v>53</v>
      </c>
      <c r="C48" s="421" t="str">
        <f>'Leverage ratio additional'!B6</f>
        <v>Derivatives replacement cost</v>
      </c>
      <c r="D48" s="161"/>
      <c r="E48" s="161"/>
      <c r="F48" s="161"/>
      <c r="G48" s="161"/>
      <c r="H48" s="161"/>
      <c r="I48" s="161"/>
      <c r="J48" s="359" t="str">
        <f>'Leverage ratio additional'!L6</f>
        <v>Pass</v>
      </c>
      <c r="K48" s="352" t="str">
        <f>'Leverage ratio additional'!M6</f>
        <v>Pass</v>
      </c>
      <c r="L48" s="352" t="str">
        <f>'Leverage ratio additional'!N6</f>
        <v>Pass</v>
      </c>
      <c r="M48" s="356" t="str">
        <f>'Leverage ratio additional'!O6</f>
        <v>Pass</v>
      </c>
    </row>
    <row r="49" spans="1:42" ht="15" customHeight="1" x14ac:dyDescent="0.35">
      <c r="B49" s="115" t="s">
        <v>53</v>
      </c>
      <c r="C49" s="421" t="str">
        <f>'Leverage ratio additional'!B7</f>
        <v>Central bank reserves included on-balance sheet</v>
      </c>
      <c r="D49" s="161"/>
      <c r="E49" s="161"/>
      <c r="F49" s="161"/>
      <c r="G49" s="161"/>
      <c r="H49" s="161"/>
      <c r="I49" s="161"/>
      <c r="J49" s="359" t="str">
        <f>'Leverage ratio additional'!L7</f>
        <v>Pass</v>
      </c>
      <c r="K49" s="352" t="str">
        <f>'Leverage ratio additional'!M7</f>
        <v>Pass</v>
      </c>
      <c r="L49" s="352" t="str">
        <f>'Leverage ratio additional'!N7</f>
        <v>Pass</v>
      </c>
      <c r="M49" s="356" t="str">
        <f>'Leverage ratio additional'!O7</f>
        <v>Pass</v>
      </c>
    </row>
    <row r="50" spans="1:42" ht="15" customHeight="1" x14ac:dyDescent="0.35">
      <c r="B50" s="228" t="s">
        <v>54</v>
      </c>
      <c r="C50" s="217" t="str">
        <f>'Leverage ratio additional'!B10</f>
        <v>SFTs - adjusted gross assets (ie receivables)</v>
      </c>
      <c r="D50" s="161"/>
      <c r="E50" s="161"/>
      <c r="F50" s="161"/>
      <c r="G50" s="161"/>
      <c r="H50" s="161"/>
      <c r="I50" s="161"/>
      <c r="J50" s="359" t="str">
        <f>'Leverage ratio additional'!L10</f>
        <v>Pass</v>
      </c>
      <c r="K50" s="352" t="str">
        <f>'Leverage ratio additional'!M10</f>
        <v>Pass</v>
      </c>
      <c r="L50" s="352" t="str">
        <f>'Leverage ratio additional'!N10</f>
        <v>Pass</v>
      </c>
      <c r="M50" s="356" t="str">
        <f>'Leverage ratio additional'!O10</f>
        <v>Pass</v>
      </c>
    </row>
    <row r="51" spans="1:42" ht="15" customHeight="1" x14ac:dyDescent="0.35">
      <c r="B51" s="228" t="s">
        <v>54</v>
      </c>
      <c r="C51" s="421" t="str">
        <f>'Leverage ratio additional'!B11</f>
        <v>Derivatives replacement cost</v>
      </c>
      <c r="D51" s="161"/>
      <c r="E51" s="161"/>
      <c r="F51" s="161"/>
      <c r="G51" s="161"/>
      <c r="H51" s="161"/>
      <c r="I51" s="161"/>
      <c r="J51" s="359" t="str">
        <f>'Leverage ratio additional'!L11</f>
        <v/>
      </c>
      <c r="K51" s="352" t="str">
        <f>'Leverage ratio additional'!M11</f>
        <v/>
      </c>
      <c r="L51" s="352" t="str">
        <f>'Leverage ratio additional'!N11</f>
        <v/>
      </c>
      <c r="M51" s="356" t="str">
        <f>'Leverage ratio additional'!O11</f>
        <v/>
      </c>
    </row>
    <row r="52" spans="1:42" ht="15" customHeight="1" x14ac:dyDescent="0.35">
      <c r="B52" s="193" t="s">
        <v>54</v>
      </c>
      <c r="C52" s="349" t="str">
        <f>'Leverage ratio additional'!B12</f>
        <v>Central bank reserves included on-balance sheet</v>
      </c>
      <c r="D52" s="171"/>
      <c r="E52" s="171"/>
      <c r="F52" s="171"/>
      <c r="G52" s="171"/>
      <c r="H52" s="171"/>
      <c r="I52" s="171"/>
      <c r="J52" s="360" t="str">
        <f>'Leverage ratio additional'!L12</f>
        <v/>
      </c>
      <c r="K52" s="354" t="str">
        <f>'Leverage ratio additional'!M12</f>
        <v/>
      </c>
      <c r="L52" s="354" t="str">
        <f>'Leverage ratio additional'!N12</f>
        <v/>
      </c>
      <c r="M52" s="353" t="str">
        <f>'Leverage ratio additional'!O12</f>
        <v/>
      </c>
    </row>
    <row r="53" spans="1:42" ht="15" customHeight="1" x14ac:dyDescent="0.35">
      <c r="I53" s="275"/>
      <c r="J53" s="275"/>
      <c r="K53" s="275"/>
      <c r="L53" s="275"/>
      <c r="M53" s="275"/>
      <c r="N53" s="275"/>
      <c r="O53" s="275"/>
      <c r="P53" s="275"/>
      <c r="Q53" s="275"/>
      <c r="R53" s="275"/>
      <c r="W53" s="275"/>
    </row>
    <row r="54" spans="1:42" ht="45" customHeight="1" x14ac:dyDescent="0.35">
      <c r="A54" s="536" t="s">
        <v>55</v>
      </c>
      <c r="B54" s="741"/>
      <c r="C54" s="741"/>
      <c r="D54" s="741"/>
      <c r="E54" s="741"/>
      <c r="F54" s="741"/>
      <c r="G54" s="741"/>
      <c r="H54" s="741"/>
      <c r="I54" s="741"/>
      <c r="J54" s="741"/>
      <c r="K54" s="741"/>
      <c r="L54" s="741"/>
      <c r="M54" s="741"/>
      <c r="N54" s="741"/>
      <c r="O54" s="741"/>
      <c r="P54" s="741"/>
      <c r="Q54" s="741"/>
      <c r="R54" s="741"/>
      <c r="S54" s="741"/>
      <c r="T54" s="741"/>
      <c r="U54" s="741"/>
      <c r="V54" s="741"/>
      <c r="X54" s="741"/>
      <c r="Y54" s="741"/>
      <c r="Z54" s="741"/>
      <c r="AA54" s="741"/>
      <c r="AB54" s="741"/>
      <c r="AC54" s="741"/>
      <c r="AD54" s="741"/>
      <c r="AE54" s="741"/>
      <c r="AF54" s="741"/>
      <c r="AG54" s="741"/>
      <c r="AH54" s="741"/>
      <c r="AI54" s="741"/>
      <c r="AJ54" s="741"/>
      <c r="AK54" s="741"/>
      <c r="AL54" s="741"/>
      <c r="AM54" s="741"/>
      <c r="AN54" s="741"/>
      <c r="AO54" s="741"/>
      <c r="AP54" s="537"/>
    </row>
    <row r="55" spans="1:42" ht="30" customHeight="1" x14ac:dyDescent="0.35">
      <c r="B55" s="526" t="s">
        <v>40</v>
      </c>
      <c r="C55" s="931" t="s">
        <v>41</v>
      </c>
      <c r="D55" s="752"/>
      <c r="E55" s="752"/>
      <c r="F55" s="752"/>
      <c r="G55" s="752"/>
      <c r="H55" s="752"/>
      <c r="I55" s="752"/>
      <c r="J55" s="685" t="s">
        <v>56</v>
      </c>
      <c r="K55" s="954" t="s">
        <v>57</v>
      </c>
      <c r="L55" s="1252" t="s">
        <v>58</v>
      </c>
      <c r="M55" s="1252" t="s">
        <v>59</v>
      </c>
    </row>
    <row r="56" spans="1:42" ht="15" customHeight="1" x14ac:dyDescent="0.35">
      <c r="B56" s="288" t="s">
        <v>50</v>
      </c>
      <c r="C56" s="528" t="str">
        <f>NSFR!B8</f>
        <v>Check: row 7 ≤ E60 + E63 + E68 in the General Info worksheet</v>
      </c>
      <c r="D56" s="463"/>
      <c r="E56" s="463"/>
      <c r="F56" s="463"/>
      <c r="G56" s="463"/>
      <c r="H56" s="463"/>
      <c r="I56" s="463"/>
      <c r="J56" s="373"/>
      <c r="K56" s="245"/>
      <c r="L56" s="245"/>
      <c r="M56" s="355" t="str">
        <f>NSFR!H8</f>
        <v/>
      </c>
    </row>
    <row r="57" spans="1:42" ht="15" customHeight="1" x14ac:dyDescent="0.35">
      <c r="B57" s="115" t="s">
        <v>50</v>
      </c>
      <c r="C57" s="217" t="str">
        <f>NSFR!B45</f>
        <v>Check: Balances with less than one year maturity reported in row 44 should be greater than 0.</v>
      </c>
      <c r="D57" s="161"/>
      <c r="E57" s="161"/>
      <c r="F57" s="161"/>
      <c r="G57" s="161"/>
      <c r="H57" s="161"/>
      <c r="I57" s="161"/>
      <c r="J57" s="359" t="str">
        <f>NSFR!E45</f>
        <v/>
      </c>
      <c r="K57" s="180"/>
      <c r="L57" s="178"/>
      <c r="M57" s="178"/>
    </row>
    <row r="58" spans="1:42" ht="15" customHeight="1" x14ac:dyDescent="0.35">
      <c r="B58" s="350" t="s">
        <v>60</v>
      </c>
      <c r="C58" s="217" t="str">
        <f>NSFR!B57</f>
        <v>Of which item less than total</v>
      </c>
      <c r="D58" s="161"/>
      <c r="E58" s="161"/>
      <c r="F58" s="161"/>
      <c r="G58" s="161"/>
      <c r="H58" s="161"/>
      <c r="I58" s="161"/>
      <c r="J58" s="359" t="str">
        <f>NSFR!E57</f>
        <v/>
      </c>
      <c r="K58" s="359" t="str">
        <f>NSFR!F57</f>
        <v/>
      </c>
      <c r="L58" s="359" t="str">
        <f>NSFR!G57</f>
        <v/>
      </c>
      <c r="M58" s="178"/>
    </row>
    <row r="59" spans="1:42" ht="15" customHeight="1" x14ac:dyDescent="0.35">
      <c r="B59" s="174" t="s">
        <v>60</v>
      </c>
      <c r="C59" s="1254" t="str">
        <f>NSFR!B284</f>
        <v>Check: interdependent assets in row 283 = interdependent liabilities above in row 43</v>
      </c>
      <c r="D59" s="171"/>
      <c r="E59" s="171"/>
      <c r="F59" s="171"/>
      <c r="G59" s="171"/>
      <c r="H59" s="171"/>
      <c r="I59" s="171"/>
      <c r="J59" s="360" t="str">
        <f>NSFR!E284</f>
        <v/>
      </c>
      <c r="K59" s="354" t="str">
        <f>NSFR!F284</f>
        <v/>
      </c>
      <c r="L59" s="353" t="str">
        <f>NSFR!G284</f>
        <v/>
      </c>
      <c r="M59" s="235"/>
    </row>
    <row r="60" spans="1:42" ht="15" customHeight="1" x14ac:dyDescent="0.35">
      <c r="L60" s="275"/>
      <c r="W60" s="275"/>
    </row>
    <row r="61" spans="1:42" ht="45" customHeight="1" x14ac:dyDescent="0.35">
      <c r="A61" s="536" t="s">
        <v>61</v>
      </c>
      <c r="B61" s="741"/>
      <c r="C61" s="741"/>
      <c r="D61" s="741"/>
      <c r="E61" s="741"/>
      <c r="F61" s="741"/>
      <c r="G61" s="741"/>
      <c r="H61" s="741"/>
      <c r="I61" s="741"/>
      <c r="J61" s="741"/>
      <c r="K61" s="741"/>
      <c r="L61" s="741"/>
      <c r="M61" s="741"/>
      <c r="N61" s="741"/>
      <c r="O61" s="741"/>
      <c r="P61" s="741"/>
      <c r="Q61" s="741"/>
      <c r="R61" s="741"/>
      <c r="S61" s="741"/>
      <c r="T61" s="741"/>
      <c r="U61" s="741"/>
      <c r="V61" s="741"/>
      <c r="X61" s="741"/>
      <c r="Y61" s="741"/>
      <c r="Z61" s="741"/>
      <c r="AA61" s="741"/>
      <c r="AB61" s="741"/>
      <c r="AC61" s="741"/>
      <c r="AD61" s="741"/>
      <c r="AE61" s="741"/>
      <c r="AF61" s="741"/>
      <c r="AG61" s="741"/>
      <c r="AH61" s="741"/>
      <c r="AI61" s="741"/>
      <c r="AJ61" s="741"/>
      <c r="AK61" s="741"/>
      <c r="AL61" s="741"/>
      <c r="AM61" s="741"/>
      <c r="AN61" s="741"/>
      <c r="AO61" s="741"/>
      <c r="AP61" s="537"/>
    </row>
    <row r="62" spans="1:42" ht="45" customHeight="1" x14ac:dyDescent="0.35">
      <c r="A62" s="264" t="s">
        <v>62</v>
      </c>
    </row>
    <row r="63" spans="1:42" ht="15" customHeight="1" x14ac:dyDescent="0.35">
      <c r="B63" s="1551" t="s">
        <v>40</v>
      </c>
      <c r="C63" s="1550" t="s">
        <v>41</v>
      </c>
      <c r="D63" s="1309" t="str">
        <f>CONCATENATE("Col ", LEFT(ADDRESS(ROW('Credit risk (SA)'!AC140),COLUMN('Credit risk (SA)'!AC140),4), 1))</f>
        <v>Col A</v>
      </c>
    </row>
    <row r="64" spans="1:42" ht="15" customHeight="1" x14ac:dyDescent="0.35">
      <c r="B64" s="515"/>
      <c r="C64" s="670" t="str">
        <f>'Credit risk (SA)'!AC16</f>
        <v>Check: column AB RW in Parameters worksheet</v>
      </c>
      <c r="D64" s="586"/>
    </row>
    <row r="65" spans="2:4" ht="15" customHeight="1" x14ac:dyDescent="0.35">
      <c r="B65" s="373"/>
      <c r="C65" s="131" t="str">
        <f>'Credit risk (SA)'!B24</f>
        <v>Banks (excluding covered bonds); of which:</v>
      </c>
      <c r="D65" s="587"/>
    </row>
    <row r="66" spans="2:4" ht="15" customHeight="1" x14ac:dyDescent="0.35">
      <c r="B66" s="182"/>
      <c r="C66" s="164" t="str">
        <f>'Credit risk (SA)'!B26</f>
        <v>ECRA - jurisdictions where ratings are allowed; of which:</v>
      </c>
      <c r="D66" s="531"/>
    </row>
    <row r="67" spans="2:4" ht="15" customHeight="1" x14ac:dyDescent="0.35">
      <c r="B67" s="182"/>
      <c r="C67" s="165" t="str">
        <f>'Credit risk (SA)'!B27</f>
        <v>ECRA (long term); of which:</v>
      </c>
      <c r="D67" s="531"/>
    </row>
    <row r="68" spans="2:4" ht="15" customHeight="1" x14ac:dyDescent="0.35">
      <c r="B68" s="115" t="s">
        <v>53</v>
      </c>
      <c r="C68" s="516" t="str">
        <f>'Credit risk (SA)'!B28</f>
        <v xml:space="preserve">AAA to AA- </v>
      </c>
      <c r="D68" s="404" t="str">
        <f>'Credit risk (SA)'!AC28</f>
        <v>Pass</v>
      </c>
    </row>
    <row r="69" spans="2:4" ht="15" customHeight="1" x14ac:dyDescent="0.35">
      <c r="B69" s="115" t="s">
        <v>53</v>
      </c>
      <c r="C69" s="516" t="str">
        <f>'Credit risk (SA)'!B29</f>
        <v>A+ to A-</v>
      </c>
      <c r="D69" s="404" t="str">
        <f>'Credit risk (SA)'!AC29</f>
        <v>Pass</v>
      </c>
    </row>
    <row r="70" spans="2:4" ht="15" customHeight="1" x14ac:dyDescent="0.35">
      <c r="B70" s="115" t="s">
        <v>53</v>
      </c>
      <c r="C70" s="516" t="str">
        <f>'Credit risk (SA)'!B30</f>
        <v>BBB+ to BBB-</v>
      </c>
      <c r="D70" s="404" t="str">
        <f>'Credit risk (SA)'!AC30</f>
        <v>Pass</v>
      </c>
    </row>
    <row r="71" spans="2:4" ht="15" customHeight="1" x14ac:dyDescent="0.35">
      <c r="B71" s="115" t="s">
        <v>53</v>
      </c>
      <c r="C71" s="516" t="str">
        <f>'Credit risk (SA)'!B31</f>
        <v>BB+ to B-</v>
      </c>
      <c r="D71" s="404" t="str">
        <f>'Credit risk (SA)'!AC31</f>
        <v/>
      </c>
    </row>
    <row r="72" spans="2:4" ht="15" customHeight="1" x14ac:dyDescent="0.35">
      <c r="B72" s="115" t="s">
        <v>53</v>
      </c>
      <c r="C72" s="516" t="str">
        <f>'Credit risk (SA)'!B32</f>
        <v>below B-</v>
      </c>
      <c r="D72" s="404" t="str">
        <f>'Credit risk (SA)'!AC32</f>
        <v/>
      </c>
    </row>
    <row r="73" spans="2:4" ht="15" customHeight="1" x14ac:dyDescent="0.35">
      <c r="B73" s="182"/>
      <c r="C73" s="165" t="str">
        <f>'Credit risk (SA)'!B33</f>
        <v>ECRA (short term); of which:</v>
      </c>
      <c r="D73" s="531"/>
    </row>
    <row r="74" spans="2:4" ht="15" customHeight="1" x14ac:dyDescent="0.35">
      <c r="B74" s="115" t="s">
        <v>53</v>
      </c>
      <c r="C74" s="516" t="str">
        <f>'Credit risk (SA)'!B34</f>
        <v xml:space="preserve">AAA to AA- </v>
      </c>
      <c r="D74" s="404" t="str">
        <f>'Credit risk (SA)'!AC34</f>
        <v/>
      </c>
    </row>
    <row r="75" spans="2:4" ht="15" customHeight="1" x14ac:dyDescent="0.35">
      <c r="B75" s="115" t="s">
        <v>53</v>
      </c>
      <c r="C75" s="516" t="str">
        <f>'Credit risk (SA)'!B35</f>
        <v>A+ to A-</v>
      </c>
      <c r="D75" s="404" t="str">
        <f>'Credit risk (SA)'!AC35</f>
        <v/>
      </c>
    </row>
    <row r="76" spans="2:4" ht="15" customHeight="1" x14ac:dyDescent="0.35">
      <c r="B76" s="115" t="s">
        <v>53</v>
      </c>
      <c r="C76" s="516" t="str">
        <f>'Credit risk (SA)'!B36</f>
        <v>BBB+ to BBB-</v>
      </c>
      <c r="D76" s="404" t="str">
        <f>'Credit risk (SA)'!AC36</f>
        <v/>
      </c>
    </row>
    <row r="77" spans="2:4" ht="15" customHeight="1" x14ac:dyDescent="0.35">
      <c r="B77" s="115" t="s">
        <v>53</v>
      </c>
      <c r="C77" s="516" t="str">
        <f>'Credit risk (SA)'!B37</f>
        <v>BB+ to B-</v>
      </c>
      <c r="D77" s="404" t="str">
        <f>'Credit risk (SA)'!AC37</f>
        <v/>
      </c>
    </row>
    <row r="78" spans="2:4" ht="15" customHeight="1" x14ac:dyDescent="0.35">
      <c r="B78" s="115" t="s">
        <v>53</v>
      </c>
      <c r="C78" s="516" t="str">
        <f>'Credit risk (SA)'!B38</f>
        <v>below B-</v>
      </c>
      <c r="D78" s="404" t="str">
        <f>'Credit risk (SA)'!AC38</f>
        <v/>
      </c>
    </row>
    <row r="79" spans="2:4" ht="15" customHeight="1" x14ac:dyDescent="0.35">
      <c r="B79" s="182"/>
      <c r="C79" s="164" t="str">
        <f>'Credit risk (SA)'!B39</f>
        <v>SCRA; of which:</v>
      </c>
      <c r="D79" s="531"/>
    </row>
    <row r="80" spans="2:4" ht="15" customHeight="1" x14ac:dyDescent="0.35">
      <c r="B80" s="182"/>
      <c r="C80" s="165" t="str">
        <f>'Credit risk (SA)'!B40</f>
        <v>SCRA (long term)</v>
      </c>
      <c r="D80" s="531"/>
    </row>
    <row r="81" spans="2:4" ht="15" customHeight="1" x14ac:dyDescent="0.35">
      <c r="B81" s="115" t="s">
        <v>53</v>
      </c>
      <c r="C81" s="516" t="str">
        <f>'Credit risk (SA)'!B41</f>
        <v>Grade A (30% risk weight)</v>
      </c>
      <c r="D81" s="404" t="str">
        <f>'Credit risk (SA)'!AC41</f>
        <v>Pass</v>
      </c>
    </row>
    <row r="82" spans="2:4" ht="15" customHeight="1" x14ac:dyDescent="0.35">
      <c r="B82" s="115" t="s">
        <v>53</v>
      </c>
      <c r="C82" s="516" t="str">
        <f>'Credit risk (SA)'!B42</f>
        <v>Grade A (40% risk weight)</v>
      </c>
      <c r="D82" s="404" t="str">
        <f>'Credit risk (SA)'!AC42</f>
        <v/>
      </c>
    </row>
    <row r="83" spans="2:4" ht="15" customHeight="1" x14ac:dyDescent="0.35">
      <c r="B83" s="115" t="s">
        <v>53</v>
      </c>
      <c r="C83" s="516" t="str">
        <f>'Credit risk (SA)'!B43</f>
        <v>Grade B</v>
      </c>
      <c r="D83" s="404" t="str">
        <f>'Credit risk (SA)'!AC43</f>
        <v/>
      </c>
    </row>
    <row r="84" spans="2:4" ht="15" customHeight="1" x14ac:dyDescent="0.35">
      <c r="B84" s="115" t="s">
        <v>53</v>
      </c>
      <c r="C84" s="516" t="str">
        <f>'Credit risk (SA)'!B44</f>
        <v>Grade C</v>
      </c>
      <c r="D84" s="404" t="str">
        <f>'Credit risk (SA)'!AC44</f>
        <v/>
      </c>
    </row>
    <row r="85" spans="2:4" ht="15" customHeight="1" x14ac:dyDescent="0.35">
      <c r="B85" s="182"/>
      <c r="C85" s="165" t="str">
        <f>'Credit risk (SA)'!B46</f>
        <v>SCRA (short term)</v>
      </c>
      <c r="D85" s="531"/>
    </row>
    <row r="86" spans="2:4" ht="15" customHeight="1" x14ac:dyDescent="0.35">
      <c r="B86" s="115" t="s">
        <v>53</v>
      </c>
      <c r="C86" s="516" t="str">
        <f>'Credit risk (SA)'!B47</f>
        <v>Grade A</v>
      </c>
      <c r="D86" s="404" t="str">
        <f>'Credit risk (SA)'!AC47</f>
        <v/>
      </c>
    </row>
    <row r="87" spans="2:4" ht="15" customHeight="1" x14ac:dyDescent="0.35">
      <c r="B87" s="115" t="s">
        <v>53</v>
      </c>
      <c r="C87" s="516" t="str">
        <f>'Credit risk (SA)'!B48</f>
        <v>Grade B</v>
      </c>
      <c r="D87" s="404" t="str">
        <f>'Credit risk (SA)'!AC48</f>
        <v/>
      </c>
    </row>
    <row r="88" spans="2:4" ht="15" customHeight="1" x14ac:dyDescent="0.35">
      <c r="B88" s="115" t="s">
        <v>53</v>
      </c>
      <c r="C88" s="516" t="str">
        <f>'Credit risk (SA)'!B49</f>
        <v>Grade C</v>
      </c>
      <c r="D88" s="404" t="str">
        <f>'Credit risk (SA)'!AC49</f>
        <v/>
      </c>
    </row>
    <row r="89" spans="2:4" ht="15" customHeight="1" x14ac:dyDescent="0.35">
      <c r="B89" s="182"/>
      <c r="C89" s="152" t="str">
        <f>'Credit risk (SA)'!B51</f>
        <v>Covered bonds; of which:</v>
      </c>
      <c r="D89" s="531"/>
    </row>
    <row r="90" spans="2:4" ht="15" customHeight="1" x14ac:dyDescent="0.35">
      <c r="B90" s="182"/>
      <c r="C90" s="164" t="str">
        <f>'Credit risk (SA)'!B52</f>
        <v>rated</v>
      </c>
      <c r="D90" s="531"/>
    </row>
    <row r="91" spans="2:4" ht="15" customHeight="1" x14ac:dyDescent="0.35">
      <c r="B91" s="115" t="s">
        <v>53</v>
      </c>
      <c r="C91" s="409" t="str">
        <f>'Credit risk (SA)'!B53</f>
        <v xml:space="preserve">AAA to AA- </v>
      </c>
      <c r="D91" s="404" t="str">
        <f>'Credit risk (SA)'!AC53</f>
        <v/>
      </c>
    </row>
    <row r="92" spans="2:4" ht="15" customHeight="1" x14ac:dyDescent="0.35">
      <c r="B92" s="115" t="s">
        <v>53</v>
      </c>
      <c r="C92" s="409" t="str">
        <f>'Credit risk (SA)'!B54</f>
        <v>A+ to A-</v>
      </c>
      <c r="D92" s="404" t="str">
        <f>'Credit risk (SA)'!AC54</f>
        <v/>
      </c>
    </row>
    <row r="93" spans="2:4" ht="15" customHeight="1" x14ac:dyDescent="0.35">
      <c r="B93" s="115" t="s">
        <v>53</v>
      </c>
      <c r="C93" s="409" t="str">
        <f>'Credit risk (SA)'!B55</f>
        <v>BBB+ to BBB-</v>
      </c>
      <c r="D93" s="404" t="str">
        <f>'Credit risk (SA)'!AC55</f>
        <v/>
      </c>
    </row>
    <row r="94" spans="2:4" ht="15" customHeight="1" x14ac:dyDescent="0.35">
      <c r="B94" s="115" t="s">
        <v>53</v>
      </c>
      <c r="C94" s="409" t="str">
        <f>'Credit risk (SA)'!B56</f>
        <v>BB+ to B-</v>
      </c>
      <c r="D94" s="404" t="str">
        <f>'Credit risk (SA)'!AC56</f>
        <v/>
      </c>
    </row>
    <row r="95" spans="2:4" ht="15" customHeight="1" x14ac:dyDescent="0.35">
      <c r="B95" s="115" t="s">
        <v>53</v>
      </c>
      <c r="C95" s="409" t="str">
        <f>'Credit risk (SA)'!B57</f>
        <v>below B-</v>
      </c>
      <c r="D95" s="404" t="str">
        <f>'Credit risk (SA)'!AC57</f>
        <v/>
      </c>
    </row>
    <row r="96" spans="2:4" ht="15" customHeight="1" x14ac:dyDescent="0.35">
      <c r="B96" s="182"/>
      <c r="C96" s="164" t="str">
        <f>'Credit risk (SA)'!B58</f>
        <v>unrated; of which:</v>
      </c>
      <c r="D96" s="531"/>
    </row>
    <row r="97" spans="2:4" ht="15" customHeight="1" x14ac:dyDescent="0.35">
      <c r="B97" s="115" t="s">
        <v>53</v>
      </c>
      <c r="C97" s="409" t="str">
        <f>'Credit risk (SA)'!B59</f>
        <v>risk weight for issuing bank of 20%</v>
      </c>
      <c r="D97" s="404" t="str">
        <f>'Credit risk (SA)'!AC59</f>
        <v/>
      </c>
    </row>
    <row r="98" spans="2:4" ht="15" customHeight="1" x14ac:dyDescent="0.35">
      <c r="B98" s="115" t="s">
        <v>53</v>
      </c>
      <c r="C98" s="409" t="str">
        <f>'Credit risk (SA)'!B60</f>
        <v>risk weight for issuing bank of 30%</v>
      </c>
      <c r="D98" s="404" t="str">
        <f>'Credit risk (SA)'!AC60</f>
        <v/>
      </c>
    </row>
    <row r="99" spans="2:4" ht="15" customHeight="1" x14ac:dyDescent="0.35">
      <c r="B99" s="115" t="s">
        <v>53</v>
      </c>
      <c r="C99" s="409" t="str">
        <f>'Credit risk (SA)'!B61</f>
        <v>risk weight for issuing bank of 40%</v>
      </c>
      <c r="D99" s="404" t="str">
        <f>'Credit risk (SA)'!AC61</f>
        <v/>
      </c>
    </row>
    <row r="100" spans="2:4" ht="15" customHeight="1" x14ac:dyDescent="0.35">
      <c r="B100" s="115" t="s">
        <v>53</v>
      </c>
      <c r="C100" s="409" t="str">
        <f>'Credit risk (SA)'!B62</f>
        <v>risk weight for issuing bank of 50%</v>
      </c>
      <c r="D100" s="404" t="str">
        <f>'Credit risk (SA)'!AC62</f>
        <v/>
      </c>
    </row>
    <row r="101" spans="2:4" ht="15" customHeight="1" x14ac:dyDescent="0.35">
      <c r="B101" s="115" t="s">
        <v>53</v>
      </c>
      <c r="C101" s="409" t="str">
        <f>'Credit risk (SA)'!B63</f>
        <v>risk weight for issuing bank of 75%</v>
      </c>
      <c r="D101" s="404" t="str">
        <f>'Credit risk (SA)'!AC63</f>
        <v/>
      </c>
    </row>
    <row r="102" spans="2:4" ht="15" customHeight="1" x14ac:dyDescent="0.35">
      <c r="B102" s="115" t="s">
        <v>53</v>
      </c>
      <c r="C102" s="409" t="str">
        <f>'Credit risk (SA)'!B64</f>
        <v>risk weight for issuing bank of 100%</v>
      </c>
      <c r="D102" s="404" t="str">
        <f>'Credit risk (SA)'!AC64</f>
        <v/>
      </c>
    </row>
    <row r="103" spans="2:4" ht="15" customHeight="1" x14ac:dyDescent="0.35">
      <c r="B103" s="115" t="s">
        <v>53</v>
      </c>
      <c r="C103" s="409" t="str">
        <f>'Credit risk (SA)'!B65</f>
        <v>risk weight for issuing bank of 150%</v>
      </c>
      <c r="D103" s="404" t="str">
        <f>'Credit risk (SA)'!AC65</f>
        <v/>
      </c>
    </row>
    <row r="104" spans="2:4" ht="15" customHeight="1" x14ac:dyDescent="0.35">
      <c r="B104" s="182"/>
      <c r="C104" s="152" t="str">
        <f>'Credit risk (SA)'!B66</f>
        <v>Corporates (excluding SMEs); of which:</v>
      </c>
      <c r="D104" s="531"/>
    </row>
    <row r="105" spans="2:4" ht="15" customHeight="1" x14ac:dyDescent="0.35">
      <c r="B105" s="182"/>
      <c r="C105" s="164" t="str">
        <f>'Credit risk (SA)'!B67</f>
        <v>Corporates (excluding SMEs) - rating allowed; of which:</v>
      </c>
      <c r="D105" s="531"/>
    </row>
    <row r="106" spans="2:4" ht="15" customHeight="1" x14ac:dyDescent="0.35">
      <c r="B106" s="182"/>
      <c r="C106" s="165" t="str">
        <f>'Credit risk (SA)'!B68</f>
        <v>rated corporate exposures; of which:</v>
      </c>
      <c r="D106" s="531"/>
    </row>
    <row r="107" spans="2:4" ht="15" customHeight="1" x14ac:dyDescent="0.35">
      <c r="B107" s="115" t="s">
        <v>53</v>
      </c>
      <c r="C107" s="516" t="str">
        <f>'Credit risk (SA)'!B69</f>
        <v xml:space="preserve">AAA to AA- </v>
      </c>
      <c r="D107" s="404" t="str">
        <f>'Credit risk (SA)'!AC69</f>
        <v>Pass</v>
      </c>
    </row>
    <row r="108" spans="2:4" ht="15" customHeight="1" x14ac:dyDescent="0.35">
      <c r="B108" s="115" t="s">
        <v>53</v>
      </c>
      <c r="C108" s="516" t="str">
        <f>'Credit risk (SA)'!B70</f>
        <v>A+ to A-</v>
      </c>
      <c r="D108" s="404" t="str">
        <f>'Credit risk (SA)'!AC70</f>
        <v>Pass</v>
      </c>
    </row>
    <row r="109" spans="2:4" ht="15" customHeight="1" x14ac:dyDescent="0.35">
      <c r="B109" s="115" t="s">
        <v>53</v>
      </c>
      <c r="C109" s="516" t="str">
        <f>'Credit risk (SA)'!B71</f>
        <v>BBB+ to BBB-</v>
      </c>
      <c r="D109" s="404" t="str">
        <f>'Credit risk (SA)'!AC71</f>
        <v>Pass</v>
      </c>
    </row>
    <row r="110" spans="2:4" ht="15" customHeight="1" x14ac:dyDescent="0.35">
      <c r="B110" s="115" t="s">
        <v>53</v>
      </c>
      <c r="C110" s="516" t="str">
        <f>'Credit risk (SA)'!B72</f>
        <v>BB+ to BB-</v>
      </c>
      <c r="D110" s="404" t="str">
        <f>'Credit risk (SA)'!AC72</f>
        <v/>
      </c>
    </row>
    <row r="111" spans="2:4" ht="15" customHeight="1" x14ac:dyDescent="0.35">
      <c r="B111" s="115" t="s">
        <v>53</v>
      </c>
      <c r="C111" s="516" t="str">
        <f>'Credit risk (SA)'!B73</f>
        <v>below BB-</v>
      </c>
      <c r="D111" s="404" t="str">
        <f>'Credit risk (SA)'!AC73</f>
        <v/>
      </c>
    </row>
    <row r="112" spans="2:4" ht="15" customHeight="1" x14ac:dyDescent="0.35">
      <c r="B112" s="115" t="s">
        <v>53</v>
      </c>
      <c r="C112" s="165" t="str">
        <f>'Credit risk (SA)'!B74</f>
        <v xml:space="preserve">unrated corporate exposures </v>
      </c>
      <c r="D112" s="404" t="str">
        <f>'Credit risk (SA)'!AC74</f>
        <v>Pass</v>
      </c>
    </row>
    <row r="113" spans="2:4" ht="15" customHeight="1" x14ac:dyDescent="0.35">
      <c r="B113" s="182"/>
      <c r="C113" s="164" t="str">
        <f>'Credit risk (SA)'!B75</f>
        <v>Corporates (excluding SMEs) - rating not allowed; of which:</v>
      </c>
      <c r="D113" s="531"/>
    </row>
    <row r="114" spans="2:4" ht="15" customHeight="1" x14ac:dyDescent="0.35">
      <c r="B114" s="115" t="s">
        <v>53</v>
      </c>
      <c r="C114" s="409" t="str">
        <f>'Credit risk (SA)'!B76</f>
        <v>investment grade</v>
      </c>
      <c r="D114" s="404" t="str">
        <f>'Credit risk (SA)'!AC76</f>
        <v/>
      </c>
    </row>
    <row r="115" spans="2:4" ht="15" customHeight="1" x14ac:dyDescent="0.35">
      <c r="B115" s="115" t="s">
        <v>53</v>
      </c>
      <c r="C115" s="409" t="str">
        <f>'Credit risk (SA)'!B77</f>
        <v>not investment grade</v>
      </c>
      <c r="D115" s="404" t="str">
        <f>'Credit risk (SA)'!AC77</f>
        <v/>
      </c>
    </row>
    <row r="116" spans="2:4" ht="15" customHeight="1" x14ac:dyDescent="0.35">
      <c r="B116" s="115" t="s">
        <v>53</v>
      </c>
      <c r="C116" s="152" t="str">
        <f>'Credit risk (SA)'!B78</f>
        <v>Corporate SME exposures</v>
      </c>
      <c r="D116" s="404" t="str">
        <f>'Credit risk (SA)'!AC78</f>
        <v>Pass</v>
      </c>
    </row>
    <row r="117" spans="2:4" ht="15" customHeight="1" x14ac:dyDescent="0.35">
      <c r="B117" s="182"/>
      <c r="C117" s="152" t="str">
        <f>'Credit risk (SA)'!B79</f>
        <v>Specialised lending; of which:</v>
      </c>
      <c r="D117" s="531"/>
    </row>
    <row r="118" spans="2:4" ht="15" customHeight="1" x14ac:dyDescent="0.35">
      <c r="B118" s="182"/>
      <c r="C118" s="164" t="str">
        <f>'Credit risk (SA)'!B80</f>
        <v>rated (only for jurisdictions where rating is allowed)</v>
      </c>
      <c r="D118" s="531"/>
    </row>
    <row r="119" spans="2:4" ht="15" customHeight="1" x14ac:dyDescent="0.35">
      <c r="B119" s="182"/>
      <c r="C119" s="164" t="str">
        <f>'Credit risk (SA)'!B81</f>
        <v>project finance; of which:</v>
      </c>
      <c r="D119" s="531"/>
    </row>
    <row r="120" spans="2:4" ht="15" customHeight="1" x14ac:dyDescent="0.35">
      <c r="B120" s="115" t="s">
        <v>53</v>
      </c>
      <c r="C120" s="409" t="str">
        <f>'Credit risk (SA)'!B82</f>
        <v>pre-operational phase</v>
      </c>
      <c r="D120" s="404" t="str">
        <f>'Credit risk (SA)'!AC82</f>
        <v/>
      </c>
    </row>
    <row r="121" spans="2:4" ht="15" customHeight="1" x14ac:dyDescent="0.35">
      <c r="B121" s="115" t="s">
        <v>53</v>
      </c>
      <c r="C121" s="409" t="str">
        <f>'Credit risk (SA)'!B83</f>
        <v>operational phase</v>
      </c>
      <c r="D121" s="404" t="str">
        <f>'Credit risk (SA)'!AC83</f>
        <v/>
      </c>
    </row>
    <row r="122" spans="2:4" ht="15" customHeight="1" x14ac:dyDescent="0.35">
      <c r="B122" s="115" t="s">
        <v>53</v>
      </c>
      <c r="C122" s="409" t="str">
        <f>'Credit risk (SA)'!B84</f>
        <v>operational phase (high quality)</v>
      </c>
      <c r="D122" s="404" t="str">
        <f>'Credit risk (SA)'!AC84</f>
        <v/>
      </c>
    </row>
    <row r="123" spans="2:4" ht="15" customHeight="1" x14ac:dyDescent="0.35">
      <c r="B123" s="115" t="s">
        <v>53</v>
      </c>
      <c r="C123" s="164" t="str">
        <f>'Credit risk (SA)'!B85</f>
        <v>object finance</v>
      </c>
      <c r="D123" s="404" t="str">
        <f>'Credit risk (SA)'!AC85</f>
        <v/>
      </c>
    </row>
    <row r="124" spans="2:4" ht="15" customHeight="1" x14ac:dyDescent="0.35">
      <c r="B124" s="115" t="s">
        <v>53</v>
      </c>
      <c r="C124" s="164" t="str">
        <f>'Credit risk (SA)'!B86</f>
        <v>commodity finance</v>
      </c>
      <c r="D124" s="404" t="str">
        <f>'Credit risk (SA)'!AC86</f>
        <v/>
      </c>
    </row>
    <row r="125" spans="2:4" ht="15" customHeight="1" x14ac:dyDescent="0.35">
      <c r="B125" s="182"/>
      <c r="C125" s="519" t="str">
        <f>'Credit risk (SA)'!B87</f>
        <v>Equity exposures; of which:</v>
      </c>
      <c r="D125" s="531"/>
    </row>
    <row r="126" spans="2:4" ht="15" customHeight="1" x14ac:dyDescent="0.35">
      <c r="B126" s="115" t="s">
        <v>53</v>
      </c>
      <c r="C126" s="517" t="str">
        <f>'Credit risk (SA)'!B88</f>
        <v>speculative unlisted</v>
      </c>
      <c r="D126" s="404" t="str">
        <f>'Credit risk (SA)'!AC88</f>
        <v/>
      </c>
    </row>
    <row r="127" spans="2:4" ht="15" customHeight="1" x14ac:dyDescent="0.35">
      <c r="B127" s="115" t="s">
        <v>53</v>
      </c>
      <c r="C127" s="517" t="str">
        <f>'Credit risk (SA)'!B89</f>
        <v>exposures to certain legislative programs</v>
      </c>
      <c r="D127" s="404" t="str">
        <f>'Credit risk (SA)'!AC89</f>
        <v/>
      </c>
    </row>
    <row r="128" spans="2:4" ht="15" customHeight="1" x14ac:dyDescent="0.35">
      <c r="B128" s="115" t="s">
        <v>53</v>
      </c>
      <c r="C128" s="517" t="str">
        <f>'Credit risk (SA)'!B90</f>
        <v>others</v>
      </c>
      <c r="D128" s="404" t="str">
        <f>'Credit risk (SA)'!AC90</f>
        <v>Pass</v>
      </c>
    </row>
    <row r="129" spans="2:4" ht="15" customHeight="1" x14ac:dyDescent="0.35">
      <c r="B129" s="182"/>
      <c r="C129" s="152" t="str">
        <f>'Credit risk (SA)'!B95</f>
        <v>Retail exposures; of which:</v>
      </c>
      <c r="D129" s="531"/>
    </row>
    <row r="130" spans="2:4" ht="15" customHeight="1" x14ac:dyDescent="0.35">
      <c r="B130" s="115" t="s">
        <v>53</v>
      </c>
      <c r="C130" s="164" t="str">
        <f>'Credit risk (SA)'!B96</f>
        <v>regulatory retail: transactors</v>
      </c>
      <c r="D130" s="404" t="str">
        <f>'Credit risk (SA)'!AC96</f>
        <v/>
      </c>
    </row>
    <row r="131" spans="2:4" ht="15" customHeight="1" x14ac:dyDescent="0.35">
      <c r="B131" s="115" t="s">
        <v>53</v>
      </c>
      <c r="C131" s="303" t="str">
        <f>'Credit risk (SA)'!B97</f>
        <v>regulatory retail: non-transactors</v>
      </c>
      <c r="D131" s="404" t="str">
        <f>'Credit risk (SA)'!AC97</f>
        <v>Pass</v>
      </c>
    </row>
    <row r="132" spans="2:4" ht="15" customHeight="1" x14ac:dyDescent="0.35">
      <c r="B132" s="115" t="s">
        <v>53</v>
      </c>
      <c r="C132" s="303" t="str">
        <f>'Credit risk (SA)'!B98</f>
        <v>other retail</v>
      </c>
      <c r="D132" s="404" t="str">
        <f>'Credit risk (SA)'!AC98</f>
        <v/>
      </c>
    </row>
    <row r="133" spans="2:4" ht="15" customHeight="1" x14ac:dyDescent="0.35">
      <c r="B133" s="182"/>
      <c r="C133" s="520" t="str">
        <f>'Credit risk (SA)'!B99</f>
        <v>Exposures secured by real estate; of which:</v>
      </c>
      <c r="D133" s="531"/>
    </row>
    <row r="134" spans="2:4" ht="15" customHeight="1" x14ac:dyDescent="0.35">
      <c r="B134" s="182"/>
      <c r="C134" s="303" t="str">
        <f>'Credit risk (SA)'!B100</f>
        <v>general residential real estate; of which:</v>
      </c>
      <c r="D134" s="531"/>
    </row>
    <row r="135" spans="2:4" ht="15" customHeight="1" x14ac:dyDescent="0.35">
      <c r="B135" s="182"/>
      <c r="C135" s="510" t="str">
        <f>'Credit risk (SA)'!B101</f>
        <v>whole loan approach; of which:</v>
      </c>
      <c r="D135" s="531"/>
    </row>
    <row r="136" spans="2:4" ht="15" customHeight="1" x14ac:dyDescent="0.35">
      <c r="B136" s="115" t="s">
        <v>53</v>
      </c>
      <c r="C136" s="518" t="str">
        <f>'Credit risk (SA)'!B102</f>
        <v>LTV ≤ 50%</v>
      </c>
      <c r="D136" s="404" t="str">
        <f>'Credit risk (SA)'!AC102</f>
        <v/>
      </c>
    </row>
    <row r="137" spans="2:4" ht="15" customHeight="1" x14ac:dyDescent="0.35">
      <c r="B137" s="115" t="s">
        <v>53</v>
      </c>
      <c r="C137" s="518" t="str">
        <f>'Credit risk (SA)'!B103</f>
        <v>50% &lt;LTV ≤ 60%</v>
      </c>
      <c r="D137" s="404" t="str">
        <f>'Credit risk (SA)'!AC103</f>
        <v/>
      </c>
    </row>
    <row r="138" spans="2:4" ht="15" customHeight="1" x14ac:dyDescent="0.35">
      <c r="B138" s="115" t="s">
        <v>53</v>
      </c>
      <c r="C138" s="518" t="str">
        <f>'Credit risk (SA)'!B104</f>
        <v>60% &lt;LTV ≤ 80%</v>
      </c>
      <c r="D138" s="404" t="str">
        <f>'Credit risk (SA)'!AC104</f>
        <v/>
      </c>
    </row>
    <row r="139" spans="2:4" ht="15" customHeight="1" x14ac:dyDescent="0.35">
      <c r="B139" s="115" t="s">
        <v>53</v>
      </c>
      <c r="C139" s="518" t="str">
        <f>'Credit risk (SA)'!B105</f>
        <v>80% &lt;LTV ≤ 90%</v>
      </c>
      <c r="D139" s="404" t="str">
        <f>'Credit risk (SA)'!AC105</f>
        <v/>
      </c>
    </row>
    <row r="140" spans="2:4" ht="15" customHeight="1" x14ac:dyDescent="0.35">
      <c r="B140" s="115" t="s">
        <v>53</v>
      </c>
      <c r="C140" s="518" t="str">
        <f>'Credit risk (SA)'!B106</f>
        <v>90% &lt;LTV ≤ 100%</v>
      </c>
      <c r="D140" s="404" t="str">
        <f>'Credit risk (SA)'!AC106</f>
        <v/>
      </c>
    </row>
    <row r="141" spans="2:4" ht="15" customHeight="1" x14ac:dyDescent="0.35">
      <c r="B141" s="115" t="s">
        <v>53</v>
      </c>
      <c r="C141" s="518" t="str">
        <f>'Credit risk (SA)'!B107</f>
        <v>LTV &gt; 100%</v>
      </c>
      <c r="D141" s="404" t="str">
        <f>'Credit risk (SA)'!AC107</f>
        <v/>
      </c>
    </row>
    <row r="142" spans="2:4" ht="15" customHeight="1" x14ac:dyDescent="0.35">
      <c r="B142" s="182"/>
      <c r="C142" s="518" t="str">
        <f>'Credit risk (SA)'!B108</f>
        <v>Requirements not met</v>
      </c>
      <c r="D142" s="531"/>
    </row>
    <row r="143" spans="2:4" ht="15" customHeight="1" x14ac:dyDescent="0.35">
      <c r="B143" s="182"/>
      <c r="C143" s="510" t="str">
        <f>'Credit risk (SA)'!B109</f>
        <v>loan splitting approach; of which:</v>
      </c>
      <c r="D143" s="531"/>
    </row>
    <row r="144" spans="2:4" ht="15" customHeight="1" x14ac:dyDescent="0.35">
      <c r="B144" s="115" t="s">
        <v>53</v>
      </c>
      <c r="C144" s="518" t="str">
        <f>'Credit risk (SA)'!B110</f>
        <v>exposures ≤ 55% of property value</v>
      </c>
      <c r="D144" s="404" t="str">
        <f>'Credit risk (SA)'!AC110</f>
        <v>Pass</v>
      </c>
    </row>
    <row r="145" spans="2:4" ht="15" customHeight="1" x14ac:dyDescent="0.35">
      <c r="B145" s="182"/>
      <c r="C145" s="303" t="str">
        <f>'Credit risk (SA)'!B122</f>
        <v>income producing residential real estate; of which:</v>
      </c>
      <c r="D145" s="531"/>
    </row>
    <row r="146" spans="2:4" ht="15" customHeight="1" x14ac:dyDescent="0.35">
      <c r="B146" s="115" t="s">
        <v>53</v>
      </c>
      <c r="C146" s="518" t="str">
        <f>'Credit risk (SA)'!B123</f>
        <v>LTV ≤ 50%</v>
      </c>
      <c r="D146" s="404" t="str">
        <f>'Credit risk (SA)'!AC123</f>
        <v/>
      </c>
    </row>
    <row r="147" spans="2:4" ht="15" customHeight="1" x14ac:dyDescent="0.35">
      <c r="B147" s="115" t="s">
        <v>53</v>
      </c>
      <c r="C147" s="518" t="str">
        <f>'Credit risk (SA)'!B124</f>
        <v>50% &lt;LTV ≤ 60%</v>
      </c>
      <c r="D147" s="404" t="str">
        <f>'Credit risk (SA)'!AC124</f>
        <v/>
      </c>
    </row>
    <row r="148" spans="2:4" ht="15" customHeight="1" x14ac:dyDescent="0.35">
      <c r="B148" s="115" t="s">
        <v>53</v>
      </c>
      <c r="C148" s="518" t="str">
        <f>'Credit risk (SA)'!B125</f>
        <v>60% &lt;LTV ≤ 80%</v>
      </c>
      <c r="D148" s="404" t="str">
        <f>'Credit risk (SA)'!AC125</f>
        <v/>
      </c>
    </row>
    <row r="149" spans="2:4" ht="15" customHeight="1" x14ac:dyDescent="0.35">
      <c r="B149" s="115" t="s">
        <v>53</v>
      </c>
      <c r="C149" s="518" t="str">
        <f>'Credit risk (SA)'!B126</f>
        <v>80% &lt;LTV ≤ 90%</v>
      </c>
      <c r="D149" s="404" t="str">
        <f>'Credit risk (SA)'!AC126</f>
        <v/>
      </c>
    </row>
    <row r="150" spans="2:4" ht="15" customHeight="1" x14ac:dyDescent="0.35">
      <c r="B150" s="115" t="s">
        <v>53</v>
      </c>
      <c r="C150" s="518" t="str">
        <f>'Credit risk (SA)'!B127</f>
        <v>90% &lt;LTV ≤ 100%</v>
      </c>
      <c r="D150" s="404" t="str">
        <f>'Credit risk (SA)'!AC127</f>
        <v/>
      </c>
    </row>
    <row r="151" spans="2:4" ht="15" customHeight="1" x14ac:dyDescent="0.35">
      <c r="B151" s="115" t="s">
        <v>53</v>
      </c>
      <c r="C151" s="518" t="str">
        <f>'Credit risk (SA)'!B128</f>
        <v>LTV &gt; 100%</v>
      </c>
      <c r="D151" s="404" t="str">
        <f>'Credit risk (SA)'!AC128</f>
        <v/>
      </c>
    </row>
    <row r="152" spans="2:4" ht="15" customHeight="1" x14ac:dyDescent="0.35">
      <c r="B152" s="115" t="s">
        <v>53</v>
      </c>
      <c r="C152" s="518" t="str">
        <f>'Credit risk (SA)'!B129</f>
        <v>Requirements not met</v>
      </c>
      <c r="D152" s="404" t="str">
        <f>'Credit risk (SA)'!AC129</f>
        <v/>
      </c>
    </row>
    <row r="153" spans="2:4" ht="15" customHeight="1" x14ac:dyDescent="0.35">
      <c r="B153" s="182"/>
      <c r="C153" s="303" t="str">
        <f>'Credit risk (SA)'!B130</f>
        <v>income producing commercial real estate; of which:</v>
      </c>
      <c r="D153" s="531"/>
    </row>
    <row r="154" spans="2:4" ht="15" customHeight="1" x14ac:dyDescent="0.35">
      <c r="B154" s="115" t="s">
        <v>53</v>
      </c>
      <c r="C154" s="518" t="str">
        <f>'Credit risk (SA)'!B131</f>
        <v>LTV ≤ 60%</v>
      </c>
      <c r="D154" s="404" t="str">
        <f>'Credit risk (SA)'!AC131</f>
        <v/>
      </c>
    </row>
    <row r="155" spans="2:4" ht="15" customHeight="1" x14ac:dyDescent="0.35">
      <c r="B155" s="115" t="s">
        <v>53</v>
      </c>
      <c r="C155" s="518" t="str">
        <f>'Credit risk (SA)'!B132</f>
        <v>60% &lt; LTV ≤ 80%</v>
      </c>
      <c r="D155" s="404" t="str">
        <f>'Credit risk (SA)'!AC132</f>
        <v/>
      </c>
    </row>
    <row r="156" spans="2:4" ht="15" customHeight="1" x14ac:dyDescent="0.35">
      <c r="B156" s="115" t="s">
        <v>53</v>
      </c>
      <c r="C156" s="518" t="str">
        <f>'Credit risk (SA)'!B133</f>
        <v>LTV &gt; 80%</v>
      </c>
      <c r="D156" s="404" t="str">
        <f>'Credit risk (SA)'!AC133</f>
        <v/>
      </c>
    </row>
    <row r="157" spans="2:4" ht="15" customHeight="1" x14ac:dyDescent="0.35">
      <c r="B157" s="115" t="s">
        <v>53</v>
      </c>
      <c r="C157" s="518" t="str">
        <f>'Credit risk (SA)'!B134</f>
        <v>Requirements not met</v>
      </c>
      <c r="D157" s="404" t="str">
        <f>'Credit risk (SA)'!AC134</f>
        <v/>
      </c>
    </row>
    <row r="158" spans="2:4" ht="15" customHeight="1" x14ac:dyDescent="0.35">
      <c r="B158" s="182"/>
      <c r="C158" s="303" t="str">
        <f>'Credit risk (SA)'!B135</f>
        <v>land acquisition, development and construction; of which:</v>
      </c>
      <c r="D158" s="531"/>
    </row>
    <row r="159" spans="2:4" ht="15" customHeight="1" x14ac:dyDescent="0.35">
      <c r="B159" s="115" t="s">
        <v>53</v>
      </c>
      <c r="C159" s="518" t="str">
        <f>'Credit risk (SA)'!B136</f>
        <v>150% risk weight</v>
      </c>
      <c r="D159" s="404" t="str">
        <f>'Credit risk (SA)'!AC136</f>
        <v/>
      </c>
    </row>
    <row r="160" spans="2:4" ht="15" customHeight="1" x14ac:dyDescent="0.35">
      <c r="B160" s="174" t="s">
        <v>53</v>
      </c>
      <c r="C160" s="530" t="str">
        <f>'Credit risk (SA)'!B137</f>
        <v>100% risk weight</v>
      </c>
      <c r="D160" s="358" t="str">
        <f>'Credit risk (SA)'!AC137</f>
        <v/>
      </c>
    </row>
    <row r="161" spans="1:28" ht="15" customHeight="1" x14ac:dyDescent="0.35">
      <c r="L161" s="275"/>
      <c r="M161" s="275"/>
      <c r="N161" s="275"/>
    </row>
    <row r="162" spans="1:28" ht="15" customHeight="1" x14ac:dyDescent="0.35">
      <c r="B162" s="526" t="s">
        <v>40</v>
      </c>
      <c r="C162" s="931" t="s">
        <v>41</v>
      </c>
      <c r="D162" s="760" t="str">
        <f>CONCATENATE("Col ", LEFT(ADDRESS(ROW('Credit risk (SA)'!D19),COLUMN('Credit risk (SA)'!D19),4), 1))</f>
        <v>Col D</v>
      </c>
      <c r="E162" s="760" t="str">
        <f>CONCATENATE("Col ", LEFT(ADDRESS(ROW('Credit risk (SA)'!E19),COLUMN('Credit risk (SA)'!E19),4), 1))</f>
        <v>Col E</v>
      </c>
      <c r="F162" s="760" t="str">
        <f>CONCATENATE("Col ", LEFT(ADDRESS(ROW('Credit risk (SA)'!F19),COLUMN('Credit risk (SA)'!F19),4), 1))</f>
        <v>Col F</v>
      </c>
      <c r="G162" s="760" t="str">
        <f>CONCATENATE("Col ", LEFT(ADDRESS(ROW('Credit risk (SA)'!H19),COLUMN('Credit risk (SA)'!H19),4), 1))</f>
        <v>Col H</v>
      </c>
      <c r="H162" s="760" t="str">
        <f>CONCATENATE("Col ", LEFT(ADDRESS(ROW('Credit risk (SA)'!I19),COLUMN('Credit risk (SA)'!I19),4), 1))</f>
        <v>Col I</v>
      </c>
      <c r="I162" s="760" t="str">
        <f>CONCATENATE("Col ", LEFT(ADDRESS(ROW('Credit risk (SA)'!J19),COLUMN('Credit risk (SA)'!J19),4), 1))</f>
        <v>Col J</v>
      </c>
      <c r="J162" s="760" t="str">
        <f>CONCATENATE("Col ", LEFT(ADDRESS(ROW('Credit risk (SA)'!K19),COLUMN('Credit risk (SA)'!K19),4), 1))</f>
        <v>Col K</v>
      </c>
      <c r="K162" s="760" t="str">
        <f>CONCATENATE("Col ", LEFT(ADDRESS(ROW('Credit risk (SA)'!L19),COLUMN('Credit risk (SA)'!L19),4), 1))</f>
        <v>Col L</v>
      </c>
      <c r="L162" s="760" t="str">
        <f>CONCATENATE("Col ", LEFT(ADDRESS(ROW('Credit risk (SA)'!N19),COLUMN('Credit risk (SA)'!N19),4), 1))</f>
        <v>Col N</v>
      </c>
      <c r="M162" s="760" t="str">
        <f>CONCATENATE("Col ", LEFT(ADDRESS(ROW('Credit risk (SA)'!R19),COLUMN('Credit risk (SA)'!R19),4), 1))</f>
        <v>Col R</v>
      </c>
      <c r="N162" s="760" t="str">
        <f>CONCATENATE("Col ", LEFT(ADDRESS(ROW('Credit risk (SA)'!S19),COLUMN('Credit risk (SA)'!S19),4), 1))</f>
        <v>Col S</v>
      </c>
      <c r="O162" s="760" t="str">
        <f>CONCATENATE("Col ", LEFT(ADDRESS(ROW('Credit risk (SA)'!T19),COLUMN('Credit risk (SA)'!T19),4), 1))</f>
        <v>Col T</v>
      </c>
      <c r="P162" s="760" t="str">
        <f>CONCATENATE("Col ", LEFT(ADDRESS(ROW('Credit risk (SA)'!V19),COLUMN('Credit risk (SA)'!V19),4), 1))</f>
        <v>Col V</v>
      </c>
      <c r="Q162" s="760" t="str">
        <f>CONCATENATE("Col ", LEFT(ADDRESS(ROW('Credit risk (SA)'!W19),COLUMN('Credit risk (SA)'!W19),4), 1))</f>
        <v>Col W</v>
      </c>
      <c r="R162" s="760" t="str">
        <f>CONCATENATE("Col ", LEFT(ADDRESS(ROW('Credit risk (SA)'!X19),COLUMN('Credit risk (SA)'!X19),4), 1))</f>
        <v>Col X</v>
      </c>
      <c r="S162" s="760" t="str">
        <f>CONCATENATE("Col ", LEFT(ADDRESS(ROW('Credit risk (SA)'!Y19),COLUMN('Credit risk (SA)'!Y19),4), 1))</f>
        <v>Col Y</v>
      </c>
      <c r="T162" s="760" t="str">
        <f>CONCATENATE("Col ", LEFT(ADDRESS(ROW('Credit risk (SA)'!Z19),COLUMN('Credit risk (SA)'!Z19),4), 1))</f>
        <v>Col Z</v>
      </c>
      <c r="U162" s="770" t="str">
        <f>CONCATENATE("Col ", LEFT(ADDRESS(ROW('Credit risk (SA)'!AD19),COLUMN('Credit risk (SA)'!AD19),4), 2))</f>
        <v>Col AD</v>
      </c>
      <c r="V162" s="760" t="str">
        <f>CONCATENATE("Col ", LEFT(ADDRESS(ROW('Credit risk (SA)'!AE19),COLUMN('Credit risk (SA)'!AE19),4), 2))</f>
        <v>Col AE</v>
      </c>
      <c r="W162" s="760" t="str">
        <f>CONCATENATE("Col ", LEFT(ADDRESS(ROW('Credit risk (SA)'!AF19),COLUMN('Credit risk (SA)'!AF19),4), 2))</f>
        <v>Col AF</v>
      </c>
      <c r="X162" s="760" t="str">
        <f>CONCATENATE("Col ", LEFT(ADDRESS(ROW('Credit risk (SA)'!AG19),COLUMN('Credit risk (SA)'!AG19),4), 2))</f>
        <v>Col AG</v>
      </c>
      <c r="Y162" s="760" t="str">
        <f>CONCATENATE("Col ", LEFT(ADDRESS(ROW('Credit risk (SA)'!AH19),COLUMN('Credit risk (SA)'!AH19),4), 2))</f>
        <v>Col AH</v>
      </c>
      <c r="Z162" s="760" t="str">
        <f>CONCATENATE("Col ", LEFT(ADDRESS(ROW('Credit risk (SA)'!AI19),COLUMN('Credit risk (SA)'!AI19),4), 2))</f>
        <v>Col AI</v>
      </c>
      <c r="AA162" s="760" t="str">
        <f>CONCATENATE("Col ", LEFT(ADDRESS(ROW('Credit risk (SA)'!AJ19),COLUMN('Credit risk (SA)'!AJ19),4), 2))</f>
        <v>Col AJ</v>
      </c>
      <c r="AB162" s="1309" t="str">
        <f>CONCATENATE("Col ", LEFT(ADDRESS(ROW('Credit risk (SA)'!AK19),COLUMN('Credit risk (SA)'!AK19),4), 2))</f>
        <v>Col AK</v>
      </c>
    </row>
    <row r="163" spans="1:28" ht="15" customHeight="1" x14ac:dyDescent="0.35">
      <c r="B163" s="523" t="s">
        <v>53</v>
      </c>
      <c r="C163" s="524" t="str">
        <f>'Credit risk (SA)'!B140</f>
        <v>Check: row139 ≤ row 138</v>
      </c>
      <c r="D163" s="489" t="str">
        <f>'Credit risk (SA)'!D140</f>
        <v>Pass</v>
      </c>
      <c r="E163" s="489" t="str">
        <f>'Credit risk (SA)'!E140</f>
        <v>Pass</v>
      </c>
      <c r="F163" s="489" t="str">
        <f>'Credit risk (SA)'!F140</f>
        <v>Pass</v>
      </c>
      <c r="G163" s="489" t="str">
        <f>'Credit risk (SA)'!H140</f>
        <v>Pass</v>
      </c>
      <c r="H163" s="515"/>
      <c r="I163" s="489" t="str">
        <f>'Credit risk (SA)'!J140</f>
        <v>Pass</v>
      </c>
      <c r="J163" s="489" t="str">
        <f>'Credit risk (SA)'!K140</f>
        <v>Pass</v>
      </c>
      <c r="K163" s="489" t="str">
        <f>'Credit risk (SA)'!L140</f>
        <v>Pass</v>
      </c>
      <c r="L163" s="182"/>
      <c r="M163" s="489" t="str">
        <f>'Credit risk (SA)'!R140</f>
        <v>Pass</v>
      </c>
      <c r="N163" s="489" t="str">
        <f>'Credit risk (SA)'!S140</f>
        <v>Pass</v>
      </c>
      <c r="O163" s="489" t="str">
        <f>'Credit risk (SA)'!T140</f>
        <v>Pass</v>
      </c>
      <c r="P163" s="489" t="str">
        <f>'Credit risk (SA)'!V140</f>
        <v>Pass</v>
      </c>
      <c r="Q163" s="489" t="str">
        <f>'Credit risk (SA)'!W140</f>
        <v>Pass</v>
      </c>
      <c r="R163" s="489" t="str">
        <f>'Credit risk (SA)'!X140</f>
        <v>Pass</v>
      </c>
      <c r="S163" s="489" t="str">
        <f>'Credit risk (SA)'!Y140</f>
        <v>Pass</v>
      </c>
      <c r="T163" s="489" t="str">
        <f>'Credit risk (SA)'!Z140</f>
        <v>Pass</v>
      </c>
      <c r="U163" s="489" t="str">
        <f>'Credit risk (SA)'!AD140</f>
        <v/>
      </c>
      <c r="V163" s="489" t="str">
        <f>'Credit risk (SA)'!AE140</f>
        <v/>
      </c>
      <c r="W163" s="489" t="str">
        <f>'Credit risk (SA)'!AF140</f>
        <v/>
      </c>
      <c r="X163" s="489" t="str">
        <f>'Credit risk (SA)'!AG140</f>
        <v/>
      </c>
      <c r="Y163" s="489" t="str">
        <f>'Credit risk (SA)'!AH140</f>
        <v/>
      </c>
      <c r="Z163" s="489" t="str">
        <f>'Credit risk (SA)'!AI140</f>
        <v/>
      </c>
      <c r="AA163" s="489" t="str">
        <f>'Credit risk (SA)'!AJ140</f>
        <v/>
      </c>
      <c r="AB163" s="525" t="str">
        <f>'Credit risk (SA)'!AK140</f>
        <v/>
      </c>
    </row>
    <row r="164" spans="1:28" ht="15" customHeight="1" x14ac:dyDescent="0.35">
      <c r="B164" s="115" t="s">
        <v>53</v>
      </c>
      <c r="C164" s="421" t="str">
        <f>'Credit risk (SA)'!B144</f>
        <v>Check: cell I138 = cell N143</v>
      </c>
      <c r="D164" s="182"/>
      <c r="E164" s="182"/>
      <c r="F164" s="182"/>
      <c r="G164" s="182"/>
      <c r="H164" s="182"/>
      <c r="I164" s="182"/>
      <c r="J164" s="182"/>
      <c r="K164" s="182"/>
      <c r="L164" s="352" t="str">
        <f>'Credit risk (SA)'!N144</f>
        <v>Pass</v>
      </c>
      <c r="M164" s="182"/>
      <c r="N164" s="182"/>
      <c r="O164" s="182"/>
      <c r="P164" s="182"/>
      <c r="Q164" s="182"/>
      <c r="R164" s="182"/>
      <c r="S164" s="178"/>
      <c r="T164" s="178"/>
      <c r="U164" s="178"/>
      <c r="V164" s="178"/>
      <c r="W164" s="178"/>
      <c r="X164" s="178"/>
      <c r="Y164" s="178"/>
      <c r="Z164" s="178"/>
      <c r="AA164" s="178"/>
      <c r="AB164" s="178"/>
    </row>
    <row r="165" spans="1:28" ht="15" customHeight="1" x14ac:dyDescent="0.35">
      <c r="B165" s="174" t="s">
        <v>54</v>
      </c>
      <c r="C165" s="349" t="str">
        <f>'Credit risk (SA)'!B155</f>
        <v>Check: row 152 = row 87</v>
      </c>
      <c r="D165" s="360" t="str">
        <f>'Credit risk (SA)'!D155</f>
        <v>Pass</v>
      </c>
      <c r="E165" s="360" t="str">
        <f>'Credit risk (SA)'!E155</f>
        <v>Pass</v>
      </c>
      <c r="F165" s="360" t="str">
        <f>'Credit risk (SA)'!F155</f>
        <v>Pass</v>
      </c>
      <c r="G165" s="360" t="str">
        <f>'Credit risk (SA)'!H155</f>
        <v>Pass</v>
      </c>
      <c r="H165" s="360" t="str">
        <f>'Credit risk (SA)'!I155</f>
        <v>Pass</v>
      </c>
      <c r="I165" s="360" t="str">
        <f>'Credit risk (SA)'!J155</f>
        <v>Pass</v>
      </c>
      <c r="J165" s="184"/>
      <c r="K165" s="184"/>
      <c r="L165" s="184"/>
      <c r="M165" s="184"/>
      <c r="N165" s="184"/>
      <c r="O165" s="184"/>
      <c r="P165" s="184"/>
      <c r="Q165" s="184"/>
      <c r="R165" s="184"/>
      <c r="S165" s="235"/>
      <c r="T165" s="235"/>
      <c r="U165" s="235"/>
      <c r="V165" s="235"/>
      <c r="W165" s="235"/>
      <c r="X165" s="235"/>
      <c r="Y165" s="235"/>
      <c r="Z165" s="235"/>
      <c r="AA165" s="235"/>
      <c r="AB165" s="235"/>
    </row>
    <row r="166" spans="1:28" ht="45" customHeight="1" x14ac:dyDescent="0.35">
      <c r="A166" s="264" t="s">
        <v>63</v>
      </c>
    </row>
    <row r="167" spans="1:28" ht="15" customHeight="1" x14ac:dyDescent="0.35">
      <c r="B167" s="2563" t="s">
        <v>40</v>
      </c>
      <c r="C167" s="2561" t="s">
        <v>41</v>
      </c>
      <c r="D167" s="2566" t="str">
        <f>CONCATENATE("Col ", LEFT(ADDRESS(ROW('Credit risk (IRB)'!CR17),COLUMN('Credit risk (IRB)'!CR17),4), 2))</f>
        <v>Col CR</v>
      </c>
      <c r="E167" s="2572"/>
      <c r="F167" s="2565" t="str">
        <f>CONCATENATE("Col ", LEFT(ADDRESS(ROW('Credit risk (IRB)'!CS17),COLUMN('Credit risk (IRB)'!CS17),4), 2))</f>
        <v>Col CS</v>
      </c>
      <c r="G167" s="2566"/>
    </row>
    <row r="168" spans="1:28" ht="90" customHeight="1" x14ac:dyDescent="0.35">
      <c r="B168" s="2564"/>
      <c r="C168" s="2562"/>
      <c r="D168" s="2568" t="str">
        <f>'Credit risk (IRB)'!CR16</f>
        <v>Check: column CO ≥ column AU plus column CE</v>
      </c>
      <c r="E168" s="2573"/>
      <c r="F168" s="2567" t="str">
        <f>'Credit risk (IRB)'!CS16</f>
        <v>Check column CQ ≥ column AY plus column CI, adjusted for provisioning shortfall if any</v>
      </c>
      <c r="G168" s="2568"/>
    </row>
    <row r="169" spans="1:28" ht="15" customHeight="1" x14ac:dyDescent="0.35">
      <c r="B169" s="288" t="s">
        <v>50</v>
      </c>
      <c r="C169" s="577" t="str">
        <f>'Credit risk (IRB)'!B17</f>
        <v>Large and mid-market general corporates; of which:</v>
      </c>
      <c r="D169" s="2570" t="str">
        <f>'Credit risk (IRB)'!CR17</f>
        <v>Pass</v>
      </c>
      <c r="E169" s="2574"/>
      <c r="F169" s="2569" t="str">
        <f>'Credit risk (IRB)'!CS17</f>
        <v>Pass</v>
      </c>
      <c r="G169" s="2570"/>
    </row>
    <row r="170" spans="1:28" ht="15" customHeight="1" x14ac:dyDescent="0.35">
      <c r="B170" s="115" t="s">
        <v>50</v>
      </c>
      <c r="C170" s="219" t="str">
        <f>'Credit risk (IRB)'!B18</f>
        <v>corporates with revenues &gt;EUR 500mn</v>
      </c>
      <c r="D170" s="2558" t="str">
        <f>'Credit risk (IRB)'!CR18</f>
        <v>Pass</v>
      </c>
      <c r="E170" s="2571"/>
      <c r="F170" s="2557" t="str">
        <f>'Credit risk (IRB)'!CS18</f>
        <v>Pass</v>
      </c>
      <c r="G170" s="2558"/>
    </row>
    <row r="171" spans="1:28" ht="15" customHeight="1" x14ac:dyDescent="0.35">
      <c r="B171" s="115" t="s">
        <v>50</v>
      </c>
      <c r="C171" s="219" t="str">
        <f>'Credit risk (IRB)'!B19</f>
        <v>corporates with revenues ≤ EUR 500mn</v>
      </c>
      <c r="D171" s="2558" t="str">
        <f>'Credit risk (IRB)'!CR19</f>
        <v>Pass</v>
      </c>
      <c r="E171" s="2571"/>
      <c r="F171" s="2557" t="str">
        <f>'Credit risk (IRB)'!CS19</f>
        <v>Pass</v>
      </c>
      <c r="G171" s="2558"/>
    </row>
    <row r="172" spans="1:28" ht="15" customHeight="1" x14ac:dyDescent="0.35">
      <c r="B172" s="115" t="s">
        <v>50</v>
      </c>
      <c r="C172" s="323" t="str">
        <f>'Credit risk (IRB)'!B20</f>
        <v>Specialised lending; of which:</v>
      </c>
      <c r="D172" s="2558" t="str">
        <f>'Credit risk (IRB)'!CR20</f>
        <v>Pass</v>
      </c>
      <c r="E172" s="2571"/>
      <c r="F172" s="2557" t="str">
        <f>'Credit risk (IRB)'!CS20</f>
        <v>Pass</v>
      </c>
      <c r="G172" s="2558"/>
    </row>
    <row r="173" spans="1:28" ht="15" customHeight="1" x14ac:dyDescent="0.35">
      <c r="B173" s="115" t="s">
        <v>50</v>
      </c>
      <c r="C173" s="219" t="str">
        <f>'Credit risk (IRB)'!B21</f>
        <v>Project finance; of which:</v>
      </c>
      <c r="D173" s="2558" t="str">
        <f>'Credit risk (IRB)'!CR21</f>
        <v>Pass</v>
      </c>
      <c r="E173" s="2571"/>
      <c r="F173" s="2557" t="str">
        <f>'Credit risk (IRB)'!CS21</f>
        <v>Pass</v>
      </c>
      <c r="G173" s="2558"/>
    </row>
    <row r="174" spans="1:28" ht="15" customHeight="1" x14ac:dyDescent="0.35">
      <c r="B174" s="115" t="s">
        <v>50</v>
      </c>
      <c r="C174" s="407" t="str">
        <f>'Credit risk (IRB)'!B22</f>
        <v>supervisory slotting approach</v>
      </c>
      <c r="D174" s="2558" t="str">
        <f>'Credit risk (IRB)'!CR22</f>
        <v>Pass</v>
      </c>
      <c r="E174" s="2571"/>
      <c r="F174" s="2557" t="str">
        <f>'Credit risk (IRB)'!CS22</f>
        <v>Pass</v>
      </c>
      <c r="G174" s="2558"/>
    </row>
    <row r="175" spans="1:28" ht="15" customHeight="1" x14ac:dyDescent="0.35">
      <c r="B175" s="115" t="s">
        <v>50</v>
      </c>
      <c r="C175" s="324" t="str">
        <f>'Credit risk (IRB)'!B23</f>
        <v>Check: row 22 ≤ row 21</v>
      </c>
      <c r="D175" s="178"/>
      <c r="E175" s="531"/>
      <c r="F175" s="178"/>
      <c r="G175" s="531"/>
    </row>
    <row r="176" spans="1:28" ht="15" customHeight="1" x14ac:dyDescent="0.35">
      <c r="B176" s="115" t="s">
        <v>50</v>
      </c>
      <c r="C176" s="219" t="str">
        <f>'Credit risk (IRB)'!B24</f>
        <v>Object finance; of which:</v>
      </c>
      <c r="D176" s="2558" t="str">
        <f>'Credit risk (IRB)'!CR24</f>
        <v>Pass</v>
      </c>
      <c r="E176" s="2571"/>
      <c r="F176" s="2557" t="str">
        <f>'Credit risk (IRB)'!CS24</f>
        <v>Pass</v>
      </c>
      <c r="G176" s="2558"/>
    </row>
    <row r="177" spans="2:7" ht="15" customHeight="1" x14ac:dyDescent="0.35">
      <c r="B177" s="115" t="s">
        <v>50</v>
      </c>
      <c r="C177" s="407" t="str">
        <f>'Credit risk (IRB)'!B25</f>
        <v>supervisory slotting approach</v>
      </c>
      <c r="D177" s="2558" t="str">
        <f>'Credit risk (IRB)'!CR25</f>
        <v>Pass</v>
      </c>
      <c r="E177" s="2571"/>
      <c r="F177" s="2557" t="str">
        <f>'Credit risk (IRB)'!CS25</f>
        <v>Pass</v>
      </c>
      <c r="G177" s="2558"/>
    </row>
    <row r="178" spans="2:7" ht="15" customHeight="1" x14ac:dyDescent="0.35">
      <c r="B178" s="115" t="s">
        <v>50</v>
      </c>
      <c r="C178" s="324" t="str">
        <f>'Credit risk (IRB)'!B26</f>
        <v>Check: row 25 ≤ row 24</v>
      </c>
      <c r="D178" s="178"/>
      <c r="E178" s="531"/>
      <c r="F178" s="178"/>
      <c r="G178" s="531"/>
    </row>
    <row r="179" spans="2:7" ht="15" customHeight="1" x14ac:dyDescent="0.35">
      <c r="B179" s="115" t="s">
        <v>50</v>
      </c>
      <c r="C179" s="219" t="str">
        <f>'Credit risk (IRB)'!B27</f>
        <v>Commodities finance; of which:</v>
      </c>
      <c r="D179" s="2558" t="str">
        <f>'Credit risk (IRB)'!CR27</f>
        <v>Pass</v>
      </c>
      <c r="E179" s="2571"/>
      <c r="F179" s="2557" t="str">
        <f>'Credit risk (IRB)'!CS27</f>
        <v>Pass</v>
      </c>
      <c r="G179" s="2558"/>
    </row>
    <row r="180" spans="2:7" ht="15" customHeight="1" x14ac:dyDescent="0.35">
      <c r="B180" s="115" t="s">
        <v>50</v>
      </c>
      <c r="C180" s="407" t="str">
        <f>'Credit risk (IRB)'!B28</f>
        <v>supervisory slotting approach</v>
      </c>
      <c r="D180" s="2558" t="str">
        <f>'Credit risk (IRB)'!CR28</f>
        <v>Pass</v>
      </c>
      <c r="E180" s="2571"/>
      <c r="F180" s="2557" t="str">
        <f>'Credit risk (IRB)'!CS28</f>
        <v>Pass</v>
      </c>
      <c r="G180" s="2558"/>
    </row>
    <row r="181" spans="2:7" ht="15" customHeight="1" x14ac:dyDescent="0.35">
      <c r="B181" s="115" t="s">
        <v>50</v>
      </c>
      <c r="C181" s="324" t="str">
        <f>'Credit risk (IRB)'!B29</f>
        <v>Check: row 28 ≤ row 27</v>
      </c>
      <c r="D181" s="178"/>
      <c r="E181" s="531"/>
      <c r="F181" s="178"/>
      <c r="G181" s="531"/>
    </row>
    <row r="182" spans="2:7" ht="15" customHeight="1" x14ac:dyDescent="0.35">
      <c r="B182" s="115" t="s">
        <v>50</v>
      </c>
      <c r="C182" s="219" t="str">
        <f>'Credit risk (IRB)'!B30</f>
        <v>Income-producing real estate; of which:</v>
      </c>
      <c r="D182" s="2558" t="str">
        <f>'Credit risk (IRB)'!CR30</f>
        <v>Pass</v>
      </c>
      <c r="E182" s="2571"/>
      <c r="F182" s="2557" t="str">
        <f>'Credit risk (IRB)'!CS30</f>
        <v>Pass</v>
      </c>
      <c r="G182" s="2558"/>
    </row>
    <row r="183" spans="2:7" ht="15" customHeight="1" x14ac:dyDescent="0.35">
      <c r="B183" s="115" t="s">
        <v>50</v>
      </c>
      <c r="C183" s="407" t="str">
        <f>'Credit risk (IRB)'!B31</f>
        <v>supervisory slotting approach</v>
      </c>
      <c r="D183" s="2558" t="str">
        <f>'Credit risk (IRB)'!CR31</f>
        <v>Pass</v>
      </c>
      <c r="E183" s="2571"/>
      <c r="F183" s="2557" t="str">
        <f>'Credit risk (IRB)'!CS31</f>
        <v>Pass</v>
      </c>
      <c r="G183" s="2558"/>
    </row>
    <row r="184" spans="2:7" ht="15" customHeight="1" x14ac:dyDescent="0.35">
      <c r="B184" s="115" t="s">
        <v>50</v>
      </c>
      <c r="C184" s="324" t="str">
        <f>'Credit risk (IRB)'!B32</f>
        <v>Check: row 31 ≤ row 30</v>
      </c>
      <c r="D184" s="178"/>
      <c r="E184" s="531"/>
      <c r="F184" s="178"/>
      <c r="G184" s="531"/>
    </row>
    <row r="185" spans="2:7" ht="15" customHeight="1" x14ac:dyDescent="0.35">
      <c r="B185" s="115" t="s">
        <v>50</v>
      </c>
      <c r="C185" s="219" t="str">
        <f>'Credit risk (IRB)'!B33</f>
        <v>High-volatility commercial real estate; of which:</v>
      </c>
      <c r="D185" s="2558" t="str">
        <f>'Credit risk (IRB)'!CR33</f>
        <v>Pass</v>
      </c>
      <c r="E185" s="2571"/>
      <c r="F185" s="2557" t="str">
        <f>'Credit risk (IRB)'!CS33</f>
        <v>Pass</v>
      </c>
      <c r="G185" s="2558"/>
    </row>
    <row r="186" spans="2:7" ht="15" customHeight="1" x14ac:dyDescent="0.35">
      <c r="B186" s="115" t="s">
        <v>50</v>
      </c>
      <c r="C186" s="407" t="str">
        <f>'Credit risk (IRB)'!B34</f>
        <v>supervisory slotting approach</v>
      </c>
      <c r="D186" s="2558" t="str">
        <f>'Credit risk (IRB)'!CR34</f>
        <v>Pass</v>
      </c>
      <c r="E186" s="2571"/>
      <c r="F186" s="2557" t="str">
        <f>'Credit risk (IRB)'!CS34</f>
        <v>Pass</v>
      </c>
      <c r="G186" s="2558"/>
    </row>
    <row r="187" spans="2:7" ht="15" customHeight="1" x14ac:dyDescent="0.35">
      <c r="B187" s="115" t="s">
        <v>50</v>
      </c>
      <c r="C187" s="324" t="str">
        <f>'Credit risk (IRB)'!B35</f>
        <v>Check: row 34 ≤ row 33</v>
      </c>
      <c r="D187" s="178"/>
      <c r="E187" s="531"/>
      <c r="F187" s="178"/>
      <c r="G187" s="531"/>
    </row>
    <row r="188" spans="2:7" ht="15" customHeight="1" x14ac:dyDescent="0.35">
      <c r="B188" s="115" t="s">
        <v>50</v>
      </c>
      <c r="C188" s="323" t="str">
        <f>'Credit risk (IRB)'!B36</f>
        <v>SME treated as corporate</v>
      </c>
      <c r="D188" s="2558" t="str">
        <f>'Credit risk (IRB)'!CR36</f>
        <v>Pass</v>
      </c>
      <c r="E188" s="2571"/>
      <c r="F188" s="2557" t="str">
        <f>'Credit risk (IRB)'!CS36</f>
        <v>Pass</v>
      </c>
      <c r="G188" s="2558"/>
    </row>
    <row r="189" spans="2:7" ht="15" customHeight="1" x14ac:dyDescent="0.35">
      <c r="B189" s="115" t="s">
        <v>50</v>
      </c>
      <c r="C189" s="323" t="str">
        <f>'Credit risk (IRB)'!B37</f>
        <v>Financial institutions treated as corporates</v>
      </c>
      <c r="D189" s="2558" t="str">
        <f>'Credit risk (IRB)'!CR37</f>
        <v>Pass</v>
      </c>
      <c r="E189" s="2571"/>
      <c r="F189" s="2557" t="str">
        <f>'Credit risk (IRB)'!CS37</f>
        <v>Pass</v>
      </c>
      <c r="G189" s="2558"/>
    </row>
    <row r="190" spans="2:7" ht="15" customHeight="1" x14ac:dyDescent="0.35">
      <c r="B190" s="115" t="s">
        <v>50</v>
      </c>
      <c r="C190" s="323" t="str">
        <f>'Credit risk (IRB)'!B38</f>
        <v>Sovereigns</v>
      </c>
      <c r="D190" s="2558" t="str">
        <f>'Credit risk (IRB)'!CR38</f>
        <v>Pass</v>
      </c>
      <c r="E190" s="2571"/>
      <c r="F190" s="2557" t="str">
        <f>'Credit risk (IRB)'!CS38</f>
        <v>Pass</v>
      </c>
      <c r="G190" s="2558"/>
    </row>
    <row r="191" spans="2:7" ht="15" customHeight="1" x14ac:dyDescent="0.35">
      <c r="B191" s="115" t="s">
        <v>50</v>
      </c>
      <c r="C191" s="323" t="str">
        <f>'Credit risk (IRB)'!B39</f>
        <v>Banks</v>
      </c>
      <c r="D191" s="2558" t="str">
        <f>'Credit risk (IRB)'!CR39</f>
        <v>Pass</v>
      </c>
      <c r="E191" s="2571"/>
      <c r="F191" s="2557" t="str">
        <f>'Credit risk (IRB)'!CS39</f>
        <v>Pass</v>
      </c>
      <c r="G191" s="2558"/>
    </row>
    <row r="192" spans="2:7" ht="15" customHeight="1" x14ac:dyDescent="0.35">
      <c r="B192" s="115" t="s">
        <v>50</v>
      </c>
      <c r="C192" s="323" t="str">
        <f>'Credit risk (IRB)'!B40</f>
        <v>Retail residential mortgages</v>
      </c>
      <c r="D192" s="2558" t="str">
        <f>'Credit risk (IRB)'!CR40</f>
        <v>Pass</v>
      </c>
      <c r="E192" s="2571"/>
      <c r="F192" s="2557" t="str">
        <f>'Credit risk (IRB)'!CS40</f>
        <v>Pass</v>
      </c>
      <c r="G192" s="2558"/>
    </row>
    <row r="193" spans="2:7" ht="15" customHeight="1" x14ac:dyDescent="0.35">
      <c r="B193" s="115" t="s">
        <v>50</v>
      </c>
      <c r="C193" s="323" t="str">
        <f>'Credit risk (IRB)'!B41</f>
        <v>Qualifying revolving retail exposures; of which:</v>
      </c>
      <c r="D193" s="2558" t="str">
        <f>'Credit risk (IRB)'!CR41</f>
        <v>Pass</v>
      </c>
      <c r="E193" s="2571"/>
      <c r="F193" s="2557" t="str">
        <f>'Credit risk (IRB)'!CS41</f>
        <v>Pass</v>
      </c>
      <c r="G193" s="2558"/>
    </row>
    <row r="194" spans="2:7" ht="15" customHeight="1" x14ac:dyDescent="0.35">
      <c r="B194" s="115" t="s">
        <v>50</v>
      </c>
      <c r="C194" s="219" t="str">
        <f>'Credit risk (IRB)'!B42</f>
        <v>transactors</v>
      </c>
      <c r="D194" s="2558" t="str">
        <f>'Credit risk (IRB)'!CR42</f>
        <v>Pass</v>
      </c>
      <c r="E194" s="2571"/>
      <c r="F194" s="2557" t="str">
        <f>'Credit risk (IRB)'!CS42</f>
        <v>Pass</v>
      </c>
      <c r="G194" s="2558"/>
    </row>
    <row r="195" spans="2:7" ht="15" customHeight="1" x14ac:dyDescent="0.35">
      <c r="B195" s="115" t="s">
        <v>50</v>
      </c>
      <c r="C195" s="219" t="str">
        <f>'Credit risk (IRB)'!B43</f>
        <v>revolvers</v>
      </c>
      <c r="D195" s="2558" t="str">
        <f>'Credit risk (IRB)'!CR43</f>
        <v>Pass</v>
      </c>
      <c r="E195" s="2571"/>
      <c r="F195" s="2557" t="str">
        <f>'Credit risk (IRB)'!CS43</f>
        <v>Pass</v>
      </c>
      <c r="G195" s="2558"/>
    </row>
    <row r="196" spans="2:7" ht="15" customHeight="1" x14ac:dyDescent="0.35">
      <c r="B196" s="115" t="s">
        <v>50</v>
      </c>
      <c r="C196" s="323" t="str">
        <f>'Credit risk (IRB)'!B44</f>
        <v>Other retail; of which:</v>
      </c>
      <c r="D196" s="2558" t="str">
        <f>'Credit risk (IRB)'!CR44</f>
        <v>Pass</v>
      </c>
      <c r="E196" s="2571"/>
      <c r="F196" s="2557" t="str">
        <f>'Credit risk (IRB)'!CS44</f>
        <v>Pass</v>
      </c>
      <c r="G196" s="2558"/>
    </row>
    <row r="197" spans="2:7" ht="15" customHeight="1" x14ac:dyDescent="0.35">
      <c r="B197" s="115" t="s">
        <v>50</v>
      </c>
      <c r="C197" s="219" t="str">
        <f>'Credit risk (IRB)'!B45</f>
        <v>unsecured; of which:</v>
      </c>
      <c r="D197" s="2558" t="str">
        <f>'Credit risk (IRB)'!CR45</f>
        <v>Pass</v>
      </c>
      <c r="E197" s="2571"/>
      <c r="F197" s="2557" t="str">
        <f>'Credit risk (IRB)'!CS45</f>
        <v>Pass</v>
      </c>
      <c r="G197" s="2558"/>
    </row>
    <row r="198" spans="2:7" ht="15" customHeight="1" x14ac:dyDescent="0.35">
      <c r="B198" s="115" t="s">
        <v>50</v>
      </c>
      <c r="C198" s="407" t="str">
        <f>'Credit risk (IRB)'!B46</f>
        <v>SME treated as retail</v>
      </c>
      <c r="D198" s="2558" t="str">
        <f>'Credit risk (IRB)'!CR46</f>
        <v>Pass</v>
      </c>
      <c r="E198" s="2571"/>
      <c r="F198" s="2557" t="str">
        <f>'Credit risk (IRB)'!CS46</f>
        <v>Pass</v>
      </c>
      <c r="G198" s="2558"/>
    </row>
    <row r="199" spans="2:7" ht="15" customHeight="1" x14ac:dyDescent="0.35">
      <c r="B199" s="115" t="s">
        <v>50</v>
      </c>
      <c r="C199" s="324" t="str">
        <f>'Credit risk (IRB)'!B47</f>
        <v>Check: row 46 ≤ row 45</v>
      </c>
      <c r="D199" s="178"/>
      <c r="E199" s="531"/>
      <c r="F199" s="178"/>
      <c r="G199" s="531"/>
    </row>
    <row r="200" spans="2:7" ht="15" customHeight="1" x14ac:dyDescent="0.35">
      <c r="B200" s="115" t="s">
        <v>50</v>
      </c>
      <c r="C200" s="219" t="str">
        <f>'Credit risk (IRB)'!B48</f>
        <v>secured; of which:</v>
      </c>
      <c r="D200" s="2558" t="str">
        <f>'Credit risk (IRB)'!CR48</f>
        <v>Pass</v>
      </c>
      <c r="E200" s="2571"/>
      <c r="F200" s="2557" t="str">
        <f>'Credit risk (IRB)'!CS48</f>
        <v>please check</v>
      </c>
      <c r="G200" s="2558"/>
    </row>
    <row r="201" spans="2:7" ht="15" customHeight="1" x14ac:dyDescent="0.35">
      <c r="B201" s="115" t="s">
        <v>50</v>
      </c>
      <c r="C201" s="407" t="str">
        <f>'Credit risk (IRB)'!B49</f>
        <v>SME treated as retail</v>
      </c>
      <c r="D201" s="2558" t="str">
        <f>'Credit risk (IRB)'!CR49</f>
        <v>Pass</v>
      </c>
      <c r="E201" s="2571"/>
      <c r="F201" s="2557" t="str">
        <f>'Credit risk (IRB)'!CS49</f>
        <v>please check</v>
      </c>
      <c r="G201" s="2558"/>
    </row>
    <row r="202" spans="2:7" ht="15" customHeight="1" x14ac:dyDescent="0.35">
      <c r="B202" s="115" t="s">
        <v>50</v>
      </c>
      <c r="C202" s="324" t="str">
        <f>'Credit risk (IRB)'!B50</f>
        <v>Check: row 49 ≤ row 48</v>
      </c>
      <c r="D202" s="178"/>
      <c r="E202" s="531"/>
      <c r="F202" s="178"/>
      <c r="G202" s="531"/>
    </row>
    <row r="203" spans="2:7" ht="15" customHeight="1" x14ac:dyDescent="0.35">
      <c r="B203" s="115" t="s">
        <v>50</v>
      </c>
      <c r="C203" s="323" t="str">
        <f>'Credit risk (IRB)'!B51</f>
        <v>Equity exposures; of which:</v>
      </c>
      <c r="D203" s="178"/>
      <c r="E203" s="531"/>
      <c r="F203" s="178"/>
      <c r="G203" s="531"/>
    </row>
    <row r="204" spans="2:7" ht="15" customHeight="1" x14ac:dyDescent="0.35">
      <c r="B204" s="115" t="s">
        <v>50</v>
      </c>
      <c r="C204" s="323" t="str">
        <f>'Credit risk (IRB)'!B55</f>
        <v>Equity investment in funds; of which:</v>
      </c>
      <c r="D204" s="2558" t="str">
        <f>'Credit risk (IRB)'!CR55</f>
        <v>Pass</v>
      </c>
      <c r="E204" s="2571"/>
      <c r="F204" s="2557" t="str">
        <f>'Credit risk (IRB)'!CS55</f>
        <v>Pass</v>
      </c>
      <c r="G204" s="2558"/>
    </row>
    <row r="205" spans="2:7" ht="15" customHeight="1" x14ac:dyDescent="0.35">
      <c r="B205" s="115" t="s">
        <v>50</v>
      </c>
      <c r="C205" s="219" t="str">
        <f>'Credit risk (IRB)'!B56</f>
        <v>Equity investment in funds (mandate-based approach)</v>
      </c>
      <c r="D205" s="2558" t="str">
        <f>'Credit risk (IRB)'!CR56</f>
        <v>Pass</v>
      </c>
      <c r="E205" s="2571"/>
      <c r="F205" s="2557" t="str">
        <f>'Credit risk (IRB)'!CS56</f>
        <v>Pass</v>
      </c>
      <c r="G205" s="2558"/>
    </row>
    <row r="206" spans="2:7" ht="15" customHeight="1" x14ac:dyDescent="0.35">
      <c r="B206" s="115" t="s">
        <v>50</v>
      </c>
      <c r="C206" s="219" t="str">
        <f>'Credit risk (IRB)'!B57</f>
        <v>Equity investment in funds (fall back approach)</v>
      </c>
      <c r="D206" s="2558" t="str">
        <f>'Credit risk (IRB)'!CR57</f>
        <v>Pass</v>
      </c>
      <c r="E206" s="2571"/>
      <c r="F206" s="2557" t="str">
        <f>'Credit risk (IRB)'!CS57</f>
        <v/>
      </c>
      <c r="G206" s="2558"/>
    </row>
    <row r="207" spans="2:7" ht="15" customHeight="1" x14ac:dyDescent="0.35">
      <c r="B207" s="115" t="s">
        <v>50</v>
      </c>
      <c r="C207" s="323" t="str">
        <f>'Credit risk (IRB)'!B58</f>
        <v>Eligible purchased receivables; of which:</v>
      </c>
      <c r="D207" s="2558" t="str">
        <f>'Credit risk (IRB)'!CR58</f>
        <v>Pass</v>
      </c>
      <c r="E207" s="2571"/>
      <c r="F207" s="2557" t="str">
        <f>'Credit risk (IRB)'!CS58</f>
        <v>Pass</v>
      </c>
      <c r="G207" s="2558"/>
    </row>
    <row r="208" spans="2:7" ht="15" customHeight="1" x14ac:dyDescent="0.35">
      <c r="B208" s="115" t="s">
        <v>50</v>
      </c>
      <c r="C208" s="219" t="str">
        <f>'Credit risk (IRB)'!B59</f>
        <v>Corporates</v>
      </c>
      <c r="D208" s="2558" t="str">
        <f>'Credit risk (IRB)'!CR59</f>
        <v>Pass</v>
      </c>
      <c r="E208" s="2571"/>
      <c r="F208" s="2557" t="str">
        <f>'Credit risk (IRB)'!CS59</f>
        <v>Pass</v>
      </c>
      <c r="G208" s="2558"/>
    </row>
    <row r="209" spans="2:41" ht="15" customHeight="1" x14ac:dyDescent="0.35">
      <c r="B209" s="115" t="s">
        <v>50</v>
      </c>
      <c r="C209" s="219" t="str">
        <f>'Credit risk (IRB)'!B60</f>
        <v>Retail</v>
      </c>
      <c r="D209" s="2558" t="str">
        <f>'Credit risk (IRB)'!CR60</f>
        <v>Pass</v>
      </c>
      <c r="E209" s="2571"/>
      <c r="F209" s="2557" t="str">
        <f>'Credit risk (IRB)'!CS60</f>
        <v>Pass</v>
      </c>
      <c r="G209" s="2558"/>
    </row>
    <row r="210" spans="2:41" ht="15" customHeight="1" x14ac:dyDescent="0.35">
      <c r="B210" s="115" t="s">
        <v>50</v>
      </c>
      <c r="C210" s="323" t="str">
        <f>'Credit risk (IRB)'!B61</f>
        <v>Failed trades and non-DVP transactions</v>
      </c>
      <c r="D210" s="2558" t="str">
        <f>'Credit risk (IRB)'!CR61</f>
        <v>Pass</v>
      </c>
      <c r="E210" s="2571"/>
      <c r="F210" s="2557" t="str">
        <f>'Credit risk (IRB)'!CS61</f>
        <v/>
      </c>
      <c r="G210" s="2558"/>
    </row>
    <row r="211" spans="2:41" ht="15" customHeight="1" x14ac:dyDescent="0.35">
      <c r="B211" s="115" t="s">
        <v>50</v>
      </c>
      <c r="C211" s="221" t="str">
        <f>'Credit risk (IRB)'!B62</f>
        <v>Other assets; of which:</v>
      </c>
      <c r="D211" s="2558" t="str">
        <f>'Credit risk (IRB)'!CR62</f>
        <v>Pass</v>
      </c>
      <c r="E211" s="2571"/>
      <c r="F211" s="2557" t="str">
        <f>'Credit risk (IRB)'!CS62</f>
        <v>Pass</v>
      </c>
      <c r="G211" s="2558"/>
    </row>
    <row r="212" spans="2:41" ht="15" customHeight="1" x14ac:dyDescent="0.35">
      <c r="B212" s="174" t="s">
        <v>50</v>
      </c>
      <c r="C212" s="325" t="str">
        <f>'Credit risk (IRB)'!B63</f>
        <v>Non-credit obligations</v>
      </c>
      <c r="D212" s="2560" t="str">
        <f>'Credit risk (IRB)'!CR63</f>
        <v>Pass</v>
      </c>
      <c r="E212" s="2575"/>
      <c r="F212" s="2559" t="str">
        <f>'Credit risk (IRB)'!CS63</f>
        <v/>
      </c>
      <c r="G212" s="2560"/>
    </row>
    <row r="213" spans="2:41" ht="15" customHeight="1" x14ac:dyDescent="0.35">
      <c r="L213" s="275"/>
    </row>
    <row r="214" spans="2:41" ht="15" customHeight="1" x14ac:dyDescent="0.35">
      <c r="B214" s="526" t="s">
        <v>40</v>
      </c>
      <c r="C214" s="931" t="s">
        <v>41</v>
      </c>
      <c r="D214" s="760" t="str">
        <f>CONCATENATE("Col ", LEFT(ADDRESS(ROW('Credit risk (IRB)'!Z17),COLUMN('Credit risk (IRB)'!Z17),4), 2))</f>
        <v>Col Z1</v>
      </c>
      <c r="E214" s="760" t="str">
        <f>CONCATENATE("Col ", LEFT(ADDRESS(ROW('Credit risk (IRB)'!AA17),COLUMN('Credit risk (IRB)'!AA17),4), 2))</f>
        <v>Col AA</v>
      </c>
      <c r="F214" s="760" t="str">
        <f>CONCATENATE("Col ", LEFT(ADDRESS(ROW('Credit risk (IRB)'!AB17),COLUMN('Credit risk (IRB)'!AB17),4), 2))</f>
        <v>Col AB</v>
      </c>
      <c r="G214" s="760" t="str">
        <f>CONCATENATE("Col ", LEFT(ADDRESS(ROW('Credit risk (IRB)'!AC17),COLUMN('Credit risk (IRB)'!AC17),4), 2))</f>
        <v>Col AC</v>
      </c>
      <c r="H214" s="760" t="str">
        <f>CONCATENATE("Col ", LEFT(ADDRESS(ROW('Credit risk (IRB)'!AD17),COLUMN('Credit risk (IRB)'!AD17),4), 2))</f>
        <v>Col AD</v>
      </c>
      <c r="I214" s="760" t="str">
        <f>CONCATENATE("Col ", LEFT(ADDRESS(ROW('Credit risk (IRB)'!AF17),COLUMN('Credit risk (IRB)'!AF17),4), 2))</f>
        <v>Col AF</v>
      </c>
      <c r="J214" s="760" t="str">
        <f>CONCATENATE("Col ", LEFT(ADDRESS(ROW('Credit risk (IRB)'!AG17),COLUMN('Credit risk (IRB)'!AG17),4), 2))</f>
        <v>Col AG</v>
      </c>
      <c r="K214" s="760" t="str">
        <f>CONCATENATE("Col ", LEFT(ADDRESS(ROW('Credit risk (IRB)'!AH17),COLUMN('Credit risk (IRB)'!AH17),4), 2))</f>
        <v>Col AH</v>
      </c>
      <c r="L214" s="760" t="str">
        <f>CONCATENATE("Col ", LEFT(ADDRESS(ROW('Credit risk (IRB)'!AJ17),COLUMN('Credit risk (IRB)'!AJ17),4), 2))</f>
        <v>Col AJ</v>
      </c>
      <c r="M214" s="760" t="str">
        <f>CONCATENATE("Col ", LEFT(ADDRESS(ROW('Credit risk (IRB)'!AK17),COLUMN('Credit risk (IRB)'!AK17),4), 2))</f>
        <v>Col AK</v>
      </c>
      <c r="N214" s="760" t="str">
        <f>CONCATENATE("Col ", LEFT(ADDRESS(ROW('Credit risk (IRB)'!BM17),COLUMN('Credit risk (IRB)'!BM17),4), 2))</f>
        <v>Col BM</v>
      </c>
      <c r="O214" s="760" t="str">
        <f>CONCATENATE("Col ", LEFT(ADDRESS(ROW('Credit risk (IRB)'!BN17),COLUMN('Credit risk (IRB)'!BN17),4), 2))</f>
        <v>Col BN</v>
      </c>
      <c r="P214" s="760" t="str">
        <f>CONCATENATE("Col ", LEFT(ADDRESS(ROW('Credit risk (IRB)'!BO17),COLUMN('Credit risk (IRB)'!BO17),4), 2))</f>
        <v>Col BO</v>
      </c>
      <c r="Q214" s="760" t="str">
        <f>CONCATENATE("Col ", LEFT(ADDRESS(ROW('Credit risk (IRB)'!BP17),COLUMN('Credit risk (IRB)'!BP17),4), 2))</f>
        <v>Col BP</v>
      </c>
      <c r="R214" s="760" t="str">
        <f>CONCATENATE("Col ", LEFT(ADDRESS(ROW('Credit risk (IRB)'!BQ17),COLUMN('Credit risk (IRB)'!BQ17),4), 2))</f>
        <v>Col BQ</v>
      </c>
      <c r="S214" s="760" t="str">
        <f>CONCATENATE("Col ", LEFT(ADDRESS(ROW('Credit risk (IRB)'!BS17),COLUMN('Credit risk (IRB)'!BS17),4), 2))</f>
        <v>Col BS</v>
      </c>
      <c r="T214" s="760" t="str">
        <f>CONCATENATE("Col ", LEFT(ADDRESS(ROW('Credit risk (IRB)'!BT17),COLUMN('Credit risk (IRB)'!BT17),4), 2))</f>
        <v>Col BT</v>
      </c>
      <c r="U214" s="760" t="str">
        <f>CONCATENATE("Col ", LEFT(ADDRESS(ROW('Credit risk (IRB)'!BU17),COLUMN('Credit risk (IRB)'!BU17),4), 2))</f>
        <v>Col BU</v>
      </c>
      <c r="V214" s="760" t="str">
        <f>CONCATENATE("Col ", LEFT(ADDRESS(ROW('Credit risk (IRB)'!BW17),COLUMN('Credit risk (IRB)'!BW17),4), 2))</f>
        <v>Col BW</v>
      </c>
      <c r="W214" s="760" t="str">
        <f>CONCATENATE("Col ", LEFT(ADDRESS(ROW('Credit risk (IRB)'!CL17),COLUMN('Credit risk (IRB)'!CL17),4), 2))</f>
        <v>Col CL</v>
      </c>
      <c r="X214" s="760" t="str">
        <f>CONCATENATE("Col ", LEFT(ADDRESS(ROW('Credit risk (IRB)'!CO17),COLUMN('Credit risk (IRB)'!CO17),4), 2))</f>
        <v>Col CO</v>
      </c>
      <c r="Y214" s="760" t="str">
        <f>CONCATENATE("Col ", LEFT(ADDRESS(ROW('Credit risk (IRB)'!CP17),COLUMN('Credit risk (IRB)'!CP17),4), 2))</f>
        <v>Col CP</v>
      </c>
      <c r="Z214" s="765" t="str">
        <f>CONCATENATE("Col ", LEFT(ADDRESS(ROW('Credit risk (IRB)'!CQ17),COLUMN('Credit risk (IRB)'!CQ17),4), 2))</f>
        <v>Col CQ</v>
      </c>
      <c r="AA214" s="761"/>
      <c r="AB214" s="761"/>
      <c r="AC214" s="761"/>
      <c r="AD214" s="761"/>
      <c r="AE214" s="761"/>
      <c r="AF214" s="761"/>
      <c r="AG214" s="761"/>
      <c r="AH214" s="761"/>
      <c r="AI214" s="761"/>
    </row>
    <row r="215" spans="2:41" ht="15" customHeight="1" x14ac:dyDescent="0.35">
      <c r="B215" s="288" t="s">
        <v>50</v>
      </c>
      <c r="C215" s="509" t="str">
        <f>'Credit risk (IRB)'!B23</f>
        <v>Check: row 22 ≤ row 21</v>
      </c>
      <c r="D215" s="488" t="str">
        <f>'Credit risk (IRB)'!Z23</f>
        <v>Pass</v>
      </c>
      <c r="E215" s="489" t="str">
        <f>'Credit risk (IRB)'!AA23</f>
        <v>Pass</v>
      </c>
      <c r="F215" s="489" t="str">
        <f>'Credit risk (IRB)'!AB23</f>
        <v>Pass</v>
      </c>
      <c r="G215" s="489" t="str">
        <f>'Credit risk (IRB)'!AC23</f>
        <v>Pass</v>
      </c>
      <c r="H215" s="489" t="str">
        <f>'Credit risk (IRB)'!AD23</f>
        <v>Pass</v>
      </c>
      <c r="I215" s="489" t="str">
        <f>'Credit risk (IRB)'!AF23</f>
        <v>Pass</v>
      </c>
      <c r="J215" s="489" t="str">
        <f>'Credit risk (IRB)'!AG23</f>
        <v>Pass</v>
      </c>
      <c r="K215" s="489" t="str">
        <f>'Credit risk (IRB)'!AH23</f>
        <v>Pass</v>
      </c>
      <c r="L215" s="489" t="str">
        <f>'Credit risk (IRB)'!AJ23</f>
        <v>Pass</v>
      </c>
      <c r="M215" s="489" t="str">
        <f>'Credit risk (IRB)'!AK23</f>
        <v>Pass</v>
      </c>
      <c r="N215" s="489" t="str">
        <f>'Credit risk (IRB)'!BM23</f>
        <v>Pass</v>
      </c>
      <c r="O215" s="489" t="str">
        <f>'Credit risk (IRB)'!BN23</f>
        <v>Pass</v>
      </c>
      <c r="P215" s="489" t="str">
        <f>'Credit risk (IRB)'!BO23</f>
        <v>Pass</v>
      </c>
      <c r="Q215" s="489" t="str">
        <f>'Credit risk (IRB)'!BP23</f>
        <v>Pass</v>
      </c>
      <c r="R215" s="489" t="str">
        <f>'Credit risk (IRB)'!BQ23</f>
        <v>Pass</v>
      </c>
      <c r="S215" s="489" t="str">
        <f>'Credit risk (IRB)'!BS23</f>
        <v>Pass</v>
      </c>
      <c r="T215" s="489" t="str">
        <f>'Credit risk (IRB)'!BT23</f>
        <v>Pass</v>
      </c>
      <c r="U215" s="489" t="str">
        <f>'Credit risk (IRB)'!BU23</f>
        <v>Pass</v>
      </c>
      <c r="V215" s="489" t="str">
        <f>'Credit risk (IRB)'!BW23</f>
        <v>Pass</v>
      </c>
      <c r="W215" s="489" t="str">
        <f>'Credit risk (IRB)'!CL23</f>
        <v>Pass</v>
      </c>
      <c r="X215" s="489" t="str">
        <f>'Credit risk (IRB)'!CO23</f>
        <v>Pass</v>
      </c>
      <c r="Y215" s="489" t="str">
        <f>'Credit risk (IRB)'!CP23</f>
        <v>Pass</v>
      </c>
      <c r="Z215" s="525" t="str">
        <f>'Credit risk (IRB)'!CQ23</f>
        <v>Pass</v>
      </c>
    </row>
    <row r="216" spans="2:41" ht="15" customHeight="1" x14ac:dyDescent="0.35">
      <c r="B216" s="288" t="s">
        <v>50</v>
      </c>
      <c r="C216" s="716" t="str">
        <f>'Credit risk (IRB)'!B26</f>
        <v>Check: row 25 ≤ row 24</v>
      </c>
      <c r="D216" s="359" t="str">
        <f>'Credit risk (IRB)'!Z26</f>
        <v>Pass</v>
      </c>
      <c r="E216" s="352" t="str">
        <f>'Credit risk (IRB)'!AA26</f>
        <v>Pass</v>
      </c>
      <c r="F216" s="352" t="str">
        <f>'Credit risk (IRB)'!AB26</f>
        <v>Pass</v>
      </c>
      <c r="G216" s="352" t="str">
        <f>'Credit risk (IRB)'!AC26</f>
        <v>Pass</v>
      </c>
      <c r="H216" s="352" t="str">
        <f>'Credit risk (IRB)'!AD26</f>
        <v>Pass</v>
      </c>
      <c r="I216" s="352" t="str">
        <f>'Credit risk (IRB)'!AF26</f>
        <v>Pass</v>
      </c>
      <c r="J216" s="352" t="str">
        <f>'Credit risk (IRB)'!AG26</f>
        <v>Pass</v>
      </c>
      <c r="K216" s="352" t="str">
        <f>'Credit risk (IRB)'!AH26</f>
        <v>Pass</v>
      </c>
      <c r="L216" s="352" t="str">
        <f>'Credit risk (IRB)'!AJ26</f>
        <v>Pass</v>
      </c>
      <c r="M216" s="352" t="str">
        <f>'Credit risk (IRB)'!AK26</f>
        <v>Pass</v>
      </c>
      <c r="N216" s="352" t="str">
        <f>'Credit risk (IRB)'!BM26</f>
        <v>Pass</v>
      </c>
      <c r="O216" s="352" t="str">
        <f>'Credit risk (IRB)'!BN26</f>
        <v>Pass</v>
      </c>
      <c r="P216" s="352" t="str">
        <f>'Credit risk (IRB)'!BO26</f>
        <v>Pass</v>
      </c>
      <c r="Q216" s="352" t="str">
        <f>'Credit risk (IRB)'!BP26</f>
        <v>Pass</v>
      </c>
      <c r="R216" s="352" t="str">
        <f>'Credit risk (IRB)'!BQ26</f>
        <v>Pass</v>
      </c>
      <c r="S216" s="352" t="str">
        <f>'Credit risk (IRB)'!BS26</f>
        <v>Pass</v>
      </c>
      <c r="T216" s="352" t="str">
        <f>'Credit risk (IRB)'!BT26</f>
        <v>Pass</v>
      </c>
      <c r="U216" s="352" t="str">
        <f>'Credit risk (IRB)'!BU26</f>
        <v>Pass</v>
      </c>
      <c r="V216" s="352" t="str">
        <f>'Credit risk (IRB)'!BW26</f>
        <v>Pass</v>
      </c>
      <c r="W216" s="352" t="str">
        <f>'Credit risk (IRB)'!CL26</f>
        <v>Pass</v>
      </c>
      <c r="X216" s="352" t="str">
        <f>'Credit risk (IRB)'!CO26</f>
        <v>Pass</v>
      </c>
      <c r="Y216" s="352" t="str">
        <f>'Credit risk (IRB)'!CP26</f>
        <v>Pass</v>
      </c>
      <c r="Z216" s="356" t="str">
        <f>'Credit risk (IRB)'!CQ26</f>
        <v>Pass</v>
      </c>
    </row>
    <row r="217" spans="2:41" ht="15" customHeight="1" x14ac:dyDescent="0.35">
      <c r="B217" s="288" t="s">
        <v>50</v>
      </c>
      <c r="C217" s="716" t="str">
        <f>'Credit risk (IRB)'!B29</f>
        <v>Check: row 28 ≤ row 27</v>
      </c>
      <c r="D217" s="359" t="str">
        <f>'Credit risk (IRB)'!Z29</f>
        <v>Pass</v>
      </c>
      <c r="E217" s="352" t="str">
        <f>'Credit risk (IRB)'!AA29</f>
        <v>Pass</v>
      </c>
      <c r="F217" s="352" t="str">
        <f>'Credit risk (IRB)'!AB29</f>
        <v>Pass</v>
      </c>
      <c r="G217" s="352" t="str">
        <f>'Credit risk (IRB)'!AC29</f>
        <v>Pass</v>
      </c>
      <c r="H217" s="352" t="str">
        <f>'Credit risk (IRB)'!AD29</f>
        <v>Pass</v>
      </c>
      <c r="I217" s="352" t="str">
        <f>'Credit risk (IRB)'!AF29</f>
        <v>Pass</v>
      </c>
      <c r="J217" s="352" t="str">
        <f>'Credit risk (IRB)'!AG29</f>
        <v>Pass</v>
      </c>
      <c r="K217" s="352" t="str">
        <f>'Credit risk (IRB)'!AH29</f>
        <v>Pass</v>
      </c>
      <c r="L217" s="352" t="str">
        <f>'Credit risk (IRB)'!AJ29</f>
        <v>Pass</v>
      </c>
      <c r="M217" s="352" t="str">
        <f>'Credit risk (IRB)'!AK29</f>
        <v>Pass</v>
      </c>
      <c r="N217" s="352" t="str">
        <f>'Credit risk (IRB)'!BM29</f>
        <v>Pass</v>
      </c>
      <c r="O217" s="352" t="str">
        <f>'Credit risk (IRB)'!BN29</f>
        <v>Pass</v>
      </c>
      <c r="P217" s="352" t="str">
        <f>'Credit risk (IRB)'!BO29</f>
        <v>Pass</v>
      </c>
      <c r="Q217" s="352" t="str">
        <f>'Credit risk (IRB)'!BP29</f>
        <v>Pass</v>
      </c>
      <c r="R217" s="352" t="str">
        <f>'Credit risk (IRB)'!BQ29</f>
        <v>Pass</v>
      </c>
      <c r="S217" s="352" t="str">
        <f>'Credit risk (IRB)'!BS29</f>
        <v>Pass</v>
      </c>
      <c r="T217" s="352" t="str">
        <f>'Credit risk (IRB)'!BT29</f>
        <v>Pass</v>
      </c>
      <c r="U217" s="352" t="str">
        <f>'Credit risk (IRB)'!BU29</f>
        <v>Pass</v>
      </c>
      <c r="V217" s="352" t="str">
        <f>'Credit risk (IRB)'!BW29</f>
        <v>Pass</v>
      </c>
      <c r="W217" s="352" t="str">
        <f>'Credit risk (IRB)'!CL29</f>
        <v>Pass</v>
      </c>
      <c r="X217" s="352" t="str">
        <f>'Credit risk (IRB)'!CO29</f>
        <v>Pass</v>
      </c>
      <c r="Y217" s="352" t="str">
        <f>'Credit risk (IRB)'!CP29</f>
        <v>Pass</v>
      </c>
      <c r="Z217" s="356" t="str">
        <f>'Credit risk (IRB)'!CQ29</f>
        <v>Pass</v>
      </c>
    </row>
    <row r="218" spans="2:41" ht="15" customHeight="1" x14ac:dyDescent="0.35">
      <c r="B218" s="288" t="s">
        <v>50</v>
      </c>
      <c r="C218" s="716" t="str">
        <f>'Credit risk (IRB)'!B32</f>
        <v>Check: row 31 ≤ row 30</v>
      </c>
      <c r="D218" s="359" t="str">
        <f>'Credit risk (IRB)'!Z32</f>
        <v>Pass</v>
      </c>
      <c r="E218" s="352" t="str">
        <f>'Credit risk (IRB)'!AA32</f>
        <v>Pass</v>
      </c>
      <c r="F218" s="352" t="str">
        <f>'Credit risk (IRB)'!AB32</f>
        <v>Pass</v>
      </c>
      <c r="G218" s="352" t="str">
        <f>'Credit risk (IRB)'!AC32</f>
        <v>Pass</v>
      </c>
      <c r="H218" s="352" t="str">
        <f>'Credit risk (IRB)'!AD32</f>
        <v>Pass</v>
      </c>
      <c r="I218" s="352" t="str">
        <f>'Credit risk (IRB)'!AF32</f>
        <v>Pass</v>
      </c>
      <c r="J218" s="352" t="str">
        <f>'Credit risk (IRB)'!AG32</f>
        <v>Pass</v>
      </c>
      <c r="K218" s="352" t="str">
        <f>'Credit risk (IRB)'!AH32</f>
        <v>Pass</v>
      </c>
      <c r="L218" s="352" t="str">
        <f>'Credit risk (IRB)'!AJ32</f>
        <v>Pass</v>
      </c>
      <c r="M218" s="352" t="str">
        <f>'Credit risk (IRB)'!AK32</f>
        <v>Pass</v>
      </c>
      <c r="N218" s="352" t="str">
        <f>'Credit risk (IRB)'!BM32</f>
        <v>Pass</v>
      </c>
      <c r="O218" s="352" t="str">
        <f>'Credit risk (IRB)'!BN32</f>
        <v>Pass</v>
      </c>
      <c r="P218" s="352" t="str">
        <f>'Credit risk (IRB)'!BO32</f>
        <v>Pass</v>
      </c>
      <c r="Q218" s="352" t="str">
        <f>'Credit risk (IRB)'!BP32</f>
        <v>Pass</v>
      </c>
      <c r="R218" s="352" t="str">
        <f>'Credit risk (IRB)'!BQ32</f>
        <v>Pass</v>
      </c>
      <c r="S218" s="352" t="str">
        <f>'Credit risk (IRB)'!BS32</f>
        <v>Pass</v>
      </c>
      <c r="T218" s="352" t="str">
        <f>'Credit risk (IRB)'!BT32</f>
        <v>Pass</v>
      </c>
      <c r="U218" s="352" t="str">
        <f>'Credit risk (IRB)'!BU32</f>
        <v>Pass</v>
      </c>
      <c r="V218" s="352" t="str">
        <f>'Credit risk (IRB)'!BW32</f>
        <v>Pass</v>
      </c>
      <c r="W218" s="352" t="str">
        <f>'Credit risk (IRB)'!CL32</f>
        <v>Pass</v>
      </c>
      <c r="X218" s="352" t="str">
        <f>'Credit risk (IRB)'!CO32</f>
        <v>Pass</v>
      </c>
      <c r="Y218" s="352" t="str">
        <f>'Credit risk (IRB)'!CP32</f>
        <v>Pass</v>
      </c>
      <c r="Z218" s="356" t="str">
        <f>'Credit risk (IRB)'!CQ32</f>
        <v>Pass</v>
      </c>
    </row>
    <row r="219" spans="2:41" ht="15" customHeight="1" x14ac:dyDescent="0.35">
      <c r="B219" s="174" t="s">
        <v>50</v>
      </c>
      <c r="C219" s="532" t="str">
        <f>'Credit risk (IRB)'!B35</f>
        <v>Check: row 34 ≤ row 33</v>
      </c>
      <c r="D219" s="360" t="str">
        <f>'Credit risk (IRB)'!Z35</f>
        <v>Pass</v>
      </c>
      <c r="E219" s="354" t="str">
        <f>'Credit risk (IRB)'!AA35</f>
        <v>Pass</v>
      </c>
      <c r="F219" s="354" t="str">
        <f>'Credit risk (IRB)'!AB35</f>
        <v>Pass</v>
      </c>
      <c r="G219" s="354" t="str">
        <f>'Credit risk (IRB)'!AC35</f>
        <v>Pass</v>
      </c>
      <c r="H219" s="354" t="str">
        <f>'Credit risk (IRB)'!AD35</f>
        <v>Pass</v>
      </c>
      <c r="I219" s="354" t="str">
        <f>'Credit risk (IRB)'!AF35</f>
        <v>Pass</v>
      </c>
      <c r="J219" s="354" t="str">
        <f>'Credit risk (IRB)'!AG35</f>
        <v>Pass</v>
      </c>
      <c r="K219" s="354" t="str">
        <f>'Credit risk (IRB)'!AH35</f>
        <v>Pass</v>
      </c>
      <c r="L219" s="354" t="str">
        <f>'Credit risk (IRB)'!AJ35</f>
        <v>Pass</v>
      </c>
      <c r="M219" s="354" t="str">
        <f>'Credit risk (IRB)'!AK35</f>
        <v>Pass</v>
      </c>
      <c r="N219" s="354" t="str">
        <f>'Credit risk (IRB)'!BM35</f>
        <v>Pass</v>
      </c>
      <c r="O219" s="354" t="str">
        <f>'Credit risk (IRB)'!BN35</f>
        <v>Pass</v>
      </c>
      <c r="P219" s="354" t="str">
        <f>'Credit risk (IRB)'!BO35</f>
        <v>Pass</v>
      </c>
      <c r="Q219" s="354" t="str">
        <f>'Credit risk (IRB)'!BP35</f>
        <v>Pass</v>
      </c>
      <c r="R219" s="354" t="str">
        <f>'Credit risk (IRB)'!BQ35</f>
        <v>Pass</v>
      </c>
      <c r="S219" s="354" t="str">
        <f>'Credit risk (IRB)'!BS35</f>
        <v>Pass</v>
      </c>
      <c r="T219" s="354" t="str">
        <f>'Credit risk (IRB)'!BT35</f>
        <v>Pass</v>
      </c>
      <c r="U219" s="354" t="str">
        <f>'Credit risk (IRB)'!BU35</f>
        <v>Pass</v>
      </c>
      <c r="V219" s="354" t="str">
        <f>'Credit risk (IRB)'!BW35</f>
        <v>Pass</v>
      </c>
      <c r="W219" s="354" t="str">
        <f>'Credit risk (IRB)'!CL35</f>
        <v>Pass</v>
      </c>
      <c r="X219" s="354" t="str">
        <f>'Credit risk (IRB)'!CO35</f>
        <v>Pass</v>
      </c>
      <c r="Y219" s="354" t="str">
        <f>'Credit risk (IRB)'!CP35</f>
        <v>Pass</v>
      </c>
      <c r="Z219" s="353" t="str">
        <f>'Credit risk (IRB)'!CQ35</f>
        <v>Pass</v>
      </c>
    </row>
    <row r="220" spans="2:41" ht="15" customHeight="1" x14ac:dyDescent="0.35">
      <c r="L220" s="275"/>
    </row>
    <row r="221" spans="2:41" ht="15" customHeight="1" x14ac:dyDescent="0.35">
      <c r="B221" s="526" t="s">
        <v>40</v>
      </c>
      <c r="C221" s="931" t="s">
        <v>41</v>
      </c>
      <c r="D221" s="760" t="str">
        <f>CONCATENATE("Col ", LEFT(ADDRESS(ROW('Credit risk (IRB)'!N24),COLUMN('Credit risk (IRB)'!N24),4), 1))</f>
        <v>Col N</v>
      </c>
      <c r="E221" s="760" t="str">
        <f>CONCATENATE("Col ", LEFT(ADDRESS(ROW('Credit risk (IRB)'!O24),COLUMN('Credit risk (IRB)'!O24),4), 1))</f>
        <v>Col O</v>
      </c>
      <c r="F221" s="760" t="str">
        <f>CONCATENATE("Col ", LEFT(ADDRESS(ROW('Credit risk (IRB)'!P24),COLUMN('Credit risk (IRB)'!P24),4), 1))</f>
        <v>Col P</v>
      </c>
      <c r="G221" s="760" t="str">
        <f>CONCATENATE("Col ", LEFT(ADDRESS(ROW('Credit risk (IRB)'!Q24),COLUMN('Credit risk (IRB)'!Q24),4), 1))</f>
        <v>Col Q</v>
      </c>
      <c r="H221" s="760" t="str">
        <f>CONCATENATE("Col ", LEFT(ADDRESS(ROW('Credit risk (IRB)'!R24),COLUMN('Credit risk (IRB)'!R24),4), 1))</f>
        <v>Col R</v>
      </c>
      <c r="I221" s="760" t="str">
        <f>CONCATENATE("Col ", LEFT(ADDRESS(ROW('Credit risk (IRB)'!T24),COLUMN('Credit risk (IRB)'!T24),4), 1))</f>
        <v>Col T</v>
      </c>
      <c r="J221" s="760" t="str">
        <f>CONCATENATE("Col ", LEFT(ADDRESS(ROW('Credit risk (IRB)'!U24),COLUMN('Credit risk (IRB)'!U24),4), 1))</f>
        <v>Col U</v>
      </c>
      <c r="K221" s="760" t="str">
        <f>CONCATENATE("Col ", LEFT(ADDRESS(ROW('Credit risk (IRB)'!V24),COLUMN('Credit risk (IRB)'!V24),4), 1))</f>
        <v>Col V</v>
      </c>
      <c r="L221" s="760" t="str">
        <f>CONCATENATE("Col ", LEFT(ADDRESS(ROW('Credit risk (IRB)'!X24),COLUMN('Credit risk (IRB)'!X24),4), 1))</f>
        <v>Col X</v>
      </c>
      <c r="M221" s="760" t="str">
        <f>CONCATENATE("Col ", LEFT(ADDRESS(ROW('Credit risk (IRB)'!Y24),COLUMN('Credit risk (IRB)'!Y24),4), 1))</f>
        <v>Col Y</v>
      </c>
      <c r="N221" s="760" t="str">
        <f>CONCATENATE("Col ", LEFT(ADDRESS(ROW('Credit risk (IRB)'!AL24),COLUMN('Credit risk (IRB)'!AL24),4), 2))</f>
        <v>Col AL</v>
      </c>
      <c r="O221" s="760" t="str">
        <f>CONCATENATE("Col ", LEFT(ADDRESS(ROW('Credit risk (IRB)'!AM24),COLUMN('Credit risk (IRB)'!AM24),4), 2))</f>
        <v>Col AM</v>
      </c>
      <c r="P221" s="760" t="str">
        <f>CONCATENATE("Col ", LEFT(ADDRESS(ROW('Credit risk (IRB)'!AN24),COLUMN('Credit risk (IRB)'!AN24),4), 2))</f>
        <v>Col AN</v>
      </c>
      <c r="Q221" s="760" t="str">
        <f>CONCATENATE("Col ", LEFT(ADDRESS(ROW('Credit risk (IRB)'!AO24),COLUMN('Credit risk (IRB)'!AO24),4), 2))</f>
        <v>Col AO</v>
      </c>
      <c r="R221" s="760" t="str">
        <f>CONCATENATE("Col ", LEFT(ADDRESS(ROW('Credit risk (IRB)'!BA24),COLUMN('Credit risk (IRB)'!BA24),4), 2))</f>
        <v>Col BA</v>
      </c>
      <c r="S221" s="760" t="str">
        <f>CONCATENATE("Col ", LEFT(ADDRESS(ROW('Credit risk (IRB)'!BB24),COLUMN('Credit risk (IRB)'!BB24),4), 2))</f>
        <v>Col BB</v>
      </c>
      <c r="T221" s="760" t="str">
        <f>CONCATENATE("Col ", LEFT(ADDRESS(ROW('Credit risk (IRB)'!BC24),COLUMN('Credit risk (IRB)'!BC24),4), 2))</f>
        <v>Col BC</v>
      </c>
      <c r="U221" s="760" t="str">
        <f>CONCATENATE("Col ", LEFT(ADDRESS(ROW('Credit risk (IRB)'!BD24),COLUMN('Credit risk (IRB)'!BD24),4), 2))</f>
        <v>Col BD</v>
      </c>
      <c r="V221" s="760" t="str">
        <f>CONCATENATE("Col ", LEFT(ADDRESS(ROW('Credit risk (IRB)'!BE24),COLUMN('Credit risk (IRB)'!BE24),4), 2))</f>
        <v>Col BE</v>
      </c>
      <c r="W221" s="760" t="str">
        <f>CONCATENATE("Col ", LEFT(ADDRESS(ROW('Credit risk (IRB)'!BG24),COLUMN('Credit risk (IRB)'!BG24),4), 2))</f>
        <v>Col BG</v>
      </c>
      <c r="X221" s="760" t="str">
        <f>CONCATENATE("Col ", LEFT(ADDRESS(ROW('Credit risk (IRB)'!BH24),COLUMN('Credit risk (IRB)'!BH24),4), 2))</f>
        <v>Col BH</v>
      </c>
      <c r="Y221" s="760" t="str">
        <f>CONCATENATE("Col ", LEFT(ADDRESS(ROW('Credit risk (IRB)'!BI24),COLUMN('Credit risk (IRB)'!BI24),4), 2))</f>
        <v>Col BI</v>
      </c>
      <c r="Z221" s="760" t="str">
        <f>CONCATENATE("Col ", LEFT(ADDRESS(ROW('Credit risk (IRB)'!BK24),COLUMN('Credit risk (IRB)'!BK24),4), 2))</f>
        <v>Col BK</v>
      </c>
      <c r="AA221" s="760" t="str">
        <f>CONCATENATE("Col ", LEFT(ADDRESS(ROW('Credit risk (IRB)'!BL24),COLUMN('Credit risk (IRB)'!BL24),4), 2))</f>
        <v>Col BL</v>
      </c>
      <c r="AB221" s="760" t="str">
        <f>CONCATENATE("Col ", LEFT(ADDRESS(ROW('Credit risk (IRB)'!BM24),COLUMN('Credit risk (IRB)'!BM24),4), 2))</f>
        <v>Col BM</v>
      </c>
      <c r="AC221" s="760" t="str">
        <f>CONCATENATE("Col ", LEFT(ADDRESS(ROW('Credit risk (IRB)'!BN24),COLUMN('Credit risk (IRB)'!BN24),4), 2))</f>
        <v>Col BN</v>
      </c>
      <c r="AD221" s="760" t="str">
        <f>CONCATENATE("Col ", LEFT(ADDRESS(ROW('Credit risk (IRB)'!BO24),COLUMN('Credit risk (IRB)'!BO24),4), 2))</f>
        <v>Col BO</v>
      </c>
      <c r="AE221" s="760" t="str">
        <f>CONCATENATE("Col ", LEFT(ADDRESS(ROW('Credit risk (IRB)'!BP24),COLUMN('Credit risk (IRB)'!BP24),4), 2))</f>
        <v>Col BP</v>
      </c>
      <c r="AF221" s="760" t="str">
        <f>CONCATENATE("Col ", LEFT(ADDRESS(ROW('Credit risk (IRB)'!BQ24),COLUMN('Credit risk (IRB)'!BQ24),4), 2))</f>
        <v>Col BQ</v>
      </c>
      <c r="AG221" s="760" t="str">
        <f>CONCATENATE("Col ", LEFT(ADDRESS(ROW('Credit risk (IRB)'!BS24),COLUMN('Credit risk (IRB)'!BS24),4), 2))</f>
        <v>Col BS</v>
      </c>
      <c r="AH221" s="760" t="str">
        <f>CONCATENATE("Col ", LEFT(ADDRESS(ROW('Credit risk (IRB)'!BT24),COLUMN('Credit risk (IRB)'!BT24),4), 2))</f>
        <v>Col BT</v>
      </c>
      <c r="AI221" s="760" t="str">
        <f>CONCATENATE("Col ", LEFT(ADDRESS(ROW('Credit risk (IRB)'!BU24),COLUMN('Credit risk (IRB)'!BU24),4), 2))</f>
        <v>Col BU</v>
      </c>
      <c r="AJ221" s="760" t="str">
        <f>CONCATENATE("Col ", LEFT(ADDRESS(ROW('Credit risk (IRB)'!BW24),COLUMN('Credit risk (IRB)'!BW24),4), 2))</f>
        <v>Col BW</v>
      </c>
      <c r="AK221" s="760" t="str">
        <f>CONCATENATE("Col ", LEFT(ADDRESS(ROW('Credit risk (IRB)'!BX24),COLUMN('Credit risk (IRB)'!BX24),4), 2))</f>
        <v>Col BX</v>
      </c>
      <c r="AL221" s="760" t="str">
        <f>CONCATENATE("Col ", LEFT(ADDRESS(ROW('Credit risk (IRB)'!CL24),COLUMN('Credit risk (IRB)'!CL24),4), 2))</f>
        <v>Col CL</v>
      </c>
      <c r="AM221" s="760" t="str">
        <f>CONCATENATE("Col ", LEFT(ADDRESS(ROW('Credit risk (IRB)'!CO24),COLUMN('Credit risk (IRB)'!CO24),4), 2))</f>
        <v>Col CO</v>
      </c>
      <c r="AN221" s="760" t="str">
        <f>CONCATENATE("Col ", LEFT(ADDRESS(ROW('Credit risk (IRB)'!CP24),COLUMN('Credit risk (IRB)'!CP24),4), 2))</f>
        <v>Col CP</v>
      </c>
      <c r="AO221" s="1309" t="str">
        <f>CONCATENATE("Col ", LEFT(ADDRESS(ROW('Credit risk (IRB)'!CQ24),COLUMN('Credit risk (IRB)'!CQ24),4), 2))</f>
        <v>Col CQ</v>
      </c>
    </row>
    <row r="222" spans="2:41" ht="15" customHeight="1" x14ac:dyDescent="0.35">
      <c r="B222" s="523" t="s">
        <v>50</v>
      </c>
      <c r="C222" s="755" t="str">
        <f>'Credit risk (IRB)'!B47</f>
        <v>Check: row 46 ≤ row 45</v>
      </c>
      <c r="D222" s="489" t="str">
        <f>'Credit risk (IRB)'!N47</f>
        <v>Pass</v>
      </c>
      <c r="E222" s="489" t="str">
        <f>'Credit risk (IRB)'!O47</f>
        <v>Pass</v>
      </c>
      <c r="F222" s="489" t="str">
        <f>'Credit risk (IRB)'!P47</f>
        <v>Pass</v>
      </c>
      <c r="G222" s="489" t="str">
        <f>'Credit risk (IRB)'!Q47</f>
        <v/>
      </c>
      <c r="H222" s="489" t="str">
        <f>'Credit risk (IRB)'!R47</f>
        <v>Pass</v>
      </c>
      <c r="I222" s="489" t="str">
        <f>'Credit risk (IRB)'!T47</f>
        <v>Pass</v>
      </c>
      <c r="J222" s="489" t="str">
        <f>'Credit risk (IRB)'!U47</f>
        <v>Pass</v>
      </c>
      <c r="K222" s="489" t="str">
        <f>'Credit risk (IRB)'!V47</f>
        <v>Pass</v>
      </c>
      <c r="L222" s="489" t="str">
        <f>'Credit risk (IRB)'!X47</f>
        <v>Pass</v>
      </c>
      <c r="M222" s="489" t="str">
        <f>'Credit risk (IRB)'!Y47</f>
        <v>Pass</v>
      </c>
      <c r="N222" s="489" t="str">
        <f>'Credit risk (IRB)'!AL47</f>
        <v>Pass</v>
      </c>
      <c r="O222" s="489" t="str">
        <f>'Credit risk (IRB)'!AM47</f>
        <v>Pass</v>
      </c>
      <c r="P222" s="489" t="str">
        <f>'Credit risk (IRB)'!AN47</f>
        <v>Pass</v>
      </c>
      <c r="Q222" s="489" t="str">
        <f>'Credit risk (IRB)'!AO47</f>
        <v>Pass</v>
      </c>
      <c r="R222" s="489" t="str">
        <f>'Credit risk (IRB)'!BA47</f>
        <v>Pass</v>
      </c>
      <c r="S222" s="489" t="str">
        <f>'Credit risk (IRB)'!BB47</f>
        <v>Pass</v>
      </c>
      <c r="T222" s="489" t="str">
        <f>'Credit risk (IRB)'!BC47</f>
        <v>Pass</v>
      </c>
      <c r="U222" s="489" t="str">
        <f>'Credit risk (IRB)'!BD47</f>
        <v>Pass</v>
      </c>
      <c r="V222" s="489" t="str">
        <f>'Credit risk (IRB)'!BE47</f>
        <v>Pass</v>
      </c>
      <c r="W222" s="489" t="str">
        <f>'Credit risk (IRB)'!BG47</f>
        <v>Pass</v>
      </c>
      <c r="X222" s="489" t="str">
        <f>'Credit risk (IRB)'!BH47</f>
        <v>Pass</v>
      </c>
      <c r="Y222" s="489" t="str">
        <f>'Credit risk (IRB)'!BI47</f>
        <v>Pass</v>
      </c>
      <c r="Z222" s="489" t="str">
        <f>'Credit risk (IRB)'!BK47</f>
        <v>Pass</v>
      </c>
      <c r="AA222" s="489" t="str">
        <f>'Credit risk (IRB)'!BL47</f>
        <v>Pass</v>
      </c>
      <c r="AB222" s="489" t="str">
        <f>'Credit risk (IRB)'!BM47</f>
        <v>Pass</v>
      </c>
      <c r="AC222" s="489" t="str">
        <f>'Credit risk (IRB)'!BN47</f>
        <v>Pass</v>
      </c>
      <c r="AD222" s="489" t="str">
        <f>'Credit risk (IRB)'!BO47</f>
        <v>Pass</v>
      </c>
      <c r="AE222" s="489" t="str">
        <f>'Credit risk (IRB)'!BP47</f>
        <v>Pass</v>
      </c>
      <c r="AF222" s="489" t="str">
        <f>'Credit risk (IRB)'!BQ47</f>
        <v>Pass</v>
      </c>
      <c r="AG222" s="489" t="str">
        <f>'Credit risk (IRB)'!BS47</f>
        <v>Pass</v>
      </c>
      <c r="AH222" s="489" t="str">
        <f>'Credit risk (IRB)'!BT47</f>
        <v>Pass</v>
      </c>
      <c r="AI222" s="489" t="str">
        <f>'Credit risk (IRB)'!BU47</f>
        <v>Pass</v>
      </c>
      <c r="AJ222" s="489" t="str">
        <f>'Credit risk (IRB)'!BW47</f>
        <v>Pass</v>
      </c>
      <c r="AK222" s="489" t="str">
        <f>'Credit risk (IRB)'!BX47</f>
        <v>Pass</v>
      </c>
      <c r="AL222" s="489" t="str">
        <f>'Credit risk (IRB)'!CL47</f>
        <v>Pass</v>
      </c>
      <c r="AM222" s="489" t="str">
        <f>'Credit risk (IRB)'!CO47</f>
        <v>Pass</v>
      </c>
      <c r="AN222" s="489" t="str">
        <f>'Credit risk (IRB)'!CP47</f>
        <v>Pass</v>
      </c>
      <c r="AO222" s="525" t="str">
        <f>'Credit risk (IRB)'!CQ47</f>
        <v>Pass</v>
      </c>
    </row>
    <row r="223" spans="2:41" ht="15" customHeight="1" x14ac:dyDescent="0.35">
      <c r="B223" s="115" t="s">
        <v>50</v>
      </c>
      <c r="C223" s="1552" t="str">
        <f>'Credit risk (IRB)'!B50</f>
        <v>Check: row 49 ≤ row 48</v>
      </c>
      <c r="D223" s="352" t="str">
        <f>'Credit risk (IRB)'!N50</f>
        <v>Pass</v>
      </c>
      <c r="E223" s="352" t="str">
        <f>'Credit risk (IRB)'!O50</f>
        <v>Pass</v>
      </c>
      <c r="F223" s="352" t="str">
        <f>'Credit risk (IRB)'!P50</f>
        <v>Pass</v>
      </c>
      <c r="G223" s="352" t="str">
        <f>'Credit risk (IRB)'!Q50</f>
        <v/>
      </c>
      <c r="H223" s="352" t="str">
        <f>'Credit risk (IRB)'!R50</f>
        <v>Pass</v>
      </c>
      <c r="I223" s="352" t="str">
        <f>'Credit risk (IRB)'!T50</f>
        <v>Pass</v>
      </c>
      <c r="J223" s="352" t="str">
        <f>'Credit risk (IRB)'!U50</f>
        <v>Pass</v>
      </c>
      <c r="K223" s="352" t="str">
        <f>'Credit risk (IRB)'!V50</f>
        <v>Pass</v>
      </c>
      <c r="L223" s="352" t="str">
        <f>'Credit risk (IRB)'!X50</f>
        <v>Pass</v>
      </c>
      <c r="M223" s="352" t="str">
        <f>'Credit risk (IRB)'!Y50</f>
        <v>Pass</v>
      </c>
      <c r="N223" s="352" t="str">
        <f>'Credit risk (IRB)'!AL50</f>
        <v>Pass</v>
      </c>
      <c r="O223" s="352" t="str">
        <f>'Credit risk (IRB)'!AM50</f>
        <v>Pass</v>
      </c>
      <c r="P223" s="352" t="str">
        <f>'Credit risk (IRB)'!AN50</f>
        <v>Pass</v>
      </c>
      <c r="Q223" s="352" t="str">
        <f>'Credit risk (IRB)'!AO50</f>
        <v>Pass</v>
      </c>
      <c r="R223" s="352" t="str">
        <f>'Credit risk (IRB)'!BA50</f>
        <v>Pass</v>
      </c>
      <c r="S223" s="352" t="str">
        <f>'Credit risk (IRB)'!BB50</f>
        <v>Pass</v>
      </c>
      <c r="T223" s="352" t="str">
        <f>'Credit risk (IRB)'!BC50</f>
        <v>Pass</v>
      </c>
      <c r="U223" s="352" t="str">
        <f>'Credit risk (IRB)'!BD50</f>
        <v>Pass</v>
      </c>
      <c r="V223" s="352" t="str">
        <f>'Credit risk (IRB)'!BE50</f>
        <v>Pass</v>
      </c>
      <c r="W223" s="352" t="str">
        <f>'Credit risk (IRB)'!BG50</f>
        <v>Pass</v>
      </c>
      <c r="X223" s="352" t="str">
        <f>'Credit risk (IRB)'!BH50</f>
        <v>Pass</v>
      </c>
      <c r="Y223" s="352" t="str">
        <f>'Credit risk (IRB)'!BI50</f>
        <v>Pass</v>
      </c>
      <c r="Z223" s="352" t="str">
        <f>'Credit risk (IRB)'!BK50</f>
        <v>Pass</v>
      </c>
      <c r="AA223" s="352" t="str">
        <f>'Credit risk (IRB)'!BL50</f>
        <v>Pass</v>
      </c>
      <c r="AB223" s="352" t="str">
        <f>'Credit risk (IRB)'!BM50</f>
        <v>Pass</v>
      </c>
      <c r="AC223" s="352" t="str">
        <f>'Credit risk (IRB)'!BN50</f>
        <v>Pass</v>
      </c>
      <c r="AD223" s="352" t="str">
        <f>'Credit risk (IRB)'!BO50</f>
        <v>Pass</v>
      </c>
      <c r="AE223" s="352" t="str">
        <f>'Credit risk (IRB)'!BP50</f>
        <v>Pass</v>
      </c>
      <c r="AF223" s="352" t="str">
        <f>'Credit risk (IRB)'!BQ50</f>
        <v>Pass</v>
      </c>
      <c r="AG223" s="352" t="str">
        <f>'Credit risk (IRB)'!BS50</f>
        <v>Pass</v>
      </c>
      <c r="AH223" s="352" t="str">
        <f>'Credit risk (IRB)'!BT50</f>
        <v>Pass</v>
      </c>
      <c r="AI223" s="352" t="str">
        <f>'Credit risk (IRB)'!BU50</f>
        <v>Pass</v>
      </c>
      <c r="AJ223" s="352" t="str">
        <f>'Credit risk (IRB)'!BW50</f>
        <v>Pass</v>
      </c>
      <c r="AK223" s="352" t="str">
        <f>'Credit risk (IRB)'!BX50</f>
        <v>Pass</v>
      </c>
      <c r="AL223" s="352" t="str">
        <f>'Credit risk (IRB)'!CL50</f>
        <v>Pass</v>
      </c>
      <c r="AM223" s="352" t="str">
        <f>'Credit risk (IRB)'!CO50</f>
        <v>Pass</v>
      </c>
      <c r="AN223" s="352" t="str">
        <f>'Credit risk (IRB)'!CP50</f>
        <v>Pass</v>
      </c>
      <c r="AO223" s="356" t="str">
        <f>'Credit risk (IRB)'!CQ50</f>
        <v>Pass</v>
      </c>
    </row>
    <row r="224" spans="2:41" ht="15" customHeight="1" x14ac:dyDescent="0.35">
      <c r="B224" s="174" t="s">
        <v>50</v>
      </c>
      <c r="C224" s="756" t="str">
        <f>'Credit risk (IRB)'!B67</f>
        <v>Check: DefCap provisioning data versus row 65</v>
      </c>
      <c r="D224" s="234"/>
      <c r="E224" s="234"/>
      <c r="F224" s="234"/>
      <c r="G224" s="234"/>
      <c r="H224" s="234"/>
      <c r="I224" s="234"/>
      <c r="J224" s="234"/>
      <c r="K224" s="234"/>
      <c r="L224" s="234"/>
      <c r="M224" s="234"/>
      <c r="N224" s="354" t="str">
        <f>'Credit risk (IRB)'!AL67</f>
        <v>Pass</v>
      </c>
      <c r="O224" s="234"/>
      <c r="P224" s="234"/>
      <c r="Q224" s="234"/>
      <c r="R224" s="234"/>
      <c r="S224" s="234"/>
      <c r="T224" s="234"/>
      <c r="U224" s="234"/>
      <c r="V224" s="234"/>
      <c r="W224" s="234"/>
      <c r="X224" s="234"/>
      <c r="Y224" s="234"/>
      <c r="Z224" s="234"/>
      <c r="AA224" s="234"/>
      <c r="AB224" s="234"/>
      <c r="AC224" s="234"/>
      <c r="AD224" s="234"/>
      <c r="AE224" s="234"/>
      <c r="AF224" s="234"/>
      <c r="AG224" s="234"/>
      <c r="AH224" s="234"/>
      <c r="AI224" s="234"/>
      <c r="AJ224" s="234"/>
      <c r="AK224" s="234"/>
      <c r="AL224" s="234"/>
      <c r="AM224" s="234"/>
      <c r="AN224" s="234"/>
      <c r="AO224" s="235"/>
    </row>
    <row r="225" spans="1:22" ht="15" customHeight="1" x14ac:dyDescent="0.35">
      <c r="L225" s="275"/>
    </row>
    <row r="226" spans="1:22" ht="15" customHeight="1" x14ac:dyDescent="0.35">
      <c r="B226" s="526" t="s">
        <v>40</v>
      </c>
      <c r="C226" s="931" t="s">
        <v>41</v>
      </c>
      <c r="D226" s="760" t="str">
        <f>CONCATENATE("Col ", LEFT(ADDRESS(ROW('Credit risk (IRB)'!C70),COLUMN('Credit risk (IRB)'!C70),4), 1))</f>
        <v>Col C</v>
      </c>
      <c r="E226" s="770" t="str">
        <f>CONCATENATE("Col ", LEFT(ADDRESS(ROW('Credit risk (IRB)'!D70),COLUMN('Credit risk (IRB)'!D70),4), 1))</f>
        <v>Col D</v>
      </c>
      <c r="F226" s="770" t="str">
        <f>CONCATENATE("Col ", LEFT(ADDRESS(ROW('Credit risk (IRB)'!E70),COLUMN('Credit risk (IRB)'!E70),4), 1))</f>
        <v>Col E</v>
      </c>
      <c r="G226" s="770" t="str">
        <f>CONCATENATE("Col ", LEFT(ADDRESS(ROW('Credit risk (IRB)'!F70),COLUMN('Credit risk (IRB)'!F70),4), 1))</f>
        <v>Col F</v>
      </c>
      <c r="H226" s="770" t="str">
        <f>CONCATENATE("Col ", LEFT(ADDRESS(ROW('Credit risk (IRB)'!G70),COLUMN('Credit risk (IRB)'!G70),4), 1))</f>
        <v>Col G</v>
      </c>
      <c r="I226" s="770" t="str">
        <f>CONCATENATE("Col ", LEFT(ADDRESS(ROW('Credit risk (IRB)'!H70),COLUMN('Credit risk (IRB)'!H70),4), 1))</f>
        <v>Col H</v>
      </c>
      <c r="J226" s="770" t="str">
        <f>CONCATENATE("Col ", LEFT(ADDRESS(ROW('Credit risk (IRB)'!I70),COLUMN('Credit risk (IRB)'!I70),4), 1))</f>
        <v>Col I</v>
      </c>
      <c r="K226" s="765" t="str">
        <f>CONCATENATE("Col ", LEFT(ADDRESS(ROW('Credit risk (IRB)'!J70),COLUMN('Credit risk (IRB)'!J70),4), 1))</f>
        <v>Col J</v>
      </c>
      <c r="L226" s="765" t="str">
        <f>CONCATENATE("Col ", LEFT(ADDRESS(ROW('Credit risk (IRB)'!K70),COLUMN('Credit risk (IRB)'!K70),4), 1))</f>
        <v>Col K</v>
      </c>
    </row>
    <row r="227" spans="1:22" ht="15" customHeight="1" x14ac:dyDescent="0.35">
      <c r="B227" s="523" t="s">
        <v>50</v>
      </c>
      <c r="C227" s="509" t="str">
        <f>'Credit risk (IRB)'!B64</f>
        <v>Check: row 63 ≤ row 62</v>
      </c>
      <c r="D227" s="488" t="str">
        <f>'Credit risk (IRB)'!C64</f>
        <v>Pass</v>
      </c>
      <c r="E227" s="489" t="str">
        <f>'Credit risk (IRB)'!D64</f>
        <v>Pass</v>
      </c>
      <c r="F227" s="489" t="str">
        <f>'Credit risk (IRB)'!E64</f>
        <v>Pass</v>
      </c>
      <c r="G227" s="489" t="str">
        <f>'Credit risk (IRB)'!F64</f>
        <v/>
      </c>
      <c r="H227" s="489" t="str">
        <f>'Credit risk (IRB)'!G64</f>
        <v>Pass</v>
      </c>
      <c r="I227" s="527"/>
      <c r="J227" s="489" t="str">
        <f>'Credit risk (IRB)'!I64</f>
        <v>Pass</v>
      </c>
      <c r="K227" s="489" t="str">
        <f>'Credit risk (IRB)'!J64</f>
        <v>Pass</v>
      </c>
      <c r="L227" s="525" t="str">
        <f>'Credit risk (IRB)'!K64</f>
        <v>Pass</v>
      </c>
    </row>
    <row r="228" spans="1:22" ht="15" customHeight="1" x14ac:dyDescent="0.35">
      <c r="B228" s="174" t="s">
        <v>42</v>
      </c>
      <c r="C228" s="529" t="str">
        <f>'Credit risk (IRB)'!B80</f>
        <v>Check: row 77 = row 51</v>
      </c>
      <c r="D228" s="360" t="str">
        <f>'Credit risk (IRB)'!C80</f>
        <v>Pass</v>
      </c>
      <c r="E228" s="354" t="str">
        <f>'Credit risk (IRB)'!D80</f>
        <v>Pass</v>
      </c>
      <c r="F228" s="234"/>
      <c r="G228" s="354" t="str">
        <f>'Credit risk (IRB)'!F80</f>
        <v/>
      </c>
      <c r="H228" s="354" t="str">
        <f>'Credit risk (IRB)'!G80</f>
        <v>Pass</v>
      </c>
      <c r="I228" s="354" t="str">
        <f>'Credit risk (IRB)'!H80</f>
        <v>Pass</v>
      </c>
      <c r="J228" s="354" t="str">
        <f>'Credit risk (IRB)'!I80</f>
        <v>Pass</v>
      </c>
      <c r="K228" s="353" t="str">
        <f>'Credit risk (IRB)'!J80</f>
        <v>Pass</v>
      </c>
      <c r="L228" s="234"/>
    </row>
    <row r="229" spans="1:22" ht="45" customHeight="1" x14ac:dyDescent="0.35">
      <c r="A229" s="264" t="s">
        <v>64</v>
      </c>
    </row>
    <row r="230" spans="1:22" ht="15" customHeight="1" x14ac:dyDescent="0.35">
      <c r="B230" s="526" t="s">
        <v>40</v>
      </c>
      <c r="C230" s="931" t="s">
        <v>41</v>
      </c>
      <c r="D230" s="752"/>
      <c r="E230" s="752"/>
      <c r="F230" s="760" t="str">
        <f>CONCATENATE("Col ", LEFT(ADDRESS(ROW(Securitisation!C1),COLUMN(Securitisation!C1),4), 1))</f>
        <v>Col C</v>
      </c>
      <c r="G230" s="760" t="str">
        <f>CONCATENATE("Col ", LEFT(ADDRESS(ROW(Securitisation!D1),COLUMN(Securitisation!D1),4), 1))</f>
        <v>Col D</v>
      </c>
      <c r="H230" s="760" t="str">
        <f>CONCATENATE("Col ", LEFT(ADDRESS(ROW(Securitisation!E1),COLUMN(Securitisation!E1),4), 1))</f>
        <v>Col E</v>
      </c>
      <c r="I230" s="760" t="str">
        <f>CONCATENATE("Col ", LEFT(ADDRESS(ROW(Securitisation!F1),COLUMN(Securitisation!F1),4), 1))</f>
        <v>Col F</v>
      </c>
      <c r="J230" s="760" t="str">
        <f>CONCATENATE("Col ", LEFT(ADDRESS(ROW(Securitisation!G1),COLUMN(Securitisation!G1),4), 1))</f>
        <v>Col G</v>
      </c>
      <c r="K230" s="760" t="str">
        <f>CONCATENATE("Col ", LEFT(ADDRESS(ROW(Securitisation!H1),COLUMN(Securitisation!H1),4), 1))</f>
        <v>Col H</v>
      </c>
      <c r="L230" s="760" t="str">
        <f>CONCATENATE("Col ", LEFT(ADDRESS(ROW(Securitisation!I1),COLUMN(Securitisation!I1),4), 1))</f>
        <v>Col I</v>
      </c>
      <c r="M230" s="760" t="str">
        <f>CONCATENATE("Col ", LEFT(ADDRESS(ROW(Securitisation!J1),COLUMN(Securitisation!J1),4), 1))</f>
        <v>Col J</v>
      </c>
      <c r="N230" s="760" t="str">
        <f>CONCATENATE("Col ", LEFT(ADDRESS(ROW(Securitisation!K1),COLUMN(Securitisation!K1),4), 1))</f>
        <v>Col K</v>
      </c>
      <c r="O230" s="760" t="str">
        <f>CONCATENATE("Col ", LEFT(ADDRESS(ROW(Securitisation!L1),COLUMN(Securitisation!L1),4), 1))</f>
        <v>Col L</v>
      </c>
      <c r="P230" s="770" t="str">
        <f>CONCATENATE("Col ", LEFT(ADDRESS(ROW(Securitisation!M1),COLUMN(Securitisation!M1),4), 1))</f>
        <v>Col M</v>
      </c>
      <c r="Q230" s="770" t="str">
        <f>CONCATENATE("Col ", LEFT(ADDRESS(ROW(Securitisation!N1),COLUMN(Securitisation!N1),4), 1))</f>
        <v>Col N</v>
      </c>
      <c r="R230" s="770" t="str">
        <f>CONCATENATE("Col ", LEFT(ADDRESS(ROW(Securitisation!O1),COLUMN(Securitisation!O1),4), 1))</f>
        <v>Col O</v>
      </c>
      <c r="S230" s="770" t="str">
        <f>CONCATENATE("Col ", LEFT(ADDRESS(ROW(Securitisation!P1),COLUMN(Securitisation!P1),4), 1))</f>
        <v>Col P</v>
      </c>
      <c r="T230" s="765" t="str">
        <f>CONCATENATE("Col ", LEFT(ADDRESS(ROW(Securitisation!Q1),COLUMN(Securitisation!Q1),4), 1))</f>
        <v>Col Q</v>
      </c>
      <c r="U230" s="770" t="str">
        <f>CONCATENATE("Col ", LEFT(ADDRESS(ROW(Securitisation!R1),COLUMN(Securitisation!R1),4), 1))</f>
        <v>Col R</v>
      </c>
      <c r="V230" s="765" t="str">
        <f>CONCATENATE("Col ", LEFT(ADDRESS(ROW(Securitisation!S1),COLUMN(Securitisation!S1),4), 1))</f>
        <v>Col S</v>
      </c>
    </row>
    <row r="231" spans="1:22" ht="135" customHeight="1" x14ac:dyDescent="0.35">
      <c r="B231" s="1551"/>
      <c r="C231" s="1342"/>
      <c r="F231" s="540"/>
      <c r="G231" s="541"/>
      <c r="H231" s="541"/>
      <c r="I231" s="541"/>
      <c r="J231" s="541"/>
      <c r="K231" s="541"/>
      <c r="L231" s="541"/>
      <c r="M231" s="541"/>
      <c r="N231" s="541"/>
      <c r="O231" s="541"/>
      <c r="P231" s="933" t="str">
        <f>Securitisation!M18</f>
        <v>Check
RW above floor</v>
      </c>
      <c r="Q231" s="933" t="str">
        <f>Securitisation!N18</f>
        <v>Check
RW≤1,250% 
(= for other assets)</v>
      </c>
      <c r="R231" s="933" t="str">
        <f>Securitisation!O18</f>
        <v>Check
RW above floor</v>
      </c>
      <c r="S231" s="933" t="str">
        <f>Securitisation!P18</f>
        <v>Check
RWA within range</v>
      </c>
      <c r="T231" s="934" t="str">
        <f>Securitisation!Q18</f>
        <v>Check
RWA under final standards not equal to floor</v>
      </c>
      <c r="U231" s="933" t="str">
        <f>Securitisation!R18</f>
        <v>Check
RWA within range</v>
      </c>
      <c r="V231" s="934" t="str">
        <f>Securitisation!S18</f>
        <v>Check
RWA under final standards not equal to floor</v>
      </c>
    </row>
    <row r="232" spans="1:22" ht="15" customHeight="1" x14ac:dyDescent="0.35">
      <c r="B232" s="523" t="s">
        <v>54</v>
      </c>
      <c r="C232" s="1328" t="str">
        <f>Securitisation!B19</f>
        <v>Non-STC securitisations; of which:</v>
      </c>
      <c r="D232" s="463"/>
      <c r="E232" s="463"/>
      <c r="F232" s="515"/>
      <c r="G232" s="527"/>
      <c r="H232" s="527"/>
      <c r="I232" s="527"/>
      <c r="J232" s="527"/>
      <c r="K232" s="527"/>
      <c r="L232" s="527"/>
      <c r="M232" s="527"/>
      <c r="N232" s="527"/>
      <c r="O232" s="527"/>
      <c r="P232" s="489" t="str">
        <f>Securitisation!M19</f>
        <v>Pass</v>
      </c>
      <c r="Q232" s="489" t="str">
        <f>Securitisation!N19</f>
        <v>Pass</v>
      </c>
      <c r="R232" s="525" t="str">
        <f>Securitisation!O19</f>
        <v>Pass</v>
      </c>
      <c r="S232" s="178"/>
      <c r="T232" s="178"/>
      <c r="U232" s="178"/>
      <c r="V232" s="178"/>
    </row>
    <row r="233" spans="1:22" ht="15" customHeight="1" x14ac:dyDescent="0.35">
      <c r="B233" s="115" t="s">
        <v>54</v>
      </c>
      <c r="C233" s="1336" t="str">
        <f>Securitisation!B20</f>
        <v>internal ratings-based approach (SEC-IRBA)</v>
      </c>
      <c r="D233" s="161"/>
      <c r="E233" s="161"/>
      <c r="F233" s="182"/>
      <c r="G233" s="180"/>
      <c r="H233" s="180"/>
      <c r="I233" s="180"/>
      <c r="J233" s="180"/>
      <c r="K233" s="180"/>
      <c r="L233" s="180"/>
      <c r="M233" s="180"/>
      <c r="N233" s="180"/>
      <c r="O233" s="180"/>
      <c r="P233" s="352" t="str">
        <f>Securitisation!M20</f>
        <v/>
      </c>
      <c r="Q233" s="352" t="str">
        <f>Securitisation!N20</f>
        <v/>
      </c>
      <c r="R233" s="356" t="str">
        <f>Securitisation!O20</f>
        <v/>
      </c>
      <c r="S233" s="356" t="str">
        <f>Securitisation!P20</f>
        <v/>
      </c>
      <c r="T233" s="356" t="str">
        <f>Securitisation!Q20</f>
        <v/>
      </c>
      <c r="U233" s="356" t="str">
        <f>Securitisation!R20</f>
        <v/>
      </c>
      <c r="V233" s="356" t="str">
        <f>Securitisation!S20</f>
        <v/>
      </c>
    </row>
    <row r="234" spans="1:22" ht="15" customHeight="1" x14ac:dyDescent="0.35">
      <c r="B234" s="115" t="s">
        <v>54</v>
      </c>
      <c r="C234" s="1336" t="str">
        <f>Securitisation!B21</f>
        <v>external ratings-based approach (SEC-ERBA)</v>
      </c>
      <c r="D234" s="161"/>
      <c r="E234" s="161"/>
      <c r="F234" s="182"/>
      <c r="G234" s="180"/>
      <c r="H234" s="180"/>
      <c r="I234" s="180"/>
      <c r="J234" s="180"/>
      <c r="K234" s="180"/>
      <c r="L234" s="180"/>
      <c r="M234" s="180"/>
      <c r="N234" s="180"/>
      <c r="O234" s="180"/>
      <c r="P234" s="352" t="str">
        <f>Securitisation!M21</f>
        <v>Pass</v>
      </c>
      <c r="Q234" s="352" t="str">
        <f>Securitisation!N21</f>
        <v>Pass</v>
      </c>
      <c r="R234" s="356" t="str">
        <f>Securitisation!O21</f>
        <v>Pass</v>
      </c>
      <c r="S234" s="178"/>
      <c r="T234" s="178"/>
      <c r="U234" s="356" t="str">
        <f>Securitisation!R21</f>
        <v>Pass</v>
      </c>
      <c r="V234" s="356" t="str">
        <f>Securitisation!S21</f>
        <v>Pass</v>
      </c>
    </row>
    <row r="235" spans="1:22" ht="15" customHeight="1" x14ac:dyDescent="0.35">
      <c r="B235" s="115" t="s">
        <v>54</v>
      </c>
      <c r="C235" s="1336" t="str">
        <f>Securitisation!B22</f>
        <v>internal assessment approach (IAA)</v>
      </c>
      <c r="D235" s="161"/>
      <c r="E235" s="161"/>
      <c r="F235" s="182"/>
      <c r="G235" s="180"/>
      <c r="H235" s="180"/>
      <c r="I235" s="180"/>
      <c r="J235" s="180"/>
      <c r="K235" s="180"/>
      <c r="L235" s="180"/>
      <c r="M235" s="180"/>
      <c r="N235" s="180"/>
      <c r="O235" s="180"/>
      <c r="P235" s="352" t="str">
        <f>Securitisation!M22</f>
        <v/>
      </c>
      <c r="Q235" s="352" t="str">
        <f>Securitisation!N22</f>
        <v/>
      </c>
      <c r="R235" s="356" t="str">
        <f>Securitisation!O22</f>
        <v/>
      </c>
      <c r="S235" s="356" t="str">
        <f>Securitisation!P22</f>
        <v/>
      </c>
      <c r="T235" s="356" t="str">
        <f>Securitisation!Q22</f>
        <v/>
      </c>
      <c r="U235" s="178"/>
      <c r="V235" s="178"/>
    </row>
    <row r="236" spans="1:22" ht="15" customHeight="1" x14ac:dyDescent="0.35">
      <c r="B236" s="115" t="s">
        <v>54</v>
      </c>
      <c r="C236" s="1336" t="str">
        <f>Securitisation!B23</f>
        <v>standardised approach (SEC-SA); of which:</v>
      </c>
      <c r="D236" s="161"/>
      <c r="E236" s="161"/>
      <c r="F236" s="182"/>
      <c r="G236" s="180"/>
      <c r="H236" s="180"/>
      <c r="I236" s="180"/>
      <c r="J236" s="180"/>
      <c r="K236" s="180"/>
      <c r="L236" s="180"/>
      <c r="M236" s="180"/>
      <c r="N236" s="180"/>
      <c r="O236" s="180"/>
      <c r="P236" s="352" t="str">
        <f>Securitisation!M23</f>
        <v/>
      </c>
      <c r="Q236" s="352" t="str">
        <f>Securitisation!N23</f>
        <v/>
      </c>
      <c r="R236" s="356" t="str">
        <f>Securitisation!O23</f>
        <v/>
      </c>
      <c r="S236" s="178"/>
      <c r="T236" s="178"/>
      <c r="U236" s="178"/>
      <c r="V236" s="178"/>
    </row>
    <row r="237" spans="1:22" ht="15" customHeight="1" x14ac:dyDescent="0.35">
      <c r="B237" s="115" t="s">
        <v>54</v>
      </c>
      <c r="C237" s="1336" t="str">
        <f>Securitisation!B24</f>
        <v>resecuritisation exposures</v>
      </c>
      <c r="D237" s="161"/>
      <c r="E237" s="161"/>
      <c r="F237" s="182"/>
      <c r="G237" s="180"/>
      <c r="H237" s="180"/>
      <c r="I237" s="180"/>
      <c r="J237" s="180"/>
      <c r="K237" s="180"/>
      <c r="L237" s="180"/>
      <c r="M237" s="180"/>
      <c r="N237" s="180"/>
      <c r="O237" s="180"/>
      <c r="P237" s="352" t="str">
        <f>Securitisation!M24</f>
        <v/>
      </c>
      <c r="Q237" s="352" t="str">
        <f>Securitisation!N24</f>
        <v/>
      </c>
      <c r="R237" s="356" t="str">
        <f>Securitisation!O24</f>
        <v/>
      </c>
      <c r="S237" s="178"/>
      <c r="T237" s="178"/>
      <c r="U237" s="178"/>
      <c r="V237" s="178"/>
    </row>
    <row r="238" spans="1:22" ht="15" customHeight="1" x14ac:dyDescent="0.35">
      <c r="B238" s="115" t="s">
        <v>54</v>
      </c>
      <c r="C238" s="217" t="str">
        <f>Securitisation!B25</f>
        <v>STC securitisations; of which:</v>
      </c>
      <c r="D238" s="161"/>
      <c r="E238" s="161"/>
      <c r="F238" s="182"/>
      <c r="G238" s="180"/>
      <c r="H238" s="180"/>
      <c r="I238" s="180"/>
      <c r="J238" s="180"/>
      <c r="K238" s="180"/>
      <c r="L238" s="180"/>
      <c r="M238" s="180"/>
      <c r="N238" s="180"/>
      <c r="O238" s="180"/>
      <c r="P238" s="352" t="str">
        <f>Securitisation!M25</f>
        <v/>
      </c>
      <c r="Q238" s="352" t="str">
        <f>Securitisation!N25</f>
        <v/>
      </c>
      <c r="R238" s="356" t="str">
        <f>Securitisation!O25</f>
        <v/>
      </c>
      <c r="S238" s="178"/>
      <c r="T238" s="178"/>
      <c r="U238" s="178"/>
      <c r="V238" s="178"/>
    </row>
    <row r="239" spans="1:22" ht="15" customHeight="1" x14ac:dyDescent="0.35">
      <c r="B239" s="115" t="s">
        <v>54</v>
      </c>
      <c r="C239" s="1336" t="str">
        <f>Securitisation!B26</f>
        <v>internal ratings-based approach (SEC-IRBA)</v>
      </c>
      <c r="D239" s="161"/>
      <c r="E239" s="161"/>
      <c r="F239" s="182"/>
      <c r="G239" s="180"/>
      <c r="H239" s="180"/>
      <c r="I239" s="180"/>
      <c r="J239" s="180"/>
      <c r="K239" s="180"/>
      <c r="L239" s="180"/>
      <c r="M239" s="180"/>
      <c r="N239" s="180"/>
      <c r="O239" s="180"/>
      <c r="P239" s="352" t="str">
        <f>Securitisation!M26</f>
        <v/>
      </c>
      <c r="Q239" s="352" t="str">
        <f>Securitisation!N26</f>
        <v/>
      </c>
      <c r="R239" s="356" t="str">
        <f>Securitisation!O26</f>
        <v/>
      </c>
      <c r="S239" s="356" t="str">
        <f>Securitisation!P26</f>
        <v/>
      </c>
      <c r="T239" s="356" t="str">
        <f>Securitisation!Q26</f>
        <v/>
      </c>
      <c r="U239" s="356" t="str">
        <f>Securitisation!R26</f>
        <v/>
      </c>
      <c r="V239" s="356" t="str">
        <f>Securitisation!S26</f>
        <v/>
      </c>
    </row>
    <row r="240" spans="1:22" ht="15" customHeight="1" x14ac:dyDescent="0.35">
      <c r="B240" s="115" t="s">
        <v>54</v>
      </c>
      <c r="C240" s="1336" t="str">
        <f>Securitisation!B27</f>
        <v>external ratings-based approach (SEC-ERBA)</v>
      </c>
      <c r="D240" s="161"/>
      <c r="E240" s="161"/>
      <c r="F240" s="182"/>
      <c r="G240" s="180"/>
      <c r="H240" s="180"/>
      <c r="I240" s="180"/>
      <c r="J240" s="180"/>
      <c r="K240" s="180"/>
      <c r="L240" s="180"/>
      <c r="M240" s="180"/>
      <c r="N240" s="180"/>
      <c r="O240" s="180"/>
      <c r="P240" s="352" t="str">
        <f>Securitisation!M27</f>
        <v/>
      </c>
      <c r="Q240" s="352" t="str">
        <f>Securitisation!N27</f>
        <v/>
      </c>
      <c r="R240" s="356" t="str">
        <f>Securitisation!O27</f>
        <v/>
      </c>
      <c r="S240" s="178"/>
      <c r="T240" s="178"/>
      <c r="U240" s="356" t="str">
        <f>Securitisation!R27</f>
        <v/>
      </c>
      <c r="V240" s="356" t="str">
        <f>Securitisation!S27</f>
        <v/>
      </c>
    </row>
    <row r="241" spans="2:22" ht="15" customHeight="1" x14ac:dyDescent="0.35">
      <c r="B241" s="115" t="s">
        <v>54</v>
      </c>
      <c r="C241" s="1336" t="str">
        <f>Securitisation!B28</f>
        <v>internal assessment approach (IAA)</v>
      </c>
      <c r="D241" s="161"/>
      <c r="E241" s="161"/>
      <c r="F241" s="182"/>
      <c r="G241" s="180"/>
      <c r="H241" s="180"/>
      <c r="I241" s="180"/>
      <c r="J241" s="180"/>
      <c r="K241" s="180"/>
      <c r="L241" s="180"/>
      <c r="M241" s="180"/>
      <c r="N241" s="180"/>
      <c r="O241" s="180"/>
      <c r="P241" s="352" t="str">
        <f>Securitisation!M28</f>
        <v/>
      </c>
      <c r="Q241" s="352" t="str">
        <f>Securitisation!N28</f>
        <v/>
      </c>
      <c r="R241" s="356" t="str">
        <f>Securitisation!O28</f>
        <v/>
      </c>
      <c r="S241" s="178"/>
      <c r="T241" s="178"/>
      <c r="U241" s="178"/>
      <c r="V241" s="178"/>
    </row>
    <row r="242" spans="2:22" ht="15" customHeight="1" x14ac:dyDescent="0.35">
      <c r="B242" s="115" t="s">
        <v>54</v>
      </c>
      <c r="C242" s="1336" t="str">
        <f>Securitisation!B29</f>
        <v>standardised approach (SEC-SA)</v>
      </c>
      <c r="D242" s="161"/>
      <c r="E242" s="161"/>
      <c r="F242" s="182"/>
      <c r="G242" s="180"/>
      <c r="H242" s="180"/>
      <c r="I242" s="180"/>
      <c r="J242" s="180"/>
      <c r="K242" s="180"/>
      <c r="L242" s="180"/>
      <c r="M242" s="180"/>
      <c r="N242" s="180"/>
      <c r="O242" s="180"/>
      <c r="P242" s="352" t="str">
        <f>Securitisation!M29</f>
        <v/>
      </c>
      <c r="Q242" s="352" t="str">
        <f>Securitisation!N29</f>
        <v/>
      </c>
      <c r="R242" s="356" t="str">
        <f>Securitisation!O29</f>
        <v/>
      </c>
      <c r="S242" s="178"/>
      <c r="T242" s="178"/>
      <c r="U242" s="178"/>
      <c r="V242" s="178"/>
    </row>
    <row r="243" spans="2:22" ht="15" customHeight="1" x14ac:dyDescent="0.35">
      <c r="B243" s="115" t="s">
        <v>54</v>
      </c>
      <c r="C243" s="217" t="str">
        <f>Securitisation!B30</f>
        <v>Others (1250% RW)</v>
      </c>
      <c r="D243" s="161"/>
      <c r="E243" s="161"/>
      <c r="F243" s="182"/>
      <c r="G243" s="180"/>
      <c r="H243" s="180"/>
      <c r="I243" s="180"/>
      <c r="J243" s="180"/>
      <c r="K243" s="180"/>
      <c r="L243" s="180"/>
      <c r="M243" s="180"/>
      <c r="N243" s="180"/>
      <c r="O243" s="180"/>
      <c r="P243" s="352" t="str">
        <f>Securitisation!M30</f>
        <v/>
      </c>
      <c r="Q243" s="352" t="str">
        <f>Securitisation!N30</f>
        <v/>
      </c>
      <c r="R243" s="356" t="str">
        <f>Securitisation!O30</f>
        <v/>
      </c>
      <c r="S243" s="178"/>
      <c r="T243" s="178"/>
      <c r="U243" s="178"/>
      <c r="V243" s="178"/>
    </row>
    <row r="244" spans="2:22" ht="15" customHeight="1" x14ac:dyDescent="0.35">
      <c r="B244" s="115" t="s">
        <v>54</v>
      </c>
      <c r="C244" s="217" t="str">
        <f>Securitisation!B33</f>
        <v>Check: of which items should be less than the total</v>
      </c>
      <c r="D244" s="161"/>
      <c r="E244" s="161"/>
      <c r="F244" s="182"/>
      <c r="G244" s="180"/>
      <c r="H244" s="352" t="str">
        <f>Securitisation!E33</f>
        <v>Pass</v>
      </c>
      <c r="I244" s="352" t="str">
        <f>Securitisation!F33</f>
        <v>Pass</v>
      </c>
      <c r="J244" s="180"/>
      <c r="K244" s="180"/>
      <c r="L244" s="180"/>
      <c r="M244" s="180"/>
      <c r="N244" s="180"/>
      <c r="O244" s="180"/>
      <c r="P244" s="180"/>
      <c r="Q244" s="180"/>
      <c r="R244" s="180"/>
      <c r="S244" s="178"/>
      <c r="T244" s="178"/>
      <c r="U244" s="178"/>
      <c r="V244" s="178"/>
    </row>
    <row r="245" spans="2:22" ht="15" customHeight="1" x14ac:dyDescent="0.35">
      <c r="B245" s="115" t="s">
        <v>54</v>
      </c>
      <c r="C245" s="217" t="str">
        <f>Securitisation!B34</f>
        <v>Check: total RWA should not be higher than total reported in panel A1</v>
      </c>
      <c r="D245" s="161"/>
      <c r="E245" s="161"/>
      <c r="F245" s="182"/>
      <c r="G245" s="180"/>
      <c r="H245" s="180"/>
      <c r="I245" s="352" t="str">
        <f>Securitisation!F34</f>
        <v>Pass</v>
      </c>
      <c r="J245" s="180"/>
      <c r="K245" s="180"/>
      <c r="L245" s="180"/>
      <c r="M245" s="180"/>
      <c r="N245" s="180"/>
      <c r="O245" s="180"/>
      <c r="P245" s="180"/>
      <c r="Q245" s="180"/>
      <c r="R245" s="178"/>
      <c r="S245" s="178"/>
      <c r="T245" s="178"/>
      <c r="U245" s="178"/>
      <c r="V245" s="178"/>
    </row>
    <row r="246" spans="2:22" ht="15" customHeight="1" x14ac:dyDescent="0.35">
      <c r="B246" s="115" t="s">
        <v>54</v>
      </c>
      <c r="C246" s="217" t="str">
        <f>Securitisation!B37</f>
        <v>Check: row 35 ≤ row 19</v>
      </c>
      <c r="D246" s="161"/>
      <c r="E246" s="161"/>
      <c r="F246" s="182"/>
      <c r="G246" s="180"/>
      <c r="H246" s="352" t="str">
        <f>Securitisation!E37</f>
        <v>Pass</v>
      </c>
      <c r="I246" s="352" t="str">
        <f>Securitisation!F37</f>
        <v>Pass</v>
      </c>
      <c r="J246" s="180"/>
      <c r="K246" s="180"/>
      <c r="L246" s="352" t="str">
        <f>Securitisation!I37</f>
        <v>Pass</v>
      </c>
      <c r="M246" s="352" t="str">
        <f>Securitisation!J37</f>
        <v>Pass</v>
      </c>
      <c r="N246" s="352" t="str">
        <f>Securitisation!K37</f>
        <v>Pass</v>
      </c>
      <c r="O246" s="352" t="str">
        <f>Securitisation!L37</f>
        <v>Pass</v>
      </c>
      <c r="P246" s="180"/>
      <c r="Q246" s="180"/>
      <c r="R246" s="178"/>
      <c r="S246" s="178"/>
      <c r="T246" s="178"/>
      <c r="U246" s="178"/>
      <c r="V246" s="178"/>
    </row>
    <row r="247" spans="2:22" ht="15" customHeight="1" x14ac:dyDescent="0.35">
      <c r="B247" s="115" t="s">
        <v>54</v>
      </c>
      <c r="C247" s="217" t="str">
        <f>Securitisation!B38</f>
        <v>Check: row 36 ≤ row 35</v>
      </c>
      <c r="D247" s="161"/>
      <c r="E247" s="161"/>
      <c r="F247" s="182"/>
      <c r="G247" s="180"/>
      <c r="H247" s="352" t="str">
        <f>Securitisation!E38</f>
        <v>Pass</v>
      </c>
      <c r="I247" s="352" t="str">
        <f>Securitisation!F38</f>
        <v>Pass</v>
      </c>
      <c r="J247" s="180"/>
      <c r="K247" s="180"/>
      <c r="L247" s="352" t="str">
        <f>Securitisation!I38</f>
        <v>Pass</v>
      </c>
      <c r="M247" s="352" t="str">
        <f>Securitisation!J38</f>
        <v>Pass</v>
      </c>
      <c r="N247" s="352" t="str">
        <f>Securitisation!K38</f>
        <v>Pass</v>
      </c>
      <c r="O247" s="352" t="str">
        <f>Securitisation!L38</f>
        <v>Pass</v>
      </c>
      <c r="P247" s="180"/>
      <c r="Q247" s="180"/>
      <c r="R247" s="178"/>
      <c r="S247" s="178"/>
      <c r="T247" s="178"/>
      <c r="U247" s="178"/>
      <c r="V247" s="178"/>
    </row>
    <row r="248" spans="2:22" ht="15" customHeight="1" x14ac:dyDescent="0.35">
      <c r="B248" s="115" t="s">
        <v>65</v>
      </c>
      <c r="C248" s="217" t="str">
        <f>Securitisation!B44</f>
        <v xml:space="preserve">Securitisation exposures currently deducted: </v>
      </c>
      <c r="D248" s="161"/>
      <c r="E248" s="161"/>
      <c r="F248" s="182"/>
      <c r="G248" s="180"/>
      <c r="H248" s="180"/>
      <c r="I248" s="180"/>
      <c r="J248" s="180"/>
      <c r="K248" s="180"/>
      <c r="L248" s="180"/>
      <c r="M248" s="180"/>
      <c r="N248" s="180"/>
      <c r="O248" s="180"/>
      <c r="P248" s="180"/>
      <c r="Q248" s="352" t="str">
        <f>Securitisation!N44</f>
        <v/>
      </c>
      <c r="R248" s="356" t="str">
        <f>Securitisation!O44</f>
        <v/>
      </c>
      <c r="S248" s="178"/>
      <c r="T248" s="178"/>
      <c r="U248" s="178"/>
      <c r="V248" s="178"/>
    </row>
    <row r="249" spans="2:22" ht="15" customHeight="1" x14ac:dyDescent="0.35">
      <c r="B249" s="115" t="s">
        <v>65</v>
      </c>
      <c r="C249" s="1336" t="str">
        <f>Securitisation!B45</f>
        <v>of which: internal ratings-based approach (SEC-IRBA)</v>
      </c>
      <c r="D249" s="161"/>
      <c r="E249" s="161"/>
      <c r="F249" s="182"/>
      <c r="G249" s="180"/>
      <c r="H249" s="180"/>
      <c r="I249" s="180"/>
      <c r="J249" s="180"/>
      <c r="K249" s="180"/>
      <c r="L249" s="180"/>
      <c r="M249" s="180"/>
      <c r="N249" s="180"/>
      <c r="O249" s="180"/>
      <c r="P249" s="180"/>
      <c r="Q249" s="352" t="str">
        <f>Securitisation!N45</f>
        <v/>
      </c>
      <c r="R249" s="356" t="str">
        <f>Securitisation!O45</f>
        <v/>
      </c>
      <c r="S249" s="356" t="str">
        <f>Securitisation!P45</f>
        <v/>
      </c>
      <c r="T249" s="356" t="str">
        <f>Securitisation!Q45</f>
        <v/>
      </c>
      <c r="U249" s="356" t="str">
        <f>Securitisation!R45</f>
        <v/>
      </c>
      <c r="V249" s="356" t="str">
        <f>Securitisation!S45</f>
        <v/>
      </c>
    </row>
    <row r="250" spans="2:22" ht="15" customHeight="1" x14ac:dyDescent="0.35">
      <c r="B250" s="115" t="s">
        <v>65</v>
      </c>
      <c r="C250" s="1336" t="str">
        <f>Securitisation!B46</f>
        <v>of which: external ratings-based approach (SEC-ERBA)</v>
      </c>
      <c r="D250" s="161"/>
      <c r="E250" s="161"/>
      <c r="F250" s="182"/>
      <c r="G250" s="180"/>
      <c r="H250" s="180"/>
      <c r="I250" s="180"/>
      <c r="J250" s="180"/>
      <c r="K250" s="180"/>
      <c r="L250" s="180"/>
      <c r="M250" s="180"/>
      <c r="N250" s="180"/>
      <c r="O250" s="180"/>
      <c r="P250" s="180"/>
      <c r="Q250" s="352" t="str">
        <f>Securitisation!N46</f>
        <v/>
      </c>
      <c r="R250" s="356" t="str">
        <f>Securitisation!O46</f>
        <v/>
      </c>
      <c r="S250" s="178"/>
      <c r="T250" s="178"/>
      <c r="U250" s="356" t="str">
        <f>Securitisation!R46</f>
        <v/>
      </c>
      <c r="V250" s="356" t="str">
        <f>Securitisation!S46</f>
        <v/>
      </c>
    </row>
    <row r="251" spans="2:22" ht="15" customHeight="1" x14ac:dyDescent="0.35">
      <c r="B251" s="115" t="s">
        <v>65</v>
      </c>
      <c r="C251" s="1336" t="str">
        <f>Securitisation!B47</f>
        <v>of which: internal assessment approach (IAA)</v>
      </c>
      <c r="D251" s="161"/>
      <c r="E251" s="161"/>
      <c r="F251" s="182"/>
      <c r="G251" s="180"/>
      <c r="H251" s="180"/>
      <c r="I251" s="180"/>
      <c r="J251" s="180"/>
      <c r="K251" s="180"/>
      <c r="L251" s="180"/>
      <c r="M251" s="180"/>
      <c r="N251" s="180"/>
      <c r="O251" s="180"/>
      <c r="P251" s="180"/>
      <c r="Q251" s="352" t="str">
        <f>Securitisation!N47</f>
        <v/>
      </c>
      <c r="R251" s="356" t="str">
        <f>Securitisation!O47</f>
        <v/>
      </c>
      <c r="S251" s="356" t="str">
        <f>Securitisation!P47</f>
        <v/>
      </c>
      <c r="T251" s="356" t="str">
        <f>Securitisation!Q47</f>
        <v/>
      </c>
      <c r="U251" s="178"/>
      <c r="V251" s="178"/>
    </row>
    <row r="252" spans="2:22" ht="15" customHeight="1" x14ac:dyDescent="0.35">
      <c r="B252" s="115" t="s">
        <v>65</v>
      </c>
      <c r="C252" s="1336" t="str">
        <f>Securitisation!B48</f>
        <v>of which: standardised approach (SEC-SA)</v>
      </c>
      <c r="D252" s="161"/>
      <c r="E252" s="161"/>
      <c r="F252" s="182"/>
      <c r="G252" s="180"/>
      <c r="H252" s="180"/>
      <c r="I252" s="180"/>
      <c r="J252" s="180"/>
      <c r="K252" s="180"/>
      <c r="L252" s="180"/>
      <c r="M252" s="180"/>
      <c r="N252" s="180"/>
      <c r="O252" s="180"/>
      <c r="P252" s="180"/>
      <c r="Q252" s="352" t="str">
        <f>Securitisation!N48</f>
        <v/>
      </c>
      <c r="R252" s="356" t="str">
        <f>Securitisation!O48</f>
        <v/>
      </c>
      <c r="S252" s="178"/>
      <c r="T252" s="178"/>
      <c r="U252" s="178"/>
      <c r="V252" s="178"/>
    </row>
    <row r="253" spans="2:22" ht="15" customHeight="1" x14ac:dyDescent="0.35">
      <c r="B253" s="115" t="s">
        <v>65</v>
      </c>
      <c r="C253" s="1336" t="str">
        <f>Securitisation!B49</f>
        <v>of which: Others (risk-weighted 1250%)</v>
      </c>
      <c r="D253" s="161"/>
      <c r="E253" s="161"/>
      <c r="F253" s="182"/>
      <c r="G253" s="180"/>
      <c r="H253" s="180"/>
      <c r="I253" s="180"/>
      <c r="J253" s="180"/>
      <c r="K253" s="180"/>
      <c r="L253" s="180"/>
      <c r="M253" s="180"/>
      <c r="N253" s="180"/>
      <c r="O253" s="180"/>
      <c r="P253" s="180"/>
      <c r="Q253" s="352" t="str">
        <f>Securitisation!N49</f>
        <v/>
      </c>
      <c r="R253" s="356" t="str">
        <f>Securitisation!O49</f>
        <v/>
      </c>
      <c r="S253" s="178"/>
      <c r="T253" s="178"/>
      <c r="U253" s="178"/>
      <c r="V253" s="178"/>
    </row>
    <row r="254" spans="2:22" ht="30" customHeight="1" x14ac:dyDescent="0.35">
      <c r="B254" s="115" t="s">
        <v>65</v>
      </c>
      <c r="C254" s="2555" t="str">
        <f>Securitisation!B50</f>
        <v>Check: deductions reported in panel A3 less or equal than deductions reported in the Memo box</v>
      </c>
      <c r="D254" s="2556"/>
      <c r="E254" s="2556"/>
      <c r="F254" s="182"/>
      <c r="G254" s="180"/>
      <c r="H254" s="352" t="str">
        <f>Securitisation!E50</f>
        <v>Pass</v>
      </c>
      <c r="I254" s="180"/>
      <c r="J254" s="180"/>
      <c r="K254" s="180"/>
      <c r="L254" s="180"/>
      <c r="M254" s="180"/>
      <c r="N254" s="180"/>
      <c r="O254" s="180"/>
      <c r="P254" s="180"/>
      <c r="Q254" s="180"/>
      <c r="R254" s="178"/>
      <c r="S254" s="178"/>
      <c r="T254" s="178"/>
      <c r="U254" s="178"/>
      <c r="V254" s="178"/>
    </row>
    <row r="255" spans="2:22" ht="15" customHeight="1" x14ac:dyDescent="0.35">
      <c r="B255" s="115" t="s">
        <v>65</v>
      </c>
      <c r="C255" s="217" t="str">
        <f>Securitisation!B52</f>
        <v>Check: deductions reported in row 51 less or equal than deductions reported in row 44</v>
      </c>
      <c r="D255" s="161"/>
      <c r="E255" s="161"/>
      <c r="F255" s="182"/>
      <c r="G255" s="180"/>
      <c r="H255" s="352" t="str">
        <f>Securitisation!E52</f>
        <v>Pass</v>
      </c>
      <c r="I255" s="352" t="str">
        <f>Securitisation!F52</f>
        <v>Pass</v>
      </c>
      <c r="J255" s="180"/>
      <c r="K255" s="180"/>
      <c r="L255" s="180"/>
      <c r="M255" s="180"/>
      <c r="N255" s="180"/>
      <c r="O255" s="180"/>
      <c r="P255" s="180"/>
      <c r="Q255" s="180"/>
      <c r="R255" s="178"/>
      <c r="S255" s="178"/>
      <c r="T255" s="178"/>
      <c r="U255" s="178"/>
      <c r="V255" s="178"/>
    </row>
    <row r="256" spans="2:22" ht="15" customHeight="1" x14ac:dyDescent="0.35">
      <c r="B256" s="115" t="s">
        <v>42</v>
      </c>
      <c r="C256" s="217" t="str">
        <f>Securitisation!B62</f>
        <v>Check: "Total" panel A2 = "Total" panel B</v>
      </c>
      <c r="D256" s="161"/>
      <c r="E256" s="161"/>
      <c r="F256" s="359" t="str">
        <f>Securitisation!C62</f>
        <v>Pass</v>
      </c>
      <c r="G256" s="352" t="str">
        <f>Securitisation!D62</f>
        <v>Pass</v>
      </c>
      <c r="H256" s="352" t="str">
        <f>Securitisation!E62</f>
        <v>Pass</v>
      </c>
      <c r="I256" s="352" t="str">
        <f>Securitisation!F62</f>
        <v>Pass</v>
      </c>
      <c r="J256" s="352" t="str">
        <f>Securitisation!G62</f>
        <v>Pass</v>
      </c>
      <c r="K256" s="352" t="str">
        <f>Securitisation!H62</f>
        <v>Pass</v>
      </c>
      <c r="L256" s="352" t="str">
        <f>Securitisation!I62</f>
        <v>Pass</v>
      </c>
      <c r="M256" s="180"/>
      <c r="N256" s="180"/>
      <c r="O256" s="180"/>
      <c r="P256" s="180"/>
      <c r="Q256" s="180"/>
      <c r="R256" s="178"/>
      <c r="S256" s="178"/>
      <c r="T256" s="178"/>
      <c r="U256" s="178"/>
      <c r="V256" s="178"/>
    </row>
    <row r="257" spans="1:42" ht="15" customHeight="1" x14ac:dyDescent="0.35">
      <c r="B257" s="115" t="s">
        <v>42</v>
      </c>
      <c r="C257" s="217" t="str">
        <f>Securitisation!B63</f>
        <v>Check: "Deductions" in panel A3 = "Deductions" panel B</v>
      </c>
      <c r="D257" s="161"/>
      <c r="E257" s="161"/>
      <c r="F257" s="182"/>
      <c r="G257" s="180"/>
      <c r="H257" s="180"/>
      <c r="I257" s="180"/>
      <c r="J257" s="180"/>
      <c r="K257" s="180"/>
      <c r="L257" s="180"/>
      <c r="M257" s="180"/>
      <c r="N257" s="180"/>
      <c r="O257" s="180"/>
      <c r="P257" s="180"/>
      <c r="Q257" s="598" t="str">
        <f>Securitisation!M63</f>
        <v>Pass</v>
      </c>
      <c r="R257" s="178"/>
      <c r="S257" s="178"/>
      <c r="T257" s="178"/>
      <c r="U257" s="178"/>
      <c r="V257" s="178"/>
    </row>
    <row r="258" spans="1:42" ht="15" customHeight="1" x14ac:dyDescent="0.35">
      <c r="B258" s="174" t="s">
        <v>42</v>
      </c>
      <c r="C258" s="1254" t="str">
        <f>Securitisation!B64</f>
        <v>Check: "Deduction for securitisation gain on sale"</v>
      </c>
      <c r="D258" s="171"/>
      <c r="E258" s="171"/>
      <c r="F258" s="184"/>
      <c r="G258" s="234"/>
      <c r="H258" s="234"/>
      <c r="I258" s="234"/>
      <c r="J258" s="234"/>
      <c r="K258" s="234"/>
      <c r="L258" s="234"/>
      <c r="M258" s="354" t="str">
        <f>Securitisation!J64</f>
        <v>Pass</v>
      </c>
      <c r="N258" s="234"/>
      <c r="O258" s="234"/>
      <c r="P258" s="234"/>
      <c r="Q258" s="234"/>
      <c r="R258" s="235"/>
      <c r="S258" s="235"/>
      <c r="T258" s="235"/>
      <c r="U258" s="235"/>
      <c r="V258" s="235"/>
    </row>
    <row r="259" spans="1:42" ht="15" customHeight="1" x14ac:dyDescent="0.35">
      <c r="L259" s="275"/>
      <c r="M259" s="275"/>
      <c r="N259" s="275"/>
      <c r="W259" s="275"/>
    </row>
    <row r="260" spans="1:42" ht="45" customHeight="1" x14ac:dyDescent="0.35">
      <c r="A260" s="536" t="s">
        <v>66</v>
      </c>
      <c r="B260" s="741"/>
      <c r="C260" s="741"/>
      <c r="D260" s="741"/>
      <c r="E260" s="741"/>
      <c r="F260" s="741"/>
      <c r="G260" s="741"/>
      <c r="H260" s="741"/>
      <c r="I260" s="741"/>
      <c r="J260" s="741"/>
      <c r="K260" s="741"/>
      <c r="L260" s="741"/>
      <c r="M260" s="741"/>
      <c r="N260" s="741"/>
      <c r="O260" s="741"/>
      <c r="P260" s="741"/>
      <c r="Q260" s="741"/>
      <c r="R260" s="741"/>
      <c r="S260" s="741"/>
      <c r="T260" s="741"/>
      <c r="U260" s="741"/>
      <c r="V260" s="741"/>
      <c r="X260" s="741"/>
      <c r="Y260" s="741"/>
      <c r="Z260" s="741"/>
      <c r="AA260" s="741"/>
      <c r="AB260" s="741"/>
      <c r="AC260" s="741"/>
      <c r="AD260" s="741"/>
      <c r="AE260" s="741"/>
      <c r="AF260" s="741"/>
      <c r="AG260" s="741"/>
      <c r="AH260" s="741"/>
      <c r="AI260" s="741"/>
      <c r="AJ260" s="741"/>
      <c r="AK260" s="741"/>
      <c r="AL260" s="741"/>
      <c r="AM260" s="741"/>
      <c r="AN260" s="741"/>
      <c r="AO260" s="741"/>
      <c r="AP260" s="537"/>
    </row>
    <row r="261" spans="1:42" ht="15" customHeight="1" x14ac:dyDescent="0.35">
      <c r="B261" s="526" t="s">
        <v>40</v>
      </c>
      <c r="C261" s="931" t="s">
        <v>41</v>
      </c>
      <c r="D261" s="752"/>
      <c r="E261" s="752"/>
      <c r="F261" s="752"/>
      <c r="G261" s="752"/>
      <c r="H261" s="752"/>
      <c r="I261" s="752"/>
      <c r="J261" s="760" t="str">
        <f>CONCATENATE("Col ", LEFT(ADDRESS(ROW('CCR and CVA'!C74),COLUMN('CCR and CVA'!C74),4), 1))</f>
        <v>Col C</v>
      </c>
      <c r="K261" s="760" t="str">
        <f>CONCATENATE("Col ", LEFT(ADDRESS(ROW('CCR and CVA'!E74),COLUMN('CCR and CVA'!E74),4), 1))</f>
        <v>Col E</v>
      </c>
      <c r="L261" s="760" t="str">
        <f>CONCATENATE("Col ", LEFT(ADDRESS(ROW('CCR and CVA'!F74),COLUMN('CCR and CVA'!F74),4), 1))</f>
        <v>Col F</v>
      </c>
      <c r="M261" s="760" t="str">
        <f>CONCATENATE("Col ", LEFT(ADDRESS(ROW('CCR and CVA'!G74),COLUMN('CCR and CVA'!G74),4), 1))</f>
        <v>Col G</v>
      </c>
      <c r="N261" s="765" t="str">
        <f>CONCATENATE("Col ", LEFT(ADDRESS(ROW('CCR and CVA'!H74),COLUMN('CCR and CVA'!H74),4), 1))</f>
        <v>Col H</v>
      </c>
    </row>
    <row r="262" spans="1:42" ht="15" customHeight="1" x14ac:dyDescent="0.35">
      <c r="B262" s="523" t="s">
        <v>60</v>
      </c>
      <c r="C262" s="1328" t="str">
        <f>'CCR and CVA'!B74</f>
        <v>Possibility to use CCR capital requirement</v>
      </c>
      <c r="D262" s="463"/>
      <c r="E262" s="463"/>
      <c r="F262" s="463"/>
      <c r="G262" s="463"/>
      <c r="H262" s="463"/>
      <c r="I262" s="599"/>
      <c r="J262" s="489" t="str">
        <f>'CCR and CVA'!C74</f>
        <v>Yes</v>
      </c>
      <c r="K262" s="527"/>
      <c r="L262" s="527"/>
      <c r="M262" s="527"/>
      <c r="N262" s="521"/>
    </row>
    <row r="263" spans="1:42" ht="15" customHeight="1" x14ac:dyDescent="0.35">
      <c r="B263" s="115" t="s">
        <v>67</v>
      </c>
      <c r="C263" s="217" t="str">
        <f>'CCR and CVA'!E74</f>
        <v>Calculation using CCR capital requirement</v>
      </c>
      <c r="D263" s="161"/>
      <c r="E263" s="161"/>
      <c r="F263" s="161"/>
      <c r="G263" s="161"/>
      <c r="H263" s="161"/>
      <c r="I263" s="712"/>
      <c r="J263" s="180"/>
      <c r="K263" s="180"/>
      <c r="L263" s="180"/>
      <c r="M263" s="352" t="str">
        <f>IF(OR('CCR and CVA'!G74="No", 'CCR and CVA'!G74="Yes"), "", 'CCR and CVA'!G74)</f>
        <v/>
      </c>
      <c r="N263" s="178"/>
    </row>
    <row r="264" spans="1:42" ht="17.25" customHeight="1" x14ac:dyDescent="0.35">
      <c r="B264" s="115" t="s">
        <v>68</v>
      </c>
      <c r="C264" s="1343" t="str">
        <f>CONCATENATE('CCR and CVA'!E76:E76, " : ", 'CCR and CVA'!B77)</f>
        <v>Check: Col C will be ignored if flags on General Info rows 38 and 39 are set to 'No', respectively : Advanced approach</v>
      </c>
      <c r="D264" s="161"/>
      <c r="E264" s="161"/>
      <c r="F264" s="161"/>
      <c r="G264" s="161"/>
      <c r="H264" s="161"/>
      <c r="I264" s="712"/>
      <c r="J264" s="180"/>
      <c r="K264" s="352" t="str">
        <f>'CCR and CVA'!E77</f>
        <v>Pass</v>
      </c>
      <c r="L264" s="180"/>
      <c r="M264" s="180"/>
      <c r="N264" s="178"/>
    </row>
    <row r="265" spans="1:42" ht="15" customHeight="1" x14ac:dyDescent="0.35">
      <c r="B265" s="115" t="s">
        <v>68</v>
      </c>
      <c r="C265" s="1343" t="str">
        <f>CONCATENATE('CCR and CVA'!E76, " : ", 'CCR and CVA'!B78)</f>
        <v>Check: Col C will be ignored if flags on General Info rows 38 and 39 are set to 'No', respectively : Standardised approach</v>
      </c>
      <c r="D265" s="161"/>
      <c r="E265" s="161"/>
      <c r="F265" s="161"/>
      <c r="G265" s="161"/>
      <c r="H265" s="161"/>
      <c r="I265" s="712"/>
      <c r="J265" s="180"/>
      <c r="K265" s="352" t="str">
        <f>'CCR and CVA'!E78</f>
        <v>Pass</v>
      </c>
      <c r="L265" s="180"/>
      <c r="M265" s="180"/>
      <c r="N265" s="178"/>
    </row>
    <row r="266" spans="1:42" ht="15" customHeight="1" x14ac:dyDescent="0.35">
      <c r="B266" s="115" t="s">
        <v>68</v>
      </c>
      <c r="C266" s="217" t="str">
        <f>CONCATENATE('CCR and CVA'!F76, " : ", 'CCR and CVA'!B77)</f>
        <v>Check: Col C will be ignored if flags on General Info rows 38 and 39 are set to 'No', respectively : Advanced approach</v>
      </c>
      <c r="D266" s="161"/>
      <c r="E266" s="161"/>
      <c r="F266" s="161"/>
      <c r="G266" s="161"/>
      <c r="H266" s="161"/>
      <c r="I266" s="712"/>
      <c r="J266" s="180"/>
      <c r="K266" s="180"/>
      <c r="L266" s="352" t="str">
        <f>'CCR and CVA'!F77</f>
        <v/>
      </c>
      <c r="M266" s="180"/>
      <c r="N266" s="178"/>
    </row>
    <row r="267" spans="1:42" ht="15" customHeight="1" x14ac:dyDescent="0.35">
      <c r="B267" s="115" t="s">
        <v>68</v>
      </c>
      <c r="C267" s="217" t="str">
        <f>CONCATENATE('CCR and CVA'!F76, " : ", 'CCR and CVA'!B78)</f>
        <v>Check: Col C will be ignored if flags on General Info rows 38 and 39 are set to 'No', respectively : Standardised approach</v>
      </c>
      <c r="D267" s="161"/>
      <c r="E267" s="161"/>
      <c r="F267" s="161"/>
      <c r="G267" s="161"/>
      <c r="H267" s="161"/>
      <c r="I267" s="712"/>
      <c r="J267" s="180"/>
      <c r="K267" s="180"/>
      <c r="L267" s="352" t="str">
        <f>'CCR and CVA'!F78</f>
        <v>Pass</v>
      </c>
      <c r="M267" s="180"/>
      <c r="N267" s="178"/>
    </row>
    <row r="268" spans="1:42" ht="15" customHeight="1" x14ac:dyDescent="0.35">
      <c r="B268" s="115" t="s">
        <v>68</v>
      </c>
      <c r="C268" s="217" t="str">
        <f>CONCATENATE('CCR and CVA'!G76, " : ", 'CCR and CVA'!B79)</f>
        <v>Check: Col C Total not calculated due to missing flags in General Info rows 38 and 39 : Total</v>
      </c>
      <c r="D268" s="161"/>
      <c r="E268" s="161"/>
      <c r="F268" s="161"/>
      <c r="G268" s="161"/>
      <c r="H268" s="161"/>
      <c r="I268" s="712"/>
      <c r="J268" s="180"/>
      <c r="K268" s="180"/>
      <c r="L268" s="180"/>
      <c r="M268" s="352" t="str">
        <f>'CCR and CVA'!G79</f>
        <v/>
      </c>
      <c r="N268" s="178"/>
    </row>
    <row r="269" spans="1:42" ht="15" customHeight="1" x14ac:dyDescent="0.35">
      <c r="B269" s="115" t="s">
        <v>68</v>
      </c>
      <c r="C269" s="217" t="str">
        <f>CONCATENATE('CCR and CVA'!H76, " : ", 'CCR and CVA'!B79)</f>
        <v>Check: Col D Total not calculated due to missing flags in General Info rows 38 and 39 : Total</v>
      </c>
      <c r="D269" s="161"/>
      <c r="E269" s="161"/>
      <c r="F269" s="161"/>
      <c r="G269" s="161"/>
      <c r="H269" s="161"/>
      <c r="I269" s="712"/>
      <c r="J269" s="180"/>
      <c r="K269" s="180"/>
      <c r="L269" s="180"/>
      <c r="M269" s="180"/>
      <c r="N269" s="356" t="str">
        <f>'CCR and CVA'!H79</f>
        <v/>
      </c>
    </row>
    <row r="270" spans="1:42" ht="15" customHeight="1" x14ac:dyDescent="0.35">
      <c r="B270" s="115" t="s">
        <v>69</v>
      </c>
      <c r="C270" s="217" t="str">
        <f>CONCATENATE('CCR and CVA'!$E$82, ": ", 'CCR and CVA'!B83)</f>
        <v>Filled in consistent with flag settings: K_Reduced (assuming hedges are not recognised)</v>
      </c>
      <c r="D270" s="161"/>
      <c r="E270" s="161"/>
      <c r="F270" s="161"/>
      <c r="G270" s="161"/>
      <c r="H270" s="161"/>
      <c r="I270" s="712"/>
      <c r="J270" s="180"/>
      <c r="K270" s="352" t="str">
        <f>'CCR and CVA'!E83</f>
        <v>Pass</v>
      </c>
      <c r="L270" s="180"/>
      <c r="M270" s="180"/>
      <c r="N270" s="178"/>
    </row>
    <row r="271" spans="1:42" ht="15" customHeight="1" x14ac:dyDescent="0.35">
      <c r="B271" s="115" t="s">
        <v>70</v>
      </c>
      <c r="C271" s="217" t="str">
        <f>CONCATENATE('CCR and CVA'!$E$85, ": ", 'CCR and CVA'!B86)</f>
        <v>Filled in consistent with flag settings: K_Reduced (assuming hedges are not recognised)</v>
      </c>
      <c r="D271" s="161"/>
      <c r="E271" s="161"/>
      <c r="F271" s="161"/>
      <c r="G271" s="161"/>
      <c r="H271" s="161"/>
      <c r="I271" s="712"/>
      <c r="J271" s="180"/>
      <c r="K271" s="352" t="str">
        <f>'CCR and CVA'!E86</f>
        <v>Pass</v>
      </c>
      <c r="L271" s="180"/>
      <c r="M271" s="180"/>
      <c r="N271" s="178"/>
    </row>
    <row r="272" spans="1:42" ht="15" customHeight="1" x14ac:dyDescent="0.35">
      <c r="B272" s="115" t="s">
        <v>70</v>
      </c>
      <c r="C272" s="217" t="str">
        <f>CONCATENATE('CCR and CVA'!$E$85, ": ", 'CCR and CVA'!B87)</f>
        <v>Filled in consistent with flag settings: K_Hedged (assuming recognition of all eligible hedges)</v>
      </c>
      <c r="D272" s="161"/>
      <c r="E272" s="161"/>
      <c r="F272" s="161"/>
      <c r="G272" s="161"/>
      <c r="H272" s="161"/>
      <c r="I272" s="712"/>
      <c r="J272" s="180"/>
      <c r="K272" s="352" t="str">
        <f>'CCR and CVA'!E87</f>
        <v>Pass</v>
      </c>
      <c r="L272" s="352" t="str">
        <f>'CCR and CVA'!F87</f>
        <v/>
      </c>
      <c r="M272" s="180"/>
      <c r="N272" s="178"/>
    </row>
    <row r="273" spans="1:42" ht="15" customHeight="1" x14ac:dyDescent="0.35">
      <c r="B273" s="115" t="s">
        <v>70</v>
      </c>
      <c r="C273" s="217" t="str">
        <f>'CCR and CVA'!F85</f>
        <v>Check: K_reduced and K_hedged in panel 3b should be larger than 0 and not equal</v>
      </c>
      <c r="D273" s="161"/>
      <c r="E273" s="161"/>
      <c r="F273" s="161"/>
      <c r="G273" s="161"/>
      <c r="H273" s="161"/>
      <c r="I273" s="712"/>
      <c r="J273" s="180"/>
      <c r="K273" s="180"/>
      <c r="L273" s="352" t="str">
        <f>'CCR and CVA'!F87</f>
        <v/>
      </c>
      <c r="M273" s="180"/>
      <c r="N273" s="178"/>
    </row>
    <row r="274" spans="1:42" ht="15" customHeight="1" x14ac:dyDescent="0.35">
      <c r="B274" s="115" t="s">
        <v>71</v>
      </c>
      <c r="C274" s="217" t="str">
        <f>CONCATENATE('CCR and CVA'!$G$91, ": ", 'CCR and CVA'!B93)</f>
        <v>Filled in consistent with flag settings: Interest rates</v>
      </c>
      <c r="D274" s="161"/>
      <c r="E274" s="161"/>
      <c r="F274" s="161"/>
      <c r="G274" s="161"/>
      <c r="H274" s="161"/>
      <c r="I274" s="712"/>
      <c r="J274" s="180"/>
      <c r="K274" s="180"/>
      <c r="L274" s="180"/>
      <c r="M274" s="352" t="str">
        <f>'CCR and CVA'!G93</f>
        <v>Pass</v>
      </c>
      <c r="N274" s="178"/>
    </row>
    <row r="275" spans="1:42" ht="15" customHeight="1" x14ac:dyDescent="0.35">
      <c r="B275" s="115" t="s">
        <v>71</v>
      </c>
      <c r="C275" s="217" t="str">
        <f>CONCATENATE('CCR and CVA'!$G$91, ": ", 'CCR and CVA'!B94)</f>
        <v>Filled in consistent with flag settings: Foreign exchange</v>
      </c>
      <c r="D275" s="161"/>
      <c r="E275" s="161"/>
      <c r="F275" s="161"/>
      <c r="G275" s="161"/>
      <c r="H275" s="161"/>
      <c r="I275" s="712"/>
      <c r="J275" s="180"/>
      <c r="K275" s="180"/>
      <c r="L275" s="180"/>
      <c r="M275" s="352" t="str">
        <f>'CCR and CVA'!G94</f>
        <v>Pass</v>
      </c>
      <c r="N275" s="178"/>
    </row>
    <row r="276" spans="1:42" ht="15" customHeight="1" x14ac:dyDescent="0.35">
      <c r="B276" s="115" t="s">
        <v>71</v>
      </c>
      <c r="C276" s="217" t="str">
        <f>CONCATENATE('CCR and CVA'!$G$91, ": ", 'CCR and CVA'!B95)</f>
        <v>Filled in consistent with flag settings: Counterparty credit spread</v>
      </c>
      <c r="D276" s="161"/>
      <c r="E276" s="161"/>
      <c r="F276" s="161"/>
      <c r="G276" s="161"/>
      <c r="H276" s="161"/>
      <c r="I276" s="712"/>
      <c r="J276" s="180"/>
      <c r="K276" s="180"/>
      <c r="L276" s="180"/>
      <c r="M276" s="352" t="str">
        <f>'CCR and CVA'!G95</f>
        <v>Pass</v>
      </c>
      <c r="N276" s="178"/>
    </row>
    <row r="277" spans="1:42" ht="15" customHeight="1" x14ac:dyDescent="0.35">
      <c r="B277" s="115" t="s">
        <v>71</v>
      </c>
      <c r="C277" s="217" t="str">
        <f>CONCATENATE('CCR and CVA'!$G$91, ": ", 'CCR and CVA'!B96)</f>
        <v>Filled in consistent with flag settings: Reference credit spread</v>
      </c>
      <c r="D277" s="161"/>
      <c r="E277" s="161"/>
      <c r="F277" s="161"/>
      <c r="G277" s="161"/>
      <c r="H277" s="161"/>
      <c r="I277" s="712"/>
      <c r="J277" s="180"/>
      <c r="K277" s="180"/>
      <c r="L277" s="180"/>
      <c r="M277" s="352" t="str">
        <f>'CCR and CVA'!G96</f>
        <v>Pass</v>
      </c>
      <c r="N277" s="178"/>
    </row>
    <row r="278" spans="1:42" ht="15" customHeight="1" x14ac:dyDescent="0.35">
      <c r="B278" s="115" t="s">
        <v>71</v>
      </c>
      <c r="C278" s="217" t="str">
        <f>CONCATENATE('CCR and CVA'!$G$91, ": ", 'CCR and CVA'!B97)</f>
        <v>Filled in consistent with flag settings: Equity</v>
      </c>
      <c r="D278" s="161"/>
      <c r="E278" s="161"/>
      <c r="F278" s="161"/>
      <c r="G278" s="161"/>
      <c r="H278" s="161"/>
      <c r="I278" s="712"/>
      <c r="J278" s="180"/>
      <c r="K278" s="180"/>
      <c r="L278" s="180"/>
      <c r="M278" s="352" t="str">
        <f>'CCR and CVA'!G97</f>
        <v>Pass</v>
      </c>
      <c r="N278" s="178"/>
    </row>
    <row r="279" spans="1:42" ht="15" customHeight="1" x14ac:dyDescent="0.35">
      <c r="B279" s="115" t="s">
        <v>71</v>
      </c>
      <c r="C279" s="217" t="str">
        <f>CONCATENATE('CCR and CVA'!$G$91, ": ", 'CCR and CVA'!B98)</f>
        <v>Filled in consistent with flag settings: Commodity</v>
      </c>
      <c r="D279" s="161"/>
      <c r="E279" s="161"/>
      <c r="F279" s="161"/>
      <c r="G279" s="161"/>
      <c r="H279" s="161"/>
      <c r="I279" s="712"/>
      <c r="J279" s="180"/>
      <c r="K279" s="180"/>
      <c r="L279" s="180"/>
      <c r="M279" s="352" t="str">
        <f>'CCR and CVA'!G98</f>
        <v>Pass</v>
      </c>
      <c r="N279" s="178"/>
    </row>
    <row r="280" spans="1:42" ht="15" customHeight="1" x14ac:dyDescent="0.35">
      <c r="B280" s="115" t="s">
        <v>72</v>
      </c>
      <c r="C280" s="217" t="str">
        <f>CONCATENATE('CCR and CVA'!E101, " : ", 'CCR and CVA'!B102)</f>
        <v>Filled in consistent with flag settings : K_Reduced (assuming hedges are not recognised)</v>
      </c>
      <c r="D280" s="161"/>
      <c r="E280" s="161"/>
      <c r="F280" s="161"/>
      <c r="G280" s="161"/>
      <c r="H280" s="161"/>
      <c r="I280" s="712"/>
      <c r="J280" s="180"/>
      <c r="K280" s="352" t="str">
        <f>'CCR and CVA'!E102</f>
        <v>Pass</v>
      </c>
      <c r="L280" s="180"/>
      <c r="M280" s="180"/>
      <c r="N280" s="178"/>
    </row>
    <row r="281" spans="1:42" ht="15" customHeight="1" x14ac:dyDescent="0.35">
      <c r="B281" s="115" t="s">
        <v>72</v>
      </c>
      <c r="C281" s="217" t="str">
        <f>CONCATENATE('CCR and CVA'!E104, ": ", 'CCR and CVA'!B105)</f>
        <v>Filled in consistent with flag settings: K_Reduced (assuming hedges are not recognised)</v>
      </c>
      <c r="D281" s="161"/>
      <c r="E281" s="161"/>
      <c r="F281" s="161"/>
      <c r="G281" s="161"/>
      <c r="H281" s="161"/>
      <c r="I281" s="712"/>
      <c r="J281" s="180"/>
      <c r="K281" s="352" t="str">
        <f>'CCR and CVA'!E105</f>
        <v>Pass</v>
      </c>
      <c r="L281" s="180"/>
      <c r="M281" s="180"/>
      <c r="N281" s="178"/>
    </row>
    <row r="282" spans="1:42" ht="15" customHeight="1" x14ac:dyDescent="0.35">
      <c r="B282" s="115" t="s">
        <v>73</v>
      </c>
      <c r="C282" s="217" t="str">
        <f>CONCATENATE('CCR and CVA'!$E$104, ": ", 'CCR and CVA'!B105)</f>
        <v>Filled in consistent with flag settings: K_Reduced (assuming hedges are not recognised)</v>
      </c>
      <c r="D282" s="161"/>
      <c r="E282" s="161"/>
      <c r="F282" s="161"/>
      <c r="G282" s="161"/>
      <c r="H282" s="161"/>
      <c r="I282" s="712"/>
      <c r="J282" s="180"/>
      <c r="K282" s="352" t="str">
        <f>'CCR and CVA'!E105</f>
        <v>Pass</v>
      </c>
      <c r="L282" s="180"/>
      <c r="M282" s="180"/>
      <c r="N282" s="178"/>
    </row>
    <row r="283" spans="1:42" ht="15" customHeight="1" x14ac:dyDescent="0.35">
      <c r="B283" s="115" t="s">
        <v>73</v>
      </c>
      <c r="C283" s="217" t="str">
        <f>CONCATENATE('CCR and CVA'!$E$104, ": ", 'CCR and CVA'!B106)</f>
        <v>Filled in consistent with flag settings: K_Hedged (assuming recognition of all eligible hedges)</v>
      </c>
      <c r="D283" s="161"/>
      <c r="E283" s="161"/>
      <c r="F283" s="161"/>
      <c r="G283" s="161"/>
      <c r="H283" s="161"/>
      <c r="I283" s="712"/>
      <c r="J283" s="180"/>
      <c r="K283" s="352" t="str">
        <f>'CCR and CVA'!E106</f>
        <v>Pass</v>
      </c>
      <c r="L283" s="180"/>
      <c r="M283" s="180"/>
      <c r="N283" s="178"/>
    </row>
    <row r="284" spans="1:42" ht="15" customHeight="1" x14ac:dyDescent="0.35">
      <c r="B284" s="174" t="s">
        <v>73</v>
      </c>
      <c r="C284" s="1254" t="str">
        <f>'CCR and CVA'!F104</f>
        <v>Check: K_reduced and K_hedged in panel 3c3 should be larger than 0 and not equal</v>
      </c>
      <c r="D284" s="171"/>
      <c r="E284" s="171"/>
      <c r="F284" s="171"/>
      <c r="G284" s="171"/>
      <c r="H284" s="171"/>
      <c r="I284" s="1249"/>
      <c r="J284" s="234"/>
      <c r="K284" s="234"/>
      <c r="L284" s="354" t="str">
        <f>'CCR and CVA'!F106</f>
        <v/>
      </c>
      <c r="M284" s="234"/>
      <c r="N284" s="235"/>
    </row>
    <row r="285" spans="1:42" ht="15" customHeight="1" x14ac:dyDescent="0.35">
      <c r="L285" s="275"/>
      <c r="M285" s="275"/>
      <c r="N285" s="275"/>
      <c r="W285" s="275"/>
    </row>
    <row r="286" spans="1:42" ht="45" customHeight="1" x14ac:dyDescent="0.35">
      <c r="A286" s="536" t="s">
        <v>74</v>
      </c>
      <c r="B286" s="741"/>
      <c r="C286" s="741"/>
      <c r="D286" s="741"/>
      <c r="E286" s="741"/>
      <c r="F286" s="741"/>
      <c r="G286" s="741"/>
      <c r="H286" s="741"/>
      <c r="I286" s="741"/>
      <c r="J286" s="741"/>
      <c r="K286" s="741"/>
      <c r="L286" s="741"/>
      <c r="M286" s="741"/>
      <c r="N286" s="741"/>
      <c r="O286" s="741"/>
      <c r="P286" s="741"/>
      <c r="Q286" s="741"/>
      <c r="R286" s="741"/>
      <c r="S286" s="741"/>
      <c r="T286" s="741"/>
      <c r="U286" s="741"/>
      <c r="V286" s="741"/>
      <c r="X286" s="741"/>
      <c r="Y286" s="741"/>
      <c r="Z286" s="741"/>
      <c r="AA286" s="741"/>
      <c r="AB286" s="741"/>
      <c r="AC286" s="741"/>
      <c r="AD286" s="741"/>
      <c r="AE286" s="741"/>
      <c r="AF286" s="741"/>
      <c r="AG286" s="741"/>
      <c r="AH286" s="741"/>
      <c r="AI286" s="741"/>
      <c r="AJ286" s="741"/>
      <c r="AK286" s="741"/>
      <c r="AL286" s="741"/>
      <c r="AM286" s="741"/>
      <c r="AN286" s="741"/>
      <c r="AO286" s="741"/>
      <c r="AP286" s="537"/>
    </row>
    <row r="287" spans="1:42" ht="15" customHeight="1" x14ac:dyDescent="0.35">
      <c r="B287" s="526" t="s">
        <v>40</v>
      </c>
      <c r="C287" s="931" t="s">
        <v>41</v>
      </c>
      <c r="D287" s="752"/>
      <c r="E287" s="752"/>
      <c r="F287" s="752"/>
      <c r="G287" s="752"/>
      <c r="H287" s="752"/>
      <c r="I287" s="752"/>
      <c r="J287" s="760" t="str">
        <f>CONCATENATE("Col ", LEFT(ADDRESS(ROW(TB!F49),COLUMN(TB!F49),4), 1))</f>
        <v>Col F</v>
      </c>
      <c r="K287" s="1309" t="str">
        <f>CONCATENATE("Col ", LEFT(ADDRESS(ROW(TB!G49),COLUMN(TB!G49),4), 1))</f>
        <v>Col G</v>
      </c>
    </row>
    <row r="288" spans="1:42" ht="15" customHeight="1" x14ac:dyDescent="0.35">
      <c r="B288" s="523" t="s">
        <v>60</v>
      </c>
      <c r="C288" s="998" t="str">
        <f>TB!B49</f>
        <v>Check: positive VaR capital requirement requires VaR which is positive but smaller than the capital requirement</v>
      </c>
      <c r="D288" s="463"/>
      <c r="E288" s="463"/>
      <c r="F288" s="463"/>
      <c r="G288" s="463"/>
      <c r="H288" s="463"/>
      <c r="I288" s="463"/>
      <c r="J288" s="488" t="str">
        <f>TB!F49</f>
        <v/>
      </c>
      <c r="K288" s="525" t="str">
        <f>TB!G49</f>
        <v/>
      </c>
    </row>
    <row r="289" spans="1:42" ht="15" customHeight="1" x14ac:dyDescent="0.35">
      <c r="B289" s="174" t="s">
        <v>60</v>
      </c>
      <c r="C289" s="1335" t="str">
        <f>TB!B51</f>
        <v>Check: positive Basel 2.5 VaR requires positive Basel 2.5 stressed VaR and vice versa</v>
      </c>
      <c r="D289" s="171"/>
      <c r="E289" s="171"/>
      <c r="F289" s="171"/>
      <c r="G289" s="171"/>
      <c r="H289" s="171"/>
      <c r="I289" s="171"/>
      <c r="J289" s="360" t="str">
        <f>TB!F51</f>
        <v/>
      </c>
      <c r="K289" s="353" t="str">
        <f>TB!G51</f>
        <v/>
      </c>
    </row>
    <row r="290" spans="1:42" ht="15" customHeight="1" x14ac:dyDescent="0.35">
      <c r="L290" s="275"/>
      <c r="M290" s="275"/>
      <c r="N290" s="275"/>
      <c r="W290" s="275"/>
    </row>
    <row r="291" spans="1:42" ht="45" customHeight="1" x14ac:dyDescent="0.35">
      <c r="A291" s="536" t="s">
        <v>75</v>
      </c>
      <c r="B291" s="741"/>
      <c r="C291" s="741"/>
      <c r="D291" s="741"/>
      <c r="E291" s="741"/>
      <c r="F291" s="741"/>
      <c r="G291" s="741"/>
      <c r="H291" s="741"/>
      <c r="I291" s="741"/>
      <c r="J291" s="741"/>
      <c r="K291" s="741"/>
      <c r="L291" s="741"/>
      <c r="M291" s="741"/>
      <c r="N291" s="741"/>
      <c r="O291" s="741"/>
      <c r="P291" s="741"/>
      <c r="Q291" s="741"/>
      <c r="R291" s="741"/>
      <c r="S291" s="741"/>
      <c r="T291" s="741"/>
      <c r="U291" s="741"/>
      <c r="V291" s="741"/>
      <c r="X291" s="741"/>
      <c r="Y291" s="741"/>
      <c r="Z291" s="741"/>
      <c r="AA291" s="741"/>
      <c r="AB291" s="741"/>
      <c r="AC291" s="741"/>
      <c r="AD291" s="741"/>
      <c r="AE291" s="741"/>
      <c r="AF291" s="741"/>
      <c r="AG291" s="741"/>
      <c r="AH291" s="741"/>
      <c r="AI291" s="741"/>
      <c r="AJ291" s="741"/>
      <c r="AK291" s="741"/>
      <c r="AL291" s="741"/>
      <c r="AM291" s="741"/>
      <c r="AN291" s="741"/>
      <c r="AO291" s="741"/>
      <c r="AP291" s="537"/>
    </row>
    <row r="292" spans="1:42" ht="15" customHeight="1" x14ac:dyDescent="0.35">
      <c r="B292" s="526" t="s">
        <v>40</v>
      </c>
      <c r="C292" s="931" t="s">
        <v>41</v>
      </c>
      <c r="D292" s="752"/>
      <c r="E292" s="752"/>
      <c r="F292" s="752"/>
      <c r="G292" s="752"/>
      <c r="H292" s="752"/>
      <c r="I292" s="752"/>
      <c r="J292" s="760" t="str">
        <f>CONCATENATE("Col ", LEFT(ADDRESS(ROW(OpRisk!E2),COLUMN(OpRisk!E3),4), 1))</f>
        <v>Col E</v>
      </c>
      <c r="K292" s="760" t="str">
        <f>CONCATENATE("Col ", LEFT(ADDRESS(ROW(OpRisk!F2),COLUMN(OpRisk!F3),4), 1))</f>
        <v>Col F</v>
      </c>
      <c r="L292" s="760" t="str">
        <f>CONCATENATE("Col ", LEFT(ADDRESS(ROW(OpRisk!G2),COLUMN(OpRisk!G3),4), 1))</f>
        <v>Col G</v>
      </c>
      <c r="M292" s="760" t="str">
        <f>CONCATENATE("Col ", LEFT(ADDRESS(ROW(OpRisk!H2),COLUMN(OpRisk!H3),4), 1))</f>
        <v>Col H</v>
      </c>
      <c r="N292" s="760" t="str">
        <f>CONCATENATE("Col ", LEFT(ADDRESS(ROW(OpRisk!I2),COLUMN(OpRisk!I3),4), 1))</f>
        <v>Col I</v>
      </c>
      <c r="O292" s="760" t="str">
        <f>CONCATENATE("Col ", LEFT(ADDRESS(ROW(OpRisk!J2),COLUMN(OpRisk!J3),4), 1))</f>
        <v>Col J</v>
      </c>
      <c r="P292" s="760" t="str">
        <f>CONCATENATE("Col ", LEFT(ADDRESS(ROW(OpRisk!K2),COLUMN(OpRisk!K3),4), 1))</f>
        <v>Col K</v>
      </c>
      <c r="Q292" s="760" t="str">
        <f>CONCATENATE("Col ", LEFT(ADDRESS(ROW(OpRisk!L2),COLUMN(OpRisk!L3),4), 1))</f>
        <v>Col L</v>
      </c>
      <c r="R292" s="760" t="str">
        <f>CONCATENATE("Col ", LEFT(ADDRESS(ROW(OpRisk!M2),COLUMN(OpRisk!M3),4), 1))</f>
        <v>Col M</v>
      </c>
      <c r="S292" s="1309" t="str">
        <f>CONCATENATE("Col ", LEFT(ADDRESS(ROW(OpRisk!N2),COLUMN(OpRisk!N3),4), 1))</f>
        <v>Col N</v>
      </c>
    </row>
    <row r="293" spans="1:42" ht="15" customHeight="1" x14ac:dyDescent="0.35">
      <c r="B293" s="288" t="s">
        <v>43</v>
      </c>
      <c r="C293" s="1328" t="str">
        <f>OpRisk!B8</f>
        <v>Check: row 7 ≤ row 6</v>
      </c>
      <c r="D293" s="463"/>
      <c r="E293" s="463"/>
      <c r="F293" s="463"/>
      <c r="G293" s="463"/>
      <c r="H293" s="463"/>
      <c r="I293" s="463"/>
      <c r="J293" s="422"/>
      <c r="K293" s="361"/>
      <c r="L293" s="361"/>
      <c r="M293" s="361"/>
      <c r="N293" s="361"/>
      <c r="O293" s="355" t="str">
        <f>OpRisk!J8</f>
        <v>Pass</v>
      </c>
      <c r="P293" s="355" t="str">
        <f>OpRisk!K8</f>
        <v>Pass</v>
      </c>
      <c r="Q293" s="355" t="str">
        <f>OpRisk!L8</f>
        <v>Pass</v>
      </c>
      <c r="R293" s="355" t="str">
        <f>OpRisk!M8</f>
        <v>Pass</v>
      </c>
      <c r="S293" s="355" t="str">
        <f>OpRisk!N8</f>
        <v>Pass</v>
      </c>
    </row>
    <row r="294" spans="1:42" ht="15" customHeight="1" x14ac:dyDescent="0.35">
      <c r="B294" s="115" t="s">
        <v>43</v>
      </c>
      <c r="C294" s="217" t="str">
        <f>OpRisk!B34</f>
        <v>Check: row 33 ≤ row 32</v>
      </c>
      <c r="D294" s="161"/>
      <c r="E294" s="161"/>
      <c r="F294" s="161"/>
      <c r="G294" s="161"/>
      <c r="H294" s="161"/>
      <c r="I294" s="161"/>
      <c r="J294" s="423" t="str">
        <f>OpRisk!E34</f>
        <v>Pass</v>
      </c>
      <c r="K294" s="357" t="str">
        <f>OpRisk!F34</f>
        <v>Pass</v>
      </c>
      <c r="L294" s="357" t="str">
        <f>OpRisk!G34</f>
        <v>Pass</v>
      </c>
      <c r="M294" s="357" t="str">
        <f>OpRisk!H34</f>
        <v>Pass</v>
      </c>
      <c r="N294" s="357" t="str">
        <f>OpRisk!I34</f>
        <v>Pass</v>
      </c>
      <c r="O294" s="357" t="str">
        <f>OpRisk!J34</f>
        <v>Pass</v>
      </c>
      <c r="P294" s="357" t="str">
        <f>OpRisk!K34</f>
        <v>Pass</v>
      </c>
      <c r="Q294" s="357" t="str">
        <f>OpRisk!L34</f>
        <v>Pass</v>
      </c>
      <c r="R294" s="357" t="str">
        <f>OpRisk!M34</f>
        <v>Pass</v>
      </c>
      <c r="S294" s="357" t="str">
        <f>OpRisk!N34</f>
        <v>Pass</v>
      </c>
    </row>
    <row r="295" spans="1:42" ht="15" customHeight="1" x14ac:dyDescent="0.35">
      <c r="B295" s="115" t="s">
        <v>43</v>
      </c>
      <c r="C295" s="217" t="str">
        <f>OpRisk!B37</f>
        <v>Check: row 31 &gt; 0 ↔ row 36 &gt; 0</v>
      </c>
      <c r="D295" s="161"/>
      <c r="E295" s="161"/>
      <c r="F295" s="161"/>
      <c r="G295" s="161"/>
      <c r="H295" s="161"/>
      <c r="I295" s="161"/>
      <c r="J295" s="423" t="str">
        <f>OpRisk!E37</f>
        <v>Pass</v>
      </c>
      <c r="K295" s="357" t="str">
        <f>OpRisk!F37</f>
        <v>Pass</v>
      </c>
      <c r="L295" s="357" t="str">
        <f>OpRisk!G37</f>
        <v>Pass</v>
      </c>
      <c r="M295" s="357" t="str">
        <f>OpRisk!H37</f>
        <v>Pass</v>
      </c>
      <c r="N295" s="357" t="str">
        <f>OpRisk!I37</f>
        <v>Pass</v>
      </c>
      <c r="O295" s="357" t="str">
        <f>OpRisk!J37</f>
        <v>Pass</v>
      </c>
      <c r="P295" s="357" t="str">
        <f>OpRisk!K37</f>
        <v>Pass</v>
      </c>
      <c r="Q295" s="357" t="str">
        <f>OpRisk!L37</f>
        <v>Pass</v>
      </c>
      <c r="R295" s="357" t="str">
        <f>OpRisk!M37</f>
        <v>Pass</v>
      </c>
      <c r="S295" s="357" t="str">
        <f>OpRisk!N37</f>
        <v>Pass</v>
      </c>
    </row>
    <row r="296" spans="1:42" ht="15" customHeight="1" x14ac:dyDescent="0.35">
      <c r="B296" s="115" t="s">
        <v>43</v>
      </c>
      <c r="C296" s="217" t="str">
        <f ca="1">OpRisk!B39</f>
        <v>Check: sum(row 36) ≥ $E$38 ≥ max(row 36)</v>
      </c>
      <c r="D296" s="161"/>
      <c r="E296" s="161"/>
      <c r="F296" s="161"/>
      <c r="G296" s="161"/>
      <c r="H296" s="161"/>
      <c r="I296" s="161"/>
      <c r="J296" s="2558" t="str">
        <f>OpRisk!E39</f>
        <v>Pass</v>
      </c>
      <c r="K296" s="2558"/>
      <c r="L296" s="2558"/>
      <c r="M296" s="2558"/>
      <c r="N296" s="2558"/>
      <c r="O296" s="2558"/>
      <c r="P296" s="2558"/>
      <c r="Q296" s="2558"/>
      <c r="R296" s="2558"/>
      <c r="S296" s="2558"/>
    </row>
    <row r="297" spans="1:42" ht="15" customHeight="1" x14ac:dyDescent="0.35">
      <c r="B297" s="115" t="s">
        <v>43</v>
      </c>
      <c r="C297" s="217" t="str">
        <f ca="1">OpRisk!B40</f>
        <v>Check: sum(row 35)/$E$38 ≥ EUR 20,000 or $E$38 = 0</v>
      </c>
      <c r="D297" s="161"/>
      <c r="E297" s="161"/>
      <c r="F297" s="161"/>
      <c r="G297" s="161"/>
      <c r="H297" s="161"/>
      <c r="I297" s="161"/>
      <c r="J297" s="2558" t="str">
        <f>OpRisk!E40</f>
        <v>Pass</v>
      </c>
      <c r="K297" s="2558"/>
      <c r="L297" s="2558"/>
      <c r="M297" s="2558"/>
      <c r="N297" s="2558"/>
      <c r="O297" s="2558"/>
      <c r="P297" s="2558"/>
      <c r="Q297" s="2558"/>
      <c r="R297" s="2558"/>
      <c r="S297" s="2558"/>
    </row>
    <row r="298" spans="1:42" ht="15" customHeight="1" x14ac:dyDescent="0.35">
      <c r="B298" s="115" t="s">
        <v>43</v>
      </c>
      <c r="C298" s="217" t="str">
        <f ca="1">OpRisk!B44</f>
        <v>Check: $E$38 ≥ $E$43 ≥ 0</v>
      </c>
      <c r="D298" s="161"/>
      <c r="E298" s="161"/>
      <c r="F298" s="161"/>
      <c r="G298" s="161"/>
      <c r="H298" s="161"/>
      <c r="I298" s="161"/>
      <c r="J298" s="404" t="str">
        <f>OpRisk!E44</f>
        <v>Pass</v>
      </c>
      <c r="K298" s="404"/>
      <c r="L298" s="404"/>
      <c r="M298" s="404"/>
      <c r="N298" s="404"/>
      <c r="O298" s="404"/>
      <c r="P298" s="404"/>
      <c r="Q298" s="404"/>
      <c r="R298" s="404"/>
      <c r="S298" s="404"/>
    </row>
    <row r="299" spans="1:42" ht="15" customHeight="1" x14ac:dyDescent="0.35">
      <c r="B299" s="115" t="s">
        <v>43</v>
      </c>
      <c r="C299" s="217" t="str">
        <f ca="1">OpRisk!B45</f>
        <v>Check: sum(row 42)/($E$38 - $E$43) ≥ EUR 20,000 or $E$38 - $E$43 = 0</v>
      </c>
      <c r="D299" s="161"/>
      <c r="E299" s="161"/>
      <c r="F299" s="161"/>
      <c r="G299" s="161"/>
      <c r="H299" s="161"/>
      <c r="I299" s="161"/>
      <c r="J299" s="2558" t="str">
        <f>OpRisk!E45</f>
        <v>Pass</v>
      </c>
      <c r="K299" s="2558"/>
      <c r="L299" s="2558"/>
      <c r="M299" s="2558"/>
      <c r="N299" s="2558"/>
      <c r="O299" s="2558"/>
      <c r="P299" s="2558"/>
      <c r="Q299" s="2558"/>
      <c r="R299" s="2558"/>
      <c r="S299" s="2558"/>
    </row>
    <row r="300" spans="1:42" ht="15" customHeight="1" x14ac:dyDescent="0.35">
      <c r="B300" s="115" t="s">
        <v>43</v>
      </c>
      <c r="C300" s="217" t="str">
        <f>OpRisk!B50</f>
        <v>Check: row 49 ≤ row 48</v>
      </c>
      <c r="D300" s="161"/>
      <c r="E300" s="161"/>
      <c r="F300" s="161"/>
      <c r="G300" s="161"/>
      <c r="H300" s="161"/>
      <c r="I300" s="161"/>
      <c r="J300" s="404" t="str">
        <f>OpRisk!E50</f>
        <v>Pass</v>
      </c>
      <c r="K300" s="356" t="str">
        <f>OpRisk!F50</f>
        <v>Pass</v>
      </c>
      <c r="L300" s="356" t="str">
        <f>OpRisk!G50</f>
        <v>Pass</v>
      </c>
      <c r="M300" s="356" t="str">
        <f>OpRisk!H50</f>
        <v>Pass</v>
      </c>
      <c r="N300" s="356" t="str">
        <f>OpRisk!I50</f>
        <v>Pass</v>
      </c>
      <c r="O300" s="356" t="str">
        <f>OpRisk!J50</f>
        <v>Pass</v>
      </c>
      <c r="P300" s="356" t="str">
        <f>OpRisk!K50</f>
        <v>Pass</v>
      </c>
      <c r="Q300" s="356" t="str">
        <f>OpRisk!L50</f>
        <v>Pass</v>
      </c>
      <c r="R300" s="356" t="str">
        <f>OpRisk!M50</f>
        <v>Pass</v>
      </c>
      <c r="S300" s="356" t="str">
        <f>OpRisk!N50</f>
        <v>Pass</v>
      </c>
    </row>
    <row r="301" spans="1:42" ht="15" customHeight="1" x14ac:dyDescent="0.35">
      <c r="B301" s="115" t="s">
        <v>43</v>
      </c>
      <c r="C301" s="217" t="str">
        <f>OpRisk!B53</f>
        <v>Check: row 47 &gt; 0 ↔ row 52 &gt; 0</v>
      </c>
      <c r="D301" s="161"/>
      <c r="E301" s="161"/>
      <c r="F301" s="161"/>
      <c r="G301" s="161"/>
      <c r="H301" s="161"/>
      <c r="I301" s="161"/>
      <c r="J301" s="404" t="str">
        <f>OpRisk!E53</f>
        <v>Pass</v>
      </c>
      <c r="K301" s="356" t="str">
        <f>OpRisk!F53</f>
        <v>Pass</v>
      </c>
      <c r="L301" s="356" t="str">
        <f>OpRisk!G53</f>
        <v>Pass</v>
      </c>
      <c r="M301" s="356" t="str">
        <f>OpRisk!H53</f>
        <v>Pass</v>
      </c>
      <c r="N301" s="356" t="str">
        <f>OpRisk!I53</f>
        <v>Pass</v>
      </c>
      <c r="O301" s="356" t="str">
        <f>OpRisk!J53</f>
        <v>Pass</v>
      </c>
      <c r="P301" s="356" t="str">
        <f>OpRisk!K53</f>
        <v>Pass</v>
      </c>
      <c r="Q301" s="356" t="str">
        <f>OpRisk!L53</f>
        <v>Pass</v>
      </c>
      <c r="R301" s="356" t="str">
        <f>OpRisk!M53</f>
        <v>Pass</v>
      </c>
      <c r="S301" s="356" t="str">
        <f>OpRisk!N53</f>
        <v>Pass</v>
      </c>
    </row>
    <row r="302" spans="1:42" ht="15" customHeight="1" x14ac:dyDescent="0.35">
      <c r="B302" s="115" t="s">
        <v>43</v>
      </c>
      <c r="C302" s="217" t="str">
        <f ca="1">OpRisk!B55</f>
        <v>Check: sum(row 52) ≥ $E$54 ≥ max(row 52)</v>
      </c>
      <c r="D302" s="161"/>
      <c r="E302" s="161"/>
      <c r="F302" s="161"/>
      <c r="G302" s="161"/>
      <c r="H302" s="161"/>
      <c r="I302" s="161"/>
      <c r="J302" s="2558" t="str">
        <f>OpRisk!E55</f>
        <v>Pass</v>
      </c>
      <c r="K302" s="2558"/>
      <c r="L302" s="2558"/>
      <c r="M302" s="2558"/>
      <c r="N302" s="2558"/>
      <c r="O302" s="2558"/>
      <c r="P302" s="2558"/>
      <c r="Q302" s="2558"/>
      <c r="R302" s="2558"/>
      <c r="S302" s="2558"/>
    </row>
    <row r="303" spans="1:42" ht="15" customHeight="1" x14ac:dyDescent="0.35">
      <c r="B303" s="115" t="s">
        <v>43</v>
      </c>
      <c r="C303" s="217" t="str">
        <f ca="1">OpRisk!B56</f>
        <v>Check: sum(row 51)/$E$54 ≥ EUR 100,000 or $E$54 = 0</v>
      </c>
      <c r="D303" s="161"/>
      <c r="E303" s="161"/>
      <c r="F303" s="161"/>
      <c r="G303" s="161"/>
      <c r="H303" s="161"/>
      <c r="I303" s="161"/>
      <c r="J303" s="2558" t="str">
        <f>OpRisk!E56</f>
        <v>Pass</v>
      </c>
      <c r="K303" s="2558"/>
      <c r="L303" s="2558"/>
      <c r="M303" s="2558"/>
      <c r="N303" s="2558"/>
      <c r="O303" s="2558"/>
      <c r="P303" s="2558"/>
      <c r="Q303" s="2558"/>
      <c r="R303" s="2558"/>
      <c r="S303" s="2558"/>
    </row>
    <row r="304" spans="1:42" ht="15" customHeight="1" x14ac:dyDescent="0.35">
      <c r="B304" s="115" t="s">
        <v>43</v>
      </c>
      <c r="C304" s="217" t="str">
        <f ca="1">OpRisk!B60</f>
        <v>Check: $E$54 ≥ $E$59 ≥ 0</v>
      </c>
      <c r="D304" s="161"/>
      <c r="E304" s="161"/>
      <c r="F304" s="161"/>
      <c r="G304" s="161"/>
      <c r="H304" s="161"/>
      <c r="I304" s="161"/>
      <c r="J304" s="404" t="str">
        <f>OpRisk!E60</f>
        <v>Pass</v>
      </c>
      <c r="K304" s="404"/>
      <c r="L304" s="404"/>
      <c r="M304" s="404"/>
      <c r="N304" s="404"/>
      <c r="O304" s="404"/>
      <c r="P304" s="404"/>
      <c r="Q304" s="404"/>
      <c r="R304" s="404"/>
      <c r="S304" s="404"/>
    </row>
    <row r="305" spans="1:42" ht="15" customHeight="1" x14ac:dyDescent="0.35">
      <c r="B305" s="115" t="s">
        <v>43</v>
      </c>
      <c r="C305" s="217" t="str">
        <f ca="1">OpRisk!B61</f>
        <v>Check: sum(row 58)/($E$54 - $E$59) ≥ EUR 100,000 or $E$54 - $E$59 = 0</v>
      </c>
      <c r="D305" s="161"/>
      <c r="E305" s="161"/>
      <c r="F305" s="161"/>
      <c r="G305" s="161"/>
      <c r="H305" s="161"/>
      <c r="I305" s="161"/>
      <c r="J305" s="2558" t="str">
        <f>OpRisk!E61</f>
        <v>Pass</v>
      </c>
      <c r="K305" s="2558"/>
      <c r="L305" s="2558"/>
      <c r="M305" s="2558"/>
      <c r="N305" s="2558"/>
      <c r="O305" s="2558"/>
      <c r="P305" s="2558"/>
      <c r="Q305" s="2558"/>
      <c r="R305" s="2558"/>
      <c r="S305" s="2558"/>
    </row>
    <row r="306" spans="1:42" ht="15" customHeight="1" x14ac:dyDescent="0.35">
      <c r="B306" s="350" t="s">
        <v>43</v>
      </c>
      <c r="C306" s="177" t="str">
        <f>OpRisk!B62</f>
        <v>Check: row 31 ≥ row 47 &amp; row 32 ≥ row 48 &amp; row 33 ≥ row 49 &amp; row 36 ≥ row 52</v>
      </c>
      <c r="D306" s="167"/>
      <c r="E306" s="167"/>
      <c r="F306" s="167"/>
      <c r="G306" s="167"/>
      <c r="H306" s="167"/>
      <c r="I306" s="167"/>
      <c r="J306" s="423" t="str">
        <f>OpRisk!E62</f>
        <v>Pass</v>
      </c>
      <c r="K306" s="357" t="str">
        <f>OpRisk!F62</f>
        <v>Pass</v>
      </c>
      <c r="L306" s="357" t="str">
        <f>OpRisk!G62</f>
        <v>Pass</v>
      </c>
      <c r="M306" s="357" t="str">
        <f>OpRisk!H62</f>
        <v>Pass</v>
      </c>
      <c r="N306" s="357" t="str">
        <f>OpRisk!I62</f>
        <v>Pass</v>
      </c>
      <c r="O306" s="357" t="str">
        <f>OpRisk!J62</f>
        <v>Pass</v>
      </c>
      <c r="P306" s="357" t="str">
        <f>OpRisk!K62</f>
        <v>Pass</v>
      </c>
      <c r="Q306" s="357" t="str">
        <f>OpRisk!L62</f>
        <v>Pass</v>
      </c>
      <c r="R306" s="357" t="str">
        <f>OpRisk!M62</f>
        <v>Pass</v>
      </c>
      <c r="S306" s="357" t="str">
        <f>OpRisk!N62</f>
        <v>Pass</v>
      </c>
    </row>
    <row r="307" spans="1:42" ht="15" customHeight="1" x14ac:dyDescent="0.35">
      <c r="B307" s="228" t="s">
        <v>76</v>
      </c>
      <c r="C307" s="217" t="str">
        <f>OpRisk!B95</f>
        <v>Check: new SA should generally not be combined with other approaches</v>
      </c>
      <c r="D307" s="161"/>
      <c r="E307" s="161"/>
      <c r="F307" s="161"/>
      <c r="G307" s="161"/>
      <c r="H307" s="161"/>
      <c r="I307" s="161"/>
      <c r="J307" s="182"/>
      <c r="K307" s="180"/>
      <c r="L307" s="180"/>
      <c r="M307" s="180"/>
      <c r="N307" s="180"/>
      <c r="O307" s="180"/>
      <c r="P307" s="180"/>
      <c r="Q307" s="352" t="str">
        <f>OpRisk!L95</f>
        <v>Pass</v>
      </c>
      <c r="R307" s="352" t="str">
        <f>OpRisk!M95</f>
        <v>Pass</v>
      </c>
      <c r="S307" s="356" t="str">
        <f>OpRisk!N95</f>
        <v>Pass</v>
      </c>
    </row>
    <row r="308" spans="1:42" ht="15" customHeight="1" x14ac:dyDescent="0.35">
      <c r="B308" s="193" t="s">
        <v>76</v>
      </c>
      <c r="C308" s="1254" t="str">
        <f>OpRisk!B103</f>
        <v>Check: new SA add-ons should generally not be combined with other approaches</v>
      </c>
      <c r="D308" s="171"/>
      <c r="E308" s="171"/>
      <c r="F308" s="171"/>
      <c r="G308" s="171"/>
      <c r="H308" s="171"/>
      <c r="I308" s="171"/>
      <c r="J308" s="184"/>
      <c r="K308" s="234"/>
      <c r="L308" s="234"/>
      <c r="M308" s="234"/>
      <c r="N308" s="234"/>
      <c r="O308" s="234"/>
      <c r="P308" s="234"/>
      <c r="Q308" s="354" t="str">
        <f>OpRisk!L103</f>
        <v>Pass</v>
      </c>
      <c r="R308" s="354" t="str">
        <f>OpRisk!M103</f>
        <v>Pass</v>
      </c>
      <c r="S308" s="353" t="str">
        <f>OpRisk!N103</f>
        <v>Pass</v>
      </c>
    </row>
    <row r="309" spans="1:42" ht="15" customHeight="1" x14ac:dyDescent="0.35">
      <c r="A309" s="717"/>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75"/>
      <c r="AE309" s="275"/>
      <c r="AF309" s="275"/>
      <c r="AG309" s="275"/>
      <c r="AH309" s="275"/>
      <c r="AI309" s="275"/>
      <c r="AJ309" s="275"/>
      <c r="AK309" s="275"/>
      <c r="AL309" s="275"/>
      <c r="AM309" s="275"/>
      <c r="AN309" s="275"/>
      <c r="AO309" s="275"/>
      <c r="AP309" s="567"/>
    </row>
  </sheetData>
  <sheetProtection algorithmName="SHA-512" hashValue="q2YFhjyr/Ajg5vyrykHSEpPA/FBTdGKwykQZv1tSWFSnTsuYIYu6cwyH033Fl3C56l9mAJuCGYveJiVfOy908Q==" saltValue="BQ/gJHQn/LlE2vp0enAXkg==" spinCount="100000" sheet="1" objects="1" scenarios="1"/>
  <mergeCells count="85">
    <mergeCell ref="D210:E210"/>
    <mergeCell ref="D211:E211"/>
    <mergeCell ref="D212:E212"/>
    <mergeCell ref="D204:E204"/>
    <mergeCell ref="D205:E205"/>
    <mergeCell ref="D206:E206"/>
    <mergeCell ref="D207:E207"/>
    <mergeCell ref="D208:E208"/>
    <mergeCell ref="D197:E197"/>
    <mergeCell ref="D198:E198"/>
    <mergeCell ref="D200:E200"/>
    <mergeCell ref="D201:E201"/>
    <mergeCell ref="D209:E209"/>
    <mergeCell ref="D192:E192"/>
    <mergeCell ref="D193:E193"/>
    <mergeCell ref="D194:E194"/>
    <mergeCell ref="D195:E195"/>
    <mergeCell ref="D196:E196"/>
    <mergeCell ref="D167:E167"/>
    <mergeCell ref="D168:E168"/>
    <mergeCell ref="D169:E169"/>
    <mergeCell ref="D170:E170"/>
    <mergeCell ref="D171:E171"/>
    <mergeCell ref="J305:S305"/>
    <mergeCell ref="D172:E172"/>
    <mergeCell ref="D173:E173"/>
    <mergeCell ref="D174:E174"/>
    <mergeCell ref="D176:E176"/>
    <mergeCell ref="D177:E177"/>
    <mergeCell ref="D179:E179"/>
    <mergeCell ref="D180:E180"/>
    <mergeCell ref="D182:E182"/>
    <mergeCell ref="D183:E183"/>
    <mergeCell ref="D185:E185"/>
    <mergeCell ref="D186:E186"/>
    <mergeCell ref="D188:E188"/>
    <mergeCell ref="D189:E189"/>
    <mergeCell ref="D190:E190"/>
    <mergeCell ref="D191:E191"/>
    <mergeCell ref="J296:S296"/>
    <mergeCell ref="J297:S297"/>
    <mergeCell ref="J299:S299"/>
    <mergeCell ref="J302:S302"/>
    <mergeCell ref="J303:S303"/>
    <mergeCell ref="F173:G173"/>
    <mergeCell ref="F174:G174"/>
    <mergeCell ref="F176:G176"/>
    <mergeCell ref="F177:G177"/>
    <mergeCell ref="F167:G167"/>
    <mergeCell ref="F168:G168"/>
    <mergeCell ref="F169:G169"/>
    <mergeCell ref="F170:G170"/>
    <mergeCell ref="F171:G171"/>
    <mergeCell ref="B167:B168"/>
    <mergeCell ref="F206:G206"/>
    <mergeCell ref="F207:G207"/>
    <mergeCell ref="F208:G208"/>
    <mergeCell ref="F209:G209"/>
    <mergeCell ref="F197:G197"/>
    <mergeCell ref="F198:G198"/>
    <mergeCell ref="F200:G200"/>
    <mergeCell ref="F201:G201"/>
    <mergeCell ref="F205:G205"/>
    <mergeCell ref="F192:G192"/>
    <mergeCell ref="F193:G193"/>
    <mergeCell ref="F194:G194"/>
    <mergeCell ref="F195:G195"/>
    <mergeCell ref="F196:G196"/>
    <mergeCell ref="F186:G186"/>
    <mergeCell ref="C254:E254"/>
    <mergeCell ref="F211:G211"/>
    <mergeCell ref="F212:G212"/>
    <mergeCell ref="F204:G204"/>
    <mergeCell ref="C167:C168"/>
    <mergeCell ref="F210:G210"/>
    <mergeCell ref="F188:G188"/>
    <mergeCell ref="F189:G189"/>
    <mergeCell ref="F190:G190"/>
    <mergeCell ref="F191:G191"/>
    <mergeCell ref="F179:G179"/>
    <mergeCell ref="F180:G180"/>
    <mergeCell ref="F182:G182"/>
    <mergeCell ref="F183:G183"/>
    <mergeCell ref="F185:G185"/>
    <mergeCell ref="F172:G172"/>
  </mergeCells>
  <conditionalFormatting sqref="A56:K56 M56:AP56 A57:AP1048576 A1:AP55">
    <cfRule type="cellIs" dxfId="10123" priority="21" stopIfTrue="1" operator="equal">
      <formula>"Pass"</formula>
    </cfRule>
    <cfRule type="cellIs" dxfId="10122" priority="22" stopIfTrue="1" operator="equal">
      <formula>"No"</formula>
    </cfRule>
    <cfRule type="cellIs" dxfId="10121" priority="23" stopIfTrue="1" operator="equal">
      <formula>"Fail"</formula>
    </cfRule>
    <cfRule type="cellIs" dxfId="10120" priority="24" stopIfTrue="1" operator="equal">
      <formula>"please check"</formula>
    </cfRule>
  </conditionalFormatting>
  <conditionalFormatting sqref="L56">
    <cfRule type="cellIs" dxfId="10119" priority="1" stopIfTrue="1" operator="equal">
      <formula>"Pass"</formula>
    </cfRule>
    <cfRule type="cellIs" dxfId="10118" priority="2" stopIfTrue="1" operator="equal">
      <formula>"No"</formula>
    </cfRule>
    <cfRule type="cellIs" dxfId="10117" priority="3" stopIfTrue="1" operator="equal">
      <formula>"Fail"</formula>
    </cfRule>
    <cfRule type="cellIs" dxfId="10116" priority="4"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5" max="19" man="1"/>
    <brk id="53" max="19" man="1"/>
    <brk id="60" max="19" man="1"/>
    <brk id="103" max="19" man="1"/>
    <brk id="195" max="41" man="1"/>
    <brk id="228" max="34" man="1"/>
    <brk id="259" max="21" man="1"/>
    <brk id="290" max="21" man="1"/>
  </rowBreaks>
  <ignoredErrors>
    <ignoredError sqref="C303"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EC72"/>
  </sheetPr>
  <dimension ref="A1:P395"/>
  <sheetViews>
    <sheetView zoomScale="75" zoomScaleNormal="75" zoomScaleSheetLayoutView="50" workbookViewId="0">
      <pane ySplit="1" topLeftCell="A38" activePane="bottomLeft" state="frozen"/>
      <selection activeCell="P35" sqref="P35"/>
      <selection pane="bottomLeft"/>
    </sheetView>
  </sheetViews>
  <sheetFormatPr defaultColWidth="0" defaultRowHeight="0" customHeight="1" zeroHeight="1" x14ac:dyDescent="0.35"/>
  <cols>
    <col min="1" max="1" width="1.6640625" style="98" customWidth="1"/>
    <col min="2" max="2" width="10.6640625" style="98" customWidth="1"/>
    <col min="3" max="4" width="12.6640625" style="98" customWidth="1"/>
    <col min="5" max="5" width="36.6640625" style="98" customWidth="1"/>
    <col min="6" max="12" width="28.6640625" style="98" customWidth="1"/>
    <col min="13" max="15" width="28.88671875" style="98" customWidth="1"/>
    <col min="16" max="16" width="1.6640625" style="98" customWidth="1"/>
    <col min="17" max="16384" width="19.44140625" hidden="1"/>
  </cols>
  <sheetData>
    <row r="1" spans="1:16" ht="30" customHeight="1" x14ac:dyDescent="0.65">
      <c r="A1" s="766" t="s">
        <v>1365</v>
      </c>
      <c r="B1" s="767"/>
      <c r="C1" s="767"/>
      <c r="D1" s="767"/>
      <c r="E1" s="767"/>
      <c r="F1" s="767"/>
      <c r="G1" s="739" t="str">
        <f>CONCATENATE("Reporting unit: ", 'General Info'!$C$7, " ", 'General Info'!$C$5)</f>
        <v>Reporting unit: 1000 eur</v>
      </c>
      <c r="H1" s="767"/>
      <c r="I1" s="767"/>
      <c r="J1" s="767"/>
      <c r="K1" s="767"/>
      <c r="L1" s="767"/>
      <c r="M1" s="767"/>
      <c r="N1" s="767"/>
      <c r="O1" s="767"/>
      <c r="P1" s="1363"/>
    </row>
    <row r="2" spans="1:16" ht="45" customHeight="1" x14ac:dyDescent="0.35">
      <c r="A2" s="280" t="s">
        <v>1366</v>
      </c>
      <c r="B2" s="886"/>
      <c r="C2" s="846"/>
      <c r="D2" s="846"/>
      <c r="E2" s="846"/>
      <c r="F2" s="846"/>
      <c r="G2" s="846"/>
      <c r="H2" s="846"/>
      <c r="I2" s="846"/>
      <c r="J2" s="846"/>
      <c r="K2" s="846"/>
      <c r="L2" s="846"/>
      <c r="M2" s="846"/>
      <c r="P2" s="728"/>
    </row>
    <row r="3" spans="1:16" ht="45" customHeight="1" x14ac:dyDescent="0.35">
      <c r="A3" s="263"/>
      <c r="B3" s="2862" t="s">
        <v>1367</v>
      </c>
      <c r="C3" s="2862"/>
      <c r="D3" s="2862"/>
      <c r="E3" s="2835"/>
      <c r="F3" s="954" t="s">
        <v>1368</v>
      </c>
      <c r="G3" s="954" t="s">
        <v>1369</v>
      </c>
      <c r="H3" s="954" t="s">
        <v>1370</v>
      </c>
      <c r="I3" s="1252" t="s">
        <v>1371</v>
      </c>
      <c r="J3" s="1252" t="s">
        <v>1372</v>
      </c>
      <c r="K3" s="1252" t="s">
        <v>1373</v>
      </c>
      <c r="L3" s="3127" t="s">
        <v>1374</v>
      </c>
      <c r="M3" s="3128"/>
      <c r="N3" s="3128"/>
      <c r="P3" s="315"/>
    </row>
    <row r="4" spans="1:16" ht="15" customHeight="1" x14ac:dyDescent="0.35">
      <c r="A4" s="263"/>
      <c r="B4" s="188" t="str">
        <f>A19</f>
        <v>A. General interest rate risk</v>
      </c>
      <c r="C4" s="188"/>
      <c r="D4" s="188"/>
      <c r="E4" s="189"/>
      <c r="F4" s="1251" t="str">
        <f>IF(AND(ISNUMBER(F73), ISNUMBER(F77), ISNUMBER(F81)), SUM(F73,F77,F81), "")</f>
        <v/>
      </c>
      <c r="G4" s="1251" t="str">
        <f>IF(AND(ISNUMBER(F74), ISNUMBER(F78), ISNUMBER(F82)), SUM(F74,F78,F82), "")</f>
        <v/>
      </c>
      <c r="H4" s="1251" t="str">
        <f>IF(AND(ISNUMBER(F75), ISNUMBER(F79), ISNUMBER(F83)), SUM(F75,F79,F83), "")</f>
        <v/>
      </c>
      <c r="I4" s="3132" t="str">
        <f>IF(MAX(SUM(F4:F10), SUM(G4:G10), SUM(H4:H10))=SUM(F4:F10), "Medium", IF(MAX(SUM(F4:F10), SUM(G4:G10), SUM(H4:H10))=SUM(G4:G10), "High", IF(MAX(SUM(F4:F10), SUM(G4:G10), SUM(H4:H10))=SUM(H4:H10), "Low", "")))</f>
        <v>Medium</v>
      </c>
      <c r="J4" s="1253" t="str">
        <f>IF(ISNUMBER(F71), F71, "")</f>
        <v/>
      </c>
      <c r="K4" s="545">
        <f>TB!G63+TB!G69+TB!G75</f>
        <v>0</v>
      </c>
      <c r="L4" s="2569" t="str">
        <f>IF(OR(J4="", K4=""), "", IF(AND('General Info'!$D$48="Yes", 'General Info'!$D$49="No"), IF(ABS((J4/K4)-1)&lt;0.001, "Pass", IF(ABS((J4/K4)-1)&lt;0.05, "GIRR SbM discrepancy between TB and TBRC ≥ 0.1%", "Critical: GIRR SbM discrepancy between TB and TBRC ≥ 5%")), IF(K4&gt;=J4, "GIRR SbM for global portfolio &gt; SbM for SA portfolio", "Pass")))</f>
        <v/>
      </c>
      <c r="M4" s="2570"/>
      <c r="N4" s="2570"/>
      <c r="P4" s="315"/>
    </row>
    <row r="5" spans="1:16" ht="15" customHeight="1" x14ac:dyDescent="0.35">
      <c r="A5" s="263"/>
      <c r="B5" s="161" t="str">
        <f>A85</f>
        <v>B. Credit spread risk: non-securitisations</v>
      </c>
      <c r="C5" s="161"/>
      <c r="D5" s="161"/>
      <c r="E5" s="712"/>
      <c r="F5" s="693" t="str">
        <f>IF(AND(ISNUMBER(F110), ISNUMBER(F114), ISNUMBER(F118)), SUM(F110,F114,F118), "")</f>
        <v/>
      </c>
      <c r="G5" s="693" t="str">
        <f>IF(AND(ISNUMBER(F111), ISNUMBER(F115), ISNUMBER(F119)), SUM(F111,F115,F119), "")</f>
        <v/>
      </c>
      <c r="H5" s="693" t="str">
        <f>IF(AND(ISNUMBER(F112), ISNUMBER(F116), ISNUMBER(F120)), SUM(F112,F116,F120), "")</f>
        <v/>
      </c>
      <c r="I5" s="3133"/>
      <c r="J5" s="217" t="str">
        <f>IF(ISNUMBER(F108), F108, "")</f>
        <v/>
      </c>
      <c r="K5" s="3126">
        <f>TB!G64+TB!G70+TB!G76</f>
        <v>0</v>
      </c>
      <c r="L5" s="2557" t="str">
        <f>IF(OR(J5="", J6="", J7="", K5=""), "", IF(AND('General Info'!D48="Yes", 'General Info'!D49="No"), IF(ABS((SUM(J5:J7)/K5)-1)&lt;0.001, "Pass", IF(ABS((SUM(J5:J7)/K5)-1)&lt;0.05, "CSR SbM discrepancy between TB and TBRC ≥ 0.1%", "Critical: CSR SbM discrepancy between TB and TBRC ≥ 5%")), IF(K5&gt;=SUM(J5:J7), "CSR SbM for global portfolio &gt; SbM for SA portfolio", "Pass")))</f>
        <v/>
      </c>
      <c r="M5" s="2558"/>
      <c r="N5" s="2558"/>
      <c r="P5" s="315"/>
    </row>
    <row r="6" spans="1:16" ht="15" customHeight="1" x14ac:dyDescent="0.35">
      <c r="A6" s="263"/>
      <c r="B6" s="161" t="str">
        <f>A122</f>
        <v>C. Credit spread risk: securitisations (non-CTP)</v>
      </c>
      <c r="C6" s="161"/>
      <c r="D6" s="161"/>
      <c r="E6" s="712"/>
      <c r="F6" s="693" t="str">
        <f>IF(AND(ISNUMBER(F154), ISNUMBER(F158), ISNUMBER(F162)), SUM(F154,F158,F162), "")</f>
        <v/>
      </c>
      <c r="G6" s="693" t="str">
        <f>IF(AND(ISNUMBER(F155), ISNUMBER(F159), ISNUMBER(F163)), SUM(F155,F159,F163), "")</f>
        <v/>
      </c>
      <c r="H6" s="693" t="str">
        <f>IF(AND(ISNUMBER(F156), ISNUMBER(F160), ISNUMBER(F164)), SUM(F156,F160,F164), "")</f>
        <v/>
      </c>
      <c r="I6" s="3133"/>
      <c r="J6" s="217" t="str">
        <f>IF(ISNUMBER(F152), F152, "")</f>
        <v/>
      </c>
      <c r="K6" s="3126"/>
      <c r="L6" s="2557"/>
      <c r="M6" s="2558"/>
      <c r="N6" s="2558"/>
      <c r="P6" s="315"/>
    </row>
    <row r="7" spans="1:16" ht="15" customHeight="1" x14ac:dyDescent="0.35">
      <c r="A7" s="263"/>
      <c r="B7" s="161" t="str">
        <f>A166</f>
        <v>D. Credit spread risk: securitisations (CTP)</v>
      </c>
      <c r="C7" s="161"/>
      <c r="D7" s="161"/>
      <c r="E7" s="712"/>
      <c r="F7" s="693">
        <f>IF($F$169="No", 0, IF(AND(ISNUMBER(F193), ISNUMBER(F197), ISNUMBER(F201)), SUM(F193,F197,F201), ""))</f>
        <v>0</v>
      </c>
      <c r="G7" s="693">
        <f>IF($F$169="No", 0, IF(AND(ISNUMBER(F194), ISNUMBER(F198), ISNUMBER(F202)), SUM(F194,F198,F202), ""))</f>
        <v>0</v>
      </c>
      <c r="H7" s="693">
        <f>IF($F$169="No", 0, IF(AND(ISNUMBER(F195), ISNUMBER(F199), ISNUMBER(F203)), SUM(F195,F199,F203), ""))</f>
        <v>0</v>
      </c>
      <c r="I7" s="3133"/>
      <c r="J7" s="217">
        <f>IF(ISNUMBER(F191), F191, "")</f>
        <v>0</v>
      </c>
      <c r="K7" s="3126"/>
      <c r="L7" s="2557"/>
      <c r="M7" s="2558"/>
      <c r="N7" s="2558"/>
      <c r="P7" s="315"/>
    </row>
    <row r="8" spans="1:16" ht="15" customHeight="1" x14ac:dyDescent="0.35">
      <c r="A8" s="263"/>
      <c r="B8" s="161" t="str">
        <f>A205</f>
        <v>E. Equity risk</v>
      </c>
      <c r="C8" s="161"/>
      <c r="D8" s="161"/>
      <c r="E8" s="712"/>
      <c r="F8" s="693" t="str">
        <f>IF(AND(ISNUMBER(F226), ISNUMBER(F230), ISNUMBER(F234)), SUM(F226,F230,F234), "")</f>
        <v/>
      </c>
      <c r="G8" s="693" t="str">
        <f>IF(AND(ISNUMBER(F227), ISNUMBER(F231), ISNUMBER(F235)), SUM(F227,F231,F235), "")</f>
        <v/>
      </c>
      <c r="H8" s="693" t="str">
        <f>IF(AND(ISNUMBER(F228), ISNUMBER(F232), ISNUMBER(F236)), SUM(F228,F232,F236), "")</f>
        <v/>
      </c>
      <c r="I8" s="3133"/>
      <c r="J8" s="217" t="str">
        <f>IF(ISNUMBER(F224), F224, "")</f>
        <v/>
      </c>
      <c r="K8" s="186">
        <f>TB!G65+TB!G71+TB!G77</f>
        <v>0</v>
      </c>
      <c r="L8" s="2557" t="str">
        <f>IF(OR(J8="", K8=""), "", IF(AND('General Info'!$D$48="Yes", 'General Info'!$D$49="No"), IF(ABS((J8/K8)-1)&lt;0.001, "Pass", IF(ABS((J8/K8)-1)&lt;0.05, "Equity risk SbM discrepancy between TB and TBRC ≥ 0.1%", "Critical: Equity risk SbM discrepancy between TB and TBRC ≥ 5%")), IF(K8&gt;=J8, "Equity risk SbM for global portfolio &gt; SbM for SA portfolio", "Pass")))</f>
        <v/>
      </c>
      <c r="M8" s="2558"/>
      <c r="N8" s="2558"/>
      <c r="P8" s="315"/>
    </row>
    <row r="9" spans="1:16" ht="15" customHeight="1" x14ac:dyDescent="0.35">
      <c r="A9" s="263"/>
      <c r="B9" s="161" t="str">
        <f>A238</f>
        <v>F. Commodity risk</v>
      </c>
      <c r="C9" s="161"/>
      <c r="D9" s="161"/>
      <c r="E9" s="712"/>
      <c r="F9" s="693" t="str">
        <f>IF(AND(ISNUMBER(F256), ISNUMBER(F260), ISNUMBER(F264)), SUM(F256,F260,F264), "")</f>
        <v/>
      </c>
      <c r="G9" s="693" t="str">
        <f>IF(AND(ISNUMBER(F257), ISNUMBER(F261), ISNUMBER(F265)), SUM(F257,F261,F265), "")</f>
        <v/>
      </c>
      <c r="H9" s="693" t="str">
        <f>IF(AND(ISNUMBER(F258), ISNUMBER(F262), ISNUMBER(F266)), SUM(F258,F262,F266), "")</f>
        <v/>
      </c>
      <c r="I9" s="3133"/>
      <c r="J9" s="217" t="str">
        <f>IF(ISNUMBER(F254), F254, "")</f>
        <v/>
      </c>
      <c r="K9" s="186">
        <f>TB!G66+TB!G72+TB!G78</f>
        <v>0</v>
      </c>
      <c r="L9" s="2557" t="str">
        <f>IF(OR(J9="", K9=""), "", IF(AND('General Info'!$D$48="Yes", 'General Info'!$D$49="No"), IF(ABS((J9/K9)-1)&lt;0.001, "Pass", IF(ABS((J9/K9)-1)&lt;0.05, "Commodity risk SbM discrepancy between TB and TBRC ≥ 0.1%.", "Critical: Commodity risk SbM discrepancy between TB and TBRC ≥ 5%")), IF(K9&gt;=J9, "Commodity risk SbM for global portfolio &gt; SbM for SA portfolio", "Pass")))</f>
        <v/>
      </c>
      <c r="M9" s="2558"/>
      <c r="N9" s="2558"/>
      <c r="P9" s="315"/>
    </row>
    <row r="10" spans="1:16" ht="15" customHeight="1" x14ac:dyDescent="0.35">
      <c r="A10" s="263"/>
      <c r="B10" s="171" t="str">
        <f>A268</f>
        <v>G. Foreign exchange risk</v>
      </c>
      <c r="C10" s="171"/>
      <c r="D10" s="171"/>
      <c r="E10" s="1249"/>
      <c r="F10" s="1250" t="str">
        <f>IF(AND(ISNUMBER(F351), ISNUMBER(F355), ISNUMBER(F359)), SUM(F351,F355,F359), "")</f>
        <v/>
      </c>
      <c r="G10" s="1250" t="str">
        <f>IF(AND(ISNUMBER(F352), ISNUMBER(F356), ISNUMBER(F360)), SUM(F352,F356,F360), "")</f>
        <v/>
      </c>
      <c r="H10" s="1250" t="str">
        <f>IF(AND(ISNUMBER(F353), ISNUMBER(F357), ISNUMBER(F361)), SUM(F353,F357,F361), "")</f>
        <v/>
      </c>
      <c r="I10" s="3134"/>
      <c r="J10" s="1254" t="str">
        <f>IF(ISNUMBER(F349), F349, "")</f>
        <v/>
      </c>
      <c r="K10" s="1314">
        <f>TB!G67+TB!G73+TB!G79</f>
        <v>0</v>
      </c>
      <c r="L10" s="2559" t="str">
        <f>IF(OR(J10="", K10=""), "", IF(AND('General Info'!$D$48="Yes", 'General Info'!$D$49="No"), IF(ABS((J10/K10)-1)&lt;0.001, "Pass", IF(ABS((J10/K10)-1)&lt;0.05, "FX risk SbM discrepancy between TB and TBRC ≥ 0.1%", "Critical: FX risk SbM discrepancy between TB and TBRC ≥ 5%")), IF(K10&gt;=J10, "FX risk SbM for global portfolio &gt; SbM for SA portfolio", "Pass")))</f>
        <v/>
      </c>
      <c r="M10" s="2560"/>
      <c r="N10" s="2560"/>
      <c r="P10" s="315"/>
    </row>
    <row r="11" spans="1:16" ht="15" customHeight="1" x14ac:dyDescent="0.35">
      <c r="A11" s="263"/>
      <c r="L11" s="71"/>
      <c r="P11" s="315"/>
    </row>
    <row r="12" spans="1:16" ht="15" customHeight="1" x14ac:dyDescent="0.35">
      <c r="A12" s="263"/>
      <c r="B12" s="463" t="str">
        <f>TB!B11</f>
        <v>Revised market risk capital requirement (assuming SA for the global portfolio)</v>
      </c>
      <c r="C12" s="463"/>
      <c r="D12" s="463"/>
      <c r="E12" s="463"/>
      <c r="F12" s="551" t="str">
        <f>IF(ISNUMBER(TB!G11), TB!G11, "")</f>
        <v/>
      </c>
      <c r="G12" s="586"/>
      <c r="H12" s="586"/>
      <c r="I12" s="586"/>
      <c r="J12" s="586"/>
      <c r="L12" s="71"/>
      <c r="P12" s="315"/>
    </row>
    <row r="13" spans="1:16" ht="15" customHeight="1" x14ac:dyDescent="0.35">
      <c r="A13" s="263"/>
      <c r="B13" s="161" t="s">
        <v>1375</v>
      </c>
      <c r="C13" s="161"/>
      <c r="D13" s="161"/>
      <c r="E13" s="161"/>
      <c r="F13" s="135" t="str">
        <f>IF(AND(ISNUMBER(J4), ISNUMBER(J5), ISNUMBER(J6), ISNUMBER(J7), ISNUMBER(J8), ISNUMBER(J9), ISNUMBER(J10), ISNUMBER(F366), ISNUMBER(F367), ISNUMBER(F368), ISNUMBER(F369), ISNUMBER(F370), OR(ISNUMBER(TB!G80), 'General Info'!D48="No"), OR(ISNUMBER(TB!G81), 'General Info'!D48="No"), OR(ISNUMBER(TB!G152), 'General Info'!D49="No")), SUM(J4:J10)+SUM(F366:F370)+0.001*TB!G80+TB!G81+TB!G152, "")</f>
        <v/>
      </c>
      <c r="G13" s="531"/>
      <c r="H13" s="531"/>
      <c r="I13" s="531"/>
      <c r="J13" s="531"/>
      <c r="L13" s="71"/>
      <c r="P13" s="315"/>
    </row>
    <row r="14" spans="1:16" ht="15" customHeight="1" x14ac:dyDescent="0.35">
      <c r="A14" s="263"/>
      <c r="B14" s="1315" t="s">
        <v>1376</v>
      </c>
      <c r="C14" s="171"/>
      <c r="D14" s="171"/>
      <c r="E14" s="171"/>
      <c r="F14" s="2559" t="str">
        <f>IF(OR(F12=0, F12="", F13=0, F13=""), "", ((IF(AND(ABS(F12/F13)&gt;0.999, ABS(F12/F13)&lt;1.001), "Pass", IF(AND(ABS(F12/F13)&gt;0.99, ABS(F12/F13)&lt;1.01), "Check: Discrepancy in global portfolio SA capital requirement between the reported value in TB!G7 and reconstructed value ≥ 0.1%", "Critical: Discrepancy in global portfolio SA capital requirement between the reported value in TB!G7 and reconstructed value ≥ 1%")))))</f>
        <v/>
      </c>
      <c r="G14" s="2560"/>
      <c r="H14" s="2560"/>
      <c r="I14" s="2560"/>
      <c r="J14" s="2560"/>
      <c r="L14" s="71"/>
      <c r="P14" s="315"/>
    </row>
    <row r="15" spans="1:16" ht="15" customHeight="1" x14ac:dyDescent="0.35">
      <c r="A15" s="263"/>
      <c r="L15" s="71"/>
      <c r="P15" s="315"/>
    </row>
    <row r="16" spans="1:16" ht="15" customHeight="1" x14ac:dyDescent="0.35">
      <c r="A16" s="263"/>
      <c r="B16" s="480" t="s">
        <v>1377</v>
      </c>
      <c r="C16" s="480"/>
      <c r="D16" s="3131" t="s">
        <v>1378</v>
      </c>
      <c r="E16" s="3131"/>
      <c r="F16" s="3131"/>
      <c r="G16" s="3131"/>
      <c r="H16" s="3131"/>
      <c r="I16" s="3131"/>
      <c r="J16" s="3131"/>
      <c r="L16" s="71"/>
      <c r="P16" s="315"/>
    </row>
    <row r="17" spans="1:16" ht="15" customHeight="1" x14ac:dyDescent="0.35">
      <c r="A17" s="263"/>
      <c r="B17" s="1140" t="s">
        <v>38</v>
      </c>
      <c r="C17" s="1140"/>
      <c r="D17" s="3121" t="s">
        <v>1379</v>
      </c>
      <c r="E17" s="3121"/>
      <c r="F17" s="3121"/>
      <c r="G17" s="3121"/>
      <c r="H17" s="3121"/>
      <c r="I17" s="3121"/>
      <c r="J17" s="3121"/>
      <c r="L17" s="71"/>
      <c r="P17" s="315"/>
    </row>
    <row r="18" spans="1:16" ht="15" customHeight="1" x14ac:dyDescent="0.35">
      <c r="A18" s="263"/>
      <c r="B18" s="71"/>
      <c r="P18" s="315"/>
    </row>
    <row r="19" spans="1:16" ht="45" customHeight="1" x14ac:dyDescent="0.35">
      <c r="A19" s="280" t="s">
        <v>1380</v>
      </c>
      <c r="B19" s="886"/>
      <c r="C19" s="846"/>
      <c r="D19" s="846"/>
      <c r="E19" s="846"/>
      <c r="F19" s="846"/>
      <c r="G19" s="846"/>
      <c r="H19" s="846"/>
      <c r="I19" s="846"/>
      <c r="J19" s="846"/>
      <c r="K19" s="846"/>
      <c r="L19" s="846"/>
      <c r="M19" s="846"/>
      <c r="N19" s="846"/>
      <c r="O19" s="846"/>
      <c r="P19" s="728"/>
    </row>
    <row r="20" spans="1:16" ht="60" customHeight="1" x14ac:dyDescent="0.35">
      <c r="A20" s="263"/>
      <c r="B20" s="893" t="s">
        <v>1381</v>
      </c>
      <c r="C20" s="893"/>
      <c r="D20" s="3116" t="str">
        <f>"OTHER 1 to OTHER 10 refer to currencies other than those listed in rows " &amp; ROW(B25) &amp; " to " &amp; ROW(B58) &amp; " in which the bank has exposure to GIRR." &amp; CHAR(10) &amp; "- If the bank has fewer than 10 such currencies, the bank should fill in any excess rows with zeroes." &amp; CHAR(10) &amp; "- If the bank has more than 10 such currencies, the bank should fill in rows " &amp; ROW(B59) &amp; " to " &amp; ROW(B68) &amp; " with the 10 most material currencies (other than those listed in rows " &amp; ROW(B25) &amp; " to " &amp; ROW(B58) &amp; ") in which the bank has exposure to GIRR."</f>
        <v>OTHER 1 to OTHER 10 refer to currencies other than those listed in rows 25 to 58 in which the bank has exposure to GIRR.
- If the bank has fewer than 10 such currencies, the bank should fill in any excess rows with zeroes.
- If the bank has more than 10 such currencies, the bank should fill in rows 59 to 68 with the 10 most material currencies (other than those listed in rows 25 to 58) in which the bank has exposure to GIRR.</v>
      </c>
      <c r="E20" s="3116"/>
      <c r="F20" s="3116"/>
      <c r="G20" s="3116"/>
      <c r="H20" s="3116"/>
      <c r="I20" s="3116"/>
      <c r="P20" s="315"/>
    </row>
    <row r="21" spans="1:16" ht="15" customHeight="1" x14ac:dyDescent="0.35">
      <c r="A21" s="263"/>
      <c r="B21" s="758" t="s">
        <v>1382</v>
      </c>
      <c r="C21" s="893"/>
      <c r="D21" s="893"/>
      <c r="E21" s="893"/>
      <c r="F21" s="1187"/>
      <c r="P21" s="315"/>
    </row>
    <row r="22" spans="1:16" ht="15" customHeight="1" x14ac:dyDescent="0.35">
      <c r="A22" s="263"/>
      <c r="O22" s="370"/>
      <c r="P22" s="315"/>
    </row>
    <row r="23" spans="1:16" ht="30" customHeight="1" x14ac:dyDescent="0.35">
      <c r="A23" s="1115"/>
      <c r="B23" s="2789" t="s">
        <v>1383</v>
      </c>
      <c r="C23" s="2789"/>
      <c r="D23" s="2789"/>
      <c r="E23" s="2789"/>
      <c r="F23" s="3061" t="s">
        <v>1384</v>
      </c>
      <c r="G23" s="3061"/>
      <c r="H23" s="3061"/>
      <c r="I23" s="3083" t="s">
        <v>1385</v>
      </c>
      <c r="J23" s="3061"/>
      <c r="K23" s="3082"/>
      <c r="L23" s="3083" t="s">
        <v>1386</v>
      </c>
      <c r="M23" s="3061"/>
      <c r="N23" s="3061"/>
      <c r="O23" s="370"/>
      <c r="P23" s="315"/>
    </row>
    <row r="24" spans="1:16" ht="30" customHeight="1" x14ac:dyDescent="0.35">
      <c r="A24" s="1117"/>
      <c r="B24" s="2794"/>
      <c r="C24" s="2794"/>
      <c r="D24" s="2794"/>
      <c r="E24" s="2794"/>
      <c r="F24" s="1078" t="s">
        <v>1387</v>
      </c>
      <c r="G24" s="1079" t="s">
        <v>1388</v>
      </c>
      <c r="H24" s="1083" t="s">
        <v>1389</v>
      </c>
      <c r="I24" s="1161" t="s">
        <v>1387</v>
      </c>
      <c r="J24" s="1079" t="s">
        <v>1388</v>
      </c>
      <c r="K24" s="1162" t="s">
        <v>1389</v>
      </c>
      <c r="L24" s="1161" t="s">
        <v>1387</v>
      </c>
      <c r="M24" s="1079" t="s">
        <v>1388</v>
      </c>
      <c r="N24" s="1083" t="s">
        <v>1389</v>
      </c>
      <c r="O24" s="370"/>
      <c r="P24" s="315"/>
    </row>
    <row r="25" spans="1:16" ht="15" customHeight="1" x14ac:dyDescent="0.35">
      <c r="A25" s="265"/>
      <c r="B25" s="480" t="s">
        <v>1390</v>
      </c>
      <c r="C25" s="480"/>
      <c r="D25" s="480"/>
      <c r="E25" s="480"/>
      <c r="F25" s="33"/>
      <c r="G25" s="23"/>
      <c r="H25" s="34"/>
      <c r="I25" s="1020"/>
      <c r="J25" s="23"/>
      <c r="K25" s="1021"/>
      <c r="L25" s="1020"/>
      <c r="M25" s="23"/>
      <c r="N25" s="34"/>
      <c r="O25" s="370"/>
      <c r="P25" s="315"/>
    </row>
    <row r="26" spans="1:16" ht="15" customHeight="1" x14ac:dyDescent="0.35">
      <c r="A26" s="265"/>
      <c r="B26" s="213" t="s">
        <v>1391</v>
      </c>
      <c r="C26" s="213"/>
      <c r="D26" s="213"/>
      <c r="E26" s="213"/>
      <c r="F26" s="33"/>
      <c r="G26" s="23"/>
      <c r="H26" s="34"/>
      <c r="I26" s="1020"/>
      <c r="J26" s="23"/>
      <c r="K26" s="1021"/>
      <c r="L26" s="1020"/>
      <c r="M26" s="23"/>
      <c r="N26" s="34"/>
      <c r="O26" s="370"/>
      <c r="P26" s="315"/>
    </row>
    <row r="27" spans="1:16" ht="15" customHeight="1" x14ac:dyDescent="0.35">
      <c r="A27" s="265"/>
      <c r="B27" s="213" t="s">
        <v>1392</v>
      </c>
      <c r="C27" s="213"/>
      <c r="D27" s="213"/>
      <c r="E27" s="213"/>
      <c r="F27" s="33"/>
      <c r="G27" s="23"/>
      <c r="H27" s="34"/>
      <c r="I27" s="1020"/>
      <c r="J27" s="23"/>
      <c r="K27" s="1021"/>
      <c r="L27" s="1020"/>
      <c r="M27" s="23"/>
      <c r="N27" s="34"/>
      <c r="O27" s="370"/>
      <c r="P27" s="315"/>
    </row>
    <row r="28" spans="1:16" ht="15" customHeight="1" x14ac:dyDescent="0.35">
      <c r="A28" s="265"/>
      <c r="B28" s="213" t="s">
        <v>1393</v>
      </c>
      <c r="C28" s="213"/>
      <c r="D28" s="213"/>
      <c r="E28" s="213"/>
      <c r="F28" s="33"/>
      <c r="G28" s="23"/>
      <c r="H28" s="34"/>
      <c r="I28" s="1020"/>
      <c r="J28" s="23"/>
      <c r="K28" s="1021"/>
      <c r="L28" s="1020"/>
      <c r="M28" s="23"/>
      <c r="N28" s="34"/>
      <c r="O28" s="370"/>
      <c r="P28" s="315"/>
    </row>
    <row r="29" spans="1:16" ht="15" customHeight="1" x14ac:dyDescent="0.35">
      <c r="A29" s="265"/>
      <c r="B29" s="213" t="s">
        <v>1394</v>
      </c>
      <c r="C29" s="213"/>
      <c r="D29" s="213"/>
      <c r="E29" s="213"/>
      <c r="F29" s="33"/>
      <c r="G29" s="23"/>
      <c r="H29" s="34"/>
      <c r="I29" s="1020"/>
      <c r="J29" s="23"/>
      <c r="K29" s="1021"/>
      <c r="L29" s="1020"/>
      <c r="M29" s="23"/>
      <c r="N29" s="34"/>
      <c r="O29" s="370"/>
      <c r="P29" s="315"/>
    </row>
    <row r="30" spans="1:16" ht="15" customHeight="1" x14ac:dyDescent="0.35">
      <c r="A30" s="265"/>
      <c r="B30" s="213" t="s">
        <v>1395</v>
      </c>
      <c r="C30" s="213"/>
      <c r="D30" s="213"/>
      <c r="E30" s="213"/>
      <c r="F30" s="33"/>
      <c r="G30" s="23"/>
      <c r="H30" s="34"/>
      <c r="I30" s="1020"/>
      <c r="J30" s="23"/>
      <c r="K30" s="1021"/>
      <c r="L30" s="1020"/>
      <c r="M30" s="23"/>
      <c r="N30" s="34"/>
      <c r="O30" s="370"/>
      <c r="P30" s="315"/>
    </row>
    <row r="31" spans="1:16" ht="15" customHeight="1" x14ac:dyDescent="0.35">
      <c r="A31" s="265"/>
      <c r="B31" s="213" t="s">
        <v>1396</v>
      </c>
      <c r="C31" s="213"/>
      <c r="D31" s="213"/>
      <c r="E31" s="213"/>
      <c r="F31" s="33"/>
      <c r="G31" s="23"/>
      <c r="H31" s="34"/>
      <c r="I31" s="1020"/>
      <c r="J31" s="23"/>
      <c r="K31" s="1021"/>
      <c r="L31" s="1020"/>
      <c r="M31" s="23"/>
      <c r="N31" s="34"/>
      <c r="O31" s="370"/>
      <c r="P31" s="315"/>
    </row>
    <row r="32" spans="1:16" ht="15" customHeight="1" x14ac:dyDescent="0.35">
      <c r="A32" s="265"/>
      <c r="B32" s="213" t="s">
        <v>1397</v>
      </c>
      <c r="C32" s="213"/>
      <c r="D32" s="213"/>
      <c r="E32" s="213"/>
      <c r="F32" s="33"/>
      <c r="G32" s="23"/>
      <c r="H32" s="34"/>
      <c r="I32" s="1020"/>
      <c r="J32" s="23"/>
      <c r="K32" s="1021"/>
      <c r="L32" s="1020"/>
      <c r="M32" s="23"/>
      <c r="N32" s="34"/>
      <c r="O32" s="370"/>
      <c r="P32" s="315"/>
    </row>
    <row r="33" spans="1:16" ht="15" customHeight="1" x14ac:dyDescent="0.35">
      <c r="A33" s="265"/>
      <c r="B33" s="213" t="s">
        <v>1398</v>
      </c>
      <c r="C33" s="213"/>
      <c r="D33" s="213"/>
      <c r="E33" s="213"/>
      <c r="F33" s="33"/>
      <c r="G33" s="23"/>
      <c r="H33" s="34"/>
      <c r="I33" s="1020"/>
      <c r="J33" s="23"/>
      <c r="K33" s="1021"/>
      <c r="L33" s="1020"/>
      <c r="M33" s="23"/>
      <c r="N33" s="34"/>
      <c r="O33" s="370"/>
      <c r="P33" s="315"/>
    </row>
    <row r="34" spans="1:16" ht="15" customHeight="1" x14ac:dyDescent="0.35">
      <c r="A34" s="265"/>
      <c r="B34" s="213" t="s">
        <v>1399</v>
      </c>
      <c r="C34" s="213"/>
      <c r="D34" s="213"/>
      <c r="E34" s="213"/>
      <c r="F34" s="33"/>
      <c r="G34" s="23"/>
      <c r="H34" s="34"/>
      <c r="I34" s="1020"/>
      <c r="J34" s="23"/>
      <c r="K34" s="1021"/>
      <c r="L34" s="1020"/>
      <c r="M34" s="23"/>
      <c r="N34" s="34"/>
      <c r="O34" s="370"/>
      <c r="P34" s="315"/>
    </row>
    <row r="35" spans="1:16" ht="15" customHeight="1" x14ac:dyDescent="0.35">
      <c r="A35" s="265"/>
      <c r="B35" s="213" t="s">
        <v>1400</v>
      </c>
      <c r="C35" s="213"/>
      <c r="D35" s="213"/>
      <c r="E35" s="213"/>
      <c r="F35" s="33"/>
      <c r="G35" s="23"/>
      <c r="H35" s="34"/>
      <c r="I35" s="1020"/>
      <c r="J35" s="23"/>
      <c r="K35" s="1021"/>
      <c r="L35" s="1020"/>
      <c r="M35" s="23"/>
      <c r="N35" s="34"/>
      <c r="O35" s="370"/>
      <c r="P35" s="315"/>
    </row>
    <row r="36" spans="1:16" ht="15" customHeight="1" x14ac:dyDescent="0.35">
      <c r="A36" s="265"/>
      <c r="B36" s="213" t="s">
        <v>1401</v>
      </c>
      <c r="C36" s="213"/>
      <c r="D36" s="213"/>
      <c r="E36" s="213"/>
      <c r="F36" s="33"/>
      <c r="G36" s="23"/>
      <c r="H36" s="34"/>
      <c r="I36" s="1020"/>
      <c r="J36" s="23"/>
      <c r="K36" s="1021"/>
      <c r="L36" s="1020"/>
      <c r="M36" s="23"/>
      <c r="N36" s="34"/>
      <c r="O36" s="370"/>
      <c r="P36" s="315"/>
    </row>
    <row r="37" spans="1:16" ht="15" customHeight="1" x14ac:dyDescent="0.35">
      <c r="A37" s="265"/>
      <c r="B37" s="213" t="s">
        <v>1402</v>
      </c>
      <c r="C37" s="213"/>
      <c r="D37" s="213"/>
      <c r="E37" s="213"/>
      <c r="F37" s="33"/>
      <c r="G37" s="23"/>
      <c r="H37" s="34"/>
      <c r="I37" s="1020"/>
      <c r="J37" s="23"/>
      <c r="K37" s="1021"/>
      <c r="L37" s="1020"/>
      <c r="M37" s="23"/>
      <c r="N37" s="34"/>
      <c r="O37" s="370"/>
      <c r="P37" s="315"/>
    </row>
    <row r="38" spans="1:16" ht="15" customHeight="1" x14ac:dyDescent="0.35">
      <c r="A38" s="265"/>
      <c r="B38" s="213" t="s">
        <v>1403</v>
      </c>
      <c r="C38" s="213"/>
      <c r="D38" s="213"/>
      <c r="E38" s="213"/>
      <c r="F38" s="33"/>
      <c r="G38" s="23"/>
      <c r="H38" s="34"/>
      <c r="I38" s="1020"/>
      <c r="J38" s="23"/>
      <c r="K38" s="1021"/>
      <c r="L38" s="1020"/>
      <c r="M38" s="23"/>
      <c r="N38" s="34"/>
      <c r="O38" s="370"/>
      <c r="P38" s="315"/>
    </row>
    <row r="39" spans="1:16" ht="15" customHeight="1" x14ac:dyDescent="0.35">
      <c r="A39" s="265"/>
      <c r="B39" s="213" t="s">
        <v>1404</v>
      </c>
      <c r="C39" s="213"/>
      <c r="D39" s="213"/>
      <c r="E39" s="213"/>
      <c r="F39" s="33"/>
      <c r="G39" s="23"/>
      <c r="H39" s="34"/>
      <c r="I39" s="1020"/>
      <c r="J39" s="23"/>
      <c r="K39" s="1021"/>
      <c r="L39" s="1020"/>
      <c r="M39" s="23"/>
      <c r="N39" s="34"/>
      <c r="O39" s="370"/>
      <c r="P39" s="315"/>
    </row>
    <row r="40" spans="1:16" ht="15" customHeight="1" x14ac:dyDescent="0.35">
      <c r="A40" s="265"/>
      <c r="B40" s="213" t="s">
        <v>1405</v>
      </c>
      <c r="C40" s="213"/>
      <c r="D40" s="213"/>
      <c r="E40" s="213"/>
      <c r="F40" s="33"/>
      <c r="G40" s="23"/>
      <c r="H40" s="34"/>
      <c r="I40" s="1020"/>
      <c r="J40" s="23"/>
      <c r="K40" s="1021"/>
      <c r="L40" s="1020"/>
      <c r="M40" s="23"/>
      <c r="N40" s="34"/>
      <c r="O40" s="370"/>
      <c r="P40" s="315"/>
    </row>
    <row r="41" spans="1:16" ht="15" customHeight="1" x14ac:dyDescent="0.35">
      <c r="A41" s="265"/>
      <c r="B41" s="213" t="s">
        <v>1406</v>
      </c>
      <c r="C41" s="213"/>
      <c r="D41" s="213"/>
      <c r="E41" s="213"/>
      <c r="F41" s="33"/>
      <c r="G41" s="23"/>
      <c r="H41" s="34"/>
      <c r="I41" s="1020"/>
      <c r="J41" s="23"/>
      <c r="K41" s="1021"/>
      <c r="L41" s="1020"/>
      <c r="M41" s="23"/>
      <c r="N41" s="34"/>
      <c r="O41" s="370"/>
      <c r="P41" s="315"/>
    </row>
    <row r="42" spans="1:16" ht="15" customHeight="1" x14ac:dyDescent="0.35">
      <c r="A42" s="265"/>
      <c r="B42" s="213" t="s">
        <v>1407</v>
      </c>
      <c r="C42" s="213"/>
      <c r="D42" s="213"/>
      <c r="E42" s="213"/>
      <c r="F42" s="33"/>
      <c r="G42" s="23"/>
      <c r="H42" s="34"/>
      <c r="I42" s="1020"/>
      <c r="J42" s="23"/>
      <c r="K42" s="1021"/>
      <c r="L42" s="1020"/>
      <c r="M42" s="23"/>
      <c r="N42" s="34"/>
      <c r="O42" s="370"/>
      <c r="P42" s="315"/>
    </row>
    <row r="43" spans="1:16" ht="15" customHeight="1" x14ac:dyDescent="0.35">
      <c r="A43" s="265"/>
      <c r="B43" s="213" t="s">
        <v>1408</v>
      </c>
      <c r="C43" s="213"/>
      <c r="D43" s="213"/>
      <c r="E43" s="213"/>
      <c r="F43" s="33"/>
      <c r="G43" s="23"/>
      <c r="H43" s="34"/>
      <c r="I43" s="1020"/>
      <c r="J43" s="23"/>
      <c r="K43" s="1021"/>
      <c r="L43" s="1020"/>
      <c r="M43" s="23"/>
      <c r="N43" s="34"/>
      <c r="O43" s="370"/>
      <c r="P43" s="315"/>
    </row>
    <row r="44" spans="1:16" ht="15" customHeight="1" x14ac:dyDescent="0.35">
      <c r="A44" s="265"/>
      <c r="B44" s="213" t="s">
        <v>1409</v>
      </c>
      <c r="C44" s="213"/>
      <c r="D44" s="213"/>
      <c r="E44" s="213"/>
      <c r="F44" s="33"/>
      <c r="G44" s="23"/>
      <c r="H44" s="34"/>
      <c r="I44" s="1020"/>
      <c r="J44" s="23"/>
      <c r="K44" s="1021"/>
      <c r="L44" s="1020"/>
      <c r="M44" s="23"/>
      <c r="N44" s="34"/>
      <c r="O44" s="370"/>
      <c r="P44" s="315"/>
    </row>
    <row r="45" spans="1:16" ht="15" customHeight="1" x14ac:dyDescent="0.35">
      <c r="A45" s="265"/>
      <c r="B45" s="152" t="s">
        <v>1410</v>
      </c>
      <c r="C45" s="213"/>
      <c r="D45" s="213"/>
      <c r="E45" s="213"/>
      <c r="F45" s="33"/>
      <c r="G45" s="23"/>
      <c r="H45" s="34"/>
      <c r="I45" s="1020"/>
      <c r="J45" s="23"/>
      <c r="K45" s="1021"/>
      <c r="L45" s="1020"/>
      <c r="M45" s="23"/>
      <c r="N45" s="34"/>
      <c r="O45" s="370"/>
      <c r="P45" s="315"/>
    </row>
    <row r="46" spans="1:16" ht="15" customHeight="1" x14ac:dyDescent="0.35">
      <c r="A46" s="265"/>
      <c r="B46" s="152" t="s">
        <v>1411</v>
      </c>
      <c r="C46" s="213"/>
      <c r="D46" s="213"/>
      <c r="E46" s="213"/>
      <c r="F46" s="33"/>
      <c r="G46" s="23"/>
      <c r="H46" s="34"/>
      <c r="I46" s="1020"/>
      <c r="J46" s="23"/>
      <c r="K46" s="1021"/>
      <c r="L46" s="1020"/>
      <c r="M46" s="23"/>
      <c r="N46" s="34"/>
      <c r="O46" s="370"/>
      <c r="P46" s="315"/>
    </row>
    <row r="47" spans="1:16" ht="15" customHeight="1" x14ac:dyDescent="0.35">
      <c r="A47" s="265"/>
      <c r="B47" s="152" t="s">
        <v>1412</v>
      </c>
      <c r="C47" s="213"/>
      <c r="D47" s="213"/>
      <c r="E47" s="213"/>
      <c r="F47" s="33"/>
      <c r="G47" s="23"/>
      <c r="H47" s="34"/>
      <c r="I47" s="1020"/>
      <c r="J47" s="23"/>
      <c r="K47" s="1021"/>
      <c r="L47" s="1020"/>
      <c r="M47" s="23"/>
      <c r="N47" s="34"/>
      <c r="O47" s="370"/>
      <c r="P47" s="315"/>
    </row>
    <row r="48" spans="1:16" ht="15" customHeight="1" x14ac:dyDescent="0.35">
      <c r="A48" s="265"/>
      <c r="B48" s="152" t="s">
        <v>1413</v>
      </c>
      <c r="C48" s="213"/>
      <c r="D48" s="213"/>
      <c r="E48" s="213"/>
      <c r="F48" s="33"/>
      <c r="G48" s="23"/>
      <c r="H48" s="34"/>
      <c r="I48" s="1020"/>
      <c r="J48" s="23"/>
      <c r="K48" s="1021"/>
      <c r="L48" s="1020"/>
      <c r="M48" s="23"/>
      <c r="N48" s="34"/>
      <c r="O48" s="370"/>
      <c r="P48" s="315"/>
    </row>
    <row r="49" spans="1:16" ht="15" customHeight="1" x14ac:dyDescent="0.35">
      <c r="A49" s="265"/>
      <c r="B49" s="152" t="s">
        <v>1414</v>
      </c>
      <c r="C49" s="213"/>
      <c r="D49" s="213"/>
      <c r="E49" s="213"/>
      <c r="F49" s="33"/>
      <c r="G49" s="23"/>
      <c r="H49" s="34"/>
      <c r="I49" s="1020"/>
      <c r="J49" s="23"/>
      <c r="K49" s="1021"/>
      <c r="L49" s="1020"/>
      <c r="M49" s="23"/>
      <c r="N49" s="34"/>
      <c r="O49" s="370"/>
      <c r="P49" s="315"/>
    </row>
    <row r="50" spans="1:16" ht="15" customHeight="1" x14ac:dyDescent="0.35">
      <c r="A50" s="265"/>
      <c r="B50" s="213" t="s">
        <v>1415</v>
      </c>
      <c r="C50" s="213"/>
      <c r="D50" s="213"/>
      <c r="E50" s="213"/>
      <c r="F50" s="33"/>
      <c r="G50" s="23"/>
      <c r="H50" s="34"/>
      <c r="I50" s="1020"/>
      <c r="J50" s="23"/>
      <c r="K50" s="1021"/>
      <c r="L50" s="1020"/>
      <c r="M50" s="23"/>
      <c r="N50" s="34"/>
      <c r="O50" s="370"/>
      <c r="P50" s="315"/>
    </row>
    <row r="51" spans="1:16" ht="15" customHeight="1" x14ac:dyDescent="0.35">
      <c r="A51" s="265"/>
      <c r="B51" s="213" t="s">
        <v>1416</v>
      </c>
      <c r="C51" s="213"/>
      <c r="D51" s="213"/>
      <c r="E51" s="213"/>
      <c r="F51" s="33"/>
      <c r="G51" s="23"/>
      <c r="H51" s="34"/>
      <c r="I51" s="1020"/>
      <c r="J51" s="23"/>
      <c r="K51" s="1021"/>
      <c r="L51" s="1020"/>
      <c r="M51" s="23"/>
      <c r="N51" s="34"/>
      <c r="O51" s="370"/>
      <c r="P51" s="315"/>
    </row>
    <row r="52" spans="1:16" ht="15" customHeight="1" x14ac:dyDescent="0.35">
      <c r="A52" s="265"/>
      <c r="B52" s="213" t="s">
        <v>1417</v>
      </c>
      <c r="C52" s="213"/>
      <c r="D52" s="213"/>
      <c r="E52" s="213"/>
      <c r="F52" s="33"/>
      <c r="G52" s="23"/>
      <c r="H52" s="34"/>
      <c r="I52" s="1020"/>
      <c r="J52" s="23"/>
      <c r="K52" s="1021"/>
      <c r="L52" s="1020"/>
      <c r="M52" s="23"/>
      <c r="N52" s="34"/>
      <c r="O52" s="370"/>
      <c r="P52" s="315"/>
    </row>
    <row r="53" spans="1:16" ht="15" customHeight="1" x14ac:dyDescent="0.35">
      <c r="A53" s="265"/>
      <c r="B53" s="213" t="s">
        <v>1418</v>
      </c>
      <c r="C53" s="213"/>
      <c r="D53" s="213"/>
      <c r="E53" s="213"/>
      <c r="F53" s="33"/>
      <c r="G53" s="23"/>
      <c r="H53" s="34"/>
      <c r="I53" s="1020"/>
      <c r="J53" s="23"/>
      <c r="K53" s="1021"/>
      <c r="L53" s="1020"/>
      <c r="M53" s="23"/>
      <c r="N53" s="34"/>
      <c r="O53" s="370"/>
      <c r="P53" s="315"/>
    </row>
    <row r="54" spans="1:16" ht="15" customHeight="1" x14ac:dyDescent="0.35">
      <c r="A54" s="265"/>
      <c r="B54" s="213" t="s">
        <v>1419</v>
      </c>
      <c r="C54" s="213"/>
      <c r="D54" s="213"/>
      <c r="E54" s="213"/>
      <c r="F54" s="33"/>
      <c r="G54" s="23"/>
      <c r="H54" s="34"/>
      <c r="I54" s="1020"/>
      <c r="J54" s="23"/>
      <c r="K54" s="1021"/>
      <c r="L54" s="1020"/>
      <c r="M54" s="23"/>
      <c r="N54" s="34"/>
      <c r="O54" s="370"/>
      <c r="P54" s="315"/>
    </row>
    <row r="55" spans="1:16" ht="15" customHeight="1" x14ac:dyDescent="0.35">
      <c r="A55" s="265"/>
      <c r="B55" s="213" t="s">
        <v>1420</v>
      </c>
      <c r="C55" s="213"/>
      <c r="D55" s="213"/>
      <c r="E55" s="213"/>
      <c r="F55" s="33"/>
      <c r="G55" s="23"/>
      <c r="H55" s="34"/>
      <c r="I55" s="1020"/>
      <c r="J55" s="23"/>
      <c r="K55" s="1021"/>
      <c r="L55" s="1020"/>
      <c r="M55" s="23"/>
      <c r="N55" s="34"/>
      <c r="O55" s="370"/>
      <c r="P55" s="315"/>
    </row>
    <row r="56" spans="1:16" ht="15" customHeight="1" x14ac:dyDescent="0.35">
      <c r="A56" s="265"/>
      <c r="B56" s="213" t="s">
        <v>1421</v>
      </c>
      <c r="C56" s="213"/>
      <c r="D56" s="213"/>
      <c r="E56" s="213"/>
      <c r="F56" s="33"/>
      <c r="G56" s="23"/>
      <c r="H56" s="34"/>
      <c r="I56" s="1020"/>
      <c r="J56" s="23"/>
      <c r="K56" s="1021"/>
      <c r="L56" s="1020"/>
      <c r="M56" s="23"/>
      <c r="N56" s="34"/>
      <c r="O56" s="370"/>
      <c r="P56" s="315"/>
    </row>
    <row r="57" spans="1:16" ht="15" customHeight="1" x14ac:dyDescent="0.35">
      <c r="A57" s="265"/>
      <c r="B57" s="213" t="s">
        <v>1422</v>
      </c>
      <c r="C57" s="213"/>
      <c r="D57" s="213"/>
      <c r="E57" s="213"/>
      <c r="F57" s="33"/>
      <c r="G57" s="23"/>
      <c r="H57" s="34"/>
      <c r="I57" s="1020"/>
      <c r="J57" s="23"/>
      <c r="K57" s="1021"/>
      <c r="L57" s="1020"/>
      <c r="M57" s="23"/>
      <c r="N57" s="34"/>
      <c r="O57" s="370"/>
      <c r="P57" s="315"/>
    </row>
    <row r="58" spans="1:16" ht="15" customHeight="1" x14ac:dyDescent="0.35">
      <c r="A58" s="265"/>
      <c r="B58" s="102" t="s">
        <v>1423</v>
      </c>
      <c r="C58" s="102"/>
      <c r="D58" s="213"/>
      <c r="E58" s="213"/>
      <c r="F58" s="33"/>
      <c r="G58" s="23"/>
      <c r="H58" s="34"/>
      <c r="I58" s="1020"/>
      <c r="J58" s="23"/>
      <c r="K58" s="1021"/>
      <c r="L58" s="1020"/>
      <c r="M58" s="23"/>
      <c r="N58" s="34"/>
      <c r="O58" s="370"/>
      <c r="P58" s="315"/>
    </row>
    <row r="59" spans="1:16" ht="15" customHeight="1" x14ac:dyDescent="0.35">
      <c r="A59" s="265"/>
      <c r="B59" s="152" t="s">
        <v>1424</v>
      </c>
      <c r="C59" s="1122"/>
      <c r="D59" s="213"/>
      <c r="E59" s="213"/>
      <c r="F59" s="33"/>
      <c r="G59" s="23"/>
      <c r="H59" s="34"/>
      <c r="I59" s="1020"/>
      <c r="J59" s="23"/>
      <c r="K59" s="1021"/>
      <c r="L59" s="1020"/>
      <c r="M59" s="23"/>
      <c r="N59" s="34"/>
      <c r="O59" s="370"/>
      <c r="P59" s="315"/>
    </row>
    <row r="60" spans="1:16" ht="15" customHeight="1" x14ac:dyDescent="0.35">
      <c r="A60" s="265"/>
      <c r="B60" s="213" t="s">
        <v>1425</v>
      </c>
      <c r="C60" s="1122"/>
      <c r="D60" s="213"/>
      <c r="E60" s="213"/>
      <c r="F60" s="33"/>
      <c r="G60" s="23"/>
      <c r="H60" s="34"/>
      <c r="I60" s="1020"/>
      <c r="J60" s="23"/>
      <c r="K60" s="1021"/>
      <c r="L60" s="1020"/>
      <c r="M60" s="23"/>
      <c r="N60" s="34"/>
      <c r="O60" s="370"/>
      <c r="P60" s="315"/>
    </row>
    <row r="61" spans="1:16" ht="15" customHeight="1" x14ac:dyDescent="0.35">
      <c r="A61" s="265"/>
      <c r="B61" s="213" t="s">
        <v>1426</v>
      </c>
      <c r="C61" s="1122"/>
      <c r="D61" s="213"/>
      <c r="E61" s="213"/>
      <c r="F61" s="33"/>
      <c r="G61" s="23"/>
      <c r="H61" s="34"/>
      <c r="I61" s="1020"/>
      <c r="J61" s="23"/>
      <c r="K61" s="1021"/>
      <c r="L61" s="1020"/>
      <c r="M61" s="23"/>
      <c r="N61" s="34"/>
      <c r="O61" s="370"/>
      <c r="P61" s="315"/>
    </row>
    <row r="62" spans="1:16" ht="15" customHeight="1" x14ac:dyDescent="0.35">
      <c r="A62" s="265"/>
      <c r="B62" s="213" t="s">
        <v>1427</v>
      </c>
      <c r="C62" s="1122"/>
      <c r="D62" s="213"/>
      <c r="E62" s="213"/>
      <c r="F62" s="33"/>
      <c r="G62" s="23"/>
      <c r="H62" s="34"/>
      <c r="I62" s="1020"/>
      <c r="J62" s="23"/>
      <c r="K62" s="1021"/>
      <c r="L62" s="1020"/>
      <c r="M62" s="23"/>
      <c r="N62" s="34"/>
      <c r="O62" s="370"/>
      <c r="P62" s="315"/>
    </row>
    <row r="63" spans="1:16" ht="15" customHeight="1" x14ac:dyDescent="0.35">
      <c r="A63" s="265"/>
      <c r="B63" s="213" t="s">
        <v>1428</v>
      </c>
      <c r="C63" s="1122"/>
      <c r="D63" s="213"/>
      <c r="E63" s="213"/>
      <c r="F63" s="33"/>
      <c r="G63" s="23"/>
      <c r="H63" s="34"/>
      <c r="I63" s="1020"/>
      <c r="J63" s="23"/>
      <c r="K63" s="1021"/>
      <c r="L63" s="1020"/>
      <c r="M63" s="23"/>
      <c r="N63" s="34"/>
      <c r="O63" s="370"/>
      <c r="P63" s="315"/>
    </row>
    <row r="64" spans="1:16" ht="15" customHeight="1" x14ac:dyDescent="0.35">
      <c r="A64" s="265"/>
      <c r="B64" s="213" t="s">
        <v>1429</v>
      </c>
      <c r="C64" s="1122"/>
      <c r="D64" s="213"/>
      <c r="E64" s="213"/>
      <c r="F64" s="33"/>
      <c r="G64" s="23"/>
      <c r="H64" s="34"/>
      <c r="I64" s="1020"/>
      <c r="J64" s="23"/>
      <c r="K64" s="1021"/>
      <c r="L64" s="1020"/>
      <c r="M64" s="23"/>
      <c r="N64" s="34"/>
      <c r="O64" s="370"/>
      <c r="P64" s="315"/>
    </row>
    <row r="65" spans="1:16" ht="15" customHeight="1" x14ac:dyDescent="0.35">
      <c r="A65" s="265"/>
      <c r="B65" s="213" t="s">
        <v>1430</v>
      </c>
      <c r="C65" s="1122"/>
      <c r="D65" s="213"/>
      <c r="E65" s="213"/>
      <c r="F65" s="33"/>
      <c r="G65" s="23"/>
      <c r="H65" s="34"/>
      <c r="I65" s="1020"/>
      <c r="J65" s="23"/>
      <c r="K65" s="1021"/>
      <c r="L65" s="1020"/>
      <c r="M65" s="23"/>
      <c r="N65" s="34"/>
      <c r="O65" s="370"/>
      <c r="P65" s="315"/>
    </row>
    <row r="66" spans="1:16" ht="15" customHeight="1" x14ac:dyDescent="0.35">
      <c r="A66" s="265"/>
      <c r="B66" s="213" t="s">
        <v>1431</v>
      </c>
      <c r="C66" s="1122"/>
      <c r="D66" s="213"/>
      <c r="E66" s="213"/>
      <c r="F66" s="33"/>
      <c r="G66" s="23"/>
      <c r="H66" s="34"/>
      <c r="I66" s="1020"/>
      <c r="J66" s="23"/>
      <c r="K66" s="1021"/>
      <c r="L66" s="1020"/>
      <c r="M66" s="23"/>
      <c r="N66" s="34"/>
      <c r="O66" s="370"/>
      <c r="P66" s="315"/>
    </row>
    <row r="67" spans="1:16" ht="15" customHeight="1" x14ac:dyDescent="0.35">
      <c r="A67" s="265"/>
      <c r="B67" s="213" t="s">
        <v>1432</v>
      </c>
      <c r="C67" s="1122"/>
      <c r="D67" s="213"/>
      <c r="E67" s="213"/>
      <c r="F67" s="33"/>
      <c r="G67" s="23"/>
      <c r="H67" s="34"/>
      <c r="I67" s="1020"/>
      <c r="J67" s="23"/>
      <c r="K67" s="1021"/>
      <c r="L67" s="1020"/>
      <c r="M67" s="23"/>
      <c r="N67" s="34"/>
      <c r="O67" s="370"/>
      <c r="P67" s="315"/>
    </row>
    <row r="68" spans="1:16" ht="15" customHeight="1" x14ac:dyDescent="0.35">
      <c r="A68" s="265"/>
      <c r="B68" s="1140" t="s">
        <v>1433</v>
      </c>
      <c r="C68" s="1123"/>
      <c r="D68" s="1140"/>
      <c r="E68" s="1140"/>
      <c r="F68" s="271"/>
      <c r="G68" s="18"/>
      <c r="H68" s="72"/>
      <c r="I68" s="1024"/>
      <c r="J68" s="18"/>
      <c r="K68" s="1025"/>
      <c r="L68" s="1024"/>
      <c r="M68" s="18"/>
      <c r="N68" s="72"/>
      <c r="O68" s="370"/>
      <c r="P68" s="315"/>
    </row>
    <row r="69" spans="1:16" ht="15" customHeight="1" x14ac:dyDescent="0.35">
      <c r="A69" s="259"/>
      <c r="B69" s="85"/>
      <c r="C69" s="85"/>
      <c r="D69" s="85"/>
      <c r="E69" s="85"/>
      <c r="F69" s="85"/>
      <c r="G69" s="85"/>
      <c r="H69" s="85"/>
      <c r="I69" s="85"/>
      <c r="J69" s="85"/>
      <c r="K69" s="85"/>
      <c r="L69" s="85"/>
      <c r="M69" s="85"/>
      <c r="N69" s="85"/>
      <c r="O69" s="85"/>
      <c r="P69" s="279"/>
    </row>
    <row r="70" spans="1:16" ht="15" customHeight="1" x14ac:dyDescent="0.35">
      <c r="A70" s="265"/>
      <c r="B70" s="2752"/>
      <c r="C70" s="2766"/>
      <c r="D70" s="2766"/>
      <c r="E70" s="2750"/>
      <c r="F70" s="1082" t="s">
        <v>1039</v>
      </c>
      <c r="G70" s="85"/>
      <c r="H70" s="85"/>
      <c r="I70" s="85"/>
      <c r="J70" s="85"/>
      <c r="K70" s="85"/>
      <c r="L70" s="85"/>
      <c r="M70" s="85"/>
      <c r="N70" s="85"/>
      <c r="O70" s="85"/>
      <c r="P70" s="279"/>
    </row>
    <row r="71" spans="1:16" ht="15" customHeight="1" x14ac:dyDescent="0.35">
      <c r="A71" s="265"/>
      <c r="B71" s="1246" t="s">
        <v>1434</v>
      </c>
      <c r="C71" s="1247"/>
      <c r="D71" s="1247"/>
      <c r="E71" s="1247"/>
      <c r="F71" s="1248" t="str">
        <f>IF(AND(ISNUMBER(F72), ISNUMBER(F76), ISNUMBER(F80)), SUM(F72, F76, F80), "")</f>
        <v/>
      </c>
      <c r="G71" s="761"/>
      <c r="H71" s="761"/>
      <c r="I71" s="761"/>
      <c r="J71" s="761"/>
      <c r="K71" s="761"/>
      <c r="L71" s="85"/>
      <c r="M71" s="85"/>
      <c r="N71" s="85"/>
      <c r="O71" s="85"/>
      <c r="P71" s="279"/>
    </row>
    <row r="72" spans="1:16" ht="15" customHeight="1" x14ac:dyDescent="0.35">
      <c r="A72" s="265"/>
      <c r="B72" s="270" t="s">
        <v>1144</v>
      </c>
      <c r="C72" s="1124"/>
      <c r="D72" s="1124"/>
      <c r="E72" s="1124"/>
      <c r="F72" s="80" t="str">
        <f>IF(AND(ISNUMBER(F73), ISNUMBER(F74), ISNUMBER(F75)), IF($I$4="Medium", F73, IF($I$4="High", F74, IF($I$4="Low", F75, ""))), "")</f>
        <v/>
      </c>
      <c r="N72" s="85"/>
      <c r="O72" s="85"/>
      <c r="P72" s="279"/>
    </row>
    <row r="73" spans="1:16" ht="15" customHeight="1" x14ac:dyDescent="0.35">
      <c r="A73" s="265"/>
      <c r="B73" s="1245" t="s">
        <v>1368</v>
      </c>
      <c r="C73" s="132"/>
      <c r="D73" s="132"/>
      <c r="E73" s="132"/>
      <c r="F73" s="292"/>
      <c r="N73" s="85"/>
      <c r="O73" s="85"/>
      <c r="P73" s="279"/>
    </row>
    <row r="74" spans="1:16" ht="15" customHeight="1" x14ac:dyDescent="0.35">
      <c r="A74" s="265"/>
      <c r="B74" s="1245" t="s">
        <v>1369</v>
      </c>
      <c r="C74" s="132"/>
      <c r="D74" s="132"/>
      <c r="E74" s="132"/>
      <c r="F74" s="292"/>
      <c r="N74" s="85"/>
      <c r="O74" s="85"/>
      <c r="P74" s="279"/>
    </row>
    <row r="75" spans="1:16" ht="15" customHeight="1" x14ac:dyDescent="0.35">
      <c r="A75" s="265"/>
      <c r="B75" s="1245" t="s">
        <v>1370</v>
      </c>
      <c r="C75" s="132"/>
      <c r="D75" s="132"/>
      <c r="E75" s="132"/>
      <c r="F75" s="292"/>
      <c r="N75" s="85"/>
      <c r="O75" s="85"/>
      <c r="P75" s="279"/>
    </row>
    <row r="76" spans="1:16" ht="15" customHeight="1" x14ac:dyDescent="0.35">
      <c r="A76" s="265"/>
      <c r="B76" s="270" t="s">
        <v>1150</v>
      </c>
      <c r="C76" s="1124"/>
      <c r="D76" s="1124"/>
      <c r="E76" s="1124"/>
      <c r="F76" s="80" t="str">
        <f>IF(AND(ISNUMBER(F77), ISNUMBER(F78), ISNUMBER(F79)), IF($I$4="Medium", F77, IF($I$4="High", F78, IF($I$4="Low", F79, ""))), "")</f>
        <v/>
      </c>
      <c r="N76" s="85"/>
      <c r="O76" s="85"/>
      <c r="P76" s="279"/>
    </row>
    <row r="77" spans="1:16" ht="15" customHeight="1" x14ac:dyDescent="0.35">
      <c r="A77" s="265"/>
      <c r="B77" s="1245" t="s">
        <v>1368</v>
      </c>
      <c r="C77" s="132"/>
      <c r="D77" s="132"/>
      <c r="E77" s="132"/>
      <c r="F77" s="292"/>
      <c r="N77" s="85"/>
      <c r="O77" s="85"/>
      <c r="P77" s="279"/>
    </row>
    <row r="78" spans="1:16" ht="15" customHeight="1" x14ac:dyDescent="0.35">
      <c r="A78" s="265"/>
      <c r="B78" s="1245" t="s">
        <v>1369</v>
      </c>
      <c r="C78" s="132"/>
      <c r="D78" s="132"/>
      <c r="E78" s="132"/>
      <c r="F78" s="292"/>
      <c r="N78" s="85"/>
      <c r="O78" s="85"/>
      <c r="P78" s="279"/>
    </row>
    <row r="79" spans="1:16" ht="15" customHeight="1" x14ac:dyDescent="0.35">
      <c r="A79" s="265"/>
      <c r="B79" s="1245" t="s">
        <v>1370</v>
      </c>
      <c r="C79" s="132"/>
      <c r="D79" s="132"/>
      <c r="E79" s="132"/>
      <c r="F79" s="292"/>
      <c r="N79" s="85"/>
      <c r="O79" s="85"/>
      <c r="P79" s="279"/>
    </row>
    <row r="80" spans="1:16" ht="15" customHeight="1" x14ac:dyDescent="0.35">
      <c r="A80" s="265"/>
      <c r="B80" s="270" t="s">
        <v>1151</v>
      </c>
      <c r="C80" s="1124"/>
      <c r="D80" s="1124"/>
      <c r="E80" s="1124"/>
      <c r="F80" s="80" t="str">
        <f>IF(AND(ISNUMBER(F81), ISNUMBER(F82), ISNUMBER(F83)), IF($I$4="Medium", F81, IF($I$4="High", F82, IF($I$4="Low", F83, ""))), "")</f>
        <v/>
      </c>
      <c r="N80" s="85"/>
      <c r="O80" s="85"/>
      <c r="P80" s="279"/>
    </row>
    <row r="81" spans="1:16" ht="15" customHeight="1" x14ac:dyDescent="0.35">
      <c r="A81" s="265"/>
      <c r="B81" s="1245" t="s">
        <v>1368</v>
      </c>
      <c r="C81" s="132"/>
      <c r="D81" s="132"/>
      <c r="E81" s="132"/>
      <c r="F81" s="292"/>
      <c r="N81" s="85"/>
      <c r="O81" s="85"/>
      <c r="P81" s="279"/>
    </row>
    <row r="82" spans="1:16" ht="15" customHeight="1" x14ac:dyDescent="0.35">
      <c r="A82" s="265"/>
      <c r="B82" s="1245" t="s">
        <v>1369</v>
      </c>
      <c r="C82" s="132"/>
      <c r="D82" s="132"/>
      <c r="E82" s="132"/>
      <c r="F82" s="292"/>
      <c r="N82" s="85"/>
      <c r="O82" s="85"/>
      <c r="P82" s="279"/>
    </row>
    <row r="83" spans="1:16" ht="15" customHeight="1" x14ac:dyDescent="0.35">
      <c r="A83" s="265"/>
      <c r="B83" s="1063" t="s">
        <v>1370</v>
      </c>
      <c r="C83" s="218"/>
      <c r="D83" s="218"/>
      <c r="E83" s="218"/>
      <c r="F83" s="420"/>
      <c r="G83" s="85"/>
      <c r="H83" s="85"/>
      <c r="I83" s="85"/>
      <c r="J83" s="85"/>
      <c r="K83" s="85"/>
      <c r="N83" s="85"/>
      <c r="O83" s="85"/>
      <c r="P83" s="279"/>
    </row>
    <row r="84" spans="1:16" ht="15" customHeight="1" x14ac:dyDescent="0.35">
      <c r="A84" s="729"/>
      <c r="B84" s="278"/>
      <c r="C84" s="278"/>
      <c r="D84" s="278"/>
      <c r="E84" s="278"/>
      <c r="F84" s="278"/>
      <c r="G84" s="278"/>
      <c r="H84" s="278"/>
      <c r="I84" s="278"/>
      <c r="J84" s="278"/>
      <c r="K84" s="278"/>
      <c r="L84" s="278"/>
      <c r="M84" s="278"/>
      <c r="N84" s="278"/>
      <c r="O84" s="278"/>
      <c r="P84" s="875"/>
    </row>
    <row r="85" spans="1:16" ht="45" customHeight="1" x14ac:dyDescent="0.35">
      <c r="A85" s="280" t="s">
        <v>1435</v>
      </c>
      <c r="B85" s="84"/>
      <c r="C85" s="85"/>
      <c r="D85" s="85"/>
      <c r="E85" s="85"/>
      <c r="F85" s="85"/>
      <c r="G85" s="85"/>
      <c r="H85" s="85"/>
      <c r="I85" s="85"/>
      <c r="J85" s="85"/>
      <c r="K85" s="85"/>
      <c r="L85" s="85"/>
      <c r="M85" s="85"/>
      <c r="N85" s="85"/>
      <c r="O85" s="85"/>
      <c r="P85" s="279"/>
    </row>
    <row r="86" spans="1:16" ht="30" customHeight="1" x14ac:dyDescent="0.35">
      <c r="A86" s="1128"/>
      <c r="B86" s="3068" t="s">
        <v>1436</v>
      </c>
      <c r="C86" s="2695" t="s">
        <v>1437</v>
      </c>
      <c r="D86" s="3076" t="s">
        <v>1438</v>
      </c>
      <c r="E86" s="2688"/>
      <c r="F86" s="3061" t="s">
        <v>1384</v>
      </c>
      <c r="G86" s="3061"/>
      <c r="H86" s="3061"/>
      <c r="I86" s="3083" t="s">
        <v>1385</v>
      </c>
      <c r="J86" s="3061"/>
      <c r="K86" s="3082"/>
      <c r="L86" s="3061" t="s">
        <v>1386</v>
      </c>
      <c r="M86" s="3061"/>
      <c r="N86" s="3061"/>
      <c r="O86" s="1258"/>
      <c r="P86" s="1188"/>
    </row>
    <row r="87" spans="1:16" ht="15" customHeight="1" x14ac:dyDescent="0.35">
      <c r="A87" s="1130"/>
      <c r="B87" s="2702"/>
      <c r="C87" s="3113"/>
      <c r="D87" s="3076"/>
      <c r="E87" s="2688"/>
      <c r="F87" s="1078" t="s">
        <v>1387</v>
      </c>
      <c r="G87" s="1079" t="s">
        <v>1388</v>
      </c>
      <c r="H87" s="1083" t="s">
        <v>1389</v>
      </c>
      <c r="I87" s="1085" t="s">
        <v>1387</v>
      </c>
      <c r="J87" s="1163" t="s">
        <v>1388</v>
      </c>
      <c r="K87" s="1086" t="s">
        <v>1389</v>
      </c>
      <c r="L87" s="1164" t="s">
        <v>1387</v>
      </c>
      <c r="M87" s="1163" t="s">
        <v>1388</v>
      </c>
      <c r="N87" s="1083" t="s">
        <v>1389</v>
      </c>
      <c r="O87" s="1258"/>
      <c r="P87" s="1188"/>
    </row>
    <row r="88" spans="1:16" ht="30" customHeight="1" x14ac:dyDescent="0.35">
      <c r="A88" s="259"/>
      <c r="B88" s="597">
        <v>1</v>
      </c>
      <c r="C88" s="3071" t="s">
        <v>1439</v>
      </c>
      <c r="D88" s="3073" t="s">
        <v>1440</v>
      </c>
      <c r="E88" s="3074"/>
      <c r="F88" s="1120"/>
      <c r="G88" s="874"/>
      <c r="H88" s="872"/>
      <c r="I88" s="1121"/>
      <c r="J88" s="874"/>
      <c r="K88" s="1119"/>
      <c r="L88" s="1120"/>
      <c r="M88" s="874"/>
      <c r="N88" s="872"/>
      <c r="O88" s="370"/>
      <c r="P88" s="1188"/>
    </row>
    <row r="89" spans="1:16" ht="30" customHeight="1" x14ac:dyDescent="0.35">
      <c r="A89" s="259"/>
      <c r="B89" s="93">
        <v>2</v>
      </c>
      <c r="C89" s="3072"/>
      <c r="D89" s="3075" t="s">
        <v>1441</v>
      </c>
      <c r="E89" s="2555"/>
      <c r="F89" s="33"/>
      <c r="G89" s="23"/>
      <c r="H89" s="34"/>
      <c r="I89" s="1020"/>
      <c r="J89" s="23"/>
      <c r="K89" s="1021"/>
      <c r="L89" s="33"/>
      <c r="M89" s="23"/>
      <c r="N89" s="34"/>
      <c r="O89" s="370"/>
      <c r="P89" s="1188"/>
    </row>
    <row r="90" spans="1:16" ht="15" customHeight="1" x14ac:dyDescent="0.35">
      <c r="A90" s="259"/>
      <c r="B90" s="93">
        <v>3</v>
      </c>
      <c r="C90" s="3072"/>
      <c r="D90" s="3075" t="s">
        <v>1442</v>
      </c>
      <c r="E90" s="3063"/>
      <c r="F90" s="33"/>
      <c r="G90" s="23"/>
      <c r="H90" s="34"/>
      <c r="I90" s="1020"/>
      <c r="J90" s="23"/>
      <c r="K90" s="1021"/>
      <c r="L90" s="33"/>
      <c r="M90" s="23"/>
      <c r="N90" s="34"/>
      <c r="O90" s="370"/>
      <c r="P90" s="1188"/>
    </row>
    <row r="91" spans="1:16" ht="30" customHeight="1" x14ac:dyDescent="0.35">
      <c r="A91" s="259"/>
      <c r="B91" s="93">
        <v>4</v>
      </c>
      <c r="C91" s="3072"/>
      <c r="D91" s="3062" t="s">
        <v>1443</v>
      </c>
      <c r="E91" s="3063"/>
      <c r="F91" s="33"/>
      <c r="G91" s="23"/>
      <c r="H91" s="34"/>
      <c r="I91" s="1020"/>
      <c r="J91" s="23"/>
      <c r="K91" s="1021"/>
      <c r="L91" s="33"/>
      <c r="M91" s="23"/>
      <c r="N91" s="34"/>
      <c r="O91" s="370"/>
      <c r="P91" s="1188"/>
    </row>
    <row r="92" spans="1:16" ht="30" customHeight="1" x14ac:dyDescent="0.35">
      <c r="A92" s="259"/>
      <c r="B92" s="93">
        <v>5</v>
      </c>
      <c r="C92" s="3072"/>
      <c r="D92" s="3062" t="s">
        <v>1444</v>
      </c>
      <c r="E92" s="3063"/>
      <c r="F92" s="33"/>
      <c r="G92" s="23"/>
      <c r="H92" s="34"/>
      <c r="I92" s="1020"/>
      <c r="J92" s="23"/>
      <c r="K92" s="1021"/>
      <c r="L92" s="33"/>
      <c r="M92" s="23"/>
      <c r="N92" s="34"/>
      <c r="O92" s="370"/>
      <c r="P92" s="1188"/>
    </row>
    <row r="93" spans="1:16" ht="15" customHeight="1" x14ac:dyDescent="0.35">
      <c r="A93" s="259"/>
      <c r="B93" s="93">
        <v>6</v>
      </c>
      <c r="C93" s="3072"/>
      <c r="D93" s="3062" t="s">
        <v>1445</v>
      </c>
      <c r="E93" s="3063"/>
      <c r="F93" s="33"/>
      <c r="G93" s="23"/>
      <c r="H93" s="34"/>
      <c r="I93" s="1020"/>
      <c r="J93" s="23"/>
      <c r="K93" s="1021"/>
      <c r="L93" s="33"/>
      <c r="M93" s="23"/>
      <c r="N93" s="34"/>
      <c r="O93" s="370"/>
      <c r="P93" s="1188"/>
    </row>
    <row r="94" spans="1:16" ht="30" customHeight="1" x14ac:dyDescent="0.35">
      <c r="A94" s="259"/>
      <c r="B94" s="93">
        <v>7</v>
      </c>
      <c r="C94" s="3072"/>
      <c r="D94" s="3075" t="s">
        <v>1446</v>
      </c>
      <c r="E94" s="3063"/>
      <c r="F94" s="33"/>
      <c r="G94" s="23"/>
      <c r="H94" s="34"/>
      <c r="I94" s="1020"/>
      <c r="J94" s="23"/>
      <c r="K94" s="1021"/>
      <c r="L94" s="33"/>
      <c r="M94" s="23"/>
      <c r="N94" s="34"/>
      <c r="O94" s="370"/>
      <c r="P94" s="1188"/>
    </row>
    <row r="95" spans="1:16" ht="15" customHeight="1" x14ac:dyDescent="0.35">
      <c r="A95" s="259"/>
      <c r="B95" s="93">
        <v>8</v>
      </c>
      <c r="C95" s="3072"/>
      <c r="D95" s="3075" t="s">
        <v>1447</v>
      </c>
      <c r="E95" s="2555"/>
      <c r="F95" s="33"/>
      <c r="G95" s="23"/>
      <c r="H95" s="34"/>
      <c r="I95" s="1020"/>
      <c r="J95" s="23"/>
      <c r="K95" s="1021"/>
      <c r="L95" s="33"/>
      <c r="M95" s="23"/>
      <c r="N95" s="34"/>
      <c r="O95" s="370"/>
      <c r="P95" s="1188"/>
    </row>
    <row r="96" spans="1:16" ht="30" customHeight="1" x14ac:dyDescent="0.35">
      <c r="A96" s="259"/>
      <c r="B96" s="93">
        <v>9</v>
      </c>
      <c r="C96" s="3072" t="s">
        <v>1448</v>
      </c>
      <c r="D96" s="3062" t="s">
        <v>1449</v>
      </c>
      <c r="E96" s="3063"/>
      <c r="F96" s="33"/>
      <c r="G96" s="23"/>
      <c r="H96" s="34"/>
      <c r="I96" s="1020"/>
      <c r="J96" s="23"/>
      <c r="K96" s="1021"/>
      <c r="L96" s="33"/>
      <c r="M96" s="23"/>
      <c r="N96" s="34"/>
      <c r="O96" s="370"/>
      <c r="P96" s="1188"/>
    </row>
    <row r="97" spans="1:16" ht="30" customHeight="1" x14ac:dyDescent="0.35">
      <c r="A97" s="259"/>
      <c r="B97" s="93">
        <v>10</v>
      </c>
      <c r="C97" s="3072"/>
      <c r="D97" s="3075" t="s">
        <v>1441</v>
      </c>
      <c r="E97" s="2555"/>
      <c r="F97" s="33"/>
      <c r="G97" s="23"/>
      <c r="H97" s="34"/>
      <c r="I97" s="1020"/>
      <c r="J97" s="23"/>
      <c r="K97" s="1021"/>
      <c r="L97" s="33"/>
      <c r="M97" s="23"/>
      <c r="N97" s="34"/>
      <c r="O97" s="370"/>
      <c r="P97" s="1188"/>
    </row>
    <row r="98" spans="1:16" ht="15" customHeight="1" x14ac:dyDescent="0.35">
      <c r="A98" s="259"/>
      <c r="B98" s="93">
        <v>11</v>
      </c>
      <c r="C98" s="3072"/>
      <c r="D98" s="3075" t="s">
        <v>1442</v>
      </c>
      <c r="E98" s="3063"/>
      <c r="F98" s="33"/>
      <c r="G98" s="23"/>
      <c r="H98" s="34"/>
      <c r="I98" s="1020"/>
      <c r="J98" s="23"/>
      <c r="K98" s="1021"/>
      <c r="L98" s="33"/>
      <c r="M98" s="23"/>
      <c r="N98" s="34"/>
      <c r="O98" s="370"/>
      <c r="P98" s="1188"/>
    </row>
    <row r="99" spans="1:16" ht="30" customHeight="1" x14ac:dyDescent="0.35">
      <c r="A99" s="259"/>
      <c r="B99" s="93">
        <v>12</v>
      </c>
      <c r="C99" s="3072"/>
      <c r="D99" s="3062" t="s">
        <v>1443</v>
      </c>
      <c r="E99" s="3063"/>
      <c r="F99" s="33"/>
      <c r="G99" s="23"/>
      <c r="H99" s="34"/>
      <c r="I99" s="1020"/>
      <c r="J99" s="23"/>
      <c r="K99" s="1021"/>
      <c r="L99" s="33"/>
      <c r="M99" s="23"/>
      <c r="N99" s="34"/>
      <c r="O99" s="370"/>
      <c r="P99" s="1188"/>
    </row>
    <row r="100" spans="1:16" ht="30" customHeight="1" x14ac:dyDescent="0.35">
      <c r="A100" s="259"/>
      <c r="B100" s="93">
        <v>13</v>
      </c>
      <c r="C100" s="3072"/>
      <c r="D100" s="3062" t="s">
        <v>1444</v>
      </c>
      <c r="E100" s="3063"/>
      <c r="F100" s="33"/>
      <c r="G100" s="23"/>
      <c r="H100" s="34"/>
      <c r="I100" s="1020"/>
      <c r="J100" s="23"/>
      <c r="K100" s="1021"/>
      <c r="L100" s="33"/>
      <c r="M100" s="23"/>
      <c r="N100" s="34"/>
      <c r="O100" s="370"/>
      <c r="P100" s="1188"/>
    </row>
    <row r="101" spans="1:16" ht="15" customHeight="1" x14ac:dyDescent="0.35">
      <c r="A101" s="259"/>
      <c r="B101" s="115">
        <v>14</v>
      </c>
      <c r="C101" s="3072"/>
      <c r="D101" s="3062" t="s">
        <v>1445</v>
      </c>
      <c r="E101" s="3063"/>
      <c r="F101" s="33"/>
      <c r="G101" s="23"/>
      <c r="H101" s="34"/>
      <c r="I101" s="1020"/>
      <c r="J101" s="23"/>
      <c r="K101" s="1021"/>
      <c r="L101" s="33"/>
      <c r="M101" s="23"/>
      <c r="N101" s="34"/>
      <c r="O101" s="370"/>
      <c r="P101" s="1188"/>
    </row>
    <row r="102" spans="1:16" ht="45" customHeight="1" x14ac:dyDescent="0.35">
      <c r="A102" s="259"/>
      <c r="B102" s="115">
        <v>15</v>
      </c>
      <c r="C102" s="3072"/>
      <c r="D102" s="3062" t="s">
        <v>1450</v>
      </c>
      <c r="E102" s="3063"/>
      <c r="F102" s="33"/>
      <c r="G102" s="23"/>
      <c r="H102" s="34"/>
      <c r="I102" s="1020"/>
      <c r="J102" s="23"/>
      <c r="K102" s="1021"/>
      <c r="L102" s="33"/>
      <c r="M102" s="23"/>
      <c r="N102" s="34"/>
      <c r="O102" s="370"/>
      <c r="P102" s="1188"/>
    </row>
    <row r="103" spans="1:16" ht="15" customHeight="1" x14ac:dyDescent="0.35">
      <c r="A103" s="259"/>
      <c r="B103" s="115">
        <v>16</v>
      </c>
      <c r="C103" s="3077" t="s">
        <v>1451</v>
      </c>
      <c r="D103" s="3077"/>
      <c r="E103" s="3078"/>
      <c r="F103" s="33"/>
      <c r="G103" s="23"/>
      <c r="H103" s="34"/>
      <c r="I103" s="1020"/>
      <c r="J103" s="23"/>
      <c r="K103" s="1021"/>
      <c r="L103" s="33"/>
      <c r="M103" s="23"/>
      <c r="N103" s="34"/>
      <c r="O103" s="370"/>
      <c r="P103" s="1188"/>
    </row>
    <row r="104" spans="1:16" ht="15" customHeight="1" x14ac:dyDescent="0.35">
      <c r="A104" s="259"/>
      <c r="B104" s="115">
        <v>17</v>
      </c>
      <c r="C104" s="3077" t="s">
        <v>1452</v>
      </c>
      <c r="D104" s="3077"/>
      <c r="E104" s="3078"/>
      <c r="F104" s="33"/>
      <c r="G104" s="23"/>
      <c r="H104" s="34"/>
      <c r="I104" s="1020"/>
      <c r="J104" s="23"/>
      <c r="K104" s="1021"/>
      <c r="L104" s="33"/>
      <c r="M104" s="23"/>
      <c r="N104" s="34"/>
      <c r="O104" s="370"/>
      <c r="P104" s="1188"/>
    </row>
    <row r="105" spans="1:16" ht="15" customHeight="1" x14ac:dyDescent="0.35">
      <c r="A105" s="259"/>
      <c r="B105" s="174">
        <v>18</v>
      </c>
      <c r="C105" s="3080" t="s">
        <v>1453</v>
      </c>
      <c r="D105" s="3080"/>
      <c r="E105" s="3081"/>
      <c r="F105" s="271"/>
      <c r="G105" s="18"/>
      <c r="H105" s="72"/>
      <c r="I105" s="1024"/>
      <c r="J105" s="18"/>
      <c r="K105" s="1025"/>
      <c r="L105" s="271"/>
      <c r="M105" s="18"/>
      <c r="N105" s="72"/>
      <c r="O105" s="370"/>
      <c r="P105" s="1188"/>
    </row>
    <row r="106" spans="1:16" ht="15" customHeight="1" x14ac:dyDescent="0.35">
      <c r="A106" s="259"/>
      <c r="B106" s="85"/>
      <c r="C106" s="85"/>
      <c r="D106" s="85"/>
      <c r="E106" s="85"/>
      <c r="F106" s="85"/>
      <c r="G106" s="85"/>
      <c r="H106" s="85"/>
      <c r="I106" s="85"/>
      <c r="J106" s="85"/>
      <c r="K106" s="85"/>
      <c r="L106" s="85"/>
      <c r="M106" s="85"/>
      <c r="N106" s="85"/>
      <c r="O106" s="85"/>
      <c r="P106" s="279"/>
    </row>
    <row r="107" spans="1:16" ht="15" customHeight="1" x14ac:dyDescent="0.35">
      <c r="A107" s="265"/>
      <c r="B107" s="2752"/>
      <c r="C107" s="2766"/>
      <c r="D107" s="2766"/>
      <c r="E107" s="2750"/>
      <c r="F107" s="1082" t="s">
        <v>1039</v>
      </c>
      <c r="G107" s="761"/>
      <c r="H107" s="761"/>
      <c r="I107" s="761"/>
      <c r="J107" s="761"/>
      <c r="K107" s="761"/>
      <c r="L107" s="85"/>
      <c r="M107" s="85"/>
      <c r="N107" s="85"/>
      <c r="O107" s="85"/>
      <c r="P107" s="279"/>
    </row>
    <row r="108" spans="1:16" ht="15" customHeight="1" x14ac:dyDescent="0.35">
      <c r="A108" s="265"/>
      <c r="B108" s="1246" t="s">
        <v>1454</v>
      </c>
      <c r="C108" s="1247"/>
      <c r="D108" s="1247"/>
      <c r="E108" s="1247"/>
      <c r="F108" s="1248" t="str">
        <f>IF(AND(ISNUMBER(F109), ISNUMBER(F113), ISNUMBER(F117)), SUM(F109, F113, F117), "")</f>
        <v/>
      </c>
      <c r="G108" s="761"/>
      <c r="H108" s="761"/>
      <c r="I108" s="761"/>
      <c r="J108" s="761"/>
      <c r="K108" s="761"/>
      <c r="L108" s="85"/>
      <c r="M108" s="85"/>
      <c r="N108" s="85"/>
      <c r="O108" s="85"/>
      <c r="P108" s="279"/>
    </row>
    <row r="109" spans="1:16" ht="15" customHeight="1" x14ac:dyDescent="0.35">
      <c r="A109" s="265"/>
      <c r="B109" s="270" t="s">
        <v>1144</v>
      </c>
      <c r="C109" s="1124"/>
      <c r="D109" s="1124"/>
      <c r="E109" s="1124"/>
      <c r="F109" s="80" t="str">
        <f>IF(AND(ISNUMBER(F110), ISNUMBER(F111), ISNUMBER(F112)), IF($I$4="Medium", F110, IF($I$4="High", F111, IF($I$4="Low", F112, ""))), "")</f>
        <v/>
      </c>
      <c r="G109" s="85"/>
      <c r="H109" s="85"/>
      <c r="I109" s="85"/>
      <c r="J109" s="85"/>
      <c r="K109" s="85"/>
      <c r="L109" s="85"/>
      <c r="N109" s="85"/>
      <c r="O109" s="85"/>
      <c r="P109" s="315"/>
    </row>
    <row r="110" spans="1:16" ht="15" customHeight="1" x14ac:dyDescent="0.35">
      <c r="A110" s="265"/>
      <c r="B110" s="1245" t="s">
        <v>1368</v>
      </c>
      <c r="C110" s="132"/>
      <c r="D110" s="132"/>
      <c r="E110" s="132"/>
      <c r="F110" s="292"/>
      <c r="G110" s="85"/>
      <c r="H110" s="85"/>
      <c r="I110" s="85"/>
      <c r="J110" s="85"/>
      <c r="K110" s="85"/>
      <c r="L110" s="85"/>
      <c r="N110" s="85"/>
      <c r="O110" s="85"/>
      <c r="P110" s="315"/>
    </row>
    <row r="111" spans="1:16" ht="15" customHeight="1" x14ac:dyDescent="0.35">
      <c r="A111" s="265"/>
      <c r="B111" s="1245" t="s">
        <v>1369</v>
      </c>
      <c r="C111" s="132"/>
      <c r="D111" s="132"/>
      <c r="E111" s="132"/>
      <c r="F111" s="292"/>
      <c r="K111" s="85"/>
      <c r="L111" s="85"/>
      <c r="N111" s="85"/>
      <c r="O111" s="85"/>
      <c r="P111" s="315"/>
    </row>
    <row r="112" spans="1:16" ht="15" customHeight="1" x14ac:dyDescent="0.35">
      <c r="A112" s="265"/>
      <c r="B112" s="1245" t="s">
        <v>1370</v>
      </c>
      <c r="C112" s="132"/>
      <c r="D112" s="132"/>
      <c r="E112" s="132"/>
      <c r="F112" s="292"/>
      <c r="K112" s="85"/>
      <c r="L112" s="85"/>
      <c r="N112" s="85"/>
      <c r="O112" s="85"/>
      <c r="P112" s="315"/>
    </row>
    <row r="113" spans="1:16" ht="15" customHeight="1" x14ac:dyDescent="0.35">
      <c r="A113" s="265"/>
      <c r="B113" s="270" t="s">
        <v>1150</v>
      </c>
      <c r="C113" s="1124"/>
      <c r="D113" s="1124"/>
      <c r="E113" s="1124"/>
      <c r="F113" s="80" t="str">
        <f>IF(AND(ISNUMBER(F114), ISNUMBER(F115), ISNUMBER(F116)), IF($I$4="Medium", F114, IF($I$4="High", F115, IF($I$4="Low", F116, ""))), "")</f>
        <v/>
      </c>
      <c r="K113" s="85"/>
      <c r="L113" s="85"/>
      <c r="N113" s="85"/>
      <c r="O113" s="85"/>
      <c r="P113" s="315"/>
    </row>
    <row r="114" spans="1:16" ht="15" customHeight="1" x14ac:dyDescent="0.35">
      <c r="A114" s="265"/>
      <c r="B114" s="1245" t="s">
        <v>1368</v>
      </c>
      <c r="C114" s="132"/>
      <c r="D114" s="132"/>
      <c r="E114" s="132"/>
      <c r="F114" s="292"/>
      <c r="K114" s="85"/>
      <c r="L114" s="85"/>
      <c r="N114" s="85"/>
      <c r="O114" s="85"/>
      <c r="P114" s="315"/>
    </row>
    <row r="115" spans="1:16" ht="15" customHeight="1" x14ac:dyDescent="0.35">
      <c r="A115" s="265"/>
      <c r="B115" s="1245" t="s">
        <v>1369</v>
      </c>
      <c r="C115" s="132"/>
      <c r="D115" s="132"/>
      <c r="E115" s="132"/>
      <c r="F115" s="292"/>
      <c r="K115" s="85"/>
      <c r="L115" s="85"/>
      <c r="N115" s="85"/>
      <c r="O115" s="85"/>
      <c r="P115" s="315"/>
    </row>
    <row r="116" spans="1:16" ht="15" customHeight="1" x14ac:dyDescent="0.35">
      <c r="A116" s="265"/>
      <c r="B116" s="1245" t="s">
        <v>1370</v>
      </c>
      <c r="C116" s="132"/>
      <c r="D116" s="132"/>
      <c r="E116" s="132"/>
      <c r="F116" s="292"/>
      <c r="K116" s="85"/>
      <c r="L116" s="85"/>
      <c r="N116" s="85"/>
      <c r="O116" s="85"/>
      <c r="P116" s="315"/>
    </row>
    <row r="117" spans="1:16" ht="15" customHeight="1" x14ac:dyDescent="0.35">
      <c r="A117" s="265"/>
      <c r="B117" s="270" t="s">
        <v>1151</v>
      </c>
      <c r="C117" s="1124"/>
      <c r="D117" s="1124"/>
      <c r="E117" s="1124"/>
      <c r="F117" s="80" t="str">
        <f>IF(AND(ISNUMBER(F118), ISNUMBER(F119), ISNUMBER(F120)), IF($I$4="Medium", F118, IF($I$4="High", F119, IF($I$4="Low", F120, ""))), "")</f>
        <v/>
      </c>
      <c r="K117" s="85"/>
      <c r="L117" s="85"/>
      <c r="N117" s="85"/>
      <c r="O117" s="85"/>
      <c r="P117" s="315"/>
    </row>
    <row r="118" spans="1:16" ht="15" customHeight="1" x14ac:dyDescent="0.35">
      <c r="A118" s="265"/>
      <c r="B118" s="1245" t="s">
        <v>1368</v>
      </c>
      <c r="C118" s="132"/>
      <c r="D118" s="132"/>
      <c r="E118" s="132"/>
      <c r="F118" s="292"/>
      <c r="G118" s="85"/>
      <c r="H118" s="85"/>
      <c r="I118" s="85"/>
      <c r="J118" s="85"/>
      <c r="K118" s="85"/>
      <c r="L118" s="85"/>
      <c r="N118" s="85"/>
      <c r="O118" s="85"/>
      <c r="P118" s="315"/>
    </row>
    <row r="119" spans="1:16" ht="15" customHeight="1" x14ac:dyDescent="0.35">
      <c r="A119" s="265"/>
      <c r="B119" s="1245" t="s">
        <v>1369</v>
      </c>
      <c r="C119" s="132"/>
      <c r="D119" s="132"/>
      <c r="E119" s="132"/>
      <c r="F119" s="292"/>
      <c r="G119" s="85"/>
      <c r="H119" s="85"/>
      <c r="I119" s="85"/>
      <c r="J119" s="85"/>
      <c r="K119" s="85"/>
      <c r="L119" s="85"/>
      <c r="N119" s="85"/>
      <c r="O119" s="85"/>
      <c r="P119" s="315"/>
    </row>
    <row r="120" spans="1:16" ht="15" customHeight="1" x14ac:dyDescent="0.35">
      <c r="A120" s="265"/>
      <c r="B120" s="1063" t="s">
        <v>1370</v>
      </c>
      <c r="C120" s="218"/>
      <c r="D120" s="218"/>
      <c r="E120" s="218"/>
      <c r="F120" s="420"/>
      <c r="G120" s="85"/>
      <c r="H120" s="85"/>
      <c r="I120" s="85"/>
      <c r="J120" s="85"/>
      <c r="K120" s="85"/>
      <c r="L120" s="85"/>
      <c r="N120" s="85"/>
      <c r="O120" s="85"/>
      <c r="P120" s="315"/>
    </row>
    <row r="121" spans="1:16" ht="15" customHeight="1" x14ac:dyDescent="0.35">
      <c r="A121" s="729"/>
      <c r="B121" s="278"/>
      <c r="C121" s="278"/>
      <c r="D121" s="278"/>
      <c r="E121" s="278"/>
      <c r="F121" s="278"/>
      <c r="G121" s="278"/>
      <c r="H121" s="278"/>
      <c r="I121" s="278"/>
      <c r="J121" s="278"/>
      <c r="K121" s="278"/>
      <c r="L121" s="278"/>
      <c r="M121" s="278"/>
      <c r="N121" s="278"/>
      <c r="O121" s="278"/>
      <c r="P121" s="875"/>
    </row>
    <row r="122" spans="1:16" ht="45" customHeight="1" x14ac:dyDescent="0.35">
      <c r="A122" s="280" t="s">
        <v>1455</v>
      </c>
      <c r="B122" s="84"/>
      <c r="C122" s="85"/>
      <c r="D122" s="85"/>
      <c r="E122" s="85"/>
      <c r="F122" s="85"/>
      <c r="G122" s="85"/>
      <c r="H122" s="85"/>
      <c r="I122" s="85"/>
      <c r="J122" s="85"/>
      <c r="K122" s="85"/>
      <c r="L122" s="85"/>
      <c r="M122" s="85"/>
      <c r="N122" s="85"/>
      <c r="O122" s="85"/>
      <c r="P122" s="279"/>
    </row>
    <row r="123" spans="1:16" ht="30" customHeight="1" x14ac:dyDescent="0.35">
      <c r="A123" s="1128"/>
      <c r="B123" s="3068" t="s">
        <v>1436</v>
      </c>
      <c r="C123" s="2695" t="s">
        <v>1437</v>
      </c>
      <c r="D123" s="3086" t="s">
        <v>1438</v>
      </c>
      <c r="E123" s="3114"/>
      <c r="F123" s="3061" t="s">
        <v>1384</v>
      </c>
      <c r="G123" s="3061"/>
      <c r="H123" s="3061"/>
      <c r="I123" s="3083" t="s">
        <v>1385</v>
      </c>
      <c r="J123" s="3061"/>
      <c r="K123" s="3082"/>
      <c r="L123" s="3061" t="s">
        <v>1386</v>
      </c>
      <c r="M123" s="3061"/>
      <c r="N123" s="3061"/>
      <c r="O123" s="1258"/>
      <c r="P123" s="315"/>
    </row>
    <row r="124" spans="1:16" ht="15" customHeight="1" x14ac:dyDescent="0.35">
      <c r="A124" s="1130"/>
      <c r="B124" s="3069"/>
      <c r="C124" s="3113"/>
      <c r="D124" s="3087"/>
      <c r="E124" s="3115"/>
      <c r="F124" s="1160" t="s">
        <v>1387</v>
      </c>
      <c r="G124" s="1114" t="s">
        <v>1388</v>
      </c>
      <c r="H124" s="1118" t="s">
        <v>1389</v>
      </c>
      <c r="I124" s="1167" t="s">
        <v>1387</v>
      </c>
      <c r="J124" s="1114" t="s">
        <v>1388</v>
      </c>
      <c r="K124" s="1168" t="s">
        <v>1389</v>
      </c>
      <c r="L124" s="1135" t="s">
        <v>1387</v>
      </c>
      <c r="M124" s="1134" t="s">
        <v>1388</v>
      </c>
      <c r="N124" s="1116" t="s">
        <v>1389</v>
      </c>
      <c r="O124" s="1259"/>
      <c r="P124" s="315"/>
    </row>
    <row r="125" spans="1:16" ht="15" customHeight="1" x14ac:dyDescent="0.35">
      <c r="A125" s="259"/>
      <c r="B125" s="96">
        <v>1</v>
      </c>
      <c r="C125" s="3117" t="s">
        <v>1456</v>
      </c>
      <c r="D125" s="3110" t="s">
        <v>1457</v>
      </c>
      <c r="E125" s="3111"/>
      <c r="F125" s="1165"/>
      <c r="G125" s="1131"/>
      <c r="H125" s="1131"/>
      <c r="I125" s="1121"/>
      <c r="J125" s="874"/>
      <c r="K125" s="1119"/>
      <c r="L125" s="1165"/>
      <c r="M125" s="1131"/>
      <c r="N125" s="1131"/>
      <c r="O125" s="370"/>
      <c r="P125" s="315"/>
    </row>
    <row r="126" spans="1:16" ht="15" customHeight="1" x14ac:dyDescent="0.35">
      <c r="A126" s="259"/>
      <c r="B126" s="93">
        <v>2</v>
      </c>
      <c r="C126" s="3072"/>
      <c r="D126" s="3063" t="s">
        <v>1458</v>
      </c>
      <c r="E126" s="3070"/>
      <c r="F126" s="292"/>
      <c r="G126" s="34"/>
      <c r="H126" s="34"/>
      <c r="I126" s="1020"/>
      <c r="J126" s="23"/>
      <c r="K126" s="1021"/>
      <c r="L126" s="292"/>
      <c r="M126" s="34"/>
      <c r="N126" s="34"/>
      <c r="O126" s="370"/>
      <c r="P126" s="315"/>
    </row>
    <row r="127" spans="1:16" ht="15" customHeight="1" x14ac:dyDescent="0.35">
      <c r="A127" s="259"/>
      <c r="B127" s="93">
        <v>3</v>
      </c>
      <c r="C127" s="3072"/>
      <c r="D127" s="3063" t="s">
        <v>1459</v>
      </c>
      <c r="E127" s="3070"/>
      <c r="F127" s="292"/>
      <c r="G127" s="34"/>
      <c r="H127" s="34"/>
      <c r="I127" s="1020"/>
      <c r="J127" s="23"/>
      <c r="K127" s="1021"/>
      <c r="L127" s="292"/>
      <c r="M127" s="34"/>
      <c r="N127" s="34"/>
      <c r="O127" s="370"/>
      <c r="P127" s="315"/>
    </row>
    <row r="128" spans="1:16" ht="15" customHeight="1" x14ac:dyDescent="0.35">
      <c r="A128" s="259"/>
      <c r="B128" s="93">
        <v>4</v>
      </c>
      <c r="C128" s="3072"/>
      <c r="D128" s="3063" t="s">
        <v>1460</v>
      </c>
      <c r="E128" s="3070"/>
      <c r="F128" s="292"/>
      <c r="G128" s="34"/>
      <c r="H128" s="34"/>
      <c r="I128" s="1020"/>
      <c r="J128" s="23"/>
      <c r="K128" s="1021"/>
      <c r="L128" s="292"/>
      <c r="M128" s="34"/>
      <c r="N128" s="34"/>
      <c r="O128" s="370"/>
      <c r="P128" s="315"/>
    </row>
    <row r="129" spans="1:16" ht="15" customHeight="1" x14ac:dyDescent="0.35">
      <c r="A129" s="259"/>
      <c r="B129" s="93">
        <v>5</v>
      </c>
      <c r="C129" s="3072"/>
      <c r="D129" s="3063" t="s">
        <v>1461</v>
      </c>
      <c r="E129" s="3070"/>
      <c r="F129" s="292"/>
      <c r="G129" s="34"/>
      <c r="H129" s="34"/>
      <c r="I129" s="1020"/>
      <c r="J129" s="23"/>
      <c r="K129" s="1021"/>
      <c r="L129" s="292"/>
      <c r="M129" s="34"/>
      <c r="N129" s="34"/>
      <c r="O129" s="370"/>
      <c r="P129" s="315"/>
    </row>
    <row r="130" spans="1:16" ht="15" customHeight="1" x14ac:dyDescent="0.35">
      <c r="A130" s="259"/>
      <c r="B130" s="93">
        <v>6</v>
      </c>
      <c r="C130" s="3072"/>
      <c r="D130" s="3063" t="s">
        <v>1462</v>
      </c>
      <c r="E130" s="3070"/>
      <c r="F130" s="1166"/>
      <c r="G130" s="68"/>
      <c r="H130" s="68"/>
      <c r="I130" s="1020"/>
      <c r="J130" s="23"/>
      <c r="K130" s="1021"/>
      <c r="L130" s="1166"/>
      <c r="M130" s="68"/>
      <c r="N130" s="68"/>
      <c r="O130" s="370"/>
      <c r="P130" s="315"/>
    </row>
    <row r="131" spans="1:16" ht="15" customHeight="1" x14ac:dyDescent="0.35">
      <c r="A131" s="259"/>
      <c r="B131" s="93">
        <v>7</v>
      </c>
      <c r="C131" s="3072"/>
      <c r="D131" s="3063" t="s">
        <v>1463</v>
      </c>
      <c r="E131" s="3070"/>
      <c r="F131" s="292"/>
      <c r="G131" s="34"/>
      <c r="H131" s="34"/>
      <c r="I131" s="1020"/>
      <c r="J131" s="23"/>
      <c r="K131" s="1021"/>
      <c r="L131" s="292"/>
      <c r="M131" s="34"/>
      <c r="N131" s="34"/>
      <c r="O131" s="370"/>
      <c r="P131" s="315"/>
    </row>
    <row r="132" spans="1:16" ht="15" customHeight="1" x14ac:dyDescent="0.35">
      <c r="A132" s="259"/>
      <c r="B132" s="93">
        <v>8</v>
      </c>
      <c r="C132" s="3072"/>
      <c r="D132" s="3063" t="s">
        <v>1464</v>
      </c>
      <c r="E132" s="3070"/>
      <c r="F132" s="292"/>
      <c r="G132" s="34"/>
      <c r="H132" s="34"/>
      <c r="I132" s="1020"/>
      <c r="J132" s="23"/>
      <c r="K132" s="1021"/>
      <c r="L132" s="292"/>
      <c r="M132" s="34"/>
      <c r="N132" s="34"/>
      <c r="O132" s="370"/>
      <c r="P132" s="315"/>
    </row>
    <row r="133" spans="1:16" ht="15" customHeight="1" x14ac:dyDescent="0.35">
      <c r="A133" s="259"/>
      <c r="B133" s="93">
        <v>9</v>
      </c>
      <c r="C133" s="3120" t="s">
        <v>1465</v>
      </c>
      <c r="D133" s="3063" t="s">
        <v>1457</v>
      </c>
      <c r="E133" s="3070"/>
      <c r="F133" s="292"/>
      <c r="G133" s="34"/>
      <c r="H133" s="34"/>
      <c r="I133" s="1020"/>
      <c r="J133" s="23"/>
      <c r="K133" s="1021"/>
      <c r="L133" s="292"/>
      <c r="M133" s="34"/>
      <c r="N133" s="34"/>
      <c r="O133" s="370"/>
      <c r="P133" s="315"/>
    </row>
    <row r="134" spans="1:16" ht="15" customHeight="1" x14ac:dyDescent="0.35">
      <c r="A134" s="259"/>
      <c r="B134" s="93">
        <v>10</v>
      </c>
      <c r="C134" s="3072"/>
      <c r="D134" s="3063" t="s">
        <v>1458</v>
      </c>
      <c r="E134" s="3070"/>
      <c r="F134" s="1166"/>
      <c r="G134" s="68"/>
      <c r="H134" s="68"/>
      <c r="I134" s="1020"/>
      <c r="J134" s="23"/>
      <c r="K134" s="1021"/>
      <c r="L134" s="1166"/>
      <c r="M134" s="68"/>
      <c r="N134" s="68"/>
      <c r="O134" s="370"/>
      <c r="P134" s="315"/>
    </row>
    <row r="135" spans="1:16" ht="15" customHeight="1" x14ac:dyDescent="0.35">
      <c r="A135" s="259"/>
      <c r="B135" s="93">
        <v>11</v>
      </c>
      <c r="C135" s="3072"/>
      <c r="D135" s="3063" t="s">
        <v>1459</v>
      </c>
      <c r="E135" s="3070"/>
      <c r="F135" s="292"/>
      <c r="G135" s="34"/>
      <c r="H135" s="34"/>
      <c r="I135" s="1020"/>
      <c r="J135" s="23"/>
      <c r="K135" s="1021"/>
      <c r="L135" s="292"/>
      <c r="M135" s="34"/>
      <c r="N135" s="34"/>
      <c r="O135" s="370"/>
      <c r="P135" s="315"/>
    </row>
    <row r="136" spans="1:16" ht="15" customHeight="1" x14ac:dyDescent="0.35">
      <c r="A136" s="259"/>
      <c r="B136" s="93">
        <v>12</v>
      </c>
      <c r="C136" s="3072"/>
      <c r="D136" s="3063" t="s">
        <v>1460</v>
      </c>
      <c r="E136" s="3070"/>
      <c r="F136" s="292"/>
      <c r="G136" s="34"/>
      <c r="H136" s="34"/>
      <c r="I136" s="1020"/>
      <c r="J136" s="23"/>
      <c r="K136" s="1021"/>
      <c r="L136" s="292"/>
      <c r="M136" s="34"/>
      <c r="N136" s="34"/>
      <c r="O136" s="370"/>
      <c r="P136" s="315"/>
    </row>
    <row r="137" spans="1:16" ht="15" customHeight="1" x14ac:dyDescent="0.35">
      <c r="A137" s="259"/>
      <c r="B137" s="93">
        <v>13</v>
      </c>
      <c r="C137" s="3072"/>
      <c r="D137" s="3063" t="s">
        <v>1461</v>
      </c>
      <c r="E137" s="3070"/>
      <c r="F137" s="292"/>
      <c r="G137" s="34"/>
      <c r="H137" s="34"/>
      <c r="I137" s="1020"/>
      <c r="J137" s="23"/>
      <c r="K137" s="1021"/>
      <c r="L137" s="292"/>
      <c r="M137" s="34"/>
      <c r="N137" s="34"/>
      <c r="O137" s="370"/>
      <c r="P137" s="315"/>
    </row>
    <row r="138" spans="1:16" ht="15" customHeight="1" x14ac:dyDescent="0.35">
      <c r="A138" s="259"/>
      <c r="B138" s="93">
        <v>14</v>
      </c>
      <c r="C138" s="3072"/>
      <c r="D138" s="3063" t="s">
        <v>1462</v>
      </c>
      <c r="E138" s="3070"/>
      <c r="F138" s="1166"/>
      <c r="G138" s="68"/>
      <c r="H138" s="68"/>
      <c r="I138" s="1020"/>
      <c r="J138" s="23"/>
      <c r="K138" s="1021"/>
      <c r="L138" s="1166"/>
      <c r="M138" s="68"/>
      <c r="N138" s="68"/>
      <c r="O138" s="370"/>
      <c r="P138" s="315"/>
    </row>
    <row r="139" spans="1:16" ht="15" customHeight="1" x14ac:dyDescent="0.35">
      <c r="A139" s="259"/>
      <c r="B139" s="93">
        <v>15</v>
      </c>
      <c r="C139" s="3072"/>
      <c r="D139" s="3063" t="s">
        <v>1463</v>
      </c>
      <c r="E139" s="3070"/>
      <c r="F139" s="292"/>
      <c r="G139" s="34"/>
      <c r="H139" s="34"/>
      <c r="I139" s="1020"/>
      <c r="J139" s="23"/>
      <c r="K139" s="1021"/>
      <c r="L139" s="292"/>
      <c r="M139" s="34"/>
      <c r="N139" s="34"/>
      <c r="O139" s="370"/>
      <c r="P139" s="315"/>
    </row>
    <row r="140" spans="1:16" ht="15" customHeight="1" x14ac:dyDescent="0.35">
      <c r="A140" s="259"/>
      <c r="B140" s="93">
        <v>16</v>
      </c>
      <c r="C140" s="3072"/>
      <c r="D140" s="3063" t="s">
        <v>1464</v>
      </c>
      <c r="E140" s="3070"/>
      <c r="F140" s="292"/>
      <c r="G140" s="34"/>
      <c r="H140" s="34"/>
      <c r="I140" s="1020"/>
      <c r="J140" s="23"/>
      <c r="K140" s="1021"/>
      <c r="L140" s="292"/>
      <c r="M140" s="34"/>
      <c r="N140" s="34"/>
      <c r="O140" s="370"/>
      <c r="P140" s="315"/>
    </row>
    <row r="141" spans="1:16" ht="15" customHeight="1" x14ac:dyDescent="0.35">
      <c r="A141" s="259"/>
      <c r="B141" s="93">
        <v>17</v>
      </c>
      <c r="C141" s="3072" t="s">
        <v>1466</v>
      </c>
      <c r="D141" s="3063" t="s">
        <v>1457</v>
      </c>
      <c r="E141" s="3070"/>
      <c r="F141" s="292"/>
      <c r="G141" s="34"/>
      <c r="H141" s="34"/>
      <c r="I141" s="1020"/>
      <c r="J141" s="23"/>
      <c r="K141" s="1021"/>
      <c r="L141" s="292"/>
      <c r="M141" s="34"/>
      <c r="N141" s="34"/>
      <c r="O141" s="370"/>
      <c r="P141" s="315"/>
    </row>
    <row r="142" spans="1:16" ht="15" customHeight="1" x14ac:dyDescent="0.35">
      <c r="A142" s="259"/>
      <c r="B142" s="93">
        <v>18</v>
      </c>
      <c r="C142" s="3072"/>
      <c r="D142" s="3063" t="s">
        <v>1458</v>
      </c>
      <c r="E142" s="3070"/>
      <c r="F142" s="1166"/>
      <c r="G142" s="68"/>
      <c r="H142" s="68"/>
      <c r="I142" s="1020"/>
      <c r="J142" s="23"/>
      <c r="K142" s="1021"/>
      <c r="L142" s="1166"/>
      <c r="M142" s="68"/>
      <c r="N142" s="68"/>
      <c r="O142" s="370"/>
      <c r="P142" s="315"/>
    </row>
    <row r="143" spans="1:16" ht="15" customHeight="1" x14ac:dyDescent="0.35">
      <c r="A143" s="259"/>
      <c r="B143" s="93">
        <v>19</v>
      </c>
      <c r="C143" s="3072"/>
      <c r="D143" s="3063" t="s">
        <v>1459</v>
      </c>
      <c r="E143" s="3070"/>
      <c r="F143" s="292"/>
      <c r="G143" s="34"/>
      <c r="H143" s="34"/>
      <c r="I143" s="1020"/>
      <c r="J143" s="23"/>
      <c r="K143" s="1021"/>
      <c r="L143" s="292"/>
      <c r="M143" s="34"/>
      <c r="N143" s="34"/>
      <c r="O143" s="370"/>
      <c r="P143" s="315"/>
    </row>
    <row r="144" spans="1:16" ht="15" customHeight="1" x14ac:dyDescent="0.35">
      <c r="A144" s="259"/>
      <c r="B144" s="93">
        <v>20</v>
      </c>
      <c r="C144" s="3072"/>
      <c r="D144" s="3063" t="s">
        <v>1460</v>
      </c>
      <c r="E144" s="3070"/>
      <c r="F144" s="292"/>
      <c r="G144" s="34"/>
      <c r="H144" s="34"/>
      <c r="I144" s="1020"/>
      <c r="J144" s="23"/>
      <c r="K144" s="1021"/>
      <c r="L144" s="292"/>
      <c r="M144" s="34"/>
      <c r="N144" s="34"/>
      <c r="O144" s="370"/>
      <c r="P144" s="315"/>
    </row>
    <row r="145" spans="1:16" ht="15" customHeight="1" x14ac:dyDescent="0.35">
      <c r="A145" s="259"/>
      <c r="B145" s="93">
        <v>21</v>
      </c>
      <c r="C145" s="3072"/>
      <c r="D145" s="3063" t="s">
        <v>1461</v>
      </c>
      <c r="E145" s="3070"/>
      <c r="F145" s="292"/>
      <c r="G145" s="34"/>
      <c r="H145" s="34"/>
      <c r="I145" s="1020"/>
      <c r="J145" s="23"/>
      <c r="K145" s="1021"/>
      <c r="L145" s="292"/>
      <c r="M145" s="34"/>
      <c r="N145" s="34"/>
      <c r="O145" s="370"/>
      <c r="P145" s="315"/>
    </row>
    <row r="146" spans="1:16" ht="15" customHeight="1" x14ac:dyDescent="0.35">
      <c r="A146" s="259"/>
      <c r="B146" s="93">
        <v>22</v>
      </c>
      <c r="C146" s="3072"/>
      <c r="D146" s="3063" t="s">
        <v>1462</v>
      </c>
      <c r="E146" s="3070"/>
      <c r="F146" s="1166"/>
      <c r="G146" s="68"/>
      <c r="H146" s="68"/>
      <c r="I146" s="1020"/>
      <c r="J146" s="23"/>
      <c r="K146" s="1021"/>
      <c r="L146" s="1166"/>
      <c r="M146" s="68"/>
      <c r="N146" s="68"/>
      <c r="O146" s="370"/>
      <c r="P146" s="315"/>
    </row>
    <row r="147" spans="1:16" ht="15" customHeight="1" x14ac:dyDescent="0.35">
      <c r="A147" s="259"/>
      <c r="B147" s="93">
        <v>23</v>
      </c>
      <c r="C147" s="3072"/>
      <c r="D147" s="3063" t="s">
        <v>1463</v>
      </c>
      <c r="E147" s="3070"/>
      <c r="F147" s="292"/>
      <c r="G147" s="34"/>
      <c r="H147" s="34"/>
      <c r="I147" s="1020"/>
      <c r="J147" s="23"/>
      <c r="K147" s="1021"/>
      <c r="L147" s="292"/>
      <c r="M147" s="34"/>
      <c r="N147" s="34"/>
      <c r="O147" s="370"/>
      <c r="P147" s="315"/>
    </row>
    <row r="148" spans="1:16" ht="15" customHeight="1" x14ac:dyDescent="0.35">
      <c r="A148" s="259"/>
      <c r="B148" s="93">
        <v>24</v>
      </c>
      <c r="C148" s="3072"/>
      <c r="D148" s="3063" t="s">
        <v>1464</v>
      </c>
      <c r="E148" s="3070"/>
      <c r="F148" s="292"/>
      <c r="G148" s="34"/>
      <c r="H148" s="34"/>
      <c r="I148" s="1020"/>
      <c r="J148" s="23"/>
      <c r="K148" s="1021"/>
      <c r="L148" s="292"/>
      <c r="M148" s="34"/>
      <c r="N148" s="34"/>
      <c r="O148" s="370"/>
      <c r="P148" s="315"/>
    </row>
    <row r="149" spans="1:16" ht="15" customHeight="1" x14ac:dyDescent="0.35">
      <c r="A149" s="259"/>
      <c r="B149" s="174">
        <v>25</v>
      </c>
      <c r="C149" s="3118" t="s">
        <v>1451</v>
      </c>
      <c r="D149" s="3119"/>
      <c r="E149" s="3119"/>
      <c r="F149" s="420"/>
      <c r="G149" s="72"/>
      <c r="H149" s="72"/>
      <c r="I149" s="1024"/>
      <c r="J149" s="18"/>
      <c r="K149" s="1025"/>
      <c r="L149" s="420"/>
      <c r="M149" s="72"/>
      <c r="N149" s="72"/>
      <c r="O149" s="370"/>
      <c r="P149" s="315"/>
    </row>
    <row r="150" spans="1:16" ht="15" customHeight="1" x14ac:dyDescent="0.35">
      <c r="A150" s="259"/>
      <c r="B150" s="85"/>
      <c r="C150" s="85"/>
      <c r="D150" s="85"/>
      <c r="E150" s="85"/>
      <c r="F150" s="85"/>
      <c r="G150" s="85"/>
      <c r="H150" s="85"/>
      <c r="I150" s="85"/>
      <c r="J150" s="85"/>
      <c r="K150" s="85"/>
      <c r="L150" s="85"/>
      <c r="M150" s="85"/>
      <c r="N150" s="85"/>
      <c r="O150" s="370"/>
      <c r="P150" s="279"/>
    </row>
    <row r="151" spans="1:16" ht="15" customHeight="1" x14ac:dyDescent="0.35">
      <c r="A151" s="265"/>
      <c r="B151" s="2752"/>
      <c r="C151" s="2766"/>
      <c r="D151" s="2766"/>
      <c r="E151" s="2750"/>
      <c r="F151" s="1082" t="s">
        <v>1039</v>
      </c>
      <c r="G151" s="761"/>
      <c r="H151" s="761"/>
      <c r="I151" s="761"/>
      <c r="J151" s="761"/>
      <c r="K151" s="761"/>
      <c r="L151" s="85"/>
      <c r="M151" s="85"/>
      <c r="N151" s="85"/>
      <c r="O151" s="370"/>
      <c r="P151" s="279"/>
    </row>
    <row r="152" spans="1:16" ht="15" customHeight="1" x14ac:dyDescent="0.35">
      <c r="A152" s="265"/>
      <c r="B152" s="1246" t="s">
        <v>1467</v>
      </c>
      <c r="C152" s="1247"/>
      <c r="D152" s="1247"/>
      <c r="E152" s="1247"/>
      <c r="F152" s="1248" t="str">
        <f>IF(AND(ISNUMBER(F153), ISNUMBER(F157), ISNUMBER(F161)), SUM(F153, F157, F161), "")</f>
        <v/>
      </c>
      <c r="G152" s="761"/>
      <c r="H152" s="761"/>
      <c r="I152" s="761"/>
      <c r="J152" s="761"/>
      <c r="K152" s="761"/>
      <c r="L152" s="85"/>
      <c r="M152" s="85"/>
      <c r="N152" s="85"/>
      <c r="O152" s="370"/>
      <c r="P152" s="279"/>
    </row>
    <row r="153" spans="1:16" ht="15" customHeight="1" x14ac:dyDescent="0.35">
      <c r="A153" s="265"/>
      <c r="B153" s="270" t="s">
        <v>1144</v>
      </c>
      <c r="C153" s="1124"/>
      <c r="D153" s="1124"/>
      <c r="E153" s="1124"/>
      <c r="F153" s="80" t="str">
        <f>IF(AND(ISNUMBER(F154), ISNUMBER(F155), ISNUMBER(F156)), IF($I$4="Medium", F154, IF($I$4="High", F155, IF($I$4="Low", F156, ""))), "")</f>
        <v/>
      </c>
      <c r="G153" s="85"/>
      <c r="H153" s="85"/>
      <c r="I153" s="85"/>
      <c r="J153" s="85"/>
      <c r="K153" s="85"/>
      <c r="L153" s="85"/>
      <c r="N153" s="85"/>
      <c r="O153" s="370"/>
      <c r="P153" s="315"/>
    </row>
    <row r="154" spans="1:16" ht="15" customHeight="1" x14ac:dyDescent="0.35">
      <c r="A154" s="265"/>
      <c r="B154" s="1245" t="s">
        <v>1368</v>
      </c>
      <c r="C154" s="132"/>
      <c r="D154" s="132"/>
      <c r="E154" s="132"/>
      <c r="F154" s="292"/>
      <c r="G154" s="85"/>
      <c r="H154" s="85"/>
      <c r="I154" s="85"/>
      <c r="J154" s="85"/>
      <c r="K154" s="85"/>
      <c r="L154" s="85"/>
      <c r="N154" s="85"/>
      <c r="O154" s="370"/>
      <c r="P154" s="315"/>
    </row>
    <row r="155" spans="1:16" ht="15" customHeight="1" x14ac:dyDescent="0.35">
      <c r="A155" s="265"/>
      <c r="B155" s="1245" t="s">
        <v>1369</v>
      </c>
      <c r="C155" s="132"/>
      <c r="D155" s="132"/>
      <c r="E155" s="132"/>
      <c r="F155" s="292"/>
      <c r="K155" s="85"/>
      <c r="L155" s="85"/>
      <c r="N155" s="85"/>
      <c r="O155" s="370"/>
      <c r="P155" s="315"/>
    </row>
    <row r="156" spans="1:16" ht="15" customHeight="1" x14ac:dyDescent="0.35">
      <c r="A156" s="265"/>
      <c r="B156" s="1245" t="s">
        <v>1370</v>
      </c>
      <c r="C156" s="132"/>
      <c r="D156" s="132"/>
      <c r="E156" s="132"/>
      <c r="F156" s="292"/>
      <c r="K156" s="85"/>
      <c r="L156" s="85"/>
      <c r="N156" s="85"/>
      <c r="O156" s="370"/>
      <c r="P156" s="315"/>
    </row>
    <row r="157" spans="1:16" ht="15" customHeight="1" x14ac:dyDescent="0.35">
      <c r="A157" s="265"/>
      <c r="B157" s="270" t="s">
        <v>1150</v>
      </c>
      <c r="C157" s="1124"/>
      <c r="D157" s="1124"/>
      <c r="E157" s="1124"/>
      <c r="F157" s="80" t="str">
        <f>IF(AND(ISNUMBER(F158), ISNUMBER(F159), ISNUMBER(F160)), IF($I$4="Medium", F158, IF($I$4="High", F159, IF($I$4="Low", F160, ""))), "")</f>
        <v/>
      </c>
      <c r="K157" s="85"/>
      <c r="L157" s="85"/>
      <c r="N157" s="85"/>
      <c r="O157" s="370"/>
      <c r="P157" s="315"/>
    </row>
    <row r="158" spans="1:16" ht="15" customHeight="1" x14ac:dyDescent="0.35">
      <c r="A158" s="265"/>
      <c r="B158" s="1245" t="s">
        <v>1368</v>
      </c>
      <c r="C158" s="132"/>
      <c r="D158" s="132"/>
      <c r="E158" s="132"/>
      <c r="F158" s="292"/>
      <c r="K158" s="85"/>
      <c r="L158" s="85"/>
      <c r="N158" s="85"/>
      <c r="O158" s="370"/>
      <c r="P158" s="315"/>
    </row>
    <row r="159" spans="1:16" ht="15" customHeight="1" x14ac:dyDescent="0.35">
      <c r="A159" s="265"/>
      <c r="B159" s="1245" t="s">
        <v>1369</v>
      </c>
      <c r="C159" s="132"/>
      <c r="D159" s="132"/>
      <c r="E159" s="132"/>
      <c r="F159" s="292"/>
      <c r="K159" s="85"/>
      <c r="L159" s="85"/>
      <c r="N159" s="85"/>
      <c r="O159" s="370"/>
      <c r="P159" s="315"/>
    </row>
    <row r="160" spans="1:16" ht="15" customHeight="1" x14ac:dyDescent="0.35">
      <c r="A160" s="265"/>
      <c r="B160" s="1245" t="s">
        <v>1370</v>
      </c>
      <c r="C160" s="132"/>
      <c r="D160" s="132"/>
      <c r="E160" s="132"/>
      <c r="F160" s="292"/>
      <c r="K160" s="85"/>
      <c r="L160" s="85"/>
      <c r="N160" s="85"/>
      <c r="O160" s="370"/>
      <c r="P160" s="315"/>
    </row>
    <row r="161" spans="1:16" ht="15" customHeight="1" x14ac:dyDescent="0.35">
      <c r="A161" s="265"/>
      <c r="B161" s="270" t="s">
        <v>1151</v>
      </c>
      <c r="C161" s="1124"/>
      <c r="D161" s="1124"/>
      <c r="E161" s="1124"/>
      <c r="F161" s="80" t="str">
        <f>IF(AND(ISNUMBER(F162), ISNUMBER(F163), ISNUMBER(F164)), IF($I$4="Medium", F162, IF($I$4="High", F163, IF($I$4="Low", F164, ""))), "")</f>
        <v/>
      </c>
      <c r="K161" s="85"/>
      <c r="L161" s="85"/>
      <c r="N161" s="85"/>
      <c r="O161" s="85"/>
      <c r="P161" s="315"/>
    </row>
    <row r="162" spans="1:16" ht="15" customHeight="1" x14ac:dyDescent="0.35">
      <c r="A162" s="265"/>
      <c r="B162" s="1245" t="s">
        <v>1368</v>
      </c>
      <c r="C162" s="132"/>
      <c r="D162" s="132"/>
      <c r="E162" s="132"/>
      <c r="F162" s="292"/>
      <c r="G162" s="85"/>
      <c r="H162" s="85"/>
      <c r="I162" s="85"/>
      <c r="J162" s="85"/>
      <c r="K162" s="85"/>
      <c r="L162" s="85"/>
      <c r="N162" s="85"/>
      <c r="O162" s="85"/>
      <c r="P162" s="315"/>
    </row>
    <row r="163" spans="1:16" ht="15" customHeight="1" x14ac:dyDescent="0.35">
      <c r="A163" s="265"/>
      <c r="B163" s="1245" t="s">
        <v>1369</v>
      </c>
      <c r="C163" s="132"/>
      <c r="D163" s="132"/>
      <c r="E163" s="132"/>
      <c r="F163" s="292"/>
      <c r="G163" s="85"/>
      <c r="H163" s="85"/>
      <c r="I163" s="85"/>
      <c r="J163" s="85"/>
      <c r="K163" s="85"/>
      <c r="L163" s="85"/>
      <c r="N163" s="85"/>
      <c r="O163" s="85"/>
      <c r="P163" s="315"/>
    </row>
    <row r="164" spans="1:16" ht="15" customHeight="1" x14ac:dyDescent="0.35">
      <c r="A164" s="265"/>
      <c r="B164" s="1063" t="s">
        <v>1370</v>
      </c>
      <c r="C164" s="218"/>
      <c r="D164" s="218"/>
      <c r="E164" s="218"/>
      <c r="F164" s="420"/>
      <c r="G164" s="85"/>
      <c r="H164" s="85"/>
      <c r="I164" s="85"/>
      <c r="J164" s="85"/>
      <c r="K164" s="85"/>
      <c r="L164" s="85"/>
      <c r="N164" s="85"/>
      <c r="O164" s="85"/>
      <c r="P164" s="315"/>
    </row>
    <row r="165" spans="1:16" ht="15" customHeight="1" x14ac:dyDescent="0.35">
      <c r="A165" s="729"/>
      <c r="B165" s="278"/>
      <c r="C165" s="278"/>
      <c r="D165" s="278"/>
      <c r="E165" s="278"/>
      <c r="F165" s="278"/>
      <c r="G165" s="278"/>
      <c r="H165" s="278"/>
      <c r="I165" s="278"/>
      <c r="J165" s="278"/>
      <c r="K165" s="278"/>
      <c r="L165" s="278"/>
      <c r="M165" s="278"/>
      <c r="N165" s="278"/>
      <c r="O165" s="278"/>
      <c r="P165" s="875"/>
    </row>
    <row r="166" spans="1:16" ht="45" customHeight="1" x14ac:dyDescent="0.35">
      <c r="A166" s="280" t="s">
        <v>1468</v>
      </c>
      <c r="B166" s="84"/>
      <c r="C166" s="85"/>
      <c r="D166" s="85"/>
      <c r="E166" s="85"/>
      <c r="F166" s="85"/>
      <c r="G166" s="85"/>
      <c r="H166" s="85"/>
      <c r="I166" s="85"/>
      <c r="J166" s="85"/>
      <c r="K166" s="85"/>
      <c r="L166" s="85"/>
      <c r="M166" s="85"/>
      <c r="N166" s="85"/>
      <c r="O166" s="85"/>
      <c r="P166" s="279"/>
    </row>
    <row r="167" spans="1:16" ht="15" customHeight="1" x14ac:dyDescent="0.35">
      <c r="A167" s="260"/>
      <c r="B167" s="1260" t="s">
        <v>163</v>
      </c>
      <c r="C167" s="844"/>
      <c r="D167" s="844"/>
      <c r="E167" s="844"/>
      <c r="F167" s="844"/>
      <c r="G167" s="85"/>
      <c r="H167" s="85"/>
      <c r="I167" s="85"/>
      <c r="J167" s="85"/>
      <c r="K167" s="85"/>
      <c r="L167" s="85"/>
      <c r="M167" s="85"/>
      <c r="N167" s="85"/>
      <c r="O167" s="85"/>
      <c r="P167" s="85"/>
    </row>
    <row r="168" spans="1:16" ht="15" customHeight="1" x14ac:dyDescent="0.35">
      <c r="A168" s="263"/>
      <c r="B168" s="1261" t="s">
        <v>1469</v>
      </c>
      <c r="C168" s="1197"/>
      <c r="D168" s="1197"/>
      <c r="E168" s="1197"/>
      <c r="F168" s="1262">
        <f>IF(OR(ISNUMBER(TB!G34), ISNUMBER(TB!G53)), TB!G34+TB!G53, "")</f>
        <v>0</v>
      </c>
      <c r="P168" s="315"/>
    </row>
    <row r="169" spans="1:16" ht="15" customHeight="1" x14ac:dyDescent="0.35">
      <c r="A169" s="263"/>
      <c r="B169" s="1263" t="s">
        <v>1470</v>
      </c>
      <c r="C169" s="1263"/>
      <c r="D169" s="1263"/>
      <c r="E169" s="1263"/>
      <c r="F169" s="1264" t="str">
        <f>IF(ISNUMBER(F168), IF(F168&gt;0, "Yes", "No"), "TB worksheet not filled in.")</f>
        <v>No</v>
      </c>
      <c r="P169" s="315"/>
    </row>
    <row r="170" spans="1:16" ht="15" customHeight="1" x14ac:dyDescent="0.35">
      <c r="A170" s="1125"/>
      <c r="B170" s="1126"/>
      <c r="C170" s="1126"/>
      <c r="D170" s="1126"/>
      <c r="E170" s="1126"/>
      <c r="F170" s="1126"/>
      <c r="G170" s="1126"/>
      <c r="H170" s="1126"/>
      <c r="I170" s="1126"/>
      <c r="J170" s="1126"/>
      <c r="K170" s="1126"/>
      <c r="L170" s="1126"/>
      <c r="M170" s="1126"/>
      <c r="N170" s="1127"/>
      <c r="O170" s="1127"/>
      <c r="P170" s="1188"/>
    </row>
    <row r="171" spans="1:16" ht="30" customHeight="1" x14ac:dyDescent="0.35">
      <c r="A171" s="1128"/>
      <c r="B171" s="3068" t="s">
        <v>1436</v>
      </c>
      <c r="C171" s="2695" t="s">
        <v>1437</v>
      </c>
      <c r="D171" s="3076" t="s">
        <v>1438</v>
      </c>
      <c r="E171" s="2688"/>
      <c r="F171" s="3061" t="s">
        <v>1384</v>
      </c>
      <c r="G171" s="3061"/>
      <c r="H171" s="3061"/>
      <c r="I171" s="3083" t="s">
        <v>1385</v>
      </c>
      <c r="J171" s="3061"/>
      <c r="K171" s="3082"/>
      <c r="L171" s="3061" t="s">
        <v>1386</v>
      </c>
      <c r="M171" s="3061"/>
      <c r="N171" s="3061"/>
      <c r="O171" s="1258"/>
      <c r="P171" s="1188"/>
    </row>
    <row r="172" spans="1:16" ht="15" customHeight="1" x14ac:dyDescent="0.35">
      <c r="A172" s="1130"/>
      <c r="B172" s="2702"/>
      <c r="C172" s="3113"/>
      <c r="D172" s="3076"/>
      <c r="E172" s="2688"/>
      <c r="F172" s="1078" t="s">
        <v>1387</v>
      </c>
      <c r="G172" s="1079" t="s">
        <v>1388</v>
      </c>
      <c r="H172" s="1083" t="s">
        <v>1389</v>
      </c>
      <c r="I172" s="1085" t="s">
        <v>1387</v>
      </c>
      <c r="J172" s="1163" t="s">
        <v>1388</v>
      </c>
      <c r="K172" s="1086" t="s">
        <v>1389</v>
      </c>
      <c r="L172" s="1164" t="s">
        <v>1387</v>
      </c>
      <c r="M172" s="1163" t="s">
        <v>1388</v>
      </c>
      <c r="N172" s="1083" t="s">
        <v>1389</v>
      </c>
      <c r="O172" s="1258"/>
      <c r="P172" s="1188"/>
    </row>
    <row r="173" spans="1:16" ht="30" customHeight="1" x14ac:dyDescent="0.35">
      <c r="A173" s="259"/>
      <c r="B173" s="597">
        <v>1</v>
      </c>
      <c r="C173" s="3071" t="s">
        <v>1439</v>
      </c>
      <c r="D173" s="3073" t="s">
        <v>1440</v>
      </c>
      <c r="E173" s="3074"/>
      <c r="F173" s="1120"/>
      <c r="G173" s="874"/>
      <c r="H173" s="872"/>
      <c r="I173" s="1121"/>
      <c r="J173" s="874"/>
      <c r="K173" s="1119"/>
      <c r="L173" s="1120"/>
      <c r="M173" s="874"/>
      <c r="N173" s="872"/>
      <c r="P173" s="1188"/>
    </row>
    <row r="174" spans="1:16" ht="30" customHeight="1" x14ac:dyDescent="0.35">
      <c r="A174" s="259"/>
      <c r="B174" s="93">
        <v>2</v>
      </c>
      <c r="C174" s="3072"/>
      <c r="D174" s="3075" t="s">
        <v>1441</v>
      </c>
      <c r="E174" s="2555"/>
      <c r="F174" s="33"/>
      <c r="G174" s="23"/>
      <c r="H174" s="34"/>
      <c r="I174" s="1020"/>
      <c r="J174" s="23"/>
      <c r="K174" s="1021"/>
      <c r="L174" s="33"/>
      <c r="M174" s="23"/>
      <c r="N174" s="34"/>
      <c r="P174" s="1188"/>
    </row>
    <row r="175" spans="1:16" ht="15" customHeight="1" x14ac:dyDescent="0.35">
      <c r="A175" s="259"/>
      <c r="B175" s="93">
        <v>3</v>
      </c>
      <c r="C175" s="3072"/>
      <c r="D175" s="3075" t="s">
        <v>1442</v>
      </c>
      <c r="E175" s="3063"/>
      <c r="F175" s="33"/>
      <c r="G175" s="23"/>
      <c r="H175" s="34"/>
      <c r="I175" s="1020"/>
      <c r="J175" s="23"/>
      <c r="K175" s="1021"/>
      <c r="L175" s="33"/>
      <c r="M175" s="23"/>
      <c r="N175" s="34"/>
      <c r="P175" s="1188"/>
    </row>
    <row r="176" spans="1:16" ht="30" customHeight="1" x14ac:dyDescent="0.35">
      <c r="A176" s="259"/>
      <c r="B176" s="93">
        <v>4</v>
      </c>
      <c r="C176" s="3072"/>
      <c r="D176" s="3062" t="s">
        <v>1443</v>
      </c>
      <c r="E176" s="3063"/>
      <c r="F176" s="33"/>
      <c r="G176" s="23"/>
      <c r="H176" s="34"/>
      <c r="I176" s="1020"/>
      <c r="J176" s="23"/>
      <c r="K176" s="1021"/>
      <c r="L176" s="33"/>
      <c r="M176" s="23"/>
      <c r="N176" s="34"/>
      <c r="P176" s="1188"/>
    </row>
    <row r="177" spans="1:16" ht="30" customHeight="1" x14ac:dyDescent="0.35">
      <c r="A177" s="259"/>
      <c r="B177" s="93">
        <v>5</v>
      </c>
      <c r="C177" s="3072"/>
      <c r="D177" s="3062" t="s">
        <v>1444</v>
      </c>
      <c r="E177" s="3063"/>
      <c r="F177" s="33"/>
      <c r="G177" s="23"/>
      <c r="H177" s="34"/>
      <c r="I177" s="1020"/>
      <c r="J177" s="23"/>
      <c r="K177" s="1021"/>
      <c r="L177" s="33"/>
      <c r="M177" s="23"/>
      <c r="N177" s="34"/>
      <c r="P177" s="1188"/>
    </row>
    <row r="178" spans="1:16" ht="15" customHeight="1" x14ac:dyDescent="0.35">
      <c r="A178" s="259"/>
      <c r="B178" s="93">
        <v>6</v>
      </c>
      <c r="C178" s="3072"/>
      <c r="D178" s="3062" t="s">
        <v>1445</v>
      </c>
      <c r="E178" s="3063"/>
      <c r="F178" s="33"/>
      <c r="G178" s="23"/>
      <c r="H178" s="34"/>
      <c r="I178" s="1020"/>
      <c r="J178" s="23"/>
      <c r="K178" s="1021"/>
      <c r="L178" s="33"/>
      <c r="M178" s="23"/>
      <c r="N178" s="34"/>
      <c r="P178" s="1188"/>
    </row>
    <row r="179" spans="1:16" ht="30" customHeight="1" x14ac:dyDescent="0.35">
      <c r="A179" s="259"/>
      <c r="B179" s="93">
        <v>7</v>
      </c>
      <c r="C179" s="3072"/>
      <c r="D179" s="3075" t="s">
        <v>1446</v>
      </c>
      <c r="E179" s="3063"/>
      <c r="F179" s="33"/>
      <c r="G179" s="23"/>
      <c r="H179" s="34"/>
      <c r="I179" s="1020"/>
      <c r="J179" s="23"/>
      <c r="K179" s="1021"/>
      <c r="L179" s="33"/>
      <c r="M179" s="23"/>
      <c r="N179" s="34"/>
      <c r="P179" s="1188"/>
    </row>
    <row r="180" spans="1:16" ht="15" customHeight="1" x14ac:dyDescent="0.35">
      <c r="A180" s="259"/>
      <c r="B180" s="93">
        <v>8</v>
      </c>
      <c r="C180" s="3072"/>
      <c r="D180" s="3075" t="s">
        <v>1447</v>
      </c>
      <c r="E180" s="2555"/>
      <c r="F180" s="33"/>
      <c r="G180" s="23"/>
      <c r="H180" s="34"/>
      <c r="I180" s="1020"/>
      <c r="J180" s="23"/>
      <c r="K180" s="1021"/>
      <c r="L180" s="33"/>
      <c r="M180" s="23"/>
      <c r="N180" s="34"/>
      <c r="P180" s="1188"/>
    </row>
    <row r="181" spans="1:16" ht="30" customHeight="1" x14ac:dyDescent="0.35">
      <c r="A181" s="259"/>
      <c r="B181" s="93">
        <v>9</v>
      </c>
      <c r="C181" s="3072" t="s">
        <v>1448</v>
      </c>
      <c r="D181" s="3062" t="s">
        <v>1449</v>
      </c>
      <c r="E181" s="3063"/>
      <c r="F181" s="33"/>
      <c r="G181" s="23"/>
      <c r="H181" s="34"/>
      <c r="I181" s="1020"/>
      <c r="J181" s="23"/>
      <c r="K181" s="1021"/>
      <c r="L181" s="33"/>
      <c r="M181" s="23"/>
      <c r="N181" s="34"/>
      <c r="P181" s="1188"/>
    </row>
    <row r="182" spans="1:16" ht="30" customHeight="1" x14ac:dyDescent="0.35">
      <c r="A182" s="259"/>
      <c r="B182" s="93">
        <v>10</v>
      </c>
      <c r="C182" s="3072"/>
      <c r="D182" s="3075" t="s">
        <v>1441</v>
      </c>
      <c r="E182" s="2555"/>
      <c r="F182" s="33"/>
      <c r="G182" s="23"/>
      <c r="H182" s="34"/>
      <c r="I182" s="1020"/>
      <c r="J182" s="23"/>
      <c r="K182" s="1021"/>
      <c r="L182" s="33"/>
      <c r="M182" s="23"/>
      <c r="N182" s="34"/>
      <c r="P182" s="1188"/>
    </row>
    <row r="183" spans="1:16" ht="15" customHeight="1" x14ac:dyDescent="0.35">
      <c r="A183" s="259"/>
      <c r="B183" s="93">
        <v>11</v>
      </c>
      <c r="C183" s="3072"/>
      <c r="D183" s="3075" t="s">
        <v>1442</v>
      </c>
      <c r="E183" s="3063"/>
      <c r="F183" s="33"/>
      <c r="G183" s="23"/>
      <c r="H183" s="34"/>
      <c r="I183" s="1020"/>
      <c r="J183" s="23"/>
      <c r="K183" s="1021"/>
      <c r="L183" s="33"/>
      <c r="M183" s="23"/>
      <c r="N183" s="34"/>
      <c r="P183" s="1188"/>
    </row>
    <row r="184" spans="1:16" ht="30" customHeight="1" x14ac:dyDescent="0.35">
      <c r="A184" s="259"/>
      <c r="B184" s="93">
        <v>12</v>
      </c>
      <c r="C184" s="3072"/>
      <c r="D184" s="3062" t="s">
        <v>1443</v>
      </c>
      <c r="E184" s="3063"/>
      <c r="F184" s="33"/>
      <c r="G184" s="23"/>
      <c r="H184" s="34"/>
      <c r="I184" s="1020"/>
      <c r="J184" s="23"/>
      <c r="K184" s="1021"/>
      <c r="L184" s="33"/>
      <c r="M184" s="23"/>
      <c r="N184" s="34"/>
      <c r="P184" s="1188"/>
    </row>
    <row r="185" spans="1:16" ht="30" customHeight="1" x14ac:dyDescent="0.35">
      <c r="A185" s="259"/>
      <c r="B185" s="93">
        <v>13</v>
      </c>
      <c r="C185" s="3072"/>
      <c r="D185" s="3062" t="s">
        <v>1444</v>
      </c>
      <c r="E185" s="3063"/>
      <c r="F185" s="33"/>
      <c r="G185" s="23"/>
      <c r="H185" s="34"/>
      <c r="I185" s="1020"/>
      <c r="J185" s="23"/>
      <c r="K185" s="1021"/>
      <c r="L185" s="33"/>
      <c r="M185" s="23"/>
      <c r="N185" s="34"/>
      <c r="P185" s="1188"/>
    </row>
    <row r="186" spans="1:16" ht="15" customHeight="1" x14ac:dyDescent="0.35">
      <c r="A186" s="259"/>
      <c r="B186" s="115">
        <v>14</v>
      </c>
      <c r="C186" s="3072"/>
      <c r="D186" s="3062" t="s">
        <v>1445</v>
      </c>
      <c r="E186" s="3063"/>
      <c r="F186" s="33"/>
      <c r="G186" s="23"/>
      <c r="H186" s="34"/>
      <c r="I186" s="1020"/>
      <c r="J186" s="23"/>
      <c r="K186" s="1021"/>
      <c r="L186" s="33"/>
      <c r="M186" s="23"/>
      <c r="N186" s="34"/>
      <c r="P186" s="1188"/>
    </row>
    <row r="187" spans="1:16" ht="45" customHeight="1" x14ac:dyDescent="0.35">
      <c r="A187" s="259"/>
      <c r="B187" s="115">
        <v>15</v>
      </c>
      <c r="C187" s="3072"/>
      <c r="D187" s="3062" t="s">
        <v>1450</v>
      </c>
      <c r="E187" s="3063"/>
      <c r="F187" s="33"/>
      <c r="G187" s="23"/>
      <c r="H187" s="34"/>
      <c r="I187" s="1020"/>
      <c r="J187" s="23"/>
      <c r="K187" s="1021"/>
      <c r="L187" s="33"/>
      <c r="M187" s="23"/>
      <c r="N187" s="34"/>
      <c r="P187" s="1188"/>
    </row>
    <row r="188" spans="1:16" ht="15" customHeight="1" x14ac:dyDescent="0.35">
      <c r="A188" s="259"/>
      <c r="B188" s="174">
        <v>16</v>
      </c>
      <c r="C188" s="3080" t="s">
        <v>1451</v>
      </c>
      <c r="D188" s="3080"/>
      <c r="E188" s="3081"/>
      <c r="F188" s="271"/>
      <c r="G188" s="18"/>
      <c r="H188" s="72"/>
      <c r="I188" s="1024"/>
      <c r="J188" s="18"/>
      <c r="K188" s="1025"/>
      <c r="L188" s="271"/>
      <c r="M188" s="18"/>
      <c r="N188" s="72"/>
      <c r="P188" s="1188"/>
    </row>
    <row r="189" spans="1:16" ht="15" customHeight="1" x14ac:dyDescent="0.35">
      <c r="A189" s="259"/>
      <c r="B189" s="85"/>
      <c r="C189" s="85"/>
      <c r="D189" s="85"/>
      <c r="E189" s="85"/>
      <c r="F189" s="85"/>
      <c r="G189" s="85"/>
      <c r="H189" s="85"/>
      <c r="I189" s="85"/>
      <c r="J189" s="85"/>
      <c r="K189" s="85"/>
      <c r="L189" s="85"/>
      <c r="M189" s="85"/>
      <c r="N189" s="85"/>
      <c r="O189" s="85"/>
      <c r="P189" s="279"/>
    </row>
    <row r="190" spans="1:16" ht="15" customHeight="1" x14ac:dyDescent="0.35">
      <c r="A190" s="265"/>
      <c r="B190" s="2752"/>
      <c r="C190" s="2766"/>
      <c r="D190" s="2766"/>
      <c r="E190" s="2750"/>
      <c r="F190" s="1082" t="s">
        <v>1039</v>
      </c>
      <c r="G190" s="761"/>
      <c r="H190" s="761"/>
      <c r="I190" s="761"/>
      <c r="J190" s="761"/>
      <c r="K190" s="761"/>
      <c r="L190" s="85"/>
      <c r="M190" s="85"/>
      <c r="N190" s="85"/>
      <c r="O190" s="85"/>
      <c r="P190" s="279"/>
    </row>
    <row r="191" spans="1:16" ht="15" customHeight="1" x14ac:dyDescent="0.35">
      <c r="A191" s="265"/>
      <c r="B191" s="1246" t="s">
        <v>1471</v>
      </c>
      <c r="C191" s="1247"/>
      <c r="D191" s="1247"/>
      <c r="E191" s="1247"/>
      <c r="F191" s="1248">
        <f>IF(AND(ISNUMBER(F192), ISNUMBER(F196), ISNUMBER(F200)), SUM(F192, F196, F200), "")</f>
        <v>0</v>
      </c>
      <c r="G191" s="761"/>
      <c r="H191" s="761"/>
      <c r="I191" s="761"/>
      <c r="J191" s="761"/>
      <c r="K191" s="761"/>
      <c r="L191" s="85"/>
      <c r="M191" s="85"/>
      <c r="N191" s="85"/>
      <c r="O191" s="85"/>
      <c r="P191" s="279"/>
    </row>
    <row r="192" spans="1:16" ht="15" customHeight="1" x14ac:dyDescent="0.35">
      <c r="A192" s="265"/>
      <c r="B192" s="270" t="s">
        <v>1144</v>
      </c>
      <c r="C192" s="1124"/>
      <c r="D192" s="1124"/>
      <c r="E192" s="1124"/>
      <c r="F192" s="80">
        <f>IF($F$169="No", 0, IF(AND(ISNUMBER(F193), ISNUMBER(F194), ISNUMBER(F195)), IF($I$4="Medium", F193, IF($I$4="High", F194, IF($I$4="Low", F195, ""))), ""))</f>
        <v>0</v>
      </c>
      <c r="G192" s="85"/>
      <c r="H192" s="85"/>
      <c r="I192" s="85"/>
      <c r="J192" s="85"/>
      <c r="K192" s="85"/>
      <c r="L192" s="85"/>
      <c r="N192" s="85"/>
      <c r="O192" s="85"/>
      <c r="P192" s="315"/>
    </row>
    <row r="193" spans="1:16" ht="15" customHeight="1" x14ac:dyDescent="0.35">
      <c r="A193" s="265"/>
      <c r="B193" s="1245" t="s">
        <v>1368</v>
      </c>
      <c r="C193" s="132"/>
      <c r="D193" s="132"/>
      <c r="E193" s="132"/>
      <c r="F193" s="292"/>
      <c r="G193" s="85"/>
      <c r="H193" s="85"/>
      <c r="I193" s="85"/>
      <c r="J193" s="85"/>
      <c r="K193" s="85"/>
      <c r="L193" s="85"/>
      <c r="N193" s="85"/>
      <c r="O193" s="85"/>
      <c r="P193" s="315"/>
    </row>
    <row r="194" spans="1:16" ht="15" customHeight="1" x14ac:dyDescent="0.35">
      <c r="A194" s="265"/>
      <c r="B194" s="1245" t="s">
        <v>1369</v>
      </c>
      <c r="C194" s="132"/>
      <c r="D194" s="132"/>
      <c r="E194" s="132"/>
      <c r="F194" s="292"/>
      <c r="K194" s="85"/>
      <c r="L194" s="85"/>
      <c r="N194" s="85"/>
      <c r="O194" s="85"/>
      <c r="P194" s="315"/>
    </row>
    <row r="195" spans="1:16" ht="15" customHeight="1" x14ac:dyDescent="0.35">
      <c r="A195" s="265"/>
      <c r="B195" s="1245" t="s">
        <v>1370</v>
      </c>
      <c r="C195" s="132"/>
      <c r="D195" s="132"/>
      <c r="E195" s="132"/>
      <c r="F195" s="292"/>
      <c r="K195" s="85"/>
      <c r="L195" s="85"/>
      <c r="N195" s="85"/>
      <c r="O195" s="85"/>
      <c r="P195" s="315"/>
    </row>
    <row r="196" spans="1:16" ht="15" customHeight="1" x14ac:dyDescent="0.35">
      <c r="A196" s="265"/>
      <c r="B196" s="270" t="s">
        <v>1150</v>
      </c>
      <c r="C196" s="1124"/>
      <c r="D196" s="1124"/>
      <c r="E196" s="1124"/>
      <c r="F196" s="80">
        <f>IF($F$169="No", 0, IF(AND(ISNUMBER(F197), ISNUMBER(F198), ISNUMBER(F199)), IF($I$4="Medium", F197, IF($I$4="High", F198, IF($I$4="Low", F199, ""))), ""))</f>
        <v>0</v>
      </c>
      <c r="K196" s="85"/>
      <c r="L196" s="85"/>
      <c r="N196" s="85"/>
      <c r="O196" s="85"/>
      <c r="P196" s="315"/>
    </row>
    <row r="197" spans="1:16" ht="15" customHeight="1" x14ac:dyDescent="0.35">
      <c r="A197" s="265"/>
      <c r="B197" s="1245" t="s">
        <v>1368</v>
      </c>
      <c r="C197" s="132"/>
      <c r="D197" s="132"/>
      <c r="E197" s="132"/>
      <c r="F197" s="292"/>
      <c r="K197" s="85"/>
      <c r="L197" s="85"/>
      <c r="N197" s="85"/>
      <c r="O197" s="85"/>
      <c r="P197" s="315"/>
    </row>
    <row r="198" spans="1:16" ht="15" customHeight="1" x14ac:dyDescent="0.35">
      <c r="A198" s="265"/>
      <c r="B198" s="1245" t="s">
        <v>1369</v>
      </c>
      <c r="C198" s="132"/>
      <c r="D198" s="132"/>
      <c r="E198" s="132"/>
      <c r="F198" s="292"/>
      <c r="K198" s="85"/>
      <c r="L198" s="85"/>
      <c r="N198" s="85"/>
      <c r="O198" s="85"/>
      <c r="P198" s="315"/>
    </row>
    <row r="199" spans="1:16" ht="15" customHeight="1" x14ac:dyDescent="0.35">
      <c r="A199" s="265"/>
      <c r="B199" s="1245" t="s">
        <v>1370</v>
      </c>
      <c r="C199" s="132"/>
      <c r="D199" s="132"/>
      <c r="E199" s="132"/>
      <c r="F199" s="292"/>
      <c r="K199" s="85"/>
      <c r="L199" s="85"/>
      <c r="N199" s="85"/>
      <c r="O199" s="85"/>
      <c r="P199" s="315"/>
    </row>
    <row r="200" spans="1:16" ht="15" customHeight="1" x14ac:dyDescent="0.35">
      <c r="A200" s="265"/>
      <c r="B200" s="270" t="s">
        <v>1151</v>
      </c>
      <c r="C200" s="1124"/>
      <c r="D200" s="1124"/>
      <c r="E200" s="1124"/>
      <c r="F200" s="80">
        <f>IF($F$169="No", 0, IF(AND(ISNUMBER(F201), ISNUMBER(F202), ISNUMBER(F203)), IF($I$4="Medium", F201, IF($I$4="High", F202, IF($I$4="Low", F203, ""))), ""))</f>
        <v>0</v>
      </c>
      <c r="K200" s="85"/>
      <c r="L200" s="85"/>
      <c r="N200" s="85"/>
      <c r="O200" s="85"/>
      <c r="P200" s="315"/>
    </row>
    <row r="201" spans="1:16" ht="15" customHeight="1" x14ac:dyDescent="0.35">
      <c r="A201" s="265"/>
      <c r="B201" s="1245" t="s">
        <v>1368</v>
      </c>
      <c r="C201" s="132"/>
      <c r="D201" s="132"/>
      <c r="E201" s="132"/>
      <c r="F201" s="292"/>
      <c r="G201" s="85"/>
      <c r="H201" s="85"/>
      <c r="I201" s="85"/>
      <c r="J201" s="85"/>
      <c r="K201" s="85"/>
      <c r="L201" s="85"/>
      <c r="N201" s="85"/>
      <c r="O201" s="85"/>
      <c r="P201" s="315"/>
    </row>
    <row r="202" spans="1:16" ht="15" customHeight="1" x14ac:dyDescent="0.35">
      <c r="A202" s="265"/>
      <c r="B202" s="1245" t="s">
        <v>1369</v>
      </c>
      <c r="C202" s="132"/>
      <c r="D202" s="132"/>
      <c r="E202" s="132"/>
      <c r="F202" s="292"/>
      <c r="G202" s="85"/>
      <c r="H202" s="85"/>
      <c r="I202" s="85"/>
      <c r="J202" s="85"/>
      <c r="K202" s="85"/>
      <c r="L202" s="85"/>
      <c r="N202" s="85"/>
      <c r="O202" s="85"/>
      <c r="P202" s="315"/>
    </row>
    <row r="203" spans="1:16" ht="15" customHeight="1" x14ac:dyDescent="0.35">
      <c r="A203" s="265"/>
      <c r="B203" s="1063" t="s">
        <v>1370</v>
      </c>
      <c r="C203" s="218"/>
      <c r="D203" s="218"/>
      <c r="E203" s="218"/>
      <c r="F203" s="420"/>
      <c r="G203" s="85"/>
      <c r="H203" s="85"/>
      <c r="I203" s="85"/>
      <c r="J203" s="85"/>
      <c r="K203" s="85"/>
      <c r="L203" s="85"/>
      <c r="N203" s="85"/>
      <c r="O203" s="85"/>
      <c r="P203" s="315"/>
    </row>
    <row r="204" spans="1:16" ht="15" customHeight="1" x14ac:dyDescent="0.35">
      <c r="A204" s="729"/>
      <c r="B204" s="278"/>
      <c r="C204" s="278"/>
      <c r="D204" s="278"/>
      <c r="E204" s="278"/>
      <c r="F204" s="278"/>
      <c r="G204" s="278"/>
      <c r="H204" s="278"/>
      <c r="I204" s="278"/>
      <c r="J204" s="278"/>
      <c r="K204" s="278"/>
      <c r="L204" s="278"/>
      <c r="M204" s="278"/>
      <c r="N204" s="278"/>
      <c r="O204" s="278"/>
      <c r="P204" s="875"/>
    </row>
    <row r="205" spans="1:16" ht="45" customHeight="1" x14ac:dyDescent="0.35">
      <c r="A205" s="280" t="s">
        <v>1472</v>
      </c>
      <c r="B205" s="85"/>
      <c r="C205" s="85"/>
      <c r="D205" s="85"/>
      <c r="E205" s="85"/>
      <c r="F205" s="85"/>
      <c r="G205" s="85"/>
      <c r="H205" s="85"/>
      <c r="I205" s="85"/>
      <c r="J205" s="85"/>
      <c r="K205" s="85"/>
      <c r="L205" s="85"/>
      <c r="M205" s="85"/>
      <c r="N205" s="85"/>
      <c r="O205" s="85"/>
      <c r="P205" s="279"/>
    </row>
    <row r="206" spans="1:16" ht="15" customHeight="1" x14ac:dyDescent="0.35">
      <c r="A206" s="1133"/>
      <c r="B206" s="3068" t="s">
        <v>1436</v>
      </c>
      <c r="C206" s="2695" t="s">
        <v>1473</v>
      </c>
      <c r="D206" s="2695" t="s">
        <v>1474</v>
      </c>
      <c r="E206" s="3086" t="s">
        <v>1438</v>
      </c>
      <c r="F206" s="3061" t="s">
        <v>1384</v>
      </c>
      <c r="G206" s="3061"/>
      <c r="H206" s="3061"/>
      <c r="I206" s="3083" t="s">
        <v>1385</v>
      </c>
      <c r="J206" s="3061"/>
      <c r="K206" s="3082"/>
      <c r="L206" s="3061" t="s">
        <v>1386</v>
      </c>
      <c r="M206" s="3061"/>
      <c r="N206" s="3061"/>
      <c r="O206" s="1258"/>
      <c r="P206" s="315"/>
    </row>
    <row r="207" spans="1:16" ht="45" customHeight="1" x14ac:dyDescent="0.35">
      <c r="A207" s="1130"/>
      <c r="B207" s="3069"/>
      <c r="C207" s="2696"/>
      <c r="D207" s="2696"/>
      <c r="E207" s="3087"/>
      <c r="F207" s="1160" t="s">
        <v>1387</v>
      </c>
      <c r="G207" s="1114" t="s">
        <v>1388</v>
      </c>
      <c r="H207" s="1118" t="s">
        <v>1389</v>
      </c>
      <c r="I207" s="1167" t="s">
        <v>1387</v>
      </c>
      <c r="J207" s="1114" t="s">
        <v>1388</v>
      </c>
      <c r="K207" s="1168" t="s">
        <v>1389</v>
      </c>
      <c r="L207" s="1135" t="s">
        <v>1387</v>
      </c>
      <c r="M207" s="1134" t="s">
        <v>1388</v>
      </c>
      <c r="N207" s="1116" t="s">
        <v>1389</v>
      </c>
      <c r="O207" s="1259"/>
      <c r="P207" s="315"/>
    </row>
    <row r="208" spans="1:16" ht="60" customHeight="1" x14ac:dyDescent="0.35">
      <c r="A208" s="259"/>
      <c r="B208" s="597">
        <v>1</v>
      </c>
      <c r="C208" s="3084" t="s">
        <v>1475</v>
      </c>
      <c r="D208" s="3084" t="s">
        <v>1476</v>
      </c>
      <c r="E208" s="1139" t="s">
        <v>1477</v>
      </c>
      <c r="F208" s="1120"/>
      <c r="G208" s="874"/>
      <c r="H208" s="872"/>
      <c r="I208" s="1121"/>
      <c r="J208" s="874"/>
      <c r="K208" s="1119"/>
      <c r="L208" s="1120"/>
      <c r="M208" s="874"/>
      <c r="N208" s="872"/>
      <c r="O208" s="1259"/>
      <c r="P208" s="315"/>
    </row>
    <row r="209" spans="1:16" ht="15" customHeight="1" x14ac:dyDescent="0.35">
      <c r="A209" s="259"/>
      <c r="B209" s="93">
        <v>2</v>
      </c>
      <c r="C209" s="3085"/>
      <c r="D209" s="3085"/>
      <c r="E209" s="94" t="s">
        <v>1478</v>
      </c>
      <c r="F209" s="33"/>
      <c r="G209" s="23"/>
      <c r="H209" s="34"/>
      <c r="I209" s="1020"/>
      <c r="J209" s="23"/>
      <c r="K209" s="1021"/>
      <c r="L209" s="33"/>
      <c r="M209" s="23"/>
      <c r="N209" s="34"/>
      <c r="O209" s="1259"/>
      <c r="P209" s="315"/>
    </row>
    <row r="210" spans="1:16" ht="30" customHeight="1" x14ac:dyDescent="0.35">
      <c r="A210" s="259"/>
      <c r="B210" s="93">
        <v>3</v>
      </c>
      <c r="C210" s="3085"/>
      <c r="D210" s="3085"/>
      <c r="E210" s="94" t="s">
        <v>1479</v>
      </c>
      <c r="F210" s="33"/>
      <c r="G210" s="23"/>
      <c r="H210" s="34"/>
      <c r="I210" s="1020"/>
      <c r="J210" s="23"/>
      <c r="K210" s="1021"/>
      <c r="L210" s="33"/>
      <c r="M210" s="23"/>
      <c r="N210" s="34"/>
      <c r="O210" s="1259"/>
      <c r="P210" s="315"/>
    </row>
    <row r="211" spans="1:16" ht="45" customHeight="1" x14ac:dyDescent="0.35">
      <c r="A211" s="259"/>
      <c r="B211" s="93">
        <v>4</v>
      </c>
      <c r="C211" s="3085"/>
      <c r="D211" s="3065"/>
      <c r="E211" s="94" t="s">
        <v>1480</v>
      </c>
      <c r="F211" s="33"/>
      <c r="G211" s="23"/>
      <c r="H211" s="34"/>
      <c r="I211" s="1020"/>
      <c r="J211" s="23"/>
      <c r="K211" s="1021"/>
      <c r="L211" s="33"/>
      <c r="M211" s="23"/>
      <c r="N211" s="34"/>
      <c r="O211" s="1259"/>
      <c r="P211" s="315"/>
    </row>
    <row r="212" spans="1:16" ht="60" customHeight="1" x14ac:dyDescent="0.35">
      <c r="A212" s="259"/>
      <c r="B212" s="93">
        <v>5</v>
      </c>
      <c r="C212" s="3085"/>
      <c r="D212" s="3064" t="s">
        <v>1481</v>
      </c>
      <c r="E212" s="94" t="s">
        <v>1477</v>
      </c>
      <c r="F212" s="33"/>
      <c r="G212" s="23"/>
      <c r="H212" s="34"/>
      <c r="I212" s="1020"/>
      <c r="J212" s="23"/>
      <c r="K212" s="1021"/>
      <c r="L212" s="33"/>
      <c r="M212" s="23"/>
      <c r="N212" s="34"/>
      <c r="O212" s="1259"/>
      <c r="P212" s="315"/>
    </row>
    <row r="213" spans="1:16" ht="15" customHeight="1" x14ac:dyDescent="0.35">
      <c r="A213" s="259"/>
      <c r="B213" s="93">
        <v>6</v>
      </c>
      <c r="C213" s="3085"/>
      <c r="D213" s="3085"/>
      <c r="E213" s="94" t="s">
        <v>1478</v>
      </c>
      <c r="F213" s="33"/>
      <c r="G213" s="23"/>
      <c r="H213" s="34"/>
      <c r="I213" s="1020"/>
      <c r="J213" s="23"/>
      <c r="K213" s="1021"/>
      <c r="L213" s="33"/>
      <c r="M213" s="23"/>
      <c r="N213" s="34"/>
      <c r="O213" s="1259"/>
      <c r="P213" s="315"/>
    </row>
    <row r="214" spans="1:16" ht="30" customHeight="1" x14ac:dyDescent="0.35">
      <c r="A214" s="259"/>
      <c r="B214" s="96">
        <v>7</v>
      </c>
      <c r="C214" s="3085"/>
      <c r="D214" s="3085"/>
      <c r="E214" s="94" t="s">
        <v>1479</v>
      </c>
      <c r="F214" s="33"/>
      <c r="G214" s="23"/>
      <c r="H214" s="34"/>
      <c r="I214" s="1020"/>
      <c r="J214" s="23"/>
      <c r="K214" s="1021"/>
      <c r="L214" s="33"/>
      <c r="M214" s="23"/>
      <c r="N214" s="34"/>
      <c r="O214" s="1259"/>
      <c r="P214" s="315"/>
    </row>
    <row r="215" spans="1:16" ht="45" customHeight="1" x14ac:dyDescent="0.35">
      <c r="A215" s="259"/>
      <c r="B215" s="93">
        <v>8</v>
      </c>
      <c r="C215" s="3065"/>
      <c r="D215" s="3065"/>
      <c r="E215" s="94" t="s">
        <v>1480</v>
      </c>
      <c r="F215" s="33"/>
      <c r="G215" s="23"/>
      <c r="H215" s="34"/>
      <c r="I215" s="1020"/>
      <c r="J215" s="23"/>
      <c r="K215" s="1021"/>
      <c r="L215" s="33"/>
      <c r="M215" s="23"/>
      <c r="N215" s="34"/>
      <c r="O215" s="1259"/>
      <c r="P215" s="315"/>
    </row>
    <row r="216" spans="1:16" ht="45" customHeight="1" x14ac:dyDescent="0.35">
      <c r="A216" s="259"/>
      <c r="B216" s="93">
        <v>9</v>
      </c>
      <c r="C216" s="3064" t="s">
        <v>1482</v>
      </c>
      <c r="D216" s="1136" t="s">
        <v>1476</v>
      </c>
      <c r="E216" s="716" t="s">
        <v>1483</v>
      </c>
      <c r="F216" s="33"/>
      <c r="G216" s="23"/>
      <c r="H216" s="34"/>
      <c r="I216" s="1020"/>
      <c r="J216" s="23"/>
      <c r="K216" s="1021"/>
      <c r="L216" s="33"/>
      <c r="M216" s="23"/>
      <c r="N216" s="34"/>
      <c r="O216" s="1259"/>
      <c r="P216" s="315"/>
    </row>
    <row r="217" spans="1:16" ht="30" customHeight="1" x14ac:dyDescent="0.35">
      <c r="A217" s="259"/>
      <c r="B217" s="86">
        <v>10</v>
      </c>
      <c r="C217" s="3065"/>
      <c r="D217" s="1136" t="s">
        <v>1481</v>
      </c>
      <c r="E217" s="716" t="s">
        <v>1484</v>
      </c>
      <c r="F217" s="33"/>
      <c r="G217" s="23"/>
      <c r="H217" s="34"/>
      <c r="I217" s="1020"/>
      <c r="J217" s="23"/>
      <c r="K217" s="1021"/>
      <c r="L217" s="33"/>
      <c r="M217" s="23"/>
      <c r="N217" s="34"/>
      <c r="O217" s="1259"/>
      <c r="P217" s="315"/>
    </row>
    <row r="218" spans="1:16" ht="15" customHeight="1" x14ac:dyDescent="0.35">
      <c r="A218" s="259"/>
      <c r="B218" s="3096">
        <v>11</v>
      </c>
      <c r="C218" s="2555" t="s">
        <v>1485</v>
      </c>
      <c r="D218" s="3070"/>
      <c r="E218" s="3109"/>
      <c r="F218" s="33"/>
      <c r="G218" s="23"/>
      <c r="H218" s="34"/>
      <c r="I218" s="1020"/>
      <c r="J218" s="23"/>
      <c r="K218" s="1021"/>
      <c r="L218" s="33"/>
      <c r="M218" s="23"/>
      <c r="N218" s="34"/>
      <c r="O218" s="1259"/>
      <c r="P218" s="315"/>
    </row>
    <row r="219" spans="1:16" ht="15" customHeight="1" x14ac:dyDescent="0.35">
      <c r="A219" s="259"/>
      <c r="B219" s="3097"/>
      <c r="C219" s="3106" t="s">
        <v>1486</v>
      </c>
      <c r="D219" s="3107"/>
      <c r="E219" s="3108"/>
      <c r="F219" s="33"/>
      <c r="G219" s="23"/>
      <c r="H219" s="34"/>
      <c r="I219" s="1020"/>
      <c r="J219" s="23"/>
      <c r="K219" s="1021"/>
      <c r="L219" s="33"/>
      <c r="M219" s="23"/>
      <c r="N219" s="34"/>
      <c r="O219" s="1259"/>
      <c r="P219" s="315"/>
    </row>
    <row r="220" spans="1:16" ht="15" customHeight="1" x14ac:dyDescent="0.35">
      <c r="A220" s="259"/>
      <c r="B220" s="1377">
        <v>12</v>
      </c>
      <c r="C220" s="3110" t="s">
        <v>1487</v>
      </c>
      <c r="D220" s="3111"/>
      <c r="E220" s="3112"/>
      <c r="F220" s="33"/>
      <c r="G220" s="23"/>
      <c r="H220" s="34"/>
      <c r="I220" s="1020"/>
      <c r="J220" s="23"/>
      <c r="K220" s="1021"/>
      <c r="L220" s="33"/>
      <c r="M220" s="23"/>
      <c r="N220" s="34"/>
      <c r="O220" s="1259"/>
      <c r="P220" s="315"/>
    </row>
    <row r="221" spans="1:16" ht="15" customHeight="1" x14ac:dyDescent="0.35">
      <c r="A221" s="259"/>
      <c r="B221" s="1137">
        <v>13</v>
      </c>
      <c r="C221" s="3066" t="s">
        <v>1488</v>
      </c>
      <c r="D221" s="3067"/>
      <c r="E221" s="3067"/>
      <c r="F221" s="271"/>
      <c r="G221" s="18"/>
      <c r="H221" s="72"/>
      <c r="I221" s="1024"/>
      <c r="J221" s="18"/>
      <c r="K221" s="1025"/>
      <c r="L221" s="271"/>
      <c r="M221" s="18"/>
      <c r="N221" s="72"/>
      <c r="O221" s="1259"/>
      <c r="P221" s="315"/>
    </row>
    <row r="222" spans="1:16" ht="15" customHeight="1" x14ac:dyDescent="0.35">
      <c r="A222" s="259"/>
      <c r="B222" s="85"/>
      <c r="C222" s="85"/>
      <c r="D222" s="85"/>
      <c r="E222" s="85"/>
      <c r="F222" s="85"/>
      <c r="G222" s="85"/>
      <c r="H222" s="85"/>
      <c r="I222" s="85"/>
      <c r="J222" s="85"/>
      <c r="K222" s="85"/>
      <c r="L222" s="85"/>
      <c r="M222" s="85"/>
      <c r="N222" s="85"/>
      <c r="O222" s="1259"/>
      <c r="P222" s="279"/>
    </row>
    <row r="223" spans="1:16" ht="15" customHeight="1" x14ac:dyDescent="0.35">
      <c r="A223" s="265"/>
      <c r="B223" s="2752"/>
      <c r="C223" s="2766"/>
      <c r="D223" s="2766"/>
      <c r="E223" s="2750"/>
      <c r="F223" s="1082" t="s">
        <v>1039</v>
      </c>
      <c r="G223" s="761"/>
      <c r="H223" s="761"/>
      <c r="I223" s="761"/>
      <c r="J223" s="761"/>
      <c r="K223" s="761"/>
      <c r="L223" s="85"/>
      <c r="M223" s="85"/>
      <c r="N223" s="85"/>
      <c r="O223" s="1259"/>
      <c r="P223" s="279"/>
    </row>
    <row r="224" spans="1:16" ht="15" customHeight="1" x14ac:dyDescent="0.35">
      <c r="A224" s="265"/>
      <c r="B224" s="1246" t="s">
        <v>1489</v>
      </c>
      <c r="C224" s="1247"/>
      <c r="D224" s="1247"/>
      <c r="E224" s="1247"/>
      <c r="F224" s="1248" t="str">
        <f>IF(AND(ISNUMBER(F225), ISNUMBER(F229), ISNUMBER(F233)), SUM(F225, F229, F233), "")</f>
        <v/>
      </c>
      <c r="G224" s="761"/>
      <c r="H224" s="761"/>
      <c r="I224" s="761"/>
      <c r="J224" s="761"/>
      <c r="K224" s="761"/>
      <c r="L224" s="85"/>
      <c r="M224" s="85"/>
      <c r="N224" s="85"/>
      <c r="O224" s="85"/>
      <c r="P224" s="279"/>
    </row>
    <row r="225" spans="1:16" ht="15" customHeight="1" x14ac:dyDescent="0.35">
      <c r="A225" s="265"/>
      <c r="B225" s="270" t="s">
        <v>1144</v>
      </c>
      <c r="C225" s="1124"/>
      <c r="D225" s="1124"/>
      <c r="E225" s="1124"/>
      <c r="F225" s="80" t="str">
        <f>IF(AND(ISNUMBER(F226), ISNUMBER(F227), ISNUMBER(F228)), IF($I$4="Medium", F226, IF($I$4="High", F227, IF($I$4="Low", F228, ""))), "")</f>
        <v/>
      </c>
      <c r="G225" s="85"/>
      <c r="H225" s="85"/>
      <c r="I225" s="85"/>
      <c r="J225" s="85"/>
      <c r="K225" s="85"/>
      <c r="L225" s="85"/>
      <c r="N225" s="85"/>
      <c r="O225" s="85"/>
      <c r="P225" s="315"/>
    </row>
    <row r="226" spans="1:16" ht="15" customHeight="1" x14ac:dyDescent="0.35">
      <c r="A226" s="265"/>
      <c r="B226" s="1245" t="s">
        <v>1368</v>
      </c>
      <c r="C226" s="132"/>
      <c r="D226" s="132"/>
      <c r="E226" s="132"/>
      <c r="F226" s="292"/>
      <c r="G226" s="85"/>
      <c r="H226" s="85"/>
      <c r="I226" s="85"/>
      <c r="J226" s="85"/>
      <c r="K226" s="85"/>
      <c r="L226" s="85"/>
      <c r="N226" s="85"/>
      <c r="O226" s="85"/>
      <c r="P226" s="315"/>
    </row>
    <row r="227" spans="1:16" ht="15" customHeight="1" x14ac:dyDescent="0.35">
      <c r="A227" s="265"/>
      <c r="B227" s="1245" t="s">
        <v>1369</v>
      </c>
      <c r="C227" s="132"/>
      <c r="D227" s="132"/>
      <c r="E227" s="132"/>
      <c r="F227" s="292"/>
      <c r="K227" s="85"/>
      <c r="L227" s="85"/>
      <c r="N227" s="85"/>
      <c r="O227" s="85"/>
      <c r="P227" s="315"/>
    </row>
    <row r="228" spans="1:16" ht="15" customHeight="1" x14ac:dyDescent="0.35">
      <c r="A228" s="265"/>
      <c r="B228" s="1245" t="s">
        <v>1370</v>
      </c>
      <c r="C228" s="132"/>
      <c r="D228" s="132"/>
      <c r="E228" s="132"/>
      <c r="F228" s="292"/>
      <c r="K228" s="85"/>
      <c r="L228" s="85"/>
      <c r="N228" s="85"/>
      <c r="O228" s="85"/>
      <c r="P228" s="315"/>
    </row>
    <row r="229" spans="1:16" ht="15" customHeight="1" x14ac:dyDescent="0.35">
      <c r="A229" s="265"/>
      <c r="B229" s="270" t="s">
        <v>1150</v>
      </c>
      <c r="C229" s="1124"/>
      <c r="D229" s="1124"/>
      <c r="E229" s="1124"/>
      <c r="F229" s="80" t="str">
        <f>IF(AND(ISNUMBER(F230), ISNUMBER(F231), ISNUMBER(F232)), IF($I$4="Medium", F230, IF($I$4="High", F231, IF($I$4="Low", F232, ""))), "")</f>
        <v/>
      </c>
      <c r="K229" s="85"/>
      <c r="L229" s="85"/>
      <c r="N229" s="85"/>
      <c r="O229" s="85"/>
      <c r="P229" s="315"/>
    </row>
    <row r="230" spans="1:16" ht="15" customHeight="1" x14ac:dyDescent="0.35">
      <c r="A230" s="265"/>
      <c r="B230" s="1245" t="s">
        <v>1368</v>
      </c>
      <c r="C230" s="132"/>
      <c r="D230" s="132"/>
      <c r="E230" s="132"/>
      <c r="F230" s="292"/>
      <c r="K230" s="85"/>
      <c r="L230" s="85"/>
      <c r="N230" s="85"/>
      <c r="O230" s="85"/>
      <c r="P230" s="315"/>
    </row>
    <row r="231" spans="1:16" ht="15" customHeight="1" x14ac:dyDescent="0.35">
      <c r="A231" s="265"/>
      <c r="B231" s="1245" t="s">
        <v>1369</v>
      </c>
      <c r="C231" s="132"/>
      <c r="D231" s="132"/>
      <c r="E231" s="132"/>
      <c r="F231" s="292"/>
      <c r="K231" s="85"/>
      <c r="L231" s="85"/>
      <c r="N231" s="85"/>
      <c r="O231" s="85"/>
      <c r="P231" s="315"/>
    </row>
    <row r="232" spans="1:16" ht="15" customHeight="1" x14ac:dyDescent="0.35">
      <c r="A232" s="265"/>
      <c r="B232" s="1245" t="s">
        <v>1370</v>
      </c>
      <c r="C232" s="132"/>
      <c r="D232" s="132"/>
      <c r="E232" s="132"/>
      <c r="F232" s="292"/>
      <c r="K232" s="85"/>
      <c r="L232" s="85"/>
      <c r="N232" s="85"/>
      <c r="O232" s="85"/>
      <c r="P232" s="315"/>
    </row>
    <row r="233" spans="1:16" ht="15" customHeight="1" x14ac:dyDescent="0.35">
      <c r="A233" s="265"/>
      <c r="B233" s="270" t="s">
        <v>1151</v>
      </c>
      <c r="C233" s="1124"/>
      <c r="D233" s="1124"/>
      <c r="E233" s="1124"/>
      <c r="F233" s="80" t="str">
        <f>IF(AND(ISNUMBER(F234), ISNUMBER(F235), ISNUMBER(F236)), IF($I$4="Medium", F234, IF($I$4="High", F235, IF($I$4="Low", F236, ""))), "")</f>
        <v/>
      </c>
      <c r="K233" s="85"/>
      <c r="L233" s="85"/>
      <c r="N233" s="85"/>
      <c r="O233" s="85"/>
      <c r="P233" s="315"/>
    </row>
    <row r="234" spans="1:16" ht="15" customHeight="1" x14ac:dyDescent="0.35">
      <c r="A234" s="265"/>
      <c r="B234" s="1245" t="s">
        <v>1368</v>
      </c>
      <c r="C234" s="132"/>
      <c r="D234" s="132"/>
      <c r="E234" s="132"/>
      <c r="F234" s="292"/>
      <c r="G234" s="85"/>
      <c r="H234" s="85"/>
      <c r="I234" s="85"/>
      <c r="J234" s="85"/>
      <c r="K234" s="85"/>
      <c r="L234" s="85"/>
      <c r="N234" s="85"/>
      <c r="O234" s="85"/>
      <c r="P234" s="315"/>
    </row>
    <row r="235" spans="1:16" ht="15" customHeight="1" x14ac:dyDescent="0.35">
      <c r="A235" s="265"/>
      <c r="B235" s="1245" t="s">
        <v>1369</v>
      </c>
      <c r="C235" s="132"/>
      <c r="D235" s="132"/>
      <c r="E235" s="132"/>
      <c r="F235" s="292"/>
      <c r="G235" s="85"/>
      <c r="H235" s="85"/>
      <c r="I235" s="85"/>
      <c r="J235" s="85"/>
      <c r="K235" s="85"/>
      <c r="L235" s="85"/>
      <c r="N235" s="85"/>
      <c r="O235" s="85"/>
      <c r="P235" s="315"/>
    </row>
    <row r="236" spans="1:16" ht="15" customHeight="1" x14ac:dyDescent="0.35">
      <c r="A236" s="265"/>
      <c r="B236" s="1063" t="s">
        <v>1370</v>
      </c>
      <c r="C236" s="218"/>
      <c r="D236" s="218"/>
      <c r="E236" s="218"/>
      <c r="F236" s="420"/>
      <c r="G236" s="85"/>
      <c r="H236" s="85"/>
      <c r="I236" s="85"/>
      <c r="J236" s="85"/>
      <c r="K236" s="85"/>
      <c r="L236" s="85"/>
      <c r="N236" s="85"/>
      <c r="O236" s="85"/>
      <c r="P236" s="315"/>
    </row>
    <row r="237" spans="1:16" ht="15" customHeight="1" x14ac:dyDescent="0.35">
      <c r="A237" s="729"/>
      <c r="B237" s="278"/>
      <c r="C237" s="278"/>
      <c r="D237" s="278"/>
      <c r="E237" s="278"/>
      <c r="F237" s="278"/>
      <c r="G237" s="278"/>
      <c r="H237" s="278"/>
      <c r="I237" s="278"/>
      <c r="J237" s="278"/>
      <c r="K237" s="278"/>
      <c r="L237" s="278"/>
      <c r="M237" s="278"/>
      <c r="N237" s="278"/>
      <c r="O237" s="278"/>
      <c r="P237" s="875"/>
    </row>
    <row r="238" spans="1:16" ht="45" customHeight="1" x14ac:dyDescent="0.35">
      <c r="A238" s="280" t="s">
        <v>1490</v>
      </c>
      <c r="B238" s="85"/>
      <c r="C238" s="85"/>
      <c r="D238" s="85"/>
      <c r="E238" s="85"/>
      <c r="F238" s="85"/>
      <c r="G238" s="85"/>
      <c r="H238" s="85"/>
      <c r="I238" s="85"/>
      <c r="J238" s="85"/>
      <c r="K238" s="85"/>
      <c r="L238" s="85"/>
      <c r="M238" s="85"/>
      <c r="N238" s="85"/>
      <c r="O238" s="85"/>
      <c r="P238" s="279"/>
    </row>
    <row r="239" spans="1:16" ht="30" customHeight="1" x14ac:dyDescent="0.35">
      <c r="A239" s="1138"/>
      <c r="B239" s="2735" t="s">
        <v>1436</v>
      </c>
      <c r="C239" s="2679" t="s">
        <v>1438</v>
      </c>
      <c r="D239" s="2637"/>
      <c r="E239" s="2637"/>
      <c r="F239" s="3061" t="s">
        <v>1384</v>
      </c>
      <c r="G239" s="3061"/>
      <c r="H239" s="3061"/>
      <c r="I239" s="3083" t="s">
        <v>1385</v>
      </c>
      <c r="J239" s="3061"/>
      <c r="K239" s="3082"/>
      <c r="L239" s="3061" t="s">
        <v>1386</v>
      </c>
      <c r="M239" s="3061"/>
      <c r="N239" s="3061"/>
      <c r="O239" s="1258"/>
      <c r="P239" s="1189"/>
    </row>
    <row r="240" spans="1:16" ht="15" customHeight="1" x14ac:dyDescent="0.35">
      <c r="A240" s="1128"/>
      <c r="B240" s="2753"/>
      <c r="C240" s="2700"/>
      <c r="D240" s="2798"/>
      <c r="E240" s="2798"/>
      <c r="F240" s="1160" t="s">
        <v>1387</v>
      </c>
      <c r="G240" s="1114" t="s">
        <v>1388</v>
      </c>
      <c r="H240" s="1118" t="s">
        <v>1389</v>
      </c>
      <c r="I240" s="1167" t="s">
        <v>1387</v>
      </c>
      <c r="J240" s="1114" t="s">
        <v>1388</v>
      </c>
      <c r="K240" s="1168" t="s">
        <v>1389</v>
      </c>
      <c r="L240" s="1135" t="s">
        <v>1387</v>
      </c>
      <c r="M240" s="1134" t="s">
        <v>1388</v>
      </c>
      <c r="N240" s="1116" t="s">
        <v>1389</v>
      </c>
      <c r="O240" s="1259"/>
      <c r="P240" s="1129"/>
    </row>
    <row r="241" spans="1:16" ht="15" customHeight="1" x14ac:dyDescent="0.35">
      <c r="A241" s="259"/>
      <c r="B241" s="597">
        <v>1</v>
      </c>
      <c r="C241" s="3098" t="s">
        <v>1491</v>
      </c>
      <c r="D241" s="3099"/>
      <c r="E241" s="3099"/>
      <c r="F241" s="1120"/>
      <c r="G241" s="874"/>
      <c r="H241" s="872"/>
      <c r="I241" s="1121"/>
      <c r="J241" s="874"/>
      <c r="K241" s="1119"/>
      <c r="L241" s="1120"/>
      <c r="M241" s="874"/>
      <c r="N241" s="872"/>
      <c r="O241" s="1258"/>
      <c r="P241" s="315"/>
    </row>
    <row r="242" spans="1:16" ht="15" customHeight="1" x14ac:dyDescent="0.35">
      <c r="A242" s="259"/>
      <c r="B242" s="93">
        <v>2</v>
      </c>
      <c r="C242" s="3063" t="s">
        <v>1492</v>
      </c>
      <c r="D242" s="3070"/>
      <c r="E242" s="3070"/>
      <c r="F242" s="33"/>
      <c r="G242" s="23"/>
      <c r="H242" s="34"/>
      <c r="I242" s="1020"/>
      <c r="J242" s="23"/>
      <c r="K242" s="1021"/>
      <c r="L242" s="33"/>
      <c r="M242" s="23"/>
      <c r="N242" s="34"/>
      <c r="O242" s="1258"/>
      <c r="P242" s="315"/>
    </row>
    <row r="243" spans="1:16" ht="15" customHeight="1" x14ac:dyDescent="0.35">
      <c r="A243" s="259"/>
      <c r="B243" s="93">
        <v>3</v>
      </c>
      <c r="C243" s="3063" t="s">
        <v>1493</v>
      </c>
      <c r="D243" s="3070"/>
      <c r="E243" s="3070"/>
      <c r="F243" s="33"/>
      <c r="G243" s="23"/>
      <c r="H243" s="34"/>
      <c r="I243" s="1020"/>
      <c r="J243" s="23"/>
      <c r="K243" s="1021"/>
      <c r="L243" s="33"/>
      <c r="M243" s="23"/>
      <c r="N243" s="34"/>
      <c r="O243" s="1258"/>
      <c r="P243" s="315"/>
    </row>
    <row r="244" spans="1:16" ht="15" customHeight="1" x14ac:dyDescent="0.35">
      <c r="A244" s="259"/>
      <c r="B244" s="93">
        <v>4</v>
      </c>
      <c r="C244" s="3063" t="s">
        <v>1494</v>
      </c>
      <c r="D244" s="3070"/>
      <c r="E244" s="3070"/>
      <c r="F244" s="33"/>
      <c r="G244" s="23"/>
      <c r="H244" s="34"/>
      <c r="I244" s="1020"/>
      <c r="J244" s="23"/>
      <c r="K244" s="1021"/>
      <c r="L244" s="33"/>
      <c r="M244" s="23"/>
      <c r="N244" s="34"/>
      <c r="O244" s="1258"/>
      <c r="P244" s="315"/>
    </row>
    <row r="245" spans="1:16" ht="15" customHeight="1" x14ac:dyDescent="0.35">
      <c r="A245" s="259"/>
      <c r="B245" s="93">
        <v>5</v>
      </c>
      <c r="C245" s="3063" t="s">
        <v>1495</v>
      </c>
      <c r="D245" s="3070"/>
      <c r="E245" s="3070"/>
      <c r="F245" s="33"/>
      <c r="G245" s="23"/>
      <c r="H245" s="34"/>
      <c r="I245" s="1020"/>
      <c r="J245" s="23"/>
      <c r="K245" s="1021"/>
      <c r="L245" s="33"/>
      <c r="M245" s="23"/>
      <c r="N245" s="34"/>
      <c r="O245" s="1258"/>
      <c r="P245" s="315"/>
    </row>
    <row r="246" spans="1:16" ht="15" customHeight="1" x14ac:dyDescent="0.35">
      <c r="A246" s="259"/>
      <c r="B246" s="93">
        <v>6</v>
      </c>
      <c r="C246" s="3063" t="s">
        <v>1496</v>
      </c>
      <c r="D246" s="3070"/>
      <c r="E246" s="3070"/>
      <c r="F246" s="33"/>
      <c r="G246" s="23"/>
      <c r="H246" s="34"/>
      <c r="I246" s="1020"/>
      <c r="J246" s="23"/>
      <c r="K246" s="1021"/>
      <c r="L246" s="33"/>
      <c r="M246" s="23"/>
      <c r="N246" s="34"/>
      <c r="O246" s="1258"/>
      <c r="P246" s="315"/>
    </row>
    <row r="247" spans="1:16" ht="15" customHeight="1" x14ac:dyDescent="0.35">
      <c r="A247" s="259"/>
      <c r="B247" s="96">
        <v>7</v>
      </c>
      <c r="C247" s="3063" t="s">
        <v>1497</v>
      </c>
      <c r="D247" s="3070"/>
      <c r="E247" s="3070"/>
      <c r="F247" s="33"/>
      <c r="G247" s="23"/>
      <c r="H247" s="34"/>
      <c r="I247" s="1020"/>
      <c r="J247" s="23"/>
      <c r="K247" s="1021"/>
      <c r="L247" s="33"/>
      <c r="M247" s="23"/>
      <c r="N247" s="34"/>
      <c r="O247" s="1258"/>
      <c r="P247" s="315"/>
    </row>
    <row r="248" spans="1:16" ht="15" customHeight="1" x14ac:dyDescent="0.35">
      <c r="A248" s="259"/>
      <c r="B248" s="93">
        <v>8</v>
      </c>
      <c r="C248" s="3063" t="s">
        <v>1498</v>
      </c>
      <c r="D248" s="3070"/>
      <c r="E248" s="3070"/>
      <c r="F248" s="33"/>
      <c r="G248" s="23"/>
      <c r="H248" s="34"/>
      <c r="I248" s="1020"/>
      <c r="J248" s="23"/>
      <c r="K248" s="1021"/>
      <c r="L248" s="33"/>
      <c r="M248" s="23"/>
      <c r="N248" s="34"/>
      <c r="O248" s="1258"/>
      <c r="P248" s="315"/>
    </row>
    <row r="249" spans="1:16" ht="15" customHeight="1" x14ac:dyDescent="0.35">
      <c r="A249" s="259"/>
      <c r="B249" s="93">
        <v>9</v>
      </c>
      <c r="C249" s="3063" t="s">
        <v>1499</v>
      </c>
      <c r="D249" s="3079"/>
      <c r="E249" s="3079"/>
      <c r="F249" s="33"/>
      <c r="G249" s="23"/>
      <c r="H249" s="34"/>
      <c r="I249" s="1020"/>
      <c r="J249" s="23"/>
      <c r="K249" s="1021"/>
      <c r="L249" s="33"/>
      <c r="M249" s="23"/>
      <c r="N249" s="34"/>
      <c r="O249" s="1258"/>
      <c r="P249" s="315"/>
    </row>
    <row r="250" spans="1:16" ht="15" customHeight="1" x14ac:dyDescent="0.35">
      <c r="A250" s="259"/>
      <c r="B250" s="93">
        <v>10</v>
      </c>
      <c r="C250" s="3101" t="s">
        <v>1500</v>
      </c>
      <c r="D250" s="3102"/>
      <c r="E250" s="3102"/>
      <c r="F250" s="33"/>
      <c r="G250" s="23"/>
      <c r="H250" s="34"/>
      <c r="I250" s="1020"/>
      <c r="J250" s="23"/>
      <c r="K250" s="1021"/>
      <c r="L250" s="33"/>
      <c r="M250" s="23"/>
      <c r="N250" s="34"/>
      <c r="O250" s="1258"/>
      <c r="P250" s="315"/>
    </row>
    <row r="251" spans="1:16" ht="15" customHeight="1" x14ac:dyDescent="0.35">
      <c r="A251" s="259"/>
      <c r="B251" s="1137">
        <v>11</v>
      </c>
      <c r="C251" s="3081" t="s">
        <v>1501</v>
      </c>
      <c r="D251" s="3103"/>
      <c r="E251" s="3103"/>
      <c r="F251" s="271"/>
      <c r="G251" s="18"/>
      <c r="H251" s="72"/>
      <c r="I251" s="1024"/>
      <c r="J251" s="18"/>
      <c r="K251" s="1025"/>
      <c r="L251" s="271"/>
      <c r="M251" s="18"/>
      <c r="N251" s="72"/>
      <c r="O251" s="1258"/>
      <c r="P251" s="315"/>
    </row>
    <row r="252" spans="1:16" ht="15" customHeight="1" x14ac:dyDescent="0.35">
      <c r="A252" s="259"/>
      <c r="B252" s="85"/>
      <c r="C252" s="85"/>
      <c r="D252" s="85"/>
      <c r="E252" s="85"/>
      <c r="F252" s="85"/>
      <c r="G252" s="85"/>
      <c r="H252" s="85"/>
      <c r="I252" s="85"/>
      <c r="J252" s="85"/>
      <c r="K252" s="85"/>
      <c r="L252" s="85"/>
      <c r="M252" s="85"/>
      <c r="N252" s="85"/>
      <c r="O252" s="1258"/>
      <c r="P252" s="279"/>
    </row>
    <row r="253" spans="1:16" ht="15" customHeight="1" x14ac:dyDescent="0.35">
      <c r="A253" s="265"/>
      <c r="B253" s="2752"/>
      <c r="C253" s="2766"/>
      <c r="D253" s="2766"/>
      <c r="E253" s="2750"/>
      <c r="F253" s="1082" t="s">
        <v>1039</v>
      </c>
      <c r="G253" s="761"/>
      <c r="H253" s="761"/>
      <c r="I253" s="761"/>
      <c r="J253" s="761"/>
      <c r="K253" s="761"/>
      <c r="L253" s="85"/>
      <c r="M253" s="85"/>
      <c r="N253" s="85"/>
      <c r="O253" s="85"/>
      <c r="P253" s="279"/>
    </row>
    <row r="254" spans="1:16" ht="15" customHeight="1" x14ac:dyDescent="0.35">
      <c r="A254" s="265"/>
      <c r="B254" s="1246" t="s">
        <v>1502</v>
      </c>
      <c r="C254" s="1247"/>
      <c r="D254" s="1247"/>
      <c r="E254" s="1247"/>
      <c r="F254" s="1248" t="str">
        <f>IF(AND(ISNUMBER(F255), ISNUMBER(F259), ISNUMBER(F263)), SUM(F255, F259, F263), "")</f>
        <v/>
      </c>
      <c r="G254" s="761"/>
      <c r="H254" s="761"/>
      <c r="I254" s="761"/>
      <c r="J254" s="761"/>
      <c r="K254" s="761"/>
      <c r="L254" s="85"/>
      <c r="M254" s="85"/>
      <c r="N254" s="85"/>
      <c r="O254" s="85"/>
      <c r="P254" s="279"/>
    </row>
    <row r="255" spans="1:16" ht="15" customHeight="1" x14ac:dyDescent="0.35">
      <c r="A255" s="265"/>
      <c r="B255" s="270" t="s">
        <v>1144</v>
      </c>
      <c r="C255" s="1124"/>
      <c r="D255" s="1124"/>
      <c r="E255" s="1124"/>
      <c r="F255" s="80" t="str">
        <f>IF(AND(ISNUMBER(F256), ISNUMBER(F257), ISNUMBER(F258)), IF($I$4="Medium", F256, IF($I$4="High", F257, IF($I$4="Low", F258, ""))), "")</f>
        <v/>
      </c>
      <c r="G255" s="85"/>
      <c r="H255" s="85"/>
      <c r="I255" s="85"/>
      <c r="J255" s="85"/>
      <c r="K255" s="85"/>
      <c r="L255" s="85"/>
      <c r="N255" s="85"/>
      <c r="O255" s="85"/>
      <c r="P255" s="315"/>
    </row>
    <row r="256" spans="1:16" ht="15" customHeight="1" x14ac:dyDescent="0.35">
      <c r="A256" s="265"/>
      <c r="B256" s="1245" t="s">
        <v>1368</v>
      </c>
      <c r="C256" s="132"/>
      <c r="D256" s="132"/>
      <c r="E256" s="132"/>
      <c r="F256" s="292"/>
      <c r="G256" s="85"/>
      <c r="H256" s="85"/>
      <c r="I256" s="85"/>
      <c r="J256" s="85"/>
      <c r="K256" s="85"/>
      <c r="L256" s="85"/>
      <c r="N256" s="85"/>
      <c r="O256" s="85"/>
      <c r="P256" s="315"/>
    </row>
    <row r="257" spans="1:16" ht="15" customHeight="1" x14ac:dyDescent="0.35">
      <c r="A257" s="265"/>
      <c r="B257" s="1245" t="s">
        <v>1369</v>
      </c>
      <c r="C257" s="132"/>
      <c r="D257" s="132"/>
      <c r="E257" s="132"/>
      <c r="F257" s="292"/>
      <c r="K257" s="85"/>
      <c r="L257" s="85"/>
      <c r="N257" s="85"/>
      <c r="O257" s="85"/>
      <c r="P257" s="315"/>
    </row>
    <row r="258" spans="1:16" ht="15" customHeight="1" x14ac:dyDescent="0.35">
      <c r="A258" s="265"/>
      <c r="B258" s="1245" t="s">
        <v>1370</v>
      </c>
      <c r="C258" s="132"/>
      <c r="D258" s="132"/>
      <c r="E258" s="132"/>
      <c r="F258" s="292"/>
      <c r="K258" s="85"/>
      <c r="L258" s="85"/>
      <c r="N258" s="85"/>
      <c r="O258" s="85"/>
      <c r="P258" s="315"/>
    </row>
    <row r="259" spans="1:16" ht="15" customHeight="1" x14ac:dyDescent="0.35">
      <c r="A259" s="265"/>
      <c r="B259" s="270" t="s">
        <v>1150</v>
      </c>
      <c r="C259" s="1124"/>
      <c r="D259" s="1124"/>
      <c r="E259" s="1124"/>
      <c r="F259" s="80" t="str">
        <f>IF(AND(ISNUMBER(F260), ISNUMBER(F261), ISNUMBER(F262)), IF($I$4="Medium", F260, IF($I$4="High", F261, IF($I$4="Low", F262, ""))), "")</f>
        <v/>
      </c>
      <c r="K259" s="85"/>
      <c r="L259" s="85"/>
      <c r="N259" s="85"/>
      <c r="O259" s="85"/>
      <c r="P259" s="315"/>
    </row>
    <row r="260" spans="1:16" ht="15" customHeight="1" x14ac:dyDescent="0.35">
      <c r="A260" s="265"/>
      <c r="B260" s="1245" t="s">
        <v>1368</v>
      </c>
      <c r="C260" s="132"/>
      <c r="D260" s="132"/>
      <c r="E260" s="132"/>
      <c r="F260" s="292"/>
      <c r="K260" s="85"/>
      <c r="L260" s="85"/>
      <c r="N260" s="85"/>
      <c r="O260" s="85"/>
      <c r="P260" s="315"/>
    </row>
    <row r="261" spans="1:16" ht="15" customHeight="1" x14ac:dyDescent="0.35">
      <c r="A261" s="265"/>
      <c r="B261" s="1245" t="s">
        <v>1369</v>
      </c>
      <c r="C261" s="132"/>
      <c r="D261" s="132"/>
      <c r="E261" s="132"/>
      <c r="F261" s="292"/>
      <c r="K261" s="85"/>
      <c r="L261" s="85"/>
      <c r="N261" s="85"/>
      <c r="O261" s="85"/>
      <c r="P261" s="315"/>
    </row>
    <row r="262" spans="1:16" ht="15" customHeight="1" x14ac:dyDescent="0.35">
      <c r="A262" s="265"/>
      <c r="B262" s="1245" t="s">
        <v>1370</v>
      </c>
      <c r="C262" s="132"/>
      <c r="D262" s="132"/>
      <c r="E262" s="132"/>
      <c r="F262" s="292"/>
      <c r="K262" s="85"/>
      <c r="L262" s="85"/>
      <c r="N262" s="85"/>
      <c r="O262" s="85"/>
      <c r="P262" s="315"/>
    </row>
    <row r="263" spans="1:16" ht="15" customHeight="1" x14ac:dyDescent="0.35">
      <c r="A263" s="265"/>
      <c r="B263" s="270" t="s">
        <v>1151</v>
      </c>
      <c r="C263" s="1124"/>
      <c r="D263" s="1124"/>
      <c r="E263" s="1124"/>
      <c r="F263" s="80" t="str">
        <f>IF(AND(ISNUMBER(F264), ISNUMBER(F265), ISNUMBER(F266)), IF($I$4="Medium", F264, IF($I$4="High", F265, IF($I$4="Low", F266, ""))), "")</f>
        <v/>
      </c>
      <c r="K263" s="85"/>
      <c r="L263" s="85"/>
      <c r="N263" s="85"/>
      <c r="O263" s="85"/>
      <c r="P263" s="315"/>
    </row>
    <row r="264" spans="1:16" ht="15" customHeight="1" x14ac:dyDescent="0.35">
      <c r="A264" s="265"/>
      <c r="B264" s="1245" t="s">
        <v>1368</v>
      </c>
      <c r="C264" s="132"/>
      <c r="D264" s="132"/>
      <c r="E264" s="132"/>
      <c r="F264" s="292"/>
      <c r="G264" s="85"/>
      <c r="H264" s="85"/>
      <c r="I264" s="85"/>
      <c r="J264" s="85"/>
      <c r="K264" s="85"/>
      <c r="L264" s="85"/>
      <c r="N264" s="85"/>
      <c r="O264" s="85"/>
      <c r="P264" s="315"/>
    </row>
    <row r="265" spans="1:16" ht="15" customHeight="1" x14ac:dyDescent="0.35">
      <c r="A265" s="265"/>
      <c r="B265" s="1245" t="s">
        <v>1369</v>
      </c>
      <c r="C265" s="132"/>
      <c r="D265" s="132"/>
      <c r="E265" s="132"/>
      <c r="F265" s="292"/>
      <c r="G265" s="85"/>
      <c r="H265" s="85"/>
      <c r="I265" s="85"/>
      <c r="J265" s="85"/>
      <c r="K265" s="85"/>
      <c r="L265" s="85"/>
      <c r="N265" s="85"/>
      <c r="O265" s="85"/>
      <c r="P265" s="315"/>
    </row>
    <row r="266" spans="1:16" ht="15" customHeight="1" x14ac:dyDescent="0.35">
      <c r="A266" s="265"/>
      <c r="B266" s="1063" t="s">
        <v>1370</v>
      </c>
      <c r="C266" s="218"/>
      <c r="D266" s="218"/>
      <c r="E266" s="218"/>
      <c r="F266" s="420"/>
      <c r="G266" s="85"/>
      <c r="H266" s="85"/>
      <c r="I266" s="85"/>
      <c r="J266" s="85"/>
      <c r="K266" s="85"/>
      <c r="L266" s="85"/>
      <c r="N266" s="85"/>
      <c r="O266" s="85"/>
      <c r="P266" s="315"/>
    </row>
    <row r="267" spans="1:16" ht="15" customHeight="1" x14ac:dyDescent="0.35">
      <c r="A267" s="729"/>
      <c r="B267" s="278"/>
      <c r="C267" s="278"/>
      <c r="D267" s="278"/>
      <c r="E267" s="278"/>
      <c r="F267" s="278"/>
      <c r="G267" s="278"/>
      <c r="H267" s="278"/>
      <c r="I267" s="278"/>
      <c r="J267" s="278"/>
      <c r="K267" s="278"/>
      <c r="L267" s="278"/>
      <c r="M267" s="278"/>
      <c r="N267" s="278"/>
      <c r="O267" s="278"/>
      <c r="P267" s="875"/>
    </row>
    <row r="268" spans="1:16" ht="45" customHeight="1" x14ac:dyDescent="0.35">
      <c r="A268" s="280" t="s">
        <v>1503</v>
      </c>
      <c r="B268" s="1141"/>
      <c r="C268" s="1142"/>
      <c r="D268" s="1142"/>
      <c r="E268" s="1142"/>
      <c r="F268" s="1142"/>
      <c r="G268" s="1142"/>
      <c r="H268" s="1142"/>
      <c r="I268" s="1142"/>
      <c r="J268" s="1142"/>
      <c r="K268" s="1142"/>
      <c r="L268" s="1142"/>
      <c r="M268" s="1142"/>
      <c r="N268" s="1142"/>
      <c r="O268" s="1142"/>
      <c r="P268" s="1190"/>
    </row>
    <row r="269" spans="1:16" ht="105" customHeight="1" x14ac:dyDescent="0.35">
      <c r="A269" s="276"/>
      <c r="B269" s="744" t="s">
        <v>1504</v>
      </c>
      <c r="C269" s="744"/>
      <c r="D269" s="3104" t="str">
        <f>"In the context of Delta and Curvature, OTHER 1 to OTHER 30 refers to all other currencies which cannot be represented via liquid currency pairs with respect to reporting currency of the bank and which are not listed in cells B" &amp; ROW(B281) &amp;" to B" &amp; ROW(B316) &amp; "." &amp; CHAR(10) &amp; "In the context of Vega, LIQUID refers to currency pairs that can be represented as a combination of liquid pairs, where 'liquid' refers to 'selected' currency pairs referenced in footnote 22 to MAR21.88 (2022 version);" &amp; " ILLIQUID refers to currency pairs that cannot be represented as a combination of liquid pairs;" &amp; "CROSS LIQUID refers to currency pairs that are not on the list of 'selected' currency pairs, but which can be created by triangulation of currencies that are referenced in any of the currency pairs in the list of 'selected' currency pairs." &amp; "This row should be calculated as the simple sum of all such pairs; and CROSS ILLIQUID refers to currency pairs that are not on the list of 'selected' currency pairs, " &amp; "and which cannot be created by triangulation of currencies that are referenced in any of the currency pairs in the list of 'selected' currency pairs. " &amp; "This row should be calculated as the simple sum of all such pairs."</f>
        <v>In the context of Delta and Curvature, OTHER 1 to OTHER 30 refers to all other currencies which cannot be represented via liquid currency pairs with respect to reporting currency of the bank and which are not listed in cells B281 to B316.
In the context of Vega, LIQUID refers to currency pairs that can be represented as a combination of liquid pairs, where 'liquid' refers to 'selected' currency pairs referenced in footnote 22 to MAR21.88 (2022 version); ILLIQUID refers to currency pairs that cannot be represented as a combination of liquid pairs;CROSS LIQUID refers to currency pairs that are not on the list of 'selected' currency pairs, but which can be created by triangulation of currencies that are referenced in any of the currency pairs in the list of 'selected' currency pairs.This row should be calculated as the simple sum of all such pairs; and CROSS ILLIQUID refers to currency pairs that are not on the list of 'selected' currency pairs, and which cannot be created by triangulation of currencies that are referenced in any of the currency pairs in the list of 'selected' currency pairs. This row should be calculated as the simple sum of all such pairs.</v>
      </c>
      <c r="E269" s="3104"/>
      <c r="F269" s="3104"/>
      <c r="G269" s="3104"/>
      <c r="H269" s="3104"/>
      <c r="I269" s="3104"/>
      <c r="J269" s="370"/>
      <c r="K269" s="370"/>
      <c r="L269" s="370"/>
      <c r="M269" s="370"/>
      <c r="N269" s="370"/>
      <c r="O269" s="370"/>
      <c r="P269" s="946"/>
    </row>
    <row r="270" spans="1:16" ht="15" customHeight="1" x14ac:dyDescent="0.35">
      <c r="A270" s="276"/>
      <c r="B270" s="1159"/>
      <c r="C270" s="370"/>
      <c r="D270" s="370"/>
      <c r="E270" s="370"/>
      <c r="F270" s="370"/>
      <c r="G270" s="370"/>
      <c r="H270" s="370"/>
      <c r="I270" s="370"/>
      <c r="J270" s="370"/>
      <c r="K270" s="370"/>
      <c r="L270" s="370"/>
      <c r="M270" s="370"/>
      <c r="N270" s="370"/>
      <c r="O270" s="370"/>
      <c r="P270" s="946"/>
    </row>
    <row r="271" spans="1:16" ht="15" customHeight="1" x14ac:dyDescent="0.35">
      <c r="A271" s="276"/>
      <c r="B271" s="3100" t="s">
        <v>1505</v>
      </c>
      <c r="C271" s="3100"/>
      <c r="D271" s="474"/>
      <c r="E271" s="474"/>
      <c r="F271" s="474"/>
      <c r="G271" s="1222" t="str">
        <f>IF('General Info'!C6&lt;&gt;"", 'General Info'!C6, "")</f>
        <v>eur</v>
      </c>
      <c r="H271" s="1223"/>
      <c r="I271" s="1223"/>
      <c r="J271" s="370"/>
      <c r="K271" s="370"/>
      <c r="L271" s="370"/>
      <c r="M271" s="370"/>
      <c r="N271" s="370"/>
      <c r="O271" s="370"/>
      <c r="P271" s="946"/>
    </row>
    <row r="272" spans="1:16" ht="15" customHeight="1" x14ac:dyDescent="0.35">
      <c r="A272" s="1143"/>
      <c r="B272" s="152" t="s">
        <v>1506</v>
      </c>
      <c r="C272" s="152"/>
      <c r="D272" s="185"/>
      <c r="E272" s="185"/>
      <c r="F272" s="185"/>
      <c r="G272" s="1224"/>
      <c r="H272" s="422"/>
      <c r="I272" s="422"/>
      <c r="J272" s="370"/>
      <c r="K272" s="370"/>
      <c r="L272" s="370"/>
      <c r="M272" s="370"/>
      <c r="N272" s="370"/>
      <c r="O272" s="370"/>
      <c r="P272" s="946"/>
    </row>
    <row r="273" spans="1:16" ht="15" customHeight="1" x14ac:dyDescent="0.35">
      <c r="A273" s="263"/>
      <c r="B273" s="152" t="s">
        <v>1507</v>
      </c>
      <c r="C273" s="152"/>
      <c r="D273" s="213"/>
      <c r="E273" s="213"/>
      <c r="F273" s="185"/>
      <c r="G273" s="1224"/>
      <c r="H273" s="422"/>
      <c r="I273" s="422"/>
      <c r="J273" s="370"/>
      <c r="K273" s="370"/>
      <c r="L273" s="370"/>
      <c r="M273" s="370"/>
      <c r="N273" s="370"/>
      <c r="O273" s="370"/>
      <c r="P273" s="946"/>
    </row>
    <row r="274" spans="1:16" ht="15" customHeight="1" x14ac:dyDescent="0.35">
      <c r="A274" s="263"/>
      <c r="B274" s="132" t="s">
        <v>1508</v>
      </c>
      <c r="C274" s="132"/>
      <c r="D274" s="102"/>
      <c r="E274" s="102"/>
      <c r="F274" s="347"/>
      <c r="G274" s="1243"/>
      <c r="H274" s="422"/>
      <c r="I274" s="422"/>
      <c r="J274" s="370"/>
      <c r="K274" s="370"/>
      <c r="L274" s="370"/>
      <c r="M274" s="370"/>
      <c r="N274" s="370"/>
      <c r="O274" s="370"/>
      <c r="P274" s="946"/>
    </row>
    <row r="275" spans="1:16" ht="15" customHeight="1" x14ac:dyDescent="0.35">
      <c r="A275" s="263"/>
      <c r="B275" s="132" t="s">
        <v>1383</v>
      </c>
      <c r="C275" s="132"/>
      <c r="D275" s="102"/>
      <c r="E275" s="102"/>
      <c r="F275" s="347"/>
      <c r="G275" s="124" t="str">
        <f>IF(G273=Parameters!D612, IF(G274&lt;&gt;"", 'TB risk class'!G274, ""), 'TB risk class'!G271)</f>
        <v>eur</v>
      </c>
      <c r="H275" s="422"/>
      <c r="I275" s="422"/>
      <c r="J275" s="370"/>
      <c r="K275" s="370"/>
      <c r="L275" s="370"/>
      <c r="M275" s="370"/>
      <c r="N275" s="370"/>
      <c r="O275" s="370"/>
      <c r="P275" s="946"/>
    </row>
    <row r="276" spans="1:16" ht="15" customHeight="1" x14ac:dyDescent="0.35">
      <c r="A276" s="263"/>
      <c r="B276" s="218" t="s">
        <v>1509</v>
      </c>
      <c r="C276" s="1140"/>
      <c r="D276" s="1140"/>
      <c r="E276" s="1140"/>
      <c r="F276" s="273"/>
      <c r="G276" s="3095"/>
      <c r="H276" s="3095"/>
      <c r="I276" s="3095"/>
      <c r="J276" s="370"/>
      <c r="K276" s="370"/>
      <c r="L276" s="370"/>
      <c r="M276" s="370"/>
      <c r="N276" s="370"/>
      <c r="O276" s="370"/>
      <c r="P276" s="946"/>
    </row>
    <row r="277" spans="1:16" ht="15" customHeight="1" x14ac:dyDescent="0.35">
      <c r="A277" s="259"/>
      <c r="B277" s="85"/>
      <c r="C277" s="85"/>
      <c r="D277" s="85"/>
      <c r="E277" s="85"/>
      <c r="F277" s="85"/>
      <c r="G277" s="85"/>
      <c r="H277" s="85"/>
      <c r="I277" s="85"/>
      <c r="J277" s="85"/>
      <c r="K277" s="85"/>
      <c r="L277" s="85"/>
      <c r="M277" s="85"/>
      <c r="N277" s="85"/>
      <c r="O277" s="85"/>
      <c r="P277" s="279"/>
    </row>
    <row r="278" spans="1:16" ht="15" customHeight="1" x14ac:dyDescent="0.35">
      <c r="A278" s="259"/>
      <c r="B278" s="2637" t="s">
        <v>1383</v>
      </c>
      <c r="C278" s="2637"/>
      <c r="D278" s="2637"/>
      <c r="E278" s="2637"/>
      <c r="F278" s="2565" t="s">
        <v>1052</v>
      </c>
      <c r="G278" s="2729"/>
      <c r="H278" s="3092" t="s">
        <v>1053</v>
      </c>
      <c r="I278" s="3093"/>
      <c r="J278" s="3093"/>
      <c r="K278" s="3094"/>
      <c r="L278" s="3105" t="s">
        <v>1510</v>
      </c>
      <c r="M278" s="2766"/>
      <c r="N278" s="2766"/>
      <c r="O278" s="2750"/>
      <c r="P278" s="279"/>
    </row>
    <row r="279" spans="1:16" ht="15" customHeight="1" x14ac:dyDescent="0.35">
      <c r="A279" s="1138"/>
      <c r="B279" s="2798"/>
      <c r="C279" s="2798"/>
      <c r="D279" s="2798"/>
      <c r="E279" s="2798"/>
      <c r="F279" s="2700" t="s">
        <v>1511</v>
      </c>
      <c r="G279" s="2785" t="s">
        <v>1512</v>
      </c>
      <c r="H279" s="2727" t="s">
        <v>1513</v>
      </c>
      <c r="I279" s="3076" t="s">
        <v>1514</v>
      </c>
      <c r="J279" s="3076"/>
      <c r="K279" s="3076"/>
      <c r="L279" s="2672" t="s">
        <v>1383</v>
      </c>
      <c r="M279" s="3076" t="s">
        <v>1514</v>
      </c>
      <c r="N279" s="3076"/>
      <c r="O279" s="2688"/>
      <c r="P279" s="1191"/>
    </row>
    <row r="280" spans="1:16" ht="15" customHeight="1" x14ac:dyDescent="0.35">
      <c r="A280" s="1133"/>
      <c r="B280" s="2638"/>
      <c r="C280" s="2638"/>
      <c r="D280" s="2638"/>
      <c r="E280" s="2638"/>
      <c r="F280" s="2680"/>
      <c r="G280" s="2786"/>
      <c r="H280" s="2728"/>
      <c r="I280" s="1144" t="s">
        <v>1387</v>
      </c>
      <c r="J280" s="1144" t="s">
        <v>1388</v>
      </c>
      <c r="K280" s="1144" t="s">
        <v>1389</v>
      </c>
      <c r="L280" s="2672"/>
      <c r="M280" s="1134" t="s">
        <v>1387</v>
      </c>
      <c r="N280" s="1134" t="s">
        <v>1388</v>
      </c>
      <c r="O280" s="1116" t="s">
        <v>1389</v>
      </c>
      <c r="P280" s="1192"/>
    </row>
    <row r="281" spans="1:16" ht="15" customHeight="1" x14ac:dyDescent="0.35">
      <c r="A281" s="265"/>
      <c r="B281" s="482" t="s">
        <v>1391</v>
      </c>
      <c r="C281" s="480"/>
      <c r="D281" s="480"/>
      <c r="E281" s="480"/>
      <c r="F281" s="872"/>
      <c r="G281" s="1244" t="str">
        <f>IF($G$275&lt;&gt;"", HLOOKUP($G$275, fx_triang!$B$1:$V$38, ROW(B281)-ROW(B$281)+ROW(fx_triang!A$2), FALSE), "")</f>
        <v>No</v>
      </c>
      <c r="H281" s="1145" t="s">
        <v>1515</v>
      </c>
      <c r="I281" s="1146"/>
      <c r="J281" s="1147"/>
      <c r="K281" s="874"/>
      <c r="L281" s="1148" t="str">
        <f t="shared" ref="L281:L316" si="0">B281</f>
        <v>EUR</v>
      </c>
      <c r="M281" s="872"/>
      <c r="N281" s="872"/>
      <c r="O281" s="872"/>
      <c r="P281" s="279"/>
    </row>
    <row r="282" spans="1:16" ht="15" customHeight="1" x14ac:dyDescent="0.35">
      <c r="A282" s="265"/>
      <c r="B282" s="213" t="s">
        <v>1392</v>
      </c>
      <c r="C282" s="99"/>
      <c r="D282" s="99"/>
      <c r="E282" s="99"/>
      <c r="F282" s="34"/>
      <c r="G282" s="1244" t="str">
        <f>IF($G$275&lt;&gt;"", HLOOKUP($G$275, fx_triang!$B$1:$V$38, ROW(B282)-ROW(B$281)+ROW(fx_triang!A$2), FALSE), "")</f>
        <v>No</v>
      </c>
      <c r="H282" s="1149" t="s">
        <v>1516</v>
      </c>
      <c r="I282" s="1132"/>
      <c r="J282" s="1150"/>
      <c r="K282" s="23"/>
      <c r="L282" s="1151" t="str">
        <f t="shared" si="0"/>
        <v>JPY</v>
      </c>
      <c r="M282" s="34"/>
      <c r="N282" s="34"/>
      <c r="O282" s="34"/>
      <c r="P282" s="279"/>
    </row>
    <row r="283" spans="1:16" ht="15" customHeight="1" x14ac:dyDescent="0.35">
      <c r="A283" s="265"/>
      <c r="B283" s="213" t="s">
        <v>1393</v>
      </c>
      <c r="C283" s="213"/>
      <c r="D283" s="213"/>
      <c r="E283" s="213"/>
      <c r="F283" s="34"/>
      <c r="G283" s="1244" t="str">
        <f>IF($G$275&lt;&gt;"", HLOOKUP($G$275, fx_triang!$B$1:$V$38, ROW(B283)-ROW(B$281)+ROW(fx_triang!A$2), FALSE), "")</f>
        <v>No</v>
      </c>
      <c r="H283" s="1149" t="s">
        <v>1517</v>
      </c>
      <c r="I283" s="1132"/>
      <c r="J283" s="1150"/>
      <c r="K283" s="23"/>
      <c r="L283" s="1151" t="str">
        <f t="shared" si="0"/>
        <v>GBP</v>
      </c>
      <c r="M283" s="34"/>
      <c r="N283" s="34"/>
      <c r="O283" s="34"/>
      <c r="P283" s="279"/>
    </row>
    <row r="284" spans="1:16" ht="15" customHeight="1" x14ac:dyDescent="0.35">
      <c r="A284" s="265"/>
      <c r="B284" s="213" t="s">
        <v>1394</v>
      </c>
      <c r="C284" s="213"/>
      <c r="D284" s="213"/>
      <c r="E284" s="213"/>
      <c r="F284" s="34"/>
      <c r="G284" s="1244" t="str">
        <f>IF($G$275&lt;&gt;"", HLOOKUP($G$275, fx_triang!$B$1:$V$38, ROW(B284)-ROW(B$281)+ROW(fx_triang!A$2), FALSE), "")</f>
        <v>Yes</v>
      </c>
      <c r="H284" s="1149" t="s">
        <v>1518</v>
      </c>
      <c r="I284" s="1132"/>
      <c r="J284" s="1150"/>
      <c r="K284" s="23"/>
      <c r="L284" s="1151" t="str">
        <f t="shared" si="0"/>
        <v>AUD</v>
      </c>
      <c r="M284" s="34"/>
      <c r="N284" s="34"/>
      <c r="O284" s="34"/>
      <c r="P284" s="279"/>
    </row>
    <row r="285" spans="1:16" ht="15" customHeight="1" x14ac:dyDescent="0.35">
      <c r="A285" s="265"/>
      <c r="B285" s="213" t="s">
        <v>1396</v>
      </c>
      <c r="C285" s="213"/>
      <c r="D285" s="213"/>
      <c r="E285" s="213"/>
      <c r="F285" s="34"/>
      <c r="G285" s="1244" t="str">
        <f>IF($G$275&lt;&gt;"", HLOOKUP($G$275, fx_triang!$B$1:$V$38, ROW(B285)-ROW(B$281)+ROW(fx_triang!A$2), FALSE), "")</f>
        <v>Yes</v>
      </c>
      <c r="H285" s="1149" t="s">
        <v>1519</v>
      </c>
      <c r="I285" s="1132"/>
      <c r="J285" s="1150"/>
      <c r="K285" s="23"/>
      <c r="L285" s="1151" t="str">
        <f t="shared" si="0"/>
        <v>CAD</v>
      </c>
      <c r="M285" s="34"/>
      <c r="N285" s="34"/>
      <c r="O285" s="34"/>
      <c r="P285" s="279"/>
    </row>
    <row r="286" spans="1:16" ht="15" customHeight="1" x14ac:dyDescent="0.35">
      <c r="A286" s="265"/>
      <c r="B286" s="258" t="s">
        <v>1395</v>
      </c>
      <c r="C286" s="213"/>
      <c r="D286" s="213"/>
      <c r="E286" s="213"/>
      <c r="F286" s="34"/>
      <c r="G286" s="1244" t="str">
        <f>IF($G$275&lt;&gt;"", HLOOKUP($G$275, fx_triang!$B$1:$V$38, ROW(B286)-ROW(B$281)+ROW(fx_triang!A$2), FALSE), "")</f>
        <v>No</v>
      </c>
      <c r="H286" s="708" t="s">
        <v>1520</v>
      </c>
      <c r="I286" s="1132"/>
      <c r="J286" s="1150"/>
      <c r="K286" s="23"/>
      <c r="L286" s="1151" t="str">
        <f t="shared" si="0"/>
        <v>CHF</v>
      </c>
      <c r="M286" s="34"/>
      <c r="N286" s="34"/>
      <c r="O286" s="34"/>
      <c r="P286" s="279"/>
    </row>
    <row r="287" spans="1:16" ht="15" customHeight="1" x14ac:dyDescent="0.35">
      <c r="A287" s="265"/>
      <c r="B287" s="152" t="s">
        <v>1402</v>
      </c>
      <c r="C287" s="213"/>
      <c r="D287" s="213"/>
      <c r="E287" s="213"/>
      <c r="F287" s="34"/>
      <c r="G287" s="1244" t="str">
        <f>IF($G$275&lt;&gt;"", HLOOKUP($G$275, fx_triang!$B$1:$V$38, ROW(B287)-ROW(B$281)+ROW(fx_triang!A$2), FALSE), "")</f>
        <v>Yes</v>
      </c>
      <c r="H287" s="1152" t="s">
        <v>1521</v>
      </c>
      <c r="I287" s="1132"/>
      <c r="J287" s="1150"/>
      <c r="K287" s="23"/>
      <c r="L287" s="1151" t="str">
        <f t="shared" si="0"/>
        <v>MXN</v>
      </c>
      <c r="M287" s="34"/>
      <c r="N287" s="34"/>
      <c r="O287" s="34"/>
      <c r="P287" s="279"/>
    </row>
    <row r="288" spans="1:16" ht="15" customHeight="1" x14ac:dyDescent="0.35">
      <c r="A288" s="265"/>
      <c r="B288" s="152" t="s">
        <v>1407</v>
      </c>
      <c r="C288" s="213"/>
      <c r="D288" s="213"/>
      <c r="E288" s="213"/>
      <c r="F288" s="34"/>
      <c r="G288" s="1244" t="str">
        <f>IF($G$275&lt;&gt;"", HLOOKUP($G$275, fx_triang!$B$1:$V$38, ROW(B288)-ROW(B$281)+ROW(fx_triang!A$2), FALSE), "")</f>
        <v>Yes</v>
      </c>
      <c r="H288" s="1152" t="s">
        <v>1522</v>
      </c>
      <c r="I288" s="1132"/>
      <c r="J288" s="1150"/>
      <c r="K288" s="23"/>
      <c r="L288" s="1151" t="str">
        <f t="shared" si="0"/>
        <v>CNY</v>
      </c>
      <c r="M288" s="34"/>
      <c r="N288" s="34"/>
      <c r="O288" s="34"/>
      <c r="P288" s="279"/>
    </row>
    <row r="289" spans="1:16" ht="15" customHeight="1" x14ac:dyDescent="0.35">
      <c r="A289" s="265"/>
      <c r="B289" s="152" t="s">
        <v>1399</v>
      </c>
      <c r="C289" s="213"/>
      <c r="D289" s="213"/>
      <c r="E289" s="213"/>
      <c r="F289" s="34"/>
      <c r="G289" s="1244" t="str">
        <f>IF($G$275&lt;&gt;"", HLOOKUP($G$275, fx_triang!$B$1:$V$38, ROW(B289)-ROW(B$281)+ROW(fx_triang!A$2), FALSE), "")</f>
        <v>Yes</v>
      </c>
      <c r="H289" s="1152" t="s">
        <v>1523</v>
      </c>
      <c r="I289" s="1132"/>
      <c r="J289" s="1150"/>
      <c r="K289" s="23"/>
      <c r="L289" s="1151" t="str">
        <f t="shared" si="0"/>
        <v>NZD</v>
      </c>
      <c r="M289" s="34"/>
      <c r="N289" s="34"/>
      <c r="O289" s="34"/>
      <c r="P289" s="279"/>
    </row>
    <row r="290" spans="1:16" ht="15" customHeight="1" x14ac:dyDescent="0.35">
      <c r="A290" s="265"/>
      <c r="B290" s="152" t="s">
        <v>1408</v>
      </c>
      <c r="C290" s="213"/>
      <c r="D290" s="213"/>
      <c r="E290" s="213"/>
      <c r="F290" s="34"/>
      <c r="G290" s="1244" t="str">
        <f>IF($G$275&lt;&gt;"", HLOOKUP($G$275, fx_triang!$B$1:$V$38, ROW(B290)-ROW(B$281)+ROW(fx_triang!A$2), FALSE), "")</f>
        <v>Yes</v>
      </c>
      <c r="H290" s="1152" t="s">
        <v>1524</v>
      </c>
      <c r="I290" s="1132"/>
      <c r="J290" s="1150"/>
      <c r="K290" s="23"/>
      <c r="L290" s="1151" t="str">
        <f t="shared" si="0"/>
        <v>RUB</v>
      </c>
      <c r="M290" s="34"/>
      <c r="N290" s="34"/>
      <c r="O290" s="34"/>
      <c r="P290" s="279"/>
    </row>
    <row r="291" spans="1:16" ht="15" customHeight="1" x14ac:dyDescent="0.35">
      <c r="A291" s="265"/>
      <c r="B291" s="152" t="s">
        <v>1397</v>
      </c>
      <c r="C291" s="213"/>
      <c r="D291" s="213"/>
      <c r="E291" s="213"/>
      <c r="F291" s="34"/>
      <c r="G291" s="1244" t="str">
        <f>IF($G$275&lt;&gt;"", HLOOKUP($G$275, fx_triang!$B$1:$V$38, ROW(B291)-ROW(B$281)+ROW(fx_triang!A$2), FALSE), "")</f>
        <v>Yes</v>
      </c>
      <c r="H291" s="1152" t="s">
        <v>1525</v>
      </c>
      <c r="I291" s="1132"/>
      <c r="J291" s="1150"/>
      <c r="K291" s="23"/>
      <c r="L291" s="1151" t="str">
        <f t="shared" si="0"/>
        <v>HKD</v>
      </c>
      <c r="M291" s="34"/>
      <c r="N291" s="34"/>
      <c r="O291" s="34"/>
      <c r="P291" s="279"/>
    </row>
    <row r="292" spans="1:16" ht="15" customHeight="1" x14ac:dyDescent="0.35">
      <c r="A292" s="265"/>
      <c r="B292" s="152" t="s">
        <v>1401</v>
      </c>
      <c r="C292" s="213"/>
      <c r="D292" s="213"/>
      <c r="E292" s="213"/>
      <c r="F292" s="34"/>
      <c r="G292" s="1244" t="str">
        <f>IF($G$275&lt;&gt;"", HLOOKUP($G$275, fx_triang!$B$1:$V$38, ROW(B292)-ROW(B$281)+ROW(fx_triang!A$2), FALSE), "")</f>
        <v>Yes</v>
      </c>
      <c r="H292" s="1152" t="s">
        <v>1526</v>
      </c>
      <c r="I292" s="1132"/>
      <c r="J292" s="1150"/>
      <c r="K292" s="23"/>
      <c r="L292" s="1151" t="str">
        <f t="shared" si="0"/>
        <v>SGD</v>
      </c>
      <c r="M292" s="34"/>
      <c r="N292" s="34"/>
      <c r="O292" s="34"/>
      <c r="P292" s="279"/>
    </row>
    <row r="293" spans="1:16" ht="15" customHeight="1" x14ac:dyDescent="0.35">
      <c r="A293" s="265"/>
      <c r="B293" s="152" t="s">
        <v>1409</v>
      </c>
      <c r="C293" s="213"/>
      <c r="D293" s="213"/>
      <c r="E293" s="213"/>
      <c r="F293" s="34"/>
      <c r="G293" s="1244" t="str">
        <f>IF($G$275&lt;&gt;"", HLOOKUP($G$275, fx_triang!$B$1:$V$38, ROW(B293)-ROW(B$281)+ROW(fx_triang!A$2), FALSE), "")</f>
        <v>Yes</v>
      </c>
      <c r="H293" s="1152" t="s">
        <v>1527</v>
      </c>
      <c r="I293" s="1132"/>
      <c r="J293" s="1150"/>
      <c r="K293" s="23"/>
      <c r="L293" s="1151" t="str">
        <f t="shared" si="0"/>
        <v>TRY</v>
      </c>
      <c r="M293" s="34"/>
      <c r="N293" s="34"/>
      <c r="O293" s="34"/>
      <c r="P293" s="279"/>
    </row>
    <row r="294" spans="1:16" ht="15" customHeight="1" x14ac:dyDescent="0.35">
      <c r="A294" s="265"/>
      <c r="B294" s="152" t="s">
        <v>1400</v>
      </c>
      <c r="C294" s="213"/>
      <c r="D294" s="213"/>
      <c r="E294" s="213"/>
      <c r="F294" s="34"/>
      <c r="G294" s="1244" t="str">
        <f>IF($G$275&lt;&gt;"", HLOOKUP($G$275, fx_triang!$B$1:$V$38, ROW(B294)-ROW(B$281)+ROW(fx_triang!A$2), FALSE), "")</f>
        <v>Yes</v>
      </c>
      <c r="H294" s="1152" t="s">
        <v>1528</v>
      </c>
      <c r="I294" s="1132"/>
      <c r="J294" s="1150"/>
      <c r="K294" s="23"/>
      <c r="L294" s="1151" t="str">
        <f t="shared" si="0"/>
        <v>KRW</v>
      </c>
      <c r="M294" s="34"/>
      <c r="N294" s="34"/>
      <c r="O294" s="34"/>
      <c r="P294" s="279"/>
    </row>
    <row r="295" spans="1:16" ht="15" customHeight="1" x14ac:dyDescent="0.35">
      <c r="A295" s="265"/>
      <c r="B295" s="152" t="s">
        <v>1398</v>
      </c>
      <c r="C295" s="213"/>
      <c r="D295" s="213"/>
      <c r="E295" s="213"/>
      <c r="F295" s="34"/>
      <c r="G295" s="1244" t="str">
        <f>IF($G$275&lt;&gt;"", HLOOKUP($G$275, fx_triang!$B$1:$V$38, ROW(B295)-ROW(B$281)+ROW(fx_triang!A$2), FALSE), "")</f>
        <v>Yes</v>
      </c>
      <c r="H295" s="1152" t="s">
        <v>1529</v>
      </c>
      <c r="I295" s="1132"/>
      <c r="J295" s="1150"/>
      <c r="K295" s="23"/>
      <c r="L295" s="1151" t="str">
        <f t="shared" si="0"/>
        <v>SEK</v>
      </c>
      <c r="M295" s="34"/>
      <c r="N295" s="34"/>
      <c r="O295" s="34"/>
      <c r="P295" s="279"/>
    </row>
    <row r="296" spans="1:16" ht="15" customHeight="1" x14ac:dyDescent="0.35">
      <c r="A296" s="265"/>
      <c r="B296" s="152" t="s">
        <v>1404</v>
      </c>
      <c r="C296" s="213"/>
      <c r="D296" s="213"/>
      <c r="E296" s="213"/>
      <c r="F296" s="34"/>
      <c r="G296" s="1244" t="str">
        <f>IF($G$275&lt;&gt;"", HLOOKUP($G$275, fx_triang!$B$1:$V$38, ROW(B296)-ROW(B$281)+ROW(fx_triang!A$2), FALSE), "")</f>
        <v>Yes</v>
      </c>
      <c r="H296" s="1152" t="s">
        <v>1530</v>
      </c>
      <c r="I296" s="1132"/>
      <c r="J296" s="1150"/>
      <c r="K296" s="23"/>
      <c r="L296" s="1151" t="str">
        <f t="shared" si="0"/>
        <v>ZAR</v>
      </c>
      <c r="M296" s="34"/>
      <c r="N296" s="34"/>
      <c r="O296" s="34"/>
      <c r="P296" s="279"/>
    </row>
    <row r="297" spans="1:16" ht="15" customHeight="1" x14ac:dyDescent="0.35">
      <c r="A297" s="265"/>
      <c r="B297" s="152" t="s">
        <v>1415</v>
      </c>
      <c r="C297" s="213"/>
      <c r="D297" s="213"/>
      <c r="E297" s="213"/>
      <c r="F297" s="34"/>
      <c r="G297" s="1244" t="str">
        <f>IF($G$275&lt;&gt;"", HLOOKUP($G$275, fx_triang!$B$1:$V$38, ROW(B297)-ROW(B$281)+ROW(fx_triang!A$2), FALSE), "")</f>
        <v>Yes</v>
      </c>
      <c r="H297" s="1152" t="s">
        <v>1531</v>
      </c>
      <c r="I297" s="1132"/>
      <c r="J297" s="1150"/>
      <c r="K297" s="23"/>
      <c r="L297" s="1151" t="str">
        <f t="shared" si="0"/>
        <v>INR</v>
      </c>
      <c r="M297" s="34"/>
      <c r="N297" s="34"/>
      <c r="O297" s="34"/>
      <c r="P297" s="279"/>
    </row>
    <row r="298" spans="1:16" ht="15" customHeight="1" x14ac:dyDescent="0.35">
      <c r="A298" s="265"/>
      <c r="B298" s="152" t="s">
        <v>1403</v>
      </c>
      <c r="C298" s="213"/>
      <c r="D298" s="213"/>
      <c r="E298" s="213"/>
      <c r="F298" s="34"/>
      <c r="G298" s="1244" t="str">
        <f>IF($G$275&lt;&gt;"", HLOOKUP($G$275, fx_triang!$B$1:$V$38, ROW(B298)-ROW(B$281)+ROW(fx_triang!A$2), FALSE), "")</f>
        <v>Yes</v>
      </c>
      <c r="H298" s="1152" t="s">
        <v>1532</v>
      </c>
      <c r="I298" s="1132"/>
      <c r="J298" s="1150"/>
      <c r="K298" s="23"/>
      <c r="L298" s="1151" t="str">
        <f t="shared" si="0"/>
        <v>NOK</v>
      </c>
      <c r="M298" s="34"/>
      <c r="N298" s="34"/>
      <c r="O298" s="34"/>
      <c r="P298" s="279"/>
    </row>
    <row r="299" spans="1:16" ht="15" customHeight="1" x14ac:dyDescent="0.35">
      <c r="A299" s="265"/>
      <c r="B299" s="158" t="s">
        <v>1410</v>
      </c>
      <c r="C299" s="213"/>
      <c r="D299" s="213"/>
      <c r="E299" s="213"/>
      <c r="F299" s="34"/>
      <c r="G299" s="1244" t="str">
        <f>IF($G$275&lt;&gt;"", HLOOKUP($G$275, fx_triang!$B$1:$V$38, ROW(B299)-ROW(B$281)+ROW(fx_triang!A$2), FALSE), "")</f>
        <v>Yes</v>
      </c>
      <c r="H299" s="1153" t="s">
        <v>1533</v>
      </c>
      <c r="I299" s="1132"/>
      <c r="J299" s="1150"/>
      <c r="K299" s="23"/>
      <c r="L299" s="1151" t="str">
        <f t="shared" si="0"/>
        <v>BRL</v>
      </c>
      <c r="M299" s="34"/>
      <c r="N299" s="34"/>
      <c r="O299" s="34"/>
      <c r="P299" s="279"/>
    </row>
    <row r="300" spans="1:16" ht="15" customHeight="1" x14ac:dyDescent="0.35">
      <c r="A300" s="1154"/>
      <c r="B300" s="370" t="s">
        <v>1411</v>
      </c>
      <c r="C300" s="213"/>
      <c r="D300" s="213"/>
      <c r="E300" s="213"/>
      <c r="F300" s="138"/>
      <c r="G300" s="1244" t="str">
        <f>IF($G$275&lt;&gt;"", HLOOKUP($G$275, fx_triang!$B$1:$V$38, ROW(B300)-ROW(B$281)+ROW(fx_triang!A$2), FALSE), "")</f>
        <v>No</v>
      </c>
      <c r="H300" s="276" t="s">
        <v>1534</v>
      </c>
      <c r="I300" s="1155"/>
      <c r="J300" s="1156"/>
      <c r="K300" s="208"/>
      <c r="L300" s="1151" t="str">
        <f t="shared" si="0"/>
        <v>SAR</v>
      </c>
      <c r="M300" s="138"/>
      <c r="N300" s="138"/>
      <c r="O300" s="138"/>
      <c r="P300" s="946"/>
    </row>
    <row r="301" spans="1:16" ht="15" customHeight="1" x14ac:dyDescent="0.35">
      <c r="A301" s="1154"/>
      <c r="B301" s="158" t="s">
        <v>1390</v>
      </c>
      <c r="C301" s="213"/>
      <c r="D301" s="213"/>
      <c r="E301" s="213"/>
      <c r="F301" s="138"/>
      <c r="G301" s="1244" t="str">
        <f>IF($G$275&lt;&gt;"", HLOOKUP($G$275, fx_triang!$B$1:$V$38, ROW(B301)-ROW(B$281)+ROW(fx_triang!A$2), FALSE), "")</f>
        <v>No</v>
      </c>
      <c r="H301" s="1152" t="s">
        <v>1535</v>
      </c>
      <c r="I301" s="1155"/>
      <c r="J301" s="1156"/>
      <c r="K301" s="208"/>
      <c r="L301" s="1151" t="str">
        <f t="shared" si="0"/>
        <v>USD</v>
      </c>
      <c r="M301" s="138"/>
      <c r="N301" s="138"/>
      <c r="O301" s="138"/>
      <c r="P301" s="946"/>
    </row>
    <row r="302" spans="1:16" ht="15" customHeight="1" x14ac:dyDescent="0.35">
      <c r="A302" s="1154"/>
      <c r="B302" s="370" t="s">
        <v>1422</v>
      </c>
      <c r="C302" s="213"/>
      <c r="D302" s="213"/>
      <c r="E302" s="213"/>
      <c r="F302" s="138"/>
      <c r="G302" s="1244" t="str">
        <f>IF($G$275&lt;&gt;"", HLOOKUP($G$275, fx_triang!$B$1:$V$38, ROW(B302)-ROW(B$281)+ROW(fx_triang!A$2), FALSE), "")</f>
        <v>No</v>
      </c>
      <c r="H302" s="1152" t="s">
        <v>1536</v>
      </c>
      <c r="I302" s="1155"/>
      <c r="J302" s="1156"/>
      <c r="K302" s="208"/>
      <c r="L302" s="1151" t="str">
        <f t="shared" si="0"/>
        <v>CLP</v>
      </c>
      <c r="M302" s="138"/>
      <c r="N302" s="138"/>
      <c r="O302" s="138"/>
      <c r="P302" s="946"/>
    </row>
    <row r="303" spans="1:16" ht="15" customHeight="1" x14ac:dyDescent="0.35">
      <c r="A303" s="1154"/>
      <c r="B303" s="158" t="s">
        <v>1414</v>
      </c>
      <c r="C303" s="213"/>
      <c r="D303" s="213"/>
      <c r="E303" s="213"/>
      <c r="F303" s="138"/>
      <c r="G303" s="1244" t="str">
        <f>IF($G$275&lt;&gt;"", HLOOKUP($G$275, fx_triang!$B$1:$V$38, ROW(B303)-ROW(B$281)+ROW(fx_triang!A$2), FALSE), "")</f>
        <v>No</v>
      </c>
      <c r="H303" s="1152" t="s">
        <v>1537</v>
      </c>
      <c r="I303" s="1155"/>
      <c r="J303" s="1156"/>
      <c r="K303" s="208"/>
      <c r="L303" s="1151" t="str">
        <f t="shared" si="0"/>
        <v>AED</v>
      </c>
      <c r="M303" s="138"/>
      <c r="N303" s="138"/>
      <c r="O303" s="138"/>
      <c r="P303" s="946"/>
    </row>
    <row r="304" spans="1:16" ht="15" customHeight="1" x14ac:dyDescent="0.35">
      <c r="A304" s="1154"/>
      <c r="B304" s="152" t="s">
        <v>1538</v>
      </c>
      <c r="C304" s="213"/>
      <c r="D304" s="213"/>
      <c r="E304" s="213"/>
      <c r="F304" s="138"/>
      <c r="G304" s="1244" t="str">
        <f>IF($G$275&lt;&gt;"", HLOOKUP($G$275, fx_triang!$B$1:$V$38, ROW(B304)-ROW(B$281)+ROW(fx_triang!A$2), FALSE), "")</f>
        <v>No</v>
      </c>
      <c r="H304" s="263" t="s">
        <v>1539</v>
      </c>
      <c r="I304" s="1155"/>
      <c r="J304" s="1156"/>
      <c r="K304" s="208"/>
      <c r="L304" s="1151" t="str">
        <f t="shared" si="0"/>
        <v>ARS</v>
      </c>
      <c r="M304" s="138"/>
      <c r="N304" s="138"/>
      <c r="O304" s="138"/>
      <c r="P304" s="946"/>
    </row>
    <row r="305" spans="1:16" ht="15" customHeight="1" x14ac:dyDescent="0.35">
      <c r="A305" s="1154"/>
      <c r="B305" s="158" t="s">
        <v>1540</v>
      </c>
      <c r="C305" s="213"/>
      <c r="D305" s="213"/>
      <c r="E305" s="213"/>
      <c r="F305" s="138"/>
      <c r="G305" s="1244" t="str">
        <f>IF($G$275&lt;&gt;"", HLOOKUP($G$275, fx_triang!$B$1:$V$38, ROW(B305)-ROW(B$281)+ROW(fx_triang!A$2), FALSE), "")</f>
        <v>No</v>
      </c>
      <c r="H305" s="1152" t="s">
        <v>1541</v>
      </c>
      <c r="I305" s="1155"/>
      <c r="J305" s="1156"/>
      <c r="K305" s="208"/>
      <c r="L305" s="1151" t="str">
        <f t="shared" si="0"/>
        <v>BGN</v>
      </c>
      <c r="M305" s="138"/>
      <c r="N305" s="138"/>
      <c r="O305" s="138"/>
      <c r="P305" s="946"/>
    </row>
    <row r="306" spans="1:16" ht="15" customHeight="1" x14ac:dyDescent="0.35">
      <c r="A306" s="1154"/>
      <c r="B306" s="213" t="s">
        <v>1420</v>
      </c>
      <c r="C306" s="213"/>
      <c r="D306" s="213"/>
      <c r="E306" s="213"/>
      <c r="F306" s="138"/>
      <c r="G306" s="1244" t="str">
        <f>IF($G$275&lt;&gt;"", HLOOKUP($G$275, fx_triang!$B$1:$V$38, ROW(B306)-ROW(B$281)+ROW(fx_triang!A$2), FALSE), "")</f>
        <v>No</v>
      </c>
      <c r="H306" s="1152" t="s">
        <v>1542</v>
      </c>
      <c r="I306" s="1155"/>
      <c r="J306" s="1156"/>
      <c r="K306" s="208"/>
      <c r="L306" s="1151" t="str">
        <f t="shared" si="0"/>
        <v>CZK</v>
      </c>
      <c r="M306" s="138"/>
      <c r="N306" s="138"/>
      <c r="O306" s="138"/>
      <c r="P306" s="946"/>
    </row>
    <row r="307" spans="1:16" ht="15" customHeight="1" x14ac:dyDescent="0.35">
      <c r="A307" s="1154"/>
      <c r="B307" s="213" t="s">
        <v>1405</v>
      </c>
      <c r="C307" s="213"/>
      <c r="D307" s="213"/>
      <c r="E307" s="213"/>
      <c r="F307" s="138"/>
      <c r="G307" s="1244" t="str">
        <f>IF($G$275&lt;&gt;"", HLOOKUP($G$275, fx_triang!$B$1:$V$38, ROW(B307)-ROW(B$281)+ROW(fx_triang!A$2), FALSE), "")</f>
        <v>No</v>
      </c>
      <c r="H307" s="1152" t="s">
        <v>1543</v>
      </c>
      <c r="I307" s="1155"/>
      <c r="J307" s="1156"/>
      <c r="K307" s="208"/>
      <c r="L307" s="1151" t="str">
        <f t="shared" si="0"/>
        <v>DKK</v>
      </c>
      <c r="M307" s="138"/>
      <c r="N307" s="138"/>
      <c r="O307" s="138"/>
      <c r="P307" s="946"/>
    </row>
    <row r="308" spans="1:16" ht="15" customHeight="1" x14ac:dyDescent="0.35">
      <c r="A308" s="1154"/>
      <c r="B308" s="152" t="s">
        <v>1418</v>
      </c>
      <c r="C308" s="213"/>
      <c r="D308" s="213"/>
      <c r="E308" s="213"/>
      <c r="F308" s="138"/>
      <c r="G308" s="1244" t="str">
        <f>IF($G$275&lt;&gt;"", HLOOKUP($G$275, fx_triang!$B$1:$V$38, ROW(B308)-ROW(B$281)+ROW(fx_triang!A$2), FALSE), "")</f>
        <v>No</v>
      </c>
      <c r="H308" s="1152" t="s">
        <v>1544</v>
      </c>
      <c r="I308" s="1155"/>
      <c r="J308" s="1156"/>
      <c r="K308" s="208"/>
      <c r="L308" s="1151" t="str">
        <f t="shared" si="0"/>
        <v>HUF</v>
      </c>
      <c r="M308" s="138"/>
      <c r="N308" s="138"/>
      <c r="O308" s="138"/>
      <c r="P308" s="946"/>
    </row>
    <row r="309" spans="1:16" ht="15" customHeight="1" x14ac:dyDescent="0.35">
      <c r="A309" s="1154"/>
      <c r="B309" s="158" t="s">
        <v>1423</v>
      </c>
      <c r="C309" s="213"/>
      <c r="D309" s="213"/>
      <c r="E309" s="213"/>
      <c r="F309" s="138"/>
      <c r="G309" s="1244" t="str">
        <f>IF($G$275&lt;&gt;"", HLOOKUP($G$275, fx_triang!$B$1:$V$38, ROW(B309)-ROW(B$281)+ROW(fx_triang!A$2), FALSE), "")</f>
        <v>No</v>
      </c>
      <c r="H309" s="1152" t="s">
        <v>1545</v>
      </c>
      <c r="I309" s="1155"/>
      <c r="J309" s="1156"/>
      <c r="K309" s="208"/>
      <c r="L309" s="1151" t="str">
        <f t="shared" si="0"/>
        <v>IDR</v>
      </c>
      <c r="M309" s="138"/>
      <c r="N309" s="138"/>
      <c r="O309" s="138"/>
      <c r="P309" s="946"/>
    </row>
    <row r="310" spans="1:16" ht="15" customHeight="1" x14ac:dyDescent="0.35">
      <c r="A310" s="1154"/>
      <c r="B310" s="213" t="s">
        <v>1406</v>
      </c>
      <c r="C310" s="213"/>
      <c r="D310" s="213"/>
      <c r="E310" s="213"/>
      <c r="F310" s="138"/>
      <c r="G310" s="1244" t="str">
        <f>IF($G$275&lt;&gt;"", HLOOKUP($G$275, fx_triang!$B$1:$V$38, ROW(B310)-ROW(B$281)+ROW(fx_triang!A$2), FALSE), "")</f>
        <v>No</v>
      </c>
      <c r="H310" s="1152" t="s">
        <v>1546</v>
      </c>
      <c r="I310" s="1155"/>
      <c r="J310" s="1156"/>
      <c r="K310" s="208"/>
      <c r="L310" s="1151" t="str">
        <f t="shared" si="0"/>
        <v>ILS</v>
      </c>
      <c r="M310" s="138"/>
      <c r="N310" s="138"/>
      <c r="O310" s="138"/>
      <c r="P310" s="946"/>
    </row>
    <row r="311" spans="1:16" ht="15" customHeight="1" x14ac:dyDescent="0.35">
      <c r="A311" s="1154"/>
      <c r="B311" s="152" t="s">
        <v>1547</v>
      </c>
      <c r="C311" s="213"/>
      <c r="D311" s="213"/>
      <c r="E311" s="213"/>
      <c r="F311" s="138"/>
      <c r="G311" s="1244" t="str">
        <f>IF($G$275&lt;&gt;"", HLOOKUP($G$275, fx_triang!$B$1:$V$38, ROW(B311)-ROW(B$281)+ROW(fx_triang!A$2), FALSE), "")</f>
        <v>No</v>
      </c>
      <c r="H311" s="1152" t="s">
        <v>1548</v>
      </c>
      <c r="I311" s="1155"/>
      <c r="J311" s="1156"/>
      <c r="K311" s="208"/>
      <c r="L311" s="1151" t="str">
        <f t="shared" si="0"/>
        <v>KWD</v>
      </c>
      <c r="M311" s="138"/>
      <c r="N311" s="138"/>
      <c r="O311" s="138"/>
      <c r="P311" s="946"/>
    </row>
    <row r="312" spans="1:16" ht="15" customHeight="1" x14ac:dyDescent="0.35">
      <c r="A312" s="1154"/>
      <c r="B312" s="213" t="s">
        <v>1419</v>
      </c>
      <c r="C312" s="213"/>
      <c r="D312" s="213"/>
      <c r="E312" s="213"/>
      <c r="F312" s="138"/>
      <c r="G312" s="1244" t="str">
        <f>IF($G$275&lt;&gt;"", HLOOKUP($G$275, fx_triang!$B$1:$V$38, ROW(B312)-ROW(B$281)+ROW(fx_triang!A$2), FALSE), "")</f>
        <v>No</v>
      </c>
      <c r="H312" s="1152" t="s">
        <v>1549</v>
      </c>
      <c r="I312" s="1155"/>
      <c r="J312" s="1156"/>
      <c r="K312" s="208"/>
      <c r="L312" s="1151" t="str">
        <f t="shared" si="0"/>
        <v>MYR</v>
      </c>
      <c r="M312" s="138"/>
      <c r="N312" s="138"/>
      <c r="O312" s="138"/>
      <c r="P312" s="946"/>
    </row>
    <row r="313" spans="1:16" ht="15" customHeight="1" x14ac:dyDescent="0.35">
      <c r="A313" s="1154"/>
      <c r="B313" s="213" t="s">
        <v>1550</v>
      </c>
      <c r="C313" s="213"/>
      <c r="D313" s="213"/>
      <c r="E313" s="213"/>
      <c r="F313" s="138"/>
      <c r="G313" s="1244" t="str">
        <f>IF($G$275&lt;&gt;"", HLOOKUP($G$275, fx_triang!$B$1:$V$38, ROW(B313)-ROW(B$281)+ROW(fx_triang!A$2), FALSE), "")</f>
        <v>No</v>
      </c>
      <c r="H313" s="1152" t="s">
        <v>1551</v>
      </c>
      <c r="I313" s="1155"/>
      <c r="J313" s="1156"/>
      <c r="K313" s="208"/>
      <c r="L313" s="1151" t="str">
        <f t="shared" si="0"/>
        <v>PHP</v>
      </c>
      <c r="M313" s="138"/>
      <c r="N313" s="138"/>
      <c r="O313" s="138"/>
      <c r="P313" s="946"/>
    </row>
    <row r="314" spans="1:16" ht="15" customHeight="1" x14ac:dyDescent="0.35">
      <c r="A314" s="1154"/>
      <c r="B314" s="152" t="s">
        <v>1416</v>
      </c>
      <c r="C314" s="213"/>
      <c r="D314" s="213"/>
      <c r="E314" s="213"/>
      <c r="F314" s="138"/>
      <c r="G314" s="1244" t="str">
        <f>IF($G$275&lt;&gt;"", HLOOKUP($G$275, fx_triang!$B$1:$V$38, ROW(B314)-ROW(B$281)+ROW(fx_triang!A$2), FALSE), "")</f>
        <v>No</v>
      </c>
      <c r="H314" s="1084"/>
      <c r="I314" s="286"/>
      <c r="J314" s="286"/>
      <c r="K314" s="286"/>
      <c r="L314" s="1151" t="str">
        <f t="shared" si="0"/>
        <v>PLN</v>
      </c>
      <c r="M314" s="138"/>
      <c r="N314" s="138"/>
      <c r="O314" s="138"/>
      <c r="P314" s="946"/>
    </row>
    <row r="315" spans="1:16" ht="15" customHeight="1" x14ac:dyDescent="0.35">
      <c r="A315" s="1154"/>
      <c r="B315" s="158" t="s">
        <v>1421</v>
      </c>
      <c r="C315" s="213"/>
      <c r="D315" s="213"/>
      <c r="E315" s="213"/>
      <c r="F315" s="138"/>
      <c r="G315" s="1244" t="str">
        <f>IF($G$275&lt;&gt;"", HLOOKUP($G$275, fx_triang!$B$1:$V$38, ROW(B315)-ROW(B$281)+ROW(fx_triang!A$2), FALSE), "")</f>
        <v>No</v>
      </c>
      <c r="H315" s="1084"/>
      <c r="I315" s="286"/>
      <c r="J315" s="286"/>
      <c r="K315" s="286"/>
      <c r="L315" s="1151" t="str">
        <f t="shared" si="0"/>
        <v>THB</v>
      </c>
      <c r="M315" s="138"/>
      <c r="N315" s="138"/>
      <c r="O315" s="138"/>
      <c r="P315" s="946"/>
    </row>
    <row r="316" spans="1:16" ht="15" customHeight="1" x14ac:dyDescent="0.35">
      <c r="A316" s="1154"/>
      <c r="B316" s="213" t="s">
        <v>1417</v>
      </c>
      <c r="C316" s="213"/>
      <c r="D316" s="213"/>
      <c r="E316" s="213"/>
      <c r="F316" s="138"/>
      <c r="G316" s="1244" t="str">
        <f>IF($G$275&lt;&gt;"", HLOOKUP($G$275, fx_triang!$B$1:$V$38, ROW(B316)-ROW(B$281)+ROW(fx_triang!A$2), FALSE), "")</f>
        <v>No</v>
      </c>
      <c r="H316" s="1084"/>
      <c r="I316" s="286"/>
      <c r="J316" s="286"/>
      <c r="K316" s="286"/>
      <c r="L316" s="1151" t="str">
        <f t="shared" si="0"/>
        <v>TWD</v>
      </c>
      <c r="M316" s="138"/>
      <c r="N316" s="138"/>
      <c r="O316" s="138"/>
      <c r="P316" s="946"/>
    </row>
    <row r="317" spans="1:16" ht="15" customHeight="1" x14ac:dyDescent="0.35">
      <c r="A317" s="1154"/>
      <c r="B317" s="102" t="s">
        <v>1424</v>
      </c>
      <c r="C317" s="1122"/>
      <c r="D317" s="102"/>
      <c r="E317" s="102"/>
      <c r="F317" s="237"/>
      <c r="G317" s="1225" t="s">
        <v>7</v>
      </c>
      <c r="H317" s="1181"/>
      <c r="I317" s="1182"/>
      <c r="J317" s="1182"/>
      <c r="K317" s="1182"/>
      <c r="L317" s="1157" t="str">
        <f t="shared" ref="L317:L346" si="1">IF(C317&lt;&gt;"", B317 &amp; "   (" &amp; C317 &amp; ")", B317)</f>
        <v>OTHER 1</v>
      </c>
      <c r="M317" s="237"/>
      <c r="N317" s="237"/>
      <c r="O317" s="237"/>
      <c r="P317" s="946"/>
    </row>
    <row r="318" spans="1:16" ht="15" customHeight="1" x14ac:dyDescent="0.35">
      <c r="A318" s="1154"/>
      <c r="B318" s="102" t="s">
        <v>1425</v>
      </c>
      <c r="C318" s="1122"/>
      <c r="D318" s="102"/>
      <c r="E318" s="102"/>
      <c r="F318" s="237"/>
      <c r="G318" s="1225" t="s">
        <v>7</v>
      </c>
      <c r="H318" s="1181"/>
      <c r="I318" s="1182"/>
      <c r="J318" s="1182"/>
      <c r="K318" s="1182"/>
      <c r="L318" s="1157" t="str">
        <f t="shared" si="1"/>
        <v>OTHER 2</v>
      </c>
      <c r="M318" s="237"/>
      <c r="N318" s="237"/>
      <c r="O318" s="237"/>
      <c r="P318" s="946"/>
    </row>
    <row r="319" spans="1:16" ht="15" customHeight="1" x14ac:dyDescent="0.35">
      <c r="A319" s="1154"/>
      <c r="B319" s="102" t="s">
        <v>1426</v>
      </c>
      <c r="C319" s="1122"/>
      <c r="D319" s="102"/>
      <c r="E319" s="102"/>
      <c r="F319" s="237"/>
      <c r="G319" s="1225" t="s">
        <v>7</v>
      </c>
      <c r="H319" s="1181"/>
      <c r="I319" s="1182"/>
      <c r="J319" s="1182"/>
      <c r="K319" s="1182"/>
      <c r="L319" s="1157" t="str">
        <f t="shared" si="1"/>
        <v>OTHER 3</v>
      </c>
      <c r="M319" s="237"/>
      <c r="N319" s="237"/>
      <c r="O319" s="237"/>
      <c r="P319" s="946"/>
    </row>
    <row r="320" spans="1:16" ht="15" customHeight="1" x14ac:dyDescent="0.35">
      <c r="A320" s="1154"/>
      <c r="B320" s="102" t="s">
        <v>1427</v>
      </c>
      <c r="C320" s="1122"/>
      <c r="D320" s="102"/>
      <c r="E320" s="102"/>
      <c r="F320" s="237"/>
      <c r="G320" s="1225" t="s">
        <v>7</v>
      </c>
      <c r="H320" s="1181"/>
      <c r="I320" s="1182"/>
      <c r="J320" s="1182"/>
      <c r="K320" s="1182"/>
      <c r="L320" s="1157" t="str">
        <f t="shared" si="1"/>
        <v>OTHER 4</v>
      </c>
      <c r="M320" s="237"/>
      <c r="N320" s="237"/>
      <c r="O320" s="237"/>
      <c r="P320" s="946"/>
    </row>
    <row r="321" spans="1:16" ht="15" customHeight="1" x14ac:dyDescent="0.35">
      <c r="A321" s="1154"/>
      <c r="B321" s="102" t="s">
        <v>1428</v>
      </c>
      <c r="C321" s="1122"/>
      <c r="D321" s="102"/>
      <c r="E321" s="102"/>
      <c r="F321" s="237"/>
      <c r="G321" s="1225" t="s">
        <v>7</v>
      </c>
      <c r="H321" s="1181"/>
      <c r="I321" s="1182"/>
      <c r="J321" s="1182"/>
      <c r="K321" s="1182"/>
      <c r="L321" s="1157" t="str">
        <f t="shared" si="1"/>
        <v>OTHER 5</v>
      </c>
      <c r="M321" s="237"/>
      <c r="N321" s="237"/>
      <c r="O321" s="237"/>
      <c r="P321" s="946"/>
    </row>
    <row r="322" spans="1:16" ht="15" customHeight="1" x14ac:dyDescent="0.35">
      <c r="A322" s="1154"/>
      <c r="B322" s="102" t="s">
        <v>1429</v>
      </c>
      <c r="C322" s="1122"/>
      <c r="D322" s="102"/>
      <c r="E322" s="102"/>
      <c r="F322" s="237"/>
      <c r="G322" s="1225" t="s">
        <v>7</v>
      </c>
      <c r="H322" s="1181"/>
      <c r="I322" s="1182"/>
      <c r="J322" s="1182"/>
      <c r="K322" s="1182"/>
      <c r="L322" s="1157" t="str">
        <f t="shared" si="1"/>
        <v>OTHER 6</v>
      </c>
      <c r="M322" s="237"/>
      <c r="N322" s="237"/>
      <c r="O322" s="237"/>
      <c r="P322" s="946"/>
    </row>
    <row r="323" spans="1:16" ht="15" customHeight="1" x14ac:dyDescent="0.35">
      <c r="A323" s="1154"/>
      <c r="B323" s="102" t="s">
        <v>1430</v>
      </c>
      <c r="C323" s="1122"/>
      <c r="D323" s="102"/>
      <c r="E323" s="102"/>
      <c r="F323" s="237"/>
      <c r="G323" s="1225" t="s">
        <v>7</v>
      </c>
      <c r="H323" s="1181"/>
      <c r="I323" s="1182"/>
      <c r="J323" s="1182"/>
      <c r="K323" s="1182"/>
      <c r="L323" s="1157" t="str">
        <f t="shared" si="1"/>
        <v>OTHER 7</v>
      </c>
      <c r="M323" s="237"/>
      <c r="N323" s="237"/>
      <c r="O323" s="237"/>
      <c r="P323" s="946"/>
    </row>
    <row r="324" spans="1:16" ht="15" customHeight="1" x14ac:dyDescent="0.35">
      <c r="A324" s="1154"/>
      <c r="B324" s="102" t="s">
        <v>1431</v>
      </c>
      <c r="C324" s="1122"/>
      <c r="D324" s="102"/>
      <c r="E324" s="102"/>
      <c r="F324" s="237"/>
      <c r="G324" s="1225" t="s">
        <v>7</v>
      </c>
      <c r="H324" s="1181"/>
      <c r="I324" s="1182"/>
      <c r="J324" s="1182"/>
      <c r="K324" s="1182"/>
      <c r="L324" s="1157" t="str">
        <f t="shared" si="1"/>
        <v>OTHER 8</v>
      </c>
      <c r="M324" s="237"/>
      <c r="N324" s="237"/>
      <c r="O324" s="237"/>
      <c r="P324" s="946"/>
    </row>
    <row r="325" spans="1:16" ht="15" customHeight="1" x14ac:dyDescent="0.35">
      <c r="A325" s="1154"/>
      <c r="B325" s="102" t="s">
        <v>1432</v>
      </c>
      <c r="C325" s="1122"/>
      <c r="D325" s="102"/>
      <c r="E325" s="102"/>
      <c r="F325" s="237"/>
      <c r="G325" s="1225" t="s">
        <v>7</v>
      </c>
      <c r="H325" s="1181"/>
      <c r="I325" s="1182"/>
      <c r="J325" s="1182"/>
      <c r="K325" s="1182"/>
      <c r="L325" s="1157" t="str">
        <f t="shared" si="1"/>
        <v>OTHER 9</v>
      </c>
      <c r="M325" s="237"/>
      <c r="N325" s="237"/>
      <c r="O325" s="237"/>
      <c r="P325" s="946"/>
    </row>
    <row r="326" spans="1:16" ht="15" customHeight="1" x14ac:dyDescent="0.35">
      <c r="A326" s="1154"/>
      <c r="B326" s="102" t="s">
        <v>1433</v>
      </c>
      <c r="C326" s="1122"/>
      <c r="D326" s="102"/>
      <c r="E326" s="102"/>
      <c r="F326" s="237"/>
      <c r="G326" s="1225" t="s">
        <v>7</v>
      </c>
      <c r="H326" s="1181"/>
      <c r="I326" s="1182"/>
      <c r="J326" s="1182"/>
      <c r="K326" s="1182"/>
      <c r="L326" s="1157" t="str">
        <f t="shared" si="1"/>
        <v>OTHER 10</v>
      </c>
      <c r="M326" s="237"/>
      <c r="N326" s="237"/>
      <c r="O326" s="237"/>
      <c r="P326" s="946"/>
    </row>
    <row r="327" spans="1:16" ht="15" customHeight="1" x14ac:dyDescent="0.35">
      <c r="A327" s="1154"/>
      <c r="B327" s="102" t="s">
        <v>1552</v>
      </c>
      <c r="C327" s="1122"/>
      <c r="D327" s="102"/>
      <c r="E327" s="102"/>
      <c r="F327" s="237"/>
      <c r="G327" s="1225" t="s">
        <v>7</v>
      </c>
      <c r="H327" s="1181"/>
      <c r="I327" s="1182"/>
      <c r="J327" s="1182"/>
      <c r="K327" s="1182"/>
      <c r="L327" s="1157" t="str">
        <f t="shared" si="1"/>
        <v>OTHER 11</v>
      </c>
      <c r="M327" s="237"/>
      <c r="N327" s="237"/>
      <c r="O327" s="237"/>
      <c r="P327" s="946"/>
    </row>
    <row r="328" spans="1:16" ht="15" customHeight="1" x14ac:dyDescent="0.35">
      <c r="A328" s="1154"/>
      <c r="B328" s="102" t="s">
        <v>1553</v>
      </c>
      <c r="C328" s="1122"/>
      <c r="D328" s="102"/>
      <c r="E328" s="102"/>
      <c r="F328" s="237"/>
      <c r="G328" s="1225" t="s">
        <v>7</v>
      </c>
      <c r="H328" s="1181"/>
      <c r="I328" s="1182"/>
      <c r="J328" s="1182"/>
      <c r="K328" s="1182"/>
      <c r="L328" s="1157" t="str">
        <f t="shared" si="1"/>
        <v>OTHER 12</v>
      </c>
      <c r="M328" s="237"/>
      <c r="N328" s="237"/>
      <c r="O328" s="237"/>
      <c r="P328" s="946"/>
    </row>
    <row r="329" spans="1:16" ht="15" customHeight="1" x14ac:dyDescent="0.35">
      <c r="A329" s="1154"/>
      <c r="B329" s="102" t="s">
        <v>1554</v>
      </c>
      <c r="C329" s="1122"/>
      <c r="D329" s="102"/>
      <c r="E329" s="102"/>
      <c r="F329" s="237"/>
      <c r="G329" s="1225" t="s">
        <v>7</v>
      </c>
      <c r="H329" s="1181"/>
      <c r="I329" s="1182"/>
      <c r="J329" s="1182"/>
      <c r="K329" s="1182"/>
      <c r="L329" s="1157" t="str">
        <f t="shared" si="1"/>
        <v>OTHER 13</v>
      </c>
      <c r="M329" s="237"/>
      <c r="N329" s="237"/>
      <c r="O329" s="237"/>
      <c r="P329" s="946"/>
    </row>
    <row r="330" spans="1:16" ht="15" customHeight="1" x14ac:dyDescent="0.35">
      <c r="A330" s="1154"/>
      <c r="B330" s="102" t="s">
        <v>1555</v>
      </c>
      <c r="C330" s="1122"/>
      <c r="D330" s="102"/>
      <c r="E330" s="102"/>
      <c r="F330" s="237"/>
      <c r="G330" s="1225" t="s">
        <v>7</v>
      </c>
      <c r="H330" s="1181"/>
      <c r="I330" s="1182"/>
      <c r="J330" s="1182"/>
      <c r="K330" s="1182"/>
      <c r="L330" s="1157" t="str">
        <f t="shared" si="1"/>
        <v>OTHER 14</v>
      </c>
      <c r="M330" s="237"/>
      <c r="N330" s="237"/>
      <c r="O330" s="237"/>
      <c r="P330" s="946"/>
    </row>
    <row r="331" spans="1:16" ht="15" customHeight="1" x14ac:dyDescent="0.35">
      <c r="A331" s="1154"/>
      <c r="B331" s="102" t="s">
        <v>1556</v>
      </c>
      <c r="C331" s="1122"/>
      <c r="D331" s="102"/>
      <c r="E331" s="102"/>
      <c r="F331" s="237"/>
      <c r="G331" s="1225" t="s">
        <v>7</v>
      </c>
      <c r="H331" s="1181"/>
      <c r="I331" s="1182"/>
      <c r="J331" s="1182"/>
      <c r="K331" s="1182"/>
      <c r="L331" s="1157" t="str">
        <f t="shared" si="1"/>
        <v>OTHER 15</v>
      </c>
      <c r="M331" s="237"/>
      <c r="N331" s="237"/>
      <c r="O331" s="237"/>
      <c r="P331" s="946"/>
    </row>
    <row r="332" spans="1:16" ht="15" customHeight="1" x14ac:dyDescent="0.35">
      <c r="A332" s="1154"/>
      <c r="B332" s="102" t="s">
        <v>1557</v>
      </c>
      <c r="C332" s="1122"/>
      <c r="D332" s="102"/>
      <c r="E332" s="102"/>
      <c r="F332" s="237"/>
      <c r="G332" s="1225" t="s">
        <v>7</v>
      </c>
      <c r="H332" s="1181"/>
      <c r="I332" s="1182"/>
      <c r="J332" s="1182"/>
      <c r="K332" s="1182"/>
      <c r="L332" s="1157" t="str">
        <f t="shared" si="1"/>
        <v>OTHER 16</v>
      </c>
      <c r="M332" s="237"/>
      <c r="N332" s="237"/>
      <c r="O332" s="237"/>
      <c r="P332" s="946"/>
    </row>
    <row r="333" spans="1:16" ht="15" customHeight="1" x14ac:dyDescent="0.35">
      <c r="A333" s="1154"/>
      <c r="B333" s="102" t="s">
        <v>1558</v>
      </c>
      <c r="C333" s="1122"/>
      <c r="D333" s="102"/>
      <c r="E333" s="102"/>
      <c r="F333" s="237"/>
      <c r="G333" s="1225" t="s">
        <v>7</v>
      </c>
      <c r="H333" s="1181"/>
      <c r="I333" s="1182"/>
      <c r="J333" s="1182"/>
      <c r="K333" s="1182"/>
      <c r="L333" s="1157" t="str">
        <f t="shared" si="1"/>
        <v>OTHER 17</v>
      </c>
      <c r="M333" s="237"/>
      <c r="N333" s="237"/>
      <c r="O333" s="237"/>
      <c r="P333" s="946"/>
    </row>
    <row r="334" spans="1:16" ht="15" customHeight="1" x14ac:dyDescent="0.35">
      <c r="A334" s="1154"/>
      <c r="B334" s="102" t="s">
        <v>1559</v>
      </c>
      <c r="C334" s="1122"/>
      <c r="D334" s="102"/>
      <c r="E334" s="102"/>
      <c r="F334" s="237"/>
      <c r="G334" s="1225" t="s">
        <v>7</v>
      </c>
      <c r="H334" s="1181"/>
      <c r="I334" s="1182"/>
      <c r="J334" s="1182"/>
      <c r="K334" s="1182"/>
      <c r="L334" s="1157" t="str">
        <f t="shared" si="1"/>
        <v>OTHER 18</v>
      </c>
      <c r="M334" s="237"/>
      <c r="N334" s="237"/>
      <c r="O334" s="237"/>
      <c r="P334" s="946"/>
    </row>
    <row r="335" spans="1:16" ht="15" customHeight="1" x14ac:dyDescent="0.35">
      <c r="A335" s="1154"/>
      <c r="B335" s="102" t="s">
        <v>1560</v>
      </c>
      <c r="C335" s="1122"/>
      <c r="D335" s="102"/>
      <c r="E335" s="102"/>
      <c r="F335" s="237"/>
      <c r="G335" s="1225" t="s">
        <v>7</v>
      </c>
      <c r="H335" s="1181"/>
      <c r="I335" s="1182"/>
      <c r="J335" s="1182"/>
      <c r="K335" s="1182"/>
      <c r="L335" s="1157" t="str">
        <f t="shared" si="1"/>
        <v>OTHER 19</v>
      </c>
      <c r="M335" s="237"/>
      <c r="N335" s="237"/>
      <c r="O335" s="237"/>
      <c r="P335" s="946"/>
    </row>
    <row r="336" spans="1:16" ht="15" customHeight="1" x14ac:dyDescent="0.35">
      <c r="A336" s="1154"/>
      <c r="B336" s="102" t="s">
        <v>1561</v>
      </c>
      <c r="C336" s="1122"/>
      <c r="D336" s="102"/>
      <c r="E336" s="102"/>
      <c r="F336" s="237"/>
      <c r="G336" s="1225" t="s">
        <v>7</v>
      </c>
      <c r="H336" s="1181"/>
      <c r="I336" s="1182"/>
      <c r="J336" s="1182"/>
      <c r="K336" s="1182"/>
      <c r="L336" s="1157" t="str">
        <f t="shared" si="1"/>
        <v>OTHER 20</v>
      </c>
      <c r="M336" s="237"/>
      <c r="N336" s="237"/>
      <c r="O336" s="237"/>
      <c r="P336" s="946"/>
    </row>
    <row r="337" spans="1:16" ht="15" customHeight="1" x14ac:dyDescent="0.35">
      <c r="A337" s="1154"/>
      <c r="B337" s="102" t="s">
        <v>1562</v>
      </c>
      <c r="C337" s="1122"/>
      <c r="D337" s="102"/>
      <c r="E337" s="102"/>
      <c r="F337" s="237"/>
      <c r="G337" s="1225" t="s">
        <v>7</v>
      </c>
      <c r="H337" s="1181"/>
      <c r="I337" s="1182"/>
      <c r="J337" s="1182"/>
      <c r="K337" s="1182"/>
      <c r="L337" s="1157" t="str">
        <f t="shared" si="1"/>
        <v>OTHER 21</v>
      </c>
      <c r="M337" s="237"/>
      <c r="N337" s="237"/>
      <c r="O337" s="237"/>
      <c r="P337" s="946"/>
    </row>
    <row r="338" spans="1:16" ht="15" customHeight="1" x14ac:dyDescent="0.35">
      <c r="A338" s="1154"/>
      <c r="B338" s="102" t="s">
        <v>1563</v>
      </c>
      <c r="C338" s="1122"/>
      <c r="D338" s="102"/>
      <c r="E338" s="102"/>
      <c r="F338" s="237"/>
      <c r="G338" s="1225" t="s">
        <v>7</v>
      </c>
      <c r="H338" s="1181"/>
      <c r="I338" s="1182"/>
      <c r="J338" s="1182"/>
      <c r="K338" s="1182"/>
      <c r="L338" s="1157" t="str">
        <f t="shared" si="1"/>
        <v>OTHER 22</v>
      </c>
      <c r="M338" s="237"/>
      <c r="N338" s="237"/>
      <c r="O338" s="237"/>
      <c r="P338" s="946"/>
    </row>
    <row r="339" spans="1:16" ht="15" customHeight="1" x14ac:dyDescent="0.35">
      <c r="A339" s="1154"/>
      <c r="B339" s="102" t="s">
        <v>1564</v>
      </c>
      <c r="C339" s="1122"/>
      <c r="D339" s="102"/>
      <c r="E339" s="102"/>
      <c r="F339" s="237"/>
      <c r="G339" s="1225" t="s">
        <v>7</v>
      </c>
      <c r="H339" s="1181"/>
      <c r="I339" s="1182"/>
      <c r="J339" s="1182"/>
      <c r="K339" s="1182"/>
      <c r="L339" s="1157" t="str">
        <f t="shared" si="1"/>
        <v>OTHER 23</v>
      </c>
      <c r="M339" s="237"/>
      <c r="N339" s="237"/>
      <c r="O339" s="237"/>
      <c r="P339" s="946"/>
    </row>
    <row r="340" spans="1:16" ht="15" customHeight="1" x14ac:dyDescent="0.35">
      <c r="A340" s="1154"/>
      <c r="B340" s="102" t="s">
        <v>1565</v>
      </c>
      <c r="C340" s="1122"/>
      <c r="D340" s="102"/>
      <c r="E340" s="102"/>
      <c r="F340" s="237"/>
      <c r="G340" s="1225" t="s">
        <v>7</v>
      </c>
      <c r="H340" s="1181"/>
      <c r="I340" s="1182"/>
      <c r="J340" s="1182"/>
      <c r="K340" s="1182"/>
      <c r="L340" s="1157" t="str">
        <f t="shared" si="1"/>
        <v>OTHER 24</v>
      </c>
      <c r="M340" s="237"/>
      <c r="N340" s="237"/>
      <c r="O340" s="237"/>
      <c r="P340" s="946"/>
    </row>
    <row r="341" spans="1:16" ht="15" customHeight="1" x14ac:dyDescent="0.35">
      <c r="A341" s="1154"/>
      <c r="B341" s="102" t="s">
        <v>1566</v>
      </c>
      <c r="C341" s="1122"/>
      <c r="D341" s="102"/>
      <c r="E341" s="102"/>
      <c r="F341" s="237"/>
      <c r="G341" s="1225" t="s">
        <v>7</v>
      </c>
      <c r="H341" s="1181"/>
      <c r="I341" s="1182"/>
      <c r="J341" s="1182"/>
      <c r="K341" s="1182"/>
      <c r="L341" s="1157" t="str">
        <f t="shared" si="1"/>
        <v>OTHER 25</v>
      </c>
      <c r="M341" s="237"/>
      <c r="N341" s="237"/>
      <c r="O341" s="237"/>
      <c r="P341" s="946"/>
    </row>
    <row r="342" spans="1:16" ht="15" customHeight="1" x14ac:dyDescent="0.35">
      <c r="A342" s="1154"/>
      <c r="B342" s="102" t="s">
        <v>1567</v>
      </c>
      <c r="C342" s="1122"/>
      <c r="D342" s="102"/>
      <c r="E342" s="102"/>
      <c r="F342" s="237"/>
      <c r="G342" s="1225" t="s">
        <v>7</v>
      </c>
      <c r="H342" s="1181"/>
      <c r="I342" s="1182"/>
      <c r="J342" s="1182"/>
      <c r="K342" s="1182"/>
      <c r="L342" s="1157" t="str">
        <f t="shared" si="1"/>
        <v>OTHER 26</v>
      </c>
      <c r="M342" s="237"/>
      <c r="N342" s="237"/>
      <c r="O342" s="237"/>
      <c r="P342" s="946"/>
    </row>
    <row r="343" spans="1:16" ht="15" customHeight="1" x14ac:dyDescent="0.35">
      <c r="A343" s="1154"/>
      <c r="B343" s="102" t="s">
        <v>1568</v>
      </c>
      <c r="C343" s="1122"/>
      <c r="D343" s="102"/>
      <c r="E343" s="102"/>
      <c r="F343" s="237"/>
      <c r="G343" s="1225" t="s">
        <v>7</v>
      </c>
      <c r="H343" s="1181"/>
      <c r="I343" s="1182"/>
      <c r="J343" s="1182"/>
      <c r="K343" s="1182"/>
      <c r="L343" s="1157" t="str">
        <f t="shared" si="1"/>
        <v>OTHER 27</v>
      </c>
      <c r="M343" s="237"/>
      <c r="N343" s="237"/>
      <c r="O343" s="237"/>
      <c r="P343" s="946"/>
    </row>
    <row r="344" spans="1:16" ht="15" customHeight="1" x14ac:dyDescent="0.35">
      <c r="A344" s="1154"/>
      <c r="B344" s="102" t="s">
        <v>1569</v>
      </c>
      <c r="C344" s="1122"/>
      <c r="D344" s="102"/>
      <c r="E344" s="102"/>
      <c r="F344" s="237"/>
      <c r="G344" s="1225" t="s">
        <v>7</v>
      </c>
      <c r="H344" s="1181"/>
      <c r="I344" s="1182"/>
      <c r="J344" s="1182"/>
      <c r="K344" s="1182"/>
      <c r="L344" s="1157" t="str">
        <f t="shared" si="1"/>
        <v>OTHER 28</v>
      </c>
      <c r="M344" s="237"/>
      <c r="N344" s="237"/>
      <c r="O344" s="237"/>
      <c r="P344" s="946"/>
    </row>
    <row r="345" spans="1:16" ht="15" customHeight="1" x14ac:dyDescent="0.35">
      <c r="A345" s="1154"/>
      <c r="B345" s="102" t="s">
        <v>1570</v>
      </c>
      <c r="C345" s="1122"/>
      <c r="D345" s="102"/>
      <c r="E345" s="102"/>
      <c r="F345" s="237"/>
      <c r="G345" s="1225" t="s">
        <v>7</v>
      </c>
      <c r="H345" s="1181"/>
      <c r="I345" s="1182"/>
      <c r="J345" s="1182"/>
      <c r="K345" s="1182"/>
      <c r="L345" s="1157" t="str">
        <f t="shared" si="1"/>
        <v>OTHER 29</v>
      </c>
      <c r="M345" s="237"/>
      <c r="N345" s="237"/>
      <c r="O345" s="237"/>
      <c r="P345" s="946"/>
    </row>
    <row r="346" spans="1:16" ht="15" customHeight="1" x14ac:dyDescent="0.35">
      <c r="A346" s="1154"/>
      <c r="B346" s="159" t="s">
        <v>1571</v>
      </c>
      <c r="C346" s="1123"/>
      <c r="D346" s="1140"/>
      <c r="E346" s="1140"/>
      <c r="F346" s="200"/>
      <c r="G346" s="1226" t="s">
        <v>7</v>
      </c>
      <c r="H346" s="1183"/>
      <c r="I346" s="1184"/>
      <c r="J346" s="1184"/>
      <c r="K346" s="1184"/>
      <c r="L346" s="1158" t="str">
        <f t="shared" si="1"/>
        <v>OTHER 30</v>
      </c>
      <c r="M346" s="200"/>
      <c r="N346" s="200"/>
      <c r="O346" s="200"/>
      <c r="P346" s="946"/>
    </row>
    <row r="347" spans="1:16" ht="15" customHeight="1" x14ac:dyDescent="0.35">
      <c r="A347" s="259"/>
      <c r="B347" s="1113"/>
      <c r="C347" s="278"/>
      <c r="D347" s="278"/>
      <c r="E347" s="278"/>
      <c r="F347" s="278"/>
      <c r="G347" s="85"/>
      <c r="H347" s="85"/>
      <c r="I347" s="85"/>
      <c r="J347" s="85"/>
      <c r="K347" s="85"/>
      <c r="L347" s="85"/>
      <c r="M347" s="85"/>
      <c r="N347" s="85"/>
      <c r="O347" s="85"/>
      <c r="P347" s="279"/>
    </row>
    <row r="348" spans="1:16" ht="15" customHeight="1" x14ac:dyDescent="0.35">
      <c r="A348" s="265"/>
      <c r="B348" s="2752"/>
      <c r="C348" s="2766"/>
      <c r="D348" s="2766"/>
      <c r="E348" s="2750"/>
      <c r="F348" s="1082" t="s">
        <v>1039</v>
      </c>
      <c r="G348" s="761"/>
      <c r="H348" s="761"/>
      <c r="I348" s="761"/>
      <c r="J348" s="761"/>
      <c r="K348" s="761"/>
      <c r="L348" s="85"/>
      <c r="M348" s="85"/>
      <c r="N348" s="85"/>
      <c r="O348" s="85"/>
      <c r="P348" s="279"/>
    </row>
    <row r="349" spans="1:16" ht="15" customHeight="1" x14ac:dyDescent="0.35">
      <c r="A349" s="265"/>
      <c r="B349" s="1246" t="s">
        <v>1572</v>
      </c>
      <c r="C349" s="1247"/>
      <c r="D349" s="1247"/>
      <c r="E349" s="1247"/>
      <c r="F349" s="1248" t="str">
        <f>IF(AND(ISNUMBER(F350), ISNUMBER(F354), ISNUMBER(F358)), SUM(F350, F354, F358), "")</f>
        <v/>
      </c>
      <c r="G349" s="761"/>
      <c r="H349" s="761"/>
      <c r="I349" s="761"/>
      <c r="J349" s="761"/>
      <c r="K349" s="761"/>
      <c r="L349" s="85"/>
      <c r="M349" s="85"/>
      <c r="N349" s="85"/>
      <c r="O349" s="85"/>
      <c r="P349" s="279"/>
    </row>
    <row r="350" spans="1:16" ht="15" customHeight="1" x14ac:dyDescent="0.35">
      <c r="A350" s="265"/>
      <c r="B350" s="164" t="s">
        <v>1144</v>
      </c>
      <c r="C350" s="1186"/>
      <c r="D350" s="1186"/>
      <c r="E350" s="1186"/>
      <c r="F350" s="80" t="str">
        <f>IF(AND(ISNUMBER(F351), ISNUMBER(F352), ISNUMBER(F353)), IF($I$4="Medium", F351, IF($I$4="High", F352, IF($I$4="Low", F353, ""))), "")</f>
        <v/>
      </c>
      <c r="G350" s="85"/>
      <c r="H350" s="85"/>
      <c r="I350" s="85"/>
      <c r="J350" s="85"/>
      <c r="K350" s="85"/>
      <c r="L350" s="85"/>
      <c r="N350" s="85"/>
      <c r="O350" s="85"/>
      <c r="P350" s="315"/>
    </row>
    <row r="351" spans="1:16" ht="15" customHeight="1" x14ac:dyDescent="0.35">
      <c r="A351" s="265"/>
      <c r="B351" s="1245" t="s">
        <v>1368</v>
      </c>
      <c r="C351" s="132"/>
      <c r="D351" s="132"/>
      <c r="E351" s="132"/>
      <c r="F351" s="292"/>
      <c r="G351" s="85"/>
      <c r="H351" s="85"/>
      <c r="I351" s="85"/>
      <c r="J351" s="85"/>
      <c r="K351" s="85"/>
      <c r="L351" s="85"/>
      <c r="N351" s="85"/>
      <c r="O351" s="85"/>
      <c r="P351" s="315"/>
    </row>
    <row r="352" spans="1:16" ht="15" customHeight="1" x14ac:dyDescent="0.35">
      <c r="A352" s="265"/>
      <c r="B352" s="1245" t="s">
        <v>1369</v>
      </c>
      <c r="C352" s="132"/>
      <c r="D352" s="132"/>
      <c r="E352" s="132"/>
      <c r="F352" s="292"/>
      <c r="K352" s="85"/>
      <c r="L352" s="85"/>
      <c r="N352" s="85"/>
      <c r="O352" s="85"/>
      <c r="P352" s="315"/>
    </row>
    <row r="353" spans="1:16" ht="15" customHeight="1" x14ac:dyDescent="0.35">
      <c r="A353" s="265"/>
      <c r="B353" s="1245" t="s">
        <v>1370</v>
      </c>
      <c r="C353" s="132"/>
      <c r="D353" s="132"/>
      <c r="E353" s="132"/>
      <c r="F353" s="292"/>
      <c r="K353" s="85"/>
      <c r="L353" s="85"/>
      <c r="N353" s="85"/>
      <c r="O353" s="85"/>
      <c r="P353" s="315"/>
    </row>
    <row r="354" spans="1:16" ht="15" customHeight="1" x14ac:dyDescent="0.35">
      <c r="A354" s="265"/>
      <c r="B354" s="270" t="s">
        <v>1150</v>
      </c>
      <c r="C354" s="1124"/>
      <c r="D354" s="1124"/>
      <c r="E354" s="1124"/>
      <c r="F354" s="80" t="str">
        <f>IF(AND(ISNUMBER(F355), ISNUMBER(F356), ISNUMBER(F357)), IF($I$4="Medium", F355, IF($I$4="High", F356, IF($I$4="Low", F357, ""))), "")</f>
        <v/>
      </c>
      <c r="K354" s="85"/>
      <c r="L354" s="85"/>
      <c r="N354" s="85"/>
      <c r="O354" s="85"/>
      <c r="P354" s="315"/>
    </row>
    <row r="355" spans="1:16" ht="15" customHeight="1" x14ac:dyDescent="0.35">
      <c r="A355" s="265"/>
      <c r="B355" s="1245" t="s">
        <v>1368</v>
      </c>
      <c r="C355" s="132"/>
      <c r="D355" s="132"/>
      <c r="E355" s="132"/>
      <c r="F355" s="292"/>
      <c r="K355" s="85"/>
      <c r="L355" s="85"/>
      <c r="N355" s="85"/>
      <c r="O355" s="85"/>
      <c r="P355" s="315"/>
    </row>
    <row r="356" spans="1:16" ht="15" customHeight="1" x14ac:dyDescent="0.35">
      <c r="A356" s="265"/>
      <c r="B356" s="1245" t="s">
        <v>1369</v>
      </c>
      <c r="C356" s="132"/>
      <c r="D356" s="132"/>
      <c r="E356" s="132"/>
      <c r="F356" s="292"/>
      <c r="K356" s="85"/>
      <c r="L356" s="85"/>
      <c r="N356" s="85"/>
      <c r="O356" s="85"/>
      <c r="P356" s="315"/>
    </row>
    <row r="357" spans="1:16" ht="15" customHeight="1" x14ac:dyDescent="0.35">
      <c r="A357" s="265"/>
      <c r="B357" s="1245" t="s">
        <v>1370</v>
      </c>
      <c r="C357" s="132"/>
      <c r="D357" s="132"/>
      <c r="E357" s="132"/>
      <c r="F357" s="292"/>
      <c r="K357" s="85"/>
      <c r="L357" s="85"/>
      <c r="N357" s="85"/>
      <c r="O357" s="85"/>
      <c r="P357" s="315"/>
    </row>
    <row r="358" spans="1:16" ht="15" customHeight="1" x14ac:dyDescent="0.35">
      <c r="A358" s="265"/>
      <c r="B358" s="270" t="s">
        <v>1151</v>
      </c>
      <c r="C358" s="1124"/>
      <c r="D358" s="1124"/>
      <c r="E358" s="1124"/>
      <c r="F358" s="80" t="str">
        <f>IF(AND(ISNUMBER(F359), ISNUMBER(F360), ISNUMBER(F361)), IF($I$4="Medium", F359, IF($I$4="High", F360, IF($I$4="Low", F361, ""))), "")</f>
        <v/>
      </c>
      <c r="K358" s="85"/>
      <c r="L358" s="85"/>
      <c r="N358" s="85"/>
      <c r="O358" s="85"/>
      <c r="P358" s="315"/>
    </row>
    <row r="359" spans="1:16" ht="15" customHeight="1" x14ac:dyDescent="0.35">
      <c r="A359" s="265"/>
      <c r="B359" s="1245" t="s">
        <v>1368</v>
      </c>
      <c r="C359" s="132"/>
      <c r="D359" s="132"/>
      <c r="E359" s="132"/>
      <c r="F359" s="292"/>
      <c r="G359" s="85"/>
      <c r="I359" s="85"/>
      <c r="J359" s="85"/>
      <c r="K359" s="85"/>
      <c r="L359" s="85"/>
      <c r="N359" s="85"/>
      <c r="O359" s="85"/>
      <c r="P359" s="315"/>
    </row>
    <row r="360" spans="1:16" ht="15" customHeight="1" x14ac:dyDescent="0.35">
      <c r="A360" s="265"/>
      <c r="B360" s="1245" t="s">
        <v>1369</v>
      </c>
      <c r="C360" s="132"/>
      <c r="D360" s="132"/>
      <c r="E360" s="132"/>
      <c r="F360" s="292"/>
      <c r="G360" s="85"/>
      <c r="I360" s="85"/>
      <c r="J360" s="85"/>
      <c r="K360" s="85"/>
      <c r="L360" s="85"/>
      <c r="N360" s="85"/>
      <c r="O360" s="85"/>
      <c r="P360" s="315"/>
    </row>
    <row r="361" spans="1:16" ht="15" customHeight="1" x14ac:dyDescent="0.35">
      <c r="A361" s="265"/>
      <c r="B361" s="1063" t="s">
        <v>1370</v>
      </c>
      <c r="C361" s="218"/>
      <c r="D361" s="218"/>
      <c r="E361" s="218"/>
      <c r="F361" s="420"/>
      <c r="G361" s="85"/>
      <c r="H361" s="85"/>
      <c r="I361" s="85"/>
      <c r="J361" s="85"/>
      <c r="K361" s="85"/>
      <c r="L361" s="85"/>
      <c r="N361" s="85"/>
      <c r="O361" s="85"/>
      <c r="P361" s="315"/>
    </row>
    <row r="362" spans="1:16" ht="15" customHeight="1" x14ac:dyDescent="0.35">
      <c r="A362" s="729"/>
      <c r="B362" s="278"/>
      <c r="C362" s="278"/>
      <c r="D362" s="278"/>
      <c r="E362" s="278"/>
      <c r="F362" s="278"/>
      <c r="G362" s="278"/>
      <c r="H362" s="278"/>
      <c r="I362" s="278"/>
      <c r="J362" s="278"/>
      <c r="K362" s="278"/>
      <c r="L362" s="278"/>
      <c r="M362" s="278"/>
      <c r="N362" s="278"/>
      <c r="O362" s="278"/>
      <c r="P362" s="875"/>
    </row>
    <row r="363" spans="1:16" ht="45" customHeight="1" x14ac:dyDescent="0.35">
      <c r="A363" s="280" t="s">
        <v>1573</v>
      </c>
      <c r="B363" s="1141"/>
      <c r="C363" s="1142"/>
      <c r="D363" s="1142"/>
      <c r="E363" s="1142"/>
      <c r="F363" s="1142"/>
      <c r="G363" s="1142"/>
      <c r="H363" s="1142"/>
      <c r="I363" s="1142"/>
      <c r="J363" s="1142"/>
      <c r="K363" s="1142"/>
      <c r="L363" s="1142"/>
      <c r="M363" s="1142"/>
      <c r="N363" s="1142"/>
      <c r="O363" s="1142"/>
      <c r="P363" s="1190"/>
    </row>
    <row r="364" spans="1:16" ht="15" customHeight="1" x14ac:dyDescent="0.35">
      <c r="A364" s="265"/>
      <c r="B364" s="2752"/>
      <c r="C364" s="2766"/>
      <c r="D364" s="2766"/>
      <c r="E364" s="2750"/>
      <c r="F364" s="1082" t="s">
        <v>1039</v>
      </c>
      <c r="G364" s="770" t="s">
        <v>1574</v>
      </c>
      <c r="H364" s="3130" t="s">
        <v>1575</v>
      </c>
      <c r="I364" s="3130"/>
      <c r="J364" s="3130"/>
      <c r="K364" s="3130"/>
      <c r="L364" s="3130"/>
      <c r="M364" s="85"/>
      <c r="N364" s="85"/>
      <c r="O364" s="85"/>
      <c r="P364" s="279"/>
    </row>
    <row r="365" spans="1:16" ht="15" customHeight="1" x14ac:dyDescent="0.35">
      <c r="A365" s="265"/>
      <c r="B365" s="132" t="s">
        <v>1576</v>
      </c>
      <c r="C365" s="1124"/>
      <c r="D365" s="1124"/>
      <c r="E365" s="1124"/>
      <c r="F365" s="443"/>
      <c r="G365" s="46"/>
      <c r="H365" s="521"/>
      <c r="I365" s="1255"/>
      <c r="J365" s="1255"/>
      <c r="K365" s="1255"/>
      <c r="L365" s="1255"/>
      <c r="N365" s="85"/>
      <c r="O365" s="85"/>
      <c r="P365" s="315"/>
    </row>
    <row r="366" spans="1:16" ht="15" customHeight="1" x14ac:dyDescent="0.35">
      <c r="A366" s="265"/>
      <c r="B366" s="270" t="s">
        <v>1577</v>
      </c>
      <c r="C366" s="132"/>
      <c r="D366" s="132"/>
      <c r="E366" s="132"/>
      <c r="F366" s="292"/>
      <c r="G366" s="46"/>
      <c r="H366" s="178"/>
      <c r="I366" s="531"/>
      <c r="J366" s="74"/>
      <c r="K366" s="74"/>
      <c r="L366" s="74"/>
      <c r="N366" s="85"/>
      <c r="O366" s="85"/>
      <c r="P366" s="315"/>
    </row>
    <row r="367" spans="1:16" ht="15" customHeight="1" x14ac:dyDescent="0.35">
      <c r="A367" s="265"/>
      <c r="B367" s="270" t="s">
        <v>891</v>
      </c>
      <c r="C367" s="132"/>
      <c r="D367" s="132"/>
      <c r="E367" s="132"/>
      <c r="F367" s="292"/>
      <c r="G367" s="46"/>
      <c r="H367" s="178"/>
      <c r="I367" s="531"/>
      <c r="J367" s="74"/>
      <c r="K367" s="74"/>
      <c r="L367" s="74"/>
      <c r="N367" s="85"/>
      <c r="O367" s="85"/>
      <c r="P367" s="315"/>
    </row>
    <row r="368" spans="1:16" ht="15" customHeight="1" x14ac:dyDescent="0.35">
      <c r="A368" s="265"/>
      <c r="B368" s="270" t="s">
        <v>1578</v>
      </c>
      <c r="C368" s="132"/>
      <c r="D368" s="132"/>
      <c r="E368" s="132"/>
      <c r="F368" s="292"/>
      <c r="G368" s="46"/>
      <c r="H368" s="178"/>
      <c r="I368" s="531"/>
      <c r="J368" s="74"/>
      <c r="K368" s="74"/>
      <c r="L368" s="74"/>
      <c r="N368" s="85"/>
      <c r="O368" s="85"/>
      <c r="P368" s="315"/>
    </row>
    <row r="369" spans="1:16" ht="15" customHeight="1" x14ac:dyDescent="0.35">
      <c r="A369" s="265"/>
      <c r="B369" s="132" t="s">
        <v>1579</v>
      </c>
      <c r="C369" s="1124"/>
      <c r="D369" s="1124"/>
      <c r="E369" s="1124"/>
      <c r="F369" s="292"/>
      <c r="G369" s="46"/>
      <c r="H369" s="178"/>
      <c r="I369" s="531"/>
      <c r="J369" s="74"/>
      <c r="K369" s="74"/>
      <c r="L369" s="74"/>
      <c r="N369" s="85"/>
      <c r="O369" s="85"/>
      <c r="P369" s="315"/>
    </row>
    <row r="370" spans="1:16" ht="15" customHeight="1" x14ac:dyDescent="0.35">
      <c r="A370" s="265"/>
      <c r="B370" s="218" t="s">
        <v>1580</v>
      </c>
      <c r="C370" s="218"/>
      <c r="D370" s="218"/>
      <c r="E370" s="218"/>
      <c r="F370" s="420"/>
      <c r="G370" s="46"/>
      <c r="H370" s="235"/>
      <c r="I370" s="246"/>
      <c r="J370" s="907"/>
      <c r="K370" s="907"/>
      <c r="L370" s="907"/>
      <c r="N370" s="85"/>
      <c r="O370" s="85"/>
      <c r="P370" s="315"/>
    </row>
    <row r="371" spans="1:16" ht="15" customHeight="1" x14ac:dyDescent="0.35">
      <c r="A371" s="1344"/>
      <c r="B371" s="1316" t="s">
        <v>59</v>
      </c>
      <c r="C371" s="1316"/>
      <c r="D371" s="1316"/>
      <c r="E371" s="1316"/>
      <c r="F371" s="1317" t="str">
        <f>IF(AND(ISNUMBER(F366), ISNUMBER(F367), ISNUMBER(F368), ISNUMBER(F369), ISNUMBER(F370)), F366+F367+F368+F369+F370, "")</f>
        <v/>
      </c>
      <c r="G371" s="1318" t="str">
        <f>IF(ISNUMBER(TB!G86), TB!G86, "")</f>
        <v/>
      </c>
      <c r="H371" s="3129" t="str">
        <f>IF(OR(F371=0, F371="", G371=0, G371=""), "", IF(AND('General Info'!$D$48="Yes", 'General Info'!$D$49="No"), IF(ABS((F371/G371)-1)&lt;0.001, "Pass", IF(ABS((F371/G371)-1)&lt;0.05, "DRC requirement discrepancy between TB and TBRC ≥ 0.1%", "Critical: DRC requirement discrepancy between TB and TBRC ≥ 5%")), IF(F371&gt;=G371, "Pass", "DRC requirement for global portfolio &gt; DRC for SA portfolio")))</f>
        <v/>
      </c>
      <c r="I371" s="3129"/>
      <c r="J371" s="3129"/>
      <c r="K371" s="3129"/>
      <c r="L371" s="3129"/>
      <c r="N371" s="85"/>
      <c r="O371" s="85"/>
      <c r="P371" s="315"/>
    </row>
    <row r="372" spans="1:16" ht="45" customHeight="1" x14ac:dyDescent="0.35">
      <c r="A372" s="280" t="s">
        <v>1581</v>
      </c>
      <c r="B372" s="1159"/>
      <c r="C372" s="85"/>
      <c r="D372" s="85"/>
      <c r="E372" s="85"/>
      <c r="F372" s="85"/>
      <c r="G372" s="85"/>
      <c r="H372" s="85"/>
      <c r="I372" s="85"/>
      <c r="J372" s="85"/>
      <c r="K372" s="85"/>
      <c r="L372" s="85"/>
      <c r="M372" s="85"/>
      <c r="N372" s="85"/>
      <c r="O372" s="85"/>
      <c r="P372" s="279"/>
    </row>
    <row r="373" spans="1:16" ht="15" customHeight="1" x14ac:dyDescent="0.35">
      <c r="A373" s="280"/>
      <c r="B373" s="497" t="str">
        <f>Parameters!B396</f>
        <v>Are claims on sovereigns, public sector entities and multilateral development banks expected to be subject to a zero default risk weight per the national discretion in MAR22.7?</v>
      </c>
      <c r="C373" s="464"/>
      <c r="D373" s="464"/>
      <c r="E373" s="464"/>
      <c r="F373" s="464"/>
      <c r="G373" s="464"/>
      <c r="H373" s="464"/>
      <c r="I373" s="1395" t="str">
        <f>Parameters!F396</f>
        <v>No</v>
      </c>
      <c r="J373" s="85"/>
      <c r="K373" s="85"/>
      <c r="L373" s="85"/>
      <c r="M373" s="85"/>
      <c r="N373" s="85"/>
      <c r="O373" s="85"/>
      <c r="P373" s="279"/>
    </row>
    <row r="374" spans="1:16" ht="15" customHeight="1" x14ac:dyDescent="0.35">
      <c r="A374" s="280"/>
      <c r="B374" s="159" t="s">
        <v>1582</v>
      </c>
      <c r="C374" s="101"/>
      <c r="D374" s="101"/>
      <c r="E374" s="101"/>
      <c r="F374" s="101"/>
      <c r="G374" s="101"/>
      <c r="H374" s="101"/>
      <c r="I374" s="226"/>
      <c r="J374" s="85"/>
      <c r="K374" s="85"/>
      <c r="L374" s="85"/>
      <c r="M374" s="85"/>
      <c r="N374" s="85"/>
      <c r="O374" s="85"/>
      <c r="P374" s="279"/>
    </row>
    <row r="375" spans="1:16" ht="15" customHeight="1" x14ac:dyDescent="0.35">
      <c r="A375" s="280"/>
      <c r="B375" s="1159"/>
      <c r="C375" s="85"/>
      <c r="D375" s="85"/>
      <c r="E375" s="85"/>
      <c r="F375" s="278"/>
      <c r="G375" s="85"/>
      <c r="H375" s="85"/>
      <c r="I375" s="85"/>
      <c r="J375" s="85"/>
      <c r="K375" s="85"/>
      <c r="L375" s="85"/>
      <c r="M375" s="85"/>
      <c r="N375" s="85"/>
      <c r="O375" s="85"/>
      <c r="P375" s="279"/>
    </row>
    <row r="376" spans="1:16" ht="15" customHeight="1" x14ac:dyDescent="0.35">
      <c r="A376" s="265"/>
      <c r="B376" s="2789" t="s">
        <v>1583</v>
      </c>
      <c r="C376" s="2789"/>
      <c r="D376" s="2789"/>
      <c r="E376" s="2789"/>
      <c r="F376" s="3088" t="s">
        <v>903</v>
      </c>
      <c r="G376" s="3089"/>
      <c r="H376" s="3090" t="s">
        <v>891</v>
      </c>
      <c r="I376" s="3089"/>
      <c r="J376" s="3090" t="s">
        <v>1578</v>
      </c>
      <c r="K376" s="3091"/>
      <c r="L376" s="85"/>
      <c r="N376" s="85"/>
      <c r="O376" s="85"/>
      <c r="P376" s="315"/>
    </row>
    <row r="377" spans="1:16" ht="15" customHeight="1" x14ac:dyDescent="0.35">
      <c r="A377" s="265"/>
      <c r="B377" s="2794"/>
      <c r="C377" s="2794"/>
      <c r="D377" s="2794"/>
      <c r="E377" s="2794"/>
      <c r="F377" s="1160" t="s">
        <v>1584</v>
      </c>
      <c r="G377" s="1168" t="s">
        <v>1585</v>
      </c>
      <c r="H377" s="1167" t="s">
        <v>1584</v>
      </c>
      <c r="I377" s="1168" t="s">
        <v>1585</v>
      </c>
      <c r="J377" s="1167" t="s">
        <v>1584</v>
      </c>
      <c r="K377" s="1118" t="s">
        <v>1585</v>
      </c>
      <c r="L377" s="85"/>
      <c r="N377" s="85"/>
      <c r="O377" s="85"/>
      <c r="P377" s="315"/>
    </row>
    <row r="378" spans="1:16" ht="15" customHeight="1" x14ac:dyDescent="0.35">
      <c r="A378" s="265"/>
      <c r="B378" s="482" t="s">
        <v>1586</v>
      </c>
      <c r="C378" s="482"/>
      <c r="D378" s="482"/>
      <c r="E378" s="482"/>
      <c r="F378" s="1120"/>
      <c r="G378" s="1119"/>
      <c r="H378" s="1121"/>
      <c r="I378" s="1119"/>
      <c r="J378" s="1121"/>
      <c r="K378" s="872"/>
      <c r="L378" s="85"/>
      <c r="P378" s="315"/>
    </row>
    <row r="379" spans="1:16" ht="15" customHeight="1" x14ac:dyDescent="0.35">
      <c r="A379" s="265"/>
      <c r="B379" s="152" t="s">
        <v>1587</v>
      </c>
      <c r="C379" s="152"/>
      <c r="D379" s="152"/>
      <c r="E379" s="152"/>
      <c r="F379" s="33"/>
      <c r="G379" s="1021"/>
      <c r="H379" s="1020"/>
      <c r="I379" s="1021"/>
      <c r="J379" s="1020"/>
      <c r="K379" s="34"/>
      <c r="L379" s="85"/>
      <c r="P379" s="315"/>
    </row>
    <row r="380" spans="1:16" ht="15" customHeight="1" x14ac:dyDescent="0.35">
      <c r="A380" s="265"/>
      <c r="B380" s="152" t="s">
        <v>50</v>
      </c>
      <c r="C380" s="1186"/>
      <c r="D380" s="1186"/>
      <c r="E380" s="1186"/>
      <c r="F380" s="33"/>
      <c r="G380" s="1021"/>
      <c r="H380" s="1020"/>
      <c r="I380" s="1021"/>
      <c r="J380" s="1020"/>
      <c r="K380" s="34"/>
      <c r="L380" s="85"/>
      <c r="P380" s="315"/>
    </row>
    <row r="381" spans="1:16" ht="15" customHeight="1" x14ac:dyDescent="0.35">
      <c r="A381" s="265"/>
      <c r="B381" s="152" t="s">
        <v>1588</v>
      </c>
      <c r="C381" s="152"/>
      <c r="D381" s="152"/>
      <c r="E381" s="152"/>
      <c r="F381" s="33"/>
      <c r="G381" s="1021"/>
      <c r="H381" s="1020"/>
      <c r="I381" s="1021"/>
      <c r="J381" s="1020"/>
      <c r="K381" s="34"/>
      <c r="L381" s="85"/>
      <c r="N381" s="85"/>
      <c r="O381" s="85"/>
      <c r="P381" s="315"/>
    </row>
    <row r="382" spans="1:16" ht="15" customHeight="1" x14ac:dyDescent="0.35">
      <c r="A382" s="265"/>
      <c r="B382" s="152" t="s">
        <v>1589</v>
      </c>
      <c r="C382" s="152"/>
      <c r="D382" s="152"/>
      <c r="E382" s="152"/>
      <c r="F382" s="33"/>
      <c r="G382" s="1021"/>
      <c r="H382" s="1020"/>
      <c r="I382" s="1021"/>
      <c r="J382" s="1020"/>
      <c r="K382" s="34"/>
      <c r="L382" s="85"/>
      <c r="N382" s="85"/>
      <c r="O382" s="85"/>
      <c r="P382" s="315"/>
    </row>
    <row r="383" spans="1:16" ht="15" customHeight="1" x14ac:dyDescent="0.35">
      <c r="A383" s="265"/>
      <c r="B383" s="152" t="s">
        <v>42</v>
      </c>
      <c r="C383" s="152"/>
      <c r="D383" s="152"/>
      <c r="E383" s="152"/>
      <c r="F383" s="33"/>
      <c r="G383" s="1021"/>
      <c r="H383" s="1020"/>
      <c r="I383" s="1021"/>
      <c r="J383" s="1020"/>
      <c r="K383" s="34"/>
      <c r="L383" s="85"/>
      <c r="N383" s="85"/>
      <c r="O383" s="85"/>
      <c r="P383" s="315"/>
    </row>
    <row r="384" spans="1:16" ht="15" customHeight="1" x14ac:dyDescent="0.35">
      <c r="A384" s="265"/>
      <c r="B384" s="152" t="s">
        <v>1590</v>
      </c>
      <c r="C384" s="1186"/>
      <c r="D384" s="1186"/>
      <c r="E384" s="1186"/>
      <c r="F384" s="33"/>
      <c r="G384" s="1021"/>
      <c r="H384" s="1020"/>
      <c r="I384" s="1021"/>
      <c r="J384" s="1020"/>
      <c r="K384" s="34"/>
      <c r="L384" s="85"/>
      <c r="N384" s="85"/>
      <c r="O384" s="85"/>
      <c r="P384" s="315"/>
    </row>
    <row r="385" spans="1:16" ht="15" customHeight="1" x14ac:dyDescent="0.35">
      <c r="A385" s="265"/>
      <c r="B385" s="152" t="s">
        <v>1591</v>
      </c>
      <c r="C385" s="152"/>
      <c r="D385" s="152"/>
      <c r="E385" s="152"/>
      <c r="F385" s="33"/>
      <c r="G385" s="1021"/>
      <c r="H385" s="1020"/>
      <c r="I385" s="1021"/>
      <c r="J385" s="1020"/>
      <c r="K385" s="34"/>
      <c r="L385" s="85"/>
      <c r="N385" s="85"/>
      <c r="O385" s="85"/>
      <c r="P385" s="315"/>
    </row>
    <row r="386" spans="1:16" ht="15" customHeight="1" x14ac:dyDescent="0.35">
      <c r="A386" s="265"/>
      <c r="B386" s="218" t="s">
        <v>1592</v>
      </c>
      <c r="C386" s="218"/>
      <c r="D386" s="218"/>
      <c r="E386" s="218"/>
      <c r="F386" s="271"/>
      <c r="G386" s="1025"/>
      <c r="H386" s="1024"/>
      <c r="I386" s="1025"/>
      <c r="J386" s="1024"/>
      <c r="K386" s="72"/>
      <c r="L386" s="85"/>
      <c r="N386" s="85"/>
      <c r="O386" s="85"/>
      <c r="P386" s="315"/>
    </row>
    <row r="387" spans="1:16" ht="15" customHeight="1" x14ac:dyDescent="0.35">
      <c r="A387" s="265"/>
      <c r="B387" s="258"/>
      <c r="C387" s="258"/>
      <c r="D387" s="258"/>
      <c r="E387" s="258"/>
      <c r="F387" s="1549"/>
      <c r="G387" s="1549"/>
      <c r="H387" s="1549"/>
      <c r="I387" s="1549"/>
      <c r="J387" s="1549"/>
      <c r="K387" s="1549"/>
      <c r="L387" s="85"/>
      <c r="N387" s="85"/>
      <c r="O387" s="85"/>
      <c r="P387" s="315"/>
    </row>
    <row r="388" spans="1:16" ht="45" customHeight="1" x14ac:dyDescent="0.35">
      <c r="A388" s="676" t="s">
        <v>1593</v>
      </c>
      <c r="B388" s="1141"/>
      <c r="C388" s="1142"/>
      <c r="D388" s="1142"/>
      <c r="E388" s="1142"/>
      <c r="F388" s="1142"/>
      <c r="G388" s="1142"/>
      <c r="H388" s="1142"/>
      <c r="I388" s="1142"/>
      <c r="J388" s="1142"/>
      <c r="K388" s="1142"/>
      <c r="L388" s="1142"/>
      <c r="M388" s="1142"/>
      <c r="N388" s="1142"/>
      <c r="O388" s="1142"/>
      <c r="P388" s="1190"/>
    </row>
    <row r="389" spans="1:16" ht="15" customHeight="1" x14ac:dyDescent="0.35">
      <c r="A389" s="1133"/>
      <c r="B389" s="2789"/>
      <c r="C389" s="2789"/>
      <c r="D389" s="2789"/>
      <c r="E389" s="2789"/>
      <c r="F389" s="3061" t="s">
        <v>1384</v>
      </c>
      <c r="G389" s="3061"/>
      <c r="H389" s="3082"/>
      <c r="I389" s="3083" t="s">
        <v>1385</v>
      </c>
      <c r="J389" s="3061"/>
      <c r="K389" s="3082"/>
      <c r="L389" s="3061" t="s">
        <v>1386</v>
      </c>
      <c r="M389" s="3061"/>
      <c r="N389" s="3061"/>
      <c r="O389" s="1258"/>
      <c r="P389" s="315"/>
    </row>
    <row r="390" spans="1:16" ht="45" customHeight="1" x14ac:dyDescent="0.35">
      <c r="A390" s="1130"/>
      <c r="B390" s="2794"/>
      <c r="C390" s="2794"/>
      <c r="D390" s="2794"/>
      <c r="E390" s="2794"/>
      <c r="F390" s="1160" t="s">
        <v>1387</v>
      </c>
      <c r="G390" s="1114" t="s">
        <v>1388</v>
      </c>
      <c r="H390" s="1118" t="s">
        <v>1389</v>
      </c>
      <c r="I390" s="1167" t="s">
        <v>1387</v>
      </c>
      <c r="J390" s="1114" t="s">
        <v>1388</v>
      </c>
      <c r="K390" s="1168" t="s">
        <v>1389</v>
      </c>
      <c r="L390" s="1135" t="s">
        <v>1387</v>
      </c>
      <c r="M390" s="1134" t="s">
        <v>1388</v>
      </c>
      <c r="N390" s="1116" t="s">
        <v>1389</v>
      </c>
      <c r="O390" s="1259"/>
      <c r="P390" s="315"/>
    </row>
    <row r="391" spans="1:16" ht="15" customHeight="1" x14ac:dyDescent="0.35">
      <c r="A391" s="259"/>
      <c r="B391" s="3124" t="s">
        <v>1594</v>
      </c>
      <c r="C391" s="3124"/>
      <c r="D391" s="3124"/>
      <c r="E391" s="3125"/>
      <c r="F391" s="33"/>
      <c r="G391" s="23"/>
      <c r="H391" s="34"/>
      <c r="I391" s="1020"/>
      <c r="J391" s="23"/>
      <c r="K391" s="1021"/>
      <c r="L391" s="33"/>
      <c r="M391" s="23"/>
      <c r="N391" s="34"/>
      <c r="O391" s="1259"/>
      <c r="P391" s="315"/>
    </row>
    <row r="392" spans="1:16" ht="15" customHeight="1" x14ac:dyDescent="0.35">
      <c r="A392" s="259"/>
      <c r="B392" s="2556" t="s">
        <v>1595</v>
      </c>
      <c r="C392" s="2556"/>
      <c r="D392" s="2556"/>
      <c r="E392" s="2556"/>
      <c r="F392" s="33"/>
      <c r="G392" s="23"/>
      <c r="H392" s="34"/>
      <c r="I392" s="1020"/>
      <c r="J392" s="23"/>
      <c r="K392" s="1021"/>
      <c r="L392" s="33"/>
      <c r="M392" s="23"/>
      <c r="N392" s="34"/>
      <c r="O392" s="1259"/>
      <c r="P392" s="315"/>
    </row>
    <row r="393" spans="1:16" ht="15" customHeight="1" x14ac:dyDescent="0.35">
      <c r="A393" s="259"/>
      <c r="B393" s="2556" t="s">
        <v>1596</v>
      </c>
      <c r="C393" s="2556"/>
      <c r="D393" s="2556"/>
      <c r="E393" s="2556"/>
      <c r="F393" s="33"/>
      <c r="G393" s="23"/>
      <c r="H393" s="34"/>
      <c r="I393" s="1020"/>
      <c r="J393" s="23"/>
      <c r="K393" s="1021"/>
      <c r="L393" s="33"/>
      <c r="M393" s="23"/>
      <c r="N393" s="34"/>
      <c r="O393" s="1259"/>
      <c r="P393" s="315"/>
    </row>
    <row r="394" spans="1:16" ht="30" customHeight="1" x14ac:dyDescent="0.35">
      <c r="A394" s="265"/>
      <c r="B394" s="3122" t="s">
        <v>1597</v>
      </c>
      <c r="C394" s="3123"/>
      <c r="D394" s="3123"/>
      <c r="E394" s="3123"/>
      <c r="F394" s="1470"/>
      <c r="G394" s="24"/>
      <c r="H394" s="129"/>
      <c r="I394" s="1547"/>
      <c r="J394" s="24"/>
      <c r="K394" s="1548"/>
      <c r="L394" s="1470"/>
      <c r="M394" s="24"/>
      <c r="N394" s="129"/>
      <c r="O394" s="85"/>
      <c r="P394" s="315"/>
    </row>
    <row r="395" spans="1:16" ht="15" customHeight="1" x14ac:dyDescent="0.35">
      <c r="A395" s="729"/>
      <c r="B395" s="278"/>
      <c r="C395" s="278"/>
      <c r="D395" s="278"/>
      <c r="E395" s="278"/>
      <c r="F395" s="278"/>
      <c r="G395" s="278"/>
      <c r="H395" s="278"/>
      <c r="I395" s="278"/>
      <c r="J395" s="278"/>
      <c r="K395" s="278"/>
      <c r="L395" s="278"/>
      <c r="M395" s="278"/>
      <c r="N395" s="278"/>
      <c r="O395" s="278"/>
      <c r="P395" s="875"/>
    </row>
  </sheetData>
  <sheetProtection algorithmName="SHA-512" hashValue="T6hoi4jERL2ZPDGIaSiFv/uYb9oOqlFjQt4TrHfmXt4j32lk1MgzhYc0GshRAmBoBNS6gjnlcf0dFjsGXrD3SQ==" saltValue="L9kp83t3+bxduYCpO/1BaA==" spinCount="100000" sheet="1" objects="1" scenarios="1"/>
  <mergeCells count="168">
    <mergeCell ref="D17:J17"/>
    <mergeCell ref="B394:E394"/>
    <mergeCell ref="B391:E391"/>
    <mergeCell ref="B393:E393"/>
    <mergeCell ref="B392:E392"/>
    <mergeCell ref="B389:E390"/>
    <mergeCell ref="K5:K7"/>
    <mergeCell ref="L3:N3"/>
    <mergeCell ref="L4:N4"/>
    <mergeCell ref="L5:N7"/>
    <mergeCell ref="L9:N9"/>
    <mergeCell ref="L8:N8"/>
    <mergeCell ref="L10:N10"/>
    <mergeCell ref="H371:L371"/>
    <mergeCell ref="H364:L364"/>
    <mergeCell ref="F14:J14"/>
    <mergeCell ref="D16:J16"/>
    <mergeCell ref="I4:I10"/>
    <mergeCell ref="L86:N86"/>
    <mergeCell ref="F123:H123"/>
    <mergeCell ref="I123:K123"/>
    <mergeCell ref="L123:N123"/>
    <mergeCell ref="L279:L280"/>
    <mergeCell ref="F23:H23"/>
    <mergeCell ref="I23:K23"/>
    <mergeCell ref="D178:E178"/>
    <mergeCell ref="C149:E149"/>
    <mergeCell ref="B151:E151"/>
    <mergeCell ref="B171:B172"/>
    <mergeCell ref="C171:C172"/>
    <mergeCell ref="D171:E172"/>
    <mergeCell ref="D93:E93"/>
    <mergeCell ref="D94:E94"/>
    <mergeCell ref="D132:E132"/>
    <mergeCell ref="C133:C140"/>
    <mergeCell ref="D133:E133"/>
    <mergeCell ref="D134:E134"/>
    <mergeCell ref="D135:E135"/>
    <mergeCell ref="D175:E175"/>
    <mergeCell ref="D141:E141"/>
    <mergeCell ref="D142:E142"/>
    <mergeCell ref="D177:E177"/>
    <mergeCell ref="D176:E176"/>
    <mergeCell ref="C141:C148"/>
    <mergeCell ref="D129:E129"/>
    <mergeCell ref="D130:E130"/>
    <mergeCell ref="D140:E140"/>
    <mergeCell ref="D131:E131"/>
    <mergeCell ref="D138:E138"/>
    <mergeCell ref="D20:I20"/>
    <mergeCell ref="B23:E24"/>
    <mergeCell ref="B70:E70"/>
    <mergeCell ref="B86:B87"/>
    <mergeCell ref="L23:N23"/>
    <mergeCell ref="F171:H171"/>
    <mergeCell ref="I171:K171"/>
    <mergeCell ref="L171:N171"/>
    <mergeCell ref="D137:E137"/>
    <mergeCell ref="C86:C87"/>
    <mergeCell ref="D139:E139"/>
    <mergeCell ref="C125:C132"/>
    <mergeCell ref="I86:K86"/>
    <mergeCell ref="D98:E98"/>
    <mergeCell ref="D99:E99"/>
    <mergeCell ref="D100:E100"/>
    <mergeCell ref="D101:E101"/>
    <mergeCell ref="D102:E102"/>
    <mergeCell ref="C88:C95"/>
    <mergeCell ref="D88:E88"/>
    <mergeCell ref="D89:E89"/>
    <mergeCell ref="D90:E90"/>
    <mergeCell ref="D97:E97"/>
    <mergeCell ref="D128:E128"/>
    <mergeCell ref="D95:E95"/>
    <mergeCell ref="C96:C102"/>
    <mergeCell ref="D96:E96"/>
    <mergeCell ref="B107:E107"/>
    <mergeCell ref="B123:B124"/>
    <mergeCell ref="C123:C124"/>
    <mergeCell ref="D123:E124"/>
    <mergeCell ref="C104:E104"/>
    <mergeCell ref="C105:E105"/>
    <mergeCell ref="D125:E125"/>
    <mergeCell ref="D126:E126"/>
    <mergeCell ref="D127:E127"/>
    <mergeCell ref="L389:N389"/>
    <mergeCell ref="B218:B219"/>
    <mergeCell ref="C241:E241"/>
    <mergeCell ref="C242:E242"/>
    <mergeCell ref="C243:E243"/>
    <mergeCell ref="B271:C271"/>
    <mergeCell ref="B278:E280"/>
    <mergeCell ref="F278:G278"/>
    <mergeCell ref="F279:F280"/>
    <mergeCell ref="G279:G280"/>
    <mergeCell ref="C250:E250"/>
    <mergeCell ref="C251:E251"/>
    <mergeCell ref="D269:I269"/>
    <mergeCell ref="B253:E253"/>
    <mergeCell ref="L278:O278"/>
    <mergeCell ref="M279:O279"/>
    <mergeCell ref="I279:K279"/>
    <mergeCell ref="B223:E223"/>
    <mergeCell ref="C219:E219"/>
    <mergeCell ref="I239:K239"/>
    <mergeCell ref="B239:B240"/>
    <mergeCell ref="F239:H239"/>
    <mergeCell ref="C218:E218"/>
    <mergeCell ref="C220:E220"/>
    <mergeCell ref="F389:H389"/>
    <mergeCell ref="I389:K389"/>
    <mergeCell ref="C208:C215"/>
    <mergeCell ref="D208:D211"/>
    <mergeCell ref="D212:D215"/>
    <mergeCell ref="C206:C207"/>
    <mergeCell ref="D206:D207"/>
    <mergeCell ref="E206:E207"/>
    <mergeCell ref="F206:H206"/>
    <mergeCell ref="I206:K206"/>
    <mergeCell ref="B376:E377"/>
    <mergeCell ref="F376:G376"/>
    <mergeCell ref="H376:I376"/>
    <mergeCell ref="J376:K376"/>
    <mergeCell ref="H278:K278"/>
    <mergeCell ref="B364:E364"/>
    <mergeCell ref="B348:E348"/>
    <mergeCell ref="H279:H280"/>
    <mergeCell ref="G276:I276"/>
    <mergeCell ref="D181:E181"/>
    <mergeCell ref="D182:E182"/>
    <mergeCell ref="D183:E183"/>
    <mergeCell ref="C244:E244"/>
    <mergeCell ref="C245:E245"/>
    <mergeCell ref="C246:E246"/>
    <mergeCell ref="C247:E247"/>
    <mergeCell ref="C248:E248"/>
    <mergeCell ref="C249:E249"/>
    <mergeCell ref="C181:C187"/>
    <mergeCell ref="C188:E188"/>
    <mergeCell ref="B190:E190"/>
    <mergeCell ref="D184:E184"/>
    <mergeCell ref="D185:E185"/>
    <mergeCell ref="D186:E186"/>
    <mergeCell ref="D187:E187"/>
    <mergeCell ref="L206:N206"/>
    <mergeCell ref="L239:N239"/>
    <mergeCell ref="C239:E240"/>
    <mergeCell ref="D91:E91"/>
    <mergeCell ref="D92:E92"/>
    <mergeCell ref="B3:E3"/>
    <mergeCell ref="C216:C217"/>
    <mergeCell ref="C221:E221"/>
    <mergeCell ref="B206:B207"/>
    <mergeCell ref="D136:E136"/>
    <mergeCell ref="C173:C180"/>
    <mergeCell ref="D173:E173"/>
    <mergeCell ref="D174:E174"/>
    <mergeCell ref="D147:E147"/>
    <mergeCell ref="D148:E148"/>
    <mergeCell ref="D180:E180"/>
    <mergeCell ref="D179:E179"/>
    <mergeCell ref="D143:E143"/>
    <mergeCell ref="D144:E144"/>
    <mergeCell ref="D145:E145"/>
    <mergeCell ref="D146:E146"/>
    <mergeCell ref="D86:E87"/>
    <mergeCell ref="F86:H86"/>
    <mergeCell ref="C103:E103"/>
  </mergeCells>
  <conditionalFormatting sqref="F72:F83 F88:N105 F109:F120 F125:N149 F153:F164 F173:N188 F192:F203 F225:F236 F241:N251 F255:F266 I281:K313 M281:O346 F350:F361 F366:F371 F208:N221 F391:N394 F378:F394 H378:H394 J378:J394 F25:N68">
    <cfRule type="cellIs" dxfId="990" priority="63" stopIfTrue="1" operator="lessThan">
      <formula>0</formula>
    </cfRule>
  </conditionalFormatting>
  <conditionalFormatting sqref="A220:P373 A219 F219:P219 C219 A395:P1048576 A393:B394 A391:D391 A392 F391:P394 A375:P390 A1:P16 A18:P218 A17:D17 K17:P17">
    <cfRule type="cellIs" dxfId="989" priority="17" stopIfTrue="1" operator="equal">
      <formula>"Pass"</formula>
    </cfRule>
  </conditionalFormatting>
  <conditionalFormatting sqref="C219:P219 A219 A395:P395 A393:B394 A391:D391 A392 F391:P394 A220:P390 A1:P16 A18:P218 A17:D17 K17:P17">
    <cfRule type="containsText" dxfId="988" priority="30" stopIfTrue="1" operator="containsText" text="&gt;">
      <formula>NOT(ISERROR(SEARCH("&gt;",A1)))</formula>
    </cfRule>
  </conditionalFormatting>
  <conditionalFormatting sqref="I25:K68 I88:K105 I125:K149 I173:K188 I208:K221 I241:K251">
    <cfRule type="expression" dxfId="987" priority="4">
      <formula>AND(F25&gt;0,ISNUMBER(I25),I25=0)</formula>
    </cfRule>
  </conditionalFormatting>
  <conditionalFormatting sqref="L25:N68 L88:N105 L125:N149 L173:N188 L208:N221 L241:N251">
    <cfRule type="expression" dxfId="986" priority="2">
      <formula>AND(F25&gt;0,ISNUMBER(L25),L25=0)</formula>
    </cfRule>
  </conditionalFormatting>
  <conditionalFormatting sqref="F25:H68 F88:H105 F125:H149 F173:H188 F208:H221 F241:H251">
    <cfRule type="expression" dxfId="985" priority="1">
      <formula>AND(F25=0,OR($F25&gt;0,$G25&gt;0,$H25&gt;0))</formula>
    </cfRule>
  </conditionalFormatting>
  <dataValidations disablePrompts="1" count="5">
    <dataValidation type="list" allowBlank="1" showInputMessage="1" showErrorMessage="1" sqref="F21">
      <formula1>"Yes, No"</formula1>
    </dataValidation>
    <dataValidation type="list" allowBlank="1" showInputMessage="1" showErrorMessage="1" sqref="G273">
      <formula1>TBRCCurrency</formula1>
    </dataValidation>
    <dataValidation type="list" allowBlank="1" showInputMessage="1" showErrorMessage="1" sqref="G276">
      <formula1>TBRCScalar</formula1>
    </dataValidation>
    <dataValidation type="list" allowBlank="1" showInputMessage="1" showErrorMessage="1" sqref="G272">
      <formula1>YesNo</formula1>
    </dataValidation>
    <dataValidation type="list" showInputMessage="1" showErrorMessage="1" sqref="I374">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46" max="16383" man="1"/>
    <brk id="84" max="16383" man="1"/>
    <brk id="121" max="16383" man="1"/>
    <brk id="165" max="16383" man="1"/>
    <brk id="204" max="16383" man="1"/>
    <brk id="237" max="16383" man="1"/>
    <brk id="277" max="16383" man="1"/>
    <brk id="316" max="16383" man="1"/>
    <brk id="362" max="16383" man="1"/>
  </rowBreaks>
  <colBreaks count="1" manualBreakCount="1">
    <brk id="11" max="1048575" man="1"/>
  </colBreaks>
  <extLst>
    <ext xmlns:x14="http://schemas.microsoft.com/office/spreadsheetml/2009/9/main" uri="{78C0D931-6437-407d-A8EE-F0AAD7539E65}">
      <x14:conditionalFormattings>
        <x14:conditionalFormatting xmlns:xm="http://schemas.microsoft.com/office/excel/2006/main">
          <x14:cfRule type="containsText" priority="19" stopIfTrue="1" operator="containsText" id="{E29A1D7E-F31D-460A-A88B-FAFD555527EE}">
            <xm:f>NOT(ISERROR(SEARCH("discrepancy",A1)))</xm:f>
            <xm:f>"discrepancy"</xm:f>
            <x14:dxf>
              <font>
                <b/>
                <i val="0"/>
                <color rgb="FFAA322F"/>
              </font>
              <fill>
                <patternFill patternType="solid">
                  <bgColor theme="0"/>
                </patternFill>
              </fill>
            </x14:dxf>
          </x14:cfRule>
          <xm:sqref>A220:P373 A219 F219:P219 C219 A395:P1048576 A393:B394 A391:D391 A392 F391:P394 A375:P390 A1:P16 A18:P218 A17:D17 K17:P17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U98"/>
  <sheetViews>
    <sheetView zoomScale="70" zoomScaleNormal="70" workbookViewId="0"/>
  </sheetViews>
  <sheetFormatPr defaultColWidth="0" defaultRowHeight="15" customHeight="1" zeroHeight="1" x14ac:dyDescent="0.35"/>
  <cols>
    <col min="1" max="1" width="1.5546875" style="1971" customWidth="1"/>
    <col min="2" max="3" width="10.5546875" style="1971" customWidth="1"/>
    <col min="4" max="4" width="22.5546875" style="1971" customWidth="1"/>
    <col min="5" max="5" width="37.109375" style="1971" customWidth="1"/>
    <col min="6" max="11" width="16.5546875" style="1971" customWidth="1"/>
    <col min="12" max="12" width="27" style="1971" customWidth="1"/>
    <col min="13" max="13" width="16.5546875" style="1971" customWidth="1"/>
    <col min="14" max="14" width="24.88671875" style="1971" customWidth="1"/>
    <col min="15" max="20" width="16.5546875" style="1971" customWidth="1"/>
    <col min="21" max="21" width="13.44140625" style="1971" hidden="1" customWidth="1"/>
    <col min="22" max="16384" width="9.109375" style="1971" hidden="1"/>
  </cols>
  <sheetData>
    <row r="1" spans="1:15" ht="29.4" x14ac:dyDescent="0.65">
      <c r="A1" s="328" t="s">
        <v>2702</v>
      </c>
      <c r="B1" s="328"/>
      <c r="C1" s="98"/>
      <c r="D1" s="98"/>
      <c r="L1" s="71" t="str">
        <f>CONCATENATE("Reporting unit: ", 'General Info'!$C$7, " ", 'General Info'!$C$5)</f>
        <v>Reporting unit: 1000 eur</v>
      </c>
    </row>
    <row r="2" spans="1:15" ht="105" customHeight="1" x14ac:dyDescent="0.35">
      <c r="B2" s="3136" t="s">
        <v>2701</v>
      </c>
      <c r="C2" s="3136"/>
      <c r="D2" s="3136"/>
      <c r="E2" s="3136"/>
      <c r="F2" s="3136"/>
      <c r="G2" s="3136"/>
      <c r="H2" s="3136"/>
      <c r="I2" s="3136"/>
      <c r="J2" s="3136"/>
      <c r="K2" s="2266"/>
      <c r="L2" s="2266"/>
      <c r="M2" s="2266"/>
      <c r="N2" s="2266"/>
    </row>
    <row r="3" spans="1:15" ht="37.5" customHeight="1" x14ac:dyDescent="0.45">
      <c r="A3" s="2265" t="s">
        <v>2700</v>
      </c>
      <c r="B3" s="153"/>
      <c r="C3" s="137"/>
      <c r="D3" s="137"/>
      <c r="E3" s="137"/>
    </row>
    <row r="4" spans="1:15" s="137" customFormat="1" ht="19.8" x14ac:dyDescent="0.35">
      <c r="A4" s="1979"/>
      <c r="B4" s="3045"/>
      <c r="C4" s="3045"/>
      <c r="D4" s="3045"/>
      <c r="E4" s="3045"/>
      <c r="F4" s="3003" t="s">
        <v>2677</v>
      </c>
      <c r="G4" s="3003"/>
      <c r="H4" s="3003"/>
      <c r="I4" s="3004"/>
      <c r="J4" s="3003" t="s">
        <v>2676</v>
      </c>
      <c r="K4" s="3003"/>
      <c r="L4" s="3003"/>
      <c r="M4" s="3004"/>
      <c r="N4" s="2245" t="s">
        <v>2675</v>
      </c>
    </row>
    <row r="5" spans="1:15" ht="24.75" customHeight="1" x14ac:dyDescent="0.35">
      <c r="B5" s="3137"/>
      <c r="C5" s="3137"/>
      <c r="D5" s="3137"/>
      <c r="E5" s="3137"/>
      <c r="F5" s="3138" t="s">
        <v>2674</v>
      </c>
      <c r="G5" s="3139"/>
      <c r="H5" s="2244" t="s">
        <v>2673</v>
      </c>
      <c r="I5" s="3140" t="s">
        <v>59</v>
      </c>
      <c r="J5" s="3138" t="s">
        <v>2674</v>
      </c>
      <c r="K5" s="3139"/>
      <c r="L5" s="2244" t="s">
        <v>2673</v>
      </c>
      <c r="M5" s="3140" t="s">
        <v>59</v>
      </c>
      <c r="N5" s="3140" t="s">
        <v>59</v>
      </c>
      <c r="O5" s="137"/>
    </row>
    <row r="6" spans="1:15" s="137" customFormat="1" ht="34.5" customHeight="1" x14ac:dyDescent="0.35">
      <c r="A6" s="1979"/>
      <c r="B6" s="3137"/>
      <c r="C6" s="3137"/>
      <c r="D6" s="3137"/>
      <c r="E6" s="3137"/>
      <c r="F6" s="3143" t="s">
        <v>2672</v>
      </c>
      <c r="G6" s="3144"/>
      <c r="H6" s="2243" t="s">
        <v>2671</v>
      </c>
      <c r="I6" s="3141"/>
      <c r="J6" s="3143" t="s">
        <v>2672</v>
      </c>
      <c r="K6" s="3144"/>
      <c r="L6" s="2243" t="s">
        <v>2671</v>
      </c>
      <c r="M6" s="3141"/>
      <c r="N6" s="3141"/>
    </row>
    <row r="7" spans="1:15" s="98" customFormat="1" ht="57" customHeight="1" x14ac:dyDescent="0.35">
      <c r="A7" s="263"/>
      <c r="B7" s="3046"/>
      <c r="C7" s="3046"/>
      <c r="D7" s="3046"/>
      <c r="E7" s="3046"/>
      <c r="F7" s="2242" t="s">
        <v>2670</v>
      </c>
      <c r="G7" s="2242" t="s">
        <v>2669</v>
      </c>
      <c r="H7" s="2242" t="s">
        <v>2668</v>
      </c>
      <c r="I7" s="3142"/>
      <c r="J7" s="2242" t="s">
        <v>2670</v>
      </c>
      <c r="K7" s="2242" t="s">
        <v>2669</v>
      </c>
      <c r="L7" s="2242" t="s">
        <v>2668</v>
      </c>
      <c r="M7" s="3142"/>
      <c r="N7" s="3142"/>
    </row>
    <row r="8" spans="1:15" s="98" customFormat="1" x14ac:dyDescent="0.35">
      <c r="A8" s="263"/>
      <c r="B8" s="152" t="s">
        <v>2688</v>
      </c>
      <c r="C8" s="463"/>
      <c r="D8" s="463"/>
      <c r="E8" s="463"/>
      <c r="F8" s="169"/>
      <c r="G8" s="169"/>
      <c r="H8" s="169"/>
      <c r="I8" s="2241" t="str">
        <f t="shared" ref="I8:I15" si="0">IF(AND(ISNUMBER(F8),ISNUMBER(G8),ISNUMBER(H8)),SUM(F8:H8),"")</f>
        <v/>
      </c>
      <c r="J8" s="169"/>
      <c r="K8" s="169"/>
      <c r="L8" s="169"/>
      <c r="M8" s="2241" t="str">
        <f t="shared" ref="M8:M15" si="1">IF(AND(ISNUMBER(J8),ISNUMBER(K8),ISNUMBER(L8)),SUM(J8:L8),"")</f>
        <v/>
      </c>
      <c r="N8" s="2241" t="str">
        <f t="shared" ref="N8:N15" si="2">IF(AND(ISNUMBER(I8),ISNUMBER(M8)),SUM(I8,M8),"")</f>
        <v/>
      </c>
    </row>
    <row r="9" spans="1:15" s="98" customFormat="1" x14ac:dyDescent="0.35">
      <c r="A9" s="263"/>
      <c r="B9" s="152" t="s">
        <v>2687</v>
      </c>
      <c r="C9" s="161"/>
      <c r="D9" s="161"/>
      <c r="E9" s="161"/>
      <c r="F9" s="169"/>
      <c r="G9" s="169"/>
      <c r="H9" s="169"/>
      <c r="I9" s="2241" t="str">
        <f t="shared" si="0"/>
        <v/>
      </c>
      <c r="J9" s="169"/>
      <c r="K9" s="169"/>
      <c r="L9" s="169"/>
      <c r="M9" s="2241" t="str">
        <f t="shared" si="1"/>
        <v/>
      </c>
      <c r="N9" s="2241" t="str">
        <f t="shared" si="2"/>
        <v/>
      </c>
    </row>
    <row r="10" spans="1:15" s="98" customFormat="1" ht="15" customHeight="1" x14ac:dyDescent="0.35">
      <c r="A10" s="263"/>
      <c r="B10" s="152" t="s">
        <v>2686</v>
      </c>
      <c r="C10" s="161"/>
      <c r="D10" s="161"/>
      <c r="E10" s="161"/>
      <c r="F10" s="169"/>
      <c r="G10" s="169"/>
      <c r="H10" s="169"/>
      <c r="I10" s="2241" t="str">
        <f t="shared" si="0"/>
        <v/>
      </c>
      <c r="J10" s="169"/>
      <c r="K10" s="169"/>
      <c r="L10" s="169"/>
      <c r="M10" s="2241" t="str">
        <f t="shared" si="1"/>
        <v/>
      </c>
      <c r="N10" s="2241" t="str">
        <f t="shared" si="2"/>
        <v/>
      </c>
    </row>
    <row r="11" spans="1:15" x14ac:dyDescent="0.35">
      <c r="B11" s="152" t="s">
        <v>2685</v>
      </c>
      <c r="C11" s="161"/>
      <c r="D11" s="161"/>
      <c r="E11" s="161"/>
      <c r="F11" s="169"/>
      <c r="G11" s="169"/>
      <c r="H11" s="169"/>
      <c r="I11" s="2241" t="str">
        <f t="shared" si="0"/>
        <v/>
      </c>
      <c r="J11" s="169"/>
      <c r="K11" s="169"/>
      <c r="L11" s="169"/>
      <c r="M11" s="2241" t="str">
        <f t="shared" si="1"/>
        <v/>
      </c>
      <c r="N11" s="2241" t="str">
        <f t="shared" si="2"/>
        <v/>
      </c>
    </row>
    <row r="12" spans="1:15" x14ac:dyDescent="0.35">
      <c r="B12" s="152" t="s">
        <v>2684</v>
      </c>
      <c r="C12" s="161"/>
      <c r="D12" s="161"/>
      <c r="E12" s="161"/>
      <c r="F12" s="169"/>
      <c r="G12" s="169"/>
      <c r="H12" s="169"/>
      <c r="I12" s="2241" t="str">
        <f t="shared" si="0"/>
        <v/>
      </c>
      <c r="J12" s="169"/>
      <c r="K12" s="169"/>
      <c r="L12" s="169"/>
      <c r="M12" s="2241" t="str">
        <f t="shared" si="1"/>
        <v/>
      </c>
      <c r="N12" s="2241" t="str">
        <f t="shared" si="2"/>
        <v/>
      </c>
    </row>
    <row r="13" spans="1:15" x14ac:dyDescent="0.35">
      <c r="B13" s="152" t="s">
        <v>2683</v>
      </c>
      <c r="C13" s="161"/>
      <c r="D13" s="161"/>
      <c r="E13" s="161"/>
      <c r="F13" s="169"/>
      <c r="G13" s="169"/>
      <c r="H13" s="169"/>
      <c r="I13" s="2241" t="str">
        <f t="shared" si="0"/>
        <v/>
      </c>
      <c r="J13" s="169"/>
      <c r="K13" s="169"/>
      <c r="L13" s="169"/>
      <c r="M13" s="2241" t="str">
        <f t="shared" si="1"/>
        <v/>
      </c>
      <c r="N13" s="2241" t="str">
        <f t="shared" si="2"/>
        <v/>
      </c>
    </row>
    <row r="14" spans="1:15" x14ac:dyDescent="0.35">
      <c r="B14" s="218" t="s">
        <v>2682</v>
      </c>
      <c r="C14" s="171"/>
      <c r="D14" s="171"/>
      <c r="E14" s="171"/>
      <c r="F14" s="169"/>
      <c r="G14" s="169"/>
      <c r="H14" s="169"/>
      <c r="I14" s="2239" t="str">
        <f t="shared" si="0"/>
        <v/>
      </c>
      <c r="J14" s="169"/>
      <c r="K14" s="169"/>
      <c r="L14" s="169"/>
      <c r="M14" s="2239" t="str">
        <f t="shared" si="1"/>
        <v/>
      </c>
      <c r="N14" s="2239" t="str">
        <f t="shared" si="2"/>
        <v/>
      </c>
    </row>
    <row r="15" spans="1:15" x14ac:dyDescent="0.35">
      <c r="B15" s="424" t="s">
        <v>59</v>
      </c>
      <c r="C15" s="275"/>
      <c r="D15" s="275"/>
      <c r="E15" s="275"/>
      <c r="F15" s="2237" t="str">
        <f>IF(COUNT(F8:F14)=ROWS(F8:F14),SUM(F8:F14),"")</f>
        <v/>
      </c>
      <c r="G15" s="2237" t="str">
        <f>IF(COUNT(G8:G14)=ROWS(G8:G14),SUM(G8:G14),"")</f>
        <v/>
      </c>
      <c r="H15" s="2237" t="str">
        <f>IF(COUNT(H8:H14)=ROWS(H8:H14),SUM(H8:H14),"")</f>
        <v/>
      </c>
      <c r="I15" s="2236" t="str">
        <f t="shared" si="0"/>
        <v/>
      </c>
      <c r="J15" s="2237" t="str">
        <f>IF(COUNT(J8:J14)=ROWS(J8:J14),SUM(J8:J14),"")</f>
        <v/>
      </c>
      <c r="K15" s="2237" t="str">
        <f>IF(COUNT(K8:K14)=ROWS(K8:K14),SUM(K8:K14),"")</f>
        <v/>
      </c>
      <c r="L15" s="2237" t="str">
        <f>IF(COUNT(L8:L14)=ROWS(L8:L14),SUM(L8:L14),"")</f>
        <v/>
      </c>
      <c r="M15" s="2236" t="str">
        <f t="shared" si="1"/>
        <v/>
      </c>
      <c r="N15" s="2235" t="str">
        <f t="shared" si="2"/>
        <v/>
      </c>
    </row>
    <row r="16" spans="1:15" ht="47.25" customHeight="1" x14ac:dyDescent="0.45">
      <c r="A16" s="2264" t="s">
        <v>2699</v>
      </c>
      <c r="B16" s="153"/>
      <c r="C16" s="137"/>
      <c r="D16" s="137"/>
      <c r="E16" s="137"/>
    </row>
    <row r="17" spans="1:19" ht="47.25" customHeight="1" x14ac:dyDescent="0.35">
      <c r="A17" s="1979"/>
      <c r="B17" s="3136" t="s">
        <v>2698</v>
      </c>
      <c r="C17" s="3136"/>
      <c r="D17" s="3136"/>
      <c r="E17" s="3136"/>
      <c r="F17" s="3136"/>
      <c r="G17" s="3136"/>
      <c r="H17" s="3136"/>
      <c r="I17" s="3136"/>
      <c r="J17" s="3136"/>
    </row>
    <row r="18" spans="1:19" ht="21.75" customHeight="1" x14ac:dyDescent="0.35">
      <c r="A18" s="3145" t="s">
        <v>2697</v>
      </c>
      <c r="B18" s="3146"/>
      <c r="C18" s="3146"/>
      <c r="D18" s="3146"/>
      <c r="E18" s="3146"/>
      <c r="F18" s="3146"/>
      <c r="G18" s="3146"/>
      <c r="H18" s="3146"/>
      <c r="I18" s="3146"/>
      <c r="J18" s="3146"/>
    </row>
    <row r="19" spans="1:19" ht="69.75" customHeight="1" x14ac:dyDescent="0.35">
      <c r="A19" s="2263"/>
      <c r="B19" s="3136" t="s">
        <v>2696</v>
      </c>
      <c r="C19" s="3136"/>
      <c r="D19" s="3136"/>
      <c r="E19" s="3136"/>
      <c r="F19" s="3136"/>
      <c r="G19" s="3136"/>
      <c r="H19" s="3136"/>
      <c r="I19" s="3136"/>
      <c r="J19" s="3136"/>
    </row>
    <row r="20" spans="1:19" x14ac:dyDescent="0.35">
      <c r="B20" s="2262"/>
      <c r="C20" s="2262"/>
      <c r="D20" s="2262"/>
      <c r="E20" s="2262"/>
      <c r="F20" s="2656" t="s">
        <v>2693</v>
      </c>
      <c r="G20" s="2656"/>
      <c r="H20" s="2656"/>
      <c r="I20" s="2656"/>
      <c r="J20" s="2656"/>
      <c r="K20" s="2656"/>
      <c r="L20" s="2656"/>
      <c r="M20" s="3135" t="s">
        <v>2692</v>
      </c>
      <c r="N20" s="2656"/>
      <c r="O20" s="2656"/>
      <c r="P20" s="2656"/>
      <c r="Q20" s="2656"/>
      <c r="R20" s="2656"/>
      <c r="S20" s="2656"/>
    </row>
    <row r="21" spans="1:19" ht="14.25" customHeight="1" x14ac:dyDescent="0.35">
      <c r="B21" s="2261"/>
      <c r="C21" s="2261"/>
      <c r="D21" s="2261"/>
      <c r="E21" s="2261"/>
      <c r="F21" s="3147" t="s">
        <v>2691</v>
      </c>
      <c r="G21" s="3148"/>
      <c r="H21" s="3148"/>
      <c r="I21" s="3147" t="s">
        <v>2690</v>
      </c>
      <c r="J21" s="3148"/>
      <c r="K21" s="3148"/>
      <c r="L21" s="2754" t="s">
        <v>2689</v>
      </c>
      <c r="M21" s="3147" t="s">
        <v>2691</v>
      </c>
      <c r="N21" s="3148"/>
      <c r="O21" s="3148"/>
      <c r="P21" s="3147" t="s">
        <v>2690</v>
      </c>
      <c r="Q21" s="3148"/>
      <c r="R21" s="3148"/>
      <c r="S21" s="2754" t="s">
        <v>2689</v>
      </c>
    </row>
    <row r="22" spans="1:19" ht="49.5" customHeight="1" x14ac:dyDescent="0.35">
      <c r="B22" s="2261"/>
      <c r="C22" s="2261"/>
      <c r="D22" s="2261"/>
      <c r="E22" s="2261"/>
      <c r="F22" s="2565" t="s">
        <v>2672</v>
      </c>
      <c r="G22" s="2566"/>
      <c r="H22" s="2260" t="s">
        <v>2671</v>
      </c>
      <c r="I22" s="2565" t="s">
        <v>2672</v>
      </c>
      <c r="J22" s="2566"/>
      <c r="K22" s="2260" t="s">
        <v>2671</v>
      </c>
      <c r="L22" s="2755"/>
      <c r="M22" s="2565" t="s">
        <v>2672</v>
      </c>
      <c r="N22" s="2566"/>
      <c r="O22" s="2260" t="s">
        <v>2671</v>
      </c>
      <c r="P22" s="2565" t="s">
        <v>2672</v>
      </c>
      <c r="Q22" s="2566"/>
      <c r="R22" s="2260" t="s">
        <v>2671</v>
      </c>
      <c r="S22" s="2755"/>
    </row>
    <row r="23" spans="1:19" ht="45" x14ac:dyDescent="0.35">
      <c r="B23" s="2259"/>
      <c r="C23" s="2259"/>
      <c r="D23" s="2259"/>
      <c r="E23" s="2259"/>
      <c r="F23" s="1969" t="s">
        <v>2670</v>
      </c>
      <c r="G23" s="1969" t="s">
        <v>2669</v>
      </c>
      <c r="H23" s="1969" t="s">
        <v>2668</v>
      </c>
      <c r="I23" s="1969" t="s">
        <v>2670</v>
      </c>
      <c r="J23" s="1969" t="s">
        <v>2669</v>
      </c>
      <c r="K23" s="1969" t="s">
        <v>2668</v>
      </c>
      <c r="L23" s="2756"/>
      <c r="M23" s="1969" t="s">
        <v>2670</v>
      </c>
      <c r="N23" s="1969" t="s">
        <v>2669</v>
      </c>
      <c r="O23" s="1969" t="s">
        <v>2668</v>
      </c>
      <c r="P23" s="1969" t="s">
        <v>2670</v>
      </c>
      <c r="Q23" s="1969" t="s">
        <v>2669</v>
      </c>
      <c r="R23" s="1969" t="s">
        <v>2668</v>
      </c>
      <c r="S23" s="2756"/>
    </row>
    <row r="24" spans="1:19" x14ac:dyDescent="0.35">
      <c r="B24" s="152" t="s">
        <v>2688</v>
      </c>
      <c r="C24" s="463"/>
      <c r="D24" s="463"/>
      <c r="E24" s="463"/>
      <c r="F24" s="2253" t="str">
        <f t="shared" ref="F24:K24" si="3">IF(COUNT(F25:F27)=ROWS(F25:F27),SUM(F25:F27),"")</f>
        <v/>
      </c>
      <c r="G24" s="2253" t="str">
        <f t="shared" si="3"/>
        <v/>
      </c>
      <c r="H24" s="2253" t="str">
        <f t="shared" si="3"/>
        <v/>
      </c>
      <c r="I24" s="2253" t="str">
        <f t="shared" si="3"/>
        <v/>
      </c>
      <c r="J24" s="2253" t="str">
        <f t="shared" si="3"/>
        <v/>
      </c>
      <c r="K24" s="2253" t="str">
        <f t="shared" si="3"/>
        <v/>
      </c>
      <c r="L24" s="2252"/>
      <c r="M24" s="2253" t="str">
        <f t="shared" ref="M24:R24" si="4">IF(COUNT(M25:M27)=ROWS(M25:M27),SUM(M25:M27),"")</f>
        <v/>
      </c>
      <c r="N24" s="2253" t="str">
        <f t="shared" si="4"/>
        <v/>
      </c>
      <c r="O24" s="2253" t="str">
        <f t="shared" si="4"/>
        <v/>
      </c>
      <c r="P24" s="2253" t="str">
        <f t="shared" si="4"/>
        <v/>
      </c>
      <c r="Q24" s="2253" t="str">
        <f t="shared" si="4"/>
        <v/>
      </c>
      <c r="R24" s="2253" t="str">
        <f t="shared" si="4"/>
        <v/>
      </c>
      <c r="S24" s="2252"/>
    </row>
    <row r="25" spans="1:19" x14ac:dyDescent="0.35">
      <c r="B25" s="164" t="s">
        <v>2681</v>
      </c>
      <c r="C25" s="188"/>
      <c r="D25" s="188"/>
      <c r="E25" s="188"/>
      <c r="F25" s="169"/>
      <c r="G25" s="169"/>
      <c r="H25" s="169"/>
      <c r="I25" s="169"/>
      <c r="J25" s="169"/>
      <c r="K25" s="169"/>
      <c r="L25" s="2252"/>
      <c r="M25" s="169"/>
      <c r="N25" s="169"/>
      <c r="O25" s="169"/>
      <c r="P25" s="169"/>
      <c r="Q25" s="169"/>
      <c r="R25" s="169"/>
      <c r="S25" s="2252"/>
    </row>
    <row r="26" spans="1:19" x14ac:dyDescent="0.35">
      <c r="B26" s="164" t="s">
        <v>2680</v>
      </c>
      <c r="C26" s="188"/>
      <c r="D26" s="188"/>
      <c r="E26" s="188"/>
      <c r="F26" s="169"/>
      <c r="G26" s="169"/>
      <c r="H26" s="169"/>
      <c r="I26" s="169"/>
      <c r="J26" s="169"/>
      <c r="K26" s="169"/>
      <c r="L26" s="2252"/>
      <c r="M26" s="169"/>
      <c r="N26" s="169"/>
      <c r="O26" s="169"/>
      <c r="P26" s="169"/>
      <c r="Q26" s="169"/>
      <c r="R26" s="169"/>
      <c r="S26" s="2252"/>
    </row>
    <row r="27" spans="1:19" x14ac:dyDescent="0.35">
      <c r="B27" s="164" t="s">
        <v>2679</v>
      </c>
      <c r="C27" s="188"/>
      <c r="D27" s="188"/>
      <c r="E27" s="188"/>
      <c r="F27" s="169"/>
      <c r="G27" s="169"/>
      <c r="H27" s="169"/>
      <c r="I27" s="169"/>
      <c r="J27" s="169"/>
      <c r="K27" s="169"/>
      <c r="L27" s="2252"/>
      <c r="M27" s="169"/>
      <c r="N27" s="169"/>
      <c r="O27" s="169"/>
      <c r="P27" s="169"/>
      <c r="Q27" s="169"/>
      <c r="R27" s="169"/>
      <c r="S27" s="2252"/>
    </row>
    <row r="28" spans="1:19" x14ac:dyDescent="0.35">
      <c r="B28" s="152" t="s">
        <v>2687</v>
      </c>
      <c r="C28" s="161"/>
      <c r="D28" s="161"/>
      <c r="E28" s="161"/>
      <c r="F28" s="2252"/>
      <c r="G28" s="2255"/>
      <c r="H28" s="2258"/>
      <c r="I28" s="2253" t="str">
        <f>IF(COUNT(I29:I31)=ROWS(I29:I31),SUM(I29:I31),"")</f>
        <v/>
      </c>
      <c r="J28" s="2253" t="str">
        <f>IF(COUNT(J29:J31)=ROWS(J29:J31),SUM(J29:J31),"")</f>
        <v/>
      </c>
      <c r="K28" s="2253" t="str">
        <f>IF(COUNT(K29:K31)=ROWS(K29:K31),SUM(K29:K31),"")</f>
        <v/>
      </c>
      <c r="L28" s="2255"/>
      <c r="M28" s="2252"/>
      <c r="N28" s="2255"/>
      <c r="O28" s="2258"/>
      <c r="P28" s="2253" t="str">
        <f>IF(COUNT(P29:P31)=ROWS(P29:P31),SUM(P29:P31),"")</f>
        <v/>
      </c>
      <c r="Q28" s="2253" t="str">
        <f>IF(COUNT(Q29:Q31)=ROWS(Q29:Q31),SUM(Q29:Q31),"")</f>
        <v/>
      </c>
      <c r="R28" s="2253" t="str">
        <f>IF(COUNT(R29:R31)=ROWS(R29:R31),SUM(R29:R31),"")</f>
        <v/>
      </c>
      <c r="S28" s="2252"/>
    </row>
    <row r="29" spans="1:19" x14ac:dyDescent="0.35">
      <c r="B29" s="164" t="s">
        <v>2681</v>
      </c>
      <c r="C29" s="188"/>
      <c r="D29" s="188"/>
      <c r="E29" s="188"/>
      <c r="F29" s="2256"/>
      <c r="G29" s="2255"/>
      <c r="H29" s="2258"/>
      <c r="I29" s="169"/>
      <c r="J29" s="169"/>
      <c r="K29" s="169"/>
      <c r="L29" s="2255"/>
      <c r="M29" s="2256"/>
      <c r="N29" s="2255"/>
      <c r="O29" s="2258"/>
      <c r="P29" s="169"/>
      <c r="Q29" s="169"/>
      <c r="R29" s="169"/>
      <c r="S29" s="2252"/>
    </row>
    <row r="30" spans="1:19" x14ac:dyDescent="0.35">
      <c r="B30" s="164" t="s">
        <v>2680</v>
      </c>
      <c r="C30" s="188"/>
      <c r="D30" s="188"/>
      <c r="E30" s="188"/>
      <c r="F30" s="2256"/>
      <c r="G30" s="2255"/>
      <c r="H30" s="2257"/>
      <c r="I30" s="169"/>
      <c r="J30" s="169"/>
      <c r="K30" s="169"/>
      <c r="L30" s="2255"/>
      <c r="M30" s="2256"/>
      <c r="N30" s="2255"/>
      <c r="O30" s="2257"/>
      <c r="P30" s="169"/>
      <c r="Q30" s="169"/>
      <c r="R30" s="169"/>
      <c r="S30" s="2252"/>
    </row>
    <row r="31" spans="1:19" x14ac:dyDescent="0.35">
      <c r="B31" s="164" t="s">
        <v>2679</v>
      </c>
      <c r="C31" s="188"/>
      <c r="D31" s="188"/>
      <c r="E31" s="188"/>
      <c r="F31" s="2256"/>
      <c r="G31" s="2255"/>
      <c r="H31" s="2254"/>
      <c r="I31" s="169"/>
      <c r="J31" s="169"/>
      <c r="K31" s="169"/>
      <c r="L31" s="2255"/>
      <c r="M31" s="2256"/>
      <c r="N31" s="2255"/>
      <c r="O31" s="2254"/>
      <c r="P31" s="169"/>
      <c r="Q31" s="169"/>
      <c r="R31" s="169"/>
      <c r="S31" s="2252"/>
    </row>
    <row r="32" spans="1:19" x14ac:dyDescent="0.35">
      <c r="B32" s="152" t="s">
        <v>2686</v>
      </c>
      <c r="C32" s="161"/>
      <c r="D32" s="161"/>
      <c r="E32" s="161"/>
      <c r="F32" s="2253" t="str">
        <f t="shared" ref="F32:K32" si="5">IF(COUNT(F33:F35)=ROWS(F33:F35),SUM(F33:F35),"")</f>
        <v/>
      </c>
      <c r="G32" s="2253" t="str">
        <f t="shared" si="5"/>
        <v/>
      </c>
      <c r="H32" s="2253" t="str">
        <f t="shared" si="5"/>
        <v/>
      </c>
      <c r="I32" s="2253" t="str">
        <f t="shared" si="5"/>
        <v/>
      </c>
      <c r="J32" s="2253" t="str">
        <f t="shared" si="5"/>
        <v/>
      </c>
      <c r="K32" s="2253" t="str">
        <f t="shared" si="5"/>
        <v/>
      </c>
      <c r="L32" s="2252"/>
      <c r="M32" s="2253" t="str">
        <f t="shared" ref="M32:R32" si="6">IF(COUNT(M33:M35)=ROWS(M33:M35),SUM(M33:M35),"")</f>
        <v/>
      </c>
      <c r="N32" s="2253" t="str">
        <f t="shared" si="6"/>
        <v/>
      </c>
      <c r="O32" s="2253" t="str">
        <f t="shared" si="6"/>
        <v/>
      </c>
      <c r="P32" s="2253" t="str">
        <f t="shared" si="6"/>
        <v/>
      </c>
      <c r="Q32" s="2253" t="str">
        <f t="shared" si="6"/>
        <v/>
      </c>
      <c r="R32" s="2253" t="str">
        <f t="shared" si="6"/>
        <v/>
      </c>
      <c r="S32" s="2252"/>
    </row>
    <row r="33" spans="2:19" x14ac:dyDescent="0.35">
      <c r="B33" s="164" t="s">
        <v>2681</v>
      </c>
      <c r="C33" s="188"/>
      <c r="D33" s="188"/>
      <c r="E33" s="188"/>
      <c r="F33" s="169"/>
      <c r="G33" s="169"/>
      <c r="H33" s="169"/>
      <c r="I33" s="169"/>
      <c r="J33" s="169"/>
      <c r="K33" s="169"/>
      <c r="L33" s="2252"/>
      <c r="M33" s="169"/>
      <c r="N33" s="169"/>
      <c r="O33" s="169"/>
      <c r="P33" s="169"/>
      <c r="Q33" s="169"/>
      <c r="R33" s="169"/>
      <c r="S33" s="2252"/>
    </row>
    <row r="34" spans="2:19" x14ac:dyDescent="0.35">
      <c r="B34" s="164" t="s">
        <v>2680</v>
      </c>
      <c r="C34" s="188"/>
      <c r="D34" s="188"/>
      <c r="E34" s="188"/>
      <c r="F34" s="169"/>
      <c r="G34" s="169"/>
      <c r="H34" s="169"/>
      <c r="I34" s="169"/>
      <c r="J34" s="169"/>
      <c r="K34" s="169"/>
      <c r="L34" s="2252"/>
      <c r="M34" s="169"/>
      <c r="N34" s="169"/>
      <c r="O34" s="169"/>
      <c r="P34" s="169"/>
      <c r="Q34" s="169"/>
      <c r="R34" s="169"/>
      <c r="S34" s="2252"/>
    </row>
    <row r="35" spans="2:19" x14ac:dyDescent="0.35">
      <c r="B35" s="164" t="s">
        <v>2679</v>
      </c>
      <c r="C35" s="188"/>
      <c r="D35" s="188"/>
      <c r="E35" s="188"/>
      <c r="F35" s="169"/>
      <c r="G35" s="169"/>
      <c r="H35" s="169"/>
      <c r="I35" s="169"/>
      <c r="J35" s="169"/>
      <c r="K35" s="169"/>
      <c r="L35" s="2252"/>
      <c r="M35" s="169"/>
      <c r="N35" s="169"/>
      <c r="O35" s="169"/>
      <c r="P35" s="169"/>
      <c r="Q35" s="169"/>
      <c r="R35" s="169"/>
      <c r="S35" s="2252"/>
    </row>
    <row r="36" spans="2:19" x14ac:dyDescent="0.35">
      <c r="B36" s="152" t="s">
        <v>2685</v>
      </c>
      <c r="C36" s="161"/>
      <c r="D36" s="161"/>
      <c r="E36" s="161"/>
      <c r="F36" s="2252"/>
      <c r="G36" s="2255"/>
      <c r="H36" s="2258"/>
      <c r="I36" s="2253" t="str">
        <f>IF(COUNT(I37:I39)=ROWS(I37:I39),SUM(I37:I39),"")</f>
        <v/>
      </c>
      <c r="J36" s="2253" t="str">
        <f>IF(COUNT(J37:J39)=ROWS(J37:J39),SUM(J37:J39),"")</f>
        <v/>
      </c>
      <c r="K36" s="2253" t="str">
        <f>IF(COUNT(K37:K39)=ROWS(K37:K39),SUM(K37:K39),"")</f>
        <v/>
      </c>
      <c r="L36" s="2255"/>
      <c r="M36" s="2252"/>
      <c r="N36" s="2255"/>
      <c r="O36" s="2258"/>
      <c r="P36" s="2253" t="str">
        <f>IF(COUNT(P37:P39)=ROWS(P37:P39),SUM(P37:P39),"")</f>
        <v/>
      </c>
      <c r="Q36" s="2253" t="str">
        <f>IF(COUNT(Q37:Q39)=ROWS(Q37:Q39),SUM(Q37:Q39),"")</f>
        <v/>
      </c>
      <c r="R36" s="2253" t="str">
        <f>IF(COUNT(R37:R39)=ROWS(R37:R39),SUM(R37:R39),"")</f>
        <v/>
      </c>
      <c r="S36" s="2252"/>
    </row>
    <row r="37" spans="2:19" x14ac:dyDescent="0.35">
      <c r="B37" s="164" t="s">
        <v>2681</v>
      </c>
      <c r="C37" s="188"/>
      <c r="D37" s="188"/>
      <c r="E37" s="188"/>
      <c r="F37" s="2256"/>
      <c r="G37" s="2255"/>
      <c r="H37" s="2258"/>
      <c r="I37" s="169"/>
      <c r="J37" s="169"/>
      <c r="K37" s="169"/>
      <c r="L37" s="2255"/>
      <c r="M37" s="2256"/>
      <c r="N37" s="2255"/>
      <c r="O37" s="2258"/>
      <c r="P37" s="169"/>
      <c r="Q37" s="169"/>
      <c r="R37" s="169"/>
      <c r="S37" s="2252"/>
    </row>
    <row r="38" spans="2:19" x14ac:dyDescent="0.35">
      <c r="B38" s="164" t="s">
        <v>2680</v>
      </c>
      <c r="C38" s="188"/>
      <c r="D38" s="188"/>
      <c r="E38" s="188"/>
      <c r="F38" s="2256"/>
      <c r="G38" s="2255"/>
      <c r="H38" s="2257"/>
      <c r="I38" s="169"/>
      <c r="J38" s="169"/>
      <c r="K38" s="169"/>
      <c r="L38" s="2255"/>
      <c r="M38" s="2256"/>
      <c r="N38" s="2255"/>
      <c r="O38" s="2257"/>
      <c r="P38" s="169"/>
      <c r="Q38" s="169"/>
      <c r="R38" s="169"/>
      <c r="S38" s="2252"/>
    </row>
    <row r="39" spans="2:19" x14ac:dyDescent="0.35">
      <c r="B39" s="164" t="s">
        <v>2679</v>
      </c>
      <c r="C39" s="188"/>
      <c r="D39" s="188"/>
      <c r="E39" s="188"/>
      <c r="F39" s="2256"/>
      <c r="G39" s="2255"/>
      <c r="H39" s="2254"/>
      <c r="I39" s="169"/>
      <c r="J39" s="169"/>
      <c r="K39" s="169"/>
      <c r="L39" s="2255"/>
      <c r="M39" s="2256"/>
      <c r="N39" s="2255"/>
      <c r="O39" s="2254"/>
      <c r="P39" s="169"/>
      <c r="Q39" s="169"/>
      <c r="R39" s="169"/>
      <c r="S39" s="2252"/>
    </row>
    <row r="40" spans="2:19" x14ac:dyDescent="0.35">
      <c r="B40" s="152" t="s">
        <v>2684</v>
      </c>
      <c r="C40" s="161"/>
      <c r="D40" s="161"/>
      <c r="E40" s="161"/>
      <c r="F40" s="2253" t="str">
        <f t="shared" ref="F40:K40" si="7">IF(COUNT(F41:F43)=ROWS(F41:F43),SUM(F41:F43),"")</f>
        <v/>
      </c>
      <c r="G40" s="2253" t="str">
        <f t="shared" si="7"/>
        <v/>
      </c>
      <c r="H40" s="2253" t="str">
        <f t="shared" si="7"/>
        <v/>
      </c>
      <c r="I40" s="2253" t="str">
        <f t="shared" si="7"/>
        <v/>
      </c>
      <c r="J40" s="2253" t="str">
        <f t="shared" si="7"/>
        <v/>
      </c>
      <c r="K40" s="2253" t="str">
        <f t="shared" si="7"/>
        <v/>
      </c>
      <c r="L40" s="2252"/>
      <c r="M40" s="2253" t="str">
        <f t="shared" ref="M40:R40" si="8">IF(COUNT(M41:M43)=ROWS(M41:M43),SUM(M41:M43),"")</f>
        <v/>
      </c>
      <c r="N40" s="2253" t="str">
        <f t="shared" si="8"/>
        <v/>
      </c>
      <c r="O40" s="2253" t="str">
        <f t="shared" si="8"/>
        <v/>
      </c>
      <c r="P40" s="2253" t="str">
        <f t="shared" si="8"/>
        <v/>
      </c>
      <c r="Q40" s="2253" t="str">
        <f t="shared" si="8"/>
        <v/>
      </c>
      <c r="R40" s="2253" t="str">
        <f t="shared" si="8"/>
        <v/>
      </c>
      <c r="S40" s="2252"/>
    </row>
    <row r="41" spans="2:19" x14ac:dyDescent="0.35">
      <c r="B41" s="164" t="s">
        <v>2681</v>
      </c>
      <c r="C41" s="188"/>
      <c r="D41" s="188"/>
      <c r="E41" s="188"/>
      <c r="F41" s="169"/>
      <c r="G41" s="169"/>
      <c r="H41" s="169"/>
      <c r="I41" s="169"/>
      <c r="J41" s="169"/>
      <c r="K41" s="169"/>
      <c r="L41" s="2252"/>
      <c r="M41" s="169"/>
      <c r="N41" s="169"/>
      <c r="O41" s="169"/>
      <c r="P41" s="169"/>
      <c r="Q41" s="169"/>
      <c r="R41" s="169"/>
      <c r="S41" s="2252"/>
    </row>
    <row r="42" spans="2:19" x14ac:dyDescent="0.35">
      <c r="B42" s="164" t="s">
        <v>2680</v>
      </c>
      <c r="C42" s="188"/>
      <c r="D42" s="188"/>
      <c r="E42" s="188"/>
      <c r="F42" s="169"/>
      <c r="G42" s="169"/>
      <c r="H42" s="169"/>
      <c r="I42" s="169"/>
      <c r="J42" s="169"/>
      <c r="K42" s="169"/>
      <c r="L42" s="2252"/>
      <c r="M42" s="169"/>
      <c r="N42" s="169"/>
      <c r="O42" s="169"/>
      <c r="P42" s="169"/>
      <c r="Q42" s="169"/>
      <c r="R42" s="169"/>
      <c r="S42" s="2252"/>
    </row>
    <row r="43" spans="2:19" x14ac:dyDescent="0.35">
      <c r="B43" s="164" t="s">
        <v>2679</v>
      </c>
      <c r="C43" s="188"/>
      <c r="D43" s="188"/>
      <c r="E43" s="188"/>
      <c r="F43" s="169"/>
      <c r="G43" s="169"/>
      <c r="H43" s="169"/>
      <c r="I43" s="169"/>
      <c r="J43" s="169"/>
      <c r="K43" s="169"/>
      <c r="L43" s="2252"/>
      <c r="M43" s="169"/>
      <c r="N43" s="169"/>
      <c r="O43" s="169"/>
      <c r="P43" s="169"/>
      <c r="Q43" s="169"/>
      <c r="R43" s="169"/>
      <c r="S43" s="2252"/>
    </row>
    <row r="44" spans="2:19" x14ac:dyDescent="0.35">
      <c r="B44" s="152" t="s">
        <v>2683</v>
      </c>
      <c r="C44" s="161"/>
      <c r="D44" s="161"/>
      <c r="E44" s="161"/>
      <c r="F44" s="2253" t="str">
        <f t="shared" ref="F44:K44" si="9">IF(COUNT(F45:F47)=ROWS(F45:F47),SUM(F45:F47),"")</f>
        <v/>
      </c>
      <c r="G44" s="2253" t="str">
        <f t="shared" si="9"/>
        <v/>
      </c>
      <c r="H44" s="2253" t="str">
        <f t="shared" si="9"/>
        <v/>
      </c>
      <c r="I44" s="2253" t="str">
        <f t="shared" si="9"/>
        <v/>
      </c>
      <c r="J44" s="2253" t="str">
        <f t="shared" si="9"/>
        <v/>
      </c>
      <c r="K44" s="2253" t="str">
        <f t="shared" si="9"/>
        <v/>
      </c>
      <c r="L44" s="2252"/>
      <c r="M44" s="2253" t="str">
        <f t="shared" ref="M44:R44" si="10">IF(COUNT(M45:M47)=ROWS(M45:M47),SUM(M45:M47),"")</f>
        <v/>
      </c>
      <c r="N44" s="2253" t="str">
        <f t="shared" si="10"/>
        <v/>
      </c>
      <c r="O44" s="2253" t="str">
        <f t="shared" si="10"/>
        <v/>
      </c>
      <c r="P44" s="2253" t="str">
        <f t="shared" si="10"/>
        <v/>
      </c>
      <c r="Q44" s="2253" t="str">
        <f t="shared" si="10"/>
        <v/>
      </c>
      <c r="R44" s="2253" t="str">
        <f t="shared" si="10"/>
        <v/>
      </c>
      <c r="S44" s="2252"/>
    </row>
    <row r="45" spans="2:19" x14ac:dyDescent="0.35">
      <c r="B45" s="164" t="s">
        <v>2681</v>
      </c>
      <c r="C45" s="188"/>
      <c r="D45" s="188"/>
      <c r="E45" s="188"/>
      <c r="F45" s="169"/>
      <c r="G45" s="169"/>
      <c r="H45" s="169"/>
      <c r="I45" s="169"/>
      <c r="J45" s="169"/>
      <c r="K45" s="169"/>
      <c r="L45" s="2252"/>
      <c r="M45" s="169"/>
      <c r="N45" s="169"/>
      <c r="O45" s="169"/>
      <c r="P45" s="169"/>
      <c r="Q45" s="169"/>
      <c r="R45" s="169"/>
      <c r="S45" s="2252"/>
    </row>
    <row r="46" spans="2:19" x14ac:dyDescent="0.35">
      <c r="B46" s="164" t="s">
        <v>2680</v>
      </c>
      <c r="C46" s="188"/>
      <c r="D46" s="188"/>
      <c r="E46" s="188"/>
      <c r="F46" s="169"/>
      <c r="G46" s="169"/>
      <c r="H46" s="169"/>
      <c r="I46" s="169"/>
      <c r="J46" s="169"/>
      <c r="K46" s="169"/>
      <c r="L46" s="2252"/>
      <c r="M46" s="169"/>
      <c r="N46" s="169"/>
      <c r="O46" s="169"/>
      <c r="P46" s="169"/>
      <c r="Q46" s="169"/>
      <c r="R46" s="169"/>
      <c r="S46" s="2252"/>
    </row>
    <row r="47" spans="2:19" x14ac:dyDescent="0.35">
      <c r="B47" s="164" t="s">
        <v>2679</v>
      </c>
      <c r="C47" s="188"/>
      <c r="D47" s="188"/>
      <c r="E47" s="188"/>
      <c r="F47" s="169"/>
      <c r="G47" s="169"/>
      <c r="H47" s="169"/>
      <c r="I47" s="169"/>
      <c r="J47" s="169"/>
      <c r="K47" s="169"/>
      <c r="L47" s="2252"/>
      <c r="M47" s="169"/>
      <c r="N47" s="169"/>
      <c r="O47" s="169"/>
      <c r="P47" s="169"/>
      <c r="Q47" s="169"/>
      <c r="R47" s="169"/>
      <c r="S47" s="2252"/>
    </row>
    <row r="48" spans="2:19" x14ac:dyDescent="0.35">
      <c r="B48" s="152" t="s">
        <v>2682</v>
      </c>
      <c r="C48" s="188"/>
      <c r="D48" s="188"/>
      <c r="E48" s="188"/>
      <c r="F48" s="2253" t="str">
        <f t="shared" ref="F48:K48" si="11">IF(COUNT(F49:F51)=ROWS(F49:F51),SUM(F49:F51),"")</f>
        <v/>
      </c>
      <c r="G48" s="2253" t="str">
        <f t="shared" si="11"/>
        <v/>
      </c>
      <c r="H48" s="2253" t="str">
        <f t="shared" si="11"/>
        <v/>
      </c>
      <c r="I48" s="2253" t="str">
        <f t="shared" si="11"/>
        <v/>
      </c>
      <c r="J48" s="2253" t="str">
        <f t="shared" si="11"/>
        <v/>
      </c>
      <c r="K48" s="2253" t="str">
        <f t="shared" si="11"/>
        <v/>
      </c>
      <c r="L48" s="2252"/>
      <c r="M48" s="2253" t="str">
        <f t="shared" ref="M48:R48" si="12">IF(COUNT(M49:M51)=ROWS(M49:M51),SUM(M49:M51),"")</f>
        <v/>
      </c>
      <c r="N48" s="2253" t="str">
        <f t="shared" si="12"/>
        <v/>
      </c>
      <c r="O48" s="2253" t="str">
        <f t="shared" si="12"/>
        <v/>
      </c>
      <c r="P48" s="2253" t="str">
        <f t="shared" si="12"/>
        <v/>
      </c>
      <c r="Q48" s="2253" t="str">
        <f t="shared" si="12"/>
        <v/>
      </c>
      <c r="R48" s="2253" t="str">
        <f t="shared" si="12"/>
        <v/>
      </c>
      <c r="S48" s="2252"/>
    </row>
    <row r="49" spans="1:19" x14ac:dyDescent="0.35">
      <c r="B49" s="164" t="s">
        <v>2681</v>
      </c>
      <c r="C49" s="188"/>
      <c r="D49" s="188"/>
      <c r="E49" s="188"/>
      <c r="F49" s="169"/>
      <c r="G49" s="169"/>
      <c r="H49" s="169"/>
      <c r="I49" s="169"/>
      <c r="J49" s="169"/>
      <c r="K49" s="169"/>
      <c r="L49" s="2252"/>
      <c r="M49" s="169"/>
      <c r="N49" s="169"/>
      <c r="O49" s="169"/>
      <c r="P49" s="169"/>
      <c r="Q49" s="169"/>
      <c r="R49" s="169"/>
      <c r="S49" s="2252"/>
    </row>
    <row r="50" spans="1:19" x14ac:dyDescent="0.35">
      <c r="B50" s="164" t="s">
        <v>2680</v>
      </c>
      <c r="C50" s="188"/>
      <c r="D50" s="188"/>
      <c r="E50" s="188"/>
      <c r="F50" s="169"/>
      <c r="G50" s="169"/>
      <c r="H50" s="169"/>
      <c r="I50" s="169"/>
      <c r="J50" s="169"/>
      <c r="K50" s="169"/>
      <c r="L50" s="2252"/>
      <c r="M50" s="169"/>
      <c r="N50" s="169"/>
      <c r="O50" s="169"/>
      <c r="P50" s="169"/>
      <c r="Q50" s="169"/>
      <c r="R50" s="169"/>
      <c r="S50" s="2252"/>
    </row>
    <row r="51" spans="1:19" x14ac:dyDescent="0.35">
      <c r="B51" s="164" t="s">
        <v>2679</v>
      </c>
      <c r="C51" s="171"/>
      <c r="D51" s="171"/>
      <c r="E51" s="171"/>
      <c r="F51" s="169"/>
      <c r="G51" s="169"/>
      <c r="H51" s="169"/>
      <c r="I51" s="169"/>
      <c r="J51" s="169"/>
      <c r="K51" s="169"/>
      <c r="L51" s="2250"/>
      <c r="M51" s="169"/>
      <c r="N51" s="169"/>
      <c r="O51" s="169"/>
      <c r="P51" s="169"/>
      <c r="Q51" s="169"/>
      <c r="R51" s="169"/>
      <c r="S51" s="2250"/>
    </row>
    <row r="52" spans="1:19" x14ac:dyDescent="0.35">
      <c r="B52" s="424" t="s">
        <v>59</v>
      </c>
      <c r="C52" s="275"/>
      <c r="D52" s="275"/>
      <c r="E52" s="275"/>
      <c r="F52" s="2248"/>
      <c r="G52" s="2248"/>
      <c r="H52" s="2248"/>
      <c r="I52" s="2248"/>
      <c r="J52" s="2248"/>
      <c r="K52" s="2248"/>
      <c r="L52" s="1980">
        <f>SQRT(SUM(I28:K28))+SQRT(SUM(I36:K36))+SQRT(0.6*SUM(F24:H24,F32:H32,F40:H40,F44:H44,F48:H48)^2+(1-0.6)*SUM(I24:K24,I32:K32,I40:K40,I44:K44,I48:K48))</f>
        <v>0</v>
      </c>
      <c r="M52" s="2248"/>
      <c r="N52" s="2248"/>
      <c r="O52" s="2248"/>
      <c r="P52" s="2248"/>
      <c r="Q52" s="2248"/>
      <c r="R52" s="2248"/>
      <c r="S52" s="1980">
        <f>SQRT(SUM(P28:R28))+SQRT(SUM(P36:R36))+SQRT(0.6*SUM(M24:O24,M32:O32,M40:O40,M44:O44,M48:O48)^2+(1-0.6)*SUM(P24:R24,P32:R32,P40:R40,P44:R44,P48:R48))</f>
        <v>0</v>
      </c>
    </row>
    <row r="53" spans="1:19" ht="59.25" customHeight="1" x14ac:dyDescent="0.35">
      <c r="A53" s="3149" t="s">
        <v>2695</v>
      </c>
      <c r="B53" s="3150"/>
      <c r="C53" s="3150"/>
      <c r="D53" s="3150"/>
      <c r="E53" s="3150"/>
      <c r="F53" s="3150"/>
      <c r="G53" s="3150"/>
      <c r="H53" s="3150"/>
      <c r="I53" s="3150"/>
      <c r="J53" s="3150"/>
    </row>
    <row r="54" spans="1:19" ht="63" customHeight="1" x14ac:dyDescent="0.35">
      <c r="A54" s="2263"/>
      <c r="B54" s="3136" t="s">
        <v>2694</v>
      </c>
      <c r="C54" s="3136"/>
      <c r="D54" s="3136"/>
      <c r="E54" s="3136"/>
      <c r="F54" s="3136"/>
      <c r="G54" s="3136"/>
      <c r="H54" s="3136"/>
      <c r="I54" s="3136"/>
      <c r="J54" s="3136"/>
    </row>
    <row r="55" spans="1:19" x14ac:dyDescent="0.35">
      <c r="B55" s="2262"/>
      <c r="C55" s="2262"/>
      <c r="D55" s="2262"/>
      <c r="E55" s="2262"/>
      <c r="F55" s="2656" t="s">
        <v>2693</v>
      </c>
      <c r="G55" s="2656"/>
      <c r="H55" s="2656"/>
      <c r="I55" s="2656"/>
      <c r="J55" s="2656"/>
      <c r="K55" s="2656"/>
      <c r="L55" s="3151"/>
      <c r="M55" s="3135" t="s">
        <v>2692</v>
      </c>
      <c r="N55" s="2656"/>
      <c r="O55" s="2656"/>
      <c r="P55" s="2656"/>
      <c r="Q55" s="2656"/>
      <c r="R55" s="2656"/>
      <c r="S55" s="2656"/>
    </row>
    <row r="56" spans="1:19" ht="14.25" customHeight="1" x14ac:dyDescent="0.35">
      <c r="B56" s="2261"/>
      <c r="C56" s="2261"/>
      <c r="D56" s="2261"/>
      <c r="E56" s="2261"/>
      <c r="F56" s="3147" t="s">
        <v>2691</v>
      </c>
      <c r="G56" s="3148"/>
      <c r="H56" s="3152"/>
      <c r="I56" s="3147" t="s">
        <v>2690</v>
      </c>
      <c r="J56" s="3148"/>
      <c r="K56" s="3152"/>
      <c r="L56" s="2754" t="s">
        <v>2689</v>
      </c>
      <c r="M56" s="3147" t="s">
        <v>2691</v>
      </c>
      <c r="N56" s="3148"/>
      <c r="O56" s="3152"/>
      <c r="P56" s="3147" t="s">
        <v>2690</v>
      </c>
      <c r="Q56" s="3148"/>
      <c r="R56" s="3152"/>
      <c r="S56" s="2754" t="s">
        <v>2689</v>
      </c>
    </row>
    <row r="57" spans="1:19" ht="46.5" customHeight="1" x14ac:dyDescent="0.35">
      <c r="B57" s="2261"/>
      <c r="C57" s="2261"/>
      <c r="D57" s="2261"/>
      <c r="E57" s="2261"/>
      <c r="F57" s="2565" t="s">
        <v>2672</v>
      </c>
      <c r="G57" s="2566"/>
      <c r="H57" s="2260" t="s">
        <v>2671</v>
      </c>
      <c r="I57" s="2565" t="s">
        <v>2672</v>
      </c>
      <c r="J57" s="2566"/>
      <c r="K57" s="2260" t="s">
        <v>2671</v>
      </c>
      <c r="L57" s="2755"/>
      <c r="M57" s="2565" t="s">
        <v>2672</v>
      </c>
      <c r="N57" s="2566"/>
      <c r="O57" s="2260" t="s">
        <v>2671</v>
      </c>
      <c r="P57" s="2565" t="s">
        <v>2672</v>
      </c>
      <c r="Q57" s="2566"/>
      <c r="R57" s="2260" t="s">
        <v>2671</v>
      </c>
      <c r="S57" s="2755"/>
    </row>
    <row r="58" spans="1:19" ht="45" x14ac:dyDescent="0.35">
      <c r="B58" s="2259"/>
      <c r="C58" s="2259"/>
      <c r="D58" s="2259"/>
      <c r="E58" s="2259"/>
      <c r="F58" s="1969" t="s">
        <v>2670</v>
      </c>
      <c r="G58" s="1969" t="s">
        <v>2669</v>
      </c>
      <c r="H58" s="1969" t="s">
        <v>2668</v>
      </c>
      <c r="I58" s="1969" t="s">
        <v>2670</v>
      </c>
      <c r="J58" s="1969" t="s">
        <v>2669</v>
      </c>
      <c r="K58" s="1969" t="s">
        <v>2668</v>
      </c>
      <c r="L58" s="2756"/>
      <c r="M58" s="1969" t="s">
        <v>2670</v>
      </c>
      <c r="N58" s="1969" t="s">
        <v>2669</v>
      </c>
      <c r="O58" s="1969" t="s">
        <v>2668</v>
      </c>
      <c r="P58" s="1969" t="s">
        <v>2670</v>
      </c>
      <c r="Q58" s="1969" t="s">
        <v>2669</v>
      </c>
      <c r="R58" s="1969" t="s">
        <v>2668</v>
      </c>
      <c r="S58" s="2756"/>
    </row>
    <row r="59" spans="1:19" x14ac:dyDescent="0.35">
      <c r="B59" s="152" t="s">
        <v>2688</v>
      </c>
      <c r="C59" s="463"/>
      <c r="D59" s="463"/>
      <c r="E59" s="463"/>
      <c r="F59" s="2253" t="str">
        <f t="shared" ref="F59:K59" si="13">IF(COUNT(F60:F62)=ROWS(F60:F62),SUM(F60:F62),"")</f>
        <v/>
      </c>
      <c r="G59" s="2253" t="str">
        <f t="shared" si="13"/>
        <v/>
      </c>
      <c r="H59" s="2253" t="str">
        <f t="shared" si="13"/>
        <v/>
      </c>
      <c r="I59" s="2253" t="str">
        <f t="shared" si="13"/>
        <v/>
      </c>
      <c r="J59" s="2253" t="str">
        <f t="shared" si="13"/>
        <v/>
      </c>
      <c r="K59" s="2253" t="str">
        <f t="shared" si="13"/>
        <v/>
      </c>
      <c r="L59" s="2252"/>
      <c r="M59" s="2253" t="str">
        <f t="shared" ref="M59:R59" si="14">IF(COUNT(M60:M62)=ROWS(M60:M62),SUM(M60:M62),"")</f>
        <v/>
      </c>
      <c r="N59" s="2253" t="str">
        <f t="shared" si="14"/>
        <v/>
      </c>
      <c r="O59" s="2253" t="str">
        <f t="shared" si="14"/>
        <v/>
      </c>
      <c r="P59" s="2253" t="str">
        <f t="shared" si="14"/>
        <v/>
      </c>
      <c r="Q59" s="2253" t="str">
        <f t="shared" si="14"/>
        <v/>
      </c>
      <c r="R59" s="2253" t="str">
        <f t="shared" si="14"/>
        <v/>
      </c>
      <c r="S59" s="2251"/>
    </row>
    <row r="60" spans="1:19" x14ac:dyDescent="0.35">
      <c r="B60" s="164" t="s">
        <v>2681</v>
      </c>
      <c r="C60" s="188"/>
      <c r="D60" s="188"/>
      <c r="E60" s="188"/>
      <c r="F60" s="169"/>
      <c r="G60" s="169"/>
      <c r="H60" s="169"/>
      <c r="I60" s="169"/>
      <c r="J60" s="169"/>
      <c r="K60" s="169"/>
      <c r="L60" s="2252"/>
      <c r="M60" s="169"/>
      <c r="N60" s="169"/>
      <c r="O60" s="169"/>
      <c r="P60" s="169"/>
      <c r="Q60" s="169"/>
      <c r="R60" s="169"/>
      <c r="S60" s="2251"/>
    </row>
    <row r="61" spans="1:19" x14ac:dyDescent="0.35">
      <c r="B61" s="164" t="s">
        <v>2680</v>
      </c>
      <c r="C61" s="188"/>
      <c r="D61" s="188"/>
      <c r="E61" s="188"/>
      <c r="F61" s="169"/>
      <c r="G61" s="169"/>
      <c r="H61" s="169"/>
      <c r="I61" s="169"/>
      <c r="J61" s="169"/>
      <c r="K61" s="169"/>
      <c r="L61" s="2252"/>
      <c r="M61" s="169"/>
      <c r="N61" s="169"/>
      <c r="O61" s="169"/>
      <c r="P61" s="169"/>
      <c r="Q61" s="169"/>
      <c r="R61" s="169"/>
      <c r="S61" s="2251"/>
    </row>
    <row r="62" spans="1:19" x14ac:dyDescent="0.35">
      <c r="B62" s="164" t="s">
        <v>2679</v>
      </c>
      <c r="C62" s="188"/>
      <c r="D62" s="188"/>
      <c r="E62" s="188"/>
      <c r="F62" s="169"/>
      <c r="G62" s="169"/>
      <c r="H62" s="169"/>
      <c r="I62" s="169"/>
      <c r="J62" s="169"/>
      <c r="K62" s="169"/>
      <c r="L62" s="2252"/>
      <c r="M62" s="169"/>
      <c r="N62" s="169"/>
      <c r="O62" s="169"/>
      <c r="P62" s="169"/>
      <c r="Q62" s="169"/>
      <c r="R62" s="169"/>
      <c r="S62" s="2251"/>
    </row>
    <row r="63" spans="1:19" x14ac:dyDescent="0.35">
      <c r="B63" s="152" t="s">
        <v>2687</v>
      </c>
      <c r="C63" s="161"/>
      <c r="D63" s="161"/>
      <c r="E63" s="161"/>
      <c r="F63" s="2252"/>
      <c r="G63" s="2255"/>
      <c r="H63" s="2258"/>
      <c r="I63" s="2253" t="str">
        <f>IF(COUNT(I64:I66)=ROWS(I64:I66),SUM(I64:I66),"")</f>
        <v/>
      </c>
      <c r="J63" s="2253" t="str">
        <f>IF(COUNT(J64:J66)=ROWS(J64:J66),SUM(J64:J66),"")</f>
        <v/>
      </c>
      <c r="K63" s="2253" t="str">
        <f>IF(COUNT(K64:K66)=ROWS(K64:K66),SUM(K64:K66),"")</f>
        <v/>
      </c>
      <c r="L63" s="2255"/>
      <c r="M63" s="2252"/>
      <c r="N63" s="2255"/>
      <c r="O63" s="2258"/>
      <c r="P63" s="2253" t="str">
        <f>IF(COUNT(P64:P66)=ROWS(P64:P66),SUM(P64:P66),"")</f>
        <v/>
      </c>
      <c r="Q63" s="2253" t="str">
        <f>IF(COUNT(Q64:Q66)=ROWS(Q64:Q66),SUM(Q64:Q66),"")</f>
        <v/>
      </c>
      <c r="R63" s="2253" t="str">
        <f>IF(COUNT(R64:R66)=ROWS(R64:R66),SUM(R64:R66),"")</f>
        <v/>
      </c>
      <c r="S63" s="2251"/>
    </row>
    <row r="64" spans="1:19" x14ac:dyDescent="0.35">
      <c r="B64" s="164" t="s">
        <v>2681</v>
      </c>
      <c r="C64" s="188"/>
      <c r="D64" s="188"/>
      <c r="E64" s="188"/>
      <c r="F64" s="2256"/>
      <c r="G64" s="2255"/>
      <c r="H64" s="2258"/>
      <c r="I64" s="169"/>
      <c r="J64" s="169"/>
      <c r="K64" s="169"/>
      <c r="L64" s="2255"/>
      <c r="M64" s="2256"/>
      <c r="N64" s="2255"/>
      <c r="O64" s="2258"/>
      <c r="P64" s="169"/>
      <c r="Q64" s="169"/>
      <c r="R64" s="169"/>
      <c r="S64" s="2251"/>
    </row>
    <row r="65" spans="2:19" x14ac:dyDescent="0.35">
      <c r="B65" s="164" t="s">
        <v>2680</v>
      </c>
      <c r="C65" s="188"/>
      <c r="D65" s="188"/>
      <c r="E65" s="188"/>
      <c r="F65" s="2256"/>
      <c r="G65" s="2255"/>
      <c r="H65" s="2257"/>
      <c r="I65" s="169"/>
      <c r="J65" s="169"/>
      <c r="K65" s="169"/>
      <c r="L65" s="2255"/>
      <c r="M65" s="2256"/>
      <c r="N65" s="2255"/>
      <c r="O65" s="2257"/>
      <c r="P65" s="169"/>
      <c r="Q65" s="169"/>
      <c r="R65" s="169"/>
      <c r="S65" s="2251"/>
    </row>
    <row r="66" spans="2:19" x14ac:dyDescent="0.35">
      <c r="B66" s="164" t="s">
        <v>2679</v>
      </c>
      <c r="C66" s="188"/>
      <c r="D66" s="188"/>
      <c r="E66" s="188"/>
      <c r="F66" s="2256"/>
      <c r="G66" s="2255"/>
      <c r="H66" s="2254"/>
      <c r="I66" s="169"/>
      <c r="J66" s="169"/>
      <c r="K66" s="169"/>
      <c r="L66" s="2255"/>
      <c r="M66" s="2256"/>
      <c r="N66" s="2255"/>
      <c r="O66" s="2254"/>
      <c r="P66" s="169"/>
      <c r="Q66" s="169"/>
      <c r="R66" s="169"/>
      <c r="S66" s="2251"/>
    </row>
    <row r="67" spans="2:19" x14ac:dyDescent="0.35">
      <c r="B67" s="152" t="s">
        <v>2686</v>
      </c>
      <c r="C67" s="161"/>
      <c r="D67" s="161"/>
      <c r="E67" s="161"/>
      <c r="F67" s="2253" t="str">
        <f t="shared" ref="F67:K67" si="15">IF(COUNT(F68:F70)=ROWS(F68:F70),SUM(F68:F70),"")</f>
        <v/>
      </c>
      <c r="G67" s="2253" t="str">
        <f t="shared" si="15"/>
        <v/>
      </c>
      <c r="H67" s="2253" t="str">
        <f t="shared" si="15"/>
        <v/>
      </c>
      <c r="I67" s="2253" t="str">
        <f t="shared" si="15"/>
        <v/>
      </c>
      <c r="J67" s="2253" t="str">
        <f t="shared" si="15"/>
        <v/>
      </c>
      <c r="K67" s="2253" t="str">
        <f t="shared" si="15"/>
        <v/>
      </c>
      <c r="L67" s="2252"/>
      <c r="M67" s="2253" t="str">
        <f t="shared" ref="M67:R67" si="16">IF(COUNT(M68:M70)=ROWS(M68:M70),SUM(M68:M70),"")</f>
        <v/>
      </c>
      <c r="N67" s="2253" t="str">
        <f t="shared" si="16"/>
        <v/>
      </c>
      <c r="O67" s="2253" t="str">
        <f t="shared" si="16"/>
        <v/>
      </c>
      <c r="P67" s="2253" t="str">
        <f t="shared" si="16"/>
        <v/>
      </c>
      <c r="Q67" s="2253" t="str">
        <f t="shared" si="16"/>
        <v/>
      </c>
      <c r="R67" s="2253" t="str">
        <f t="shared" si="16"/>
        <v/>
      </c>
      <c r="S67" s="2251"/>
    </row>
    <row r="68" spans="2:19" x14ac:dyDescent="0.35">
      <c r="B68" s="164" t="s">
        <v>2681</v>
      </c>
      <c r="C68" s="188"/>
      <c r="D68" s="188"/>
      <c r="E68" s="188"/>
      <c r="F68" s="169"/>
      <c r="G68" s="169"/>
      <c r="H68" s="169"/>
      <c r="I68" s="169"/>
      <c r="J68" s="169"/>
      <c r="K68" s="169"/>
      <c r="L68" s="2252"/>
      <c r="M68" s="169"/>
      <c r="N68" s="169"/>
      <c r="O68" s="169"/>
      <c r="P68" s="169"/>
      <c r="Q68" s="169"/>
      <c r="R68" s="169"/>
      <c r="S68" s="2251"/>
    </row>
    <row r="69" spans="2:19" x14ac:dyDescent="0.35">
      <c r="B69" s="164" t="s">
        <v>2680</v>
      </c>
      <c r="C69" s="188"/>
      <c r="D69" s="188"/>
      <c r="E69" s="188"/>
      <c r="F69" s="169"/>
      <c r="G69" s="169"/>
      <c r="H69" s="169"/>
      <c r="I69" s="169"/>
      <c r="J69" s="169"/>
      <c r="K69" s="169"/>
      <c r="L69" s="2252"/>
      <c r="M69" s="169"/>
      <c r="N69" s="169"/>
      <c r="O69" s="169"/>
      <c r="P69" s="169"/>
      <c r="Q69" s="169"/>
      <c r="R69" s="169"/>
      <c r="S69" s="2251"/>
    </row>
    <row r="70" spans="2:19" x14ac:dyDescent="0.35">
      <c r="B70" s="164" t="s">
        <v>2679</v>
      </c>
      <c r="C70" s="188"/>
      <c r="D70" s="188"/>
      <c r="E70" s="188"/>
      <c r="F70" s="169"/>
      <c r="G70" s="169"/>
      <c r="H70" s="169"/>
      <c r="I70" s="169"/>
      <c r="J70" s="169"/>
      <c r="K70" s="169"/>
      <c r="L70" s="2252"/>
      <c r="M70" s="169"/>
      <c r="N70" s="169"/>
      <c r="O70" s="169"/>
      <c r="P70" s="169"/>
      <c r="Q70" s="169"/>
      <c r="R70" s="169"/>
      <c r="S70" s="2251"/>
    </row>
    <row r="71" spans="2:19" x14ac:dyDescent="0.35">
      <c r="B71" s="152" t="s">
        <v>2685</v>
      </c>
      <c r="C71" s="161"/>
      <c r="D71" s="161"/>
      <c r="E71" s="161"/>
      <c r="F71" s="2252"/>
      <c r="G71" s="2255"/>
      <c r="H71" s="2258"/>
      <c r="I71" s="2253" t="str">
        <f>IF(COUNT(I72:I74)=ROWS(I72:I74),SUM(I72:I74),"")</f>
        <v/>
      </c>
      <c r="J71" s="2253" t="str">
        <f>IF(COUNT(J72:J74)=ROWS(J72:J74),SUM(J72:J74),"")</f>
        <v/>
      </c>
      <c r="K71" s="2253" t="str">
        <f>IF(COUNT(K72:K74)=ROWS(K72:K74),SUM(K72:K74),"")</f>
        <v/>
      </c>
      <c r="L71" s="2255"/>
      <c r="M71" s="2252"/>
      <c r="N71" s="2255"/>
      <c r="O71" s="2258"/>
      <c r="P71" s="2253" t="str">
        <f>IF(COUNT(P72:P74)=ROWS(P72:P74),SUM(P72:P74),"")</f>
        <v/>
      </c>
      <c r="Q71" s="2253" t="str">
        <f>IF(COUNT(Q72:Q74)=ROWS(Q72:Q74),SUM(Q72:Q74),"")</f>
        <v/>
      </c>
      <c r="R71" s="2253" t="str">
        <f>IF(COUNT(R72:R74)=ROWS(R72:R74),SUM(R72:R74),"")</f>
        <v/>
      </c>
      <c r="S71" s="2251"/>
    </row>
    <row r="72" spans="2:19" x14ac:dyDescent="0.35">
      <c r="B72" s="164" t="s">
        <v>2681</v>
      </c>
      <c r="C72" s="188"/>
      <c r="D72" s="188"/>
      <c r="E72" s="188"/>
      <c r="F72" s="2256"/>
      <c r="G72" s="2255"/>
      <c r="H72" s="2258"/>
      <c r="I72" s="169"/>
      <c r="J72" s="169"/>
      <c r="K72" s="169"/>
      <c r="L72" s="2255"/>
      <c r="M72" s="2256"/>
      <c r="N72" s="2255"/>
      <c r="O72" s="2258"/>
      <c r="P72" s="169"/>
      <c r="Q72" s="169"/>
      <c r="R72" s="169"/>
      <c r="S72" s="2251"/>
    </row>
    <row r="73" spans="2:19" x14ac:dyDescent="0.35">
      <c r="B73" s="164" t="s">
        <v>2680</v>
      </c>
      <c r="C73" s="188"/>
      <c r="D73" s="188"/>
      <c r="E73" s="188"/>
      <c r="F73" s="2256"/>
      <c r="G73" s="2255"/>
      <c r="H73" s="2257"/>
      <c r="I73" s="169"/>
      <c r="J73" s="169"/>
      <c r="K73" s="169"/>
      <c r="L73" s="2255"/>
      <c r="M73" s="2256"/>
      <c r="N73" s="2255"/>
      <c r="O73" s="2257"/>
      <c r="P73" s="169"/>
      <c r="Q73" s="169"/>
      <c r="R73" s="169"/>
      <c r="S73" s="2251"/>
    </row>
    <row r="74" spans="2:19" x14ac:dyDescent="0.35">
      <c r="B74" s="164" t="s">
        <v>2679</v>
      </c>
      <c r="C74" s="188"/>
      <c r="D74" s="188"/>
      <c r="E74" s="188"/>
      <c r="F74" s="2256"/>
      <c r="G74" s="2255"/>
      <c r="H74" s="2254"/>
      <c r="I74" s="169"/>
      <c r="J74" s="169"/>
      <c r="K74" s="169"/>
      <c r="L74" s="2255"/>
      <c r="M74" s="2256"/>
      <c r="N74" s="2255"/>
      <c r="O74" s="2254"/>
      <c r="P74" s="169"/>
      <c r="Q74" s="169"/>
      <c r="R74" s="169"/>
      <c r="S74" s="2251"/>
    </row>
    <row r="75" spans="2:19" x14ac:dyDescent="0.35">
      <c r="B75" s="152" t="s">
        <v>2684</v>
      </c>
      <c r="C75" s="161"/>
      <c r="D75" s="161"/>
      <c r="E75" s="161"/>
      <c r="F75" s="2253" t="str">
        <f t="shared" ref="F75:K75" si="17">IF(COUNT(F76:F78)=ROWS(F76:F78),SUM(F76:F78),"")</f>
        <v/>
      </c>
      <c r="G75" s="2253" t="str">
        <f t="shared" si="17"/>
        <v/>
      </c>
      <c r="H75" s="2253" t="str">
        <f t="shared" si="17"/>
        <v/>
      </c>
      <c r="I75" s="2253" t="str">
        <f t="shared" si="17"/>
        <v/>
      </c>
      <c r="J75" s="2253" t="str">
        <f t="shared" si="17"/>
        <v/>
      </c>
      <c r="K75" s="2253" t="str">
        <f t="shared" si="17"/>
        <v/>
      </c>
      <c r="L75" s="2252"/>
      <c r="M75" s="2253" t="str">
        <f t="shared" ref="M75:R75" si="18">IF(COUNT(M76:M78)=ROWS(M76:M78),SUM(M76:M78),"")</f>
        <v/>
      </c>
      <c r="N75" s="2253" t="str">
        <f t="shared" si="18"/>
        <v/>
      </c>
      <c r="O75" s="2253" t="str">
        <f t="shared" si="18"/>
        <v/>
      </c>
      <c r="P75" s="2253" t="str">
        <f t="shared" si="18"/>
        <v/>
      </c>
      <c r="Q75" s="2253" t="str">
        <f t="shared" si="18"/>
        <v/>
      </c>
      <c r="R75" s="2253" t="str">
        <f t="shared" si="18"/>
        <v/>
      </c>
      <c r="S75" s="2251"/>
    </row>
    <row r="76" spans="2:19" x14ac:dyDescent="0.35">
      <c r="B76" s="164" t="s">
        <v>2681</v>
      </c>
      <c r="C76" s="188"/>
      <c r="D76" s="188"/>
      <c r="E76" s="188"/>
      <c r="F76" s="169"/>
      <c r="G76" s="169"/>
      <c r="H76" s="169"/>
      <c r="I76" s="169"/>
      <c r="J76" s="169"/>
      <c r="K76" s="169"/>
      <c r="L76" s="2252"/>
      <c r="M76" s="169"/>
      <c r="N76" s="169"/>
      <c r="O76" s="169"/>
      <c r="P76" s="169"/>
      <c r="Q76" s="169"/>
      <c r="R76" s="169"/>
      <c r="S76" s="2251"/>
    </row>
    <row r="77" spans="2:19" x14ac:dyDescent="0.35">
      <c r="B77" s="164" t="s">
        <v>2680</v>
      </c>
      <c r="C77" s="188"/>
      <c r="D77" s="188"/>
      <c r="E77" s="188"/>
      <c r="F77" s="169"/>
      <c r="G77" s="169"/>
      <c r="H77" s="169"/>
      <c r="I77" s="169"/>
      <c r="J77" s="169"/>
      <c r="K77" s="169"/>
      <c r="L77" s="2252"/>
      <c r="M77" s="169"/>
      <c r="N77" s="169"/>
      <c r="O77" s="169"/>
      <c r="P77" s="169"/>
      <c r="Q77" s="169"/>
      <c r="R77" s="169"/>
      <c r="S77" s="2251"/>
    </row>
    <row r="78" spans="2:19" x14ac:dyDescent="0.35">
      <c r="B78" s="164" t="s">
        <v>2679</v>
      </c>
      <c r="C78" s="188"/>
      <c r="D78" s="188"/>
      <c r="E78" s="188"/>
      <c r="F78" s="169"/>
      <c r="G78" s="169"/>
      <c r="H78" s="169"/>
      <c r="I78" s="169"/>
      <c r="J78" s="169"/>
      <c r="K78" s="169"/>
      <c r="L78" s="2252"/>
      <c r="M78" s="169"/>
      <c r="N78" s="169"/>
      <c r="O78" s="169"/>
      <c r="P78" s="169"/>
      <c r="Q78" s="169"/>
      <c r="R78" s="169"/>
      <c r="S78" s="2251"/>
    </row>
    <row r="79" spans="2:19" x14ac:dyDescent="0.35">
      <c r="B79" s="152" t="s">
        <v>2683</v>
      </c>
      <c r="C79" s="161"/>
      <c r="D79" s="161"/>
      <c r="E79" s="161"/>
      <c r="F79" s="2253" t="str">
        <f t="shared" ref="F79:K79" si="19">IF(COUNT(F80:F82)=ROWS(F80:F82),SUM(F80:F82),"")</f>
        <v/>
      </c>
      <c r="G79" s="2253" t="str">
        <f t="shared" si="19"/>
        <v/>
      </c>
      <c r="H79" s="2253" t="str">
        <f t="shared" si="19"/>
        <v/>
      </c>
      <c r="I79" s="2253" t="str">
        <f t="shared" si="19"/>
        <v/>
      </c>
      <c r="J79" s="2253" t="str">
        <f t="shared" si="19"/>
        <v/>
      </c>
      <c r="K79" s="2253" t="str">
        <f t="shared" si="19"/>
        <v/>
      </c>
      <c r="L79" s="2252"/>
      <c r="M79" s="2253" t="str">
        <f t="shared" ref="M79:R79" si="20">IF(COUNT(M80:M82)=ROWS(M80:M82),SUM(M80:M82),"")</f>
        <v/>
      </c>
      <c r="N79" s="2253" t="str">
        <f t="shared" si="20"/>
        <v/>
      </c>
      <c r="O79" s="2253" t="str">
        <f t="shared" si="20"/>
        <v/>
      </c>
      <c r="P79" s="2253" t="str">
        <f t="shared" si="20"/>
        <v/>
      </c>
      <c r="Q79" s="2253" t="str">
        <f t="shared" si="20"/>
        <v/>
      </c>
      <c r="R79" s="2253" t="str">
        <f t="shared" si="20"/>
        <v/>
      </c>
      <c r="S79" s="2251"/>
    </row>
    <row r="80" spans="2:19" x14ac:dyDescent="0.35">
      <c r="B80" s="164" t="s">
        <v>2681</v>
      </c>
      <c r="C80" s="188"/>
      <c r="D80" s="188"/>
      <c r="E80" s="188"/>
      <c r="F80" s="169"/>
      <c r="G80" s="169"/>
      <c r="H80" s="169"/>
      <c r="I80" s="169"/>
      <c r="J80" s="169"/>
      <c r="K80" s="169"/>
      <c r="L80" s="2252"/>
      <c r="M80" s="169"/>
      <c r="N80" s="169"/>
      <c r="O80" s="169"/>
      <c r="P80" s="169"/>
      <c r="Q80" s="169"/>
      <c r="R80" s="169"/>
      <c r="S80" s="2251"/>
    </row>
    <row r="81" spans="1:19" x14ac:dyDescent="0.35">
      <c r="B81" s="164" t="s">
        <v>2680</v>
      </c>
      <c r="C81" s="188"/>
      <c r="D81" s="188"/>
      <c r="E81" s="188"/>
      <c r="F81" s="169"/>
      <c r="G81" s="169"/>
      <c r="H81" s="169"/>
      <c r="I81" s="169"/>
      <c r="J81" s="169"/>
      <c r="K81" s="169"/>
      <c r="L81" s="2252"/>
      <c r="M81" s="169"/>
      <c r="N81" s="169"/>
      <c r="O81" s="169"/>
      <c r="P81" s="169"/>
      <c r="Q81" s="169"/>
      <c r="R81" s="169"/>
      <c r="S81" s="2251"/>
    </row>
    <row r="82" spans="1:19" x14ac:dyDescent="0.35">
      <c r="B82" s="164" t="s">
        <v>2679</v>
      </c>
      <c r="C82" s="188"/>
      <c r="D82" s="188"/>
      <c r="E82" s="188"/>
      <c r="F82" s="169"/>
      <c r="G82" s="169"/>
      <c r="H82" s="169"/>
      <c r="I82" s="169"/>
      <c r="J82" s="169"/>
      <c r="K82" s="169"/>
      <c r="L82" s="2252"/>
      <c r="M82" s="169"/>
      <c r="N82" s="169"/>
      <c r="O82" s="169"/>
      <c r="P82" s="169"/>
      <c r="Q82" s="169"/>
      <c r="R82" s="169"/>
      <c r="S82" s="2251"/>
    </row>
    <row r="83" spans="1:19" x14ac:dyDescent="0.35">
      <c r="B83" s="152" t="s">
        <v>2682</v>
      </c>
      <c r="C83" s="188"/>
      <c r="D83" s="188"/>
      <c r="E83" s="188"/>
      <c r="F83" s="2253" t="str">
        <f t="shared" ref="F83:K83" si="21">IF(COUNT(F84:F86)=ROWS(F84:F86),SUM(F84:F86),"")</f>
        <v/>
      </c>
      <c r="G83" s="2253" t="str">
        <f t="shared" si="21"/>
        <v/>
      </c>
      <c r="H83" s="2253" t="str">
        <f t="shared" si="21"/>
        <v/>
      </c>
      <c r="I83" s="2253" t="str">
        <f t="shared" si="21"/>
        <v/>
      </c>
      <c r="J83" s="2253" t="str">
        <f t="shared" si="21"/>
        <v/>
      </c>
      <c r="K83" s="2253" t="str">
        <f t="shared" si="21"/>
        <v/>
      </c>
      <c r="L83" s="2252"/>
      <c r="M83" s="2253" t="str">
        <f t="shared" ref="M83:R83" si="22">IF(COUNT(M84:M86)=ROWS(M84:M86),SUM(M84:M86),"")</f>
        <v/>
      </c>
      <c r="N83" s="2253" t="str">
        <f t="shared" si="22"/>
        <v/>
      </c>
      <c r="O83" s="2253" t="str">
        <f t="shared" si="22"/>
        <v/>
      </c>
      <c r="P83" s="2253" t="str">
        <f t="shared" si="22"/>
        <v/>
      </c>
      <c r="Q83" s="2253" t="str">
        <f t="shared" si="22"/>
        <v/>
      </c>
      <c r="R83" s="2253" t="str">
        <f t="shared" si="22"/>
        <v/>
      </c>
      <c r="S83" s="2251"/>
    </row>
    <row r="84" spans="1:19" x14ac:dyDescent="0.35">
      <c r="B84" s="164" t="s">
        <v>2681</v>
      </c>
      <c r="C84" s="188"/>
      <c r="D84" s="188"/>
      <c r="E84" s="188"/>
      <c r="F84" s="169"/>
      <c r="G84" s="169"/>
      <c r="H84" s="169"/>
      <c r="I84" s="169"/>
      <c r="J84" s="169"/>
      <c r="K84" s="169"/>
      <c r="L84" s="2252"/>
      <c r="M84" s="169"/>
      <c r="N84" s="169"/>
      <c r="O84" s="169"/>
      <c r="P84" s="169"/>
      <c r="Q84" s="169"/>
      <c r="R84" s="169"/>
      <c r="S84" s="2251"/>
    </row>
    <row r="85" spans="1:19" x14ac:dyDescent="0.35">
      <c r="B85" s="164" t="s">
        <v>2680</v>
      </c>
      <c r="C85" s="188"/>
      <c r="D85" s="188"/>
      <c r="E85" s="188"/>
      <c r="F85" s="169"/>
      <c r="G85" s="169"/>
      <c r="H85" s="169"/>
      <c r="I85" s="169"/>
      <c r="J85" s="169"/>
      <c r="K85" s="169"/>
      <c r="L85" s="2252"/>
      <c r="M85" s="169"/>
      <c r="N85" s="169"/>
      <c r="O85" s="169"/>
      <c r="P85" s="169"/>
      <c r="Q85" s="169"/>
      <c r="R85" s="169"/>
      <c r="S85" s="2251"/>
    </row>
    <row r="86" spans="1:19" x14ac:dyDescent="0.35">
      <c r="B86" s="164" t="s">
        <v>2679</v>
      </c>
      <c r="C86" s="171"/>
      <c r="D86" s="171"/>
      <c r="E86" s="171"/>
      <c r="F86" s="169"/>
      <c r="G86" s="169"/>
      <c r="H86" s="169"/>
      <c r="I86" s="169"/>
      <c r="J86" s="169"/>
      <c r="K86" s="169"/>
      <c r="L86" s="2250"/>
      <c r="M86" s="169"/>
      <c r="N86" s="169"/>
      <c r="O86" s="169"/>
      <c r="P86" s="169"/>
      <c r="Q86" s="169"/>
      <c r="R86" s="169"/>
      <c r="S86" s="2249"/>
    </row>
    <row r="87" spans="1:19" x14ac:dyDescent="0.35">
      <c r="B87" s="424" t="s">
        <v>59</v>
      </c>
      <c r="C87" s="275"/>
      <c r="D87" s="275"/>
      <c r="E87" s="275"/>
      <c r="F87" s="2248"/>
      <c r="G87" s="2248"/>
      <c r="H87" s="2248"/>
      <c r="I87" s="2248"/>
      <c r="J87" s="2248"/>
      <c r="K87" s="2248"/>
      <c r="L87" s="1980">
        <f>SQRT(SUM(I63:K63))+SQRT(SUM(I71:K71))+SQRT(0.6*SUM(F59:H59,F67:H67,F75:H75,F79:H79,F83:H83)^2+(1-0.6)*SUM(I59:K59,I67:K67,I75:K75,I79:K79,I83:K83))</f>
        <v>0</v>
      </c>
      <c r="M87" s="2248"/>
      <c r="N87" s="2248"/>
      <c r="O87" s="2248"/>
      <c r="P87" s="2248"/>
      <c r="Q87" s="2248"/>
      <c r="R87" s="2248"/>
      <c r="S87" s="2247">
        <f>SQRT(SUM(P63:R63))+SQRT(SUM(P71:R71))+SQRT(0.6*SUM(M59:O59,M67:O67,M75:O75,M79:O79,M83:O83)^2+(1-0.6)*SUM(P59:R59,P67:R67,P75:R75,P79:R79,P83:R83))</f>
        <v>0</v>
      </c>
    </row>
    <row r="88" spans="1:19" ht="64.5" customHeight="1" x14ac:dyDescent="0.35">
      <c r="A88" s="2246" t="s">
        <v>2678</v>
      </c>
      <c r="B88" s="312"/>
      <c r="C88" s="85"/>
      <c r="D88" s="85"/>
      <c r="E88" s="85"/>
      <c r="F88" s="85"/>
      <c r="G88" s="85"/>
      <c r="H88" s="85"/>
      <c r="I88" s="85"/>
      <c r="J88" s="85"/>
      <c r="K88" s="85"/>
      <c r="L88" s="85"/>
      <c r="M88" s="85"/>
      <c r="N88" s="85"/>
      <c r="O88" s="85"/>
      <c r="P88" s="85"/>
      <c r="Q88" s="85"/>
    </row>
    <row r="89" spans="1:19" x14ac:dyDescent="0.35">
      <c r="A89" s="263"/>
      <c r="B89" s="3032"/>
      <c r="C89" s="3032"/>
      <c r="D89" s="3032"/>
      <c r="E89" s="3032"/>
      <c r="F89" s="3003" t="s">
        <v>2677</v>
      </c>
      <c r="G89" s="3003"/>
      <c r="H89" s="3003"/>
      <c r="I89" s="3004"/>
      <c r="J89" s="3003" t="s">
        <v>2676</v>
      </c>
      <c r="K89" s="3003"/>
      <c r="L89" s="3003"/>
      <c r="M89" s="3004"/>
      <c r="N89" s="2245" t="s">
        <v>2675</v>
      </c>
    </row>
    <row r="90" spans="1:19" ht="31.5" customHeight="1" x14ac:dyDescent="0.35">
      <c r="A90" s="263"/>
      <c r="B90" s="3153"/>
      <c r="C90" s="3153"/>
      <c r="D90" s="3153"/>
      <c r="E90" s="3153"/>
      <c r="F90" s="3138" t="s">
        <v>2674</v>
      </c>
      <c r="G90" s="3139"/>
      <c r="H90" s="2244" t="s">
        <v>2673</v>
      </c>
      <c r="I90" s="3140" t="s">
        <v>59</v>
      </c>
      <c r="J90" s="3138" t="s">
        <v>2674</v>
      </c>
      <c r="K90" s="3139"/>
      <c r="L90" s="2244" t="s">
        <v>2673</v>
      </c>
      <c r="M90" s="3140" t="s">
        <v>59</v>
      </c>
      <c r="N90" s="3140" t="s">
        <v>59</v>
      </c>
    </row>
    <row r="91" spans="1:19" ht="31.5" customHeight="1" x14ac:dyDescent="0.35">
      <c r="A91" s="98"/>
      <c r="B91" s="3153"/>
      <c r="C91" s="3153"/>
      <c r="D91" s="3153"/>
      <c r="E91" s="3153"/>
      <c r="F91" s="3143" t="s">
        <v>2672</v>
      </c>
      <c r="G91" s="3144"/>
      <c r="H91" s="2243" t="s">
        <v>2671</v>
      </c>
      <c r="I91" s="3141"/>
      <c r="J91" s="3143" t="s">
        <v>2672</v>
      </c>
      <c r="K91" s="3144"/>
      <c r="L91" s="2243" t="s">
        <v>2671</v>
      </c>
      <c r="M91" s="3141"/>
      <c r="N91" s="3141"/>
    </row>
    <row r="92" spans="1:19" ht="60" customHeight="1" x14ac:dyDescent="0.35">
      <c r="A92" s="98"/>
      <c r="B92" s="3033"/>
      <c r="C92" s="3033"/>
      <c r="D92" s="3033"/>
      <c r="E92" s="3033"/>
      <c r="F92" s="1969" t="s">
        <v>2670</v>
      </c>
      <c r="G92" s="1969" t="s">
        <v>2669</v>
      </c>
      <c r="H92" s="1969" t="s">
        <v>2668</v>
      </c>
      <c r="I92" s="3142"/>
      <c r="J92" s="2242" t="s">
        <v>2670</v>
      </c>
      <c r="K92" s="2242" t="s">
        <v>2669</v>
      </c>
      <c r="L92" s="2242" t="s">
        <v>2668</v>
      </c>
      <c r="M92" s="3142"/>
      <c r="N92" s="3142"/>
    </row>
    <row r="93" spans="1:19" ht="14.25" customHeight="1" x14ac:dyDescent="0.35">
      <c r="B93" s="152" t="s">
        <v>2667</v>
      </c>
      <c r="C93" s="463"/>
      <c r="D93" s="463"/>
      <c r="E93" s="463"/>
      <c r="F93" s="169"/>
      <c r="G93" s="169"/>
      <c r="H93" s="169"/>
      <c r="I93" s="2241" t="str">
        <f>IF(AND(ISNUMBER(F93),ISNUMBER(G93),ISNUMBER(H93)),SUM(F93:H93),"")</f>
        <v/>
      </c>
      <c r="J93" s="169"/>
      <c r="K93" s="169"/>
      <c r="L93" s="169"/>
      <c r="M93" s="2241" t="str">
        <f>IF(AND(ISNUMBER(J93),ISNUMBER(K93),ISNUMBER(L93)),SUM(J93:L93),"")</f>
        <v/>
      </c>
      <c r="N93" s="2241" t="str">
        <f>IF(AND(ISNUMBER(I93),ISNUMBER(M93)),SUM(I93,M93),"")</f>
        <v/>
      </c>
    </row>
    <row r="94" spans="1:19" ht="14.25" customHeight="1" x14ac:dyDescent="0.35">
      <c r="B94" s="152" t="s">
        <v>2666</v>
      </c>
      <c r="C94" s="161"/>
      <c r="D94" s="161"/>
      <c r="E94" s="161"/>
      <c r="F94" s="169"/>
      <c r="G94" s="169"/>
      <c r="H94" s="169"/>
      <c r="I94" s="2241" t="str">
        <f>IF(AND(ISNUMBER(F94),ISNUMBER(G94),ISNUMBER(H94)),SUM(F94:H94),"")</f>
        <v/>
      </c>
      <c r="J94" s="169"/>
      <c r="K94" s="169"/>
      <c r="L94" s="169"/>
      <c r="M94" s="2241" t="str">
        <f>IF(AND(ISNUMBER(J94),ISNUMBER(K94),ISNUMBER(L94)),SUM(J94:L94),"")</f>
        <v/>
      </c>
      <c r="N94" s="2241" t="str">
        <f>IF(AND(ISNUMBER(I94),ISNUMBER(M94)),SUM(I94,M94),"")</f>
        <v/>
      </c>
    </row>
    <row r="95" spans="1:19" ht="14.25" customHeight="1" x14ac:dyDescent="0.35">
      <c r="B95" s="152" t="s">
        <v>2665</v>
      </c>
      <c r="C95" s="161"/>
      <c r="D95" s="161"/>
      <c r="E95" s="161"/>
      <c r="F95" s="169"/>
      <c r="G95" s="169"/>
      <c r="H95" s="169"/>
      <c r="I95" s="2241" t="str">
        <f>IF(AND(ISNUMBER(F95),ISNUMBER(G95),ISNUMBER(H95)),SUM(F95:H95),"")</f>
        <v/>
      </c>
      <c r="J95" s="169"/>
      <c r="K95" s="169"/>
      <c r="L95" s="169"/>
      <c r="M95" s="2241" t="str">
        <f>IF(AND(ISNUMBER(J95),ISNUMBER(K95),ISNUMBER(L95)),SUM(J95:L95),"")</f>
        <v/>
      </c>
      <c r="N95" s="2241" t="str">
        <f>IF(AND(ISNUMBER(I95),ISNUMBER(M95)),SUM(I95,M95),"")</f>
        <v/>
      </c>
    </row>
    <row r="96" spans="1:19" ht="14.25" customHeight="1" x14ac:dyDescent="0.35">
      <c r="B96" s="218" t="s">
        <v>2664</v>
      </c>
      <c r="C96" s="171"/>
      <c r="D96" s="171"/>
      <c r="E96" s="171"/>
      <c r="F96" s="169"/>
      <c r="G96" s="169"/>
      <c r="H96" s="169"/>
      <c r="I96" s="2240" t="str">
        <f>IF(AND(ISNUMBER(F96),ISNUMBER(G96),ISNUMBER(H96)),SUM(F96:H96),"")</f>
        <v/>
      </c>
      <c r="J96" s="169"/>
      <c r="K96" s="169"/>
      <c r="L96" s="169"/>
      <c r="M96" s="2240" t="str">
        <f>IF(AND(ISNUMBER(J96),ISNUMBER(K96),ISNUMBER(L96)),SUM(J96:L96),"")</f>
        <v/>
      </c>
      <c r="N96" s="2239" t="str">
        <f>IF(AND(ISNUMBER(I96),ISNUMBER(M96)),SUM(I96,M96),"")</f>
        <v/>
      </c>
    </row>
    <row r="97" spans="2:14" x14ac:dyDescent="0.35">
      <c r="B97" s="424" t="s">
        <v>59</v>
      </c>
      <c r="C97" s="275"/>
      <c r="D97" s="275"/>
      <c r="E97" s="275"/>
      <c r="F97" s="2237" t="str">
        <f t="shared" ref="F97:M97" si="23">IF(AND(ISNUMBER(F93),ISNUMBER(F94),ISNUMBER(F95),ISNUMBER(F96)),SUM(F93:F96),"")</f>
        <v/>
      </c>
      <c r="G97" s="2237" t="str">
        <f t="shared" si="23"/>
        <v/>
      </c>
      <c r="H97" s="2237" t="str">
        <f t="shared" si="23"/>
        <v/>
      </c>
      <c r="I97" s="2236" t="str">
        <f t="shared" si="23"/>
        <v/>
      </c>
      <c r="J97" s="2238" t="str">
        <f t="shared" si="23"/>
        <v/>
      </c>
      <c r="K97" s="2237" t="str">
        <f t="shared" si="23"/>
        <v/>
      </c>
      <c r="L97" s="2237" t="str">
        <f t="shared" si="23"/>
        <v/>
      </c>
      <c r="M97" s="2236" t="str">
        <f t="shared" si="23"/>
        <v/>
      </c>
      <c r="N97" s="2235" t="str">
        <f>IF(AND(ISNUMBER(I97),ISNUMBER(M97)),SUM(I97,M97),"")</f>
        <v/>
      </c>
    </row>
    <row r="98" spans="2:14" ht="15" customHeight="1" x14ac:dyDescent="0.35"/>
  </sheetData>
  <sheetProtection algorithmName="SHA-512" hashValue="TqlcCRmc6Zt8VOEgNRaiT+ebslVPU1Ti2b2ZW0Xe4ZVkprMphTflBw80gzJbJY9b3k3ZO5uoBarA8pF7gac1Ng==" saltValue="zu2UZQFbFMXppkY/HuQluw==" spinCount="100000" sheet="1" objects="1" scenarios="1"/>
  <mergeCells count="50">
    <mergeCell ref="N90:N92"/>
    <mergeCell ref="J91:K91"/>
    <mergeCell ref="B89:E92"/>
    <mergeCell ref="F89:I89"/>
    <mergeCell ref="J89:M89"/>
    <mergeCell ref="F90:G90"/>
    <mergeCell ref="I90:I92"/>
    <mergeCell ref="J90:K90"/>
    <mergeCell ref="M90:M92"/>
    <mergeCell ref="F91:G91"/>
    <mergeCell ref="A53:J53"/>
    <mergeCell ref="B54:J54"/>
    <mergeCell ref="F55:L55"/>
    <mergeCell ref="M55:S55"/>
    <mergeCell ref="S56:S58"/>
    <mergeCell ref="F57:G57"/>
    <mergeCell ref="I57:J57"/>
    <mergeCell ref="M57:N57"/>
    <mergeCell ref="P57:Q57"/>
    <mergeCell ref="F56:H56"/>
    <mergeCell ref="I56:K56"/>
    <mergeCell ref="L56:L58"/>
    <mergeCell ref="M56:O56"/>
    <mergeCell ref="P56:R56"/>
    <mergeCell ref="S21:S23"/>
    <mergeCell ref="F22:G22"/>
    <mergeCell ref="I22:J22"/>
    <mergeCell ref="M22:N22"/>
    <mergeCell ref="P22:Q22"/>
    <mergeCell ref="F21:H21"/>
    <mergeCell ref="I21:K21"/>
    <mergeCell ref="L21:L23"/>
    <mergeCell ref="M21:O21"/>
    <mergeCell ref="P21:R21"/>
    <mergeCell ref="F20:L20"/>
    <mergeCell ref="M20:S20"/>
    <mergeCell ref="B19:J19"/>
    <mergeCell ref="B2:J2"/>
    <mergeCell ref="B4:E7"/>
    <mergeCell ref="F4:I4"/>
    <mergeCell ref="J4:M4"/>
    <mergeCell ref="F5:G5"/>
    <mergeCell ref="I5:I7"/>
    <mergeCell ref="J5:K5"/>
    <mergeCell ref="M5:M7"/>
    <mergeCell ref="N5:N7"/>
    <mergeCell ref="F6:G6"/>
    <mergeCell ref="J6:K6"/>
    <mergeCell ref="B17:J17"/>
    <mergeCell ref="A18:J18"/>
  </mergeCells>
  <conditionalFormatting sqref="F32:K32 M32:R32 I28:K28 P28:R28 F8:I8 F9:H14 F24:K27 M24:R27">
    <cfRule type="cellIs" dxfId="983" priority="67" stopIfTrue="1" operator="lessThan">
      <formula>0</formula>
    </cfRule>
  </conditionalFormatting>
  <conditionalFormatting sqref="F15:H15">
    <cfRule type="cellIs" dxfId="982" priority="66" stopIfTrue="1" operator="lessThan">
      <formula>0</formula>
    </cfRule>
  </conditionalFormatting>
  <conditionalFormatting sqref="F48:K48">
    <cfRule type="cellIs" dxfId="981" priority="62" stopIfTrue="1" operator="lessThan">
      <formula>0</formula>
    </cfRule>
  </conditionalFormatting>
  <conditionalFormatting sqref="M48:R48">
    <cfRule type="cellIs" dxfId="980" priority="58" stopIfTrue="1" operator="lessThan">
      <formula>0</formula>
    </cfRule>
  </conditionalFormatting>
  <conditionalFormatting sqref="I36:K36">
    <cfRule type="cellIs" dxfId="979" priority="65" stopIfTrue="1" operator="lessThan">
      <formula>0</formula>
    </cfRule>
  </conditionalFormatting>
  <conditionalFormatting sqref="F40:K40">
    <cfRule type="cellIs" dxfId="978" priority="64" stopIfTrue="1" operator="lessThan">
      <formula>0</formula>
    </cfRule>
  </conditionalFormatting>
  <conditionalFormatting sqref="F44:K44">
    <cfRule type="cellIs" dxfId="977" priority="63" stopIfTrue="1" operator="lessThan">
      <formula>0</formula>
    </cfRule>
  </conditionalFormatting>
  <conditionalFormatting sqref="P36:R36">
    <cfRule type="cellIs" dxfId="976" priority="61" stopIfTrue="1" operator="lessThan">
      <formula>0</formula>
    </cfRule>
  </conditionalFormatting>
  <conditionalFormatting sqref="M40:R40">
    <cfRule type="cellIs" dxfId="975" priority="60" stopIfTrue="1" operator="lessThan">
      <formula>0</formula>
    </cfRule>
  </conditionalFormatting>
  <conditionalFormatting sqref="M44:R44">
    <cfRule type="cellIs" dxfId="974" priority="59" stopIfTrue="1" operator="lessThan">
      <formula>0</formula>
    </cfRule>
  </conditionalFormatting>
  <conditionalFormatting sqref="F59:K59 F67:K67 M59:R59 M67:R67 P63:R63 I60:K63">
    <cfRule type="cellIs" dxfId="973" priority="57" stopIfTrue="1" operator="lessThan">
      <formula>0</formula>
    </cfRule>
  </conditionalFormatting>
  <conditionalFormatting sqref="I71:K71">
    <cfRule type="cellIs" dxfId="972" priority="56" stopIfTrue="1" operator="lessThan">
      <formula>0</formula>
    </cfRule>
  </conditionalFormatting>
  <conditionalFormatting sqref="F75:K75">
    <cfRule type="cellIs" dxfId="971" priority="55" stopIfTrue="1" operator="lessThan">
      <formula>0</formula>
    </cfRule>
  </conditionalFormatting>
  <conditionalFormatting sqref="F79:K79">
    <cfRule type="cellIs" dxfId="970" priority="54" stopIfTrue="1" operator="lessThan">
      <formula>0</formula>
    </cfRule>
  </conditionalFormatting>
  <conditionalFormatting sqref="F83:K83">
    <cfRule type="cellIs" dxfId="969" priority="53" stopIfTrue="1" operator="lessThan">
      <formula>0</formula>
    </cfRule>
  </conditionalFormatting>
  <conditionalFormatting sqref="P71:R71">
    <cfRule type="cellIs" dxfId="968" priority="52" stopIfTrue="1" operator="lessThan">
      <formula>0</formula>
    </cfRule>
  </conditionalFormatting>
  <conditionalFormatting sqref="M75:R75">
    <cfRule type="cellIs" dxfId="967" priority="51" stopIfTrue="1" operator="lessThan">
      <formula>0</formula>
    </cfRule>
  </conditionalFormatting>
  <conditionalFormatting sqref="M79:R79">
    <cfRule type="cellIs" dxfId="966" priority="50" stopIfTrue="1" operator="lessThan">
      <formula>0</formula>
    </cfRule>
  </conditionalFormatting>
  <conditionalFormatting sqref="M83:R83">
    <cfRule type="cellIs" dxfId="965" priority="49" stopIfTrue="1" operator="lessThan">
      <formula>0</formula>
    </cfRule>
  </conditionalFormatting>
  <conditionalFormatting sqref="I9:I15">
    <cfRule type="cellIs" dxfId="964" priority="48" stopIfTrue="1" operator="lessThan">
      <formula>0</formula>
    </cfRule>
  </conditionalFormatting>
  <conditionalFormatting sqref="J15">
    <cfRule type="cellIs" dxfId="963" priority="47" stopIfTrue="1" operator="lessThan">
      <formula>0</formula>
    </cfRule>
  </conditionalFormatting>
  <conditionalFormatting sqref="K15">
    <cfRule type="cellIs" dxfId="962" priority="46" stopIfTrue="1" operator="lessThan">
      <formula>0</formula>
    </cfRule>
  </conditionalFormatting>
  <conditionalFormatting sqref="L15">
    <cfRule type="cellIs" dxfId="961" priority="45" stopIfTrue="1" operator="lessThan">
      <formula>0</formula>
    </cfRule>
  </conditionalFormatting>
  <conditionalFormatting sqref="M8">
    <cfRule type="cellIs" dxfId="960" priority="44" stopIfTrue="1" operator="lessThan">
      <formula>0</formula>
    </cfRule>
  </conditionalFormatting>
  <conditionalFormatting sqref="M9:M15">
    <cfRule type="cellIs" dxfId="959" priority="43" stopIfTrue="1" operator="lessThan">
      <formula>0</formula>
    </cfRule>
  </conditionalFormatting>
  <conditionalFormatting sqref="N8">
    <cfRule type="cellIs" dxfId="958" priority="42" stopIfTrue="1" operator="lessThan">
      <formula>0</formula>
    </cfRule>
  </conditionalFormatting>
  <conditionalFormatting sqref="N9:N15">
    <cfRule type="cellIs" dxfId="957" priority="41" stopIfTrue="1" operator="lessThan">
      <formula>0</formula>
    </cfRule>
  </conditionalFormatting>
  <conditionalFormatting sqref="N93">
    <cfRule type="cellIs" dxfId="956" priority="40" stopIfTrue="1" operator="lessThan">
      <formula>0</formula>
    </cfRule>
  </conditionalFormatting>
  <conditionalFormatting sqref="N94:N97">
    <cfRule type="cellIs" dxfId="955" priority="39" stopIfTrue="1" operator="lessThan">
      <formula>0</formula>
    </cfRule>
  </conditionalFormatting>
  <conditionalFormatting sqref="J8:L14">
    <cfRule type="cellIs" dxfId="954" priority="38" stopIfTrue="1" operator="lessThan">
      <formula>0</formula>
    </cfRule>
  </conditionalFormatting>
  <conditionalFormatting sqref="F33:K35">
    <cfRule type="cellIs" dxfId="953" priority="37" stopIfTrue="1" operator="lessThan">
      <formula>0</formula>
    </cfRule>
  </conditionalFormatting>
  <conditionalFormatting sqref="M33:R35">
    <cfRule type="cellIs" dxfId="952" priority="36" stopIfTrue="1" operator="lessThan">
      <formula>0</formula>
    </cfRule>
  </conditionalFormatting>
  <conditionalFormatting sqref="F41:K43">
    <cfRule type="cellIs" dxfId="951" priority="35" stopIfTrue="1" operator="lessThan">
      <formula>0</formula>
    </cfRule>
  </conditionalFormatting>
  <conditionalFormatting sqref="M41:R43">
    <cfRule type="cellIs" dxfId="950" priority="34" stopIfTrue="1" operator="lessThan">
      <formula>0</formula>
    </cfRule>
  </conditionalFormatting>
  <conditionalFormatting sqref="F45:K47">
    <cfRule type="cellIs" dxfId="949" priority="33" stopIfTrue="1" operator="lessThan">
      <formula>0</formula>
    </cfRule>
  </conditionalFormatting>
  <conditionalFormatting sqref="M45:R47">
    <cfRule type="cellIs" dxfId="948" priority="32" stopIfTrue="1" operator="lessThan">
      <formula>0</formula>
    </cfRule>
  </conditionalFormatting>
  <conditionalFormatting sqref="M49:R51">
    <cfRule type="cellIs" dxfId="947" priority="31" stopIfTrue="1" operator="lessThan">
      <formula>0</formula>
    </cfRule>
  </conditionalFormatting>
  <conditionalFormatting sqref="F49:K51">
    <cfRule type="cellIs" dxfId="946" priority="30" stopIfTrue="1" operator="lessThan">
      <formula>0</formula>
    </cfRule>
  </conditionalFormatting>
  <conditionalFormatting sqref="I37:K39">
    <cfRule type="cellIs" dxfId="945" priority="29" stopIfTrue="1" operator="lessThan">
      <formula>0</formula>
    </cfRule>
  </conditionalFormatting>
  <conditionalFormatting sqref="I29:K31">
    <cfRule type="cellIs" dxfId="944" priority="28" stopIfTrue="1" operator="lessThan">
      <formula>0</formula>
    </cfRule>
  </conditionalFormatting>
  <conditionalFormatting sqref="P29:R31">
    <cfRule type="cellIs" dxfId="943" priority="27" stopIfTrue="1" operator="lessThan">
      <formula>0</formula>
    </cfRule>
  </conditionalFormatting>
  <conditionalFormatting sqref="P37:R39">
    <cfRule type="cellIs" dxfId="942" priority="26" stopIfTrue="1" operator="lessThan">
      <formula>0</formula>
    </cfRule>
  </conditionalFormatting>
  <conditionalFormatting sqref="F60:H62">
    <cfRule type="cellIs" dxfId="941" priority="25" stopIfTrue="1" operator="lessThan">
      <formula>0</formula>
    </cfRule>
  </conditionalFormatting>
  <conditionalFormatting sqref="I64:K66">
    <cfRule type="cellIs" dxfId="940" priority="24" stopIfTrue="1" operator="lessThan">
      <formula>0</formula>
    </cfRule>
  </conditionalFormatting>
  <conditionalFormatting sqref="P64:R66">
    <cfRule type="cellIs" dxfId="939" priority="23" stopIfTrue="1" operator="lessThan">
      <formula>0</formula>
    </cfRule>
  </conditionalFormatting>
  <conditionalFormatting sqref="P72:R74">
    <cfRule type="cellIs" dxfId="938" priority="22" stopIfTrue="1" operator="lessThan">
      <formula>0</formula>
    </cfRule>
  </conditionalFormatting>
  <conditionalFormatting sqref="I72:K74">
    <cfRule type="cellIs" dxfId="937" priority="21" stopIfTrue="1" operator="lessThan">
      <formula>0</formula>
    </cfRule>
  </conditionalFormatting>
  <conditionalFormatting sqref="F93:H96">
    <cfRule type="cellIs" dxfId="936" priority="20" stopIfTrue="1" operator="lessThan">
      <formula>0</formula>
    </cfRule>
  </conditionalFormatting>
  <conditionalFormatting sqref="J93:L96">
    <cfRule type="cellIs" dxfId="935" priority="19" stopIfTrue="1" operator="lessThan">
      <formula>0</formula>
    </cfRule>
  </conditionalFormatting>
  <conditionalFormatting sqref="P60:R62">
    <cfRule type="cellIs" dxfId="934" priority="18" stopIfTrue="1" operator="lessThan">
      <formula>0</formula>
    </cfRule>
  </conditionalFormatting>
  <conditionalFormatting sqref="M60:O62">
    <cfRule type="cellIs" dxfId="933" priority="17" stopIfTrue="1" operator="lessThan">
      <formula>0</formula>
    </cfRule>
  </conditionalFormatting>
  <conditionalFormatting sqref="P68:R70">
    <cfRule type="cellIs" dxfId="932" priority="16" stopIfTrue="1" operator="lessThan">
      <formula>0</formula>
    </cfRule>
  </conditionalFormatting>
  <conditionalFormatting sqref="M68:O70">
    <cfRule type="cellIs" dxfId="931" priority="15" stopIfTrue="1" operator="lessThan">
      <formula>0</formula>
    </cfRule>
  </conditionalFormatting>
  <conditionalFormatting sqref="I68:K70">
    <cfRule type="cellIs" dxfId="930" priority="14" stopIfTrue="1" operator="lessThan">
      <formula>0</formula>
    </cfRule>
  </conditionalFormatting>
  <conditionalFormatting sqref="F68:H70">
    <cfRule type="cellIs" dxfId="929" priority="13" stopIfTrue="1" operator="lessThan">
      <formula>0</formula>
    </cfRule>
  </conditionalFormatting>
  <conditionalFormatting sqref="I76:K78">
    <cfRule type="cellIs" dxfId="928" priority="12" stopIfTrue="1" operator="lessThan">
      <formula>0</formula>
    </cfRule>
  </conditionalFormatting>
  <conditionalFormatting sqref="F76:H78">
    <cfRule type="cellIs" dxfId="927" priority="11" stopIfTrue="1" operator="lessThan">
      <formula>0</formula>
    </cfRule>
  </conditionalFormatting>
  <conditionalFormatting sqref="P76:R78">
    <cfRule type="cellIs" dxfId="926" priority="10" stopIfTrue="1" operator="lessThan">
      <formula>0</formula>
    </cfRule>
  </conditionalFormatting>
  <conditionalFormatting sqref="M76:O78">
    <cfRule type="cellIs" dxfId="925" priority="9" stopIfTrue="1" operator="lessThan">
      <formula>0</formula>
    </cfRule>
  </conditionalFormatting>
  <conditionalFormatting sqref="P80:R82">
    <cfRule type="cellIs" dxfId="924" priority="8" stopIfTrue="1" operator="lessThan">
      <formula>0</formula>
    </cfRule>
  </conditionalFormatting>
  <conditionalFormatting sqref="M80:O82">
    <cfRule type="cellIs" dxfId="923" priority="7" stopIfTrue="1" operator="lessThan">
      <formula>0</formula>
    </cfRule>
  </conditionalFormatting>
  <conditionalFormatting sqref="P84:R86">
    <cfRule type="cellIs" dxfId="922" priority="6" stopIfTrue="1" operator="lessThan">
      <formula>0</formula>
    </cfRule>
  </conditionalFormatting>
  <conditionalFormatting sqref="M84:O86">
    <cfRule type="cellIs" dxfId="921" priority="5" stopIfTrue="1" operator="lessThan">
      <formula>0</formula>
    </cfRule>
  </conditionalFormatting>
  <conditionalFormatting sqref="I80:K82">
    <cfRule type="cellIs" dxfId="920" priority="4" stopIfTrue="1" operator="lessThan">
      <formula>0</formula>
    </cfRule>
  </conditionalFormatting>
  <conditionalFormatting sqref="F80:H82">
    <cfRule type="cellIs" dxfId="919" priority="3" stopIfTrue="1" operator="lessThan">
      <formula>0</formula>
    </cfRule>
  </conditionalFormatting>
  <conditionalFormatting sqref="I84:K86">
    <cfRule type="cellIs" dxfId="918" priority="2" stopIfTrue="1" operator="lessThan">
      <formula>0</formula>
    </cfRule>
  </conditionalFormatting>
  <conditionalFormatting sqref="F84:H86">
    <cfRule type="cellIs" dxfId="917" priority="1" stopIfTrue="1" operator="lessThan">
      <formula>0</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8BB19A"/>
  </sheetPr>
  <dimension ref="A1:KC732"/>
  <sheetViews>
    <sheetView showGridLines="0" zoomScale="75" zoomScaleNormal="75" zoomScaleSheetLayoutView="75" workbookViewId="0">
      <pane xSplit="4" ySplit="6" topLeftCell="E7" activePane="bottomRight" state="frozen"/>
      <selection activeCell="P35" sqref="P35"/>
      <selection pane="topRight" activeCell="P35" sqref="P35"/>
      <selection pane="bottomLeft" activeCell="P35" sqref="P35"/>
      <selection pane="bottomRight"/>
    </sheetView>
  </sheetViews>
  <sheetFormatPr defaultColWidth="0" defaultRowHeight="15" zeroHeight="1" x14ac:dyDescent="0.35"/>
  <cols>
    <col min="1" max="1" width="1.6640625" style="259" customWidth="1"/>
    <col min="2" max="2" width="10.6640625" style="85" customWidth="1"/>
    <col min="3" max="3" width="12.6640625" style="85" customWidth="1"/>
    <col min="4" max="4" width="50.6640625" style="142" customWidth="1"/>
    <col min="5" max="5" width="40.6640625" style="142" customWidth="1"/>
    <col min="6" max="6" width="14.6640625" style="142" customWidth="1"/>
    <col min="7" max="7" width="14.6640625" style="2" customWidth="1"/>
    <col min="8" max="288" width="16.6640625" style="85" customWidth="1"/>
    <col min="289" max="289" width="1.6640625" style="279" customWidth="1"/>
    <col min="290" max="16384" width="16.88671875" hidden="1"/>
  </cols>
  <sheetData>
    <row r="1" spans="1:289" ht="30" customHeight="1" x14ac:dyDescent="0.65">
      <c r="A1" s="1820" t="s">
        <v>1598</v>
      </c>
      <c r="B1" s="1821"/>
      <c r="C1" s="1821"/>
      <c r="D1" s="1822"/>
      <c r="E1" s="1822"/>
      <c r="F1" s="1822"/>
      <c r="G1" s="1821"/>
      <c r="H1" s="1823" t="str">
        <f>CONCATENATE("Reporting unit: ", 'General Info'!$C$7, " ", 'General Info'!$C$5)</f>
        <v>Reporting unit: 1000 eur</v>
      </c>
      <c r="I1" s="1088"/>
      <c r="J1" s="1088"/>
      <c r="K1" s="1823"/>
      <c r="L1" s="1088"/>
      <c r="M1" s="1088"/>
      <c r="N1" s="1088"/>
      <c r="O1" s="1088"/>
      <c r="P1" s="1088"/>
      <c r="Q1" s="1088"/>
      <c r="R1" s="1088"/>
      <c r="S1" s="1088"/>
      <c r="T1" s="1088"/>
      <c r="U1" s="1088"/>
      <c r="V1" s="1088"/>
      <c r="W1" s="1088"/>
      <c r="X1" s="1088"/>
      <c r="Y1" s="1088"/>
      <c r="Z1" s="1088"/>
      <c r="AA1" s="1088"/>
      <c r="AB1" s="1088"/>
      <c r="AC1" s="1088"/>
      <c r="AD1" s="1088"/>
      <c r="AE1" s="1088"/>
      <c r="AF1" s="1088"/>
      <c r="AG1" s="1088"/>
      <c r="AH1" s="1088"/>
      <c r="AI1" s="1088"/>
      <c r="AJ1" s="1088"/>
      <c r="AK1" s="1088"/>
      <c r="AL1" s="1088"/>
      <c r="AM1" s="1088"/>
      <c r="AN1" s="1088"/>
      <c r="AO1" s="1088"/>
      <c r="AP1" s="1088"/>
      <c r="AQ1" s="1088"/>
      <c r="AR1" s="1088"/>
      <c r="AS1" s="1088"/>
      <c r="AT1" s="1088"/>
      <c r="AU1" s="1088"/>
      <c r="AV1" s="1088"/>
      <c r="AW1" s="1088"/>
      <c r="AX1" s="1088"/>
      <c r="AY1" s="1088"/>
      <c r="AZ1" s="1088"/>
      <c r="BA1" s="1088"/>
      <c r="BB1" s="1088"/>
      <c r="BC1" s="1088"/>
      <c r="BD1" s="1088"/>
      <c r="BE1" s="1088"/>
      <c r="BF1" s="1088"/>
      <c r="BG1" s="1088"/>
      <c r="BH1" s="1088"/>
      <c r="BI1" s="1088"/>
      <c r="BJ1" s="1088"/>
      <c r="BK1" s="1088"/>
      <c r="BL1" s="1088"/>
      <c r="BM1" s="1088"/>
      <c r="BN1" s="1088"/>
      <c r="BO1" s="1088"/>
      <c r="BP1" s="1088"/>
      <c r="BQ1" s="1088"/>
      <c r="BR1" s="1088"/>
      <c r="BS1" s="1088"/>
      <c r="BT1" s="1088"/>
      <c r="BU1" s="1088"/>
      <c r="BV1" s="1088"/>
      <c r="BW1" s="1088"/>
      <c r="BX1" s="1088"/>
      <c r="BY1" s="1088"/>
      <c r="BZ1" s="1088"/>
      <c r="CA1" s="1088"/>
      <c r="CB1" s="1088"/>
      <c r="CC1" s="1088"/>
      <c r="CD1" s="1088"/>
      <c r="CE1" s="1088"/>
      <c r="CF1" s="1088"/>
      <c r="CG1" s="1088"/>
      <c r="CH1" s="1088"/>
      <c r="CI1" s="1088"/>
      <c r="CJ1" s="1088"/>
      <c r="CK1" s="1088"/>
      <c r="CL1" s="1088"/>
      <c r="CM1" s="1088"/>
      <c r="CN1" s="1088"/>
      <c r="CO1" s="1088"/>
      <c r="CP1" s="1088"/>
      <c r="CQ1" s="1088"/>
      <c r="CR1" s="1088"/>
      <c r="CS1" s="1088"/>
      <c r="CT1" s="1088"/>
      <c r="CU1" s="1088"/>
      <c r="CV1" s="1088"/>
      <c r="CW1" s="1088"/>
      <c r="CX1" s="1088"/>
      <c r="CY1" s="1088"/>
      <c r="CZ1" s="1088"/>
      <c r="DA1" s="1088"/>
      <c r="DB1" s="1088"/>
      <c r="DC1" s="1088"/>
      <c r="DD1" s="1088"/>
      <c r="DE1" s="1088"/>
      <c r="DF1" s="1088"/>
      <c r="DG1" s="1088"/>
      <c r="DH1" s="1088"/>
      <c r="DI1" s="1088"/>
      <c r="DJ1" s="1088"/>
      <c r="DK1" s="1088"/>
      <c r="DL1" s="1088"/>
      <c r="DM1" s="1088"/>
      <c r="DN1" s="1088"/>
      <c r="DO1" s="1088"/>
      <c r="DP1" s="1088"/>
      <c r="DQ1" s="1088"/>
      <c r="DR1" s="1088"/>
      <c r="DS1" s="1088"/>
      <c r="DT1" s="1088"/>
      <c r="DU1" s="1088"/>
      <c r="DV1" s="1088"/>
      <c r="DW1" s="1088"/>
      <c r="DX1" s="1088"/>
      <c r="DY1" s="1088"/>
      <c r="DZ1" s="1088"/>
      <c r="EA1" s="1088"/>
      <c r="EB1" s="1088"/>
      <c r="EC1" s="1088"/>
      <c r="ED1" s="1088"/>
      <c r="EE1" s="1088"/>
      <c r="EF1" s="1088"/>
      <c r="EG1" s="1088"/>
      <c r="EH1" s="1088"/>
      <c r="EI1" s="1088"/>
      <c r="EJ1" s="1088"/>
      <c r="EK1" s="1088"/>
      <c r="EL1" s="1088"/>
      <c r="EM1" s="1088"/>
      <c r="EN1" s="1088"/>
      <c r="EO1" s="1088"/>
      <c r="EP1" s="1088"/>
      <c r="EQ1" s="1088"/>
      <c r="ER1" s="1088"/>
      <c r="ES1" s="1088"/>
      <c r="ET1" s="1088"/>
      <c r="EU1" s="1823"/>
      <c r="EV1" s="1088"/>
      <c r="EW1" s="1088"/>
      <c r="EX1" s="1088"/>
      <c r="EY1" s="1088"/>
      <c r="EZ1" s="1088"/>
      <c r="FA1" s="1088"/>
      <c r="FB1" s="1088"/>
      <c r="FC1" s="1088"/>
      <c r="FD1" s="1088"/>
      <c r="FE1" s="1088"/>
      <c r="FF1" s="1088"/>
      <c r="FG1" s="1088"/>
      <c r="FH1" s="1088"/>
      <c r="FI1" s="1088"/>
      <c r="FJ1" s="1088"/>
      <c r="FK1" s="1088"/>
      <c r="FL1" s="1088"/>
      <c r="FM1" s="1088"/>
      <c r="FN1" s="1088"/>
      <c r="FO1" s="1088"/>
      <c r="FP1" s="1088"/>
      <c r="FQ1" s="1088"/>
      <c r="FR1" s="1088"/>
      <c r="FS1" s="1088"/>
      <c r="FT1" s="1088"/>
      <c r="FU1" s="1088"/>
      <c r="FV1" s="1088"/>
      <c r="FW1" s="1088"/>
      <c r="FX1" s="1088"/>
      <c r="FY1" s="1088"/>
      <c r="FZ1" s="1088"/>
      <c r="GA1" s="1088"/>
      <c r="GB1" s="1088"/>
      <c r="GC1" s="1088"/>
      <c r="GD1" s="1088"/>
      <c r="GE1" s="1088"/>
      <c r="GF1" s="1088"/>
      <c r="GG1" s="1088"/>
      <c r="GH1" s="1088"/>
      <c r="GI1" s="1088"/>
      <c r="GJ1" s="1088"/>
      <c r="GK1" s="1088"/>
      <c r="GL1" s="1088"/>
      <c r="GM1" s="1088"/>
      <c r="GN1" s="1088"/>
      <c r="GO1" s="1088"/>
      <c r="GP1" s="1088"/>
      <c r="GQ1" s="1088"/>
      <c r="GR1" s="1088"/>
      <c r="GS1" s="1088"/>
      <c r="GT1" s="1088"/>
      <c r="GU1" s="1088"/>
      <c r="GV1" s="1088"/>
      <c r="GW1" s="1088"/>
      <c r="GX1" s="1088"/>
      <c r="GY1" s="1088"/>
      <c r="GZ1" s="1088"/>
      <c r="HA1" s="1088"/>
      <c r="HB1" s="1088"/>
      <c r="HC1" s="1088"/>
      <c r="HD1" s="1088"/>
      <c r="HE1" s="1088"/>
      <c r="HF1" s="1088"/>
      <c r="HG1" s="1088"/>
      <c r="HH1" s="1088"/>
      <c r="HI1" s="1088"/>
      <c r="HJ1" s="1088"/>
      <c r="HK1" s="1088"/>
      <c r="HL1" s="1088"/>
      <c r="HM1" s="1088"/>
      <c r="HN1" s="1088"/>
      <c r="HO1" s="1088"/>
      <c r="HP1" s="1088"/>
      <c r="HQ1" s="1088"/>
      <c r="HR1" s="1088"/>
      <c r="HS1" s="1088"/>
      <c r="HT1" s="1088"/>
      <c r="HU1" s="1088"/>
      <c r="HV1" s="1088"/>
      <c r="HW1" s="1088"/>
      <c r="HX1" s="1088"/>
      <c r="HY1" s="1088"/>
      <c r="HZ1" s="1088"/>
      <c r="IA1" s="1088"/>
      <c r="IB1" s="1088"/>
      <c r="IC1" s="1088"/>
      <c r="ID1" s="1088"/>
      <c r="IE1" s="1088"/>
      <c r="IF1" s="1088"/>
      <c r="IG1" s="1088"/>
      <c r="IH1" s="1088"/>
      <c r="II1" s="1088"/>
      <c r="IJ1" s="1088"/>
      <c r="IK1" s="1088"/>
      <c r="IL1" s="1088"/>
      <c r="IM1" s="1088"/>
      <c r="IN1" s="1088"/>
      <c r="IO1" s="1088"/>
      <c r="IP1" s="1088"/>
      <c r="IQ1" s="1088"/>
      <c r="IR1" s="1088"/>
      <c r="IS1" s="1088"/>
      <c r="IT1" s="1088"/>
      <c r="IU1" s="1088"/>
      <c r="IV1" s="1088"/>
      <c r="IW1" s="1088"/>
      <c r="IX1" s="1088"/>
      <c r="IY1" s="1088"/>
      <c r="IZ1" s="1088"/>
      <c r="JA1" s="1088"/>
      <c r="JB1" s="1088"/>
      <c r="JC1" s="1088"/>
      <c r="JD1" s="1088"/>
      <c r="JE1" s="1088"/>
      <c r="JF1" s="1088"/>
      <c r="JG1" s="1088"/>
      <c r="JH1" s="1088"/>
      <c r="JI1" s="1088"/>
      <c r="JJ1" s="1088"/>
      <c r="JK1" s="1088"/>
      <c r="JL1" s="1088"/>
      <c r="JM1" s="1088"/>
      <c r="JN1" s="1088"/>
      <c r="JO1" s="1088"/>
      <c r="JP1" s="1088"/>
      <c r="JQ1" s="1088"/>
      <c r="JR1" s="1088"/>
      <c r="JS1" s="1088"/>
      <c r="JT1" s="1088"/>
      <c r="JU1" s="1088"/>
      <c r="JV1" s="1088"/>
      <c r="JW1" s="1088"/>
      <c r="JX1" s="1088"/>
      <c r="JY1" s="1088"/>
      <c r="JZ1" s="1088"/>
      <c r="KA1" s="1088"/>
      <c r="KB1" s="1088"/>
      <c r="KC1" s="1824"/>
    </row>
    <row r="2" spans="1:289" ht="15" customHeight="1" x14ac:dyDescent="0.35">
      <c r="A2" s="665"/>
      <c r="B2" s="886"/>
      <c r="C2" s="886"/>
      <c r="D2" s="1825"/>
      <c r="E2" s="1825"/>
      <c r="F2" s="1825"/>
      <c r="G2" s="846"/>
      <c r="H2" s="846"/>
      <c r="I2" s="846"/>
      <c r="J2" s="846"/>
      <c r="K2" s="846"/>
      <c r="L2" s="846"/>
      <c r="M2" s="846"/>
      <c r="N2" s="846"/>
      <c r="O2" s="846"/>
      <c r="P2" s="846"/>
      <c r="Q2" s="846"/>
      <c r="R2" s="846"/>
      <c r="S2" s="846"/>
      <c r="T2" s="846"/>
      <c r="U2" s="846"/>
      <c r="V2" s="846"/>
      <c r="W2" s="846"/>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846"/>
      <c r="AY2" s="846"/>
      <c r="AZ2" s="846"/>
      <c r="BA2" s="846"/>
      <c r="BB2" s="846"/>
      <c r="BC2" s="846"/>
      <c r="BD2" s="846"/>
      <c r="BE2" s="846"/>
      <c r="BF2" s="846"/>
      <c r="BG2" s="846"/>
      <c r="BH2" s="846"/>
      <c r="BI2" s="846"/>
      <c r="BJ2" s="846"/>
      <c r="BK2" s="846"/>
      <c r="BL2" s="846"/>
      <c r="BM2" s="846"/>
      <c r="BN2" s="846"/>
      <c r="BO2" s="846"/>
      <c r="BP2" s="846"/>
      <c r="ES2" s="846"/>
      <c r="ET2" s="846"/>
      <c r="EU2" s="846"/>
      <c r="EV2" s="846"/>
      <c r="EW2" s="846"/>
      <c r="EX2" s="846"/>
      <c r="EY2" s="846"/>
      <c r="EZ2" s="846"/>
      <c r="FA2" s="846"/>
      <c r="FB2" s="846"/>
      <c r="FC2" s="846"/>
      <c r="FD2" s="846"/>
      <c r="FE2" s="846"/>
      <c r="FF2" s="846"/>
      <c r="FG2" s="846"/>
      <c r="FH2" s="846"/>
      <c r="FI2" s="846"/>
      <c r="FJ2" s="846"/>
      <c r="FK2" s="846"/>
      <c r="FL2" s="846"/>
      <c r="FM2" s="846"/>
      <c r="FN2" s="846"/>
      <c r="FO2" s="846"/>
      <c r="FP2" s="846"/>
      <c r="FQ2" s="846"/>
      <c r="FR2" s="846"/>
      <c r="FS2" s="846"/>
      <c r="FT2" s="846"/>
      <c r="FU2" s="846"/>
      <c r="FV2" s="846"/>
      <c r="FW2" s="846"/>
      <c r="FX2" s="846"/>
      <c r="FY2" s="846"/>
      <c r="FZ2" s="846"/>
      <c r="GA2" s="846"/>
      <c r="GB2" s="846"/>
      <c r="GC2" s="846"/>
      <c r="GD2" s="846"/>
      <c r="GE2" s="846"/>
      <c r="GF2" s="846"/>
      <c r="GG2" s="846"/>
      <c r="GH2" s="846"/>
      <c r="GI2" s="846"/>
      <c r="GJ2" s="846"/>
      <c r="GK2" s="846"/>
      <c r="GL2" s="846"/>
      <c r="GM2" s="846"/>
      <c r="GN2" s="846"/>
      <c r="GO2" s="846"/>
      <c r="GP2" s="846"/>
      <c r="GQ2" s="846"/>
      <c r="GR2" s="846"/>
      <c r="GS2" s="846"/>
      <c r="GT2" s="846"/>
      <c r="GU2" s="846"/>
      <c r="GV2" s="846"/>
      <c r="GW2" s="846"/>
      <c r="GX2" s="846"/>
      <c r="GY2" s="846"/>
      <c r="GZ2" s="846"/>
    </row>
    <row r="3" spans="1:289" ht="75" customHeight="1" x14ac:dyDescent="0.35">
      <c r="B3" s="3154" t="s">
        <v>1599</v>
      </c>
      <c r="C3" s="3154"/>
      <c r="D3" s="3154"/>
      <c r="E3" s="3154"/>
      <c r="F3" s="3154"/>
      <c r="G3" s="3154"/>
      <c r="H3" s="3154"/>
      <c r="I3" s="3154"/>
      <c r="J3" s="3154"/>
      <c r="K3" s="3154"/>
      <c r="L3" s="3154"/>
    </row>
    <row r="4" spans="1:289" ht="15" customHeight="1" x14ac:dyDescent="0.35">
      <c r="A4" s="280"/>
      <c r="B4" s="84"/>
      <c r="C4" s="84"/>
      <c r="D4" s="103"/>
      <c r="E4" s="103"/>
      <c r="F4" s="103"/>
      <c r="G4" s="85"/>
    </row>
    <row r="5" spans="1:289" ht="60" customHeight="1" x14ac:dyDescent="0.35">
      <c r="B5" s="1384"/>
      <c r="C5" s="750" t="s">
        <v>1200</v>
      </c>
      <c r="D5" s="895" t="s">
        <v>1201</v>
      </c>
      <c r="E5" s="750" t="s">
        <v>1202</v>
      </c>
      <c r="F5" s="750" t="s">
        <v>1203</v>
      </c>
      <c r="G5" s="750" t="s">
        <v>1600</v>
      </c>
      <c r="H5" s="750" t="s">
        <v>1601</v>
      </c>
      <c r="I5" s="750" t="str">
        <f t="shared" ref="I5:BT5" si="0">"T+" &amp; (COLUMN(I5)-COLUMN($H5))</f>
        <v>T+1</v>
      </c>
      <c r="J5" s="750" t="str">
        <f t="shared" si="0"/>
        <v>T+2</v>
      </c>
      <c r="K5" s="750" t="str">
        <f t="shared" si="0"/>
        <v>T+3</v>
      </c>
      <c r="L5" s="750" t="str">
        <f t="shared" si="0"/>
        <v>T+4</v>
      </c>
      <c r="M5" s="750" t="str">
        <f t="shared" si="0"/>
        <v>T+5</v>
      </c>
      <c r="N5" s="750" t="str">
        <f t="shared" si="0"/>
        <v>T+6</v>
      </c>
      <c r="O5" s="750" t="str">
        <f t="shared" si="0"/>
        <v>T+7</v>
      </c>
      <c r="P5" s="750" t="str">
        <f t="shared" si="0"/>
        <v>T+8</v>
      </c>
      <c r="Q5" s="750" t="str">
        <f t="shared" si="0"/>
        <v>T+9</v>
      </c>
      <c r="R5" s="750" t="str">
        <f t="shared" si="0"/>
        <v>T+10</v>
      </c>
      <c r="S5" s="750" t="str">
        <f t="shared" si="0"/>
        <v>T+11</v>
      </c>
      <c r="T5" s="750" t="str">
        <f t="shared" si="0"/>
        <v>T+12</v>
      </c>
      <c r="U5" s="750" t="str">
        <f t="shared" si="0"/>
        <v>T+13</v>
      </c>
      <c r="V5" s="750" t="str">
        <f t="shared" si="0"/>
        <v>T+14</v>
      </c>
      <c r="W5" s="750" t="str">
        <f t="shared" si="0"/>
        <v>T+15</v>
      </c>
      <c r="X5" s="750" t="str">
        <f t="shared" si="0"/>
        <v>T+16</v>
      </c>
      <c r="Y5" s="750" t="str">
        <f t="shared" si="0"/>
        <v>T+17</v>
      </c>
      <c r="Z5" s="750" t="str">
        <f t="shared" si="0"/>
        <v>T+18</v>
      </c>
      <c r="AA5" s="750" t="str">
        <f t="shared" si="0"/>
        <v>T+19</v>
      </c>
      <c r="AB5" s="750" t="str">
        <f t="shared" si="0"/>
        <v>T+20</v>
      </c>
      <c r="AC5" s="750" t="str">
        <f t="shared" si="0"/>
        <v>T+21</v>
      </c>
      <c r="AD5" s="750" t="str">
        <f t="shared" si="0"/>
        <v>T+22</v>
      </c>
      <c r="AE5" s="750" t="str">
        <f t="shared" si="0"/>
        <v>T+23</v>
      </c>
      <c r="AF5" s="750" t="str">
        <f t="shared" si="0"/>
        <v>T+24</v>
      </c>
      <c r="AG5" s="750" t="str">
        <f t="shared" si="0"/>
        <v>T+25</v>
      </c>
      <c r="AH5" s="750" t="str">
        <f t="shared" si="0"/>
        <v>T+26</v>
      </c>
      <c r="AI5" s="750" t="str">
        <f t="shared" si="0"/>
        <v>T+27</v>
      </c>
      <c r="AJ5" s="750" t="str">
        <f t="shared" si="0"/>
        <v>T+28</v>
      </c>
      <c r="AK5" s="750" t="str">
        <f t="shared" si="0"/>
        <v>T+29</v>
      </c>
      <c r="AL5" s="750" t="str">
        <f t="shared" si="0"/>
        <v>T+30</v>
      </c>
      <c r="AM5" s="750" t="str">
        <f t="shared" si="0"/>
        <v>T+31</v>
      </c>
      <c r="AN5" s="750" t="str">
        <f t="shared" si="0"/>
        <v>T+32</v>
      </c>
      <c r="AO5" s="750" t="str">
        <f t="shared" si="0"/>
        <v>T+33</v>
      </c>
      <c r="AP5" s="750" t="str">
        <f t="shared" si="0"/>
        <v>T+34</v>
      </c>
      <c r="AQ5" s="750" t="str">
        <f t="shared" si="0"/>
        <v>T+35</v>
      </c>
      <c r="AR5" s="750" t="str">
        <f t="shared" si="0"/>
        <v>T+36</v>
      </c>
      <c r="AS5" s="750" t="str">
        <f t="shared" si="0"/>
        <v>T+37</v>
      </c>
      <c r="AT5" s="750" t="str">
        <f t="shared" si="0"/>
        <v>T+38</v>
      </c>
      <c r="AU5" s="750" t="str">
        <f t="shared" si="0"/>
        <v>T+39</v>
      </c>
      <c r="AV5" s="750" t="str">
        <f t="shared" si="0"/>
        <v>T+40</v>
      </c>
      <c r="AW5" s="750" t="str">
        <f t="shared" si="0"/>
        <v>T+41</v>
      </c>
      <c r="AX5" s="750" t="str">
        <f t="shared" si="0"/>
        <v>T+42</v>
      </c>
      <c r="AY5" s="750" t="str">
        <f t="shared" si="0"/>
        <v>T+43</v>
      </c>
      <c r="AZ5" s="750" t="str">
        <f t="shared" si="0"/>
        <v>T+44</v>
      </c>
      <c r="BA5" s="750" t="str">
        <f t="shared" si="0"/>
        <v>T+45</v>
      </c>
      <c r="BB5" s="750" t="str">
        <f t="shared" si="0"/>
        <v>T+46</v>
      </c>
      <c r="BC5" s="750" t="str">
        <f t="shared" si="0"/>
        <v>T+47</v>
      </c>
      <c r="BD5" s="750" t="str">
        <f t="shared" si="0"/>
        <v>T+48</v>
      </c>
      <c r="BE5" s="750" t="str">
        <f t="shared" si="0"/>
        <v>T+49</v>
      </c>
      <c r="BF5" s="750" t="str">
        <f t="shared" si="0"/>
        <v>T+50</v>
      </c>
      <c r="BG5" s="750" t="str">
        <f t="shared" si="0"/>
        <v>T+51</v>
      </c>
      <c r="BH5" s="750" t="str">
        <f t="shared" si="0"/>
        <v>T+52</v>
      </c>
      <c r="BI5" s="750" t="str">
        <f t="shared" si="0"/>
        <v>T+53</v>
      </c>
      <c r="BJ5" s="750" t="str">
        <f t="shared" si="0"/>
        <v>T+54</v>
      </c>
      <c r="BK5" s="750" t="str">
        <f t="shared" si="0"/>
        <v>T+55</v>
      </c>
      <c r="BL5" s="750" t="str">
        <f t="shared" si="0"/>
        <v>T+56</v>
      </c>
      <c r="BM5" s="750" t="str">
        <f t="shared" si="0"/>
        <v>T+57</v>
      </c>
      <c r="BN5" s="750" t="str">
        <f t="shared" si="0"/>
        <v>T+58</v>
      </c>
      <c r="BO5" s="750" t="str">
        <f t="shared" si="0"/>
        <v>T+59</v>
      </c>
      <c r="BP5" s="750" t="str">
        <f t="shared" si="0"/>
        <v>T+60</v>
      </c>
      <c r="BQ5" s="750" t="str">
        <f t="shared" si="0"/>
        <v>T+61</v>
      </c>
      <c r="BR5" s="750" t="str">
        <f t="shared" si="0"/>
        <v>T+62</v>
      </c>
      <c r="BS5" s="750" t="str">
        <f t="shared" si="0"/>
        <v>T+63</v>
      </c>
      <c r="BT5" s="750" t="str">
        <f t="shared" si="0"/>
        <v>T+64</v>
      </c>
      <c r="BU5" s="750" t="str">
        <f t="shared" ref="BU5:EF5" si="1">"T+" &amp; (COLUMN(BU5)-COLUMN($H5))</f>
        <v>T+65</v>
      </c>
      <c r="BV5" s="750" t="str">
        <f t="shared" si="1"/>
        <v>T+66</v>
      </c>
      <c r="BW5" s="750" t="str">
        <f t="shared" si="1"/>
        <v>T+67</v>
      </c>
      <c r="BX5" s="750" t="str">
        <f t="shared" si="1"/>
        <v>T+68</v>
      </c>
      <c r="BY5" s="750" t="str">
        <f t="shared" si="1"/>
        <v>T+69</v>
      </c>
      <c r="BZ5" s="750" t="str">
        <f t="shared" si="1"/>
        <v>T+70</v>
      </c>
      <c r="CA5" s="750" t="str">
        <f t="shared" si="1"/>
        <v>T+71</v>
      </c>
      <c r="CB5" s="750" t="str">
        <f t="shared" si="1"/>
        <v>T+72</v>
      </c>
      <c r="CC5" s="750" t="str">
        <f t="shared" si="1"/>
        <v>T+73</v>
      </c>
      <c r="CD5" s="750" t="str">
        <f t="shared" si="1"/>
        <v>T+74</v>
      </c>
      <c r="CE5" s="750" t="str">
        <f t="shared" si="1"/>
        <v>T+75</v>
      </c>
      <c r="CF5" s="750" t="str">
        <f t="shared" si="1"/>
        <v>T+76</v>
      </c>
      <c r="CG5" s="750" t="str">
        <f t="shared" si="1"/>
        <v>T+77</v>
      </c>
      <c r="CH5" s="750" t="str">
        <f t="shared" si="1"/>
        <v>T+78</v>
      </c>
      <c r="CI5" s="750" t="str">
        <f t="shared" si="1"/>
        <v>T+79</v>
      </c>
      <c r="CJ5" s="750" t="str">
        <f t="shared" si="1"/>
        <v>T+80</v>
      </c>
      <c r="CK5" s="750" t="str">
        <f t="shared" si="1"/>
        <v>T+81</v>
      </c>
      <c r="CL5" s="750" t="str">
        <f t="shared" si="1"/>
        <v>T+82</v>
      </c>
      <c r="CM5" s="750" t="str">
        <f t="shared" si="1"/>
        <v>T+83</v>
      </c>
      <c r="CN5" s="750" t="str">
        <f t="shared" si="1"/>
        <v>T+84</v>
      </c>
      <c r="CO5" s="750" t="str">
        <f t="shared" si="1"/>
        <v>T+85</v>
      </c>
      <c r="CP5" s="750" t="str">
        <f t="shared" si="1"/>
        <v>T+86</v>
      </c>
      <c r="CQ5" s="750" t="str">
        <f t="shared" si="1"/>
        <v>T+87</v>
      </c>
      <c r="CR5" s="750" t="str">
        <f t="shared" si="1"/>
        <v>T+88</v>
      </c>
      <c r="CS5" s="750" t="str">
        <f t="shared" si="1"/>
        <v>T+89</v>
      </c>
      <c r="CT5" s="750" t="str">
        <f t="shared" si="1"/>
        <v>T+90</v>
      </c>
      <c r="CU5" s="750" t="str">
        <f t="shared" si="1"/>
        <v>T+91</v>
      </c>
      <c r="CV5" s="750" t="str">
        <f t="shared" si="1"/>
        <v>T+92</v>
      </c>
      <c r="CW5" s="750" t="str">
        <f t="shared" si="1"/>
        <v>T+93</v>
      </c>
      <c r="CX5" s="750" t="str">
        <f t="shared" si="1"/>
        <v>T+94</v>
      </c>
      <c r="CY5" s="750" t="str">
        <f t="shared" si="1"/>
        <v>T+95</v>
      </c>
      <c r="CZ5" s="750" t="str">
        <f t="shared" si="1"/>
        <v>T+96</v>
      </c>
      <c r="DA5" s="750" t="str">
        <f t="shared" si="1"/>
        <v>T+97</v>
      </c>
      <c r="DB5" s="750" t="str">
        <f t="shared" si="1"/>
        <v>T+98</v>
      </c>
      <c r="DC5" s="750" t="str">
        <f t="shared" si="1"/>
        <v>T+99</v>
      </c>
      <c r="DD5" s="750" t="str">
        <f t="shared" si="1"/>
        <v>T+100</v>
      </c>
      <c r="DE5" s="750" t="str">
        <f t="shared" si="1"/>
        <v>T+101</v>
      </c>
      <c r="DF5" s="750" t="str">
        <f t="shared" si="1"/>
        <v>T+102</v>
      </c>
      <c r="DG5" s="750" t="str">
        <f t="shared" si="1"/>
        <v>T+103</v>
      </c>
      <c r="DH5" s="750" t="str">
        <f t="shared" si="1"/>
        <v>T+104</v>
      </c>
      <c r="DI5" s="750" t="str">
        <f t="shared" si="1"/>
        <v>T+105</v>
      </c>
      <c r="DJ5" s="750" t="str">
        <f t="shared" si="1"/>
        <v>T+106</v>
      </c>
      <c r="DK5" s="750" t="str">
        <f t="shared" si="1"/>
        <v>T+107</v>
      </c>
      <c r="DL5" s="750" t="str">
        <f t="shared" si="1"/>
        <v>T+108</v>
      </c>
      <c r="DM5" s="750" t="str">
        <f t="shared" si="1"/>
        <v>T+109</v>
      </c>
      <c r="DN5" s="750" t="str">
        <f t="shared" si="1"/>
        <v>T+110</v>
      </c>
      <c r="DO5" s="750" t="str">
        <f t="shared" si="1"/>
        <v>T+111</v>
      </c>
      <c r="DP5" s="750" t="str">
        <f t="shared" si="1"/>
        <v>T+112</v>
      </c>
      <c r="DQ5" s="750" t="str">
        <f t="shared" si="1"/>
        <v>T+113</v>
      </c>
      <c r="DR5" s="750" t="str">
        <f t="shared" si="1"/>
        <v>T+114</v>
      </c>
      <c r="DS5" s="750" t="str">
        <f t="shared" si="1"/>
        <v>T+115</v>
      </c>
      <c r="DT5" s="750" t="str">
        <f t="shared" si="1"/>
        <v>T+116</v>
      </c>
      <c r="DU5" s="750" t="str">
        <f t="shared" si="1"/>
        <v>T+117</v>
      </c>
      <c r="DV5" s="750" t="str">
        <f t="shared" si="1"/>
        <v>T+118</v>
      </c>
      <c r="DW5" s="750" t="str">
        <f t="shared" si="1"/>
        <v>T+119</v>
      </c>
      <c r="DX5" s="750" t="str">
        <f t="shared" si="1"/>
        <v>T+120</v>
      </c>
      <c r="DY5" s="750" t="str">
        <f t="shared" si="1"/>
        <v>T+121</v>
      </c>
      <c r="DZ5" s="750" t="str">
        <f t="shared" si="1"/>
        <v>T+122</v>
      </c>
      <c r="EA5" s="750" t="str">
        <f t="shared" si="1"/>
        <v>T+123</v>
      </c>
      <c r="EB5" s="750" t="str">
        <f t="shared" si="1"/>
        <v>T+124</v>
      </c>
      <c r="EC5" s="750" t="str">
        <f t="shared" si="1"/>
        <v>T+125</v>
      </c>
      <c r="ED5" s="750" t="str">
        <f t="shared" si="1"/>
        <v>T+126</v>
      </c>
      <c r="EE5" s="750" t="str">
        <f t="shared" si="1"/>
        <v>T+127</v>
      </c>
      <c r="EF5" s="750" t="str">
        <f t="shared" si="1"/>
        <v>T+128</v>
      </c>
      <c r="EG5" s="750" t="str">
        <f t="shared" ref="EG5:GR5" si="2">"T+" &amp; (COLUMN(EG5)-COLUMN($H5))</f>
        <v>T+129</v>
      </c>
      <c r="EH5" s="750" t="str">
        <f t="shared" si="2"/>
        <v>T+130</v>
      </c>
      <c r="EI5" s="750" t="str">
        <f t="shared" si="2"/>
        <v>T+131</v>
      </c>
      <c r="EJ5" s="750" t="str">
        <f t="shared" si="2"/>
        <v>T+132</v>
      </c>
      <c r="EK5" s="750" t="str">
        <f t="shared" si="2"/>
        <v>T+133</v>
      </c>
      <c r="EL5" s="750" t="str">
        <f t="shared" si="2"/>
        <v>T+134</v>
      </c>
      <c r="EM5" s="750" t="str">
        <f t="shared" si="2"/>
        <v>T+135</v>
      </c>
      <c r="EN5" s="750" t="str">
        <f t="shared" si="2"/>
        <v>T+136</v>
      </c>
      <c r="EO5" s="750" t="str">
        <f t="shared" si="2"/>
        <v>T+137</v>
      </c>
      <c r="EP5" s="750" t="str">
        <f t="shared" si="2"/>
        <v>T+138</v>
      </c>
      <c r="EQ5" s="750" t="str">
        <f t="shared" si="2"/>
        <v>T+139</v>
      </c>
      <c r="ER5" s="750" t="str">
        <f t="shared" si="2"/>
        <v>T+140</v>
      </c>
      <c r="ES5" s="750" t="str">
        <f t="shared" si="2"/>
        <v>T+141</v>
      </c>
      <c r="ET5" s="750" t="str">
        <f t="shared" si="2"/>
        <v>T+142</v>
      </c>
      <c r="EU5" s="750" t="str">
        <f t="shared" si="2"/>
        <v>T+143</v>
      </c>
      <c r="EV5" s="750" t="str">
        <f t="shared" si="2"/>
        <v>T+144</v>
      </c>
      <c r="EW5" s="750" t="str">
        <f t="shared" si="2"/>
        <v>T+145</v>
      </c>
      <c r="EX5" s="750" t="str">
        <f t="shared" si="2"/>
        <v>T+146</v>
      </c>
      <c r="EY5" s="750" t="str">
        <f t="shared" si="2"/>
        <v>T+147</v>
      </c>
      <c r="EZ5" s="750" t="str">
        <f t="shared" si="2"/>
        <v>T+148</v>
      </c>
      <c r="FA5" s="750" t="str">
        <f t="shared" si="2"/>
        <v>T+149</v>
      </c>
      <c r="FB5" s="750" t="str">
        <f t="shared" si="2"/>
        <v>T+150</v>
      </c>
      <c r="FC5" s="750" t="str">
        <f t="shared" si="2"/>
        <v>T+151</v>
      </c>
      <c r="FD5" s="750" t="str">
        <f t="shared" si="2"/>
        <v>T+152</v>
      </c>
      <c r="FE5" s="750" t="str">
        <f t="shared" si="2"/>
        <v>T+153</v>
      </c>
      <c r="FF5" s="750" t="str">
        <f t="shared" si="2"/>
        <v>T+154</v>
      </c>
      <c r="FG5" s="750" t="str">
        <f t="shared" si="2"/>
        <v>T+155</v>
      </c>
      <c r="FH5" s="750" t="str">
        <f t="shared" si="2"/>
        <v>T+156</v>
      </c>
      <c r="FI5" s="750" t="str">
        <f t="shared" si="2"/>
        <v>T+157</v>
      </c>
      <c r="FJ5" s="750" t="str">
        <f t="shared" si="2"/>
        <v>T+158</v>
      </c>
      <c r="FK5" s="750" t="str">
        <f t="shared" si="2"/>
        <v>T+159</v>
      </c>
      <c r="FL5" s="750" t="str">
        <f t="shared" si="2"/>
        <v>T+160</v>
      </c>
      <c r="FM5" s="750" t="str">
        <f t="shared" si="2"/>
        <v>T+161</v>
      </c>
      <c r="FN5" s="750" t="str">
        <f t="shared" si="2"/>
        <v>T+162</v>
      </c>
      <c r="FO5" s="750" t="str">
        <f t="shared" si="2"/>
        <v>T+163</v>
      </c>
      <c r="FP5" s="750" t="str">
        <f t="shared" si="2"/>
        <v>T+164</v>
      </c>
      <c r="FQ5" s="750" t="str">
        <f t="shared" si="2"/>
        <v>T+165</v>
      </c>
      <c r="FR5" s="750" t="str">
        <f t="shared" si="2"/>
        <v>T+166</v>
      </c>
      <c r="FS5" s="750" t="str">
        <f t="shared" si="2"/>
        <v>T+167</v>
      </c>
      <c r="FT5" s="750" t="str">
        <f t="shared" si="2"/>
        <v>T+168</v>
      </c>
      <c r="FU5" s="750" t="str">
        <f t="shared" si="2"/>
        <v>T+169</v>
      </c>
      <c r="FV5" s="750" t="str">
        <f t="shared" si="2"/>
        <v>T+170</v>
      </c>
      <c r="FW5" s="750" t="str">
        <f t="shared" si="2"/>
        <v>T+171</v>
      </c>
      <c r="FX5" s="750" t="str">
        <f t="shared" si="2"/>
        <v>T+172</v>
      </c>
      <c r="FY5" s="750" t="str">
        <f t="shared" si="2"/>
        <v>T+173</v>
      </c>
      <c r="FZ5" s="750" t="str">
        <f t="shared" si="2"/>
        <v>T+174</v>
      </c>
      <c r="GA5" s="750" t="str">
        <f t="shared" si="2"/>
        <v>T+175</v>
      </c>
      <c r="GB5" s="750" t="str">
        <f t="shared" si="2"/>
        <v>T+176</v>
      </c>
      <c r="GC5" s="750" t="str">
        <f t="shared" si="2"/>
        <v>T+177</v>
      </c>
      <c r="GD5" s="750" t="str">
        <f t="shared" si="2"/>
        <v>T+178</v>
      </c>
      <c r="GE5" s="750" t="str">
        <f t="shared" si="2"/>
        <v>T+179</v>
      </c>
      <c r="GF5" s="750" t="str">
        <f t="shared" si="2"/>
        <v>T+180</v>
      </c>
      <c r="GG5" s="750" t="str">
        <f t="shared" si="2"/>
        <v>T+181</v>
      </c>
      <c r="GH5" s="750" t="str">
        <f t="shared" si="2"/>
        <v>T+182</v>
      </c>
      <c r="GI5" s="750" t="str">
        <f t="shared" si="2"/>
        <v>T+183</v>
      </c>
      <c r="GJ5" s="750" t="str">
        <f t="shared" si="2"/>
        <v>T+184</v>
      </c>
      <c r="GK5" s="750" t="str">
        <f t="shared" si="2"/>
        <v>T+185</v>
      </c>
      <c r="GL5" s="750" t="str">
        <f t="shared" si="2"/>
        <v>T+186</v>
      </c>
      <c r="GM5" s="750" t="str">
        <f t="shared" si="2"/>
        <v>T+187</v>
      </c>
      <c r="GN5" s="750" t="str">
        <f t="shared" si="2"/>
        <v>T+188</v>
      </c>
      <c r="GO5" s="750" t="str">
        <f t="shared" si="2"/>
        <v>T+189</v>
      </c>
      <c r="GP5" s="750" t="str">
        <f t="shared" si="2"/>
        <v>T+190</v>
      </c>
      <c r="GQ5" s="750" t="str">
        <f t="shared" si="2"/>
        <v>T+191</v>
      </c>
      <c r="GR5" s="750" t="str">
        <f t="shared" si="2"/>
        <v>T+192</v>
      </c>
      <c r="GS5" s="750" t="str">
        <f t="shared" ref="GS5:JD5" si="3">"T+" &amp; (COLUMN(GS5)-COLUMN($H5))</f>
        <v>T+193</v>
      </c>
      <c r="GT5" s="750" t="str">
        <f t="shared" si="3"/>
        <v>T+194</v>
      </c>
      <c r="GU5" s="750" t="str">
        <f t="shared" si="3"/>
        <v>T+195</v>
      </c>
      <c r="GV5" s="750" t="str">
        <f t="shared" si="3"/>
        <v>T+196</v>
      </c>
      <c r="GW5" s="750" t="str">
        <f t="shared" si="3"/>
        <v>T+197</v>
      </c>
      <c r="GX5" s="750" t="str">
        <f t="shared" si="3"/>
        <v>T+198</v>
      </c>
      <c r="GY5" s="750" t="str">
        <f t="shared" si="3"/>
        <v>T+199</v>
      </c>
      <c r="GZ5" s="750" t="str">
        <f t="shared" si="3"/>
        <v>T+200</v>
      </c>
      <c r="HA5" s="750" t="str">
        <f t="shared" si="3"/>
        <v>T+201</v>
      </c>
      <c r="HB5" s="750" t="str">
        <f t="shared" si="3"/>
        <v>T+202</v>
      </c>
      <c r="HC5" s="750" t="str">
        <f t="shared" si="3"/>
        <v>T+203</v>
      </c>
      <c r="HD5" s="750" t="str">
        <f t="shared" si="3"/>
        <v>T+204</v>
      </c>
      <c r="HE5" s="750" t="str">
        <f t="shared" si="3"/>
        <v>T+205</v>
      </c>
      <c r="HF5" s="750" t="str">
        <f t="shared" si="3"/>
        <v>T+206</v>
      </c>
      <c r="HG5" s="750" t="str">
        <f t="shared" si="3"/>
        <v>T+207</v>
      </c>
      <c r="HH5" s="750" t="str">
        <f t="shared" si="3"/>
        <v>T+208</v>
      </c>
      <c r="HI5" s="750" t="str">
        <f t="shared" si="3"/>
        <v>T+209</v>
      </c>
      <c r="HJ5" s="750" t="str">
        <f t="shared" si="3"/>
        <v>T+210</v>
      </c>
      <c r="HK5" s="750" t="str">
        <f t="shared" si="3"/>
        <v>T+211</v>
      </c>
      <c r="HL5" s="750" t="str">
        <f t="shared" si="3"/>
        <v>T+212</v>
      </c>
      <c r="HM5" s="750" t="str">
        <f t="shared" si="3"/>
        <v>T+213</v>
      </c>
      <c r="HN5" s="750" t="str">
        <f t="shared" si="3"/>
        <v>T+214</v>
      </c>
      <c r="HO5" s="750" t="str">
        <f t="shared" si="3"/>
        <v>T+215</v>
      </c>
      <c r="HP5" s="750" t="str">
        <f t="shared" si="3"/>
        <v>T+216</v>
      </c>
      <c r="HQ5" s="750" t="str">
        <f t="shared" si="3"/>
        <v>T+217</v>
      </c>
      <c r="HR5" s="750" t="str">
        <f t="shared" si="3"/>
        <v>T+218</v>
      </c>
      <c r="HS5" s="750" t="str">
        <f t="shared" si="3"/>
        <v>T+219</v>
      </c>
      <c r="HT5" s="750" t="str">
        <f t="shared" si="3"/>
        <v>T+220</v>
      </c>
      <c r="HU5" s="750" t="str">
        <f t="shared" si="3"/>
        <v>T+221</v>
      </c>
      <c r="HV5" s="750" t="str">
        <f t="shared" si="3"/>
        <v>T+222</v>
      </c>
      <c r="HW5" s="750" t="str">
        <f t="shared" si="3"/>
        <v>T+223</v>
      </c>
      <c r="HX5" s="750" t="str">
        <f t="shared" si="3"/>
        <v>T+224</v>
      </c>
      <c r="HY5" s="750" t="str">
        <f t="shared" si="3"/>
        <v>T+225</v>
      </c>
      <c r="HZ5" s="750" t="str">
        <f t="shared" si="3"/>
        <v>T+226</v>
      </c>
      <c r="IA5" s="750" t="str">
        <f t="shared" si="3"/>
        <v>T+227</v>
      </c>
      <c r="IB5" s="750" t="str">
        <f t="shared" si="3"/>
        <v>T+228</v>
      </c>
      <c r="IC5" s="750" t="str">
        <f t="shared" si="3"/>
        <v>T+229</v>
      </c>
      <c r="ID5" s="750" t="str">
        <f t="shared" si="3"/>
        <v>T+230</v>
      </c>
      <c r="IE5" s="750" t="str">
        <f t="shared" si="3"/>
        <v>T+231</v>
      </c>
      <c r="IF5" s="750" t="str">
        <f t="shared" si="3"/>
        <v>T+232</v>
      </c>
      <c r="IG5" s="750" t="str">
        <f t="shared" si="3"/>
        <v>T+233</v>
      </c>
      <c r="IH5" s="750" t="str">
        <f t="shared" si="3"/>
        <v>T+234</v>
      </c>
      <c r="II5" s="750" t="str">
        <f t="shared" si="3"/>
        <v>T+235</v>
      </c>
      <c r="IJ5" s="750" t="str">
        <f t="shared" si="3"/>
        <v>T+236</v>
      </c>
      <c r="IK5" s="750" t="str">
        <f t="shared" si="3"/>
        <v>T+237</v>
      </c>
      <c r="IL5" s="750" t="str">
        <f t="shared" si="3"/>
        <v>T+238</v>
      </c>
      <c r="IM5" s="750" t="str">
        <f t="shared" si="3"/>
        <v>T+239</v>
      </c>
      <c r="IN5" s="750" t="str">
        <f t="shared" si="3"/>
        <v>T+240</v>
      </c>
      <c r="IO5" s="750" t="str">
        <f t="shared" si="3"/>
        <v>T+241</v>
      </c>
      <c r="IP5" s="750" t="str">
        <f t="shared" si="3"/>
        <v>T+242</v>
      </c>
      <c r="IQ5" s="750" t="str">
        <f t="shared" si="3"/>
        <v>T+243</v>
      </c>
      <c r="IR5" s="750" t="str">
        <f t="shared" si="3"/>
        <v>T+244</v>
      </c>
      <c r="IS5" s="750" t="str">
        <f t="shared" si="3"/>
        <v>T+245</v>
      </c>
      <c r="IT5" s="750" t="str">
        <f t="shared" si="3"/>
        <v>T+246</v>
      </c>
      <c r="IU5" s="750" t="str">
        <f t="shared" si="3"/>
        <v>T+247</v>
      </c>
      <c r="IV5" s="750" t="str">
        <f t="shared" si="3"/>
        <v>T+248</v>
      </c>
      <c r="IW5" s="750" t="str">
        <f t="shared" si="3"/>
        <v>T+249</v>
      </c>
      <c r="IX5" s="750" t="str">
        <f t="shared" si="3"/>
        <v>T+250</v>
      </c>
      <c r="IY5" s="750" t="str">
        <f t="shared" si="3"/>
        <v>T+251</v>
      </c>
      <c r="IZ5" s="750" t="str">
        <f t="shared" si="3"/>
        <v>T+252</v>
      </c>
      <c r="JA5" s="750" t="str">
        <f t="shared" si="3"/>
        <v>T+253</v>
      </c>
      <c r="JB5" s="750" t="str">
        <f t="shared" si="3"/>
        <v>T+254</v>
      </c>
      <c r="JC5" s="750" t="str">
        <f t="shared" si="3"/>
        <v>T+255</v>
      </c>
      <c r="JD5" s="750" t="str">
        <f t="shared" si="3"/>
        <v>T+256</v>
      </c>
      <c r="JE5" s="750" t="str">
        <f t="shared" ref="JE5:KB5" si="4">"T+" &amp; (COLUMN(JE5)-COLUMN($H5))</f>
        <v>T+257</v>
      </c>
      <c r="JF5" s="750" t="str">
        <f t="shared" si="4"/>
        <v>T+258</v>
      </c>
      <c r="JG5" s="750" t="str">
        <f t="shared" si="4"/>
        <v>T+259</v>
      </c>
      <c r="JH5" s="750" t="str">
        <f t="shared" si="4"/>
        <v>T+260</v>
      </c>
      <c r="JI5" s="750" t="str">
        <f t="shared" si="4"/>
        <v>T+261</v>
      </c>
      <c r="JJ5" s="750" t="str">
        <f t="shared" si="4"/>
        <v>T+262</v>
      </c>
      <c r="JK5" s="750" t="str">
        <f t="shared" si="4"/>
        <v>T+263</v>
      </c>
      <c r="JL5" s="750" t="str">
        <f t="shared" si="4"/>
        <v>T+264</v>
      </c>
      <c r="JM5" s="750" t="str">
        <f t="shared" si="4"/>
        <v>T+265</v>
      </c>
      <c r="JN5" s="750" t="str">
        <f t="shared" si="4"/>
        <v>T+266</v>
      </c>
      <c r="JO5" s="750" t="str">
        <f t="shared" si="4"/>
        <v>T+267</v>
      </c>
      <c r="JP5" s="750" t="str">
        <f t="shared" si="4"/>
        <v>T+268</v>
      </c>
      <c r="JQ5" s="750" t="str">
        <f t="shared" si="4"/>
        <v>T+269</v>
      </c>
      <c r="JR5" s="750" t="str">
        <f t="shared" si="4"/>
        <v>T+270</v>
      </c>
      <c r="JS5" s="750" t="str">
        <f t="shared" si="4"/>
        <v>T+271</v>
      </c>
      <c r="JT5" s="750" t="str">
        <f t="shared" si="4"/>
        <v>T+272</v>
      </c>
      <c r="JU5" s="750" t="str">
        <f t="shared" si="4"/>
        <v>T+273</v>
      </c>
      <c r="JV5" s="750" t="str">
        <f t="shared" si="4"/>
        <v>T+274</v>
      </c>
      <c r="JW5" s="750" t="str">
        <f t="shared" si="4"/>
        <v>T+275</v>
      </c>
      <c r="JX5" s="750" t="str">
        <f t="shared" si="4"/>
        <v>T+276</v>
      </c>
      <c r="JY5" s="750" t="str">
        <f t="shared" si="4"/>
        <v>T+277</v>
      </c>
      <c r="JZ5" s="750" t="str">
        <f t="shared" si="4"/>
        <v>T+278</v>
      </c>
      <c r="KA5" s="750" t="str">
        <f t="shared" si="4"/>
        <v>T+279</v>
      </c>
      <c r="KB5" s="750" t="str">
        <f t="shared" si="4"/>
        <v>T+280</v>
      </c>
    </row>
    <row r="6" spans="1:289" ht="15" customHeight="1" x14ac:dyDescent="0.35">
      <c r="B6" s="921" t="s">
        <v>1602</v>
      </c>
      <c r="C6" s="1826"/>
      <c r="D6" s="1826"/>
      <c r="E6" s="1826"/>
      <c r="F6" s="1826"/>
      <c r="G6" s="1826"/>
      <c r="H6" s="1827"/>
      <c r="I6" s="1089"/>
      <c r="J6" s="1089"/>
      <c r="K6" s="1089"/>
      <c r="L6" s="1089"/>
      <c r="M6" s="1089"/>
      <c r="N6" s="1089"/>
      <c r="O6" s="1089"/>
      <c r="P6" s="1089"/>
      <c r="Q6" s="1089"/>
      <c r="R6" s="1089"/>
      <c r="S6" s="1089"/>
      <c r="T6" s="1089"/>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c r="AT6" s="1089"/>
      <c r="AU6" s="1089"/>
      <c r="AV6" s="1089"/>
      <c r="AW6" s="1089"/>
      <c r="AX6" s="1089"/>
      <c r="AY6" s="1089"/>
      <c r="AZ6" s="1089"/>
      <c r="BA6" s="1089"/>
      <c r="BB6" s="1089"/>
      <c r="BC6" s="1089"/>
      <c r="BD6" s="1089"/>
      <c r="BE6" s="1089"/>
      <c r="BF6" s="1089"/>
      <c r="BG6" s="1089"/>
      <c r="BH6" s="1089"/>
      <c r="BI6" s="1089"/>
      <c r="BJ6" s="1089"/>
      <c r="BK6" s="1089"/>
      <c r="BL6" s="1089"/>
      <c r="BM6" s="1089"/>
      <c r="BN6" s="1089"/>
      <c r="BO6" s="1089"/>
      <c r="BP6" s="1089"/>
      <c r="BQ6" s="1089"/>
      <c r="BR6" s="1089"/>
      <c r="BS6" s="1089"/>
      <c r="BT6" s="1089"/>
      <c r="BU6" s="1089"/>
      <c r="BV6" s="1089"/>
      <c r="BW6" s="1089"/>
      <c r="BX6" s="1089"/>
      <c r="BY6" s="1089"/>
      <c r="BZ6" s="1089"/>
      <c r="CA6" s="1089"/>
      <c r="CB6" s="1089"/>
      <c r="CC6" s="1089"/>
      <c r="CD6" s="1089"/>
      <c r="CE6" s="1089"/>
      <c r="CF6" s="1089"/>
      <c r="CG6" s="1089"/>
      <c r="CH6" s="1089"/>
      <c r="CI6" s="1089"/>
      <c r="CJ6" s="1089"/>
      <c r="CK6" s="1089"/>
      <c r="CL6" s="1089"/>
      <c r="CM6" s="1089"/>
      <c r="CN6" s="1089"/>
      <c r="CO6" s="1089"/>
      <c r="CP6" s="1089"/>
      <c r="CQ6" s="1089"/>
      <c r="CR6" s="1089"/>
      <c r="CS6" s="1089"/>
      <c r="CT6" s="1089"/>
      <c r="CU6" s="1089"/>
      <c r="CV6" s="1089"/>
      <c r="CW6" s="1089"/>
      <c r="CX6" s="1089"/>
      <c r="CY6" s="1089"/>
      <c r="CZ6" s="1089"/>
      <c r="DA6" s="1089"/>
      <c r="DB6" s="1089"/>
      <c r="DC6" s="1089"/>
      <c r="DD6" s="1089"/>
      <c r="DE6" s="1089"/>
      <c r="DF6" s="1089"/>
      <c r="DG6" s="1089"/>
      <c r="DH6" s="1089"/>
      <c r="DI6" s="1089"/>
      <c r="DJ6" s="1089"/>
      <c r="DK6" s="1089"/>
      <c r="DL6" s="1089"/>
      <c r="DM6" s="1089"/>
      <c r="DN6" s="1089"/>
      <c r="DO6" s="1089"/>
      <c r="DP6" s="1089"/>
      <c r="DQ6" s="1089"/>
      <c r="DR6" s="1089"/>
      <c r="DS6" s="1089"/>
      <c r="DT6" s="1089"/>
      <c r="DU6" s="1089"/>
      <c r="DV6" s="1089"/>
      <c r="DW6" s="1089"/>
      <c r="DX6" s="1089"/>
      <c r="DY6" s="1089"/>
      <c r="DZ6" s="1089"/>
      <c r="EA6" s="1089"/>
      <c r="EB6" s="1089"/>
      <c r="EC6" s="1089"/>
      <c r="ED6" s="1089"/>
      <c r="EE6" s="1089"/>
      <c r="EF6" s="1089"/>
      <c r="EG6" s="1089"/>
      <c r="EH6" s="1089"/>
      <c r="EI6" s="1089"/>
      <c r="EJ6" s="1089"/>
      <c r="EK6" s="1089"/>
      <c r="EL6" s="1089"/>
      <c r="EM6" s="1089"/>
      <c r="EN6" s="1089"/>
      <c r="EO6" s="1089"/>
      <c r="EP6" s="1089"/>
      <c r="EQ6" s="1089"/>
      <c r="ER6" s="1089"/>
      <c r="ES6" s="1089"/>
      <c r="ET6" s="1089"/>
      <c r="EU6" s="1089"/>
      <c r="EV6" s="1089"/>
      <c r="EW6" s="1089"/>
      <c r="EX6" s="1089"/>
      <c r="EY6" s="1089"/>
      <c r="EZ6" s="1089"/>
      <c r="FA6" s="1089"/>
      <c r="FB6" s="1089"/>
      <c r="FC6" s="1089"/>
      <c r="FD6" s="1089"/>
      <c r="FE6" s="1089"/>
      <c r="FF6" s="1089"/>
      <c r="FG6" s="1089"/>
      <c r="FH6" s="1089"/>
      <c r="FI6" s="1089"/>
      <c r="FJ6" s="1089"/>
      <c r="FK6" s="1089"/>
      <c r="FL6" s="1089"/>
      <c r="FM6" s="1089"/>
      <c r="FN6" s="1089"/>
      <c r="FO6" s="1089"/>
      <c r="FP6" s="1089"/>
      <c r="FQ6" s="1089"/>
      <c r="FR6" s="1089"/>
      <c r="FS6" s="1089"/>
      <c r="FT6" s="1089"/>
      <c r="FU6" s="1089"/>
      <c r="FV6" s="1089"/>
      <c r="FW6" s="1089"/>
      <c r="FX6" s="1089"/>
      <c r="FY6" s="1089"/>
      <c r="FZ6" s="1089"/>
      <c r="GA6" s="1089"/>
      <c r="GB6" s="1089"/>
      <c r="GC6" s="1089"/>
      <c r="GD6" s="1089"/>
      <c r="GE6" s="1089"/>
      <c r="GF6" s="1089"/>
      <c r="GG6" s="1089"/>
      <c r="GH6" s="1089"/>
      <c r="GI6" s="1089"/>
      <c r="GJ6" s="1089"/>
      <c r="GK6" s="1089"/>
      <c r="GL6" s="1089"/>
      <c r="GM6" s="1089"/>
      <c r="GN6" s="1089"/>
      <c r="GO6" s="1089"/>
      <c r="GP6" s="1089"/>
      <c r="GQ6" s="1089"/>
      <c r="GR6" s="1089"/>
      <c r="GS6" s="1089"/>
      <c r="GT6" s="1089"/>
      <c r="GU6" s="1089"/>
      <c r="GV6" s="1089"/>
      <c r="GW6" s="1089"/>
      <c r="GX6" s="1089"/>
      <c r="GY6" s="1089"/>
      <c r="GZ6" s="1089"/>
      <c r="HA6" s="1089"/>
      <c r="HB6" s="1089"/>
      <c r="HC6" s="1089"/>
      <c r="HD6" s="1089"/>
      <c r="HE6" s="1089"/>
      <c r="HF6" s="1089"/>
      <c r="HG6" s="1089"/>
      <c r="HH6" s="1089"/>
      <c r="HI6" s="1089"/>
      <c r="HJ6" s="1089"/>
      <c r="HK6" s="1089"/>
      <c r="HL6" s="1089"/>
      <c r="HM6" s="1089"/>
      <c r="HN6" s="1089"/>
      <c r="HO6" s="1089"/>
      <c r="HP6" s="1089"/>
      <c r="HQ6" s="1089"/>
      <c r="HR6" s="1089"/>
      <c r="HS6" s="1089"/>
      <c r="HT6" s="1089"/>
      <c r="HU6" s="1089"/>
      <c r="HV6" s="1089"/>
      <c r="HW6" s="1089"/>
      <c r="HX6" s="1089"/>
      <c r="HY6" s="1089"/>
      <c r="HZ6" s="1089"/>
      <c r="IA6" s="1089"/>
      <c r="IB6" s="1089"/>
      <c r="IC6" s="1089"/>
      <c r="ID6" s="1089"/>
      <c r="IE6" s="1089"/>
      <c r="IF6" s="1089"/>
      <c r="IG6" s="1089"/>
      <c r="IH6" s="1089"/>
      <c r="II6" s="1089"/>
      <c r="IJ6" s="1089"/>
      <c r="IK6" s="1089"/>
      <c r="IL6" s="1089"/>
      <c r="IM6" s="1089"/>
      <c r="IN6" s="1089"/>
      <c r="IO6" s="1089"/>
      <c r="IP6" s="1089"/>
      <c r="IQ6" s="1089"/>
      <c r="IR6" s="1089"/>
      <c r="IS6" s="1089"/>
      <c r="IT6" s="1089"/>
      <c r="IU6" s="1089"/>
      <c r="IV6" s="1089"/>
      <c r="IW6" s="1089"/>
      <c r="IX6" s="1089"/>
      <c r="IY6" s="1089"/>
      <c r="IZ6" s="1089"/>
      <c r="JA6" s="1089"/>
      <c r="JB6" s="1089"/>
      <c r="JC6" s="1089"/>
      <c r="JD6" s="1089"/>
      <c r="JE6" s="1089"/>
      <c r="JF6" s="1089"/>
      <c r="JG6" s="1089"/>
      <c r="JH6" s="1089"/>
      <c r="JI6" s="1089"/>
      <c r="JJ6" s="1089"/>
      <c r="JK6" s="1089"/>
      <c r="JL6" s="1089"/>
      <c r="JM6" s="1089"/>
      <c r="JN6" s="1089"/>
      <c r="JO6" s="1089"/>
      <c r="JP6" s="1089"/>
      <c r="JQ6" s="1089"/>
      <c r="JR6" s="1089"/>
      <c r="JS6" s="1089"/>
      <c r="JT6" s="1089"/>
      <c r="JU6" s="1089"/>
      <c r="JV6" s="1089"/>
      <c r="JW6" s="1089"/>
      <c r="JX6" s="1089"/>
      <c r="JY6" s="1089"/>
      <c r="JZ6" s="1089"/>
      <c r="KA6" s="1089"/>
      <c r="KB6" s="1089"/>
    </row>
    <row r="7" spans="1:289" ht="15" customHeight="1" x14ac:dyDescent="0.35">
      <c r="A7" s="729"/>
      <c r="B7" s="278"/>
      <c r="C7" s="278"/>
      <c r="D7" s="281"/>
      <c r="E7" s="281"/>
      <c r="F7" s="281"/>
      <c r="G7" s="281"/>
      <c r="H7" s="278"/>
      <c r="I7" s="278"/>
      <c r="J7" s="278"/>
      <c r="K7" s="278"/>
      <c r="L7" s="278"/>
      <c r="M7" s="278"/>
      <c r="N7" s="278"/>
      <c r="O7" s="278"/>
      <c r="P7" s="278"/>
      <c r="Q7" s="278"/>
      <c r="R7" s="278"/>
      <c r="S7" s="278"/>
      <c r="T7" s="278"/>
      <c r="U7" s="278"/>
      <c r="V7" s="278"/>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c r="BD7" s="278"/>
      <c r="BE7" s="278"/>
      <c r="BF7" s="278"/>
      <c r="BG7" s="278"/>
      <c r="BH7" s="278"/>
      <c r="BI7" s="278"/>
      <c r="BJ7" s="278"/>
      <c r="BK7" s="278"/>
      <c r="BL7" s="278"/>
      <c r="BM7" s="278"/>
      <c r="BN7" s="278"/>
      <c r="BO7" s="278"/>
      <c r="BP7" s="278"/>
      <c r="BQ7" s="278"/>
      <c r="BR7" s="278"/>
      <c r="BS7" s="278"/>
      <c r="BT7" s="278"/>
      <c r="BU7" s="278"/>
      <c r="BV7" s="278"/>
      <c r="BW7" s="278"/>
      <c r="BX7" s="278"/>
      <c r="BY7" s="278"/>
      <c r="BZ7" s="278"/>
      <c r="CA7" s="278"/>
      <c r="CB7" s="278"/>
      <c r="CC7" s="278"/>
      <c r="CD7" s="278"/>
      <c r="CE7" s="278"/>
      <c r="CF7" s="278"/>
      <c r="CG7" s="278"/>
      <c r="CH7" s="278"/>
      <c r="CI7" s="278"/>
      <c r="CJ7" s="278"/>
      <c r="CK7" s="278"/>
      <c r="CL7" s="278"/>
      <c r="CM7" s="278"/>
      <c r="CN7" s="278"/>
      <c r="CO7" s="278"/>
      <c r="CP7" s="278"/>
      <c r="CQ7" s="278"/>
      <c r="CR7" s="278"/>
      <c r="CS7" s="278"/>
      <c r="CT7" s="278"/>
      <c r="CU7" s="278"/>
      <c r="CV7" s="278"/>
      <c r="CW7" s="278"/>
      <c r="CX7" s="278"/>
      <c r="CY7" s="278"/>
      <c r="CZ7" s="278"/>
      <c r="DA7" s="278"/>
      <c r="DB7" s="278"/>
      <c r="DC7" s="278"/>
      <c r="DD7" s="278"/>
      <c r="DE7" s="278"/>
      <c r="DF7" s="278"/>
      <c r="DG7" s="278"/>
      <c r="DH7" s="278"/>
      <c r="DI7" s="278"/>
      <c r="DJ7" s="278"/>
      <c r="DK7" s="278"/>
      <c r="DL7" s="278"/>
      <c r="DM7" s="278"/>
      <c r="DN7" s="278"/>
      <c r="DO7" s="278"/>
      <c r="DP7" s="278"/>
      <c r="DQ7" s="278"/>
      <c r="DR7" s="278"/>
      <c r="DS7" s="278"/>
      <c r="DT7" s="278"/>
      <c r="DU7" s="278"/>
      <c r="DV7" s="278"/>
      <c r="DW7" s="278"/>
      <c r="DX7" s="278"/>
      <c r="DY7" s="278"/>
      <c r="DZ7" s="278"/>
      <c r="EA7" s="278"/>
      <c r="EB7" s="278"/>
      <c r="EC7" s="278"/>
      <c r="ED7" s="278"/>
      <c r="EE7" s="278"/>
      <c r="EF7" s="278"/>
      <c r="EG7" s="278"/>
      <c r="EH7" s="278"/>
      <c r="EI7" s="278"/>
      <c r="EJ7" s="278"/>
      <c r="EK7" s="278"/>
      <c r="EL7" s="278"/>
      <c r="EM7" s="278"/>
      <c r="EN7" s="278"/>
      <c r="EO7" s="278"/>
      <c r="EP7" s="278"/>
      <c r="EQ7" s="278"/>
      <c r="ER7" s="278"/>
      <c r="ES7" s="278"/>
      <c r="ET7" s="278"/>
      <c r="EU7" s="278"/>
      <c r="EV7" s="278"/>
      <c r="EW7" s="278"/>
      <c r="EX7" s="278"/>
      <c r="EY7" s="278"/>
      <c r="EZ7" s="278"/>
      <c r="FA7" s="278"/>
      <c r="FB7" s="278"/>
      <c r="FC7" s="278"/>
      <c r="FD7" s="278"/>
      <c r="FE7" s="278"/>
      <c r="FF7" s="278"/>
      <c r="FG7" s="278"/>
      <c r="FH7" s="278"/>
      <c r="FI7" s="278"/>
      <c r="FJ7" s="278"/>
      <c r="FK7" s="278"/>
      <c r="FL7" s="278"/>
      <c r="FM7" s="278"/>
      <c r="FN7" s="278"/>
      <c r="FO7" s="278"/>
      <c r="FP7" s="278"/>
      <c r="FQ7" s="278"/>
      <c r="FR7" s="278"/>
      <c r="FS7" s="278"/>
      <c r="FT7" s="278"/>
      <c r="FU7" s="278"/>
      <c r="FV7" s="278"/>
      <c r="FW7" s="278"/>
      <c r="FX7" s="278"/>
      <c r="FY7" s="278"/>
      <c r="FZ7" s="278"/>
      <c r="GA7" s="278"/>
      <c r="GB7" s="278"/>
      <c r="GC7" s="278"/>
      <c r="GD7" s="278"/>
      <c r="GE7" s="278"/>
      <c r="GF7" s="278"/>
      <c r="GG7" s="278"/>
      <c r="GH7" s="278"/>
      <c r="GI7" s="278"/>
      <c r="GJ7" s="278"/>
      <c r="GK7" s="278"/>
      <c r="GL7" s="278"/>
      <c r="GM7" s="278"/>
      <c r="GN7" s="278"/>
      <c r="GO7" s="278"/>
      <c r="GP7" s="278"/>
      <c r="GQ7" s="278"/>
      <c r="GR7" s="278"/>
      <c r="GS7" s="278"/>
      <c r="GT7" s="278"/>
      <c r="GU7" s="278"/>
      <c r="GV7" s="278"/>
      <c r="GW7" s="278"/>
      <c r="GX7" s="278"/>
      <c r="GY7" s="278"/>
      <c r="GZ7" s="278"/>
      <c r="HA7" s="278"/>
      <c r="HB7" s="278"/>
      <c r="HC7" s="278"/>
      <c r="HD7" s="278"/>
      <c r="HE7" s="278"/>
      <c r="HF7" s="278"/>
      <c r="HG7" s="278"/>
      <c r="HH7" s="278"/>
      <c r="HI7" s="278"/>
      <c r="HJ7" s="278"/>
      <c r="HK7" s="278"/>
      <c r="HL7" s="278"/>
      <c r="HM7" s="278"/>
      <c r="HN7" s="278"/>
      <c r="HO7" s="278"/>
      <c r="HP7" s="278"/>
      <c r="HQ7" s="278"/>
      <c r="HR7" s="278"/>
      <c r="HS7" s="278"/>
      <c r="HT7" s="278"/>
      <c r="HU7" s="278"/>
      <c r="HV7" s="278"/>
      <c r="HW7" s="278"/>
      <c r="HX7" s="278"/>
      <c r="HY7" s="278"/>
      <c r="HZ7" s="278"/>
      <c r="IA7" s="278"/>
      <c r="IB7" s="278"/>
      <c r="IC7" s="278"/>
      <c r="ID7" s="278"/>
      <c r="IE7" s="278"/>
      <c r="IF7" s="278"/>
      <c r="IG7" s="278"/>
      <c r="IH7" s="278"/>
      <c r="II7" s="278"/>
      <c r="IJ7" s="278"/>
      <c r="IK7" s="278"/>
      <c r="IL7" s="278"/>
      <c r="IM7" s="278"/>
      <c r="IN7" s="278"/>
      <c r="IO7" s="278"/>
      <c r="IP7" s="278"/>
      <c r="IQ7" s="278"/>
      <c r="IR7" s="278"/>
      <c r="IS7" s="278"/>
      <c r="IT7" s="278"/>
      <c r="IU7" s="278"/>
      <c r="IV7" s="278"/>
      <c r="IW7" s="278"/>
      <c r="IX7" s="278"/>
      <c r="IY7" s="278"/>
      <c r="IZ7" s="278"/>
      <c r="JA7" s="278"/>
      <c r="JB7" s="278"/>
      <c r="JC7" s="278"/>
      <c r="JD7" s="278"/>
      <c r="JE7" s="278"/>
      <c r="JF7" s="278"/>
      <c r="JG7" s="278"/>
      <c r="JH7" s="278"/>
      <c r="JI7" s="278"/>
      <c r="JJ7" s="278"/>
      <c r="JK7" s="278"/>
      <c r="JL7" s="278"/>
      <c r="JM7" s="278"/>
      <c r="JN7" s="278"/>
      <c r="JO7" s="278"/>
      <c r="JP7" s="278"/>
      <c r="JQ7" s="278"/>
      <c r="JR7" s="278"/>
      <c r="JS7" s="278"/>
      <c r="JT7" s="278"/>
      <c r="JU7" s="278"/>
      <c r="JV7" s="278"/>
      <c r="JW7" s="278"/>
      <c r="JX7" s="278"/>
      <c r="JY7" s="278"/>
      <c r="JZ7" s="278"/>
      <c r="KA7" s="278"/>
      <c r="KB7" s="278"/>
      <c r="KC7" s="875"/>
    </row>
    <row r="8" spans="1:289" ht="45" customHeight="1" x14ac:dyDescent="0.35">
      <c r="A8" s="280" t="s">
        <v>1603</v>
      </c>
      <c r="B8" s="84"/>
      <c r="C8" s="84"/>
      <c r="D8" s="103"/>
      <c r="E8" s="103"/>
      <c r="F8" s="103"/>
      <c r="G8" s="103"/>
    </row>
    <row r="9" spans="1:289" ht="45" customHeight="1" x14ac:dyDescent="0.35">
      <c r="A9" s="280" t="s">
        <v>1604</v>
      </c>
      <c r="B9" s="84"/>
      <c r="C9" s="84"/>
      <c r="D9" s="103"/>
      <c r="E9" s="103"/>
      <c r="F9" s="103"/>
      <c r="G9" s="103"/>
    </row>
    <row r="10" spans="1:289" ht="60" customHeight="1" x14ac:dyDescent="0.35">
      <c r="B10" s="1384" t="s">
        <v>1199</v>
      </c>
      <c r="C10" s="750" t="s">
        <v>1200</v>
      </c>
      <c r="D10" s="895" t="s">
        <v>1201</v>
      </c>
      <c r="E10" s="750" t="s">
        <v>1202</v>
      </c>
      <c r="F10" s="750" t="s">
        <v>1203</v>
      </c>
      <c r="G10" s="750" t="s">
        <v>1600</v>
      </c>
      <c r="H10" s="750" t="s">
        <v>1601</v>
      </c>
      <c r="I10" s="750" t="str">
        <f t="shared" ref="I10:BT10" si="5">"T+" &amp; (COLUMN(I10)-COLUMN($H10))</f>
        <v>T+1</v>
      </c>
      <c r="J10" s="750" t="str">
        <f t="shared" si="5"/>
        <v>T+2</v>
      </c>
      <c r="K10" s="750" t="str">
        <f t="shared" si="5"/>
        <v>T+3</v>
      </c>
      <c r="L10" s="750" t="str">
        <f t="shared" si="5"/>
        <v>T+4</v>
      </c>
      <c r="M10" s="750" t="str">
        <f t="shared" si="5"/>
        <v>T+5</v>
      </c>
      <c r="N10" s="750" t="str">
        <f t="shared" si="5"/>
        <v>T+6</v>
      </c>
      <c r="O10" s="750" t="str">
        <f t="shared" si="5"/>
        <v>T+7</v>
      </c>
      <c r="P10" s="750" t="str">
        <f t="shared" si="5"/>
        <v>T+8</v>
      </c>
      <c r="Q10" s="750" t="str">
        <f t="shared" si="5"/>
        <v>T+9</v>
      </c>
      <c r="R10" s="750" t="str">
        <f t="shared" si="5"/>
        <v>T+10</v>
      </c>
      <c r="S10" s="750" t="str">
        <f t="shared" si="5"/>
        <v>T+11</v>
      </c>
      <c r="T10" s="750" t="str">
        <f t="shared" si="5"/>
        <v>T+12</v>
      </c>
      <c r="U10" s="750" t="str">
        <f t="shared" si="5"/>
        <v>T+13</v>
      </c>
      <c r="V10" s="750" t="str">
        <f t="shared" si="5"/>
        <v>T+14</v>
      </c>
      <c r="W10" s="750" t="str">
        <f t="shared" si="5"/>
        <v>T+15</v>
      </c>
      <c r="X10" s="750" t="str">
        <f t="shared" si="5"/>
        <v>T+16</v>
      </c>
      <c r="Y10" s="750" t="str">
        <f t="shared" si="5"/>
        <v>T+17</v>
      </c>
      <c r="Z10" s="750" t="str">
        <f t="shared" si="5"/>
        <v>T+18</v>
      </c>
      <c r="AA10" s="750" t="str">
        <f t="shared" si="5"/>
        <v>T+19</v>
      </c>
      <c r="AB10" s="750" t="str">
        <f t="shared" si="5"/>
        <v>T+20</v>
      </c>
      <c r="AC10" s="750" t="str">
        <f t="shared" si="5"/>
        <v>T+21</v>
      </c>
      <c r="AD10" s="750" t="str">
        <f t="shared" si="5"/>
        <v>T+22</v>
      </c>
      <c r="AE10" s="750" t="str">
        <f t="shared" si="5"/>
        <v>T+23</v>
      </c>
      <c r="AF10" s="750" t="str">
        <f t="shared" si="5"/>
        <v>T+24</v>
      </c>
      <c r="AG10" s="750" t="str">
        <f t="shared" si="5"/>
        <v>T+25</v>
      </c>
      <c r="AH10" s="750" t="str">
        <f t="shared" si="5"/>
        <v>T+26</v>
      </c>
      <c r="AI10" s="750" t="str">
        <f t="shared" si="5"/>
        <v>T+27</v>
      </c>
      <c r="AJ10" s="750" t="str">
        <f t="shared" si="5"/>
        <v>T+28</v>
      </c>
      <c r="AK10" s="750" t="str">
        <f t="shared" si="5"/>
        <v>T+29</v>
      </c>
      <c r="AL10" s="750" t="str">
        <f t="shared" si="5"/>
        <v>T+30</v>
      </c>
      <c r="AM10" s="750" t="str">
        <f t="shared" si="5"/>
        <v>T+31</v>
      </c>
      <c r="AN10" s="750" t="str">
        <f t="shared" si="5"/>
        <v>T+32</v>
      </c>
      <c r="AO10" s="750" t="str">
        <f t="shared" si="5"/>
        <v>T+33</v>
      </c>
      <c r="AP10" s="750" t="str">
        <f t="shared" si="5"/>
        <v>T+34</v>
      </c>
      <c r="AQ10" s="750" t="str">
        <f t="shared" si="5"/>
        <v>T+35</v>
      </c>
      <c r="AR10" s="750" t="str">
        <f t="shared" si="5"/>
        <v>T+36</v>
      </c>
      <c r="AS10" s="750" t="str">
        <f t="shared" si="5"/>
        <v>T+37</v>
      </c>
      <c r="AT10" s="750" t="str">
        <f t="shared" si="5"/>
        <v>T+38</v>
      </c>
      <c r="AU10" s="750" t="str">
        <f t="shared" si="5"/>
        <v>T+39</v>
      </c>
      <c r="AV10" s="750" t="str">
        <f t="shared" si="5"/>
        <v>T+40</v>
      </c>
      <c r="AW10" s="750" t="str">
        <f t="shared" si="5"/>
        <v>T+41</v>
      </c>
      <c r="AX10" s="750" t="str">
        <f t="shared" si="5"/>
        <v>T+42</v>
      </c>
      <c r="AY10" s="750" t="str">
        <f t="shared" si="5"/>
        <v>T+43</v>
      </c>
      <c r="AZ10" s="750" t="str">
        <f t="shared" si="5"/>
        <v>T+44</v>
      </c>
      <c r="BA10" s="750" t="str">
        <f t="shared" si="5"/>
        <v>T+45</v>
      </c>
      <c r="BB10" s="750" t="str">
        <f t="shared" si="5"/>
        <v>T+46</v>
      </c>
      <c r="BC10" s="750" t="str">
        <f t="shared" si="5"/>
        <v>T+47</v>
      </c>
      <c r="BD10" s="750" t="str">
        <f t="shared" si="5"/>
        <v>T+48</v>
      </c>
      <c r="BE10" s="750" t="str">
        <f t="shared" si="5"/>
        <v>T+49</v>
      </c>
      <c r="BF10" s="750" t="str">
        <f t="shared" si="5"/>
        <v>T+50</v>
      </c>
      <c r="BG10" s="750" t="str">
        <f t="shared" si="5"/>
        <v>T+51</v>
      </c>
      <c r="BH10" s="750" t="str">
        <f t="shared" si="5"/>
        <v>T+52</v>
      </c>
      <c r="BI10" s="750" t="str">
        <f t="shared" si="5"/>
        <v>T+53</v>
      </c>
      <c r="BJ10" s="750" t="str">
        <f t="shared" si="5"/>
        <v>T+54</v>
      </c>
      <c r="BK10" s="750" t="str">
        <f t="shared" si="5"/>
        <v>T+55</v>
      </c>
      <c r="BL10" s="750" t="str">
        <f t="shared" si="5"/>
        <v>T+56</v>
      </c>
      <c r="BM10" s="750" t="str">
        <f t="shared" si="5"/>
        <v>T+57</v>
      </c>
      <c r="BN10" s="750" t="str">
        <f t="shared" si="5"/>
        <v>T+58</v>
      </c>
      <c r="BO10" s="750" t="str">
        <f t="shared" si="5"/>
        <v>T+59</v>
      </c>
      <c r="BP10" s="750" t="str">
        <f t="shared" si="5"/>
        <v>T+60</v>
      </c>
      <c r="BQ10" s="750" t="str">
        <f t="shared" si="5"/>
        <v>T+61</v>
      </c>
      <c r="BR10" s="750" t="str">
        <f t="shared" si="5"/>
        <v>T+62</v>
      </c>
      <c r="BS10" s="750" t="str">
        <f t="shared" si="5"/>
        <v>T+63</v>
      </c>
      <c r="BT10" s="750" t="str">
        <f t="shared" si="5"/>
        <v>T+64</v>
      </c>
      <c r="BU10" s="750" t="str">
        <f t="shared" ref="BU10:EF10" si="6">"T+" &amp; (COLUMN(BU10)-COLUMN($H10))</f>
        <v>T+65</v>
      </c>
      <c r="BV10" s="750" t="str">
        <f t="shared" si="6"/>
        <v>T+66</v>
      </c>
      <c r="BW10" s="750" t="str">
        <f t="shared" si="6"/>
        <v>T+67</v>
      </c>
      <c r="BX10" s="750" t="str">
        <f t="shared" si="6"/>
        <v>T+68</v>
      </c>
      <c r="BY10" s="750" t="str">
        <f t="shared" si="6"/>
        <v>T+69</v>
      </c>
      <c r="BZ10" s="750" t="str">
        <f t="shared" si="6"/>
        <v>T+70</v>
      </c>
      <c r="CA10" s="750" t="str">
        <f t="shared" si="6"/>
        <v>T+71</v>
      </c>
      <c r="CB10" s="750" t="str">
        <f t="shared" si="6"/>
        <v>T+72</v>
      </c>
      <c r="CC10" s="750" t="str">
        <f t="shared" si="6"/>
        <v>T+73</v>
      </c>
      <c r="CD10" s="750" t="str">
        <f t="shared" si="6"/>
        <v>T+74</v>
      </c>
      <c r="CE10" s="750" t="str">
        <f t="shared" si="6"/>
        <v>T+75</v>
      </c>
      <c r="CF10" s="750" t="str">
        <f t="shared" si="6"/>
        <v>T+76</v>
      </c>
      <c r="CG10" s="750" t="str">
        <f t="shared" si="6"/>
        <v>T+77</v>
      </c>
      <c r="CH10" s="750" t="str">
        <f t="shared" si="6"/>
        <v>T+78</v>
      </c>
      <c r="CI10" s="750" t="str">
        <f t="shared" si="6"/>
        <v>T+79</v>
      </c>
      <c r="CJ10" s="750" t="str">
        <f t="shared" si="6"/>
        <v>T+80</v>
      </c>
      <c r="CK10" s="750" t="str">
        <f t="shared" si="6"/>
        <v>T+81</v>
      </c>
      <c r="CL10" s="750" t="str">
        <f t="shared" si="6"/>
        <v>T+82</v>
      </c>
      <c r="CM10" s="750" t="str">
        <f t="shared" si="6"/>
        <v>T+83</v>
      </c>
      <c r="CN10" s="750" t="str">
        <f t="shared" si="6"/>
        <v>T+84</v>
      </c>
      <c r="CO10" s="750" t="str">
        <f t="shared" si="6"/>
        <v>T+85</v>
      </c>
      <c r="CP10" s="750" t="str">
        <f t="shared" si="6"/>
        <v>T+86</v>
      </c>
      <c r="CQ10" s="750" t="str">
        <f t="shared" si="6"/>
        <v>T+87</v>
      </c>
      <c r="CR10" s="750" t="str">
        <f t="shared" si="6"/>
        <v>T+88</v>
      </c>
      <c r="CS10" s="750" t="str">
        <f t="shared" si="6"/>
        <v>T+89</v>
      </c>
      <c r="CT10" s="750" t="str">
        <f t="shared" si="6"/>
        <v>T+90</v>
      </c>
      <c r="CU10" s="750" t="str">
        <f t="shared" si="6"/>
        <v>T+91</v>
      </c>
      <c r="CV10" s="750" t="str">
        <f t="shared" si="6"/>
        <v>T+92</v>
      </c>
      <c r="CW10" s="750" t="str">
        <f t="shared" si="6"/>
        <v>T+93</v>
      </c>
      <c r="CX10" s="750" t="str">
        <f t="shared" si="6"/>
        <v>T+94</v>
      </c>
      <c r="CY10" s="750" t="str">
        <f t="shared" si="6"/>
        <v>T+95</v>
      </c>
      <c r="CZ10" s="750" t="str">
        <f t="shared" si="6"/>
        <v>T+96</v>
      </c>
      <c r="DA10" s="750" t="str">
        <f t="shared" si="6"/>
        <v>T+97</v>
      </c>
      <c r="DB10" s="750" t="str">
        <f t="shared" si="6"/>
        <v>T+98</v>
      </c>
      <c r="DC10" s="750" t="str">
        <f t="shared" si="6"/>
        <v>T+99</v>
      </c>
      <c r="DD10" s="750" t="str">
        <f t="shared" si="6"/>
        <v>T+100</v>
      </c>
      <c r="DE10" s="750" t="str">
        <f t="shared" si="6"/>
        <v>T+101</v>
      </c>
      <c r="DF10" s="750" t="str">
        <f t="shared" si="6"/>
        <v>T+102</v>
      </c>
      <c r="DG10" s="750" t="str">
        <f t="shared" si="6"/>
        <v>T+103</v>
      </c>
      <c r="DH10" s="750" t="str">
        <f t="shared" si="6"/>
        <v>T+104</v>
      </c>
      <c r="DI10" s="750" t="str">
        <f t="shared" si="6"/>
        <v>T+105</v>
      </c>
      <c r="DJ10" s="750" t="str">
        <f t="shared" si="6"/>
        <v>T+106</v>
      </c>
      <c r="DK10" s="750" t="str">
        <f t="shared" si="6"/>
        <v>T+107</v>
      </c>
      <c r="DL10" s="750" t="str">
        <f t="shared" si="6"/>
        <v>T+108</v>
      </c>
      <c r="DM10" s="750" t="str">
        <f t="shared" si="6"/>
        <v>T+109</v>
      </c>
      <c r="DN10" s="750" t="str">
        <f t="shared" si="6"/>
        <v>T+110</v>
      </c>
      <c r="DO10" s="750" t="str">
        <f t="shared" si="6"/>
        <v>T+111</v>
      </c>
      <c r="DP10" s="750" t="str">
        <f t="shared" si="6"/>
        <v>T+112</v>
      </c>
      <c r="DQ10" s="750" t="str">
        <f t="shared" si="6"/>
        <v>T+113</v>
      </c>
      <c r="DR10" s="750" t="str">
        <f t="shared" si="6"/>
        <v>T+114</v>
      </c>
      <c r="DS10" s="750" t="str">
        <f t="shared" si="6"/>
        <v>T+115</v>
      </c>
      <c r="DT10" s="750" t="str">
        <f t="shared" si="6"/>
        <v>T+116</v>
      </c>
      <c r="DU10" s="750" t="str">
        <f t="shared" si="6"/>
        <v>T+117</v>
      </c>
      <c r="DV10" s="750" t="str">
        <f t="shared" si="6"/>
        <v>T+118</v>
      </c>
      <c r="DW10" s="750" t="str">
        <f t="shared" si="6"/>
        <v>T+119</v>
      </c>
      <c r="DX10" s="750" t="str">
        <f t="shared" si="6"/>
        <v>T+120</v>
      </c>
      <c r="DY10" s="750" t="str">
        <f t="shared" si="6"/>
        <v>T+121</v>
      </c>
      <c r="DZ10" s="750" t="str">
        <f t="shared" si="6"/>
        <v>T+122</v>
      </c>
      <c r="EA10" s="750" t="str">
        <f t="shared" si="6"/>
        <v>T+123</v>
      </c>
      <c r="EB10" s="750" t="str">
        <f t="shared" si="6"/>
        <v>T+124</v>
      </c>
      <c r="EC10" s="750" t="str">
        <f t="shared" si="6"/>
        <v>T+125</v>
      </c>
      <c r="ED10" s="750" t="str">
        <f t="shared" si="6"/>
        <v>T+126</v>
      </c>
      <c r="EE10" s="750" t="str">
        <f t="shared" si="6"/>
        <v>T+127</v>
      </c>
      <c r="EF10" s="750" t="str">
        <f t="shared" si="6"/>
        <v>T+128</v>
      </c>
      <c r="EG10" s="750" t="str">
        <f t="shared" ref="EG10:GR10" si="7">"T+" &amp; (COLUMN(EG10)-COLUMN($H10))</f>
        <v>T+129</v>
      </c>
      <c r="EH10" s="750" t="str">
        <f t="shared" si="7"/>
        <v>T+130</v>
      </c>
      <c r="EI10" s="750" t="str">
        <f t="shared" si="7"/>
        <v>T+131</v>
      </c>
      <c r="EJ10" s="750" t="str">
        <f t="shared" si="7"/>
        <v>T+132</v>
      </c>
      <c r="EK10" s="750" t="str">
        <f t="shared" si="7"/>
        <v>T+133</v>
      </c>
      <c r="EL10" s="750" t="str">
        <f t="shared" si="7"/>
        <v>T+134</v>
      </c>
      <c r="EM10" s="750" t="str">
        <f t="shared" si="7"/>
        <v>T+135</v>
      </c>
      <c r="EN10" s="750" t="str">
        <f t="shared" si="7"/>
        <v>T+136</v>
      </c>
      <c r="EO10" s="750" t="str">
        <f t="shared" si="7"/>
        <v>T+137</v>
      </c>
      <c r="EP10" s="750" t="str">
        <f t="shared" si="7"/>
        <v>T+138</v>
      </c>
      <c r="EQ10" s="750" t="str">
        <f t="shared" si="7"/>
        <v>T+139</v>
      </c>
      <c r="ER10" s="750" t="str">
        <f t="shared" si="7"/>
        <v>T+140</v>
      </c>
      <c r="ES10" s="750" t="str">
        <f t="shared" si="7"/>
        <v>T+141</v>
      </c>
      <c r="ET10" s="750" t="str">
        <f t="shared" si="7"/>
        <v>T+142</v>
      </c>
      <c r="EU10" s="750" t="str">
        <f t="shared" si="7"/>
        <v>T+143</v>
      </c>
      <c r="EV10" s="750" t="str">
        <f t="shared" si="7"/>
        <v>T+144</v>
      </c>
      <c r="EW10" s="750" t="str">
        <f t="shared" si="7"/>
        <v>T+145</v>
      </c>
      <c r="EX10" s="750" t="str">
        <f t="shared" si="7"/>
        <v>T+146</v>
      </c>
      <c r="EY10" s="750" t="str">
        <f t="shared" si="7"/>
        <v>T+147</v>
      </c>
      <c r="EZ10" s="750" t="str">
        <f t="shared" si="7"/>
        <v>T+148</v>
      </c>
      <c r="FA10" s="750" t="str">
        <f t="shared" si="7"/>
        <v>T+149</v>
      </c>
      <c r="FB10" s="750" t="str">
        <f t="shared" si="7"/>
        <v>T+150</v>
      </c>
      <c r="FC10" s="750" t="str">
        <f t="shared" si="7"/>
        <v>T+151</v>
      </c>
      <c r="FD10" s="750" t="str">
        <f t="shared" si="7"/>
        <v>T+152</v>
      </c>
      <c r="FE10" s="750" t="str">
        <f t="shared" si="7"/>
        <v>T+153</v>
      </c>
      <c r="FF10" s="750" t="str">
        <f t="shared" si="7"/>
        <v>T+154</v>
      </c>
      <c r="FG10" s="750" t="str">
        <f t="shared" si="7"/>
        <v>T+155</v>
      </c>
      <c r="FH10" s="750" t="str">
        <f t="shared" si="7"/>
        <v>T+156</v>
      </c>
      <c r="FI10" s="750" t="str">
        <f t="shared" si="7"/>
        <v>T+157</v>
      </c>
      <c r="FJ10" s="750" t="str">
        <f t="shared" si="7"/>
        <v>T+158</v>
      </c>
      <c r="FK10" s="750" t="str">
        <f t="shared" si="7"/>
        <v>T+159</v>
      </c>
      <c r="FL10" s="750" t="str">
        <f t="shared" si="7"/>
        <v>T+160</v>
      </c>
      <c r="FM10" s="750" t="str">
        <f t="shared" si="7"/>
        <v>T+161</v>
      </c>
      <c r="FN10" s="750" t="str">
        <f t="shared" si="7"/>
        <v>T+162</v>
      </c>
      <c r="FO10" s="750" t="str">
        <f t="shared" si="7"/>
        <v>T+163</v>
      </c>
      <c r="FP10" s="750" t="str">
        <f t="shared" si="7"/>
        <v>T+164</v>
      </c>
      <c r="FQ10" s="750" t="str">
        <f t="shared" si="7"/>
        <v>T+165</v>
      </c>
      <c r="FR10" s="750" t="str">
        <f t="shared" si="7"/>
        <v>T+166</v>
      </c>
      <c r="FS10" s="750" t="str">
        <f t="shared" si="7"/>
        <v>T+167</v>
      </c>
      <c r="FT10" s="750" t="str">
        <f t="shared" si="7"/>
        <v>T+168</v>
      </c>
      <c r="FU10" s="750" t="str">
        <f t="shared" si="7"/>
        <v>T+169</v>
      </c>
      <c r="FV10" s="750" t="str">
        <f t="shared" si="7"/>
        <v>T+170</v>
      </c>
      <c r="FW10" s="750" t="str">
        <f t="shared" si="7"/>
        <v>T+171</v>
      </c>
      <c r="FX10" s="750" t="str">
        <f t="shared" si="7"/>
        <v>T+172</v>
      </c>
      <c r="FY10" s="750" t="str">
        <f t="shared" si="7"/>
        <v>T+173</v>
      </c>
      <c r="FZ10" s="750" t="str">
        <f t="shared" si="7"/>
        <v>T+174</v>
      </c>
      <c r="GA10" s="750" t="str">
        <f t="shared" si="7"/>
        <v>T+175</v>
      </c>
      <c r="GB10" s="750" t="str">
        <f t="shared" si="7"/>
        <v>T+176</v>
      </c>
      <c r="GC10" s="750" t="str">
        <f t="shared" si="7"/>
        <v>T+177</v>
      </c>
      <c r="GD10" s="750" t="str">
        <f t="shared" si="7"/>
        <v>T+178</v>
      </c>
      <c r="GE10" s="750" t="str">
        <f t="shared" si="7"/>
        <v>T+179</v>
      </c>
      <c r="GF10" s="750" t="str">
        <f t="shared" si="7"/>
        <v>T+180</v>
      </c>
      <c r="GG10" s="750" t="str">
        <f t="shared" si="7"/>
        <v>T+181</v>
      </c>
      <c r="GH10" s="750" t="str">
        <f t="shared" si="7"/>
        <v>T+182</v>
      </c>
      <c r="GI10" s="750" t="str">
        <f t="shared" si="7"/>
        <v>T+183</v>
      </c>
      <c r="GJ10" s="750" t="str">
        <f t="shared" si="7"/>
        <v>T+184</v>
      </c>
      <c r="GK10" s="750" t="str">
        <f t="shared" si="7"/>
        <v>T+185</v>
      </c>
      <c r="GL10" s="750" t="str">
        <f t="shared" si="7"/>
        <v>T+186</v>
      </c>
      <c r="GM10" s="750" t="str">
        <f t="shared" si="7"/>
        <v>T+187</v>
      </c>
      <c r="GN10" s="750" t="str">
        <f t="shared" si="7"/>
        <v>T+188</v>
      </c>
      <c r="GO10" s="750" t="str">
        <f t="shared" si="7"/>
        <v>T+189</v>
      </c>
      <c r="GP10" s="750" t="str">
        <f t="shared" si="7"/>
        <v>T+190</v>
      </c>
      <c r="GQ10" s="750" t="str">
        <f t="shared" si="7"/>
        <v>T+191</v>
      </c>
      <c r="GR10" s="750" t="str">
        <f t="shared" si="7"/>
        <v>T+192</v>
      </c>
      <c r="GS10" s="750" t="str">
        <f t="shared" ref="GS10:JD10" si="8">"T+" &amp; (COLUMN(GS10)-COLUMN($H10))</f>
        <v>T+193</v>
      </c>
      <c r="GT10" s="750" t="str">
        <f t="shared" si="8"/>
        <v>T+194</v>
      </c>
      <c r="GU10" s="750" t="str">
        <f t="shared" si="8"/>
        <v>T+195</v>
      </c>
      <c r="GV10" s="750" t="str">
        <f t="shared" si="8"/>
        <v>T+196</v>
      </c>
      <c r="GW10" s="750" t="str">
        <f t="shared" si="8"/>
        <v>T+197</v>
      </c>
      <c r="GX10" s="750" t="str">
        <f t="shared" si="8"/>
        <v>T+198</v>
      </c>
      <c r="GY10" s="750" t="str">
        <f t="shared" si="8"/>
        <v>T+199</v>
      </c>
      <c r="GZ10" s="750" t="str">
        <f t="shared" si="8"/>
        <v>T+200</v>
      </c>
      <c r="HA10" s="750" t="str">
        <f t="shared" si="8"/>
        <v>T+201</v>
      </c>
      <c r="HB10" s="750" t="str">
        <f t="shared" si="8"/>
        <v>T+202</v>
      </c>
      <c r="HC10" s="750" t="str">
        <f t="shared" si="8"/>
        <v>T+203</v>
      </c>
      <c r="HD10" s="750" t="str">
        <f t="shared" si="8"/>
        <v>T+204</v>
      </c>
      <c r="HE10" s="750" t="str">
        <f t="shared" si="8"/>
        <v>T+205</v>
      </c>
      <c r="HF10" s="750" t="str">
        <f t="shared" si="8"/>
        <v>T+206</v>
      </c>
      <c r="HG10" s="750" t="str">
        <f t="shared" si="8"/>
        <v>T+207</v>
      </c>
      <c r="HH10" s="750" t="str">
        <f t="shared" si="8"/>
        <v>T+208</v>
      </c>
      <c r="HI10" s="750" t="str">
        <f t="shared" si="8"/>
        <v>T+209</v>
      </c>
      <c r="HJ10" s="750" t="str">
        <f t="shared" si="8"/>
        <v>T+210</v>
      </c>
      <c r="HK10" s="750" t="str">
        <f t="shared" si="8"/>
        <v>T+211</v>
      </c>
      <c r="HL10" s="750" t="str">
        <f t="shared" si="8"/>
        <v>T+212</v>
      </c>
      <c r="HM10" s="750" t="str">
        <f t="shared" si="8"/>
        <v>T+213</v>
      </c>
      <c r="HN10" s="750" t="str">
        <f t="shared" si="8"/>
        <v>T+214</v>
      </c>
      <c r="HO10" s="750" t="str">
        <f t="shared" si="8"/>
        <v>T+215</v>
      </c>
      <c r="HP10" s="750" t="str">
        <f t="shared" si="8"/>
        <v>T+216</v>
      </c>
      <c r="HQ10" s="750" t="str">
        <f t="shared" si="8"/>
        <v>T+217</v>
      </c>
      <c r="HR10" s="750" t="str">
        <f t="shared" si="8"/>
        <v>T+218</v>
      </c>
      <c r="HS10" s="750" t="str">
        <f t="shared" si="8"/>
        <v>T+219</v>
      </c>
      <c r="HT10" s="750" t="str">
        <f t="shared" si="8"/>
        <v>T+220</v>
      </c>
      <c r="HU10" s="750" t="str">
        <f t="shared" si="8"/>
        <v>T+221</v>
      </c>
      <c r="HV10" s="750" t="str">
        <f t="shared" si="8"/>
        <v>T+222</v>
      </c>
      <c r="HW10" s="750" t="str">
        <f t="shared" si="8"/>
        <v>T+223</v>
      </c>
      <c r="HX10" s="750" t="str">
        <f t="shared" si="8"/>
        <v>T+224</v>
      </c>
      <c r="HY10" s="750" t="str">
        <f t="shared" si="8"/>
        <v>T+225</v>
      </c>
      <c r="HZ10" s="750" t="str">
        <f t="shared" si="8"/>
        <v>T+226</v>
      </c>
      <c r="IA10" s="750" t="str">
        <f t="shared" si="8"/>
        <v>T+227</v>
      </c>
      <c r="IB10" s="750" t="str">
        <f t="shared" si="8"/>
        <v>T+228</v>
      </c>
      <c r="IC10" s="750" t="str">
        <f t="shared" si="8"/>
        <v>T+229</v>
      </c>
      <c r="ID10" s="750" t="str">
        <f t="shared" si="8"/>
        <v>T+230</v>
      </c>
      <c r="IE10" s="750" t="str">
        <f t="shared" si="8"/>
        <v>T+231</v>
      </c>
      <c r="IF10" s="750" t="str">
        <f t="shared" si="8"/>
        <v>T+232</v>
      </c>
      <c r="IG10" s="750" t="str">
        <f t="shared" si="8"/>
        <v>T+233</v>
      </c>
      <c r="IH10" s="750" t="str">
        <f t="shared" si="8"/>
        <v>T+234</v>
      </c>
      <c r="II10" s="750" t="str">
        <f t="shared" si="8"/>
        <v>T+235</v>
      </c>
      <c r="IJ10" s="750" t="str">
        <f t="shared" si="8"/>
        <v>T+236</v>
      </c>
      <c r="IK10" s="750" t="str">
        <f t="shared" si="8"/>
        <v>T+237</v>
      </c>
      <c r="IL10" s="750" t="str">
        <f t="shared" si="8"/>
        <v>T+238</v>
      </c>
      <c r="IM10" s="750" t="str">
        <f t="shared" si="8"/>
        <v>T+239</v>
      </c>
      <c r="IN10" s="750" t="str">
        <f t="shared" si="8"/>
        <v>T+240</v>
      </c>
      <c r="IO10" s="750" t="str">
        <f t="shared" si="8"/>
        <v>T+241</v>
      </c>
      <c r="IP10" s="750" t="str">
        <f t="shared" si="8"/>
        <v>T+242</v>
      </c>
      <c r="IQ10" s="750" t="str">
        <f t="shared" si="8"/>
        <v>T+243</v>
      </c>
      <c r="IR10" s="750" t="str">
        <f t="shared" si="8"/>
        <v>T+244</v>
      </c>
      <c r="IS10" s="750" t="str">
        <f t="shared" si="8"/>
        <v>T+245</v>
      </c>
      <c r="IT10" s="750" t="str">
        <f t="shared" si="8"/>
        <v>T+246</v>
      </c>
      <c r="IU10" s="750" t="str">
        <f t="shared" si="8"/>
        <v>T+247</v>
      </c>
      <c r="IV10" s="750" t="str">
        <f t="shared" si="8"/>
        <v>T+248</v>
      </c>
      <c r="IW10" s="750" t="str">
        <f t="shared" si="8"/>
        <v>T+249</v>
      </c>
      <c r="IX10" s="750" t="str">
        <f t="shared" si="8"/>
        <v>T+250</v>
      </c>
      <c r="IY10" s="750" t="str">
        <f t="shared" si="8"/>
        <v>T+251</v>
      </c>
      <c r="IZ10" s="750" t="str">
        <f t="shared" si="8"/>
        <v>T+252</v>
      </c>
      <c r="JA10" s="750" t="str">
        <f t="shared" si="8"/>
        <v>T+253</v>
      </c>
      <c r="JB10" s="750" t="str">
        <f t="shared" si="8"/>
        <v>T+254</v>
      </c>
      <c r="JC10" s="750" t="str">
        <f t="shared" si="8"/>
        <v>T+255</v>
      </c>
      <c r="JD10" s="750" t="str">
        <f t="shared" si="8"/>
        <v>T+256</v>
      </c>
      <c r="JE10" s="750" t="str">
        <f t="shared" ref="JE10:KB10" si="9">"T+" &amp; (COLUMN(JE10)-COLUMN($H10))</f>
        <v>T+257</v>
      </c>
      <c r="JF10" s="750" t="str">
        <f t="shared" si="9"/>
        <v>T+258</v>
      </c>
      <c r="JG10" s="750" t="str">
        <f t="shared" si="9"/>
        <v>T+259</v>
      </c>
      <c r="JH10" s="750" t="str">
        <f t="shared" si="9"/>
        <v>T+260</v>
      </c>
      <c r="JI10" s="750" t="str">
        <f t="shared" si="9"/>
        <v>T+261</v>
      </c>
      <c r="JJ10" s="750" t="str">
        <f t="shared" si="9"/>
        <v>T+262</v>
      </c>
      <c r="JK10" s="750" t="str">
        <f t="shared" si="9"/>
        <v>T+263</v>
      </c>
      <c r="JL10" s="750" t="str">
        <f t="shared" si="9"/>
        <v>T+264</v>
      </c>
      <c r="JM10" s="750" t="str">
        <f t="shared" si="9"/>
        <v>T+265</v>
      </c>
      <c r="JN10" s="750" t="str">
        <f t="shared" si="9"/>
        <v>T+266</v>
      </c>
      <c r="JO10" s="750" t="str">
        <f t="shared" si="9"/>
        <v>T+267</v>
      </c>
      <c r="JP10" s="750" t="str">
        <f t="shared" si="9"/>
        <v>T+268</v>
      </c>
      <c r="JQ10" s="750" t="str">
        <f t="shared" si="9"/>
        <v>T+269</v>
      </c>
      <c r="JR10" s="750" t="str">
        <f t="shared" si="9"/>
        <v>T+270</v>
      </c>
      <c r="JS10" s="750" t="str">
        <f t="shared" si="9"/>
        <v>T+271</v>
      </c>
      <c r="JT10" s="750" t="str">
        <f t="shared" si="9"/>
        <v>T+272</v>
      </c>
      <c r="JU10" s="750" t="str">
        <f t="shared" si="9"/>
        <v>T+273</v>
      </c>
      <c r="JV10" s="750" t="str">
        <f t="shared" si="9"/>
        <v>T+274</v>
      </c>
      <c r="JW10" s="750" t="str">
        <f t="shared" si="9"/>
        <v>T+275</v>
      </c>
      <c r="JX10" s="750" t="str">
        <f t="shared" si="9"/>
        <v>T+276</v>
      </c>
      <c r="JY10" s="750" t="str">
        <f t="shared" si="9"/>
        <v>T+277</v>
      </c>
      <c r="JZ10" s="750" t="str">
        <f t="shared" si="9"/>
        <v>T+278</v>
      </c>
      <c r="KA10" s="750" t="str">
        <f t="shared" si="9"/>
        <v>T+279</v>
      </c>
      <c r="KB10" s="750" t="str">
        <f t="shared" si="9"/>
        <v>T+280</v>
      </c>
    </row>
    <row r="11" spans="1:289" ht="15" customHeight="1" x14ac:dyDescent="0.35">
      <c r="B11" s="686" t="s">
        <v>1210</v>
      </c>
      <c r="C11" s="1828" t="str">
        <f t="array" ref="C11:D110" xml:space="preserve"> IF(ISBLANK(TB!C$170:'TB'!D$269), "", TB!C$170:'TB'!D$269)</f>
        <v/>
      </c>
      <c r="D11" s="1828" t="str">
        <v/>
      </c>
      <c r="E11" s="1828" t="str">
        <f t="array" ref="E11:E110" xml:space="preserve"> IF(ISBLANK(TB!G$170:'TB'!G$269), "", TB!G$170:'TB'!G$269)</f>
        <v/>
      </c>
      <c r="F11" s="1828" t="str">
        <f t="array" ref="F11:F110" xml:space="preserve"> IF(ISBLANK(TB!I$170:'TB'!I$269), "", TB!I$170:'TB'!I$269)</f>
        <v/>
      </c>
      <c r="G11" s="268" t="str">
        <f t="array" ref="G11:G110" xml:space="preserve"> IF(ISBLANK(TB!J$170:'TB'!J$269), "", TB!J$170:'TB'!J$269)</f>
        <v/>
      </c>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34"/>
      <c r="DX11" s="23"/>
      <c r="DY11" s="23"/>
      <c r="DZ11" s="23"/>
      <c r="EA11" s="23"/>
      <c r="EB11" s="23"/>
      <c r="EC11" s="23"/>
      <c r="ED11" s="23"/>
      <c r="EE11" s="23"/>
      <c r="EF11" s="23"/>
      <c r="EG11" s="23"/>
      <c r="EH11" s="23"/>
      <c r="EI11" s="23"/>
      <c r="EJ11" s="23"/>
      <c r="EK11" s="23"/>
      <c r="EL11" s="23"/>
      <c r="EM11" s="23"/>
      <c r="EN11" s="23"/>
      <c r="EO11" s="23"/>
      <c r="EP11" s="23"/>
      <c r="EQ11" s="23"/>
      <c r="ER11" s="34"/>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34"/>
      <c r="JH11" s="23"/>
      <c r="JI11" s="23"/>
      <c r="JJ11" s="23"/>
      <c r="JK11" s="23"/>
      <c r="JL11" s="23"/>
      <c r="JM11" s="23"/>
      <c r="JN11" s="23"/>
      <c r="JO11" s="23"/>
      <c r="JP11" s="23"/>
      <c r="JQ11" s="23"/>
      <c r="JR11" s="23"/>
      <c r="JS11" s="23"/>
      <c r="JT11" s="23"/>
      <c r="JU11" s="23"/>
      <c r="JV11" s="23"/>
      <c r="JW11" s="23"/>
      <c r="JX11" s="23"/>
      <c r="JY11" s="23"/>
      <c r="JZ11" s="23"/>
      <c r="KA11" s="23"/>
      <c r="KB11" s="34"/>
    </row>
    <row r="12" spans="1:289" ht="15" customHeight="1" x14ac:dyDescent="0.35">
      <c r="B12" s="146" t="s">
        <v>1211</v>
      </c>
      <c r="C12" s="148" t="str">
        <v/>
      </c>
      <c r="D12" s="148" t="str">
        <v/>
      </c>
      <c r="E12" s="148" t="str">
        <v/>
      </c>
      <c r="F12" s="148" t="str">
        <v/>
      </c>
      <c r="G12" s="268" t="str">
        <v/>
      </c>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34"/>
      <c r="DX12" s="23"/>
      <c r="DY12" s="23"/>
      <c r="DZ12" s="23"/>
      <c r="EA12" s="23"/>
      <c r="EB12" s="23"/>
      <c r="EC12" s="23"/>
      <c r="ED12" s="23"/>
      <c r="EE12" s="23"/>
      <c r="EF12" s="23"/>
      <c r="EG12" s="23"/>
      <c r="EH12" s="23"/>
      <c r="EI12" s="23"/>
      <c r="EJ12" s="23"/>
      <c r="EK12" s="23"/>
      <c r="EL12" s="23"/>
      <c r="EM12" s="23"/>
      <c r="EN12" s="23"/>
      <c r="EO12" s="23"/>
      <c r="EP12" s="23"/>
      <c r="EQ12" s="23"/>
      <c r="ER12" s="34"/>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34"/>
      <c r="JH12" s="23"/>
      <c r="JI12" s="23"/>
      <c r="JJ12" s="23"/>
      <c r="JK12" s="23"/>
      <c r="JL12" s="23"/>
      <c r="JM12" s="23"/>
      <c r="JN12" s="23"/>
      <c r="JO12" s="23"/>
      <c r="JP12" s="23"/>
      <c r="JQ12" s="23"/>
      <c r="JR12" s="23"/>
      <c r="JS12" s="23"/>
      <c r="JT12" s="23"/>
      <c r="JU12" s="23"/>
      <c r="JV12" s="23"/>
      <c r="JW12" s="23"/>
      <c r="JX12" s="23"/>
      <c r="JY12" s="23"/>
      <c r="JZ12" s="23"/>
      <c r="KA12" s="23"/>
      <c r="KB12" s="34"/>
    </row>
    <row r="13" spans="1:289" ht="15" customHeight="1" x14ac:dyDescent="0.35">
      <c r="B13" s="146" t="s">
        <v>1212</v>
      </c>
      <c r="C13" s="148" t="str">
        <v/>
      </c>
      <c r="D13" s="148" t="str">
        <v/>
      </c>
      <c r="E13" s="148" t="str">
        <v/>
      </c>
      <c r="F13" s="148" t="str">
        <v/>
      </c>
      <c r="G13" s="268" t="str">
        <v/>
      </c>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34"/>
      <c r="DX13" s="23"/>
      <c r="DY13" s="23"/>
      <c r="DZ13" s="23"/>
      <c r="EA13" s="23"/>
      <c r="EB13" s="23"/>
      <c r="EC13" s="23"/>
      <c r="ED13" s="23"/>
      <c r="EE13" s="23"/>
      <c r="EF13" s="23"/>
      <c r="EG13" s="23"/>
      <c r="EH13" s="23"/>
      <c r="EI13" s="23"/>
      <c r="EJ13" s="23"/>
      <c r="EK13" s="23"/>
      <c r="EL13" s="23"/>
      <c r="EM13" s="23"/>
      <c r="EN13" s="23"/>
      <c r="EO13" s="23"/>
      <c r="EP13" s="23"/>
      <c r="EQ13" s="23"/>
      <c r="ER13" s="34"/>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34"/>
      <c r="JH13" s="23"/>
      <c r="JI13" s="23"/>
      <c r="JJ13" s="23"/>
      <c r="JK13" s="23"/>
      <c r="JL13" s="23"/>
      <c r="JM13" s="23"/>
      <c r="JN13" s="23"/>
      <c r="JO13" s="23"/>
      <c r="JP13" s="23"/>
      <c r="JQ13" s="23"/>
      <c r="JR13" s="23"/>
      <c r="JS13" s="23"/>
      <c r="JT13" s="23"/>
      <c r="JU13" s="23"/>
      <c r="JV13" s="23"/>
      <c r="JW13" s="23"/>
      <c r="JX13" s="23"/>
      <c r="JY13" s="23"/>
      <c r="JZ13" s="23"/>
      <c r="KA13" s="23"/>
      <c r="KB13" s="34"/>
    </row>
    <row r="14" spans="1:289" ht="15" customHeight="1" x14ac:dyDescent="0.35">
      <c r="B14" s="146" t="s">
        <v>1213</v>
      </c>
      <c r="C14" s="148" t="str">
        <v/>
      </c>
      <c r="D14" s="148" t="str">
        <v/>
      </c>
      <c r="E14" s="148" t="str">
        <v/>
      </c>
      <c r="F14" s="148" t="str">
        <v/>
      </c>
      <c r="G14" s="268" t="str">
        <v/>
      </c>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34"/>
      <c r="DX14" s="23"/>
      <c r="DY14" s="23"/>
      <c r="DZ14" s="23"/>
      <c r="EA14" s="23"/>
      <c r="EB14" s="23"/>
      <c r="EC14" s="23"/>
      <c r="ED14" s="23"/>
      <c r="EE14" s="23"/>
      <c r="EF14" s="23"/>
      <c r="EG14" s="23"/>
      <c r="EH14" s="23"/>
      <c r="EI14" s="23"/>
      <c r="EJ14" s="23"/>
      <c r="EK14" s="23"/>
      <c r="EL14" s="23"/>
      <c r="EM14" s="23"/>
      <c r="EN14" s="23"/>
      <c r="EO14" s="23"/>
      <c r="EP14" s="23"/>
      <c r="EQ14" s="23"/>
      <c r="ER14" s="34"/>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34"/>
      <c r="JH14" s="23"/>
      <c r="JI14" s="23"/>
      <c r="JJ14" s="23"/>
      <c r="JK14" s="23"/>
      <c r="JL14" s="23"/>
      <c r="JM14" s="23"/>
      <c r="JN14" s="23"/>
      <c r="JO14" s="23"/>
      <c r="JP14" s="23"/>
      <c r="JQ14" s="23"/>
      <c r="JR14" s="23"/>
      <c r="JS14" s="23"/>
      <c r="JT14" s="23"/>
      <c r="JU14" s="23"/>
      <c r="JV14" s="23"/>
      <c r="JW14" s="23"/>
      <c r="JX14" s="23"/>
      <c r="JY14" s="23"/>
      <c r="JZ14" s="23"/>
      <c r="KA14" s="23"/>
      <c r="KB14" s="34"/>
    </row>
    <row r="15" spans="1:289" ht="15" customHeight="1" x14ac:dyDescent="0.35">
      <c r="B15" s="146" t="s">
        <v>1214</v>
      </c>
      <c r="C15" s="148" t="str">
        <v/>
      </c>
      <c r="D15" s="148" t="str">
        <v/>
      </c>
      <c r="E15" s="148" t="str">
        <v/>
      </c>
      <c r="F15" s="148" t="str">
        <v/>
      </c>
      <c r="G15" s="268" t="str">
        <v/>
      </c>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34"/>
      <c r="DX15" s="23"/>
      <c r="DY15" s="23"/>
      <c r="DZ15" s="23"/>
      <c r="EA15" s="23"/>
      <c r="EB15" s="23"/>
      <c r="EC15" s="23"/>
      <c r="ED15" s="23"/>
      <c r="EE15" s="23"/>
      <c r="EF15" s="23"/>
      <c r="EG15" s="23"/>
      <c r="EH15" s="23"/>
      <c r="EI15" s="23"/>
      <c r="EJ15" s="23"/>
      <c r="EK15" s="23"/>
      <c r="EL15" s="23"/>
      <c r="EM15" s="23"/>
      <c r="EN15" s="23"/>
      <c r="EO15" s="23"/>
      <c r="EP15" s="23"/>
      <c r="EQ15" s="23"/>
      <c r="ER15" s="34"/>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34"/>
      <c r="JH15" s="23"/>
      <c r="JI15" s="23"/>
      <c r="JJ15" s="23"/>
      <c r="JK15" s="23"/>
      <c r="JL15" s="23"/>
      <c r="JM15" s="23"/>
      <c r="JN15" s="23"/>
      <c r="JO15" s="23"/>
      <c r="JP15" s="23"/>
      <c r="JQ15" s="23"/>
      <c r="JR15" s="23"/>
      <c r="JS15" s="23"/>
      <c r="JT15" s="23"/>
      <c r="JU15" s="23"/>
      <c r="JV15" s="23"/>
      <c r="JW15" s="23"/>
      <c r="JX15" s="23"/>
      <c r="JY15" s="23"/>
      <c r="JZ15" s="23"/>
      <c r="KA15" s="23"/>
      <c r="KB15" s="34"/>
    </row>
    <row r="16" spans="1:289" ht="15" customHeight="1" x14ac:dyDescent="0.35">
      <c r="B16" s="146" t="s">
        <v>1215</v>
      </c>
      <c r="C16" s="148" t="str">
        <v/>
      </c>
      <c r="D16" s="148" t="str">
        <v/>
      </c>
      <c r="E16" s="148" t="str">
        <v/>
      </c>
      <c r="F16" s="148" t="str">
        <v/>
      </c>
      <c r="G16" s="268" t="str">
        <v/>
      </c>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34"/>
      <c r="DX16" s="23"/>
      <c r="DY16" s="23"/>
      <c r="DZ16" s="23"/>
      <c r="EA16" s="23"/>
      <c r="EB16" s="23"/>
      <c r="EC16" s="23"/>
      <c r="ED16" s="23"/>
      <c r="EE16" s="23"/>
      <c r="EF16" s="23"/>
      <c r="EG16" s="23"/>
      <c r="EH16" s="23"/>
      <c r="EI16" s="23"/>
      <c r="EJ16" s="23"/>
      <c r="EK16" s="23"/>
      <c r="EL16" s="23"/>
      <c r="EM16" s="23"/>
      <c r="EN16" s="23"/>
      <c r="EO16" s="23"/>
      <c r="EP16" s="23"/>
      <c r="EQ16" s="23"/>
      <c r="ER16" s="34"/>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34"/>
      <c r="JH16" s="23"/>
      <c r="JI16" s="23"/>
      <c r="JJ16" s="23"/>
      <c r="JK16" s="23"/>
      <c r="JL16" s="23"/>
      <c r="JM16" s="23"/>
      <c r="JN16" s="23"/>
      <c r="JO16" s="23"/>
      <c r="JP16" s="23"/>
      <c r="JQ16" s="23"/>
      <c r="JR16" s="23"/>
      <c r="JS16" s="23"/>
      <c r="JT16" s="23"/>
      <c r="JU16" s="23"/>
      <c r="JV16" s="23"/>
      <c r="JW16" s="23"/>
      <c r="JX16" s="23"/>
      <c r="JY16" s="23"/>
      <c r="JZ16" s="23"/>
      <c r="KA16" s="23"/>
      <c r="KB16" s="34"/>
    </row>
    <row r="17" spans="2:288" ht="15" customHeight="1" x14ac:dyDescent="0.35">
      <c r="B17" s="146" t="s">
        <v>1216</v>
      </c>
      <c r="C17" s="148" t="str">
        <v/>
      </c>
      <c r="D17" s="148" t="str">
        <v/>
      </c>
      <c r="E17" s="148" t="str">
        <v/>
      </c>
      <c r="F17" s="148" t="str">
        <v/>
      </c>
      <c r="G17" s="268" t="str">
        <v/>
      </c>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34"/>
      <c r="DX17" s="23"/>
      <c r="DY17" s="23"/>
      <c r="DZ17" s="23"/>
      <c r="EA17" s="23"/>
      <c r="EB17" s="23"/>
      <c r="EC17" s="23"/>
      <c r="ED17" s="23"/>
      <c r="EE17" s="23"/>
      <c r="EF17" s="23"/>
      <c r="EG17" s="23"/>
      <c r="EH17" s="23"/>
      <c r="EI17" s="23"/>
      <c r="EJ17" s="23"/>
      <c r="EK17" s="23"/>
      <c r="EL17" s="23"/>
      <c r="EM17" s="23"/>
      <c r="EN17" s="23"/>
      <c r="EO17" s="23"/>
      <c r="EP17" s="23"/>
      <c r="EQ17" s="23"/>
      <c r="ER17" s="34"/>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34"/>
      <c r="JH17" s="23"/>
      <c r="JI17" s="23"/>
      <c r="JJ17" s="23"/>
      <c r="JK17" s="23"/>
      <c r="JL17" s="23"/>
      <c r="JM17" s="23"/>
      <c r="JN17" s="23"/>
      <c r="JO17" s="23"/>
      <c r="JP17" s="23"/>
      <c r="JQ17" s="23"/>
      <c r="JR17" s="23"/>
      <c r="JS17" s="23"/>
      <c r="JT17" s="23"/>
      <c r="JU17" s="23"/>
      <c r="JV17" s="23"/>
      <c r="JW17" s="23"/>
      <c r="JX17" s="23"/>
      <c r="JY17" s="23"/>
      <c r="JZ17" s="23"/>
      <c r="KA17" s="23"/>
      <c r="KB17" s="34"/>
    </row>
    <row r="18" spans="2:288" ht="15" customHeight="1" x14ac:dyDescent="0.35">
      <c r="B18" s="146" t="s">
        <v>1217</v>
      </c>
      <c r="C18" s="148" t="str">
        <v/>
      </c>
      <c r="D18" s="148" t="str">
        <v/>
      </c>
      <c r="E18" s="148" t="str">
        <v/>
      </c>
      <c r="F18" s="148" t="str">
        <v/>
      </c>
      <c r="G18" s="268" t="str">
        <v/>
      </c>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34"/>
      <c r="DX18" s="23"/>
      <c r="DY18" s="23"/>
      <c r="DZ18" s="23"/>
      <c r="EA18" s="23"/>
      <c r="EB18" s="23"/>
      <c r="EC18" s="23"/>
      <c r="ED18" s="23"/>
      <c r="EE18" s="23"/>
      <c r="EF18" s="23"/>
      <c r="EG18" s="23"/>
      <c r="EH18" s="23"/>
      <c r="EI18" s="23"/>
      <c r="EJ18" s="23"/>
      <c r="EK18" s="23"/>
      <c r="EL18" s="23"/>
      <c r="EM18" s="23"/>
      <c r="EN18" s="23"/>
      <c r="EO18" s="23"/>
      <c r="EP18" s="23"/>
      <c r="EQ18" s="23"/>
      <c r="ER18" s="34"/>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34"/>
      <c r="JH18" s="23"/>
      <c r="JI18" s="23"/>
      <c r="JJ18" s="23"/>
      <c r="JK18" s="23"/>
      <c r="JL18" s="23"/>
      <c r="JM18" s="23"/>
      <c r="JN18" s="23"/>
      <c r="JO18" s="23"/>
      <c r="JP18" s="23"/>
      <c r="JQ18" s="23"/>
      <c r="JR18" s="23"/>
      <c r="JS18" s="23"/>
      <c r="JT18" s="23"/>
      <c r="JU18" s="23"/>
      <c r="JV18" s="23"/>
      <c r="JW18" s="23"/>
      <c r="JX18" s="23"/>
      <c r="JY18" s="23"/>
      <c r="JZ18" s="23"/>
      <c r="KA18" s="23"/>
      <c r="KB18" s="34"/>
    </row>
    <row r="19" spans="2:288" ht="15" customHeight="1" x14ac:dyDescent="0.35">
      <c r="B19" s="146" t="s">
        <v>1218</v>
      </c>
      <c r="C19" s="148" t="str">
        <v/>
      </c>
      <c r="D19" s="148" t="str">
        <v/>
      </c>
      <c r="E19" s="148" t="str">
        <v/>
      </c>
      <c r="F19" s="148" t="str">
        <v/>
      </c>
      <c r="G19" s="268" t="str">
        <v/>
      </c>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34"/>
      <c r="DX19" s="23"/>
      <c r="DY19" s="23"/>
      <c r="DZ19" s="23"/>
      <c r="EA19" s="23"/>
      <c r="EB19" s="23"/>
      <c r="EC19" s="23"/>
      <c r="ED19" s="23"/>
      <c r="EE19" s="23"/>
      <c r="EF19" s="23"/>
      <c r="EG19" s="23"/>
      <c r="EH19" s="23"/>
      <c r="EI19" s="23"/>
      <c r="EJ19" s="23"/>
      <c r="EK19" s="23"/>
      <c r="EL19" s="23"/>
      <c r="EM19" s="23"/>
      <c r="EN19" s="23"/>
      <c r="EO19" s="23"/>
      <c r="EP19" s="23"/>
      <c r="EQ19" s="23"/>
      <c r="ER19" s="34"/>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34"/>
      <c r="JH19" s="23"/>
      <c r="JI19" s="23"/>
      <c r="JJ19" s="23"/>
      <c r="JK19" s="23"/>
      <c r="JL19" s="23"/>
      <c r="JM19" s="23"/>
      <c r="JN19" s="23"/>
      <c r="JO19" s="23"/>
      <c r="JP19" s="23"/>
      <c r="JQ19" s="23"/>
      <c r="JR19" s="23"/>
      <c r="JS19" s="23"/>
      <c r="JT19" s="23"/>
      <c r="JU19" s="23"/>
      <c r="JV19" s="23"/>
      <c r="JW19" s="23"/>
      <c r="JX19" s="23"/>
      <c r="JY19" s="23"/>
      <c r="JZ19" s="23"/>
      <c r="KA19" s="23"/>
      <c r="KB19" s="34"/>
    </row>
    <row r="20" spans="2:288" ht="15" customHeight="1" x14ac:dyDescent="0.35">
      <c r="B20" s="146" t="s">
        <v>1219</v>
      </c>
      <c r="C20" s="148" t="str">
        <v/>
      </c>
      <c r="D20" s="148" t="str">
        <v/>
      </c>
      <c r="E20" s="148" t="str">
        <v/>
      </c>
      <c r="F20" s="148" t="str">
        <v/>
      </c>
      <c r="G20" s="268" t="str">
        <v/>
      </c>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34"/>
      <c r="DX20" s="23"/>
      <c r="DY20" s="23"/>
      <c r="DZ20" s="23"/>
      <c r="EA20" s="23"/>
      <c r="EB20" s="23"/>
      <c r="EC20" s="23"/>
      <c r="ED20" s="23"/>
      <c r="EE20" s="23"/>
      <c r="EF20" s="23"/>
      <c r="EG20" s="23"/>
      <c r="EH20" s="23"/>
      <c r="EI20" s="23"/>
      <c r="EJ20" s="23"/>
      <c r="EK20" s="23"/>
      <c r="EL20" s="23"/>
      <c r="EM20" s="23"/>
      <c r="EN20" s="23"/>
      <c r="EO20" s="23"/>
      <c r="EP20" s="23"/>
      <c r="EQ20" s="23"/>
      <c r="ER20" s="34"/>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34"/>
      <c r="JH20" s="23"/>
      <c r="JI20" s="23"/>
      <c r="JJ20" s="23"/>
      <c r="JK20" s="23"/>
      <c r="JL20" s="23"/>
      <c r="JM20" s="23"/>
      <c r="JN20" s="23"/>
      <c r="JO20" s="23"/>
      <c r="JP20" s="23"/>
      <c r="JQ20" s="23"/>
      <c r="JR20" s="23"/>
      <c r="JS20" s="23"/>
      <c r="JT20" s="23"/>
      <c r="JU20" s="23"/>
      <c r="JV20" s="23"/>
      <c r="JW20" s="23"/>
      <c r="JX20" s="23"/>
      <c r="JY20" s="23"/>
      <c r="JZ20" s="23"/>
      <c r="KA20" s="23"/>
      <c r="KB20" s="34"/>
    </row>
    <row r="21" spans="2:288" ht="15" customHeight="1" x14ac:dyDescent="0.35">
      <c r="B21" s="146" t="s">
        <v>1220</v>
      </c>
      <c r="C21" s="148" t="str">
        <v/>
      </c>
      <c r="D21" s="148" t="str">
        <v/>
      </c>
      <c r="E21" s="148" t="str">
        <v/>
      </c>
      <c r="F21" s="148" t="str">
        <v/>
      </c>
      <c r="G21" s="268" t="str">
        <v/>
      </c>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34"/>
      <c r="DX21" s="23"/>
      <c r="DY21" s="23"/>
      <c r="DZ21" s="23"/>
      <c r="EA21" s="23"/>
      <c r="EB21" s="23"/>
      <c r="EC21" s="23"/>
      <c r="ED21" s="23"/>
      <c r="EE21" s="23"/>
      <c r="EF21" s="23"/>
      <c r="EG21" s="23"/>
      <c r="EH21" s="23"/>
      <c r="EI21" s="23"/>
      <c r="EJ21" s="23"/>
      <c r="EK21" s="23"/>
      <c r="EL21" s="23"/>
      <c r="EM21" s="23"/>
      <c r="EN21" s="23"/>
      <c r="EO21" s="23"/>
      <c r="EP21" s="23"/>
      <c r="EQ21" s="23"/>
      <c r="ER21" s="34"/>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34"/>
      <c r="JH21" s="23"/>
      <c r="JI21" s="23"/>
      <c r="JJ21" s="23"/>
      <c r="JK21" s="23"/>
      <c r="JL21" s="23"/>
      <c r="JM21" s="23"/>
      <c r="JN21" s="23"/>
      <c r="JO21" s="23"/>
      <c r="JP21" s="23"/>
      <c r="JQ21" s="23"/>
      <c r="JR21" s="23"/>
      <c r="JS21" s="23"/>
      <c r="JT21" s="23"/>
      <c r="JU21" s="23"/>
      <c r="JV21" s="23"/>
      <c r="JW21" s="23"/>
      <c r="JX21" s="23"/>
      <c r="JY21" s="23"/>
      <c r="JZ21" s="23"/>
      <c r="KA21" s="23"/>
      <c r="KB21" s="34"/>
    </row>
    <row r="22" spans="2:288" ht="15" customHeight="1" x14ac:dyDescent="0.35">
      <c r="B22" s="146" t="s">
        <v>1221</v>
      </c>
      <c r="C22" s="148" t="str">
        <v/>
      </c>
      <c r="D22" s="148" t="str">
        <v/>
      </c>
      <c r="E22" s="148" t="str">
        <v/>
      </c>
      <c r="F22" s="148" t="str">
        <v/>
      </c>
      <c r="G22" s="268" t="str">
        <v/>
      </c>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34"/>
      <c r="DX22" s="23"/>
      <c r="DY22" s="23"/>
      <c r="DZ22" s="23"/>
      <c r="EA22" s="23"/>
      <c r="EB22" s="23"/>
      <c r="EC22" s="23"/>
      <c r="ED22" s="23"/>
      <c r="EE22" s="23"/>
      <c r="EF22" s="23"/>
      <c r="EG22" s="23"/>
      <c r="EH22" s="23"/>
      <c r="EI22" s="23"/>
      <c r="EJ22" s="23"/>
      <c r="EK22" s="23"/>
      <c r="EL22" s="23"/>
      <c r="EM22" s="23"/>
      <c r="EN22" s="23"/>
      <c r="EO22" s="23"/>
      <c r="EP22" s="23"/>
      <c r="EQ22" s="23"/>
      <c r="ER22" s="34"/>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34"/>
      <c r="JH22" s="23"/>
      <c r="JI22" s="23"/>
      <c r="JJ22" s="23"/>
      <c r="JK22" s="23"/>
      <c r="JL22" s="23"/>
      <c r="JM22" s="23"/>
      <c r="JN22" s="23"/>
      <c r="JO22" s="23"/>
      <c r="JP22" s="23"/>
      <c r="JQ22" s="23"/>
      <c r="JR22" s="23"/>
      <c r="JS22" s="23"/>
      <c r="JT22" s="23"/>
      <c r="JU22" s="23"/>
      <c r="JV22" s="23"/>
      <c r="JW22" s="23"/>
      <c r="JX22" s="23"/>
      <c r="JY22" s="23"/>
      <c r="JZ22" s="23"/>
      <c r="KA22" s="23"/>
      <c r="KB22" s="34"/>
    </row>
    <row r="23" spans="2:288" ht="15" customHeight="1" x14ac:dyDescent="0.35">
      <c r="B23" s="146" t="s">
        <v>1222</v>
      </c>
      <c r="C23" s="148" t="str">
        <v/>
      </c>
      <c r="D23" s="148" t="str">
        <v/>
      </c>
      <c r="E23" s="148" t="str">
        <v/>
      </c>
      <c r="F23" s="148" t="str">
        <v/>
      </c>
      <c r="G23" s="268" t="str">
        <v/>
      </c>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34"/>
      <c r="DX23" s="23"/>
      <c r="DY23" s="23"/>
      <c r="DZ23" s="23"/>
      <c r="EA23" s="23"/>
      <c r="EB23" s="23"/>
      <c r="EC23" s="23"/>
      <c r="ED23" s="23"/>
      <c r="EE23" s="23"/>
      <c r="EF23" s="23"/>
      <c r="EG23" s="23"/>
      <c r="EH23" s="23"/>
      <c r="EI23" s="23"/>
      <c r="EJ23" s="23"/>
      <c r="EK23" s="23"/>
      <c r="EL23" s="23"/>
      <c r="EM23" s="23"/>
      <c r="EN23" s="23"/>
      <c r="EO23" s="23"/>
      <c r="EP23" s="23"/>
      <c r="EQ23" s="23"/>
      <c r="ER23" s="34"/>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34"/>
      <c r="JH23" s="23"/>
      <c r="JI23" s="23"/>
      <c r="JJ23" s="23"/>
      <c r="JK23" s="23"/>
      <c r="JL23" s="23"/>
      <c r="JM23" s="23"/>
      <c r="JN23" s="23"/>
      <c r="JO23" s="23"/>
      <c r="JP23" s="23"/>
      <c r="JQ23" s="23"/>
      <c r="JR23" s="23"/>
      <c r="JS23" s="23"/>
      <c r="JT23" s="23"/>
      <c r="JU23" s="23"/>
      <c r="JV23" s="23"/>
      <c r="JW23" s="23"/>
      <c r="JX23" s="23"/>
      <c r="JY23" s="23"/>
      <c r="JZ23" s="23"/>
      <c r="KA23" s="23"/>
      <c r="KB23" s="34"/>
    </row>
    <row r="24" spans="2:288" ht="15" customHeight="1" x14ac:dyDescent="0.35">
      <c r="B24" s="146" t="s">
        <v>1223</v>
      </c>
      <c r="C24" s="148" t="str">
        <v/>
      </c>
      <c r="D24" s="148" t="str">
        <v/>
      </c>
      <c r="E24" s="148" t="str">
        <v/>
      </c>
      <c r="F24" s="148" t="str">
        <v/>
      </c>
      <c r="G24" s="268" t="str">
        <v/>
      </c>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34"/>
      <c r="DX24" s="23"/>
      <c r="DY24" s="23"/>
      <c r="DZ24" s="23"/>
      <c r="EA24" s="23"/>
      <c r="EB24" s="23"/>
      <c r="EC24" s="23"/>
      <c r="ED24" s="23"/>
      <c r="EE24" s="23"/>
      <c r="EF24" s="23"/>
      <c r="EG24" s="23"/>
      <c r="EH24" s="23"/>
      <c r="EI24" s="23"/>
      <c r="EJ24" s="23"/>
      <c r="EK24" s="23"/>
      <c r="EL24" s="23"/>
      <c r="EM24" s="23"/>
      <c r="EN24" s="23"/>
      <c r="EO24" s="23"/>
      <c r="EP24" s="23"/>
      <c r="EQ24" s="23"/>
      <c r="ER24" s="34"/>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c r="JB24" s="23"/>
      <c r="JC24" s="23"/>
      <c r="JD24" s="23"/>
      <c r="JE24" s="23"/>
      <c r="JF24" s="23"/>
      <c r="JG24" s="34"/>
      <c r="JH24" s="23"/>
      <c r="JI24" s="23"/>
      <c r="JJ24" s="23"/>
      <c r="JK24" s="23"/>
      <c r="JL24" s="23"/>
      <c r="JM24" s="23"/>
      <c r="JN24" s="23"/>
      <c r="JO24" s="23"/>
      <c r="JP24" s="23"/>
      <c r="JQ24" s="23"/>
      <c r="JR24" s="23"/>
      <c r="JS24" s="23"/>
      <c r="JT24" s="23"/>
      <c r="JU24" s="23"/>
      <c r="JV24" s="23"/>
      <c r="JW24" s="23"/>
      <c r="JX24" s="23"/>
      <c r="JY24" s="23"/>
      <c r="JZ24" s="23"/>
      <c r="KA24" s="23"/>
      <c r="KB24" s="34"/>
    </row>
    <row r="25" spans="2:288" ht="15" customHeight="1" x14ac:dyDescent="0.35">
      <c r="B25" s="146" t="s">
        <v>1224</v>
      </c>
      <c r="C25" s="148" t="str">
        <v/>
      </c>
      <c r="D25" s="148" t="str">
        <v/>
      </c>
      <c r="E25" s="148" t="str">
        <v/>
      </c>
      <c r="F25" s="148" t="str">
        <v/>
      </c>
      <c r="G25" s="268" t="str">
        <v/>
      </c>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34"/>
      <c r="DX25" s="23"/>
      <c r="DY25" s="23"/>
      <c r="DZ25" s="23"/>
      <c r="EA25" s="23"/>
      <c r="EB25" s="23"/>
      <c r="EC25" s="23"/>
      <c r="ED25" s="23"/>
      <c r="EE25" s="23"/>
      <c r="EF25" s="23"/>
      <c r="EG25" s="23"/>
      <c r="EH25" s="23"/>
      <c r="EI25" s="23"/>
      <c r="EJ25" s="23"/>
      <c r="EK25" s="23"/>
      <c r="EL25" s="23"/>
      <c r="EM25" s="23"/>
      <c r="EN25" s="23"/>
      <c r="EO25" s="23"/>
      <c r="EP25" s="23"/>
      <c r="EQ25" s="23"/>
      <c r="ER25" s="34"/>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34"/>
      <c r="JH25" s="23"/>
      <c r="JI25" s="23"/>
      <c r="JJ25" s="23"/>
      <c r="JK25" s="23"/>
      <c r="JL25" s="23"/>
      <c r="JM25" s="23"/>
      <c r="JN25" s="23"/>
      <c r="JO25" s="23"/>
      <c r="JP25" s="23"/>
      <c r="JQ25" s="23"/>
      <c r="JR25" s="23"/>
      <c r="JS25" s="23"/>
      <c r="JT25" s="23"/>
      <c r="JU25" s="23"/>
      <c r="JV25" s="23"/>
      <c r="JW25" s="23"/>
      <c r="JX25" s="23"/>
      <c r="JY25" s="23"/>
      <c r="JZ25" s="23"/>
      <c r="KA25" s="23"/>
      <c r="KB25" s="34"/>
    </row>
    <row r="26" spans="2:288" ht="15" customHeight="1" x14ac:dyDescent="0.35">
      <c r="B26" s="146" t="s">
        <v>1225</v>
      </c>
      <c r="C26" s="148" t="str">
        <v/>
      </c>
      <c r="D26" s="148" t="str">
        <v/>
      </c>
      <c r="E26" s="148" t="str">
        <v/>
      </c>
      <c r="F26" s="148" t="str">
        <v/>
      </c>
      <c r="G26" s="268" t="str">
        <v/>
      </c>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34"/>
      <c r="DX26" s="23"/>
      <c r="DY26" s="23"/>
      <c r="DZ26" s="23"/>
      <c r="EA26" s="23"/>
      <c r="EB26" s="23"/>
      <c r="EC26" s="23"/>
      <c r="ED26" s="23"/>
      <c r="EE26" s="23"/>
      <c r="EF26" s="23"/>
      <c r="EG26" s="23"/>
      <c r="EH26" s="23"/>
      <c r="EI26" s="23"/>
      <c r="EJ26" s="23"/>
      <c r="EK26" s="23"/>
      <c r="EL26" s="23"/>
      <c r="EM26" s="23"/>
      <c r="EN26" s="23"/>
      <c r="EO26" s="23"/>
      <c r="EP26" s="23"/>
      <c r="EQ26" s="23"/>
      <c r="ER26" s="34"/>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34"/>
      <c r="JH26" s="23"/>
      <c r="JI26" s="23"/>
      <c r="JJ26" s="23"/>
      <c r="JK26" s="23"/>
      <c r="JL26" s="23"/>
      <c r="JM26" s="23"/>
      <c r="JN26" s="23"/>
      <c r="JO26" s="23"/>
      <c r="JP26" s="23"/>
      <c r="JQ26" s="23"/>
      <c r="JR26" s="23"/>
      <c r="JS26" s="23"/>
      <c r="JT26" s="23"/>
      <c r="JU26" s="23"/>
      <c r="JV26" s="23"/>
      <c r="JW26" s="23"/>
      <c r="JX26" s="23"/>
      <c r="JY26" s="23"/>
      <c r="JZ26" s="23"/>
      <c r="KA26" s="23"/>
      <c r="KB26" s="34"/>
    </row>
    <row r="27" spans="2:288" ht="15" customHeight="1" x14ac:dyDescent="0.35">
      <c r="B27" s="146" t="s">
        <v>1226</v>
      </c>
      <c r="C27" s="148" t="str">
        <v/>
      </c>
      <c r="D27" s="148" t="str">
        <v/>
      </c>
      <c r="E27" s="148" t="str">
        <v/>
      </c>
      <c r="F27" s="148" t="str">
        <v/>
      </c>
      <c r="G27" s="268" t="str">
        <v/>
      </c>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34"/>
      <c r="DX27" s="23"/>
      <c r="DY27" s="23"/>
      <c r="DZ27" s="23"/>
      <c r="EA27" s="23"/>
      <c r="EB27" s="23"/>
      <c r="EC27" s="23"/>
      <c r="ED27" s="23"/>
      <c r="EE27" s="23"/>
      <c r="EF27" s="23"/>
      <c r="EG27" s="23"/>
      <c r="EH27" s="23"/>
      <c r="EI27" s="23"/>
      <c r="EJ27" s="23"/>
      <c r="EK27" s="23"/>
      <c r="EL27" s="23"/>
      <c r="EM27" s="23"/>
      <c r="EN27" s="23"/>
      <c r="EO27" s="23"/>
      <c r="EP27" s="23"/>
      <c r="EQ27" s="23"/>
      <c r="ER27" s="34"/>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c r="JB27" s="23"/>
      <c r="JC27" s="23"/>
      <c r="JD27" s="23"/>
      <c r="JE27" s="23"/>
      <c r="JF27" s="23"/>
      <c r="JG27" s="34"/>
      <c r="JH27" s="23"/>
      <c r="JI27" s="23"/>
      <c r="JJ27" s="23"/>
      <c r="JK27" s="23"/>
      <c r="JL27" s="23"/>
      <c r="JM27" s="23"/>
      <c r="JN27" s="23"/>
      <c r="JO27" s="23"/>
      <c r="JP27" s="23"/>
      <c r="JQ27" s="23"/>
      <c r="JR27" s="23"/>
      <c r="JS27" s="23"/>
      <c r="JT27" s="23"/>
      <c r="JU27" s="23"/>
      <c r="JV27" s="23"/>
      <c r="JW27" s="23"/>
      <c r="JX27" s="23"/>
      <c r="JY27" s="23"/>
      <c r="JZ27" s="23"/>
      <c r="KA27" s="23"/>
      <c r="KB27" s="34"/>
    </row>
    <row r="28" spans="2:288" ht="15" customHeight="1" x14ac:dyDescent="0.35">
      <c r="B28" s="146" t="s">
        <v>1227</v>
      </c>
      <c r="C28" s="148" t="str">
        <v/>
      </c>
      <c r="D28" s="148" t="str">
        <v/>
      </c>
      <c r="E28" s="148" t="str">
        <v/>
      </c>
      <c r="F28" s="148" t="str">
        <v/>
      </c>
      <c r="G28" s="268" t="str">
        <v/>
      </c>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34"/>
      <c r="DX28" s="23"/>
      <c r="DY28" s="23"/>
      <c r="DZ28" s="23"/>
      <c r="EA28" s="23"/>
      <c r="EB28" s="23"/>
      <c r="EC28" s="23"/>
      <c r="ED28" s="23"/>
      <c r="EE28" s="23"/>
      <c r="EF28" s="23"/>
      <c r="EG28" s="23"/>
      <c r="EH28" s="23"/>
      <c r="EI28" s="23"/>
      <c r="EJ28" s="23"/>
      <c r="EK28" s="23"/>
      <c r="EL28" s="23"/>
      <c r="EM28" s="23"/>
      <c r="EN28" s="23"/>
      <c r="EO28" s="23"/>
      <c r="EP28" s="23"/>
      <c r="EQ28" s="23"/>
      <c r="ER28" s="34"/>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34"/>
      <c r="JH28" s="23"/>
      <c r="JI28" s="23"/>
      <c r="JJ28" s="23"/>
      <c r="JK28" s="23"/>
      <c r="JL28" s="23"/>
      <c r="JM28" s="23"/>
      <c r="JN28" s="23"/>
      <c r="JO28" s="23"/>
      <c r="JP28" s="23"/>
      <c r="JQ28" s="23"/>
      <c r="JR28" s="23"/>
      <c r="JS28" s="23"/>
      <c r="JT28" s="23"/>
      <c r="JU28" s="23"/>
      <c r="JV28" s="23"/>
      <c r="JW28" s="23"/>
      <c r="JX28" s="23"/>
      <c r="JY28" s="23"/>
      <c r="JZ28" s="23"/>
      <c r="KA28" s="23"/>
      <c r="KB28" s="34"/>
    </row>
    <row r="29" spans="2:288" ht="15" customHeight="1" x14ac:dyDescent="0.35">
      <c r="B29" s="146" t="s">
        <v>1228</v>
      </c>
      <c r="C29" s="148" t="str">
        <v/>
      </c>
      <c r="D29" s="148" t="str">
        <v/>
      </c>
      <c r="E29" s="148" t="str">
        <v/>
      </c>
      <c r="F29" s="148" t="str">
        <v/>
      </c>
      <c r="G29" s="268" t="str">
        <v/>
      </c>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34"/>
      <c r="DX29" s="23"/>
      <c r="DY29" s="23"/>
      <c r="DZ29" s="23"/>
      <c r="EA29" s="23"/>
      <c r="EB29" s="23"/>
      <c r="EC29" s="23"/>
      <c r="ED29" s="23"/>
      <c r="EE29" s="23"/>
      <c r="EF29" s="23"/>
      <c r="EG29" s="23"/>
      <c r="EH29" s="23"/>
      <c r="EI29" s="23"/>
      <c r="EJ29" s="23"/>
      <c r="EK29" s="23"/>
      <c r="EL29" s="23"/>
      <c r="EM29" s="23"/>
      <c r="EN29" s="23"/>
      <c r="EO29" s="23"/>
      <c r="EP29" s="23"/>
      <c r="EQ29" s="23"/>
      <c r="ER29" s="34"/>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34"/>
      <c r="JH29" s="23"/>
      <c r="JI29" s="23"/>
      <c r="JJ29" s="23"/>
      <c r="JK29" s="23"/>
      <c r="JL29" s="23"/>
      <c r="JM29" s="23"/>
      <c r="JN29" s="23"/>
      <c r="JO29" s="23"/>
      <c r="JP29" s="23"/>
      <c r="JQ29" s="23"/>
      <c r="JR29" s="23"/>
      <c r="JS29" s="23"/>
      <c r="JT29" s="23"/>
      <c r="JU29" s="23"/>
      <c r="JV29" s="23"/>
      <c r="JW29" s="23"/>
      <c r="JX29" s="23"/>
      <c r="JY29" s="23"/>
      <c r="JZ29" s="23"/>
      <c r="KA29" s="23"/>
      <c r="KB29" s="34"/>
    </row>
    <row r="30" spans="2:288" ht="15" customHeight="1" x14ac:dyDescent="0.35">
      <c r="B30" s="146" t="s">
        <v>1229</v>
      </c>
      <c r="C30" s="148" t="str">
        <v/>
      </c>
      <c r="D30" s="148" t="str">
        <v/>
      </c>
      <c r="E30" s="148" t="str">
        <v/>
      </c>
      <c r="F30" s="148" t="str">
        <v/>
      </c>
      <c r="G30" s="268" t="str">
        <v/>
      </c>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34"/>
      <c r="DX30" s="23"/>
      <c r="DY30" s="23"/>
      <c r="DZ30" s="23"/>
      <c r="EA30" s="23"/>
      <c r="EB30" s="23"/>
      <c r="EC30" s="23"/>
      <c r="ED30" s="23"/>
      <c r="EE30" s="23"/>
      <c r="EF30" s="23"/>
      <c r="EG30" s="23"/>
      <c r="EH30" s="23"/>
      <c r="EI30" s="23"/>
      <c r="EJ30" s="23"/>
      <c r="EK30" s="23"/>
      <c r="EL30" s="23"/>
      <c r="EM30" s="23"/>
      <c r="EN30" s="23"/>
      <c r="EO30" s="23"/>
      <c r="EP30" s="23"/>
      <c r="EQ30" s="23"/>
      <c r="ER30" s="34"/>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34"/>
      <c r="JH30" s="23"/>
      <c r="JI30" s="23"/>
      <c r="JJ30" s="23"/>
      <c r="JK30" s="23"/>
      <c r="JL30" s="23"/>
      <c r="JM30" s="23"/>
      <c r="JN30" s="23"/>
      <c r="JO30" s="23"/>
      <c r="JP30" s="23"/>
      <c r="JQ30" s="23"/>
      <c r="JR30" s="23"/>
      <c r="JS30" s="23"/>
      <c r="JT30" s="23"/>
      <c r="JU30" s="23"/>
      <c r="JV30" s="23"/>
      <c r="JW30" s="23"/>
      <c r="JX30" s="23"/>
      <c r="JY30" s="23"/>
      <c r="JZ30" s="23"/>
      <c r="KA30" s="23"/>
      <c r="KB30" s="34"/>
    </row>
    <row r="31" spans="2:288" ht="15" customHeight="1" x14ac:dyDescent="0.35">
      <c r="B31" s="146" t="s">
        <v>1230</v>
      </c>
      <c r="C31" s="148" t="str">
        <v/>
      </c>
      <c r="D31" s="148" t="str">
        <v/>
      </c>
      <c r="E31" s="148" t="str">
        <v/>
      </c>
      <c r="F31" s="148" t="str">
        <v/>
      </c>
      <c r="G31" s="268" t="str">
        <v/>
      </c>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34"/>
      <c r="DX31" s="23"/>
      <c r="DY31" s="23"/>
      <c r="DZ31" s="23"/>
      <c r="EA31" s="23"/>
      <c r="EB31" s="23"/>
      <c r="EC31" s="23"/>
      <c r="ED31" s="23"/>
      <c r="EE31" s="23"/>
      <c r="EF31" s="23"/>
      <c r="EG31" s="23"/>
      <c r="EH31" s="23"/>
      <c r="EI31" s="23"/>
      <c r="EJ31" s="23"/>
      <c r="EK31" s="23"/>
      <c r="EL31" s="23"/>
      <c r="EM31" s="23"/>
      <c r="EN31" s="23"/>
      <c r="EO31" s="23"/>
      <c r="EP31" s="23"/>
      <c r="EQ31" s="23"/>
      <c r="ER31" s="34"/>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34"/>
      <c r="JH31" s="23"/>
      <c r="JI31" s="23"/>
      <c r="JJ31" s="23"/>
      <c r="JK31" s="23"/>
      <c r="JL31" s="23"/>
      <c r="JM31" s="23"/>
      <c r="JN31" s="23"/>
      <c r="JO31" s="23"/>
      <c r="JP31" s="23"/>
      <c r="JQ31" s="23"/>
      <c r="JR31" s="23"/>
      <c r="JS31" s="23"/>
      <c r="JT31" s="23"/>
      <c r="JU31" s="23"/>
      <c r="JV31" s="23"/>
      <c r="JW31" s="23"/>
      <c r="JX31" s="23"/>
      <c r="JY31" s="23"/>
      <c r="JZ31" s="23"/>
      <c r="KA31" s="23"/>
      <c r="KB31" s="34"/>
    </row>
    <row r="32" spans="2:288" ht="15" customHeight="1" x14ac:dyDescent="0.35">
      <c r="B32" s="146" t="s">
        <v>1231</v>
      </c>
      <c r="C32" s="148" t="str">
        <v/>
      </c>
      <c r="D32" s="148" t="str">
        <v/>
      </c>
      <c r="E32" s="148" t="str">
        <v/>
      </c>
      <c r="F32" s="148" t="str">
        <v/>
      </c>
      <c r="G32" s="268" t="str">
        <v/>
      </c>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34"/>
      <c r="DX32" s="23"/>
      <c r="DY32" s="23"/>
      <c r="DZ32" s="23"/>
      <c r="EA32" s="23"/>
      <c r="EB32" s="23"/>
      <c r="EC32" s="23"/>
      <c r="ED32" s="23"/>
      <c r="EE32" s="23"/>
      <c r="EF32" s="23"/>
      <c r="EG32" s="23"/>
      <c r="EH32" s="23"/>
      <c r="EI32" s="23"/>
      <c r="EJ32" s="23"/>
      <c r="EK32" s="23"/>
      <c r="EL32" s="23"/>
      <c r="EM32" s="23"/>
      <c r="EN32" s="23"/>
      <c r="EO32" s="23"/>
      <c r="EP32" s="23"/>
      <c r="EQ32" s="23"/>
      <c r="ER32" s="34"/>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34"/>
      <c r="JH32" s="23"/>
      <c r="JI32" s="23"/>
      <c r="JJ32" s="23"/>
      <c r="JK32" s="23"/>
      <c r="JL32" s="23"/>
      <c r="JM32" s="23"/>
      <c r="JN32" s="23"/>
      <c r="JO32" s="23"/>
      <c r="JP32" s="23"/>
      <c r="JQ32" s="23"/>
      <c r="JR32" s="23"/>
      <c r="JS32" s="23"/>
      <c r="JT32" s="23"/>
      <c r="JU32" s="23"/>
      <c r="JV32" s="23"/>
      <c r="JW32" s="23"/>
      <c r="JX32" s="23"/>
      <c r="JY32" s="23"/>
      <c r="JZ32" s="23"/>
      <c r="KA32" s="23"/>
      <c r="KB32" s="34"/>
    </row>
    <row r="33" spans="2:288" ht="15" customHeight="1" x14ac:dyDescent="0.35">
      <c r="B33" s="146" t="s">
        <v>1232</v>
      </c>
      <c r="C33" s="148" t="str">
        <v/>
      </c>
      <c r="D33" s="148" t="str">
        <v/>
      </c>
      <c r="E33" s="148" t="str">
        <v/>
      </c>
      <c r="F33" s="148" t="str">
        <v/>
      </c>
      <c r="G33" s="268" t="str">
        <v/>
      </c>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34"/>
      <c r="DX33" s="23"/>
      <c r="DY33" s="23"/>
      <c r="DZ33" s="23"/>
      <c r="EA33" s="23"/>
      <c r="EB33" s="23"/>
      <c r="EC33" s="23"/>
      <c r="ED33" s="23"/>
      <c r="EE33" s="23"/>
      <c r="EF33" s="23"/>
      <c r="EG33" s="23"/>
      <c r="EH33" s="23"/>
      <c r="EI33" s="23"/>
      <c r="EJ33" s="23"/>
      <c r="EK33" s="23"/>
      <c r="EL33" s="23"/>
      <c r="EM33" s="23"/>
      <c r="EN33" s="23"/>
      <c r="EO33" s="23"/>
      <c r="EP33" s="23"/>
      <c r="EQ33" s="23"/>
      <c r="ER33" s="34"/>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34"/>
      <c r="JH33" s="23"/>
      <c r="JI33" s="23"/>
      <c r="JJ33" s="23"/>
      <c r="JK33" s="23"/>
      <c r="JL33" s="23"/>
      <c r="JM33" s="23"/>
      <c r="JN33" s="23"/>
      <c r="JO33" s="23"/>
      <c r="JP33" s="23"/>
      <c r="JQ33" s="23"/>
      <c r="JR33" s="23"/>
      <c r="JS33" s="23"/>
      <c r="JT33" s="23"/>
      <c r="JU33" s="23"/>
      <c r="JV33" s="23"/>
      <c r="JW33" s="23"/>
      <c r="JX33" s="23"/>
      <c r="JY33" s="23"/>
      <c r="JZ33" s="23"/>
      <c r="KA33" s="23"/>
      <c r="KB33" s="34"/>
    </row>
    <row r="34" spans="2:288" ht="15" customHeight="1" x14ac:dyDescent="0.35">
      <c r="B34" s="146" t="s">
        <v>1233</v>
      </c>
      <c r="C34" s="148" t="str">
        <v/>
      </c>
      <c r="D34" s="148" t="str">
        <v/>
      </c>
      <c r="E34" s="148" t="str">
        <v/>
      </c>
      <c r="F34" s="148" t="str">
        <v/>
      </c>
      <c r="G34" s="268" t="str">
        <v/>
      </c>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34"/>
      <c r="DX34" s="23"/>
      <c r="DY34" s="23"/>
      <c r="DZ34" s="23"/>
      <c r="EA34" s="23"/>
      <c r="EB34" s="23"/>
      <c r="EC34" s="23"/>
      <c r="ED34" s="23"/>
      <c r="EE34" s="23"/>
      <c r="EF34" s="23"/>
      <c r="EG34" s="23"/>
      <c r="EH34" s="23"/>
      <c r="EI34" s="23"/>
      <c r="EJ34" s="23"/>
      <c r="EK34" s="23"/>
      <c r="EL34" s="23"/>
      <c r="EM34" s="23"/>
      <c r="EN34" s="23"/>
      <c r="EO34" s="23"/>
      <c r="EP34" s="23"/>
      <c r="EQ34" s="23"/>
      <c r="ER34" s="34"/>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34"/>
      <c r="JH34" s="23"/>
      <c r="JI34" s="23"/>
      <c r="JJ34" s="23"/>
      <c r="JK34" s="23"/>
      <c r="JL34" s="23"/>
      <c r="JM34" s="23"/>
      <c r="JN34" s="23"/>
      <c r="JO34" s="23"/>
      <c r="JP34" s="23"/>
      <c r="JQ34" s="23"/>
      <c r="JR34" s="23"/>
      <c r="JS34" s="23"/>
      <c r="JT34" s="23"/>
      <c r="JU34" s="23"/>
      <c r="JV34" s="23"/>
      <c r="JW34" s="23"/>
      <c r="JX34" s="23"/>
      <c r="JY34" s="23"/>
      <c r="JZ34" s="23"/>
      <c r="KA34" s="23"/>
      <c r="KB34" s="34"/>
    </row>
    <row r="35" spans="2:288" ht="15" customHeight="1" x14ac:dyDescent="0.35">
      <c r="B35" s="146" t="s">
        <v>1234</v>
      </c>
      <c r="C35" s="148" t="str">
        <v/>
      </c>
      <c r="D35" s="148" t="str">
        <v/>
      </c>
      <c r="E35" s="148" t="str">
        <v/>
      </c>
      <c r="F35" s="148" t="str">
        <v/>
      </c>
      <c r="G35" s="268" t="str">
        <v/>
      </c>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34"/>
      <c r="DX35" s="23"/>
      <c r="DY35" s="23"/>
      <c r="DZ35" s="23"/>
      <c r="EA35" s="23"/>
      <c r="EB35" s="23"/>
      <c r="EC35" s="23"/>
      <c r="ED35" s="23"/>
      <c r="EE35" s="23"/>
      <c r="EF35" s="23"/>
      <c r="EG35" s="23"/>
      <c r="EH35" s="23"/>
      <c r="EI35" s="23"/>
      <c r="EJ35" s="23"/>
      <c r="EK35" s="23"/>
      <c r="EL35" s="23"/>
      <c r="EM35" s="23"/>
      <c r="EN35" s="23"/>
      <c r="EO35" s="23"/>
      <c r="EP35" s="23"/>
      <c r="EQ35" s="23"/>
      <c r="ER35" s="34"/>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34"/>
      <c r="JH35" s="23"/>
      <c r="JI35" s="23"/>
      <c r="JJ35" s="23"/>
      <c r="JK35" s="23"/>
      <c r="JL35" s="23"/>
      <c r="JM35" s="23"/>
      <c r="JN35" s="23"/>
      <c r="JO35" s="23"/>
      <c r="JP35" s="23"/>
      <c r="JQ35" s="23"/>
      <c r="JR35" s="23"/>
      <c r="JS35" s="23"/>
      <c r="JT35" s="23"/>
      <c r="JU35" s="23"/>
      <c r="JV35" s="23"/>
      <c r="JW35" s="23"/>
      <c r="JX35" s="23"/>
      <c r="JY35" s="23"/>
      <c r="JZ35" s="23"/>
      <c r="KA35" s="23"/>
      <c r="KB35" s="34"/>
    </row>
    <row r="36" spans="2:288" ht="15" customHeight="1" x14ac:dyDescent="0.35">
      <c r="B36" s="146" t="s">
        <v>1235</v>
      </c>
      <c r="C36" s="148" t="str">
        <v/>
      </c>
      <c r="D36" s="148" t="str">
        <v/>
      </c>
      <c r="E36" s="148" t="str">
        <v/>
      </c>
      <c r="F36" s="148" t="str">
        <v/>
      </c>
      <c r="G36" s="268" t="str">
        <v/>
      </c>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34"/>
      <c r="DX36" s="23"/>
      <c r="DY36" s="23"/>
      <c r="DZ36" s="23"/>
      <c r="EA36" s="23"/>
      <c r="EB36" s="23"/>
      <c r="EC36" s="23"/>
      <c r="ED36" s="23"/>
      <c r="EE36" s="23"/>
      <c r="EF36" s="23"/>
      <c r="EG36" s="23"/>
      <c r="EH36" s="23"/>
      <c r="EI36" s="23"/>
      <c r="EJ36" s="23"/>
      <c r="EK36" s="23"/>
      <c r="EL36" s="23"/>
      <c r="EM36" s="23"/>
      <c r="EN36" s="23"/>
      <c r="EO36" s="23"/>
      <c r="EP36" s="23"/>
      <c r="EQ36" s="23"/>
      <c r="ER36" s="34"/>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c r="IV36" s="23"/>
      <c r="IW36" s="23"/>
      <c r="IX36" s="23"/>
      <c r="IY36" s="23"/>
      <c r="IZ36" s="23"/>
      <c r="JA36" s="23"/>
      <c r="JB36" s="23"/>
      <c r="JC36" s="23"/>
      <c r="JD36" s="23"/>
      <c r="JE36" s="23"/>
      <c r="JF36" s="23"/>
      <c r="JG36" s="34"/>
      <c r="JH36" s="23"/>
      <c r="JI36" s="23"/>
      <c r="JJ36" s="23"/>
      <c r="JK36" s="23"/>
      <c r="JL36" s="23"/>
      <c r="JM36" s="23"/>
      <c r="JN36" s="23"/>
      <c r="JO36" s="23"/>
      <c r="JP36" s="23"/>
      <c r="JQ36" s="23"/>
      <c r="JR36" s="23"/>
      <c r="JS36" s="23"/>
      <c r="JT36" s="23"/>
      <c r="JU36" s="23"/>
      <c r="JV36" s="23"/>
      <c r="JW36" s="23"/>
      <c r="JX36" s="23"/>
      <c r="JY36" s="23"/>
      <c r="JZ36" s="23"/>
      <c r="KA36" s="23"/>
      <c r="KB36" s="34"/>
    </row>
    <row r="37" spans="2:288" ht="15" customHeight="1" x14ac:dyDescent="0.35">
      <c r="B37" s="146" t="s">
        <v>1236</v>
      </c>
      <c r="C37" s="148" t="str">
        <v/>
      </c>
      <c r="D37" s="148" t="str">
        <v/>
      </c>
      <c r="E37" s="148" t="str">
        <v/>
      </c>
      <c r="F37" s="148" t="str">
        <v/>
      </c>
      <c r="G37" s="268" t="str">
        <v/>
      </c>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34"/>
      <c r="DX37" s="23"/>
      <c r="DY37" s="23"/>
      <c r="DZ37" s="23"/>
      <c r="EA37" s="23"/>
      <c r="EB37" s="23"/>
      <c r="EC37" s="23"/>
      <c r="ED37" s="23"/>
      <c r="EE37" s="23"/>
      <c r="EF37" s="23"/>
      <c r="EG37" s="23"/>
      <c r="EH37" s="23"/>
      <c r="EI37" s="23"/>
      <c r="EJ37" s="23"/>
      <c r="EK37" s="23"/>
      <c r="EL37" s="23"/>
      <c r="EM37" s="23"/>
      <c r="EN37" s="23"/>
      <c r="EO37" s="23"/>
      <c r="EP37" s="23"/>
      <c r="EQ37" s="23"/>
      <c r="ER37" s="34"/>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c r="IU37" s="23"/>
      <c r="IV37" s="23"/>
      <c r="IW37" s="23"/>
      <c r="IX37" s="23"/>
      <c r="IY37" s="23"/>
      <c r="IZ37" s="23"/>
      <c r="JA37" s="23"/>
      <c r="JB37" s="23"/>
      <c r="JC37" s="23"/>
      <c r="JD37" s="23"/>
      <c r="JE37" s="23"/>
      <c r="JF37" s="23"/>
      <c r="JG37" s="34"/>
      <c r="JH37" s="23"/>
      <c r="JI37" s="23"/>
      <c r="JJ37" s="23"/>
      <c r="JK37" s="23"/>
      <c r="JL37" s="23"/>
      <c r="JM37" s="23"/>
      <c r="JN37" s="23"/>
      <c r="JO37" s="23"/>
      <c r="JP37" s="23"/>
      <c r="JQ37" s="23"/>
      <c r="JR37" s="23"/>
      <c r="JS37" s="23"/>
      <c r="JT37" s="23"/>
      <c r="JU37" s="23"/>
      <c r="JV37" s="23"/>
      <c r="JW37" s="23"/>
      <c r="JX37" s="23"/>
      <c r="JY37" s="23"/>
      <c r="JZ37" s="23"/>
      <c r="KA37" s="23"/>
      <c r="KB37" s="34"/>
    </row>
    <row r="38" spans="2:288" ht="15" customHeight="1" x14ac:dyDescent="0.35">
      <c r="B38" s="146" t="s">
        <v>1237</v>
      </c>
      <c r="C38" s="148" t="str">
        <v/>
      </c>
      <c r="D38" s="148" t="str">
        <v/>
      </c>
      <c r="E38" s="148" t="str">
        <v/>
      </c>
      <c r="F38" s="148" t="str">
        <v/>
      </c>
      <c r="G38" s="268" t="str">
        <v/>
      </c>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34"/>
      <c r="DX38" s="23"/>
      <c r="DY38" s="23"/>
      <c r="DZ38" s="23"/>
      <c r="EA38" s="23"/>
      <c r="EB38" s="23"/>
      <c r="EC38" s="23"/>
      <c r="ED38" s="23"/>
      <c r="EE38" s="23"/>
      <c r="EF38" s="23"/>
      <c r="EG38" s="23"/>
      <c r="EH38" s="23"/>
      <c r="EI38" s="23"/>
      <c r="EJ38" s="23"/>
      <c r="EK38" s="23"/>
      <c r="EL38" s="23"/>
      <c r="EM38" s="23"/>
      <c r="EN38" s="23"/>
      <c r="EO38" s="23"/>
      <c r="EP38" s="23"/>
      <c r="EQ38" s="23"/>
      <c r="ER38" s="34"/>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c r="IT38" s="23"/>
      <c r="IU38" s="23"/>
      <c r="IV38" s="23"/>
      <c r="IW38" s="23"/>
      <c r="IX38" s="23"/>
      <c r="IY38" s="23"/>
      <c r="IZ38" s="23"/>
      <c r="JA38" s="23"/>
      <c r="JB38" s="23"/>
      <c r="JC38" s="23"/>
      <c r="JD38" s="23"/>
      <c r="JE38" s="23"/>
      <c r="JF38" s="23"/>
      <c r="JG38" s="34"/>
      <c r="JH38" s="23"/>
      <c r="JI38" s="23"/>
      <c r="JJ38" s="23"/>
      <c r="JK38" s="23"/>
      <c r="JL38" s="23"/>
      <c r="JM38" s="23"/>
      <c r="JN38" s="23"/>
      <c r="JO38" s="23"/>
      <c r="JP38" s="23"/>
      <c r="JQ38" s="23"/>
      <c r="JR38" s="23"/>
      <c r="JS38" s="23"/>
      <c r="JT38" s="23"/>
      <c r="JU38" s="23"/>
      <c r="JV38" s="23"/>
      <c r="JW38" s="23"/>
      <c r="JX38" s="23"/>
      <c r="JY38" s="23"/>
      <c r="JZ38" s="23"/>
      <c r="KA38" s="23"/>
      <c r="KB38" s="34"/>
    </row>
    <row r="39" spans="2:288" ht="15" customHeight="1" x14ac:dyDescent="0.35">
      <c r="B39" s="146" t="s">
        <v>1238</v>
      </c>
      <c r="C39" s="148" t="str">
        <v/>
      </c>
      <c r="D39" s="148" t="str">
        <v/>
      </c>
      <c r="E39" s="148" t="str">
        <v/>
      </c>
      <c r="F39" s="148" t="str">
        <v/>
      </c>
      <c r="G39" s="268" t="str">
        <v/>
      </c>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34"/>
      <c r="DX39" s="23"/>
      <c r="DY39" s="23"/>
      <c r="DZ39" s="23"/>
      <c r="EA39" s="23"/>
      <c r="EB39" s="23"/>
      <c r="EC39" s="23"/>
      <c r="ED39" s="23"/>
      <c r="EE39" s="23"/>
      <c r="EF39" s="23"/>
      <c r="EG39" s="23"/>
      <c r="EH39" s="23"/>
      <c r="EI39" s="23"/>
      <c r="EJ39" s="23"/>
      <c r="EK39" s="23"/>
      <c r="EL39" s="23"/>
      <c r="EM39" s="23"/>
      <c r="EN39" s="23"/>
      <c r="EO39" s="23"/>
      <c r="EP39" s="23"/>
      <c r="EQ39" s="23"/>
      <c r="ER39" s="34"/>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c r="IU39" s="23"/>
      <c r="IV39" s="23"/>
      <c r="IW39" s="23"/>
      <c r="IX39" s="23"/>
      <c r="IY39" s="23"/>
      <c r="IZ39" s="23"/>
      <c r="JA39" s="23"/>
      <c r="JB39" s="23"/>
      <c r="JC39" s="23"/>
      <c r="JD39" s="23"/>
      <c r="JE39" s="23"/>
      <c r="JF39" s="23"/>
      <c r="JG39" s="34"/>
      <c r="JH39" s="23"/>
      <c r="JI39" s="23"/>
      <c r="JJ39" s="23"/>
      <c r="JK39" s="23"/>
      <c r="JL39" s="23"/>
      <c r="JM39" s="23"/>
      <c r="JN39" s="23"/>
      <c r="JO39" s="23"/>
      <c r="JP39" s="23"/>
      <c r="JQ39" s="23"/>
      <c r="JR39" s="23"/>
      <c r="JS39" s="23"/>
      <c r="JT39" s="23"/>
      <c r="JU39" s="23"/>
      <c r="JV39" s="23"/>
      <c r="JW39" s="23"/>
      <c r="JX39" s="23"/>
      <c r="JY39" s="23"/>
      <c r="JZ39" s="23"/>
      <c r="KA39" s="23"/>
      <c r="KB39" s="34"/>
    </row>
    <row r="40" spans="2:288" ht="15" customHeight="1" x14ac:dyDescent="0.35">
      <c r="B40" s="146" t="s">
        <v>1239</v>
      </c>
      <c r="C40" s="148" t="str">
        <v/>
      </c>
      <c r="D40" s="148" t="str">
        <v/>
      </c>
      <c r="E40" s="148" t="str">
        <v/>
      </c>
      <c r="F40" s="148" t="str">
        <v/>
      </c>
      <c r="G40" s="268" t="str">
        <v/>
      </c>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34"/>
      <c r="DX40" s="23"/>
      <c r="DY40" s="23"/>
      <c r="DZ40" s="23"/>
      <c r="EA40" s="23"/>
      <c r="EB40" s="23"/>
      <c r="EC40" s="23"/>
      <c r="ED40" s="23"/>
      <c r="EE40" s="23"/>
      <c r="EF40" s="23"/>
      <c r="EG40" s="23"/>
      <c r="EH40" s="23"/>
      <c r="EI40" s="23"/>
      <c r="EJ40" s="23"/>
      <c r="EK40" s="23"/>
      <c r="EL40" s="23"/>
      <c r="EM40" s="23"/>
      <c r="EN40" s="23"/>
      <c r="EO40" s="23"/>
      <c r="EP40" s="23"/>
      <c r="EQ40" s="23"/>
      <c r="ER40" s="34"/>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c r="IU40" s="23"/>
      <c r="IV40" s="23"/>
      <c r="IW40" s="23"/>
      <c r="IX40" s="23"/>
      <c r="IY40" s="23"/>
      <c r="IZ40" s="23"/>
      <c r="JA40" s="23"/>
      <c r="JB40" s="23"/>
      <c r="JC40" s="23"/>
      <c r="JD40" s="23"/>
      <c r="JE40" s="23"/>
      <c r="JF40" s="23"/>
      <c r="JG40" s="34"/>
      <c r="JH40" s="23"/>
      <c r="JI40" s="23"/>
      <c r="JJ40" s="23"/>
      <c r="JK40" s="23"/>
      <c r="JL40" s="23"/>
      <c r="JM40" s="23"/>
      <c r="JN40" s="23"/>
      <c r="JO40" s="23"/>
      <c r="JP40" s="23"/>
      <c r="JQ40" s="23"/>
      <c r="JR40" s="23"/>
      <c r="JS40" s="23"/>
      <c r="JT40" s="23"/>
      <c r="JU40" s="23"/>
      <c r="JV40" s="23"/>
      <c r="JW40" s="23"/>
      <c r="JX40" s="23"/>
      <c r="JY40" s="23"/>
      <c r="JZ40" s="23"/>
      <c r="KA40" s="23"/>
      <c r="KB40" s="34"/>
    </row>
    <row r="41" spans="2:288" ht="15" customHeight="1" x14ac:dyDescent="0.35">
      <c r="B41" s="146" t="s">
        <v>1240</v>
      </c>
      <c r="C41" s="148" t="str">
        <v/>
      </c>
      <c r="D41" s="148" t="str">
        <v/>
      </c>
      <c r="E41" s="148" t="str">
        <v/>
      </c>
      <c r="F41" s="148" t="str">
        <v/>
      </c>
      <c r="G41" s="268" t="str">
        <v/>
      </c>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34"/>
      <c r="DX41" s="23"/>
      <c r="DY41" s="23"/>
      <c r="DZ41" s="23"/>
      <c r="EA41" s="23"/>
      <c r="EB41" s="23"/>
      <c r="EC41" s="23"/>
      <c r="ED41" s="23"/>
      <c r="EE41" s="23"/>
      <c r="EF41" s="23"/>
      <c r="EG41" s="23"/>
      <c r="EH41" s="23"/>
      <c r="EI41" s="23"/>
      <c r="EJ41" s="23"/>
      <c r="EK41" s="23"/>
      <c r="EL41" s="23"/>
      <c r="EM41" s="23"/>
      <c r="EN41" s="23"/>
      <c r="EO41" s="23"/>
      <c r="EP41" s="23"/>
      <c r="EQ41" s="23"/>
      <c r="ER41" s="34"/>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c r="IT41" s="23"/>
      <c r="IU41" s="23"/>
      <c r="IV41" s="23"/>
      <c r="IW41" s="23"/>
      <c r="IX41" s="23"/>
      <c r="IY41" s="23"/>
      <c r="IZ41" s="23"/>
      <c r="JA41" s="23"/>
      <c r="JB41" s="23"/>
      <c r="JC41" s="23"/>
      <c r="JD41" s="23"/>
      <c r="JE41" s="23"/>
      <c r="JF41" s="23"/>
      <c r="JG41" s="34"/>
      <c r="JH41" s="23"/>
      <c r="JI41" s="23"/>
      <c r="JJ41" s="23"/>
      <c r="JK41" s="23"/>
      <c r="JL41" s="23"/>
      <c r="JM41" s="23"/>
      <c r="JN41" s="23"/>
      <c r="JO41" s="23"/>
      <c r="JP41" s="23"/>
      <c r="JQ41" s="23"/>
      <c r="JR41" s="23"/>
      <c r="JS41" s="23"/>
      <c r="JT41" s="23"/>
      <c r="JU41" s="23"/>
      <c r="JV41" s="23"/>
      <c r="JW41" s="23"/>
      <c r="JX41" s="23"/>
      <c r="JY41" s="23"/>
      <c r="JZ41" s="23"/>
      <c r="KA41" s="23"/>
      <c r="KB41" s="34"/>
    </row>
    <row r="42" spans="2:288" ht="15" customHeight="1" x14ac:dyDescent="0.35">
      <c r="B42" s="146" t="s">
        <v>1241</v>
      </c>
      <c r="C42" s="148" t="str">
        <v/>
      </c>
      <c r="D42" s="148" t="str">
        <v/>
      </c>
      <c r="E42" s="148" t="str">
        <v/>
      </c>
      <c r="F42" s="148" t="str">
        <v/>
      </c>
      <c r="G42" s="268" t="str">
        <v/>
      </c>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34"/>
      <c r="DX42" s="23"/>
      <c r="DY42" s="23"/>
      <c r="DZ42" s="23"/>
      <c r="EA42" s="23"/>
      <c r="EB42" s="23"/>
      <c r="EC42" s="23"/>
      <c r="ED42" s="23"/>
      <c r="EE42" s="23"/>
      <c r="EF42" s="23"/>
      <c r="EG42" s="23"/>
      <c r="EH42" s="23"/>
      <c r="EI42" s="23"/>
      <c r="EJ42" s="23"/>
      <c r="EK42" s="23"/>
      <c r="EL42" s="23"/>
      <c r="EM42" s="23"/>
      <c r="EN42" s="23"/>
      <c r="EO42" s="23"/>
      <c r="EP42" s="23"/>
      <c r="EQ42" s="23"/>
      <c r="ER42" s="34"/>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c r="IT42" s="23"/>
      <c r="IU42" s="23"/>
      <c r="IV42" s="23"/>
      <c r="IW42" s="23"/>
      <c r="IX42" s="23"/>
      <c r="IY42" s="23"/>
      <c r="IZ42" s="23"/>
      <c r="JA42" s="23"/>
      <c r="JB42" s="23"/>
      <c r="JC42" s="23"/>
      <c r="JD42" s="23"/>
      <c r="JE42" s="23"/>
      <c r="JF42" s="23"/>
      <c r="JG42" s="34"/>
      <c r="JH42" s="23"/>
      <c r="JI42" s="23"/>
      <c r="JJ42" s="23"/>
      <c r="JK42" s="23"/>
      <c r="JL42" s="23"/>
      <c r="JM42" s="23"/>
      <c r="JN42" s="23"/>
      <c r="JO42" s="23"/>
      <c r="JP42" s="23"/>
      <c r="JQ42" s="23"/>
      <c r="JR42" s="23"/>
      <c r="JS42" s="23"/>
      <c r="JT42" s="23"/>
      <c r="JU42" s="23"/>
      <c r="JV42" s="23"/>
      <c r="JW42" s="23"/>
      <c r="JX42" s="23"/>
      <c r="JY42" s="23"/>
      <c r="JZ42" s="23"/>
      <c r="KA42" s="23"/>
      <c r="KB42" s="34"/>
    </row>
    <row r="43" spans="2:288" ht="15" customHeight="1" x14ac:dyDescent="0.35">
      <c r="B43" s="146" t="s">
        <v>1242</v>
      </c>
      <c r="C43" s="148" t="str">
        <v/>
      </c>
      <c r="D43" s="148" t="str">
        <v/>
      </c>
      <c r="E43" s="148" t="str">
        <v/>
      </c>
      <c r="F43" s="148" t="str">
        <v/>
      </c>
      <c r="G43" s="268" t="str">
        <v/>
      </c>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34"/>
      <c r="DX43" s="23"/>
      <c r="DY43" s="23"/>
      <c r="DZ43" s="23"/>
      <c r="EA43" s="23"/>
      <c r="EB43" s="23"/>
      <c r="EC43" s="23"/>
      <c r="ED43" s="23"/>
      <c r="EE43" s="23"/>
      <c r="EF43" s="23"/>
      <c r="EG43" s="23"/>
      <c r="EH43" s="23"/>
      <c r="EI43" s="23"/>
      <c r="EJ43" s="23"/>
      <c r="EK43" s="23"/>
      <c r="EL43" s="23"/>
      <c r="EM43" s="23"/>
      <c r="EN43" s="23"/>
      <c r="EO43" s="23"/>
      <c r="EP43" s="23"/>
      <c r="EQ43" s="23"/>
      <c r="ER43" s="34"/>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c r="IT43" s="23"/>
      <c r="IU43" s="23"/>
      <c r="IV43" s="23"/>
      <c r="IW43" s="23"/>
      <c r="IX43" s="23"/>
      <c r="IY43" s="23"/>
      <c r="IZ43" s="23"/>
      <c r="JA43" s="23"/>
      <c r="JB43" s="23"/>
      <c r="JC43" s="23"/>
      <c r="JD43" s="23"/>
      <c r="JE43" s="23"/>
      <c r="JF43" s="23"/>
      <c r="JG43" s="34"/>
      <c r="JH43" s="23"/>
      <c r="JI43" s="23"/>
      <c r="JJ43" s="23"/>
      <c r="JK43" s="23"/>
      <c r="JL43" s="23"/>
      <c r="JM43" s="23"/>
      <c r="JN43" s="23"/>
      <c r="JO43" s="23"/>
      <c r="JP43" s="23"/>
      <c r="JQ43" s="23"/>
      <c r="JR43" s="23"/>
      <c r="JS43" s="23"/>
      <c r="JT43" s="23"/>
      <c r="JU43" s="23"/>
      <c r="JV43" s="23"/>
      <c r="JW43" s="23"/>
      <c r="JX43" s="23"/>
      <c r="JY43" s="23"/>
      <c r="JZ43" s="23"/>
      <c r="KA43" s="23"/>
      <c r="KB43" s="34"/>
    </row>
    <row r="44" spans="2:288" ht="15" customHeight="1" x14ac:dyDescent="0.35">
      <c r="B44" s="146" t="s">
        <v>1243</v>
      </c>
      <c r="C44" s="148" t="str">
        <v/>
      </c>
      <c r="D44" s="148" t="str">
        <v/>
      </c>
      <c r="E44" s="148" t="str">
        <v/>
      </c>
      <c r="F44" s="148" t="str">
        <v/>
      </c>
      <c r="G44" s="268" t="str">
        <v/>
      </c>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34"/>
      <c r="DX44" s="23"/>
      <c r="DY44" s="23"/>
      <c r="DZ44" s="23"/>
      <c r="EA44" s="23"/>
      <c r="EB44" s="23"/>
      <c r="EC44" s="23"/>
      <c r="ED44" s="23"/>
      <c r="EE44" s="23"/>
      <c r="EF44" s="23"/>
      <c r="EG44" s="23"/>
      <c r="EH44" s="23"/>
      <c r="EI44" s="23"/>
      <c r="EJ44" s="23"/>
      <c r="EK44" s="23"/>
      <c r="EL44" s="23"/>
      <c r="EM44" s="23"/>
      <c r="EN44" s="23"/>
      <c r="EO44" s="23"/>
      <c r="EP44" s="23"/>
      <c r="EQ44" s="23"/>
      <c r="ER44" s="34"/>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c r="IT44" s="23"/>
      <c r="IU44" s="23"/>
      <c r="IV44" s="23"/>
      <c r="IW44" s="23"/>
      <c r="IX44" s="23"/>
      <c r="IY44" s="23"/>
      <c r="IZ44" s="23"/>
      <c r="JA44" s="23"/>
      <c r="JB44" s="23"/>
      <c r="JC44" s="23"/>
      <c r="JD44" s="23"/>
      <c r="JE44" s="23"/>
      <c r="JF44" s="23"/>
      <c r="JG44" s="34"/>
      <c r="JH44" s="23"/>
      <c r="JI44" s="23"/>
      <c r="JJ44" s="23"/>
      <c r="JK44" s="23"/>
      <c r="JL44" s="23"/>
      <c r="JM44" s="23"/>
      <c r="JN44" s="23"/>
      <c r="JO44" s="23"/>
      <c r="JP44" s="23"/>
      <c r="JQ44" s="23"/>
      <c r="JR44" s="23"/>
      <c r="JS44" s="23"/>
      <c r="JT44" s="23"/>
      <c r="JU44" s="23"/>
      <c r="JV44" s="23"/>
      <c r="JW44" s="23"/>
      <c r="JX44" s="23"/>
      <c r="JY44" s="23"/>
      <c r="JZ44" s="23"/>
      <c r="KA44" s="23"/>
      <c r="KB44" s="34"/>
    </row>
    <row r="45" spans="2:288" ht="15" customHeight="1" x14ac:dyDescent="0.35">
      <c r="B45" s="146" t="s">
        <v>1244</v>
      </c>
      <c r="C45" s="148" t="str">
        <v/>
      </c>
      <c r="D45" s="148" t="str">
        <v/>
      </c>
      <c r="E45" s="148" t="str">
        <v/>
      </c>
      <c r="F45" s="148" t="str">
        <v/>
      </c>
      <c r="G45" s="268" t="str">
        <v/>
      </c>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34"/>
      <c r="DX45" s="23"/>
      <c r="DY45" s="23"/>
      <c r="DZ45" s="23"/>
      <c r="EA45" s="23"/>
      <c r="EB45" s="23"/>
      <c r="EC45" s="23"/>
      <c r="ED45" s="23"/>
      <c r="EE45" s="23"/>
      <c r="EF45" s="23"/>
      <c r="EG45" s="23"/>
      <c r="EH45" s="23"/>
      <c r="EI45" s="23"/>
      <c r="EJ45" s="23"/>
      <c r="EK45" s="23"/>
      <c r="EL45" s="23"/>
      <c r="EM45" s="23"/>
      <c r="EN45" s="23"/>
      <c r="EO45" s="23"/>
      <c r="EP45" s="23"/>
      <c r="EQ45" s="23"/>
      <c r="ER45" s="34"/>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c r="IT45" s="23"/>
      <c r="IU45" s="23"/>
      <c r="IV45" s="23"/>
      <c r="IW45" s="23"/>
      <c r="IX45" s="23"/>
      <c r="IY45" s="23"/>
      <c r="IZ45" s="23"/>
      <c r="JA45" s="23"/>
      <c r="JB45" s="23"/>
      <c r="JC45" s="23"/>
      <c r="JD45" s="23"/>
      <c r="JE45" s="23"/>
      <c r="JF45" s="23"/>
      <c r="JG45" s="34"/>
      <c r="JH45" s="23"/>
      <c r="JI45" s="23"/>
      <c r="JJ45" s="23"/>
      <c r="JK45" s="23"/>
      <c r="JL45" s="23"/>
      <c r="JM45" s="23"/>
      <c r="JN45" s="23"/>
      <c r="JO45" s="23"/>
      <c r="JP45" s="23"/>
      <c r="JQ45" s="23"/>
      <c r="JR45" s="23"/>
      <c r="JS45" s="23"/>
      <c r="JT45" s="23"/>
      <c r="JU45" s="23"/>
      <c r="JV45" s="23"/>
      <c r="JW45" s="23"/>
      <c r="JX45" s="23"/>
      <c r="JY45" s="23"/>
      <c r="JZ45" s="23"/>
      <c r="KA45" s="23"/>
      <c r="KB45" s="34"/>
    </row>
    <row r="46" spans="2:288" ht="15" customHeight="1" x14ac:dyDescent="0.35">
      <c r="B46" s="146" t="s">
        <v>1245</v>
      </c>
      <c r="C46" s="148" t="str">
        <v/>
      </c>
      <c r="D46" s="148" t="str">
        <v/>
      </c>
      <c r="E46" s="148" t="str">
        <v/>
      </c>
      <c r="F46" s="148" t="str">
        <v/>
      </c>
      <c r="G46" s="268" t="str">
        <v/>
      </c>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34"/>
      <c r="DX46" s="23"/>
      <c r="DY46" s="23"/>
      <c r="DZ46" s="23"/>
      <c r="EA46" s="23"/>
      <c r="EB46" s="23"/>
      <c r="EC46" s="23"/>
      <c r="ED46" s="23"/>
      <c r="EE46" s="23"/>
      <c r="EF46" s="23"/>
      <c r="EG46" s="23"/>
      <c r="EH46" s="23"/>
      <c r="EI46" s="23"/>
      <c r="EJ46" s="23"/>
      <c r="EK46" s="23"/>
      <c r="EL46" s="23"/>
      <c r="EM46" s="23"/>
      <c r="EN46" s="23"/>
      <c r="EO46" s="23"/>
      <c r="EP46" s="23"/>
      <c r="EQ46" s="23"/>
      <c r="ER46" s="34"/>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c r="IW46" s="23"/>
      <c r="IX46" s="23"/>
      <c r="IY46" s="23"/>
      <c r="IZ46" s="23"/>
      <c r="JA46" s="23"/>
      <c r="JB46" s="23"/>
      <c r="JC46" s="23"/>
      <c r="JD46" s="23"/>
      <c r="JE46" s="23"/>
      <c r="JF46" s="23"/>
      <c r="JG46" s="34"/>
      <c r="JH46" s="23"/>
      <c r="JI46" s="23"/>
      <c r="JJ46" s="23"/>
      <c r="JK46" s="23"/>
      <c r="JL46" s="23"/>
      <c r="JM46" s="23"/>
      <c r="JN46" s="23"/>
      <c r="JO46" s="23"/>
      <c r="JP46" s="23"/>
      <c r="JQ46" s="23"/>
      <c r="JR46" s="23"/>
      <c r="JS46" s="23"/>
      <c r="JT46" s="23"/>
      <c r="JU46" s="23"/>
      <c r="JV46" s="23"/>
      <c r="JW46" s="23"/>
      <c r="JX46" s="23"/>
      <c r="JY46" s="23"/>
      <c r="JZ46" s="23"/>
      <c r="KA46" s="23"/>
      <c r="KB46" s="34"/>
    </row>
    <row r="47" spans="2:288" ht="15" customHeight="1" x14ac:dyDescent="0.35">
      <c r="B47" s="146" t="s">
        <v>1246</v>
      </c>
      <c r="C47" s="148" t="str">
        <v/>
      </c>
      <c r="D47" s="148" t="str">
        <v/>
      </c>
      <c r="E47" s="148" t="str">
        <v/>
      </c>
      <c r="F47" s="148" t="str">
        <v/>
      </c>
      <c r="G47" s="268" t="str">
        <v/>
      </c>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34"/>
      <c r="DX47" s="23"/>
      <c r="DY47" s="23"/>
      <c r="DZ47" s="23"/>
      <c r="EA47" s="23"/>
      <c r="EB47" s="23"/>
      <c r="EC47" s="23"/>
      <c r="ED47" s="23"/>
      <c r="EE47" s="23"/>
      <c r="EF47" s="23"/>
      <c r="EG47" s="23"/>
      <c r="EH47" s="23"/>
      <c r="EI47" s="23"/>
      <c r="EJ47" s="23"/>
      <c r="EK47" s="23"/>
      <c r="EL47" s="23"/>
      <c r="EM47" s="23"/>
      <c r="EN47" s="23"/>
      <c r="EO47" s="23"/>
      <c r="EP47" s="23"/>
      <c r="EQ47" s="23"/>
      <c r="ER47" s="34"/>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c r="IU47" s="23"/>
      <c r="IV47" s="23"/>
      <c r="IW47" s="23"/>
      <c r="IX47" s="23"/>
      <c r="IY47" s="23"/>
      <c r="IZ47" s="23"/>
      <c r="JA47" s="23"/>
      <c r="JB47" s="23"/>
      <c r="JC47" s="23"/>
      <c r="JD47" s="23"/>
      <c r="JE47" s="23"/>
      <c r="JF47" s="23"/>
      <c r="JG47" s="34"/>
      <c r="JH47" s="23"/>
      <c r="JI47" s="23"/>
      <c r="JJ47" s="23"/>
      <c r="JK47" s="23"/>
      <c r="JL47" s="23"/>
      <c r="JM47" s="23"/>
      <c r="JN47" s="23"/>
      <c r="JO47" s="23"/>
      <c r="JP47" s="23"/>
      <c r="JQ47" s="23"/>
      <c r="JR47" s="23"/>
      <c r="JS47" s="23"/>
      <c r="JT47" s="23"/>
      <c r="JU47" s="23"/>
      <c r="JV47" s="23"/>
      <c r="JW47" s="23"/>
      <c r="JX47" s="23"/>
      <c r="JY47" s="23"/>
      <c r="JZ47" s="23"/>
      <c r="KA47" s="23"/>
      <c r="KB47" s="34"/>
    </row>
    <row r="48" spans="2:288" ht="15" customHeight="1" x14ac:dyDescent="0.35">
      <c r="B48" s="146" t="s">
        <v>1247</v>
      </c>
      <c r="C48" s="148" t="str">
        <v/>
      </c>
      <c r="D48" s="148" t="str">
        <v/>
      </c>
      <c r="E48" s="148" t="str">
        <v/>
      </c>
      <c r="F48" s="148" t="str">
        <v/>
      </c>
      <c r="G48" s="268" t="str">
        <v/>
      </c>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34"/>
      <c r="DX48" s="23"/>
      <c r="DY48" s="23"/>
      <c r="DZ48" s="23"/>
      <c r="EA48" s="23"/>
      <c r="EB48" s="23"/>
      <c r="EC48" s="23"/>
      <c r="ED48" s="23"/>
      <c r="EE48" s="23"/>
      <c r="EF48" s="23"/>
      <c r="EG48" s="23"/>
      <c r="EH48" s="23"/>
      <c r="EI48" s="23"/>
      <c r="EJ48" s="23"/>
      <c r="EK48" s="23"/>
      <c r="EL48" s="23"/>
      <c r="EM48" s="23"/>
      <c r="EN48" s="23"/>
      <c r="EO48" s="23"/>
      <c r="EP48" s="23"/>
      <c r="EQ48" s="23"/>
      <c r="ER48" s="34"/>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c r="IU48" s="23"/>
      <c r="IV48" s="23"/>
      <c r="IW48" s="23"/>
      <c r="IX48" s="23"/>
      <c r="IY48" s="23"/>
      <c r="IZ48" s="23"/>
      <c r="JA48" s="23"/>
      <c r="JB48" s="23"/>
      <c r="JC48" s="23"/>
      <c r="JD48" s="23"/>
      <c r="JE48" s="23"/>
      <c r="JF48" s="23"/>
      <c r="JG48" s="34"/>
      <c r="JH48" s="23"/>
      <c r="JI48" s="23"/>
      <c r="JJ48" s="23"/>
      <c r="JK48" s="23"/>
      <c r="JL48" s="23"/>
      <c r="JM48" s="23"/>
      <c r="JN48" s="23"/>
      <c r="JO48" s="23"/>
      <c r="JP48" s="23"/>
      <c r="JQ48" s="23"/>
      <c r="JR48" s="23"/>
      <c r="JS48" s="23"/>
      <c r="JT48" s="23"/>
      <c r="JU48" s="23"/>
      <c r="JV48" s="23"/>
      <c r="JW48" s="23"/>
      <c r="JX48" s="23"/>
      <c r="JY48" s="23"/>
      <c r="JZ48" s="23"/>
      <c r="KA48" s="23"/>
      <c r="KB48" s="34"/>
    </row>
    <row r="49" spans="2:288" ht="15" customHeight="1" x14ac:dyDescent="0.35">
      <c r="B49" s="146" t="s">
        <v>1248</v>
      </c>
      <c r="C49" s="148" t="str">
        <v/>
      </c>
      <c r="D49" s="148" t="str">
        <v/>
      </c>
      <c r="E49" s="148" t="str">
        <v/>
      </c>
      <c r="F49" s="148" t="str">
        <v/>
      </c>
      <c r="G49" s="268" t="str">
        <v/>
      </c>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34"/>
      <c r="DX49" s="23"/>
      <c r="DY49" s="23"/>
      <c r="DZ49" s="23"/>
      <c r="EA49" s="23"/>
      <c r="EB49" s="23"/>
      <c r="EC49" s="23"/>
      <c r="ED49" s="23"/>
      <c r="EE49" s="23"/>
      <c r="EF49" s="23"/>
      <c r="EG49" s="23"/>
      <c r="EH49" s="23"/>
      <c r="EI49" s="23"/>
      <c r="EJ49" s="23"/>
      <c r="EK49" s="23"/>
      <c r="EL49" s="23"/>
      <c r="EM49" s="23"/>
      <c r="EN49" s="23"/>
      <c r="EO49" s="23"/>
      <c r="EP49" s="23"/>
      <c r="EQ49" s="23"/>
      <c r="ER49" s="34"/>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c r="IT49" s="23"/>
      <c r="IU49" s="23"/>
      <c r="IV49" s="23"/>
      <c r="IW49" s="23"/>
      <c r="IX49" s="23"/>
      <c r="IY49" s="23"/>
      <c r="IZ49" s="23"/>
      <c r="JA49" s="23"/>
      <c r="JB49" s="23"/>
      <c r="JC49" s="23"/>
      <c r="JD49" s="23"/>
      <c r="JE49" s="23"/>
      <c r="JF49" s="23"/>
      <c r="JG49" s="34"/>
      <c r="JH49" s="23"/>
      <c r="JI49" s="23"/>
      <c r="JJ49" s="23"/>
      <c r="JK49" s="23"/>
      <c r="JL49" s="23"/>
      <c r="JM49" s="23"/>
      <c r="JN49" s="23"/>
      <c r="JO49" s="23"/>
      <c r="JP49" s="23"/>
      <c r="JQ49" s="23"/>
      <c r="JR49" s="23"/>
      <c r="JS49" s="23"/>
      <c r="JT49" s="23"/>
      <c r="JU49" s="23"/>
      <c r="JV49" s="23"/>
      <c r="JW49" s="23"/>
      <c r="JX49" s="23"/>
      <c r="JY49" s="23"/>
      <c r="JZ49" s="23"/>
      <c r="KA49" s="23"/>
      <c r="KB49" s="34"/>
    </row>
    <row r="50" spans="2:288" ht="15" customHeight="1" x14ac:dyDescent="0.35">
      <c r="B50" s="146" t="s">
        <v>1249</v>
      </c>
      <c r="C50" s="148" t="str">
        <v/>
      </c>
      <c r="D50" s="148" t="str">
        <v/>
      </c>
      <c r="E50" s="148" t="str">
        <v/>
      </c>
      <c r="F50" s="148" t="str">
        <v/>
      </c>
      <c r="G50" s="268" t="str">
        <v/>
      </c>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34"/>
      <c r="DX50" s="23"/>
      <c r="DY50" s="23"/>
      <c r="DZ50" s="23"/>
      <c r="EA50" s="23"/>
      <c r="EB50" s="23"/>
      <c r="EC50" s="23"/>
      <c r="ED50" s="23"/>
      <c r="EE50" s="23"/>
      <c r="EF50" s="23"/>
      <c r="EG50" s="23"/>
      <c r="EH50" s="23"/>
      <c r="EI50" s="23"/>
      <c r="EJ50" s="23"/>
      <c r="EK50" s="23"/>
      <c r="EL50" s="23"/>
      <c r="EM50" s="23"/>
      <c r="EN50" s="23"/>
      <c r="EO50" s="23"/>
      <c r="EP50" s="23"/>
      <c r="EQ50" s="23"/>
      <c r="ER50" s="34"/>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c r="IT50" s="23"/>
      <c r="IU50" s="23"/>
      <c r="IV50" s="23"/>
      <c r="IW50" s="23"/>
      <c r="IX50" s="23"/>
      <c r="IY50" s="23"/>
      <c r="IZ50" s="23"/>
      <c r="JA50" s="23"/>
      <c r="JB50" s="23"/>
      <c r="JC50" s="23"/>
      <c r="JD50" s="23"/>
      <c r="JE50" s="23"/>
      <c r="JF50" s="23"/>
      <c r="JG50" s="34"/>
      <c r="JH50" s="23"/>
      <c r="JI50" s="23"/>
      <c r="JJ50" s="23"/>
      <c r="JK50" s="23"/>
      <c r="JL50" s="23"/>
      <c r="JM50" s="23"/>
      <c r="JN50" s="23"/>
      <c r="JO50" s="23"/>
      <c r="JP50" s="23"/>
      <c r="JQ50" s="23"/>
      <c r="JR50" s="23"/>
      <c r="JS50" s="23"/>
      <c r="JT50" s="23"/>
      <c r="JU50" s="23"/>
      <c r="JV50" s="23"/>
      <c r="JW50" s="23"/>
      <c r="JX50" s="23"/>
      <c r="JY50" s="23"/>
      <c r="JZ50" s="23"/>
      <c r="KA50" s="23"/>
      <c r="KB50" s="34"/>
    </row>
    <row r="51" spans="2:288" ht="15" customHeight="1" x14ac:dyDescent="0.35">
      <c r="B51" s="146" t="s">
        <v>1250</v>
      </c>
      <c r="C51" s="148" t="str">
        <v/>
      </c>
      <c r="D51" s="148" t="str">
        <v/>
      </c>
      <c r="E51" s="148" t="str">
        <v/>
      </c>
      <c r="F51" s="148" t="str">
        <v/>
      </c>
      <c r="G51" s="268" t="str">
        <v/>
      </c>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34"/>
      <c r="DX51" s="23"/>
      <c r="DY51" s="23"/>
      <c r="DZ51" s="23"/>
      <c r="EA51" s="23"/>
      <c r="EB51" s="23"/>
      <c r="EC51" s="23"/>
      <c r="ED51" s="23"/>
      <c r="EE51" s="23"/>
      <c r="EF51" s="23"/>
      <c r="EG51" s="23"/>
      <c r="EH51" s="23"/>
      <c r="EI51" s="23"/>
      <c r="EJ51" s="23"/>
      <c r="EK51" s="23"/>
      <c r="EL51" s="23"/>
      <c r="EM51" s="23"/>
      <c r="EN51" s="23"/>
      <c r="EO51" s="23"/>
      <c r="EP51" s="23"/>
      <c r="EQ51" s="23"/>
      <c r="ER51" s="34"/>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c r="IT51" s="23"/>
      <c r="IU51" s="23"/>
      <c r="IV51" s="23"/>
      <c r="IW51" s="23"/>
      <c r="IX51" s="23"/>
      <c r="IY51" s="23"/>
      <c r="IZ51" s="23"/>
      <c r="JA51" s="23"/>
      <c r="JB51" s="23"/>
      <c r="JC51" s="23"/>
      <c r="JD51" s="23"/>
      <c r="JE51" s="23"/>
      <c r="JF51" s="23"/>
      <c r="JG51" s="34"/>
      <c r="JH51" s="23"/>
      <c r="JI51" s="23"/>
      <c r="JJ51" s="23"/>
      <c r="JK51" s="23"/>
      <c r="JL51" s="23"/>
      <c r="JM51" s="23"/>
      <c r="JN51" s="23"/>
      <c r="JO51" s="23"/>
      <c r="JP51" s="23"/>
      <c r="JQ51" s="23"/>
      <c r="JR51" s="23"/>
      <c r="JS51" s="23"/>
      <c r="JT51" s="23"/>
      <c r="JU51" s="23"/>
      <c r="JV51" s="23"/>
      <c r="JW51" s="23"/>
      <c r="JX51" s="23"/>
      <c r="JY51" s="23"/>
      <c r="JZ51" s="23"/>
      <c r="KA51" s="23"/>
      <c r="KB51" s="34"/>
    </row>
    <row r="52" spans="2:288" ht="15" customHeight="1" x14ac:dyDescent="0.35">
      <c r="B52" s="146" t="s">
        <v>1251</v>
      </c>
      <c r="C52" s="148" t="str">
        <v/>
      </c>
      <c r="D52" s="148" t="str">
        <v/>
      </c>
      <c r="E52" s="148" t="str">
        <v/>
      </c>
      <c r="F52" s="148" t="str">
        <v/>
      </c>
      <c r="G52" s="268" t="str">
        <v/>
      </c>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34"/>
      <c r="DX52" s="23"/>
      <c r="DY52" s="23"/>
      <c r="DZ52" s="23"/>
      <c r="EA52" s="23"/>
      <c r="EB52" s="23"/>
      <c r="EC52" s="23"/>
      <c r="ED52" s="23"/>
      <c r="EE52" s="23"/>
      <c r="EF52" s="23"/>
      <c r="EG52" s="23"/>
      <c r="EH52" s="23"/>
      <c r="EI52" s="23"/>
      <c r="EJ52" s="23"/>
      <c r="EK52" s="23"/>
      <c r="EL52" s="23"/>
      <c r="EM52" s="23"/>
      <c r="EN52" s="23"/>
      <c r="EO52" s="23"/>
      <c r="EP52" s="23"/>
      <c r="EQ52" s="23"/>
      <c r="ER52" s="34"/>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c r="JB52" s="23"/>
      <c r="JC52" s="23"/>
      <c r="JD52" s="23"/>
      <c r="JE52" s="23"/>
      <c r="JF52" s="23"/>
      <c r="JG52" s="34"/>
      <c r="JH52" s="23"/>
      <c r="JI52" s="23"/>
      <c r="JJ52" s="23"/>
      <c r="JK52" s="23"/>
      <c r="JL52" s="23"/>
      <c r="JM52" s="23"/>
      <c r="JN52" s="23"/>
      <c r="JO52" s="23"/>
      <c r="JP52" s="23"/>
      <c r="JQ52" s="23"/>
      <c r="JR52" s="23"/>
      <c r="JS52" s="23"/>
      <c r="JT52" s="23"/>
      <c r="JU52" s="23"/>
      <c r="JV52" s="23"/>
      <c r="JW52" s="23"/>
      <c r="JX52" s="23"/>
      <c r="JY52" s="23"/>
      <c r="JZ52" s="23"/>
      <c r="KA52" s="23"/>
      <c r="KB52" s="34"/>
    </row>
    <row r="53" spans="2:288" ht="15" customHeight="1" x14ac:dyDescent="0.35">
      <c r="B53" s="146" t="s">
        <v>1252</v>
      </c>
      <c r="C53" s="148" t="str">
        <v/>
      </c>
      <c r="D53" s="148" t="str">
        <v/>
      </c>
      <c r="E53" s="148" t="str">
        <v/>
      </c>
      <c r="F53" s="148" t="str">
        <v/>
      </c>
      <c r="G53" s="268" t="str">
        <v/>
      </c>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34"/>
      <c r="DX53" s="23"/>
      <c r="DY53" s="23"/>
      <c r="DZ53" s="23"/>
      <c r="EA53" s="23"/>
      <c r="EB53" s="23"/>
      <c r="EC53" s="23"/>
      <c r="ED53" s="23"/>
      <c r="EE53" s="23"/>
      <c r="EF53" s="23"/>
      <c r="EG53" s="23"/>
      <c r="EH53" s="23"/>
      <c r="EI53" s="23"/>
      <c r="EJ53" s="23"/>
      <c r="EK53" s="23"/>
      <c r="EL53" s="23"/>
      <c r="EM53" s="23"/>
      <c r="EN53" s="23"/>
      <c r="EO53" s="23"/>
      <c r="EP53" s="23"/>
      <c r="EQ53" s="23"/>
      <c r="ER53" s="34"/>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c r="IU53" s="23"/>
      <c r="IV53" s="23"/>
      <c r="IW53" s="23"/>
      <c r="IX53" s="23"/>
      <c r="IY53" s="23"/>
      <c r="IZ53" s="23"/>
      <c r="JA53" s="23"/>
      <c r="JB53" s="23"/>
      <c r="JC53" s="23"/>
      <c r="JD53" s="23"/>
      <c r="JE53" s="23"/>
      <c r="JF53" s="23"/>
      <c r="JG53" s="34"/>
      <c r="JH53" s="23"/>
      <c r="JI53" s="23"/>
      <c r="JJ53" s="23"/>
      <c r="JK53" s="23"/>
      <c r="JL53" s="23"/>
      <c r="JM53" s="23"/>
      <c r="JN53" s="23"/>
      <c r="JO53" s="23"/>
      <c r="JP53" s="23"/>
      <c r="JQ53" s="23"/>
      <c r="JR53" s="23"/>
      <c r="JS53" s="23"/>
      <c r="JT53" s="23"/>
      <c r="JU53" s="23"/>
      <c r="JV53" s="23"/>
      <c r="JW53" s="23"/>
      <c r="JX53" s="23"/>
      <c r="JY53" s="23"/>
      <c r="JZ53" s="23"/>
      <c r="KA53" s="23"/>
      <c r="KB53" s="34"/>
    </row>
    <row r="54" spans="2:288" ht="15" customHeight="1" x14ac:dyDescent="0.35">
      <c r="B54" s="146" t="s">
        <v>1253</v>
      </c>
      <c r="C54" s="148" t="str">
        <v/>
      </c>
      <c r="D54" s="148" t="str">
        <v/>
      </c>
      <c r="E54" s="148" t="str">
        <v/>
      </c>
      <c r="F54" s="148" t="str">
        <v/>
      </c>
      <c r="G54" s="268" t="str">
        <v/>
      </c>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34"/>
      <c r="DX54" s="23"/>
      <c r="DY54" s="23"/>
      <c r="DZ54" s="23"/>
      <c r="EA54" s="23"/>
      <c r="EB54" s="23"/>
      <c r="EC54" s="23"/>
      <c r="ED54" s="23"/>
      <c r="EE54" s="23"/>
      <c r="EF54" s="23"/>
      <c r="EG54" s="23"/>
      <c r="EH54" s="23"/>
      <c r="EI54" s="23"/>
      <c r="EJ54" s="23"/>
      <c r="EK54" s="23"/>
      <c r="EL54" s="23"/>
      <c r="EM54" s="23"/>
      <c r="EN54" s="23"/>
      <c r="EO54" s="23"/>
      <c r="EP54" s="23"/>
      <c r="EQ54" s="23"/>
      <c r="ER54" s="34"/>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34"/>
      <c r="JH54" s="23"/>
      <c r="JI54" s="23"/>
      <c r="JJ54" s="23"/>
      <c r="JK54" s="23"/>
      <c r="JL54" s="23"/>
      <c r="JM54" s="23"/>
      <c r="JN54" s="23"/>
      <c r="JO54" s="23"/>
      <c r="JP54" s="23"/>
      <c r="JQ54" s="23"/>
      <c r="JR54" s="23"/>
      <c r="JS54" s="23"/>
      <c r="JT54" s="23"/>
      <c r="JU54" s="23"/>
      <c r="JV54" s="23"/>
      <c r="JW54" s="23"/>
      <c r="JX54" s="23"/>
      <c r="JY54" s="23"/>
      <c r="JZ54" s="23"/>
      <c r="KA54" s="23"/>
      <c r="KB54" s="34"/>
    </row>
    <row r="55" spans="2:288" ht="15" customHeight="1" x14ac:dyDescent="0.35">
      <c r="B55" s="146" t="s">
        <v>1254</v>
      </c>
      <c r="C55" s="148" t="str">
        <v/>
      </c>
      <c r="D55" s="148" t="str">
        <v/>
      </c>
      <c r="E55" s="148" t="str">
        <v/>
      </c>
      <c r="F55" s="148" t="str">
        <v/>
      </c>
      <c r="G55" s="268" t="str">
        <v/>
      </c>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34"/>
      <c r="DX55" s="23"/>
      <c r="DY55" s="23"/>
      <c r="DZ55" s="23"/>
      <c r="EA55" s="23"/>
      <c r="EB55" s="23"/>
      <c r="EC55" s="23"/>
      <c r="ED55" s="23"/>
      <c r="EE55" s="23"/>
      <c r="EF55" s="23"/>
      <c r="EG55" s="23"/>
      <c r="EH55" s="23"/>
      <c r="EI55" s="23"/>
      <c r="EJ55" s="23"/>
      <c r="EK55" s="23"/>
      <c r="EL55" s="23"/>
      <c r="EM55" s="23"/>
      <c r="EN55" s="23"/>
      <c r="EO55" s="23"/>
      <c r="EP55" s="23"/>
      <c r="EQ55" s="23"/>
      <c r="ER55" s="34"/>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c r="IV55" s="23"/>
      <c r="IW55" s="23"/>
      <c r="IX55" s="23"/>
      <c r="IY55" s="23"/>
      <c r="IZ55" s="23"/>
      <c r="JA55" s="23"/>
      <c r="JB55" s="23"/>
      <c r="JC55" s="23"/>
      <c r="JD55" s="23"/>
      <c r="JE55" s="23"/>
      <c r="JF55" s="23"/>
      <c r="JG55" s="34"/>
      <c r="JH55" s="23"/>
      <c r="JI55" s="23"/>
      <c r="JJ55" s="23"/>
      <c r="JK55" s="23"/>
      <c r="JL55" s="23"/>
      <c r="JM55" s="23"/>
      <c r="JN55" s="23"/>
      <c r="JO55" s="23"/>
      <c r="JP55" s="23"/>
      <c r="JQ55" s="23"/>
      <c r="JR55" s="23"/>
      <c r="JS55" s="23"/>
      <c r="JT55" s="23"/>
      <c r="JU55" s="23"/>
      <c r="JV55" s="23"/>
      <c r="JW55" s="23"/>
      <c r="JX55" s="23"/>
      <c r="JY55" s="23"/>
      <c r="JZ55" s="23"/>
      <c r="KA55" s="23"/>
      <c r="KB55" s="34"/>
    </row>
    <row r="56" spans="2:288" ht="15" customHeight="1" x14ac:dyDescent="0.35">
      <c r="B56" s="146" t="s">
        <v>1255</v>
      </c>
      <c r="C56" s="148" t="str">
        <v/>
      </c>
      <c r="D56" s="148" t="str">
        <v/>
      </c>
      <c r="E56" s="148" t="str">
        <v/>
      </c>
      <c r="F56" s="148" t="str">
        <v/>
      </c>
      <c r="G56" s="268" t="str">
        <v/>
      </c>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34"/>
      <c r="DX56" s="23"/>
      <c r="DY56" s="23"/>
      <c r="DZ56" s="23"/>
      <c r="EA56" s="23"/>
      <c r="EB56" s="23"/>
      <c r="EC56" s="23"/>
      <c r="ED56" s="23"/>
      <c r="EE56" s="23"/>
      <c r="EF56" s="23"/>
      <c r="EG56" s="23"/>
      <c r="EH56" s="23"/>
      <c r="EI56" s="23"/>
      <c r="EJ56" s="23"/>
      <c r="EK56" s="23"/>
      <c r="EL56" s="23"/>
      <c r="EM56" s="23"/>
      <c r="EN56" s="23"/>
      <c r="EO56" s="23"/>
      <c r="EP56" s="23"/>
      <c r="EQ56" s="23"/>
      <c r="ER56" s="34"/>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c r="JB56" s="23"/>
      <c r="JC56" s="23"/>
      <c r="JD56" s="23"/>
      <c r="JE56" s="23"/>
      <c r="JF56" s="23"/>
      <c r="JG56" s="34"/>
      <c r="JH56" s="23"/>
      <c r="JI56" s="23"/>
      <c r="JJ56" s="23"/>
      <c r="JK56" s="23"/>
      <c r="JL56" s="23"/>
      <c r="JM56" s="23"/>
      <c r="JN56" s="23"/>
      <c r="JO56" s="23"/>
      <c r="JP56" s="23"/>
      <c r="JQ56" s="23"/>
      <c r="JR56" s="23"/>
      <c r="JS56" s="23"/>
      <c r="JT56" s="23"/>
      <c r="JU56" s="23"/>
      <c r="JV56" s="23"/>
      <c r="JW56" s="23"/>
      <c r="JX56" s="23"/>
      <c r="JY56" s="23"/>
      <c r="JZ56" s="23"/>
      <c r="KA56" s="23"/>
      <c r="KB56" s="34"/>
    </row>
    <row r="57" spans="2:288" ht="15" customHeight="1" x14ac:dyDescent="0.35">
      <c r="B57" s="146" t="s">
        <v>1256</v>
      </c>
      <c r="C57" s="148" t="str">
        <v/>
      </c>
      <c r="D57" s="148" t="str">
        <v/>
      </c>
      <c r="E57" s="148" t="str">
        <v/>
      </c>
      <c r="F57" s="148" t="str">
        <v/>
      </c>
      <c r="G57" s="268" t="str">
        <v/>
      </c>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34"/>
      <c r="DX57" s="23"/>
      <c r="DY57" s="23"/>
      <c r="DZ57" s="23"/>
      <c r="EA57" s="23"/>
      <c r="EB57" s="23"/>
      <c r="EC57" s="23"/>
      <c r="ED57" s="23"/>
      <c r="EE57" s="23"/>
      <c r="EF57" s="23"/>
      <c r="EG57" s="23"/>
      <c r="EH57" s="23"/>
      <c r="EI57" s="23"/>
      <c r="EJ57" s="23"/>
      <c r="EK57" s="23"/>
      <c r="EL57" s="23"/>
      <c r="EM57" s="23"/>
      <c r="EN57" s="23"/>
      <c r="EO57" s="23"/>
      <c r="EP57" s="23"/>
      <c r="EQ57" s="23"/>
      <c r="ER57" s="34"/>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c r="IT57" s="23"/>
      <c r="IU57" s="23"/>
      <c r="IV57" s="23"/>
      <c r="IW57" s="23"/>
      <c r="IX57" s="23"/>
      <c r="IY57" s="23"/>
      <c r="IZ57" s="23"/>
      <c r="JA57" s="23"/>
      <c r="JB57" s="23"/>
      <c r="JC57" s="23"/>
      <c r="JD57" s="23"/>
      <c r="JE57" s="23"/>
      <c r="JF57" s="23"/>
      <c r="JG57" s="34"/>
      <c r="JH57" s="23"/>
      <c r="JI57" s="23"/>
      <c r="JJ57" s="23"/>
      <c r="JK57" s="23"/>
      <c r="JL57" s="23"/>
      <c r="JM57" s="23"/>
      <c r="JN57" s="23"/>
      <c r="JO57" s="23"/>
      <c r="JP57" s="23"/>
      <c r="JQ57" s="23"/>
      <c r="JR57" s="23"/>
      <c r="JS57" s="23"/>
      <c r="JT57" s="23"/>
      <c r="JU57" s="23"/>
      <c r="JV57" s="23"/>
      <c r="JW57" s="23"/>
      <c r="JX57" s="23"/>
      <c r="JY57" s="23"/>
      <c r="JZ57" s="23"/>
      <c r="KA57" s="23"/>
      <c r="KB57" s="34"/>
    </row>
    <row r="58" spans="2:288" ht="15" customHeight="1" x14ac:dyDescent="0.35">
      <c r="B58" s="146" t="s">
        <v>1257</v>
      </c>
      <c r="C58" s="148" t="str">
        <v/>
      </c>
      <c r="D58" s="148" t="str">
        <v/>
      </c>
      <c r="E58" s="148" t="str">
        <v/>
      </c>
      <c r="F58" s="148" t="str">
        <v/>
      </c>
      <c r="G58" s="268" t="str">
        <v/>
      </c>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34"/>
      <c r="DX58" s="23"/>
      <c r="DY58" s="23"/>
      <c r="DZ58" s="23"/>
      <c r="EA58" s="23"/>
      <c r="EB58" s="23"/>
      <c r="EC58" s="23"/>
      <c r="ED58" s="23"/>
      <c r="EE58" s="23"/>
      <c r="EF58" s="23"/>
      <c r="EG58" s="23"/>
      <c r="EH58" s="23"/>
      <c r="EI58" s="23"/>
      <c r="EJ58" s="23"/>
      <c r="EK58" s="23"/>
      <c r="EL58" s="23"/>
      <c r="EM58" s="23"/>
      <c r="EN58" s="23"/>
      <c r="EO58" s="23"/>
      <c r="EP58" s="23"/>
      <c r="EQ58" s="23"/>
      <c r="ER58" s="34"/>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c r="JB58" s="23"/>
      <c r="JC58" s="23"/>
      <c r="JD58" s="23"/>
      <c r="JE58" s="23"/>
      <c r="JF58" s="23"/>
      <c r="JG58" s="34"/>
      <c r="JH58" s="23"/>
      <c r="JI58" s="23"/>
      <c r="JJ58" s="23"/>
      <c r="JK58" s="23"/>
      <c r="JL58" s="23"/>
      <c r="JM58" s="23"/>
      <c r="JN58" s="23"/>
      <c r="JO58" s="23"/>
      <c r="JP58" s="23"/>
      <c r="JQ58" s="23"/>
      <c r="JR58" s="23"/>
      <c r="JS58" s="23"/>
      <c r="JT58" s="23"/>
      <c r="JU58" s="23"/>
      <c r="JV58" s="23"/>
      <c r="JW58" s="23"/>
      <c r="JX58" s="23"/>
      <c r="JY58" s="23"/>
      <c r="JZ58" s="23"/>
      <c r="KA58" s="23"/>
      <c r="KB58" s="34"/>
    </row>
    <row r="59" spans="2:288" ht="15" customHeight="1" x14ac:dyDescent="0.35">
      <c r="B59" s="146" t="s">
        <v>1258</v>
      </c>
      <c r="C59" s="148" t="str">
        <v/>
      </c>
      <c r="D59" s="148" t="str">
        <v/>
      </c>
      <c r="E59" s="148" t="str">
        <v/>
      </c>
      <c r="F59" s="148" t="str">
        <v/>
      </c>
      <c r="G59" s="268" t="str">
        <v/>
      </c>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34"/>
      <c r="DX59" s="23"/>
      <c r="DY59" s="23"/>
      <c r="DZ59" s="23"/>
      <c r="EA59" s="23"/>
      <c r="EB59" s="23"/>
      <c r="EC59" s="23"/>
      <c r="ED59" s="23"/>
      <c r="EE59" s="23"/>
      <c r="EF59" s="23"/>
      <c r="EG59" s="23"/>
      <c r="EH59" s="23"/>
      <c r="EI59" s="23"/>
      <c r="EJ59" s="23"/>
      <c r="EK59" s="23"/>
      <c r="EL59" s="23"/>
      <c r="EM59" s="23"/>
      <c r="EN59" s="23"/>
      <c r="EO59" s="23"/>
      <c r="EP59" s="23"/>
      <c r="EQ59" s="23"/>
      <c r="ER59" s="34"/>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c r="JB59" s="23"/>
      <c r="JC59" s="23"/>
      <c r="JD59" s="23"/>
      <c r="JE59" s="23"/>
      <c r="JF59" s="23"/>
      <c r="JG59" s="34"/>
      <c r="JH59" s="23"/>
      <c r="JI59" s="23"/>
      <c r="JJ59" s="23"/>
      <c r="JK59" s="23"/>
      <c r="JL59" s="23"/>
      <c r="JM59" s="23"/>
      <c r="JN59" s="23"/>
      <c r="JO59" s="23"/>
      <c r="JP59" s="23"/>
      <c r="JQ59" s="23"/>
      <c r="JR59" s="23"/>
      <c r="JS59" s="23"/>
      <c r="JT59" s="23"/>
      <c r="JU59" s="23"/>
      <c r="JV59" s="23"/>
      <c r="JW59" s="23"/>
      <c r="JX59" s="23"/>
      <c r="JY59" s="23"/>
      <c r="JZ59" s="23"/>
      <c r="KA59" s="23"/>
      <c r="KB59" s="34"/>
    </row>
    <row r="60" spans="2:288" ht="15" customHeight="1" x14ac:dyDescent="0.35">
      <c r="B60" s="146" t="s">
        <v>1259</v>
      </c>
      <c r="C60" s="148" t="str">
        <v/>
      </c>
      <c r="D60" s="148" t="str">
        <v/>
      </c>
      <c r="E60" s="148" t="str">
        <v/>
      </c>
      <c r="F60" s="148" t="str">
        <v/>
      </c>
      <c r="G60" s="268" t="str">
        <v/>
      </c>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34"/>
      <c r="DX60" s="23"/>
      <c r="DY60" s="23"/>
      <c r="DZ60" s="23"/>
      <c r="EA60" s="23"/>
      <c r="EB60" s="23"/>
      <c r="EC60" s="23"/>
      <c r="ED60" s="23"/>
      <c r="EE60" s="23"/>
      <c r="EF60" s="23"/>
      <c r="EG60" s="23"/>
      <c r="EH60" s="23"/>
      <c r="EI60" s="23"/>
      <c r="EJ60" s="23"/>
      <c r="EK60" s="23"/>
      <c r="EL60" s="23"/>
      <c r="EM60" s="23"/>
      <c r="EN60" s="23"/>
      <c r="EO60" s="23"/>
      <c r="EP60" s="23"/>
      <c r="EQ60" s="23"/>
      <c r="ER60" s="34"/>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c r="IW60" s="23"/>
      <c r="IX60" s="23"/>
      <c r="IY60" s="23"/>
      <c r="IZ60" s="23"/>
      <c r="JA60" s="23"/>
      <c r="JB60" s="23"/>
      <c r="JC60" s="23"/>
      <c r="JD60" s="23"/>
      <c r="JE60" s="23"/>
      <c r="JF60" s="23"/>
      <c r="JG60" s="34"/>
      <c r="JH60" s="23"/>
      <c r="JI60" s="23"/>
      <c r="JJ60" s="23"/>
      <c r="JK60" s="23"/>
      <c r="JL60" s="23"/>
      <c r="JM60" s="23"/>
      <c r="JN60" s="23"/>
      <c r="JO60" s="23"/>
      <c r="JP60" s="23"/>
      <c r="JQ60" s="23"/>
      <c r="JR60" s="23"/>
      <c r="JS60" s="23"/>
      <c r="JT60" s="23"/>
      <c r="JU60" s="23"/>
      <c r="JV60" s="23"/>
      <c r="JW60" s="23"/>
      <c r="JX60" s="23"/>
      <c r="JY60" s="23"/>
      <c r="JZ60" s="23"/>
      <c r="KA60" s="23"/>
      <c r="KB60" s="34"/>
    </row>
    <row r="61" spans="2:288" ht="15" customHeight="1" x14ac:dyDescent="0.35">
      <c r="B61" s="146" t="s">
        <v>1260</v>
      </c>
      <c r="C61" s="148" t="str">
        <v/>
      </c>
      <c r="D61" s="148" t="str">
        <v/>
      </c>
      <c r="E61" s="148" t="str">
        <v/>
      </c>
      <c r="F61" s="148" t="str">
        <v/>
      </c>
      <c r="G61" s="268" t="str">
        <v/>
      </c>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34"/>
      <c r="DX61" s="23"/>
      <c r="DY61" s="23"/>
      <c r="DZ61" s="23"/>
      <c r="EA61" s="23"/>
      <c r="EB61" s="23"/>
      <c r="EC61" s="23"/>
      <c r="ED61" s="23"/>
      <c r="EE61" s="23"/>
      <c r="EF61" s="23"/>
      <c r="EG61" s="23"/>
      <c r="EH61" s="23"/>
      <c r="EI61" s="23"/>
      <c r="EJ61" s="23"/>
      <c r="EK61" s="23"/>
      <c r="EL61" s="23"/>
      <c r="EM61" s="23"/>
      <c r="EN61" s="23"/>
      <c r="EO61" s="23"/>
      <c r="EP61" s="23"/>
      <c r="EQ61" s="23"/>
      <c r="ER61" s="34"/>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c r="IV61" s="23"/>
      <c r="IW61" s="23"/>
      <c r="IX61" s="23"/>
      <c r="IY61" s="23"/>
      <c r="IZ61" s="23"/>
      <c r="JA61" s="23"/>
      <c r="JB61" s="23"/>
      <c r="JC61" s="23"/>
      <c r="JD61" s="23"/>
      <c r="JE61" s="23"/>
      <c r="JF61" s="23"/>
      <c r="JG61" s="34"/>
      <c r="JH61" s="23"/>
      <c r="JI61" s="23"/>
      <c r="JJ61" s="23"/>
      <c r="JK61" s="23"/>
      <c r="JL61" s="23"/>
      <c r="JM61" s="23"/>
      <c r="JN61" s="23"/>
      <c r="JO61" s="23"/>
      <c r="JP61" s="23"/>
      <c r="JQ61" s="23"/>
      <c r="JR61" s="23"/>
      <c r="JS61" s="23"/>
      <c r="JT61" s="23"/>
      <c r="JU61" s="23"/>
      <c r="JV61" s="23"/>
      <c r="JW61" s="23"/>
      <c r="JX61" s="23"/>
      <c r="JY61" s="23"/>
      <c r="JZ61" s="23"/>
      <c r="KA61" s="23"/>
      <c r="KB61" s="34"/>
    </row>
    <row r="62" spans="2:288" ht="15" customHeight="1" x14ac:dyDescent="0.35">
      <c r="B62" s="146" t="s">
        <v>1261</v>
      </c>
      <c r="C62" s="148" t="str">
        <v/>
      </c>
      <c r="D62" s="148" t="str">
        <v/>
      </c>
      <c r="E62" s="148" t="str">
        <v/>
      </c>
      <c r="F62" s="148" t="str">
        <v/>
      </c>
      <c r="G62" s="268" t="str">
        <v/>
      </c>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34"/>
      <c r="DX62" s="23"/>
      <c r="DY62" s="23"/>
      <c r="DZ62" s="23"/>
      <c r="EA62" s="23"/>
      <c r="EB62" s="23"/>
      <c r="EC62" s="23"/>
      <c r="ED62" s="23"/>
      <c r="EE62" s="23"/>
      <c r="EF62" s="23"/>
      <c r="EG62" s="23"/>
      <c r="EH62" s="23"/>
      <c r="EI62" s="23"/>
      <c r="EJ62" s="23"/>
      <c r="EK62" s="23"/>
      <c r="EL62" s="23"/>
      <c r="EM62" s="23"/>
      <c r="EN62" s="23"/>
      <c r="EO62" s="23"/>
      <c r="EP62" s="23"/>
      <c r="EQ62" s="23"/>
      <c r="ER62" s="34"/>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34"/>
      <c r="JH62" s="23"/>
      <c r="JI62" s="23"/>
      <c r="JJ62" s="23"/>
      <c r="JK62" s="23"/>
      <c r="JL62" s="23"/>
      <c r="JM62" s="23"/>
      <c r="JN62" s="23"/>
      <c r="JO62" s="23"/>
      <c r="JP62" s="23"/>
      <c r="JQ62" s="23"/>
      <c r="JR62" s="23"/>
      <c r="JS62" s="23"/>
      <c r="JT62" s="23"/>
      <c r="JU62" s="23"/>
      <c r="JV62" s="23"/>
      <c r="JW62" s="23"/>
      <c r="JX62" s="23"/>
      <c r="JY62" s="23"/>
      <c r="JZ62" s="23"/>
      <c r="KA62" s="23"/>
      <c r="KB62" s="34"/>
    </row>
    <row r="63" spans="2:288" ht="15" customHeight="1" x14ac:dyDescent="0.35">
      <c r="B63" s="146" t="s">
        <v>1262</v>
      </c>
      <c r="C63" s="148" t="str">
        <v/>
      </c>
      <c r="D63" s="148" t="str">
        <v/>
      </c>
      <c r="E63" s="148" t="str">
        <v/>
      </c>
      <c r="F63" s="148" t="str">
        <v/>
      </c>
      <c r="G63" s="268" t="str">
        <v/>
      </c>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34"/>
      <c r="DX63" s="23"/>
      <c r="DY63" s="23"/>
      <c r="DZ63" s="23"/>
      <c r="EA63" s="23"/>
      <c r="EB63" s="23"/>
      <c r="EC63" s="23"/>
      <c r="ED63" s="23"/>
      <c r="EE63" s="23"/>
      <c r="EF63" s="23"/>
      <c r="EG63" s="23"/>
      <c r="EH63" s="23"/>
      <c r="EI63" s="23"/>
      <c r="EJ63" s="23"/>
      <c r="EK63" s="23"/>
      <c r="EL63" s="23"/>
      <c r="EM63" s="23"/>
      <c r="EN63" s="23"/>
      <c r="EO63" s="23"/>
      <c r="EP63" s="23"/>
      <c r="EQ63" s="23"/>
      <c r="ER63" s="34"/>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c r="JB63" s="23"/>
      <c r="JC63" s="23"/>
      <c r="JD63" s="23"/>
      <c r="JE63" s="23"/>
      <c r="JF63" s="23"/>
      <c r="JG63" s="34"/>
      <c r="JH63" s="23"/>
      <c r="JI63" s="23"/>
      <c r="JJ63" s="23"/>
      <c r="JK63" s="23"/>
      <c r="JL63" s="23"/>
      <c r="JM63" s="23"/>
      <c r="JN63" s="23"/>
      <c r="JO63" s="23"/>
      <c r="JP63" s="23"/>
      <c r="JQ63" s="23"/>
      <c r="JR63" s="23"/>
      <c r="JS63" s="23"/>
      <c r="JT63" s="23"/>
      <c r="JU63" s="23"/>
      <c r="JV63" s="23"/>
      <c r="JW63" s="23"/>
      <c r="JX63" s="23"/>
      <c r="JY63" s="23"/>
      <c r="JZ63" s="23"/>
      <c r="KA63" s="23"/>
      <c r="KB63" s="34"/>
    </row>
    <row r="64" spans="2:288" ht="15" customHeight="1" x14ac:dyDescent="0.35">
      <c r="B64" s="146" t="s">
        <v>1263</v>
      </c>
      <c r="C64" s="148" t="str">
        <v/>
      </c>
      <c r="D64" s="148" t="str">
        <v/>
      </c>
      <c r="E64" s="148" t="str">
        <v/>
      </c>
      <c r="F64" s="148" t="str">
        <v/>
      </c>
      <c r="G64" s="268" t="str">
        <v/>
      </c>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34"/>
      <c r="DX64" s="23"/>
      <c r="DY64" s="23"/>
      <c r="DZ64" s="23"/>
      <c r="EA64" s="23"/>
      <c r="EB64" s="23"/>
      <c r="EC64" s="23"/>
      <c r="ED64" s="23"/>
      <c r="EE64" s="23"/>
      <c r="EF64" s="23"/>
      <c r="EG64" s="23"/>
      <c r="EH64" s="23"/>
      <c r="EI64" s="23"/>
      <c r="EJ64" s="23"/>
      <c r="EK64" s="23"/>
      <c r="EL64" s="23"/>
      <c r="EM64" s="23"/>
      <c r="EN64" s="23"/>
      <c r="EO64" s="23"/>
      <c r="EP64" s="23"/>
      <c r="EQ64" s="23"/>
      <c r="ER64" s="34"/>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c r="IV64" s="23"/>
      <c r="IW64" s="23"/>
      <c r="IX64" s="23"/>
      <c r="IY64" s="23"/>
      <c r="IZ64" s="23"/>
      <c r="JA64" s="23"/>
      <c r="JB64" s="23"/>
      <c r="JC64" s="23"/>
      <c r="JD64" s="23"/>
      <c r="JE64" s="23"/>
      <c r="JF64" s="23"/>
      <c r="JG64" s="34"/>
      <c r="JH64" s="23"/>
      <c r="JI64" s="23"/>
      <c r="JJ64" s="23"/>
      <c r="JK64" s="23"/>
      <c r="JL64" s="23"/>
      <c r="JM64" s="23"/>
      <c r="JN64" s="23"/>
      <c r="JO64" s="23"/>
      <c r="JP64" s="23"/>
      <c r="JQ64" s="23"/>
      <c r="JR64" s="23"/>
      <c r="JS64" s="23"/>
      <c r="JT64" s="23"/>
      <c r="JU64" s="23"/>
      <c r="JV64" s="23"/>
      <c r="JW64" s="23"/>
      <c r="JX64" s="23"/>
      <c r="JY64" s="23"/>
      <c r="JZ64" s="23"/>
      <c r="KA64" s="23"/>
      <c r="KB64" s="34"/>
    </row>
    <row r="65" spans="2:288" ht="15" customHeight="1" x14ac:dyDescent="0.35">
      <c r="B65" s="146" t="s">
        <v>1264</v>
      </c>
      <c r="C65" s="148" t="str">
        <v/>
      </c>
      <c r="D65" s="148" t="str">
        <v/>
      </c>
      <c r="E65" s="148" t="str">
        <v/>
      </c>
      <c r="F65" s="148" t="str">
        <v/>
      </c>
      <c r="G65" s="268" t="str">
        <v/>
      </c>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34"/>
      <c r="DX65" s="23"/>
      <c r="DY65" s="23"/>
      <c r="DZ65" s="23"/>
      <c r="EA65" s="23"/>
      <c r="EB65" s="23"/>
      <c r="EC65" s="23"/>
      <c r="ED65" s="23"/>
      <c r="EE65" s="23"/>
      <c r="EF65" s="23"/>
      <c r="EG65" s="23"/>
      <c r="EH65" s="23"/>
      <c r="EI65" s="23"/>
      <c r="EJ65" s="23"/>
      <c r="EK65" s="23"/>
      <c r="EL65" s="23"/>
      <c r="EM65" s="23"/>
      <c r="EN65" s="23"/>
      <c r="EO65" s="23"/>
      <c r="EP65" s="23"/>
      <c r="EQ65" s="23"/>
      <c r="ER65" s="34"/>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c r="IU65" s="23"/>
      <c r="IV65" s="23"/>
      <c r="IW65" s="23"/>
      <c r="IX65" s="23"/>
      <c r="IY65" s="23"/>
      <c r="IZ65" s="23"/>
      <c r="JA65" s="23"/>
      <c r="JB65" s="23"/>
      <c r="JC65" s="23"/>
      <c r="JD65" s="23"/>
      <c r="JE65" s="23"/>
      <c r="JF65" s="23"/>
      <c r="JG65" s="34"/>
      <c r="JH65" s="23"/>
      <c r="JI65" s="23"/>
      <c r="JJ65" s="23"/>
      <c r="JK65" s="23"/>
      <c r="JL65" s="23"/>
      <c r="JM65" s="23"/>
      <c r="JN65" s="23"/>
      <c r="JO65" s="23"/>
      <c r="JP65" s="23"/>
      <c r="JQ65" s="23"/>
      <c r="JR65" s="23"/>
      <c r="JS65" s="23"/>
      <c r="JT65" s="23"/>
      <c r="JU65" s="23"/>
      <c r="JV65" s="23"/>
      <c r="JW65" s="23"/>
      <c r="JX65" s="23"/>
      <c r="JY65" s="23"/>
      <c r="JZ65" s="23"/>
      <c r="KA65" s="23"/>
      <c r="KB65" s="34"/>
    </row>
    <row r="66" spans="2:288" ht="15" customHeight="1" x14ac:dyDescent="0.35">
      <c r="B66" s="146" t="s">
        <v>1265</v>
      </c>
      <c r="C66" s="148" t="str">
        <v/>
      </c>
      <c r="D66" s="148" t="str">
        <v/>
      </c>
      <c r="E66" s="148" t="str">
        <v/>
      </c>
      <c r="F66" s="148" t="str">
        <v/>
      </c>
      <c r="G66" s="268" t="str">
        <v/>
      </c>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34"/>
      <c r="DX66" s="23"/>
      <c r="DY66" s="23"/>
      <c r="DZ66" s="23"/>
      <c r="EA66" s="23"/>
      <c r="EB66" s="23"/>
      <c r="EC66" s="23"/>
      <c r="ED66" s="23"/>
      <c r="EE66" s="23"/>
      <c r="EF66" s="23"/>
      <c r="EG66" s="23"/>
      <c r="EH66" s="23"/>
      <c r="EI66" s="23"/>
      <c r="EJ66" s="23"/>
      <c r="EK66" s="23"/>
      <c r="EL66" s="23"/>
      <c r="EM66" s="23"/>
      <c r="EN66" s="23"/>
      <c r="EO66" s="23"/>
      <c r="EP66" s="23"/>
      <c r="EQ66" s="23"/>
      <c r="ER66" s="34"/>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c r="IT66" s="23"/>
      <c r="IU66" s="23"/>
      <c r="IV66" s="23"/>
      <c r="IW66" s="23"/>
      <c r="IX66" s="23"/>
      <c r="IY66" s="23"/>
      <c r="IZ66" s="23"/>
      <c r="JA66" s="23"/>
      <c r="JB66" s="23"/>
      <c r="JC66" s="23"/>
      <c r="JD66" s="23"/>
      <c r="JE66" s="23"/>
      <c r="JF66" s="23"/>
      <c r="JG66" s="34"/>
      <c r="JH66" s="23"/>
      <c r="JI66" s="23"/>
      <c r="JJ66" s="23"/>
      <c r="JK66" s="23"/>
      <c r="JL66" s="23"/>
      <c r="JM66" s="23"/>
      <c r="JN66" s="23"/>
      <c r="JO66" s="23"/>
      <c r="JP66" s="23"/>
      <c r="JQ66" s="23"/>
      <c r="JR66" s="23"/>
      <c r="JS66" s="23"/>
      <c r="JT66" s="23"/>
      <c r="JU66" s="23"/>
      <c r="JV66" s="23"/>
      <c r="JW66" s="23"/>
      <c r="JX66" s="23"/>
      <c r="JY66" s="23"/>
      <c r="JZ66" s="23"/>
      <c r="KA66" s="23"/>
      <c r="KB66" s="34"/>
    </row>
    <row r="67" spans="2:288" ht="15" customHeight="1" x14ac:dyDescent="0.35">
      <c r="B67" s="146" t="s">
        <v>1266</v>
      </c>
      <c r="C67" s="148" t="str">
        <v/>
      </c>
      <c r="D67" s="148" t="str">
        <v/>
      </c>
      <c r="E67" s="148" t="str">
        <v/>
      </c>
      <c r="F67" s="148" t="str">
        <v/>
      </c>
      <c r="G67" s="268" t="str">
        <v/>
      </c>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34"/>
      <c r="DX67" s="23"/>
      <c r="DY67" s="23"/>
      <c r="DZ67" s="23"/>
      <c r="EA67" s="23"/>
      <c r="EB67" s="23"/>
      <c r="EC67" s="23"/>
      <c r="ED67" s="23"/>
      <c r="EE67" s="23"/>
      <c r="EF67" s="23"/>
      <c r="EG67" s="23"/>
      <c r="EH67" s="23"/>
      <c r="EI67" s="23"/>
      <c r="EJ67" s="23"/>
      <c r="EK67" s="23"/>
      <c r="EL67" s="23"/>
      <c r="EM67" s="23"/>
      <c r="EN67" s="23"/>
      <c r="EO67" s="23"/>
      <c r="EP67" s="23"/>
      <c r="EQ67" s="23"/>
      <c r="ER67" s="34"/>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c r="IN67" s="23"/>
      <c r="IO67" s="23"/>
      <c r="IP67" s="23"/>
      <c r="IQ67" s="23"/>
      <c r="IR67" s="23"/>
      <c r="IS67" s="23"/>
      <c r="IT67" s="23"/>
      <c r="IU67" s="23"/>
      <c r="IV67" s="23"/>
      <c r="IW67" s="23"/>
      <c r="IX67" s="23"/>
      <c r="IY67" s="23"/>
      <c r="IZ67" s="23"/>
      <c r="JA67" s="23"/>
      <c r="JB67" s="23"/>
      <c r="JC67" s="23"/>
      <c r="JD67" s="23"/>
      <c r="JE67" s="23"/>
      <c r="JF67" s="23"/>
      <c r="JG67" s="34"/>
      <c r="JH67" s="23"/>
      <c r="JI67" s="23"/>
      <c r="JJ67" s="23"/>
      <c r="JK67" s="23"/>
      <c r="JL67" s="23"/>
      <c r="JM67" s="23"/>
      <c r="JN67" s="23"/>
      <c r="JO67" s="23"/>
      <c r="JP67" s="23"/>
      <c r="JQ67" s="23"/>
      <c r="JR67" s="23"/>
      <c r="JS67" s="23"/>
      <c r="JT67" s="23"/>
      <c r="JU67" s="23"/>
      <c r="JV67" s="23"/>
      <c r="JW67" s="23"/>
      <c r="JX67" s="23"/>
      <c r="JY67" s="23"/>
      <c r="JZ67" s="23"/>
      <c r="KA67" s="23"/>
      <c r="KB67" s="34"/>
    </row>
    <row r="68" spans="2:288" ht="15" customHeight="1" x14ac:dyDescent="0.35">
      <c r="B68" s="146" t="s">
        <v>1267</v>
      </c>
      <c r="C68" s="148" t="str">
        <v/>
      </c>
      <c r="D68" s="148" t="str">
        <v/>
      </c>
      <c r="E68" s="148" t="str">
        <v/>
      </c>
      <c r="F68" s="148" t="str">
        <v/>
      </c>
      <c r="G68" s="268" t="str">
        <v/>
      </c>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34"/>
      <c r="DX68" s="23"/>
      <c r="DY68" s="23"/>
      <c r="DZ68" s="23"/>
      <c r="EA68" s="23"/>
      <c r="EB68" s="23"/>
      <c r="EC68" s="23"/>
      <c r="ED68" s="23"/>
      <c r="EE68" s="23"/>
      <c r="EF68" s="23"/>
      <c r="EG68" s="23"/>
      <c r="EH68" s="23"/>
      <c r="EI68" s="23"/>
      <c r="EJ68" s="23"/>
      <c r="EK68" s="23"/>
      <c r="EL68" s="23"/>
      <c r="EM68" s="23"/>
      <c r="EN68" s="23"/>
      <c r="EO68" s="23"/>
      <c r="EP68" s="23"/>
      <c r="EQ68" s="23"/>
      <c r="ER68" s="34"/>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c r="IT68" s="23"/>
      <c r="IU68" s="23"/>
      <c r="IV68" s="23"/>
      <c r="IW68" s="23"/>
      <c r="IX68" s="23"/>
      <c r="IY68" s="23"/>
      <c r="IZ68" s="23"/>
      <c r="JA68" s="23"/>
      <c r="JB68" s="23"/>
      <c r="JC68" s="23"/>
      <c r="JD68" s="23"/>
      <c r="JE68" s="23"/>
      <c r="JF68" s="23"/>
      <c r="JG68" s="34"/>
      <c r="JH68" s="23"/>
      <c r="JI68" s="23"/>
      <c r="JJ68" s="23"/>
      <c r="JK68" s="23"/>
      <c r="JL68" s="23"/>
      <c r="JM68" s="23"/>
      <c r="JN68" s="23"/>
      <c r="JO68" s="23"/>
      <c r="JP68" s="23"/>
      <c r="JQ68" s="23"/>
      <c r="JR68" s="23"/>
      <c r="JS68" s="23"/>
      <c r="JT68" s="23"/>
      <c r="JU68" s="23"/>
      <c r="JV68" s="23"/>
      <c r="JW68" s="23"/>
      <c r="JX68" s="23"/>
      <c r="JY68" s="23"/>
      <c r="JZ68" s="23"/>
      <c r="KA68" s="23"/>
      <c r="KB68" s="34"/>
    </row>
    <row r="69" spans="2:288" ht="15" customHeight="1" x14ac:dyDescent="0.35">
      <c r="B69" s="146" t="s">
        <v>1268</v>
      </c>
      <c r="C69" s="148" t="str">
        <v/>
      </c>
      <c r="D69" s="148" t="str">
        <v/>
      </c>
      <c r="E69" s="148" t="str">
        <v/>
      </c>
      <c r="F69" s="148" t="str">
        <v/>
      </c>
      <c r="G69" s="268" t="str">
        <v/>
      </c>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34"/>
      <c r="DX69" s="23"/>
      <c r="DY69" s="23"/>
      <c r="DZ69" s="23"/>
      <c r="EA69" s="23"/>
      <c r="EB69" s="23"/>
      <c r="EC69" s="23"/>
      <c r="ED69" s="23"/>
      <c r="EE69" s="23"/>
      <c r="EF69" s="23"/>
      <c r="EG69" s="23"/>
      <c r="EH69" s="23"/>
      <c r="EI69" s="23"/>
      <c r="EJ69" s="23"/>
      <c r="EK69" s="23"/>
      <c r="EL69" s="23"/>
      <c r="EM69" s="23"/>
      <c r="EN69" s="23"/>
      <c r="EO69" s="23"/>
      <c r="EP69" s="23"/>
      <c r="EQ69" s="23"/>
      <c r="ER69" s="34"/>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c r="HX69" s="23"/>
      <c r="HY69" s="23"/>
      <c r="HZ69" s="23"/>
      <c r="IA69" s="23"/>
      <c r="IB69" s="23"/>
      <c r="IC69" s="23"/>
      <c r="ID69" s="23"/>
      <c r="IE69" s="23"/>
      <c r="IF69" s="23"/>
      <c r="IG69" s="23"/>
      <c r="IH69" s="23"/>
      <c r="II69" s="23"/>
      <c r="IJ69" s="23"/>
      <c r="IK69" s="23"/>
      <c r="IL69" s="23"/>
      <c r="IM69" s="23"/>
      <c r="IN69" s="23"/>
      <c r="IO69" s="23"/>
      <c r="IP69" s="23"/>
      <c r="IQ69" s="23"/>
      <c r="IR69" s="23"/>
      <c r="IS69" s="23"/>
      <c r="IT69" s="23"/>
      <c r="IU69" s="23"/>
      <c r="IV69" s="23"/>
      <c r="IW69" s="23"/>
      <c r="IX69" s="23"/>
      <c r="IY69" s="23"/>
      <c r="IZ69" s="23"/>
      <c r="JA69" s="23"/>
      <c r="JB69" s="23"/>
      <c r="JC69" s="23"/>
      <c r="JD69" s="23"/>
      <c r="JE69" s="23"/>
      <c r="JF69" s="23"/>
      <c r="JG69" s="34"/>
      <c r="JH69" s="23"/>
      <c r="JI69" s="23"/>
      <c r="JJ69" s="23"/>
      <c r="JK69" s="23"/>
      <c r="JL69" s="23"/>
      <c r="JM69" s="23"/>
      <c r="JN69" s="23"/>
      <c r="JO69" s="23"/>
      <c r="JP69" s="23"/>
      <c r="JQ69" s="23"/>
      <c r="JR69" s="23"/>
      <c r="JS69" s="23"/>
      <c r="JT69" s="23"/>
      <c r="JU69" s="23"/>
      <c r="JV69" s="23"/>
      <c r="JW69" s="23"/>
      <c r="JX69" s="23"/>
      <c r="JY69" s="23"/>
      <c r="JZ69" s="23"/>
      <c r="KA69" s="23"/>
      <c r="KB69" s="34"/>
    </row>
    <row r="70" spans="2:288" ht="15" customHeight="1" x14ac:dyDescent="0.35">
      <c r="B70" s="146" t="s">
        <v>1269</v>
      </c>
      <c r="C70" s="148" t="str">
        <v/>
      </c>
      <c r="D70" s="148" t="str">
        <v/>
      </c>
      <c r="E70" s="148" t="str">
        <v/>
      </c>
      <c r="F70" s="148" t="str">
        <v/>
      </c>
      <c r="G70" s="268" t="str">
        <v/>
      </c>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34"/>
      <c r="DX70" s="23"/>
      <c r="DY70" s="23"/>
      <c r="DZ70" s="23"/>
      <c r="EA70" s="23"/>
      <c r="EB70" s="23"/>
      <c r="EC70" s="23"/>
      <c r="ED70" s="23"/>
      <c r="EE70" s="23"/>
      <c r="EF70" s="23"/>
      <c r="EG70" s="23"/>
      <c r="EH70" s="23"/>
      <c r="EI70" s="23"/>
      <c r="EJ70" s="23"/>
      <c r="EK70" s="23"/>
      <c r="EL70" s="23"/>
      <c r="EM70" s="23"/>
      <c r="EN70" s="23"/>
      <c r="EO70" s="23"/>
      <c r="EP70" s="23"/>
      <c r="EQ70" s="23"/>
      <c r="ER70" s="34"/>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c r="HX70" s="23"/>
      <c r="HY70" s="23"/>
      <c r="HZ70" s="23"/>
      <c r="IA70" s="23"/>
      <c r="IB70" s="23"/>
      <c r="IC70" s="23"/>
      <c r="ID70" s="23"/>
      <c r="IE70" s="23"/>
      <c r="IF70" s="23"/>
      <c r="IG70" s="23"/>
      <c r="IH70" s="23"/>
      <c r="II70" s="23"/>
      <c r="IJ70" s="23"/>
      <c r="IK70" s="23"/>
      <c r="IL70" s="23"/>
      <c r="IM70" s="23"/>
      <c r="IN70" s="23"/>
      <c r="IO70" s="23"/>
      <c r="IP70" s="23"/>
      <c r="IQ70" s="23"/>
      <c r="IR70" s="23"/>
      <c r="IS70" s="23"/>
      <c r="IT70" s="23"/>
      <c r="IU70" s="23"/>
      <c r="IV70" s="23"/>
      <c r="IW70" s="23"/>
      <c r="IX70" s="23"/>
      <c r="IY70" s="23"/>
      <c r="IZ70" s="23"/>
      <c r="JA70" s="23"/>
      <c r="JB70" s="23"/>
      <c r="JC70" s="23"/>
      <c r="JD70" s="23"/>
      <c r="JE70" s="23"/>
      <c r="JF70" s="23"/>
      <c r="JG70" s="34"/>
      <c r="JH70" s="23"/>
      <c r="JI70" s="23"/>
      <c r="JJ70" s="23"/>
      <c r="JK70" s="23"/>
      <c r="JL70" s="23"/>
      <c r="JM70" s="23"/>
      <c r="JN70" s="23"/>
      <c r="JO70" s="23"/>
      <c r="JP70" s="23"/>
      <c r="JQ70" s="23"/>
      <c r="JR70" s="23"/>
      <c r="JS70" s="23"/>
      <c r="JT70" s="23"/>
      <c r="JU70" s="23"/>
      <c r="JV70" s="23"/>
      <c r="JW70" s="23"/>
      <c r="JX70" s="23"/>
      <c r="JY70" s="23"/>
      <c r="JZ70" s="23"/>
      <c r="KA70" s="23"/>
      <c r="KB70" s="34"/>
    </row>
    <row r="71" spans="2:288" ht="15" customHeight="1" x14ac:dyDescent="0.35">
      <c r="B71" s="146" t="s">
        <v>1270</v>
      </c>
      <c r="C71" s="148" t="str">
        <v/>
      </c>
      <c r="D71" s="148" t="str">
        <v/>
      </c>
      <c r="E71" s="148" t="str">
        <v/>
      </c>
      <c r="F71" s="148" t="str">
        <v/>
      </c>
      <c r="G71" s="268" t="str">
        <v/>
      </c>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34"/>
      <c r="DX71" s="23"/>
      <c r="DY71" s="23"/>
      <c r="DZ71" s="23"/>
      <c r="EA71" s="23"/>
      <c r="EB71" s="23"/>
      <c r="EC71" s="23"/>
      <c r="ED71" s="23"/>
      <c r="EE71" s="23"/>
      <c r="EF71" s="23"/>
      <c r="EG71" s="23"/>
      <c r="EH71" s="23"/>
      <c r="EI71" s="23"/>
      <c r="EJ71" s="23"/>
      <c r="EK71" s="23"/>
      <c r="EL71" s="23"/>
      <c r="EM71" s="23"/>
      <c r="EN71" s="23"/>
      <c r="EO71" s="23"/>
      <c r="EP71" s="23"/>
      <c r="EQ71" s="23"/>
      <c r="ER71" s="34"/>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c r="HV71" s="23"/>
      <c r="HW71" s="23"/>
      <c r="HX71" s="23"/>
      <c r="HY71" s="23"/>
      <c r="HZ71" s="23"/>
      <c r="IA71" s="23"/>
      <c r="IB71" s="23"/>
      <c r="IC71" s="23"/>
      <c r="ID71" s="23"/>
      <c r="IE71" s="23"/>
      <c r="IF71" s="23"/>
      <c r="IG71" s="23"/>
      <c r="IH71" s="23"/>
      <c r="II71" s="23"/>
      <c r="IJ71" s="23"/>
      <c r="IK71" s="23"/>
      <c r="IL71" s="23"/>
      <c r="IM71" s="23"/>
      <c r="IN71" s="23"/>
      <c r="IO71" s="23"/>
      <c r="IP71" s="23"/>
      <c r="IQ71" s="23"/>
      <c r="IR71" s="23"/>
      <c r="IS71" s="23"/>
      <c r="IT71" s="23"/>
      <c r="IU71" s="23"/>
      <c r="IV71" s="23"/>
      <c r="IW71" s="23"/>
      <c r="IX71" s="23"/>
      <c r="IY71" s="23"/>
      <c r="IZ71" s="23"/>
      <c r="JA71" s="23"/>
      <c r="JB71" s="23"/>
      <c r="JC71" s="23"/>
      <c r="JD71" s="23"/>
      <c r="JE71" s="23"/>
      <c r="JF71" s="23"/>
      <c r="JG71" s="34"/>
      <c r="JH71" s="23"/>
      <c r="JI71" s="23"/>
      <c r="JJ71" s="23"/>
      <c r="JK71" s="23"/>
      <c r="JL71" s="23"/>
      <c r="JM71" s="23"/>
      <c r="JN71" s="23"/>
      <c r="JO71" s="23"/>
      <c r="JP71" s="23"/>
      <c r="JQ71" s="23"/>
      <c r="JR71" s="23"/>
      <c r="JS71" s="23"/>
      <c r="JT71" s="23"/>
      <c r="JU71" s="23"/>
      <c r="JV71" s="23"/>
      <c r="JW71" s="23"/>
      <c r="JX71" s="23"/>
      <c r="JY71" s="23"/>
      <c r="JZ71" s="23"/>
      <c r="KA71" s="23"/>
      <c r="KB71" s="34"/>
    </row>
    <row r="72" spans="2:288" ht="15" customHeight="1" x14ac:dyDescent="0.35">
      <c r="B72" s="146" t="s">
        <v>1271</v>
      </c>
      <c r="C72" s="148" t="str">
        <v/>
      </c>
      <c r="D72" s="148" t="str">
        <v/>
      </c>
      <c r="E72" s="148" t="str">
        <v/>
      </c>
      <c r="F72" s="148" t="str">
        <v/>
      </c>
      <c r="G72" s="268" t="str">
        <v/>
      </c>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34"/>
      <c r="DX72" s="23"/>
      <c r="DY72" s="23"/>
      <c r="DZ72" s="23"/>
      <c r="EA72" s="23"/>
      <c r="EB72" s="23"/>
      <c r="EC72" s="23"/>
      <c r="ED72" s="23"/>
      <c r="EE72" s="23"/>
      <c r="EF72" s="23"/>
      <c r="EG72" s="23"/>
      <c r="EH72" s="23"/>
      <c r="EI72" s="23"/>
      <c r="EJ72" s="23"/>
      <c r="EK72" s="23"/>
      <c r="EL72" s="23"/>
      <c r="EM72" s="23"/>
      <c r="EN72" s="23"/>
      <c r="EO72" s="23"/>
      <c r="EP72" s="23"/>
      <c r="EQ72" s="23"/>
      <c r="ER72" s="34"/>
      <c r="ES72" s="23"/>
      <c r="ET72" s="23"/>
      <c r="EU72" s="23"/>
      <c r="EV72" s="23"/>
      <c r="EW72" s="23"/>
      <c r="EX72" s="23"/>
      <c r="EY72" s="23"/>
      <c r="EZ72" s="23"/>
      <c r="FA72" s="23"/>
      <c r="FB72" s="23"/>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c r="HD72" s="23"/>
      <c r="HE72" s="23"/>
      <c r="HF72" s="23"/>
      <c r="HG72" s="23"/>
      <c r="HH72" s="23"/>
      <c r="HI72" s="23"/>
      <c r="HJ72" s="23"/>
      <c r="HK72" s="23"/>
      <c r="HL72" s="23"/>
      <c r="HM72" s="23"/>
      <c r="HN72" s="23"/>
      <c r="HO72" s="23"/>
      <c r="HP72" s="23"/>
      <c r="HQ72" s="23"/>
      <c r="HR72" s="23"/>
      <c r="HS72" s="23"/>
      <c r="HT72" s="23"/>
      <c r="HU72" s="23"/>
      <c r="HV72" s="23"/>
      <c r="HW72" s="23"/>
      <c r="HX72" s="23"/>
      <c r="HY72" s="23"/>
      <c r="HZ72" s="23"/>
      <c r="IA72" s="23"/>
      <c r="IB72" s="23"/>
      <c r="IC72" s="23"/>
      <c r="ID72" s="23"/>
      <c r="IE72" s="23"/>
      <c r="IF72" s="23"/>
      <c r="IG72" s="23"/>
      <c r="IH72" s="23"/>
      <c r="II72" s="23"/>
      <c r="IJ72" s="23"/>
      <c r="IK72" s="23"/>
      <c r="IL72" s="23"/>
      <c r="IM72" s="23"/>
      <c r="IN72" s="23"/>
      <c r="IO72" s="23"/>
      <c r="IP72" s="23"/>
      <c r="IQ72" s="23"/>
      <c r="IR72" s="23"/>
      <c r="IS72" s="23"/>
      <c r="IT72" s="23"/>
      <c r="IU72" s="23"/>
      <c r="IV72" s="23"/>
      <c r="IW72" s="23"/>
      <c r="IX72" s="23"/>
      <c r="IY72" s="23"/>
      <c r="IZ72" s="23"/>
      <c r="JA72" s="23"/>
      <c r="JB72" s="23"/>
      <c r="JC72" s="23"/>
      <c r="JD72" s="23"/>
      <c r="JE72" s="23"/>
      <c r="JF72" s="23"/>
      <c r="JG72" s="34"/>
      <c r="JH72" s="23"/>
      <c r="JI72" s="23"/>
      <c r="JJ72" s="23"/>
      <c r="JK72" s="23"/>
      <c r="JL72" s="23"/>
      <c r="JM72" s="23"/>
      <c r="JN72" s="23"/>
      <c r="JO72" s="23"/>
      <c r="JP72" s="23"/>
      <c r="JQ72" s="23"/>
      <c r="JR72" s="23"/>
      <c r="JS72" s="23"/>
      <c r="JT72" s="23"/>
      <c r="JU72" s="23"/>
      <c r="JV72" s="23"/>
      <c r="JW72" s="23"/>
      <c r="JX72" s="23"/>
      <c r="JY72" s="23"/>
      <c r="JZ72" s="23"/>
      <c r="KA72" s="23"/>
      <c r="KB72" s="34"/>
    </row>
    <row r="73" spans="2:288" ht="15" customHeight="1" x14ac:dyDescent="0.35">
      <c r="B73" s="146" t="s">
        <v>1272</v>
      </c>
      <c r="C73" s="148" t="str">
        <v/>
      </c>
      <c r="D73" s="148" t="str">
        <v/>
      </c>
      <c r="E73" s="148" t="str">
        <v/>
      </c>
      <c r="F73" s="148" t="str">
        <v/>
      </c>
      <c r="G73" s="268" t="str">
        <v/>
      </c>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34"/>
      <c r="DX73" s="23"/>
      <c r="DY73" s="23"/>
      <c r="DZ73" s="23"/>
      <c r="EA73" s="23"/>
      <c r="EB73" s="23"/>
      <c r="EC73" s="23"/>
      <c r="ED73" s="23"/>
      <c r="EE73" s="23"/>
      <c r="EF73" s="23"/>
      <c r="EG73" s="23"/>
      <c r="EH73" s="23"/>
      <c r="EI73" s="23"/>
      <c r="EJ73" s="23"/>
      <c r="EK73" s="23"/>
      <c r="EL73" s="23"/>
      <c r="EM73" s="23"/>
      <c r="EN73" s="23"/>
      <c r="EO73" s="23"/>
      <c r="EP73" s="23"/>
      <c r="EQ73" s="23"/>
      <c r="ER73" s="34"/>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c r="HX73" s="23"/>
      <c r="HY73" s="23"/>
      <c r="HZ73" s="23"/>
      <c r="IA73" s="23"/>
      <c r="IB73" s="23"/>
      <c r="IC73" s="23"/>
      <c r="ID73" s="23"/>
      <c r="IE73" s="23"/>
      <c r="IF73" s="23"/>
      <c r="IG73" s="23"/>
      <c r="IH73" s="23"/>
      <c r="II73" s="23"/>
      <c r="IJ73" s="23"/>
      <c r="IK73" s="23"/>
      <c r="IL73" s="23"/>
      <c r="IM73" s="23"/>
      <c r="IN73" s="23"/>
      <c r="IO73" s="23"/>
      <c r="IP73" s="23"/>
      <c r="IQ73" s="23"/>
      <c r="IR73" s="23"/>
      <c r="IS73" s="23"/>
      <c r="IT73" s="23"/>
      <c r="IU73" s="23"/>
      <c r="IV73" s="23"/>
      <c r="IW73" s="23"/>
      <c r="IX73" s="23"/>
      <c r="IY73" s="23"/>
      <c r="IZ73" s="23"/>
      <c r="JA73" s="23"/>
      <c r="JB73" s="23"/>
      <c r="JC73" s="23"/>
      <c r="JD73" s="23"/>
      <c r="JE73" s="23"/>
      <c r="JF73" s="23"/>
      <c r="JG73" s="34"/>
      <c r="JH73" s="23"/>
      <c r="JI73" s="23"/>
      <c r="JJ73" s="23"/>
      <c r="JK73" s="23"/>
      <c r="JL73" s="23"/>
      <c r="JM73" s="23"/>
      <c r="JN73" s="23"/>
      <c r="JO73" s="23"/>
      <c r="JP73" s="23"/>
      <c r="JQ73" s="23"/>
      <c r="JR73" s="23"/>
      <c r="JS73" s="23"/>
      <c r="JT73" s="23"/>
      <c r="JU73" s="23"/>
      <c r="JV73" s="23"/>
      <c r="JW73" s="23"/>
      <c r="JX73" s="23"/>
      <c r="JY73" s="23"/>
      <c r="JZ73" s="23"/>
      <c r="KA73" s="23"/>
      <c r="KB73" s="34"/>
    </row>
    <row r="74" spans="2:288" ht="15" customHeight="1" x14ac:dyDescent="0.35">
      <c r="B74" s="146" t="s">
        <v>1273</v>
      </c>
      <c r="C74" s="148" t="str">
        <v/>
      </c>
      <c r="D74" s="148" t="str">
        <v/>
      </c>
      <c r="E74" s="148" t="str">
        <v/>
      </c>
      <c r="F74" s="148" t="str">
        <v/>
      </c>
      <c r="G74" s="268" t="str">
        <v/>
      </c>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34"/>
      <c r="DX74" s="23"/>
      <c r="DY74" s="23"/>
      <c r="DZ74" s="23"/>
      <c r="EA74" s="23"/>
      <c r="EB74" s="23"/>
      <c r="EC74" s="23"/>
      <c r="ED74" s="23"/>
      <c r="EE74" s="23"/>
      <c r="EF74" s="23"/>
      <c r="EG74" s="23"/>
      <c r="EH74" s="23"/>
      <c r="EI74" s="23"/>
      <c r="EJ74" s="23"/>
      <c r="EK74" s="23"/>
      <c r="EL74" s="23"/>
      <c r="EM74" s="23"/>
      <c r="EN74" s="23"/>
      <c r="EO74" s="23"/>
      <c r="EP74" s="23"/>
      <c r="EQ74" s="23"/>
      <c r="ER74" s="34"/>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c r="HB74" s="23"/>
      <c r="HC74" s="23"/>
      <c r="HD74" s="23"/>
      <c r="HE74" s="23"/>
      <c r="HF74" s="23"/>
      <c r="HG74" s="23"/>
      <c r="HH74" s="23"/>
      <c r="HI74" s="23"/>
      <c r="HJ74" s="23"/>
      <c r="HK74" s="23"/>
      <c r="HL74" s="23"/>
      <c r="HM74" s="23"/>
      <c r="HN74" s="23"/>
      <c r="HO74" s="23"/>
      <c r="HP74" s="23"/>
      <c r="HQ74" s="23"/>
      <c r="HR74" s="23"/>
      <c r="HS74" s="23"/>
      <c r="HT74" s="23"/>
      <c r="HU74" s="23"/>
      <c r="HV74" s="23"/>
      <c r="HW74" s="23"/>
      <c r="HX74" s="23"/>
      <c r="HY74" s="23"/>
      <c r="HZ74" s="23"/>
      <c r="IA74" s="23"/>
      <c r="IB74" s="23"/>
      <c r="IC74" s="23"/>
      <c r="ID74" s="23"/>
      <c r="IE74" s="23"/>
      <c r="IF74" s="23"/>
      <c r="IG74" s="23"/>
      <c r="IH74" s="23"/>
      <c r="II74" s="23"/>
      <c r="IJ74" s="23"/>
      <c r="IK74" s="23"/>
      <c r="IL74" s="23"/>
      <c r="IM74" s="23"/>
      <c r="IN74" s="23"/>
      <c r="IO74" s="23"/>
      <c r="IP74" s="23"/>
      <c r="IQ74" s="23"/>
      <c r="IR74" s="23"/>
      <c r="IS74" s="23"/>
      <c r="IT74" s="23"/>
      <c r="IU74" s="23"/>
      <c r="IV74" s="23"/>
      <c r="IW74" s="23"/>
      <c r="IX74" s="23"/>
      <c r="IY74" s="23"/>
      <c r="IZ74" s="23"/>
      <c r="JA74" s="23"/>
      <c r="JB74" s="23"/>
      <c r="JC74" s="23"/>
      <c r="JD74" s="23"/>
      <c r="JE74" s="23"/>
      <c r="JF74" s="23"/>
      <c r="JG74" s="34"/>
      <c r="JH74" s="23"/>
      <c r="JI74" s="23"/>
      <c r="JJ74" s="23"/>
      <c r="JK74" s="23"/>
      <c r="JL74" s="23"/>
      <c r="JM74" s="23"/>
      <c r="JN74" s="23"/>
      <c r="JO74" s="23"/>
      <c r="JP74" s="23"/>
      <c r="JQ74" s="23"/>
      <c r="JR74" s="23"/>
      <c r="JS74" s="23"/>
      <c r="JT74" s="23"/>
      <c r="JU74" s="23"/>
      <c r="JV74" s="23"/>
      <c r="JW74" s="23"/>
      <c r="JX74" s="23"/>
      <c r="JY74" s="23"/>
      <c r="JZ74" s="23"/>
      <c r="KA74" s="23"/>
      <c r="KB74" s="34"/>
    </row>
    <row r="75" spans="2:288" ht="15" customHeight="1" x14ac:dyDescent="0.35">
      <c r="B75" s="146" t="s">
        <v>1274</v>
      </c>
      <c r="C75" s="148" t="str">
        <v/>
      </c>
      <c r="D75" s="148" t="str">
        <v/>
      </c>
      <c r="E75" s="148" t="str">
        <v/>
      </c>
      <c r="F75" s="148" t="str">
        <v/>
      </c>
      <c r="G75" s="268" t="str">
        <v/>
      </c>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34"/>
      <c r="DX75" s="23"/>
      <c r="DY75" s="23"/>
      <c r="DZ75" s="23"/>
      <c r="EA75" s="23"/>
      <c r="EB75" s="23"/>
      <c r="EC75" s="23"/>
      <c r="ED75" s="23"/>
      <c r="EE75" s="23"/>
      <c r="EF75" s="23"/>
      <c r="EG75" s="23"/>
      <c r="EH75" s="23"/>
      <c r="EI75" s="23"/>
      <c r="EJ75" s="23"/>
      <c r="EK75" s="23"/>
      <c r="EL75" s="23"/>
      <c r="EM75" s="23"/>
      <c r="EN75" s="23"/>
      <c r="EO75" s="23"/>
      <c r="EP75" s="23"/>
      <c r="EQ75" s="23"/>
      <c r="ER75" s="34"/>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c r="HX75" s="23"/>
      <c r="HY75" s="23"/>
      <c r="HZ75" s="23"/>
      <c r="IA75" s="23"/>
      <c r="IB75" s="23"/>
      <c r="IC75" s="23"/>
      <c r="ID75" s="23"/>
      <c r="IE75" s="23"/>
      <c r="IF75" s="23"/>
      <c r="IG75" s="23"/>
      <c r="IH75" s="23"/>
      <c r="II75" s="23"/>
      <c r="IJ75" s="23"/>
      <c r="IK75" s="23"/>
      <c r="IL75" s="23"/>
      <c r="IM75" s="23"/>
      <c r="IN75" s="23"/>
      <c r="IO75" s="23"/>
      <c r="IP75" s="23"/>
      <c r="IQ75" s="23"/>
      <c r="IR75" s="23"/>
      <c r="IS75" s="23"/>
      <c r="IT75" s="23"/>
      <c r="IU75" s="23"/>
      <c r="IV75" s="23"/>
      <c r="IW75" s="23"/>
      <c r="IX75" s="23"/>
      <c r="IY75" s="23"/>
      <c r="IZ75" s="23"/>
      <c r="JA75" s="23"/>
      <c r="JB75" s="23"/>
      <c r="JC75" s="23"/>
      <c r="JD75" s="23"/>
      <c r="JE75" s="23"/>
      <c r="JF75" s="23"/>
      <c r="JG75" s="34"/>
      <c r="JH75" s="23"/>
      <c r="JI75" s="23"/>
      <c r="JJ75" s="23"/>
      <c r="JK75" s="23"/>
      <c r="JL75" s="23"/>
      <c r="JM75" s="23"/>
      <c r="JN75" s="23"/>
      <c r="JO75" s="23"/>
      <c r="JP75" s="23"/>
      <c r="JQ75" s="23"/>
      <c r="JR75" s="23"/>
      <c r="JS75" s="23"/>
      <c r="JT75" s="23"/>
      <c r="JU75" s="23"/>
      <c r="JV75" s="23"/>
      <c r="JW75" s="23"/>
      <c r="JX75" s="23"/>
      <c r="JY75" s="23"/>
      <c r="JZ75" s="23"/>
      <c r="KA75" s="23"/>
      <c r="KB75" s="34"/>
    </row>
    <row r="76" spans="2:288" ht="15" customHeight="1" x14ac:dyDescent="0.35">
      <c r="B76" s="146" t="s">
        <v>1275</v>
      </c>
      <c r="C76" s="148" t="str">
        <v/>
      </c>
      <c r="D76" s="148" t="str">
        <v/>
      </c>
      <c r="E76" s="148" t="str">
        <v/>
      </c>
      <c r="F76" s="148" t="str">
        <v/>
      </c>
      <c r="G76" s="268" t="str">
        <v/>
      </c>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34"/>
      <c r="DX76" s="23"/>
      <c r="DY76" s="23"/>
      <c r="DZ76" s="23"/>
      <c r="EA76" s="23"/>
      <c r="EB76" s="23"/>
      <c r="EC76" s="23"/>
      <c r="ED76" s="23"/>
      <c r="EE76" s="23"/>
      <c r="EF76" s="23"/>
      <c r="EG76" s="23"/>
      <c r="EH76" s="23"/>
      <c r="EI76" s="23"/>
      <c r="EJ76" s="23"/>
      <c r="EK76" s="23"/>
      <c r="EL76" s="23"/>
      <c r="EM76" s="23"/>
      <c r="EN76" s="23"/>
      <c r="EO76" s="23"/>
      <c r="EP76" s="23"/>
      <c r="EQ76" s="23"/>
      <c r="ER76" s="34"/>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23"/>
      <c r="IA76" s="23"/>
      <c r="IB76" s="23"/>
      <c r="IC76" s="23"/>
      <c r="ID76" s="23"/>
      <c r="IE76" s="23"/>
      <c r="IF76" s="23"/>
      <c r="IG76" s="23"/>
      <c r="IH76" s="23"/>
      <c r="II76" s="23"/>
      <c r="IJ76" s="23"/>
      <c r="IK76" s="23"/>
      <c r="IL76" s="23"/>
      <c r="IM76" s="23"/>
      <c r="IN76" s="23"/>
      <c r="IO76" s="23"/>
      <c r="IP76" s="23"/>
      <c r="IQ76" s="23"/>
      <c r="IR76" s="23"/>
      <c r="IS76" s="23"/>
      <c r="IT76" s="23"/>
      <c r="IU76" s="23"/>
      <c r="IV76" s="23"/>
      <c r="IW76" s="23"/>
      <c r="IX76" s="23"/>
      <c r="IY76" s="23"/>
      <c r="IZ76" s="23"/>
      <c r="JA76" s="23"/>
      <c r="JB76" s="23"/>
      <c r="JC76" s="23"/>
      <c r="JD76" s="23"/>
      <c r="JE76" s="23"/>
      <c r="JF76" s="23"/>
      <c r="JG76" s="34"/>
      <c r="JH76" s="23"/>
      <c r="JI76" s="23"/>
      <c r="JJ76" s="23"/>
      <c r="JK76" s="23"/>
      <c r="JL76" s="23"/>
      <c r="JM76" s="23"/>
      <c r="JN76" s="23"/>
      <c r="JO76" s="23"/>
      <c r="JP76" s="23"/>
      <c r="JQ76" s="23"/>
      <c r="JR76" s="23"/>
      <c r="JS76" s="23"/>
      <c r="JT76" s="23"/>
      <c r="JU76" s="23"/>
      <c r="JV76" s="23"/>
      <c r="JW76" s="23"/>
      <c r="JX76" s="23"/>
      <c r="JY76" s="23"/>
      <c r="JZ76" s="23"/>
      <c r="KA76" s="23"/>
      <c r="KB76" s="34"/>
    </row>
    <row r="77" spans="2:288" ht="15" customHeight="1" x14ac:dyDescent="0.35">
      <c r="B77" s="146" t="s">
        <v>1276</v>
      </c>
      <c r="C77" s="148" t="str">
        <v/>
      </c>
      <c r="D77" s="148" t="str">
        <v/>
      </c>
      <c r="E77" s="148" t="str">
        <v/>
      </c>
      <c r="F77" s="148" t="str">
        <v/>
      </c>
      <c r="G77" s="268" t="str">
        <v/>
      </c>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34"/>
      <c r="DX77" s="23"/>
      <c r="DY77" s="23"/>
      <c r="DZ77" s="23"/>
      <c r="EA77" s="23"/>
      <c r="EB77" s="23"/>
      <c r="EC77" s="23"/>
      <c r="ED77" s="23"/>
      <c r="EE77" s="23"/>
      <c r="EF77" s="23"/>
      <c r="EG77" s="23"/>
      <c r="EH77" s="23"/>
      <c r="EI77" s="23"/>
      <c r="EJ77" s="23"/>
      <c r="EK77" s="23"/>
      <c r="EL77" s="23"/>
      <c r="EM77" s="23"/>
      <c r="EN77" s="23"/>
      <c r="EO77" s="23"/>
      <c r="EP77" s="23"/>
      <c r="EQ77" s="23"/>
      <c r="ER77" s="34"/>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c r="HX77" s="23"/>
      <c r="HY77" s="23"/>
      <c r="HZ77" s="23"/>
      <c r="IA77" s="23"/>
      <c r="IB77" s="23"/>
      <c r="IC77" s="23"/>
      <c r="ID77" s="23"/>
      <c r="IE77" s="23"/>
      <c r="IF77" s="23"/>
      <c r="IG77" s="23"/>
      <c r="IH77" s="23"/>
      <c r="II77" s="23"/>
      <c r="IJ77" s="23"/>
      <c r="IK77" s="23"/>
      <c r="IL77" s="23"/>
      <c r="IM77" s="23"/>
      <c r="IN77" s="23"/>
      <c r="IO77" s="23"/>
      <c r="IP77" s="23"/>
      <c r="IQ77" s="23"/>
      <c r="IR77" s="23"/>
      <c r="IS77" s="23"/>
      <c r="IT77" s="23"/>
      <c r="IU77" s="23"/>
      <c r="IV77" s="23"/>
      <c r="IW77" s="23"/>
      <c r="IX77" s="23"/>
      <c r="IY77" s="23"/>
      <c r="IZ77" s="23"/>
      <c r="JA77" s="23"/>
      <c r="JB77" s="23"/>
      <c r="JC77" s="23"/>
      <c r="JD77" s="23"/>
      <c r="JE77" s="23"/>
      <c r="JF77" s="23"/>
      <c r="JG77" s="34"/>
      <c r="JH77" s="23"/>
      <c r="JI77" s="23"/>
      <c r="JJ77" s="23"/>
      <c r="JK77" s="23"/>
      <c r="JL77" s="23"/>
      <c r="JM77" s="23"/>
      <c r="JN77" s="23"/>
      <c r="JO77" s="23"/>
      <c r="JP77" s="23"/>
      <c r="JQ77" s="23"/>
      <c r="JR77" s="23"/>
      <c r="JS77" s="23"/>
      <c r="JT77" s="23"/>
      <c r="JU77" s="23"/>
      <c r="JV77" s="23"/>
      <c r="JW77" s="23"/>
      <c r="JX77" s="23"/>
      <c r="JY77" s="23"/>
      <c r="JZ77" s="23"/>
      <c r="KA77" s="23"/>
      <c r="KB77" s="34"/>
    </row>
    <row r="78" spans="2:288" ht="15" customHeight="1" x14ac:dyDescent="0.35">
      <c r="B78" s="146" t="s">
        <v>1277</v>
      </c>
      <c r="C78" s="148" t="str">
        <v/>
      </c>
      <c r="D78" s="148" t="str">
        <v/>
      </c>
      <c r="E78" s="148" t="str">
        <v/>
      </c>
      <c r="F78" s="148" t="str">
        <v/>
      </c>
      <c r="G78" s="268" t="str">
        <v/>
      </c>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34"/>
      <c r="DX78" s="23"/>
      <c r="DY78" s="23"/>
      <c r="DZ78" s="23"/>
      <c r="EA78" s="23"/>
      <c r="EB78" s="23"/>
      <c r="EC78" s="23"/>
      <c r="ED78" s="23"/>
      <c r="EE78" s="23"/>
      <c r="EF78" s="23"/>
      <c r="EG78" s="23"/>
      <c r="EH78" s="23"/>
      <c r="EI78" s="23"/>
      <c r="EJ78" s="23"/>
      <c r="EK78" s="23"/>
      <c r="EL78" s="23"/>
      <c r="EM78" s="23"/>
      <c r="EN78" s="23"/>
      <c r="EO78" s="23"/>
      <c r="EP78" s="23"/>
      <c r="EQ78" s="23"/>
      <c r="ER78" s="34"/>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c r="GK78" s="23"/>
      <c r="GL78" s="23"/>
      <c r="GM78" s="23"/>
      <c r="GN78" s="23"/>
      <c r="GO78" s="23"/>
      <c r="GP78" s="23"/>
      <c r="GQ78" s="23"/>
      <c r="GR78" s="23"/>
      <c r="GS78" s="23"/>
      <c r="GT78" s="23"/>
      <c r="GU78" s="23"/>
      <c r="GV78" s="23"/>
      <c r="GW78" s="23"/>
      <c r="GX78" s="23"/>
      <c r="GY78" s="23"/>
      <c r="GZ78" s="23"/>
      <c r="HA78" s="23"/>
      <c r="HB78" s="23"/>
      <c r="HC78" s="23"/>
      <c r="HD78" s="23"/>
      <c r="HE78" s="23"/>
      <c r="HF78" s="23"/>
      <c r="HG78" s="23"/>
      <c r="HH78" s="23"/>
      <c r="HI78" s="23"/>
      <c r="HJ78" s="23"/>
      <c r="HK78" s="23"/>
      <c r="HL78" s="23"/>
      <c r="HM78" s="23"/>
      <c r="HN78" s="23"/>
      <c r="HO78" s="23"/>
      <c r="HP78" s="23"/>
      <c r="HQ78" s="23"/>
      <c r="HR78" s="23"/>
      <c r="HS78" s="23"/>
      <c r="HT78" s="23"/>
      <c r="HU78" s="23"/>
      <c r="HV78" s="23"/>
      <c r="HW78" s="23"/>
      <c r="HX78" s="23"/>
      <c r="HY78" s="23"/>
      <c r="HZ78" s="23"/>
      <c r="IA78" s="23"/>
      <c r="IB78" s="23"/>
      <c r="IC78" s="23"/>
      <c r="ID78" s="23"/>
      <c r="IE78" s="23"/>
      <c r="IF78" s="23"/>
      <c r="IG78" s="23"/>
      <c r="IH78" s="23"/>
      <c r="II78" s="23"/>
      <c r="IJ78" s="23"/>
      <c r="IK78" s="23"/>
      <c r="IL78" s="23"/>
      <c r="IM78" s="23"/>
      <c r="IN78" s="23"/>
      <c r="IO78" s="23"/>
      <c r="IP78" s="23"/>
      <c r="IQ78" s="23"/>
      <c r="IR78" s="23"/>
      <c r="IS78" s="23"/>
      <c r="IT78" s="23"/>
      <c r="IU78" s="23"/>
      <c r="IV78" s="23"/>
      <c r="IW78" s="23"/>
      <c r="IX78" s="23"/>
      <c r="IY78" s="23"/>
      <c r="IZ78" s="23"/>
      <c r="JA78" s="23"/>
      <c r="JB78" s="23"/>
      <c r="JC78" s="23"/>
      <c r="JD78" s="23"/>
      <c r="JE78" s="23"/>
      <c r="JF78" s="23"/>
      <c r="JG78" s="34"/>
      <c r="JH78" s="23"/>
      <c r="JI78" s="23"/>
      <c r="JJ78" s="23"/>
      <c r="JK78" s="23"/>
      <c r="JL78" s="23"/>
      <c r="JM78" s="23"/>
      <c r="JN78" s="23"/>
      <c r="JO78" s="23"/>
      <c r="JP78" s="23"/>
      <c r="JQ78" s="23"/>
      <c r="JR78" s="23"/>
      <c r="JS78" s="23"/>
      <c r="JT78" s="23"/>
      <c r="JU78" s="23"/>
      <c r="JV78" s="23"/>
      <c r="JW78" s="23"/>
      <c r="JX78" s="23"/>
      <c r="JY78" s="23"/>
      <c r="JZ78" s="23"/>
      <c r="KA78" s="23"/>
      <c r="KB78" s="34"/>
    </row>
    <row r="79" spans="2:288" ht="15" customHeight="1" x14ac:dyDescent="0.35">
      <c r="B79" s="146" t="s">
        <v>1278</v>
      </c>
      <c r="C79" s="148" t="str">
        <v/>
      </c>
      <c r="D79" s="148" t="str">
        <v/>
      </c>
      <c r="E79" s="148" t="str">
        <v/>
      </c>
      <c r="F79" s="148" t="str">
        <v/>
      </c>
      <c r="G79" s="268" t="str">
        <v/>
      </c>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34"/>
      <c r="DX79" s="23"/>
      <c r="DY79" s="23"/>
      <c r="DZ79" s="23"/>
      <c r="EA79" s="23"/>
      <c r="EB79" s="23"/>
      <c r="EC79" s="23"/>
      <c r="ED79" s="23"/>
      <c r="EE79" s="23"/>
      <c r="EF79" s="23"/>
      <c r="EG79" s="23"/>
      <c r="EH79" s="23"/>
      <c r="EI79" s="23"/>
      <c r="EJ79" s="23"/>
      <c r="EK79" s="23"/>
      <c r="EL79" s="23"/>
      <c r="EM79" s="23"/>
      <c r="EN79" s="23"/>
      <c r="EO79" s="23"/>
      <c r="EP79" s="23"/>
      <c r="EQ79" s="23"/>
      <c r="ER79" s="34"/>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c r="HX79" s="23"/>
      <c r="HY79" s="23"/>
      <c r="HZ79" s="23"/>
      <c r="IA79" s="23"/>
      <c r="IB79" s="23"/>
      <c r="IC79" s="23"/>
      <c r="ID79" s="23"/>
      <c r="IE79" s="23"/>
      <c r="IF79" s="23"/>
      <c r="IG79" s="23"/>
      <c r="IH79" s="23"/>
      <c r="II79" s="23"/>
      <c r="IJ79" s="23"/>
      <c r="IK79" s="23"/>
      <c r="IL79" s="23"/>
      <c r="IM79" s="23"/>
      <c r="IN79" s="23"/>
      <c r="IO79" s="23"/>
      <c r="IP79" s="23"/>
      <c r="IQ79" s="23"/>
      <c r="IR79" s="23"/>
      <c r="IS79" s="23"/>
      <c r="IT79" s="23"/>
      <c r="IU79" s="23"/>
      <c r="IV79" s="23"/>
      <c r="IW79" s="23"/>
      <c r="IX79" s="23"/>
      <c r="IY79" s="23"/>
      <c r="IZ79" s="23"/>
      <c r="JA79" s="23"/>
      <c r="JB79" s="23"/>
      <c r="JC79" s="23"/>
      <c r="JD79" s="23"/>
      <c r="JE79" s="23"/>
      <c r="JF79" s="23"/>
      <c r="JG79" s="34"/>
      <c r="JH79" s="23"/>
      <c r="JI79" s="23"/>
      <c r="JJ79" s="23"/>
      <c r="JK79" s="23"/>
      <c r="JL79" s="23"/>
      <c r="JM79" s="23"/>
      <c r="JN79" s="23"/>
      <c r="JO79" s="23"/>
      <c r="JP79" s="23"/>
      <c r="JQ79" s="23"/>
      <c r="JR79" s="23"/>
      <c r="JS79" s="23"/>
      <c r="JT79" s="23"/>
      <c r="JU79" s="23"/>
      <c r="JV79" s="23"/>
      <c r="JW79" s="23"/>
      <c r="JX79" s="23"/>
      <c r="JY79" s="23"/>
      <c r="JZ79" s="23"/>
      <c r="KA79" s="23"/>
      <c r="KB79" s="34"/>
    </row>
    <row r="80" spans="2:288" ht="15" customHeight="1" x14ac:dyDescent="0.35">
      <c r="B80" s="146" t="s">
        <v>1279</v>
      </c>
      <c r="C80" s="148" t="str">
        <v/>
      </c>
      <c r="D80" s="148" t="str">
        <v/>
      </c>
      <c r="E80" s="148" t="str">
        <v/>
      </c>
      <c r="F80" s="148" t="str">
        <v/>
      </c>
      <c r="G80" s="268" t="str">
        <v/>
      </c>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34"/>
      <c r="DX80" s="23"/>
      <c r="DY80" s="23"/>
      <c r="DZ80" s="23"/>
      <c r="EA80" s="23"/>
      <c r="EB80" s="23"/>
      <c r="EC80" s="23"/>
      <c r="ED80" s="23"/>
      <c r="EE80" s="23"/>
      <c r="EF80" s="23"/>
      <c r="EG80" s="23"/>
      <c r="EH80" s="23"/>
      <c r="EI80" s="23"/>
      <c r="EJ80" s="23"/>
      <c r="EK80" s="23"/>
      <c r="EL80" s="23"/>
      <c r="EM80" s="23"/>
      <c r="EN80" s="23"/>
      <c r="EO80" s="23"/>
      <c r="EP80" s="23"/>
      <c r="EQ80" s="23"/>
      <c r="ER80" s="34"/>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c r="HX80" s="23"/>
      <c r="HY80" s="23"/>
      <c r="HZ80" s="23"/>
      <c r="IA80" s="23"/>
      <c r="IB80" s="23"/>
      <c r="IC80" s="23"/>
      <c r="ID80" s="23"/>
      <c r="IE80" s="23"/>
      <c r="IF80" s="23"/>
      <c r="IG80" s="23"/>
      <c r="IH80" s="23"/>
      <c r="II80" s="23"/>
      <c r="IJ80" s="23"/>
      <c r="IK80" s="23"/>
      <c r="IL80" s="23"/>
      <c r="IM80" s="23"/>
      <c r="IN80" s="23"/>
      <c r="IO80" s="23"/>
      <c r="IP80" s="23"/>
      <c r="IQ80" s="23"/>
      <c r="IR80" s="23"/>
      <c r="IS80" s="23"/>
      <c r="IT80" s="23"/>
      <c r="IU80" s="23"/>
      <c r="IV80" s="23"/>
      <c r="IW80" s="23"/>
      <c r="IX80" s="23"/>
      <c r="IY80" s="23"/>
      <c r="IZ80" s="23"/>
      <c r="JA80" s="23"/>
      <c r="JB80" s="23"/>
      <c r="JC80" s="23"/>
      <c r="JD80" s="23"/>
      <c r="JE80" s="23"/>
      <c r="JF80" s="23"/>
      <c r="JG80" s="34"/>
      <c r="JH80" s="23"/>
      <c r="JI80" s="23"/>
      <c r="JJ80" s="23"/>
      <c r="JK80" s="23"/>
      <c r="JL80" s="23"/>
      <c r="JM80" s="23"/>
      <c r="JN80" s="23"/>
      <c r="JO80" s="23"/>
      <c r="JP80" s="23"/>
      <c r="JQ80" s="23"/>
      <c r="JR80" s="23"/>
      <c r="JS80" s="23"/>
      <c r="JT80" s="23"/>
      <c r="JU80" s="23"/>
      <c r="JV80" s="23"/>
      <c r="JW80" s="23"/>
      <c r="JX80" s="23"/>
      <c r="JY80" s="23"/>
      <c r="JZ80" s="23"/>
      <c r="KA80" s="23"/>
      <c r="KB80" s="34"/>
    </row>
    <row r="81" spans="2:288" ht="15" customHeight="1" x14ac:dyDescent="0.35">
      <c r="B81" s="146" t="s">
        <v>1280</v>
      </c>
      <c r="C81" s="148" t="str">
        <v/>
      </c>
      <c r="D81" s="148" t="str">
        <v/>
      </c>
      <c r="E81" s="148" t="str">
        <v/>
      </c>
      <c r="F81" s="148" t="str">
        <v/>
      </c>
      <c r="G81" s="268" t="str">
        <v/>
      </c>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34"/>
      <c r="DX81" s="23"/>
      <c r="DY81" s="23"/>
      <c r="DZ81" s="23"/>
      <c r="EA81" s="23"/>
      <c r="EB81" s="23"/>
      <c r="EC81" s="23"/>
      <c r="ED81" s="23"/>
      <c r="EE81" s="23"/>
      <c r="EF81" s="23"/>
      <c r="EG81" s="23"/>
      <c r="EH81" s="23"/>
      <c r="EI81" s="23"/>
      <c r="EJ81" s="23"/>
      <c r="EK81" s="23"/>
      <c r="EL81" s="23"/>
      <c r="EM81" s="23"/>
      <c r="EN81" s="23"/>
      <c r="EO81" s="23"/>
      <c r="EP81" s="23"/>
      <c r="EQ81" s="23"/>
      <c r="ER81" s="34"/>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c r="HX81" s="23"/>
      <c r="HY81" s="23"/>
      <c r="HZ81" s="23"/>
      <c r="IA81" s="23"/>
      <c r="IB81" s="23"/>
      <c r="IC81" s="23"/>
      <c r="ID81" s="23"/>
      <c r="IE81" s="23"/>
      <c r="IF81" s="23"/>
      <c r="IG81" s="23"/>
      <c r="IH81" s="23"/>
      <c r="II81" s="23"/>
      <c r="IJ81" s="23"/>
      <c r="IK81" s="23"/>
      <c r="IL81" s="23"/>
      <c r="IM81" s="23"/>
      <c r="IN81" s="23"/>
      <c r="IO81" s="23"/>
      <c r="IP81" s="23"/>
      <c r="IQ81" s="23"/>
      <c r="IR81" s="23"/>
      <c r="IS81" s="23"/>
      <c r="IT81" s="23"/>
      <c r="IU81" s="23"/>
      <c r="IV81" s="23"/>
      <c r="IW81" s="23"/>
      <c r="IX81" s="23"/>
      <c r="IY81" s="23"/>
      <c r="IZ81" s="23"/>
      <c r="JA81" s="23"/>
      <c r="JB81" s="23"/>
      <c r="JC81" s="23"/>
      <c r="JD81" s="23"/>
      <c r="JE81" s="23"/>
      <c r="JF81" s="23"/>
      <c r="JG81" s="34"/>
      <c r="JH81" s="23"/>
      <c r="JI81" s="23"/>
      <c r="JJ81" s="23"/>
      <c r="JK81" s="23"/>
      <c r="JL81" s="23"/>
      <c r="JM81" s="23"/>
      <c r="JN81" s="23"/>
      <c r="JO81" s="23"/>
      <c r="JP81" s="23"/>
      <c r="JQ81" s="23"/>
      <c r="JR81" s="23"/>
      <c r="JS81" s="23"/>
      <c r="JT81" s="23"/>
      <c r="JU81" s="23"/>
      <c r="JV81" s="23"/>
      <c r="JW81" s="23"/>
      <c r="JX81" s="23"/>
      <c r="JY81" s="23"/>
      <c r="JZ81" s="23"/>
      <c r="KA81" s="23"/>
      <c r="KB81" s="34"/>
    </row>
    <row r="82" spans="2:288" ht="15" customHeight="1" x14ac:dyDescent="0.35">
      <c r="B82" s="146" t="s">
        <v>1281</v>
      </c>
      <c r="C82" s="148" t="str">
        <v/>
      </c>
      <c r="D82" s="148" t="str">
        <v/>
      </c>
      <c r="E82" s="148" t="str">
        <v/>
      </c>
      <c r="F82" s="148" t="str">
        <v/>
      </c>
      <c r="G82" s="268" t="str">
        <v/>
      </c>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34"/>
      <c r="DX82" s="23"/>
      <c r="DY82" s="23"/>
      <c r="DZ82" s="23"/>
      <c r="EA82" s="23"/>
      <c r="EB82" s="23"/>
      <c r="EC82" s="23"/>
      <c r="ED82" s="23"/>
      <c r="EE82" s="23"/>
      <c r="EF82" s="23"/>
      <c r="EG82" s="23"/>
      <c r="EH82" s="23"/>
      <c r="EI82" s="23"/>
      <c r="EJ82" s="23"/>
      <c r="EK82" s="23"/>
      <c r="EL82" s="23"/>
      <c r="EM82" s="23"/>
      <c r="EN82" s="23"/>
      <c r="EO82" s="23"/>
      <c r="EP82" s="23"/>
      <c r="EQ82" s="23"/>
      <c r="ER82" s="34"/>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c r="GZ82" s="23"/>
      <c r="HA82" s="23"/>
      <c r="HB82" s="23"/>
      <c r="HC82" s="23"/>
      <c r="HD82" s="23"/>
      <c r="HE82" s="23"/>
      <c r="HF82" s="23"/>
      <c r="HG82" s="23"/>
      <c r="HH82" s="23"/>
      <c r="HI82" s="23"/>
      <c r="HJ82" s="23"/>
      <c r="HK82" s="23"/>
      <c r="HL82" s="23"/>
      <c r="HM82" s="23"/>
      <c r="HN82" s="23"/>
      <c r="HO82" s="23"/>
      <c r="HP82" s="23"/>
      <c r="HQ82" s="23"/>
      <c r="HR82" s="23"/>
      <c r="HS82" s="23"/>
      <c r="HT82" s="23"/>
      <c r="HU82" s="23"/>
      <c r="HV82" s="23"/>
      <c r="HW82" s="23"/>
      <c r="HX82" s="23"/>
      <c r="HY82" s="23"/>
      <c r="HZ82" s="23"/>
      <c r="IA82" s="23"/>
      <c r="IB82" s="23"/>
      <c r="IC82" s="23"/>
      <c r="ID82" s="23"/>
      <c r="IE82" s="23"/>
      <c r="IF82" s="23"/>
      <c r="IG82" s="23"/>
      <c r="IH82" s="23"/>
      <c r="II82" s="23"/>
      <c r="IJ82" s="23"/>
      <c r="IK82" s="23"/>
      <c r="IL82" s="23"/>
      <c r="IM82" s="23"/>
      <c r="IN82" s="23"/>
      <c r="IO82" s="23"/>
      <c r="IP82" s="23"/>
      <c r="IQ82" s="23"/>
      <c r="IR82" s="23"/>
      <c r="IS82" s="23"/>
      <c r="IT82" s="23"/>
      <c r="IU82" s="23"/>
      <c r="IV82" s="23"/>
      <c r="IW82" s="23"/>
      <c r="IX82" s="23"/>
      <c r="IY82" s="23"/>
      <c r="IZ82" s="23"/>
      <c r="JA82" s="23"/>
      <c r="JB82" s="23"/>
      <c r="JC82" s="23"/>
      <c r="JD82" s="23"/>
      <c r="JE82" s="23"/>
      <c r="JF82" s="23"/>
      <c r="JG82" s="34"/>
      <c r="JH82" s="23"/>
      <c r="JI82" s="23"/>
      <c r="JJ82" s="23"/>
      <c r="JK82" s="23"/>
      <c r="JL82" s="23"/>
      <c r="JM82" s="23"/>
      <c r="JN82" s="23"/>
      <c r="JO82" s="23"/>
      <c r="JP82" s="23"/>
      <c r="JQ82" s="23"/>
      <c r="JR82" s="23"/>
      <c r="JS82" s="23"/>
      <c r="JT82" s="23"/>
      <c r="JU82" s="23"/>
      <c r="JV82" s="23"/>
      <c r="JW82" s="23"/>
      <c r="JX82" s="23"/>
      <c r="JY82" s="23"/>
      <c r="JZ82" s="23"/>
      <c r="KA82" s="23"/>
      <c r="KB82" s="34"/>
    </row>
    <row r="83" spans="2:288" ht="15" customHeight="1" x14ac:dyDescent="0.35">
      <c r="B83" s="146" t="s">
        <v>1282</v>
      </c>
      <c r="C83" s="148" t="str">
        <v/>
      </c>
      <c r="D83" s="148" t="str">
        <v/>
      </c>
      <c r="E83" s="148" t="str">
        <v/>
      </c>
      <c r="F83" s="148" t="str">
        <v/>
      </c>
      <c r="G83" s="268" t="str">
        <v/>
      </c>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34"/>
      <c r="DX83" s="23"/>
      <c r="DY83" s="23"/>
      <c r="DZ83" s="23"/>
      <c r="EA83" s="23"/>
      <c r="EB83" s="23"/>
      <c r="EC83" s="23"/>
      <c r="ED83" s="23"/>
      <c r="EE83" s="23"/>
      <c r="EF83" s="23"/>
      <c r="EG83" s="23"/>
      <c r="EH83" s="23"/>
      <c r="EI83" s="23"/>
      <c r="EJ83" s="23"/>
      <c r="EK83" s="23"/>
      <c r="EL83" s="23"/>
      <c r="EM83" s="23"/>
      <c r="EN83" s="23"/>
      <c r="EO83" s="23"/>
      <c r="EP83" s="23"/>
      <c r="EQ83" s="23"/>
      <c r="ER83" s="34"/>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c r="IU83" s="23"/>
      <c r="IV83" s="23"/>
      <c r="IW83" s="23"/>
      <c r="IX83" s="23"/>
      <c r="IY83" s="23"/>
      <c r="IZ83" s="23"/>
      <c r="JA83" s="23"/>
      <c r="JB83" s="23"/>
      <c r="JC83" s="23"/>
      <c r="JD83" s="23"/>
      <c r="JE83" s="23"/>
      <c r="JF83" s="23"/>
      <c r="JG83" s="34"/>
      <c r="JH83" s="23"/>
      <c r="JI83" s="23"/>
      <c r="JJ83" s="23"/>
      <c r="JK83" s="23"/>
      <c r="JL83" s="23"/>
      <c r="JM83" s="23"/>
      <c r="JN83" s="23"/>
      <c r="JO83" s="23"/>
      <c r="JP83" s="23"/>
      <c r="JQ83" s="23"/>
      <c r="JR83" s="23"/>
      <c r="JS83" s="23"/>
      <c r="JT83" s="23"/>
      <c r="JU83" s="23"/>
      <c r="JV83" s="23"/>
      <c r="JW83" s="23"/>
      <c r="JX83" s="23"/>
      <c r="JY83" s="23"/>
      <c r="JZ83" s="23"/>
      <c r="KA83" s="23"/>
      <c r="KB83" s="34"/>
    </row>
    <row r="84" spans="2:288" ht="15" customHeight="1" x14ac:dyDescent="0.35">
      <c r="B84" s="146" t="s">
        <v>1283</v>
      </c>
      <c r="C84" s="148" t="str">
        <v/>
      </c>
      <c r="D84" s="148" t="str">
        <v/>
      </c>
      <c r="E84" s="148" t="str">
        <v/>
      </c>
      <c r="F84" s="148" t="str">
        <v/>
      </c>
      <c r="G84" s="268" t="str">
        <v/>
      </c>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34"/>
      <c r="DX84" s="23"/>
      <c r="DY84" s="23"/>
      <c r="DZ84" s="23"/>
      <c r="EA84" s="23"/>
      <c r="EB84" s="23"/>
      <c r="EC84" s="23"/>
      <c r="ED84" s="23"/>
      <c r="EE84" s="23"/>
      <c r="EF84" s="23"/>
      <c r="EG84" s="23"/>
      <c r="EH84" s="23"/>
      <c r="EI84" s="23"/>
      <c r="EJ84" s="23"/>
      <c r="EK84" s="23"/>
      <c r="EL84" s="23"/>
      <c r="EM84" s="23"/>
      <c r="EN84" s="23"/>
      <c r="EO84" s="23"/>
      <c r="EP84" s="23"/>
      <c r="EQ84" s="23"/>
      <c r="ER84" s="34"/>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c r="HX84" s="23"/>
      <c r="HY84" s="23"/>
      <c r="HZ84" s="23"/>
      <c r="IA84" s="23"/>
      <c r="IB84" s="23"/>
      <c r="IC84" s="23"/>
      <c r="ID84" s="23"/>
      <c r="IE84" s="23"/>
      <c r="IF84" s="23"/>
      <c r="IG84" s="23"/>
      <c r="IH84" s="23"/>
      <c r="II84" s="23"/>
      <c r="IJ84" s="23"/>
      <c r="IK84" s="23"/>
      <c r="IL84" s="23"/>
      <c r="IM84" s="23"/>
      <c r="IN84" s="23"/>
      <c r="IO84" s="23"/>
      <c r="IP84" s="23"/>
      <c r="IQ84" s="23"/>
      <c r="IR84" s="23"/>
      <c r="IS84" s="23"/>
      <c r="IT84" s="23"/>
      <c r="IU84" s="23"/>
      <c r="IV84" s="23"/>
      <c r="IW84" s="23"/>
      <c r="IX84" s="23"/>
      <c r="IY84" s="23"/>
      <c r="IZ84" s="23"/>
      <c r="JA84" s="23"/>
      <c r="JB84" s="23"/>
      <c r="JC84" s="23"/>
      <c r="JD84" s="23"/>
      <c r="JE84" s="23"/>
      <c r="JF84" s="23"/>
      <c r="JG84" s="34"/>
      <c r="JH84" s="23"/>
      <c r="JI84" s="23"/>
      <c r="JJ84" s="23"/>
      <c r="JK84" s="23"/>
      <c r="JL84" s="23"/>
      <c r="JM84" s="23"/>
      <c r="JN84" s="23"/>
      <c r="JO84" s="23"/>
      <c r="JP84" s="23"/>
      <c r="JQ84" s="23"/>
      <c r="JR84" s="23"/>
      <c r="JS84" s="23"/>
      <c r="JT84" s="23"/>
      <c r="JU84" s="23"/>
      <c r="JV84" s="23"/>
      <c r="JW84" s="23"/>
      <c r="JX84" s="23"/>
      <c r="JY84" s="23"/>
      <c r="JZ84" s="23"/>
      <c r="KA84" s="23"/>
      <c r="KB84" s="34"/>
    </row>
    <row r="85" spans="2:288" ht="15" customHeight="1" x14ac:dyDescent="0.35">
      <c r="B85" s="146" t="s">
        <v>1284</v>
      </c>
      <c r="C85" s="148" t="str">
        <v/>
      </c>
      <c r="D85" s="148" t="str">
        <v/>
      </c>
      <c r="E85" s="148" t="str">
        <v/>
      </c>
      <c r="F85" s="148" t="str">
        <v/>
      </c>
      <c r="G85" s="268" t="str">
        <v/>
      </c>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34"/>
      <c r="DX85" s="23"/>
      <c r="DY85" s="23"/>
      <c r="DZ85" s="23"/>
      <c r="EA85" s="23"/>
      <c r="EB85" s="23"/>
      <c r="EC85" s="23"/>
      <c r="ED85" s="23"/>
      <c r="EE85" s="23"/>
      <c r="EF85" s="23"/>
      <c r="EG85" s="23"/>
      <c r="EH85" s="23"/>
      <c r="EI85" s="23"/>
      <c r="EJ85" s="23"/>
      <c r="EK85" s="23"/>
      <c r="EL85" s="23"/>
      <c r="EM85" s="23"/>
      <c r="EN85" s="23"/>
      <c r="EO85" s="23"/>
      <c r="EP85" s="23"/>
      <c r="EQ85" s="23"/>
      <c r="ER85" s="34"/>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c r="HX85" s="23"/>
      <c r="HY85" s="23"/>
      <c r="HZ85" s="23"/>
      <c r="IA85" s="23"/>
      <c r="IB85" s="23"/>
      <c r="IC85" s="23"/>
      <c r="ID85" s="23"/>
      <c r="IE85" s="23"/>
      <c r="IF85" s="23"/>
      <c r="IG85" s="23"/>
      <c r="IH85" s="23"/>
      <c r="II85" s="23"/>
      <c r="IJ85" s="23"/>
      <c r="IK85" s="23"/>
      <c r="IL85" s="23"/>
      <c r="IM85" s="23"/>
      <c r="IN85" s="23"/>
      <c r="IO85" s="23"/>
      <c r="IP85" s="23"/>
      <c r="IQ85" s="23"/>
      <c r="IR85" s="23"/>
      <c r="IS85" s="23"/>
      <c r="IT85" s="23"/>
      <c r="IU85" s="23"/>
      <c r="IV85" s="23"/>
      <c r="IW85" s="23"/>
      <c r="IX85" s="23"/>
      <c r="IY85" s="23"/>
      <c r="IZ85" s="23"/>
      <c r="JA85" s="23"/>
      <c r="JB85" s="23"/>
      <c r="JC85" s="23"/>
      <c r="JD85" s="23"/>
      <c r="JE85" s="23"/>
      <c r="JF85" s="23"/>
      <c r="JG85" s="34"/>
      <c r="JH85" s="23"/>
      <c r="JI85" s="23"/>
      <c r="JJ85" s="23"/>
      <c r="JK85" s="23"/>
      <c r="JL85" s="23"/>
      <c r="JM85" s="23"/>
      <c r="JN85" s="23"/>
      <c r="JO85" s="23"/>
      <c r="JP85" s="23"/>
      <c r="JQ85" s="23"/>
      <c r="JR85" s="23"/>
      <c r="JS85" s="23"/>
      <c r="JT85" s="23"/>
      <c r="JU85" s="23"/>
      <c r="JV85" s="23"/>
      <c r="JW85" s="23"/>
      <c r="JX85" s="23"/>
      <c r="JY85" s="23"/>
      <c r="JZ85" s="23"/>
      <c r="KA85" s="23"/>
      <c r="KB85" s="34"/>
    </row>
    <row r="86" spans="2:288" ht="15" customHeight="1" x14ac:dyDescent="0.35">
      <c r="B86" s="146" t="s">
        <v>1285</v>
      </c>
      <c r="C86" s="148" t="str">
        <v/>
      </c>
      <c r="D86" s="148" t="str">
        <v/>
      </c>
      <c r="E86" s="148" t="str">
        <v/>
      </c>
      <c r="F86" s="148" t="str">
        <v/>
      </c>
      <c r="G86" s="268" t="str">
        <v/>
      </c>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34"/>
      <c r="DX86" s="23"/>
      <c r="DY86" s="23"/>
      <c r="DZ86" s="23"/>
      <c r="EA86" s="23"/>
      <c r="EB86" s="23"/>
      <c r="EC86" s="23"/>
      <c r="ED86" s="23"/>
      <c r="EE86" s="23"/>
      <c r="EF86" s="23"/>
      <c r="EG86" s="23"/>
      <c r="EH86" s="23"/>
      <c r="EI86" s="23"/>
      <c r="EJ86" s="23"/>
      <c r="EK86" s="23"/>
      <c r="EL86" s="23"/>
      <c r="EM86" s="23"/>
      <c r="EN86" s="23"/>
      <c r="EO86" s="23"/>
      <c r="EP86" s="23"/>
      <c r="EQ86" s="23"/>
      <c r="ER86" s="34"/>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c r="HT86" s="23"/>
      <c r="HU86" s="23"/>
      <c r="HV86" s="23"/>
      <c r="HW86" s="23"/>
      <c r="HX86" s="23"/>
      <c r="HY86" s="23"/>
      <c r="HZ86" s="23"/>
      <c r="IA86" s="23"/>
      <c r="IB86" s="23"/>
      <c r="IC86" s="23"/>
      <c r="ID86" s="23"/>
      <c r="IE86" s="23"/>
      <c r="IF86" s="23"/>
      <c r="IG86" s="23"/>
      <c r="IH86" s="23"/>
      <c r="II86" s="23"/>
      <c r="IJ86" s="23"/>
      <c r="IK86" s="23"/>
      <c r="IL86" s="23"/>
      <c r="IM86" s="23"/>
      <c r="IN86" s="23"/>
      <c r="IO86" s="23"/>
      <c r="IP86" s="23"/>
      <c r="IQ86" s="23"/>
      <c r="IR86" s="23"/>
      <c r="IS86" s="23"/>
      <c r="IT86" s="23"/>
      <c r="IU86" s="23"/>
      <c r="IV86" s="23"/>
      <c r="IW86" s="23"/>
      <c r="IX86" s="23"/>
      <c r="IY86" s="23"/>
      <c r="IZ86" s="23"/>
      <c r="JA86" s="23"/>
      <c r="JB86" s="23"/>
      <c r="JC86" s="23"/>
      <c r="JD86" s="23"/>
      <c r="JE86" s="23"/>
      <c r="JF86" s="23"/>
      <c r="JG86" s="34"/>
      <c r="JH86" s="23"/>
      <c r="JI86" s="23"/>
      <c r="JJ86" s="23"/>
      <c r="JK86" s="23"/>
      <c r="JL86" s="23"/>
      <c r="JM86" s="23"/>
      <c r="JN86" s="23"/>
      <c r="JO86" s="23"/>
      <c r="JP86" s="23"/>
      <c r="JQ86" s="23"/>
      <c r="JR86" s="23"/>
      <c r="JS86" s="23"/>
      <c r="JT86" s="23"/>
      <c r="JU86" s="23"/>
      <c r="JV86" s="23"/>
      <c r="JW86" s="23"/>
      <c r="JX86" s="23"/>
      <c r="JY86" s="23"/>
      <c r="JZ86" s="23"/>
      <c r="KA86" s="23"/>
      <c r="KB86" s="34"/>
    </row>
    <row r="87" spans="2:288" ht="15" customHeight="1" x14ac:dyDescent="0.35">
      <c r="B87" s="146" t="s">
        <v>1286</v>
      </c>
      <c r="C87" s="148" t="str">
        <v/>
      </c>
      <c r="D87" s="148" t="str">
        <v/>
      </c>
      <c r="E87" s="148" t="str">
        <v/>
      </c>
      <c r="F87" s="148" t="str">
        <v/>
      </c>
      <c r="G87" s="268" t="str">
        <v/>
      </c>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34"/>
      <c r="DX87" s="23"/>
      <c r="DY87" s="23"/>
      <c r="DZ87" s="23"/>
      <c r="EA87" s="23"/>
      <c r="EB87" s="23"/>
      <c r="EC87" s="23"/>
      <c r="ED87" s="23"/>
      <c r="EE87" s="23"/>
      <c r="EF87" s="23"/>
      <c r="EG87" s="23"/>
      <c r="EH87" s="23"/>
      <c r="EI87" s="23"/>
      <c r="EJ87" s="23"/>
      <c r="EK87" s="23"/>
      <c r="EL87" s="23"/>
      <c r="EM87" s="23"/>
      <c r="EN87" s="23"/>
      <c r="EO87" s="23"/>
      <c r="EP87" s="23"/>
      <c r="EQ87" s="23"/>
      <c r="ER87" s="34"/>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c r="HX87" s="23"/>
      <c r="HY87" s="23"/>
      <c r="HZ87" s="23"/>
      <c r="IA87" s="23"/>
      <c r="IB87" s="23"/>
      <c r="IC87" s="23"/>
      <c r="ID87" s="23"/>
      <c r="IE87" s="23"/>
      <c r="IF87" s="23"/>
      <c r="IG87" s="23"/>
      <c r="IH87" s="23"/>
      <c r="II87" s="23"/>
      <c r="IJ87" s="23"/>
      <c r="IK87" s="23"/>
      <c r="IL87" s="23"/>
      <c r="IM87" s="23"/>
      <c r="IN87" s="23"/>
      <c r="IO87" s="23"/>
      <c r="IP87" s="23"/>
      <c r="IQ87" s="23"/>
      <c r="IR87" s="23"/>
      <c r="IS87" s="23"/>
      <c r="IT87" s="23"/>
      <c r="IU87" s="23"/>
      <c r="IV87" s="23"/>
      <c r="IW87" s="23"/>
      <c r="IX87" s="23"/>
      <c r="IY87" s="23"/>
      <c r="IZ87" s="23"/>
      <c r="JA87" s="23"/>
      <c r="JB87" s="23"/>
      <c r="JC87" s="23"/>
      <c r="JD87" s="23"/>
      <c r="JE87" s="23"/>
      <c r="JF87" s="23"/>
      <c r="JG87" s="34"/>
      <c r="JH87" s="23"/>
      <c r="JI87" s="23"/>
      <c r="JJ87" s="23"/>
      <c r="JK87" s="23"/>
      <c r="JL87" s="23"/>
      <c r="JM87" s="23"/>
      <c r="JN87" s="23"/>
      <c r="JO87" s="23"/>
      <c r="JP87" s="23"/>
      <c r="JQ87" s="23"/>
      <c r="JR87" s="23"/>
      <c r="JS87" s="23"/>
      <c r="JT87" s="23"/>
      <c r="JU87" s="23"/>
      <c r="JV87" s="23"/>
      <c r="JW87" s="23"/>
      <c r="JX87" s="23"/>
      <c r="JY87" s="23"/>
      <c r="JZ87" s="23"/>
      <c r="KA87" s="23"/>
      <c r="KB87" s="34"/>
    </row>
    <row r="88" spans="2:288" ht="15" customHeight="1" x14ac:dyDescent="0.35">
      <c r="B88" s="146" t="s">
        <v>1287</v>
      </c>
      <c r="C88" s="148" t="str">
        <v/>
      </c>
      <c r="D88" s="148" t="str">
        <v/>
      </c>
      <c r="E88" s="148" t="str">
        <v/>
      </c>
      <c r="F88" s="148" t="str">
        <v/>
      </c>
      <c r="G88" s="268" t="str">
        <v/>
      </c>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34"/>
      <c r="DX88" s="23"/>
      <c r="DY88" s="23"/>
      <c r="DZ88" s="23"/>
      <c r="EA88" s="23"/>
      <c r="EB88" s="23"/>
      <c r="EC88" s="23"/>
      <c r="ED88" s="23"/>
      <c r="EE88" s="23"/>
      <c r="EF88" s="23"/>
      <c r="EG88" s="23"/>
      <c r="EH88" s="23"/>
      <c r="EI88" s="23"/>
      <c r="EJ88" s="23"/>
      <c r="EK88" s="23"/>
      <c r="EL88" s="23"/>
      <c r="EM88" s="23"/>
      <c r="EN88" s="23"/>
      <c r="EO88" s="23"/>
      <c r="EP88" s="23"/>
      <c r="EQ88" s="23"/>
      <c r="ER88" s="34"/>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c r="HT88" s="23"/>
      <c r="HU88" s="23"/>
      <c r="HV88" s="23"/>
      <c r="HW88" s="23"/>
      <c r="HX88" s="23"/>
      <c r="HY88" s="23"/>
      <c r="HZ88" s="23"/>
      <c r="IA88" s="23"/>
      <c r="IB88" s="23"/>
      <c r="IC88" s="23"/>
      <c r="ID88" s="23"/>
      <c r="IE88" s="23"/>
      <c r="IF88" s="23"/>
      <c r="IG88" s="23"/>
      <c r="IH88" s="23"/>
      <c r="II88" s="23"/>
      <c r="IJ88" s="23"/>
      <c r="IK88" s="23"/>
      <c r="IL88" s="23"/>
      <c r="IM88" s="23"/>
      <c r="IN88" s="23"/>
      <c r="IO88" s="23"/>
      <c r="IP88" s="23"/>
      <c r="IQ88" s="23"/>
      <c r="IR88" s="23"/>
      <c r="IS88" s="23"/>
      <c r="IT88" s="23"/>
      <c r="IU88" s="23"/>
      <c r="IV88" s="23"/>
      <c r="IW88" s="23"/>
      <c r="IX88" s="23"/>
      <c r="IY88" s="23"/>
      <c r="IZ88" s="23"/>
      <c r="JA88" s="23"/>
      <c r="JB88" s="23"/>
      <c r="JC88" s="23"/>
      <c r="JD88" s="23"/>
      <c r="JE88" s="23"/>
      <c r="JF88" s="23"/>
      <c r="JG88" s="34"/>
      <c r="JH88" s="23"/>
      <c r="JI88" s="23"/>
      <c r="JJ88" s="23"/>
      <c r="JK88" s="23"/>
      <c r="JL88" s="23"/>
      <c r="JM88" s="23"/>
      <c r="JN88" s="23"/>
      <c r="JO88" s="23"/>
      <c r="JP88" s="23"/>
      <c r="JQ88" s="23"/>
      <c r="JR88" s="23"/>
      <c r="JS88" s="23"/>
      <c r="JT88" s="23"/>
      <c r="JU88" s="23"/>
      <c r="JV88" s="23"/>
      <c r="JW88" s="23"/>
      <c r="JX88" s="23"/>
      <c r="JY88" s="23"/>
      <c r="JZ88" s="23"/>
      <c r="KA88" s="23"/>
      <c r="KB88" s="34"/>
    </row>
    <row r="89" spans="2:288" ht="15" customHeight="1" x14ac:dyDescent="0.35">
      <c r="B89" s="146" t="s">
        <v>1288</v>
      </c>
      <c r="C89" s="148" t="str">
        <v/>
      </c>
      <c r="D89" s="148" t="str">
        <v/>
      </c>
      <c r="E89" s="148" t="str">
        <v/>
      </c>
      <c r="F89" s="148" t="str">
        <v/>
      </c>
      <c r="G89" s="268" t="str">
        <v/>
      </c>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34"/>
      <c r="DX89" s="23"/>
      <c r="DY89" s="23"/>
      <c r="DZ89" s="23"/>
      <c r="EA89" s="23"/>
      <c r="EB89" s="23"/>
      <c r="EC89" s="23"/>
      <c r="ED89" s="23"/>
      <c r="EE89" s="23"/>
      <c r="EF89" s="23"/>
      <c r="EG89" s="23"/>
      <c r="EH89" s="23"/>
      <c r="EI89" s="23"/>
      <c r="EJ89" s="23"/>
      <c r="EK89" s="23"/>
      <c r="EL89" s="23"/>
      <c r="EM89" s="23"/>
      <c r="EN89" s="23"/>
      <c r="EO89" s="23"/>
      <c r="EP89" s="23"/>
      <c r="EQ89" s="23"/>
      <c r="ER89" s="34"/>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c r="GK89" s="23"/>
      <c r="GL89" s="23"/>
      <c r="GM89" s="23"/>
      <c r="GN89" s="23"/>
      <c r="GO89" s="23"/>
      <c r="GP89" s="23"/>
      <c r="GQ89" s="23"/>
      <c r="GR89" s="23"/>
      <c r="GS89" s="23"/>
      <c r="GT89" s="23"/>
      <c r="GU89" s="23"/>
      <c r="GV89" s="23"/>
      <c r="GW89" s="23"/>
      <c r="GX89" s="23"/>
      <c r="GY89" s="23"/>
      <c r="GZ89" s="23"/>
      <c r="HA89" s="23"/>
      <c r="HB89" s="23"/>
      <c r="HC89" s="23"/>
      <c r="HD89" s="23"/>
      <c r="HE89" s="23"/>
      <c r="HF89" s="23"/>
      <c r="HG89" s="23"/>
      <c r="HH89" s="23"/>
      <c r="HI89" s="23"/>
      <c r="HJ89" s="23"/>
      <c r="HK89" s="23"/>
      <c r="HL89" s="23"/>
      <c r="HM89" s="23"/>
      <c r="HN89" s="23"/>
      <c r="HO89" s="23"/>
      <c r="HP89" s="23"/>
      <c r="HQ89" s="23"/>
      <c r="HR89" s="23"/>
      <c r="HS89" s="23"/>
      <c r="HT89" s="23"/>
      <c r="HU89" s="23"/>
      <c r="HV89" s="23"/>
      <c r="HW89" s="23"/>
      <c r="HX89" s="23"/>
      <c r="HY89" s="23"/>
      <c r="HZ89" s="23"/>
      <c r="IA89" s="23"/>
      <c r="IB89" s="23"/>
      <c r="IC89" s="23"/>
      <c r="ID89" s="23"/>
      <c r="IE89" s="23"/>
      <c r="IF89" s="23"/>
      <c r="IG89" s="23"/>
      <c r="IH89" s="23"/>
      <c r="II89" s="23"/>
      <c r="IJ89" s="23"/>
      <c r="IK89" s="23"/>
      <c r="IL89" s="23"/>
      <c r="IM89" s="23"/>
      <c r="IN89" s="23"/>
      <c r="IO89" s="23"/>
      <c r="IP89" s="23"/>
      <c r="IQ89" s="23"/>
      <c r="IR89" s="23"/>
      <c r="IS89" s="23"/>
      <c r="IT89" s="23"/>
      <c r="IU89" s="23"/>
      <c r="IV89" s="23"/>
      <c r="IW89" s="23"/>
      <c r="IX89" s="23"/>
      <c r="IY89" s="23"/>
      <c r="IZ89" s="23"/>
      <c r="JA89" s="23"/>
      <c r="JB89" s="23"/>
      <c r="JC89" s="23"/>
      <c r="JD89" s="23"/>
      <c r="JE89" s="23"/>
      <c r="JF89" s="23"/>
      <c r="JG89" s="34"/>
      <c r="JH89" s="23"/>
      <c r="JI89" s="23"/>
      <c r="JJ89" s="23"/>
      <c r="JK89" s="23"/>
      <c r="JL89" s="23"/>
      <c r="JM89" s="23"/>
      <c r="JN89" s="23"/>
      <c r="JO89" s="23"/>
      <c r="JP89" s="23"/>
      <c r="JQ89" s="23"/>
      <c r="JR89" s="23"/>
      <c r="JS89" s="23"/>
      <c r="JT89" s="23"/>
      <c r="JU89" s="23"/>
      <c r="JV89" s="23"/>
      <c r="JW89" s="23"/>
      <c r="JX89" s="23"/>
      <c r="JY89" s="23"/>
      <c r="JZ89" s="23"/>
      <c r="KA89" s="23"/>
      <c r="KB89" s="34"/>
    </row>
    <row r="90" spans="2:288" ht="15" customHeight="1" x14ac:dyDescent="0.35">
      <c r="B90" s="146" t="s">
        <v>1289</v>
      </c>
      <c r="C90" s="148" t="str">
        <v/>
      </c>
      <c r="D90" s="148" t="str">
        <v/>
      </c>
      <c r="E90" s="148" t="str">
        <v/>
      </c>
      <c r="F90" s="148" t="str">
        <v/>
      </c>
      <c r="G90" s="268" t="str">
        <v/>
      </c>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34"/>
      <c r="DX90" s="23"/>
      <c r="DY90" s="23"/>
      <c r="DZ90" s="23"/>
      <c r="EA90" s="23"/>
      <c r="EB90" s="23"/>
      <c r="EC90" s="23"/>
      <c r="ED90" s="23"/>
      <c r="EE90" s="23"/>
      <c r="EF90" s="23"/>
      <c r="EG90" s="23"/>
      <c r="EH90" s="23"/>
      <c r="EI90" s="23"/>
      <c r="EJ90" s="23"/>
      <c r="EK90" s="23"/>
      <c r="EL90" s="23"/>
      <c r="EM90" s="23"/>
      <c r="EN90" s="23"/>
      <c r="EO90" s="23"/>
      <c r="EP90" s="23"/>
      <c r="EQ90" s="23"/>
      <c r="ER90" s="34"/>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c r="GK90" s="23"/>
      <c r="GL90" s="23"/>
      <c r="GM90" s="23"/>
      <c r="GN90" s="23"/>
      <c r="GO90" s="23"/>
      <c r="GP90" s="23"/>
      <c r="GQ90" s="23"/>
      <c r="GR90" s="23"/>
      <c r="GS90" s="23"/>
      <c r="GT90" s="23"/>
      <c r="GU90" s="23"/>
      <c r="GV90" s="23"/>
      <c r="GW90" s="23"/>
      <c r="GX90" s="23"/>
      <c r="GY90" s="23"/>
      <c r="GZ90" s="23"/>
      <c r="HA90" s="23"/>
      <c r="HB90" s="23"/>
      <c r="HC90" s="23"/>
      <c r="HD90" s="23"/>
      <c r="HE90" s="23"/>
      <c r="HF90" s="23"/>
      <c r="HG90" s="23"/>
      <c r="HH90" s="23"/>
      <c r="HI90" s="23"/>
      <c r="HJ90" s="23"/>
      <c r="HK90" s="23"/>
      <c r="HL90" s="23"/>
      <c r="HM90" s="23"/>
      <c r="HN90" s="23"/>
      <c r="HO90" s="23"/>
      <c r="HP90" s="23"/>
      <c r="HQ90" s="23"/>
      <c r="HR90" s="23"/>
      <c r="HS90" s="23"/>
      <c r="HT90" s="23"/>
      <c r="HU90" s="23"/>
      <c r="HV90" s="23"/>
      <c r="HW90" s="23"/>
      <c r="HX90" s="23"/>
      <c r="HY90" s="23"/>
      <c r="HZ90" s="23"/>
      <c r="IA90" s="23"/>
      <c r="IB90" s="23"/>
      <c r="IC90" s="23"/>
      <c r="ID90" s="23"/>
      <c r="IE90" s="23"/>
      <c r="IF90" s="23"/>
      <c r="IG90" s="23"/>
      <c r="IH90" s="23"/>
      <c r="II90" s="23"/>
      <c r="IJ90" s="23"/>
      <c r="IK90" s="23"/>
      <c r="IL90" s="23"/>
      <c r="IM90" s="23"/>
      <c r="IN90" s="23"/>
      <c r="IO90" s="23"/>
      <c r="IP90" s="23"/>
      <c r="IQ90" s="23"/>
      <c r="IR90" s="23"/>
      <c r="IS90" s="23"/>
      <c r="IT90" s="23"/>
      <c r="IU90" s="23"/>
      <c r="IV90" s="23"/>
      <c r="IW90" s="23"/>
      <c r="IX90" s="23"/>
      <c r="IY90" s="23"/>
      <c r="IZ90" s="23"/>
      <c r="JA90" s="23"/>
      <c r="JB90" s="23"/>
      <c r="JC90" s="23"/>
      <c r="JD90" s="23"/>
      <c r="JE90" s="23"/>
      <c r="JF90" s="23"/>
      <c r="JG90" s="34"/>
      <c r="JH90" s="23"/>
      <c r="JI90" s="23"/>
      <c r="JJ90" s="23"/>
      <c r="JK90" s="23"/>
      <c r="JL90" s="23"/>
      <c r="JM90" s="23"/>
      <c r="JN90" s="23"/>
      <c r="JO90" s="23"/>
      <c r="JP90" s="23"/>
      <c r="JQ90" s="23"/>
      <c r="JR90" s="23"/>
      <c r="JS90" s="23"/>
      <c r="JT90" s="23"/>
      <c r="JU90" s="23"/>
      <c r="JV90" s="23"/>
      <c r="JW90" s="23"/>
      <c r="JX90" s="23"/>
      <c r="JY90" s="23"/>
      <c r="JZ90" s="23"/>
      <c r="KA90" s="23"/>
      <c r="KB90" s="34"/>
    </row>
    <row r="91" spans="2:288" ht="15" customHeight="1" x14ac:dyDescent="0.35">
      <c r="B91" s="146" t="s">
        <v>1290</v>
      </c>
      <c r="C91" s="148" t="str">
        <v/>
      </c>
      <c r="D91" s="148" t="str">
        <v/>
      </c>
      <c r="E91" s="148" t="str">
        <v/>
      </c>
      <c r="F91" s="148" t="str">
        <v/>
      </c>
      <c r="G91" s="268" t="str">
        <v/>
      </c>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34"/>
      <c r="DX91" s="23"/>
      <c r="DY91" s="23"/>
      <c r="DZ91" s="23"/>
      <c r="EA91" s="23"/>
      <c r="EB91" s="23"/>
      <c r="EC91" s="23"/>
      <c r="ED91" s="23"/>
      <c r="EE91" s="23"/>
      <c r="EF91" s="23"/>
      <c r="EG91" s="23"/>
      <c r="EH91" s="23"/>
      <c r="EI91" s="23"/>
      <c r="EJ91" s="23"/>
      <c r="EK91" s="23"/>
      <c r="EL91" s="23"/>
      <c r="EM91" s="23"/>
      <c r="EN91" s="23"/>
      <c r="EO91" s="23"/>
      <c r="EP91" s="23"/>
      <c r="EQ91" s="23"/>
      <c r="ER91" s="34"/>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c r="HX91" s="23"/>
      <c r="HY91" s="23"/>
      <c r="HZ91" s="23"/>
      <c r="IA91" s="23"/>
      <c r="IB91" s="23"/>
      <c r="IC91" s="23"/>
      <c r="ID91" s="23"/>
      <c r="IE91" s="23"/>
      <c r="IF91" s="23"/>
      <c r="IG91" s="23"/>
      <c r="IH91" s="23"/>
      <c r="II91" s="23"/>
      <c r="IJ91" s="23"/>
      <c r="IK91" s="23"/>
      <c r="IL91" s="23"/>
      <c r="IM91" s="23"/>
      <c r="IN91" s="23"/>
      <c r="IO91" s="23"/>
      <c r="IP91" s="23"/>
      <c r="IQ91" s="23"/>
      <c r="IR91" s="23"/>
      <c r="IS91" s="23"/>
      <c r="IT91" s="23"/>
      <c r="IU91" s="23"/>
      <c r="IV91" s="23"/>
      <c r="IW91" s="23"/>
      <c r="IX91" s="23"/>
      <c r="IY91" s="23"/>
      <c r="IZ91" s="23"/>
      <c r="JA91" s="23"/>
      <c r="JB91" s="23"/>
      <c r="JC91" s="23"/>
      <c r="JD91" s="23"/>
      <c r="JE91" s="23"/>
      <c r="JF91" s="23"/>
      <c r="JG91" s="34"/>
      <c r="JH91" s="23"/>
      <c r="JI91" s="23"/>
      <c r="JJ91" s="23"/>
      <c r="JK91" s="23"/>
      <c r="JL91" s="23"/>
      <c r="JM91" s="23"/>
      <c r="JN91" s="23"/>
      <c r="JO91" s="23"/>
      <c r="JP91" s="23"/>
      <c r="JQ91" s="23"/>
      <c r="JR91" s="23"/>
      <c r="JS91" s="23"/>
      <c r="JT91" s="23"/>
      <c r="JU91" s="23"/>
      <c r="JV91" s="23"/>
      <c r="JW91" s="23"/>
      <c r="JX91" s="23"/>
      <c r="JY91" s="23"/>
      <c r="JZ91" s="23"/>
      <c r="KA91" s="23"/>
      <c r="KB91" s="34"/>
    </row>
    <row r="92" spans="2:288" ht="15" customHeight="1" x14ac:dyDescent="0.35">
      <c r="B92" s="146" t="s">
        <v>1291</v>
      </c>
      <c r="C92" s="148" t="str">
        <v/>
      </c>
      <c r="D92" s="148" t="str">
        <v/>
      </c>
      <c r="E92" s="148" t="str">
        <v/>
      </c>
      <c r="F92" s="148" t="str">
        <v/>
      </c>
      <c r="G92" s="268" t="str">
        <v/>
      </c>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34"/>
      <c r="DX92" s="23"/>
      <c r="DY92" s="23"/>
      <c r="DZ92" s="23"/>
      <c r="EA92" s="23"/>
      <c r="EB92" s="23"/>
      <c r="EC92" s="23"/>
      <c r="ED92" s="23"/>
      <c r="EE92" s="23"/>
      <c r="EF92" s="23"/>
      <c r="EG92" s="23"/>
      <c r="EH92" s="23"/>
      <c r="EI92" s="23"/>
      <c r="EJ92" s="23"/>
      <c r="EK92" s="23"/>
      <c r="EL92" s="23"/>
      <c r="EM92" s="23"/>
      <c r="EN92" s="23"/>
      <c r="EO92" s="23"/>
      <c r="EP92" s="23"/>
      <c r="EQ92" s="23"/>
      <c r="ER92" s="34"/>
      <c r="ES92" s="23"/>
      <c r="ET92" s="23"/>
      <c r="EU92" s="23"/>
      <c r="EV92" s="23"/>
      <c r="EW92" s="23"/>
      <c r="EX92" s="23"/>
      <c r="EY92" s="23"/>
      <c r="EZ92" s="23"/>
      <c r="FA92" s="23"/>
      <c r="FB92" s="23"/>
      <c r="FC92" s="23"/>
      <c r="FD92" s="23"/>
      <c r="FE92" s="23"/>
      <c r="FF92" s="23"/>
      <c r="FG92" s="23"/>
      <c r="FH92" s="23"/>
      <c r="FI92" s="23"/>
      <c r="FJ92" s="23"/>
      <c r="FK92" s="23"/>
      <c r="FL92" s="23"/>
      <c r="FM92" s="23"/>
      <c r="FN92" s="23"/>
      <c r="FO92" s="23"/>
      <c r="FP92" s="23"/>
      <c r="FQ92" s="23"/>
      <c r="FR92" s="23"/>
      <c r="FS92" s="23"/>
      <c r="FT92" s="23"/>
      <c r="FU92" s="23"/>
      <c r="FV92" s="23"/>
      <c r="FW92" s="23"/>
      <c r="FX92" s="23"/>
      <c r="FY92" s="23"/>
      <c r="FZ92" s="23"/>
      <c r="GA92" s="23"/>
      <c r="GB92" s="23"/>
      <c r="GC92" s="23"/>
      <c r="GD92" s="23"/>
      <c r="GE92" s="23"/>
      <c r="GF92" s="23"/>
      <c r="GG92" s="23"/>
      <c r="GH92" s="23"/>
      <c r="GI92" s="23"/>
      <c r="GJ92" s="23"/>
      <c r="GK92" s="23"/>
      <c r="GL92" s="23"/>
      <c r="GM92" s="23"/>
      <c r="GN92" s="23"/>
      <c r="GO92" s="23"/>
      <c r="GP92" s="23"/>
      <c r="GQ92" s="23"/>
      <c r="GR92" s="23"/>
      <c r="GS92" s="23"/>
      <c r="GT92" s="23"/>
      <c r="GU92" s="23"/>
      <c r="GV92" s="23"/>
      <c r="GW92" s="23"/>
      <c r="GX92" s="23"/>
      <c r="GY92" s="23"/>
      <c r="GZ92" s="23"/>
      <c r="HA92" s="23"/>
      <c r="HB92" s="23"/>
      <c r="HC92" s="23"/>
      <c r="HD92" s="23"/>
      <c r="HE92" s="23"/>
      <c r="HF92" s="23"/>
      <c r="HG92" s="23"/>
      <c r="HH92" s="23"/>
      <c r="HI92" s="23"/>
      <c r="HJ92" s="23"/>
      <c r="HK92" s="23"/>
      <c r="HL92" s="23"/>
      <c r="HM92" s="23"/>
      <c r="HN92" s="23"/>
      <c r="HO92" s="23"/>
      <c r="HP92" s="23"/>
      <c r="HQ92" s="23"/>
      <c r="HR92" s="23"/>
      <c r="HS92" s="23"/>
      <c r="HT92" s="23"/>
      <c r="HU92" s="23"/>
      <c r="HV92" s="23"/>
      <c r="HW92" s="23"/>
      <c r="HX92" s="23"/>
      <c r="HY92" s="23"/>
      <c r="HZ92" s="23"/>
      <c r="IA92" s="23"/>
      <c r="IB92" s="23"/>
      <c r="IC92" s="23"/>
      <c r="ID92" s="23"/>
      <c r="IE92" s="23"/>
      <c r="IF92" s="23"/>
      <c r="IG92" s="23"/>
      <c r="IH92" s="23"/>
      <c r="II92" s="23"/>
      <c r="IJ92" s="23"/>
      <c r="IK92" s="23"/>
      <c r="IL92" s="23"/>
      <c r="IM92" s="23"/>
      <c r="IN92" s="23"/>
      <c r="IO92" s="23"/>
      <c r="IP92" s="23"/>
      <c r="IQ92" s="23"/>
      <c r="IR92" s="23"/>
      <c r="IS92" s="23"/>
      <c r="IT92" s="23"/>
      <c r="IU92" s="23"/>
      <c r="IV92" s="23"/>
      <c r="IW92" s="23"/>
      <c r="IX92" s="23"/>
      <c r="IY92" s="23"/>
      <c r="IZ92" s="23"/>
      <c r="JA92" s="23"/>
      <c r="JB92" s="23"/>
      <c r="JC92" s="23"/>
      <c r="JD92" s="23"/>
      <c r="JE92" s="23"/>
      <c r="JF92" s="23"/>
      <c r="JG92" s="34"/>
      <c r="JH92" s="23"/>
      <c r="JI92" s="23"/>
      <c r="JJ92" s="23"/>
      <c r="JK92" s="23"/>
      <c r="JL92" s="23"/>
      <c r="JM92" s="23"/>
      <c r="JN92" s="23"/>
      <c r="JO92" s="23"/>
      <c r="JP92" s="23"/>
      <c r="JQ92" s="23"/>
      <c r="JR92" s="23"/>
      <c r="JS92" s="23"/>
      <c r="JT92" s="23"/>
      <c r="JU92" s="23"/>
      <c r="JV92" s="23"/>
      <c r="JW92" s="23"/>
      <c r="JX92" s="23"/>
      <c r="JY92" s="23"/>
      <c r="JZ92" s="23"/>
      <c r="KA92" s="23"/>
      <c r="KB92" s="34"/>
    </row>
    <row r="93" spans="2:288" ht="15" customHeight="1" x14ac:dyDescent="0.35">
      <c r="B93" s="146" t="s">
        <v>1292</v>
      </c>
      <c r="C93" s="148" t="str">
        <v/>
      </c>
      <c r="D93" s="148" t="str">
        <v/>
      </c>
      <c r="E93" s="148" t="str">
        <v/>
      </c>
      <c r="F93" s="148" t="str">
        <v/>
      </c>
      <c r="G93" s="268" t="str">
        <v/>
      </c>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34"/>
      <c r="DX93" s="23"/>
      <c r="DY93" s="23"/>
      <c r="DZ93" s="23"/>
      <c r="EA93" s="23"/>
      <c r="EB93" s="23"/>
      <c r="EC93" s="23"/>
      <c r="ED93" s="23"/>
      <c r="EE93" s="23"/>
      <c r="EF93" s="23"/>
      <c r="EG93" s="23"/>
      <c r="EH93" s="23"/>
      <c r="EI93" s="23"/>
      <c r="EJ93" s="23"/>
      <c r="EK93" s="23"/>
      <c r="EL93" s="23"/>
      <c r="EM93" s="23"/>
      <c r="EN93" s="23"/>
      <c r="EO93" s="23"/>
      <c r="EP93" s="23"/>
      <c r="EQ93" s="23"/>
      <c r="ER93" s="34"/>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c r="HT93" s="23"/>
      <c r="HU93" s="23"/>
      <c r="HV93" s="23"/>
      <c r="HW93" s="23"/>
      <c r="HX93" s="23"/>
      <c r="HY93" s="23"/>
      <c r="HZ93" s="23"/>
      <c r="IA93" s="23"/>
      <c r="IB93" s="23"/>
      <c r="IC93" s="23"/>
      <c r="ID93" s="23"/>
      <c r="IE93" s="23"/>
      <c r="IF93" s="23"/>
      <c r="IG93" s="23"/>
      <c r="IH93" s="23"/>
      <c r="II93" s="23"/>
      <c r="IJ93" s="23"/>
      <c r="IK93" s="23"/>
      <c r="IL93" s="23"/>
      <c r="IM93" s="23"/>
      <c r="IN93" s="23"/>
      <c r="IO93" s="23"/>
      <c r="IP93" s="23"/>
      <c r="IQ93" s="23"/>
      <c r="IR93" s="23"/>
      <c r="IS93" s="23"/>
      <c r="IT93" s="23"/>
      <c r="IU93" s="23"/>
      <c r="IV93" s="23"/>
      <c r="IW93" s="23"/>
      <c r="IX93" s="23"/>
      <c r="IY93" s="23"/>
      <c r="IZ93" s="23"/>
      <c r="JA93" s="23"/>
      <c r="JB93" s="23"/>
      <c r="JC93" s="23"/>
      <c r="JD93" s="23"/>
      <c r="JE93" s="23"/>
      <c r="JF93" s="23"/>
      <c r="JG93" s="34"/>
      <c r="JH93" s="23"/>
      <c r="JI93" s="23"/>
      <c r="JJ93" s="23"/>
      <c r="JK93" s="23"/>
      <c r="JL93" s="23"/>
      <c r="JM93" s="23"/>
      <c r="JN93" s="23"/>
      <c r="JO93" s="23"/>
      <c r="JP93" s="23"/>
      <c r="JQ93" s="23"/>
      <c r="JR93" s="23"/>
      <c r="JS93" s="23"/>
      <c r="JT93" s="23"/>
      <c r="JU93" s="23"/>
      <c r="JV93" s="23"/>
      <c r="JW93" s="23"/>
      <c r="JX93" s="23"/>
      <c r="JY93" s="23"/>
      <c r="JZ93" s="23"/>
      <c r="KA93" s="23"/>
      <c r="KB93" s="34"/>
    </row>
    <row r="94" spans="2:288" ht="15" customHeight="1" x14ac:dyDescent="0.35">
      <c r="B94" s="146" t="s">
        <v>1293</v>
      </c>
      <c r="C94" s="148" t="str">
        <v/>
      </c>
      <c r="D94" s="148" t="str">
        <v/>
      </c>
      <c r="E94" s="148" t="str">
        <v/>
      </c>
      <c r="F94" s="148" t="str">
        <v/>
      </c>
      <c r="G94" s="268" t="str">
        <v/>
      </c>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34"/>
      <c r="DX94" s="23"/>
      <c r="DY94" s="23"/>
      <c r="DZ94" s="23"/>
      <c r="EA94" s="23"/>
      <c r="EB94" s="23"/>
      <c r="EC94" s="23"/>
      <c r="ED94" s="23"/>
      <c r="EE94" s="23"/>
      <c r="EF94" s="23"/>
      <c r="EG94" s="23"/>
      <c r="EH94" s="23"/>
      <c r="EI94" s="23"/>
      <c r="EJ94" s="23"/>
      <c r="EK94" s="23"/>
      <c r="EL94" s="23"/>
      <c r="EM94" s="23"/>
      <c r="EN94" s="23"/>
      <c r="EO94" s="23"/>
      <c r="EP94" s="23"/>
      <c r="EQ94" s="23"/>
      <c r="ER94" s="34"/>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c r="HT94" s="23"/>
      <c r="HU94" s="23"/>
      <c r="HV94" s="23"/>
      <c r="HW94" s="23"/>
      <c r="HX94" s="23"/>
      <c r="HY94" s="23"/>
      <c r="HZ94" s="23"/>
      <c r="IA94" s="23"/>
      <c r="IB94" s="23"/>
      <c r="IC94" s="23"/>
      <c r="ID94" s="23"/>
      <c r="IE94" s="23"/>
      <c r="IF94" s="23"/>
      <c r="IG94" s="23"/>
      <c r="IH94" s="23"/>
      <c r="II94" s="23"/>
      <c r="IJ94" s="23"/>
      <c r="IK94" s="23"/>
      <c r="IL94" s="23"/>
      <c r="IM94" s="23"/>
      <c r="IN94" s="23"/>
      <c r="IO94" s="23"/>
      <c r="IP94" s="23"/>
      <c r="IQ94" s="23"/>
      <c r="IR94" s="23"/>
      <c r="IS94" s="23"/>
      <c r="IT94" s="23"/>
      <c r="IU94" s="23"/>
      <c r="IV94" s="23"/>
      <c r="IW94" s="23"/>
      <c r="IX94" s="23"/>
      <c r="IY94" s="23"/>
      <c r="IZ94" s="23"/>
      <c r="JA94" s="23"/>
      <c r="JB94" s="23"/>
      <c r="JC94" s="23"/>
      <c r="JD94" s="23"/>
      <c r="JE94" s="23"/>
      <c r="JF94" s="23"/>
      <c r="JG94" s="34"/>
      <c r="JH94" s="23"/>
      <c r="JI94" s="23"/>
      <c r="JJ94" s="23"/>
      <c r="JK94" s="23"/>
      <c r="JL94" s="23"/>
      <c r="JM94" s="23"/>
      <c r="JN94" s="23"/>
      <c r="JO94" s="23"/>
      <c r="JP94" s="23"/>
      <c r="JQ94" s="23"/>
      <c r="JR94" s="23"/>
      <c r="JS94" s="23"/>
      <c r="JT94" s="23"/>
      <c r="JU94" s="23"/>
      <c r="JV94" s="23"/>
      <c r="JW94" s="23"/>
      <c r="JX94" s="23"/>
      <c r="JY94" s="23"/>
      <c r="JZ94" s="23"/>
      <c r="KA94" s="23"/>
      <c r="KB94" s="34"/>
    </row>
    <row r="95" spans="2:288" ht="15" customHeight="1" x14ac:dyDescent="0.35">
      <c r="B95" s="146" t="s">
        <v>1294</v>
      </c>
      <c r="C95" s="148" t="str">
        <v/>
      </c>
      <c r="D95" s="148" t="str">
        <v/>
      </c>
      <c r="E95" s="148" t="str">
        <v/>
      </c>
      <c r="F95" s="148" t="str">
        <v/>
      </c>
      <c r="G95" s="268" t="str">
        <v/>
      </c>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34"/>
      <c r="DX95" s="23"/>
      <c r="DY95" s="23"/>
      <c r="DZ95" s="23"/>
      <c r="EA95" s="23"/>
      <c r="EB95" s="23"/>
      <c r="EC95" s="23"/>
      <c r="ED95" s="23"/>
      <c r="EE95" s="23"/>
      <c r="EF95" s="23"/>
      <c r="EG95" s="23"/>
      <c r="EH95" s="23"/>
      <c r="EI95" s="23"/>
      <c r="EJ95" s="23"/>
      <c r="EK95" s="23"/>
      <c r="EL95" s="23"/>
      <c r="EM95" s="23"/>
      <c r="EN95" s="23"/>
      <c r="EO95" s="23"/>
      <c r="EP95" s="23"/>
      <c r="EQ95" s="23"/>
      <c r="ER95" s="34"/>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c r="HT95" s="23"/>
      <c r="HU95" s="23"/>
      <c r="HV95" s="23"/>
      <c r="HW95" s="23"/>
      <c r="HX95" s="23"/>
      <c r="HY95" s="23"/>
      <c r="HZ95" s="23"/>
      <c r="IA95" s="23"/>
      <c r="IB95" s="23"/>
      <c r="IC95" s="23"/>
      <c r="ID95" s="23"/>
      <c r="IE95" s="23"/>
      <c r="IF95" s="23"/>
      <c r="IG95" s="23"/>
      <c r="IH95" s="23"/>
      <c r="II95" s="23"/>
      <c r="IJ95" s="23"/>
      <c r="IK95" s="23"/>
      <c r="IL95" s="23"/>
      <c r="IM95" s="23"/>
      <c r="IN95" s="23"/>
      <c r="IO95" s="23"/>
      <c r="IP95" s="23"/>
      <c r="IQ95" s="23"/>
      <c r="IR95" s="23"/>
      <c r="IS95" s="23"/>
      <c r="IT95" s="23"/>
      <c r="IU95" s="23"/>
      <c r="IV95" s="23"/>
      <c r="IW95" s="23"/>
      <c r="IX95" s="23"/>
      <c r="IY95" s="23"/>
      <c r="IZ95" s="23"/>
      <c r="JA95" s="23"/>
      <c r="JB95" s="23"/>
      <c r="JC95" s="23"/>
      <c r="JD95" s="23"/>
      <c r="JE95" s="23"/>
      <c r="JF95" s="23"/>
      <c r="JG95" s="34"/>
      <c r="JH95" s="23"/>
      <c r="JI95" s="23"/>
      <c r="JJ95" s="23"/>
      <c r="JK95" s="23"/>
      <c r="JL95" s="23"/>
      <c r="JM95" s="23"/>
      <c r="JN95" s="23"/>
      <c r="JO95" s="23"/>
      <c r="JP95" s="23"/>
      <c r="JQ95" s="23"/>
      <c r="JR95" s="23"/>
      <c r="JS95" s="23"/>
      <c r="JT95" s="23"/>
      <c r="JU95" s="23"/>
      <c r="JV95" s="23"/>
      <c r="JW95" s="23"/>
      <c r="JX95" s="23"/>
      <c r="JY95" s="23"/>
      <c r="JZ95" s="23"/>
      <c r="KA95" s="23"/>
      <c r="KB95" s="34"/>
    </row>
    <row r="96" spans="2:288" ht="15" customHeight="1" x14ac:dyDescent="0.35">
      <c r="B96" s="146" t="s">
        <v>1295</v>
      </c>
      <c r="C96" s="148" t="str">
        <v/>
      </c>
      <c r="D96" s="148" t="str">
        <v/>
      </c>
      <c r="E96" s="148" t="str">
        <v/>
      </c>
      <c r="F96" s="148" t="str">
        <v/>
      </c>
      <c r="G96" s="268" t="str">
        <v/>
      </c>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34"/>
      <c r="DX96" s="23"/>
      <c r="DY96" s="23"/>
      <c r="DZ96" s="23"/>
      <c r="EA96" s="23"/>
      <c r="EB96" s="23"/>
      <c r="EC96" s="23"/>
      <c r="ED96" s="23"/>
      <c r="EE96" s="23"/>
      <c r="EF96" s="23"/>
      <c r="EG96" s="23"/>
      <c r="EH96" s="23"/>
      <c r="EI96" s="23"/>
      <c r="EJ96" s="23"/>
      <c r="EK96" s="23"/>
      <c r="EL96" s="23"/>
      <c r="EM96" s="23"/>
      <c r="EN96" s="23"/>
      <c r="EO96" s="23"/>
      <c r="EP96" s="23"/>
      <c r="EQ96" s="23"/>
      <c r="ER96" s="34"/>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c r="HT96" s="23"/>
      <c r="HU96" s="23"/>
      <c r="HV96" s="23"/>
      <c r="HW96" s="23"/>
      <c r="HX96" s="23"/>
      <c r="HY96" s="23"/>
      <c r="HZ96" s="23"/>
      <c r="IA96" s="23"/>
      <c r="IB96" s="23"/>
      <c r="IC96" s="23"/>
      <c r="ID96" s="23"/>
      <c r="IE96" s="23"/>
      <c r="IF96" s="23"/>
      <c r="IG96" s="23"/>
      <c r="IH96" s="23"/>
      <c r="II96" s="23"/>
      <c r="IJ96" s="23"/>
      <c r="IK96" s="23"/>
      <c r="IL96" s="23"/>
      <c r="IM96" s="23"/>
      <c r="IN96" s="23"/>
      <c r="IO96" s="23"/>
      <c r="IP96" s="23"/>
      <c r="IQ96" s="23"/>
      <c r="IR96" s="23"/>
      <c r="IS96" s="23"/>
      <c r="IT96" s="23"/>
      <c r="IU96" s="23"/>
      <c r="IV96" s="23"/>
      <c r="IW96" s="23"/>
      <c r="IX96" s="23"/>
      <c r="IY96" s="23"/>
      <c r="IZ96" s="23"/>
      <c r="JA96" s="23"/>
      <c r="JB96" s="23"/>
      <c r="JC96" s="23"/>
      <c r="JD96" s="23"/>
      <c r="JE96" s="23"/>
      <c r="JF96" s="23"/>
      <c r="JG96" s="34"/>
      <c r="JH96" s="23"/>
      <c r="JI96" s="23"/>
      <c r="JJ96" s="23"/>
      <c r="JK96" s="23"/>
      <c r="JL96" s="23"/>
      <c r="JM96" s="23"/>
      <c r="JN96" s="23"/>
      <c r="JO96" s="23"/>
      <c r="JP96" s="23"/>
      <c r="JQ96" s="23"/>
      <c r="JR96" s="23"/>
      <c r="JS96" s="23"/>
      <c r="JT96" s="23"/>
      <c r="JU96" s="23"/>
      <c r="JV96" s="23"/>
      <c r="JW96" s="23"/>
      <c r="JX96" s="23"/>
      <c r="JY96" s="23"/>
      <c r="JZ96" s="23"/>
      <c r="KA96" s="23"/>
      <c r="KB96" s="34"/>
    </row>
    <row r="97" spans="1:288" ht="15" customHeight="1" x14ac:dyDescent="0.35">
      <c r="B97" s="146" t="s">
        <v>1296</v>
      </c>
      <c r="C97" s="148" t="str">
        <v/>
      </c>
      <c r="D97" s="148" t="str">
        <v/>
      </c>
      <c r="E97" s="148" t="str">
        <v/>
      </c>
      <c r="F97" s="148" t="str">
        <v/>
      </c>
      <c r="G97" s="268" t="str">
        <v/>
      </c>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34"/>
      <c r="DX97" s="23"/>
      <c r="DY97" s="23"/>
      <c r="DZ97" s="23"/>
      <c r="EA97" s="23"/>
      <c r="EB97" s="23"/>
      <c r="EC97" s="23"/>
      <c r="ED97" s="23"/>
      <c r="EE97" s="23"/>
      <c r="EF97" s="23"/>
      <c r="EG97" s="23"/>
      <c r="EH97" s="23"/>
      <c r="EI97" s="23"/>
      <c r="EJ97" s="23"/>
      <c r="EK97" s="23"/>
      <c r="EL97" s="23"/>
      <c r="EM97" s="23"/>
      <c r="EN97" s="23"/>
      <c r="EO97" s="23"/>
      <c r="EP97" s="23"/>
      <c r="EQ97" s="23"/>
      <c r="ER97" s="34"/>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c r="HX97" s="23"/>
      <c r="HY97" s="23"/>
      <c r="HZ97" s="23"/>
      <c r="IA97" s="23"/>
      <c r="IB97" s="23"/>
      <c r="IC97" s="23"/>
      <c r="ID97" s="23"/>
      <c r="IE97" s="23"/>
      <c r="IF97" s="23"/>
      <c r="IG97" s="23"/>
      <c r="IH97" s="23"/>
      <c r="II97" s="23"/>
      <c r="IJ97" s="23"/>
      <c r="IK97" s="23"/>
      <c r="IL97" s="23"/>
      <c r="IM97" s="23"/>
      <c r="IN97" s="23"/>
      <c r="IO97" s="23"/>
      <c r="IP97" s="23"/>
      <c r="IQ97" s="23"/>
      <c r="IR97" s="23"/>
      <c r="IS97" s="23"/>
      <c r="IT97" s="23"/>
      <c r="IU97" s="23"/>
      <c r="IV97" s="23"/>
      <c r="IW97" s="23"/>
      <c r="IX97" s="23"/>
      <c r="IY97" s="23"/>
      <c r="IZ97" s="23"/>
      <c r="JA97" s="23"/>
      <c r="JB97" s="23"/>
      <c r="JC97" s="23"/>
      <c r="JD97" s="23"/>
      <c r="JE97" s="23"/>
      <c r="JF97" s="23"/>
      <c r="JG97" s="34"/>
      <c r="JH97" s="23"/>
      <c r="JI97" s="23"/>
      <c r="JJ97" s="23"/>
      <c r="JK97" s="23"/>
      <c r="JL97" s="23"/>
      <c r="JM97" s="23"/>
      <c r="JN97" s="23"/>
      <c r="JO97" s="23"/>
      <c r="JP97" s="23"/>
      <c r="JQ97" s="23"/>
      <c r="JR97" s="23"/>
      <c r="JS97" s="23"/>
      <c r="JT97" s="23"/>
      <c r="JU97" s="23"/>
      <c r="JV97" s="23"/>
      <c r="JW97" s="23"/>
      <c r="JX97" s="23"/>
      <c r="JY97" s="23"/>
      <c r="JZ97" s="23"/>
      <c r="KA97" s="23"/>
      <c r="KB97" s="34"/>
    </row>
    <row r="98" spans="1:288" ht="15" customHeight="1" x14ac:dyDescent="0.35">
      <c r="B98" s="146" t="s">
        <v>1297</v>
      </c>
      <c r="C98" s="148" t="str">
        <v/>
      </c>
      <c r="D98" s="148" t="str">
        <v/>
      </c>
      <c r="E98" s="148" t="str">
        <v/>
      </c>
      <c r="F98" s="148" t="str">
        <v/>
      </c>
      <c r="G98" s="268" t="str">
        <v/>
      </c>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34"/>
      <c r="DX98" s="23"/>
      <c r="DY98" s="23"/>
      <c r="DZ98" s="23"/>
      <c r="EA98" s="23"/>
      <c r="EB98" s="23"/>
      <c r="EC98" s="23"/>
      <c r="ED98" s="23"/>
      <c r="EE98" s="23"/>
      <c r="EF98" s="23"/>
      <c r="EG98" s="23"/>
      <c r="EH98" s="23"/>
      <c r="EI98" s="23"/>
      <c r="EJ98" s="23"/>
      <c r="EK98" s="23"/>
      <c r="EL98" s="23"/>
      <c r="EM98" s="23"/>
      <c r="EN98" s="23"/>
      <c r="EO98" s="23"/>
      <c r="EP98" s="23"/>
      <c r="EQ98" s="23"/>
      <c r="ER98" s="34"/>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c r="HT98" s="23"/>
      <c r="HU98" s="23"/>
      <c r="HV98" s="23"/>
      <c r="HW98" s="23"/>
      <c r="HX98" s="23"/>
      <c r="HY98" s="23"/>
      <c r="HZ98" s="23"/>
      <c r="IA98" s="23"/>
      <c r="IB98" s="23"/>
      <c r="IC98" s="23"/>
      <c r="ID98" s="23"/>
      <c r="IE98" s="23"/>
      <c r="IF98" s="23"/>
      <c r="IG98" s="23"/>
      <c r="IH98" s="23"/>
      <c r="II98" s="23"/>
      <c r="IJ98" s="23"/>
      <c r="IK98" s="23"/>
      <c r="IL98" s="23"/>
      <c r="IM98" s="23"/>
      <c r="IN98" s="23"/>
      <c r="IO98" s="23"/>
      <c r="IP98" s="23"/>
      <c r="IQ98" s="23"/>
      <c r="IR98" s="23"/>
      <c r="IS98" s="23"/>
      <c r="IT98" s="23"/>
      <c r="IU98" s="23"/>
      <c r="IV98" s="23"/>
      <c r="IW98" s="23"/>
      <c r="IX98" s="23"/>
      <c r="IY98" s="23"/>
      <c r="IZ98" s="23"/>
      <c r="JA98" s="23"/>
      <c r="JB98" s="23"/>
      <c r="JC98" s="23"/>
      <c r="JD98" s="23"/>
      <c r="JE98" s="23"/>
      <c r="JF98" s="23"/>
      <c r="JG98" s="34"/>
      <c r="JH98" s="23"/>
      <c r="JI98" s="23"/>
      <c r="JJ98" s="23"/>
      <c r="JK98" s="23"/>
      <c r="JL98" s="23"/>
      <c r="JM98" s="23"/>
      <c r="JN98" s="23"/>
      <c r="JO98" s="23"/>
      <c r="JP98" s="23"/>
      <c r="JQ98" s="23"/>
      <c r="JR98" s="23"/>
      <c r="JS98" s="23"/>
      <c r="JT98" s="23"/>
      <c r="JU98" s="23"/>
      <c r="JV98" s="23"/>
      <c r="JW98" s="23"/>
      <c r="JX98" s="23"/>
      <c r="JY98" s="23"/>
      <c r="JZ98" s="23"/>
      <c r="KA98" s="23"/>
      <c r="KB98" s="34"/>
    </row>
    <row r="99" spans="1:288" ht="15" customHeight="1" x14ac:dyDescent="0.35">
      <c r="B99" s="146" t="s">
        <v>1298</v>
      </c>
      <c r="C99" s="148" t="str">
        <v/>
      </c>
      <c r="D99" s="148" t="str">
        <v/>
      </c>
      <c r="E99" s="148" t="str">
        <v/>
      </c>
      <c r="F99" s="148" t="str">
        <v/>
      </c>
      <c r="G99" s="268" t="str">
        <v/>
      </c>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34"/>
      <c r="DX99" s="23"/>
      <c r="DY99" s="23"/>
      <c r="DZ99" s="23"/>
      <c r="EA99" s="23"/>
      <c r="EB99" s="23"/>
      <c r="EC99" s="23"/>
      <c r="ED99" s="23"/>
      <c r="EE99" s="23"/>
      <c r="EF99" s="23"/>
      <c r="EG99" s="23"/>
      <c r="EH99" s="23"/>
      <c r="EI99" s="23"/>
      <c r="EJ99" s="23"/>
      <c r="EK99" s="23"/>
      <c r="EL99" s="23"/>
      <c r="EM99" s="23"/>
      <c r="EN99" s="23"/>
      <c r="EO99" s="23"/>
      <c r="EP99" s="23"/>
      <c r="EQ99" s="23"/>
      <c r="ER99" s="34"/>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c r="HX99" s="23"/>
      <c r="HY99" s="23"/>
      <c r="HZ99" s="23"/>
      <c r="IA99" s="23"/>
      <c r="IB99" s="23"/>
      <c r="IC99" s="23"/>
      <c r="ID99" s="23"/>
      <c r="IE99" s="23"/>
      <c r="IF99" s="23"/>
      <c r="IG99" s="23"/>
      <c r="IH99" s="23"/>
      <c r="II99" s="23"/>
      <c r="IJ99" s="23"/>
      <c r="IK99" s="23"/>
      <c r="IL99" s="23"/>
      <c r="IM99" s="23"/>
      <c r="IN99" s="23"/>
      <c r="IO99" s="23"/>
      <c r="IP99" s="23"/>
      <c r="IQ99" s="23"/>
      <c r="IR99" s="23"/>
      <c r="IS99" s="23"/>
      <c r="IT99" s="23"/>
      <c r="IU99" s="23"/>
      <c r="IV99" s="23"/>
      <c r="IW99" s="23"/>
      <c r="IX99" s="23"/>
      <c r="IY99" s="23"/>
      <c r="IZ99" s="23"/>
      <c r="JA99" s="23"/>
      <c r="JB99" s="23"/>
      <c r="JC99" s="23"/>
      <c r="JD99" s="23"/>
      <c r="JE99" s="23"/>
      <c r="JF99" s="23"/>
      <c r="JG99" s="34"/>
      <c r="JH99" s="23"/>
      <c r="JI99" s="23"/>
      <c r="JJ99" s="23"/>
      <c r="JK99" s="23"/>
      <c r="JL99" s="23"/>
      <c r="JM99" s="23"/>
      <c r="JN99" s="23"/>
      <c r="JO99" s="23"/>
      <c r="JP99" s="23"/>
      <c r="JQ99" s="23"/>
      <c r="JR99" s="23"/>
      <c r="JS99" s="23"/>
      <c r="JT99" s="23"/>
      <c r="JU99" s="23"/>
      <c r="JV99" s="23"/>
      <c r="JW99" s="23"/>
      <c r="JX99" s="23"/>
      <c r="JY99" s="23"/>
      <c r="JZ99" s="23"/>
      <c r="KA99" s="23"/>
      <c r="KB99" s="34"/>
    </row>
    <row r="100" spans="1:288" ht="15" customHeight="1" x14ac:dyDescent="0.35">
      <c r="B100" s="146" t="s">
        <v>1299</v>
      </c>
      <c r="C100" s="148" t="str">
        <v/>
      </c>
      <c r="D100" s="148" t="str">
        <v/>
      </c>
      <c r="E100" s="148" t="str">
        <v/>
      </c>
      <c r="F100" s="148" t="str">
        <v/>
      </c>
      <c r="G100" s="268" t="str">
        <v/>
      </c>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34"/>
      <c r="DX100" s="23"/>
      <c r="DY100" s="23"/>
      <c r="DZ100" s="23"/>
      <c r="EA100" s="23"/>
      <c r="EB100" s="23"/>
      <c r="EC100" s="23"/>
      <c r="ED100" s="23"/>
      <c r="EE100" s="23"/>
      <c r="EF100" s="23"/>
      <c r="EG100" s="23"/>
      <c r="EH100" s="23"/>
      <c r="EI100" s="23"/>
      <c r="EJ100" s="23"/>
      <c r="EK100" s="23"/>
      <c r="EL100" s="23"/>
      <c r="EM100" s="23"/>
      <c r="EN100" s="23"/>
      <c r="EO100" s="23"/>
      <c r="EP100" s="23"/>
      <c r="EQ100" s="23"/>
      <c r="ER100" s="34"/>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c r="HT100" s="23"/>
      <c r="HU100" s="23"/>
      <c r="HV100" s="23"/>
      <c r="HW100" s="23"/>
      <c r="HX100" s="23"/>
      <c r="HY100" s="23"/>
      <c r="HZ100" s="23"/>
      <c r="IA100" s="23"/>
      <c r="IB100" s="23"/>
      <c r="IC100" s="23"/>
      <c r="ID100" s="23"/>
      <c r="IE100" s="23"/>
      <c r="IF100" s="23"/>
      <c r="IG100" s="23"/>
      <c r="IH100" s="23"/>
      <c r="II100" s="23"/>
      <c r="IJ100" s="23"/>
      <c r="IK100" s="23"/>
      <c r="IL100" s="23"/>
      <c r="IM100" s="23"/>
      <c r="IN100" s="23"/>
      <c r="IO100" s="23"/>
      <c r="IP100" s="23"/>
      <c r="IQ100" s="23"/>
      <c r="IR100" s="23"/>
      <c r="IS100" s="23"/>
      <c r="IT100" s="23"/>
      <c r="IU100" s="23"/>
      <c r="IV100" s="23"/>
      <c r="IW100" s="23"/>
      <c r="IX100" s="23"/>
      <c r="IY100" s="23"/>
      <c r="IZ100" s="23"/>
      <c r="JA100" s="23"/>
      <c r="JB100" s="23"/>
      <c r="JC100" s="23"/>
      <c r="JD100" s="23"/>
      <c r="JE100" s="23"/>
      <c r="JF100" s="23"/>
      <c r="JG100" s="34"/>
      <c r="JH100" s="23"/>
      <c r="JI100" s="23"/>
      <c r="JJ100" s="23"/>
      <c r="JK100" s="23"/>
      <c r="JL100" s="23"/>
      <c r="JM100" s="23"/>
      <c r="JN100" s="23"/>
      <c r="JO100" s="23"/>
      <c r="JP100" s="23"/>
      <c r="JQ100" s="23"/>
      <c r="JR100" s="23"/>
      <c r="JS100" s="23"/>
      <c r="JT100" s="23"/>
      <c r="JU100" s="23"/>
      <c r="JV100" s="23"/>
      <c r="JW100" s="23"/>
      <c r="JX100" s="23"/>
      <c r="JY100" s="23"/>
      <c r="JZ100" s="23"/>
      <c r="KA100" s="23"/>
      <c r="KB100" s="34"/>
    </row>
    <row r="101" spans="1:288" ht="15" customHeight="1" x14ac:dyDescent="0.35">
      <c r="B101" s="146" t="s">
        <v>1300</v>
      </c>
      <c r="C101" s="148" t="str">
        <v/>
      </c>
      <c r="D101" s="148" t="str">
        <v/>
      </c>
      <c r="E101" s="148" t="str">
        <v/>
      </c>
      <c r="F101" s="148" t="str">
        <v/>
      </c>
      <c r="G101" s="268" t="str">
        <v/>
      </c>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34"/>
      <c r="DX101" s="23"/>
      <c r="DY101" s="23"/>
      <c r="DZ101" s="23"/>
      <c r="EA101" s="23"/>
      <c r="EB101" s="23"/>
      <c r="EC101" s="23"/>
      <c r="ED101" s="23"/>
      <c r="EE101" s="23"/>
      <c r="EF101" s="23"/>
      <c r="EG101" s="23"/>
      <c r="EH101" s="23"/>
      <c r="EI101" s="23"/>
      <c r="EJ101" s="23"/>
      <c r="EK101" s="23"/>
      <c r="EL101" s="23"/>
      <c r="EM101" s="23"/>
      <c r="EN101" s="23"/>
      <c r="EO101" s="23"/>
      <c r="EP101" s="23"/>
      <c r="EQ101" s="23"/>
      <c r="ER101" s="34"/>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c r="HX101" s="23"/>
      <c r="HY101" s="23"/>
      <c r="HZ101" s="23"/>
      <c r="IA101" s="23"/>
      <c r="IB101" s="23"/>
      <c r="IC101" s="23"/>
      <c r="ID101" s="23"/>
      <c r="IE101" s="23"/>
      <c r="IF101" s="23"/>
      <c r="IG101" s="23"/>
      <c r="IH101" s="23"/>
      <c r="II101" s="23"/>
      <c r="IJ101" s="23"/>
      <c r="IK101" s="23"/>
      <c r="IL101" s="23"/>
      <c r="IM101" s="23"/>
      <c r="IN101" s="23"/>
      <c r="IO101" s="23"/>
      <c r="IP101" s="23"/>
      <c r="IQ101" s="23"/>
      <c r="IR101" s="23"/>
      <c r="IS101" s="23"/>
      <c r="IT101" s="23"/>
      <c r="IU101" s="23"/>
      <c r="IV101" s="23"/>
      <c r="IW101" s="23"/>
      <c r="IX101" s="23"/>
      <c r="IY101" s="23"/>
      <c r="IZ101" s="23"/>
      <c r="JA101" s="23"/>
      <c r="JB101" s="23"/>
      <c r="JC101" s="23"/>
      <c r="JD101" s="23"/>
      <c r="JE101" s="23"/>
      <c r="JF101" s="23"/>
      <c r="JG101" s="34"/>
      <c r="JH101" s="23"/>
      <c r="JI101" s="23"/>
      <c r="JJ101" s="23"/>
      <c r="JK101" s="23"/>
      <c r="JL101" s="23"/>
      <c r="JM101" s="23"/>
      <c r="JN101" s="23"/>
      <c r="JO101" s="23"/>
      <c r="JP101" s="23"/>
      <c r="JQ101" s="23"/>
      <c r="JR101" s="23"/>
      <c r="JS101" s="23"/>
      <c r="JT101" s="23"/>
      <c r="JU101" s="23"/>
      <c r="JV101" s="23"/>
      <c r="JW101" s="23"/>
      <c r="JX101" s="23"/>
      <c r="JY101" s="23"/>
      <c r="JZ101" s="23"/>
      <c r="KA101" s="23"/>
      <c r="KB101" s="34"/>
    </row>
    <row r="102" spans="1:288" ht="15" customHeight="1" x14ac:dyDescent="0.35">
      <c r="B102" s="146" t="s">
        <v>1301</v>
      </c>
      <c r="C102" s="148" t="str">
        <v/>
      </c>
      <c r="D102" s="148" t="str">
        <v/>
      </c>
      <c r="E102" s="148" t="str">
        <v/>
      </c>
      <c r="F102" s="148" t="str">
        <v/>
      </c>
      <c r="G102" s="268" t="str">
        <v/>
      </c>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34"/>
      <c r="DX102" s="23"/>
      <c r="DY102" s="23"/>
      <c r="DZ102" s="23"/>
      <c r="EA102" s="23"/>
      <c r="EB102" s="23"/>
      <c r="EC102" s="23"/>
      <c r="ED102" s="23"/>
      <c r="EE102" s="23"/>
      <c r="EF102" s="23"/>
      <c r="EG102" s="23"/>
      <c r="EH102" s="23"/>
      <c r="EI102" s="23"/>
      <c r="EJ102" s="23"/>
      <c r="EK102" s="23"/>
      <c r="EL102" s="23"/>
      <c r="EM102" s="23"/>
      <c r="EN102" s="23"/>
      <c r="EO102" s="23"/>
      <c r="EP102" s="23"/>
      <c r="EQ102" s="23"/>
      <c r="ER102" s="34"/>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c r="HX102" s="23"/>
      <c r="HY102" s="23"/>
      <c r="HZ102" s="23"/>
      <c r="IA102" s="23"/>
      <c r="IB102" s="23"/>
      <c r="IC102" s="23"/>
      <c r="ID102" s="23"/>
      <c r="IE102" s="23"/>
      <c r="IF102" s="23"/>
      <c r="IG102" s="23"/>
      <c r="IH102" s="23"/>
      <c r="II102" s="23"/>
      <c r="IJ102" s="23"/>
      <c r="IK102" s="23"/>
      <c r="IL102" s="23"/>
      <c r="IM102" s="23"/>
      <c r="IN102" s="23"/>
      <c r="IO102" s="23"/>
      <c r="IP102" s="23"/>
      <c r="IQ102" s="23"/>
      <c r="IR102" s="23"/>
      <c r="IS102" s="23"/>
      <c r="IT102" s="23"/>
      <c r="IU102" s="23"/>
      <c r="IV102" s="23"/>
      <c r="IW102" s="23"/>
      <c r="IX102" s="23"/>
      <c r="IY102" s="23"/>
      <c r="IZ102" s="23"/>
      <c r="JA102" s="23"/>
      <c r="JB102" s="23"/>
      <c r="JC102" s="23"/>
      <c r="JD102" s="23"/>
      <c r="JE102" s="23"/>
      <c r="JF102" s="23"/>
      <c r="JG102" s="34"/>
      <c r="JH102" s="23"/>
      <c r="JI102" s="23"/>
      <c r="JJ102" s="23"/>
      <c r="JK102" s="23"/>
      <c r="JL102" s="23"/>
      <c r="JM102" s="23"/>
      <c r="JN102" s="23"/>
      <c r="JO102" s="23"/>
      <c r="JP102" s="23"/>
      <c r="JQ102" s="23"/>
      <c r="JR102" s="23"/>
      <c r="JS102" s="23"/>
      <c r="JT102" s="23"/>
      <c r="JU102" s="23"/>
      <c r="JV102" s="23"/>
      <c r="JW102" s="23"/>
      <c r="JX102" s="23"/>
      <c r="JY102" s="23"/>
      <c r="JZ102" s="23"/>
      <c r="KA102" s="23"/>
      <c r="KB102" s="34"/>
    </row>
    <row r="103" spans="1:288" ht="15" customHeight="1" x14ac:dyDescent="0.35">
      <c r="B103" s="146" t="s">
        <v>1302</v>
      </c>
      <c r="C103" s="148" t="str">
        <v/>
      </c>
      <c r="D103" s="148" t="str">
        <v/>
      </c>
      <c r="E103" s="148" t="str">
        <v/>
      </c>
      <c r="F103" s="148" t="str">
        <v/>
      </c>
      <c r="G103" s="268" t="str">
        <v/>
      </c>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34"/>
      <c r="DX103" s="23"/>
      <c r="DY103" s="23"/>
      <c r="DZ103" s="23"/>
      <c r="EA103" s="23"/>
      <c r="EB103" s="23"/>
      <c r="EC103" s="23"/>
      <c r="ED103" s="23"/>
      <c r="EE103" s="23"/>
      <c r="EF103" s="23"/>
      <c r="EG103" s="23"/>
      <c r="EH103" s="23"/>
      <c r="EI103" s="23"/>
      <c r="EJ103" s="23"/>
      <c r="EK103" s="23"/>
      <c r="EL103" s="23"/>
      <c r="EM103" s="23"/>
      <c r="EN103" s="23"/>
      <c r="EO103" s="23"/>
      <c r="EP103" s="23"/>
      <c r="EQ103" s="23"/>
      <c r="ER103" s="34"/>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c r="HX103" s="23"/>
      <c r="HY103" s="23"/>
      <c r="HZ103" s="23"/>
      <c r="IA103" s="23"/>
      <c r="IB103" s="23"/>
      <c r="IC103" s="23"/>
      <c r="ID103" s="23"/>
      <c r="IE103" s="23"/>
      <c r="IF103" s="23"/>
      <c r="IG103" s="23"/>
      <c r="IH103" s="23"/>
      <c r="II103" s="23"/>
      <c r="IJ103" s="23"/>
      <c r="IK103" s="23"/>
      <c r="IL103" s="23"/>
      <c r="IM103" s="23"/>
      <c r="IN103" s="23"/>
      <c r="IO103" s="23"/>
      <c r="IP103" s="23"/>
      <c r="IQ103" s="23"/>
      <c r="IR103" s="23"/>
      <c r="IS103" s="23"/>
      <c r="IT103" s="23"/>
      <c r="IU103" s="23"/>
      <c r="IV103" s="23"/>
      <c r="IW103" s="23"/>
      <c r="IX103" s="23"/>
      <c r="IY103" s="23"/>
      <c r="IZ103" s="23"/>
      <c r="JA103" s="23"/>
      <c r="JB103" s="23"/>
      <c r="JC103" s="23"/>
      <c r="JD103" s="23"/>
      <c r="JE103" s="23"/>
      <c r="JF103" s="23"/>
      <c r="JG103" s="34"/>
      <c r="JH103" s="23"/>
      <c r="JI103" s="23"/>
      <c r="JJ103" s="23"/>
      <c r="JK103" s="23"/>
      <c r="JL103" s="23"/>
      <c r="JM103" s="23"/>
      <c r="JN103" s="23"/>
      <c r="JO103" s="23"/>
      <c r="JP103" s="23"/>
      <c r="JQ103" s="23"/>
      <c r="JR103" s="23"/>
      <c r="JS103" s="23"/>
      <c r="JT103" s="23"/>
      <c r="JU103" s="23"/>
      <c r="JV103" s="23"/>
      <c r="JW103" s="23"/>
      <c r="JX103" s="23"/>
      <c r="JY103" s="23"/>
      <c r="JZ103" s="23"/>
      <c r="KA103" s="23"/>
      <c r="KB103" s="34"/>
    </row>
    <row r="104" spans="1:288" ht="15" customHeight="1" x14ac:dyDescent="0.35">
      <c r="B104" s="146" t="s">
        <v>1303</v>
      </c>
      <c r="C104" s="148" t="str">
        <v/>
      </c>
      <c r="D104" s="148" t="str">
        <v/>
      </c>
      <c r="E104" s="148" t="str">
        <v/>
      </c>
      <c r="F104" s="148" t="str">
        <v/>
      </c>
      <c r="G104" s="268" t="str">
        <v/>
      </c>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34"/>
      <c r="DX104" s="23"/>
      <c r="DY104" s="23"/>
      <c r="DZ104" s="23"/>
      <c r="EA104" s="23"/>
      <c r="EB104" s="23"/>
      <c r="EC104" s="23"/>
      <c r="ED104" s="23"/>
      <c r="EE104" s="23"/>
      <c r="EF104" s="23"/>
      <c r="EG104" s="23"/>
      <c r="EH104" s="23"/>
      <c r="EI104" s="23"/>
      <c r="EJ104" s="23"/>
      <c r="EK104" s="23"/>
      <c r="EL104" s="23"/>
      <c r="EM104" s="23"/>
      <c r="EN104" s="23"/>
      <c r="EO104" s="23"/>
      <c r="EP104" s="23"/>
      <c r="EQ104" s="23"/>
      <c r="ER104" s="34"/>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c r="HT104" s="23"/>
      <c r="HU104" s="23"/>
      <c r="HV104" s="23"/>
      <c r="HW104" s="23"/>
      <c r="HX104" s="23"/>
      <c r="HY104" s="23"/>
      <c r="HZ104" s="23"/>
      <c r="IA104" s="23"/>
      <c r="IB104" s="23"/>
      <c r="IC104" s="23"/>
      <c r="ID104" s="23"/>
      <c r="IE104" s="23"/>
      <c r="IF104" s="23"/>
      <c r="IG104" s="23"/>
      <c r="IH104" s="23"/>
      <c r="II104" s="23"/>
      <c r="IJ104" s="23"/>
      <c r="IK104" s="23"/>
      <c r="IL104" s="23"/>
      <c r="IM104" s="23"/>
      <c r="IN104" s="23"/>
      <c r="IO104" s="23"/>
      <c r="IP104" s="23"/>
      <c r="IQ104" s="23"/>
      <c r="IR104" s="23"/>
      <c r="IS104" s="23"/>
      <c r="IT104" s="23"/>
      <c r="IU104" s="23"/>
      <c r="IV104" s="23"/>
      <c r="IW104" s="23"/>
      <c r="IX104" s="23"/>
      <c r="IY104" s="23"/>
      <c r="IZ104" s="23"/>
      <c r="JA104" s="23"/>
      <c r="JB104" s="23"/>
      <c r="JC104" s="23"/>
      <c r="JD104" s="23"/>
      <c r="JE104" s="23"/>
      <c r="JF104" s="23"/>
      <c r="JG104" s="34"/>
      <c r="JH104" s="23"/>
      <c r="JI104" s="23"/>
      <c r="JJ104" s="23"/>
      <c r="JK104" s="23"/>
      <c r="JL104" s="23"/>
      <c r="JM104" s="23"/>
      <c r="JN104" s="23"/>
      <c r="JO104" s="23"/>
      <c r="JP104" s="23"/>
      <c r="JQ104" s="23"/>
      <c r="JR104" s="23"/>
      <c r="JS104" s="23"/>
      <c r="JT104" s="23"/>
      <c r="JU104" s="23"/>
      <c r="JV104" s="23"/>
      <c r="JW104" s="23"/>
      <c r="JX104" s="23"/>
      <c r="JY104" s="23"/>
      <c r="JZ104" s="23"/>
      <c r="KA104" s="23"/>
      <c r="KB104" s="34"/>
    </row>
    <row r="105" spans="1:288" ht="15" customHeight="1" x14ac:dyDescent="0.35">
      <c r="B105" s="146" t="s">
        <v>1304</v>
      </c>
      <c r="C105" s="148" t="str">
        <v/>
      </c>
      <c r="D105" s="148" t="str">
        <v/>
      </c>
      <c r="E105" s="148" t="str">
        <v/>
      </c>
      <c r="F105" s="148" t="str">
        <v/>
      </c>
      <c r="G105" s="268" t="str">
        <v/>
      </c>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34"/>
      <c r="DX105" s="23"/>
      <c r="DY105" s="23"/>
      <c r="DZ105" s="23"/>
      <c r="EA105" s="23"/>
      <c r="EB105" s="23"/>
      <c r="EC105" s="23"/>
      <c r="ED105" s="23"/>
      <c r="EE105" s="23"/>
      <c r="EF105" s="23"/>
      <c r="EG105" s="23"/>
      <c r="EH105" s="23"/>
      <c r="EI105" s="23"/>
      <c r="EJ105" s="23"/>
      <c r="EK105" s="23"/>
      <c r="EL105" s="23"/>
      <c r="EM105" s="23"/>
      <c r="EN105" s="23"/>
      <c r="EO105" s="23"/>
      <c r="EP105" s="23"/>
      <c r="EQ105" s="23"/>
      <c r="ER105" s="34"/>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c r="HT105" s="23"/>
      <c r="HU105" s="23"/>
      <c r="HV105" s="23"/>
      <c r="HW105" s="23"/>
      <c r="HX105" s="23"/>
      <c r="HY105" s="23"/>
      <c r="HZ105" s="23"/>
      <c r="IA105" s="23"/>
      <c r="IB105" s="23"/>
      <c r="IC105" s="23"/>
      <c r="ID105" s="23"/>
      <c r="IE105" s="23"/>
      <c r="IF105" s="23"/>
      <c r="IG105" s="23"/>
      <c r="IH105" s="23"/>
      <c r="II105" s="23"/>
      <c r="IJ105" s="23"/>
      <c r="IK105" s="23"/>
      <c r="IL105" s="23"/>
      <c r="IM105" s="23"/>
      <c r="IN105" s="23"/>
      <c r="IO105" s="23"/>
      <c r="IP105" s="23"/>
      <c r="IQ105" s="23"/>
      <c r="IR105" s="23"/>
      <c r="IS105" s="23"/>
      <c r="IT105" s="23"/>
      <c r="IU105" s="23"/>
      <c r="IV105" s="23"/>
      <c r="IW105" s="23"/>
      <c r="IX105" s="23"/>
      <c r="IY105" s="23"/>
      <c r="IZ105" s="23"/>
      <c r="JA105" s="23"/>
      <c r="JB105" s="23"/>
      <c r="JC105" s="23"/>
      <c r="JD105" s="23"/>
      <c r="JE105" s="23"/>
      <c r="JF105" s="23"/>
      <c r="JG105" s="34"/>
      <c r="JH105" s="23"/>
      <c r="JI105" s="23"/>
      <c r="JJ105" s="23"/>
      <c r="JK105" s="23"/>
      <c r="JL105" s="23"/>
      <c r="JM105" s="23"/>
      <c r="JN105" s="23"/>
      <c r="JO105" s="23"/>
      <c r="JP105" s="23"/>
      <c r="JQ105" s="23"/>
      <c r="JR105" s="23"/>
      <c r="JS105" s="23"/>
      <c r="JT105" s="23"/>
      <c r="JU105" s="23"/>
      <c r="JV105" s="23"/>
      <c r="JW105" s="23"/>
      <c r="JX105" s="23"/>
      <c r="JY105" s="23"/>
      <c r="JZ105" s="23"/>
      <c r="KA105" s="23"/>
      <c r="KB105" s="34"/>
    </row>
    <row r="106" spans="1:288" ht="15" customHeight="1" x14ac:dyDescent="0.35">
      <c r="B106" s="146" t="s">
        <v>1305</v>
      </c>
      <c r="C106" s="148" t="str">
        <v/>
      </c>
      <c r="D106" s="148" t="str">
        <v/>
      </c>
      <c r="E106" s="148" t="str">
        <v/>
      </c>
      <c r="F106" s="148" t="str">
        <v/>
      </c>
      <c r="G106" s="268" t="str">
        <v/>
      </c>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34"/>
      <c r="DX106" s="23"/>
      <c r="DY106" s="23"/>
      <c r="DZ106" s="23"/>
      <c r="EA106" s="23"/>
      <c r="EB106" s="23"/>
      <c r="EC106" s="23"/>
      <c r="ED106" s="23"/>
      <c r="EE106" s="23"/>
      <c r="EF106" s="23"/>
      <c r="EG106" s="23"/>
      <c r="EH106" s="23"/>
      <c r="EI106" s="23"/>
      <c r="EJ106" s="23"/>
      <c r="EK106" s="23"/>
      <c r="EL106" s="23"/>
      <c r="EM106" s="23"/>
      <c r="EN106" s="23"/>
      <c r="EO106" s="23"/>
      <c r="EP106" s="23"/>
      <c r="EQ106" s="23"/>
      <c r="ER106" s="34"/>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c r="IU106" s="23"/>
      <c r="IV106" s="23"/>
      <c r="IW106" s="23"/>
      <c r="IX106" s="23"/>
      <c r="IY106" s="23"/>
      <c r="IZ106" s="23"/>
      <c r="JA106" s="23"/>
      <c r="JB106" s="23"/>
      <c r="JC106" s="23"/>
      <c r="JD106" s="23"/>
      <c r="JE106" s="23"/>
      <c r="JF106" s="23"/>
      <c r="JG106" s="34"/>
      <c r="JH106" s="23"/>
      <c r="JI106" s="23"/>
      <c r="JJ106" s="23"/>
      <c r="JK106" s="23"/>
      <c r="JL106" s="23"/>
      <c r="JM106" s="23"/>
      <c r="JN106" s="23"/>
      <c r="JO106" s="23"/>
      <c r="JP106" s="23"/>
      <c r="JQ106" s="23"/>
      <c r="JR106" s="23"/>
      <c r="JS106" s="23"/>
      <c r="JT106" s="23"/>
      <c r="JU106" s="23"/>
      <c r="JV106" s="23"/>
      <c r="JW106" s="23"/>
      <c r="JX106" s="23"/>
      <c r="JY106" s="23"/>
      <c r="JZ106" s="23"/>
      <c r="KA106" s="23"/>
      <c r="KB106" s="34"/>
    </row>
    <row r="107" spans="1:288" ht="15" customHeight="1" x14ac:dyDescent="0.35">
      <c r="B107" s="146" t="s">
        <v>1306</v>
      </c>
      <c r="C107" s="148" t="str">
        <v/>
      </c>
      <c r="D107" s="148" t="str">
        <v/>
      </c>
      <c r="E107" s="148" t="str">
        <v/>
      </c>
      <c r="F107" s="148" t="str">
        <v/>
      </c>
      <c r="G107" s="268" t="str">
        <v/>
      </c>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34"/>
      <c r="DX107" s="23"/>
      <c r="DY107" s="23"/>
      <c r="DZ107" s="23"/>
      <c r="EA107" s="23"/>
      <c r="EB107" s="23"/>
      <c r="EC107" s="23"/>
      <c r="ED107" s="23"/>
      <c r="EE107" s="23"/>
      <c r="EF107" s="23"/>
      <c r="EG107" s="23"/>
      <c r="EH107" s="23"/>
      <c r="EI107" s="23"/>
      <c r="EJ107" s="23"/>
      <c r="EK107" s="23"/>
      <c r="EL107" s="23"/>
      <c r="EM107" s="23"/>
      <c r="EN107" s="23"/>
      <c r="EO107" s="23"/>
      <c r="EP107" s="23"/>
      <c r="EQ107" s="23"/>
      <c r="ER107" s="34"/>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c r="JB107" s="23"/>
      <c r="JC107" s="23"/>
      <c r="JD107" s="23"/>
      <c r="JE107" s="23"/>
      <c r="JF107" s="23"/>
      <c r="JG107" s="34"/>
      <c r="JH107" s="23"/>
      <c r="JI107" s="23"/>
      <c r="JJ107" s="23"/>
      <c r="JK107" s="23"/>
      <c r="JL107" s="23"/>
      <c r="JM107" s="23"/>
      <c r="JN107" s="23"/>
      <c r="JO107" s="23"/>
      <c r="JP107" s="23"/>
      <c r="JQ107" s="23"/>
      <c r="JR107" s="23"/>
      <c r="JS107" s="23"/>
      <c r="JT107" s="23"/>
      <c r="JU107" s="23"/>
      <c r="JV107" s="23"/>
      <c r="JW107" s="23"/>
      <c r="JX107" s="23"/>
      <c r="JY107" s="23"/>
      <c r="JZ107" s="23"/>
      <c r="KA107" s="23"/>
      <c r="KB107" s="34"/>
    </row>
    <row r="108" spans="1:288" ht="15" customHeight="1" x14ac:dyDescent="0.35">
      <c r="B108" s="146" t="s">
        <v>1307</v>
      </c>
      <c r="C108" s="148" t="str">
        <v/>
      </c>
      <c r="D108" s="148" t="str">
        <v/>
      </c>
      <c r="E108" s="148" t="str">
        <v/>
      </c>
      <c r="F108" s="148" t="str">
        <v/>
      </c>
      <c r="G108" s="268" t="str">
        <v/>
      </c>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34"/>
      <c r="DX108" s="23"/>
      <c r="DY108" s="23"/>
      <c r="DZ108" s="23"/>
      <c r="EA108" s="23"/>
      <c r="EB108" s="23"/>
      <c r="EC108" s="23"/>
      <c r="ED108" s="23"/>
      <c r="EE108" s="23"/>
      <c r="EF108" s="23"/>
      <c r="EG108" s="23"/>
      <c r="EH108" s="23"/>
      <c r="EI108" s="23"/>
      <c r="EJ108" s="23"/>
      <c r="EK108" s="23"/>
      <c r="EL108" s="23"/>
      <c r="EM108" s="23"/>
      <c r="EN108" s="23"/>
      <c r="EO108" s="23"/>
      <c r="EP108" s="23"/>
      <c r="EQ108" s="23"/>
      <c r="ER108" s="34"/>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c r="HT108" s="23"/>
      <c r="HU108" s="23"/>
      <c r="HV108" s="23"/>
      <c r="HW108" s="23"/>
      <c r="HX108" s="23"/>
      <c r="HY108" s="23"/>
      <c r="HZ108" s="23"/>
      <c r="IA108" s="23"/>
      <c r="IB108" s="23"/>
      <c r="IC108" s="23"/>
      <c r="ID108" s="23"/>
      <c r="IE108" s="23"/>
      <c r="IF108" s="23"/>
      <c r="IG108" s="23"/>
      <c r="IH108" s="23"/>
      <c r="II108" s="23"/>
      <c r="IJ108" s="23"/>
      <c r="IK108" s="23"/>
      <c r="IL108" s="23"/>
      <c r="IM108" s="23"/>
      <c r="IN108" s="23"/>
      <c r="IO108" s="23"/>
      <c r="IP108" s="23"/>
      <c r="IQ108" s="23"/>
      <c r="IR108" s="23"/>
      <c r="IS108" s="23"/>
      <c r="IT108" s="23"/>
      <c r="IU108" s="23"/>
      <c r="IV108" s="23"/>
      <c r="IW108" s="23"/>
      <c r="IX108" s="23"/>
      <c r="IY108" s="23"/>
      <c r="IZ108" s="23"/>
      <c r="JA108" s="23"/>
      <c r="JB108" s="23"/>
      <c r="JC108" s="23"/>
      <c r="JD108" s="23"/>
      <c r="JE108" s="23"/>
      <c r="JF108" s="23"/>
      <c r="JG108" s="34"/>
      <c r="JH108" s="23"/>
      <c r="JI108" s="23"/>
      <c r="JJ108" s="23"/>
      <c r="JK108" s="23"/>
      <c r="JL108" s="23"/>
      <c r="JM108" s="23"/>
      <c r="JN108" s="23"/>
      <c r="JO108" s="23"/>
      <c r="JP108" s="23"/>
      <c r="JQ108" s="23"/>
      <c r="JR108" s="23"/>
      <c r="JS108" s="23"/>
      <c r="JT108" s="23"/>
      <c r="JU108" s="23"/>
      <c r="JV108" s="23"/>
      <c r="JW108" s="23"/>
      <c r="JX108" s="23"/>
      <c r="JY108" s="23"/>
      <c r="JZ108" s="23"/>
      <c r="KA108" s="23"/>
      <c r="KB108" s="34"/>
    </row>
    <row r="109" spans="1:288" ht="15" customHeight="1" x14ac:dyDescent="0.35">
      <c r="B109" s="146" t="s">
        <v>1308</v>
      </c>
      <c r="C109" s="148" t="str">
        <v/>
      </c>
      <c r="D109" s="148" t="str">
        <v/>
      </c>
      <c r="E109" s="148" t="str">
        <v/>
      </c>
      <c r="F109" s="148" t="str">
        <v/>
      </c>
      <c r="G109" s="268" t="str">
        <v/>
      </c>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34"/>
      <c r="DX109" s="23"/>
      <c r="DY109" s="23"/>
      <c r="DZ109" s="23"/>
      <c r="EA109" s="23"/>
      <c r="EB109" s="23"/>
      <c r="EC109" s="23"/>
      <c r="ED109" s="23"/>
      <c r="EE109" s="23"/>
      <c r="EF109" s="23"/>
      <c r="EG109" s="23"/>
      <c r="EH109" s="23"/>
      <c r="EI109" s="23"/>
      <c r="EJ109" s="23"/>
      <c r="EK109" s="23"/>
      <c r="EL109" s="23"/>
      <c r="EM109" s="23"/>
      <c r="EN109" s="23"/>
      <c r="EO109" s="23"/>
      <c r="EP109" s="23"/>
      <c r="EQ109" s="23"/>
      <c r="ER109" s="34"/>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c r="HT109" s="23"/>
      <c r="HU109" s="23"/>
      <c r="HV109" s="23"/>
      <c r="HW109" s="23"/>
      <c r="HX109" s="23"/>
      <c r="HY109" s="23"/>
      <c r="HZ109" s="23"/>
      <c r="IA109" s="23"/>
      <c r="IB109" s="23"/>
      <c r="IC109" s="23"/>
      <c r="ID109" s="23"/>
      <c r="IE109" s="23"/>
      <c r="IF109" s="23"/>
      <c r="IG109" s="23"/>
      <c r="IH109" s="23"/>
      <c r="II109" s="23"/>
      <c r="IJ109" s="23"/>
      <c r="IK109" s="23"/>
      <c r="IL109" s="23"/>
      <c r="IM109" s="23"/>
      <c r="IN109" s="23"/>
      <c r="IO109" s="23"/>
      <c r="IP109" s="23"/>
      <c r="IQ109" s="23"/>
      <c r="IR109" s="23"/>
      <c r="IS109" s="23"/>
      <c r="IT109" s="23"/>
      <c r="IU109" s="23"/>
      <c r="IV109" s="23"/>
      <c r="IW109" s="23"/>
      <c r="IX109" s="23"/>
      <c r="IY109" s="23"/>
      <c r="IZ109" s="23"/>
      <c r="JA109" s="23"/>
      <c r="JB109" s="23"/>
      <c r="JC109" s="23"/>
      <c r="JD109" s="23"/>
      <c r="JE109" s="23"/>
      <c r="JF109" s="23"/>
      <c r="JG109" s="34"/>
      <c r="JH109" s="23"/>
      <c r="JI109" s="23"/>
      <c r="JJ109" s="23"/>
      <c r="JK109" s="23"/>
      <c r="JL109" s="23"/>
      <c r="JM109" s="23"/>
      <c r="JN109" s="23"/>
      <c r="JO109" s="23"/>
      <c r="JP109" s="23"/>
      <c r="JQ109" s="23"/>
      <c r="JR109" s="23"/>
      <c r="JS109" s="23"/>
      <c r="JT109" s="23"/>
      <c r="JU109" s="23"/>
      <c r="JV109" s="23"/>
      <c r="JW109" s="23"/>
      <c r="JX109" s="23"/>
      <c r="JY109" s="23"/>
      <c r="JZ109" s="23"/>
      <c r="KA109" s="23"/>
      <c r="KB109" s="34"/>
    </row>
    <row r="110" spans="1:288" ht="15" customHeight="1" x14ac:dyDescent="0.35">
      <c r="B110" s="147" t="s">
        <v>1309</v>
      </c>
      <c r="C110" s="150" t="str">
        <v/>
      </c>
      <c r="D110" s="150" t="str">
        <v/>
      </c>
      <c r="E110" s="150" t="str">
        <v/>
      </c>
      <c r="F110" s="150" t="str">
        <v/>
      </c>
      <c r="G110" s="268" t="str">
        <v/>
      </c>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54"/>
      <c r="DX110" s="29"/>
      <c r="DY110" s="29"/>
      <c r="DZ110" s="29"/>
      <c r="EA110" s="29"/>
      <c r="EB110" s="29"/>
      <c r="EC110" s="29"/>
      <c r="ED110" s="29"/>
      <c r="EE110" s="29"/>
      <c r="EF110" s="29"/>
      <c r="EG110" s="29"/>
      <c r="EH110" s="29"/>
      <c r="EI110" s="29"/>
      <c r="EJ110" s="29"/>
      <c r="EK110" s="29"/>
      <c r="EL110" s="29"/>
      <c r="EM110" s="29"/>
      <c r="EN110" s="29"/>
      <c r="EO110" s="29"/>
      <c r="EP110" s="29"/>
      <c r="EQ110" s="29"/>
      <c r="ER110" s="54"/>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c r="IT110" s="29"/>
      <c r="IU110" s="29"/>
      <c r="IV110" s="29"/>
      <c r="IW110" s="29"/>
      <c r="IX110" s="29"/>
      <c r="IY110" s="29"/>
      <c r="IZ110" s="29"/>
      <c r="JA110" s="29"/>
      <c r="JB110" s="29"/>
      <c r="JC110" s="29"/>
      <c r="JD110" s="29"/>
      <c r="JE110" s="29"/>
      <c r="JF110" s="29"/>
      <c r="JG110" s="54"/>
      <c r="JH110" s="29"/>
      <c r="JI110" s="29"/>
      <c r="JJ110" s="29"/>
      <c r="JK110" s="29"/>
      <c r="JL110" s="29"/>
      <c r="JM110" s="29"/>
      <c r="JN110" s="29"/>
      <c r="JO110" s="29"/>
      <c r="JP110" s="29"/>
      <c r="JQ110" s="29"/>
      <c r="JR110" s="29"/>
      <c r="JS110" s="29"/>
      <c r="JT110" s="29"/>
      <c r="JU110" s="29"/>
      <c r="JV110" s="29"/>
      <c r="JW110" s="29"/>
      <c r="JX110" s="29"/>
      <c r="JY110" s="29"/>
      <c r="JZ110" s="29"/>
      <c r="KA110" s="29"/>
      <c r="KB110" s="54"/>
    </row>
    <row r="111" spans="1:288" ht="15" customHeight="1" x14ac:dyDescent="0.35">
      <c r="B111" s="1829" t="s">
        <v>1605</v>
      </c>
      <c r="C111" s="1102"/>
      <c r="D111" s="1102"/>
      <c r="E111" s="1830"/>
      <c r="F111" s="1830"/>
      <c r="G111" s="1830"/>
      <c r="H111" s="1831"/>
      <c r="I111" s="1831"/>
      <c r="J111" s="1831"/>
      <c r="K111" s="1831"/>
      <c r="L111" s="1831"/>
      <c r="M111" s="1831"/>
      <c r="N111" s="1831"/>
      <c r="O111" s="1831"/>
      <c r="P111" s="1831"/>
      <c r="Q111" s="1831"/>
      <c r="R111" s="1831"/>
      <c r="S111" s="1831"/>
      <c r="T111" s="1831"/>
      <c r="U111" s="1831"/>
      <c r="V111" s="1831"/>
      <c r="W111" s="1831"/>
      <c r="X111" s="1831"/>
      <c r="Y111" s="1831"/>
      <c r="Z111" s="1831"/>
      <c r="AA111" s="1831"/>
      <c r="AB111" s="1831"/>
      <c r="AC111" s="1831"/>
      <c r="AD111" s="1831"/>
      <c r="AE111" s="1831"/>
      <c r="AF111" s="1831"/>
      <c r="AG111" s="1831"/>
      <c r="AH111" s="1831"/>
      <c r="AI111" s="1831"/>
      <c r="AJ111" s="1831"/>
      <c r="AK111" s="1831"/>
      <c r="AL111" s="1831"/>
      <c r="AM111" s="1831"/>
      <c r="AN111" s="1831"/>
      <c r="AO111" s="1831"/>
      <c r="AP111" s="1831"/>
      <c r="AQ111" s="1831"/>
      <c r="AR111" s="1831"/>
      <c r="AS111" s="1831"/>
      <c r="AT111" s="1831"/>
      <c r="AU111" s="1831"/>
      <c r="AV111" s="1831"/>
      <c r="AW111" s="1831"/>
      <c r="AX111" s="1831"/>
      <c r="AY111" s="1831"/>
      <c r="AZ111" s="1831"/>
      <c r="BA111" s="1831"/>
      <c r="BB111" s="1831"/>
      <c r="BC111" s="1831"/>
      <c r="BD111" s="1831"/>
      <c r="BE111" s="1831"/>
      <c r="BF111" s="1831"/>
      <c r="BG111" s="1831"/>
      <c r="BH111" s="1831"/>
      <c r="BI111" s="1831"/>
      <c r="BJ111" s="1831"/>
      <c r="BK111" s="1831"/>
      <c r="BL111" s="1831"/>
      <c r="BM111" s="1831"/>
      <c r="BN111" s="1831"/>
      <c r="BO111" s="1831"/>
      <c r="BP111" s="1831"/>
      <c r="BQ111" s="1831"/>
      <c r="BR111" s="1831"/>
      <c r="BS111" s="1831"/>
      <c r="BT111" s="1831"/>
      <c r="BU111" s="1831"/>
      <c r="BV111" s="1831"/>
      <c r="BW111" s="1831"/>
      <c r="BX111" s="1831"/>
      <c r="BY111" s="1831"/>
      <c r="BZ111" s="1831"/>
      <c r="CA111" s="1831"/>
      <c r="CB111" s="1831"/>
      <c r="CC111" s="1831"/>
      <c r="CD111" s="1831"/>
      <c r="CE111" s="1831"/>
      <c r="CF111" s="1831"/>
      <c r="CG111" s="1831"/>
      <c r="CH111" s="1831"/>
      <c r="CI111" s="1831"/>
      <c r="CJ111" s="1831"/>
      <c r="CK111" s="1831"/>
      <c r="CL111" s="1831"/>
      <c r="CM111" s="1831"/>
      <c r="CN111" s="1831"/>
      <c r="CO111" s="1831"/>
      <c r="CP111" s="1831"/>
      <c r="CQ111" s="1831"/>
      <c r="CR111" s="1831"/>
      <c r="CS111" s="1831"/>
      <c r="CT111" s="1831"/>
      <c r="CU111" s="1831"/>
      <c r="CV111" s="1831"/>
      <c r="CW111" s="1831"/>
      <c r="CX111" s="1831"/>
      <c r="CY111" s="1831"/>
      <c r="CZ111" s="1831"/>
      <c r="DA111" s="1831"/>
      <c r="DB111" s="1831"/>
      <c r="DC111" s="1831"/>
      <c r="DD111" s="1831"/>
      <c r="DE111" s="1831"/>
      <c r="DF111" s="1831"/>
      <c r="DG111" s="1831"/>
      <c r="DH111" s="1831"/>
      <c r="DI111" s="1831"/>
      <c r="DJ111" s="1831"/>
      <c r="DK111" s="1831"/>
      <c r="DL111" s="1831"/>
      <c r="DM111" s="1831"/>
      <c r="DN111" s="1831"/>
      <c r="DO111" s="1831"/>
      <c r="DP111" s="1831"/>
      <c r="DQ111" s="1831"/>
      <c r="DR111" s="1831"/>
      <c r="DS111" s="1831"/>
      <c r="DT111" s="1831"/>
      <c r="DU111" s="1831"/>
      <c r="DV111" s="1831"/>
      <c r="DW111" s="1090"/>
      <c r="DX111" s="1831"/>
      <c r="DY111" s="1831"/>
      <c r="DZ111" s="1831"/>
      <c r="EA111" s="1831"/>
      <c r="EB111" s="1831"/>
      <c r="EC111" s="1831"/>
      <c r="ED111" s="1831"/>
      <c r="EE111" s="1831"/>
      <c r="EF111" s="1831"/>
      <c r="EG111" s="1831"/>
      <c r="EH111" s="1831"/>
      <c r="EI111" s="1831"/>
      <c r="EJ111" s="1831"/>
      <c r="EK111" s="1831"/>
      <c r="EL111" s="1831"/>
      <c r="EM111" s="1831"/>
      <c r="EN111" s="1831"/>
      <c r="EO111" s="1831"/>
      <c r="EP111" s="1831"/>
      <c r="EQ111" s="1831"/>
      <c r="ER111" s="1090"/>
      <c r="ES111" s="1831"/>
      <c r="ET111" s="1831"/>
      <c r="EU111" s="1831"/>
      <c r="EV111" s="1831"/>
      <c r="EW111" s="1831"/>
      <c r="EX111" s="1831"/>
      <c r="EY111" s="1831"/>
      <c r="EZ111" s="1831"/>
      <c r="FA111" s="1831"/>
      <c r="FB111" s="1831"/>
      <c r="FC111" s="1831"/>
      <c r="FD111" s="1831"/>
      <c r="FE111" s="1831"/>
      <c r="FF111" s="1831"/>
      <c r="FG111" s="1831"/>
      <c r="FH111" s="1831"/>
      <c r="FI111" s="1831"/>
      <c r="FJ111" s="1831"/>
      <c r="FK111" s="1831"/>
      <c r="FL111" s="1831"/>
      <c r="FM111" s="1831"/>
      <c r="FN111" s="1831"/>
      <c r="FO111" s="1831"/>
      <c r="FP111" s="1831"/>
      <c r="FQ111" s="1831"/>
      <c r="FR111" s="1831"/>
      <c r="FS111" s="1831"/>
      <c r="FT111" s="1831"/>
      <c r="FU111" s="1831"/>
      <c r="FV111" s="1831"/>
      <c r="FW111" s="1831"/>
      <c r="FX111" s="1831"/>
      <c r="FY111" s="1831"/>
      <c r="FZ111" s="1831"/>
      <c r="GA111" s="1831"/>
      <c r="GB111" s="1831"/>
      <c r="GC111" s="1831"/>
      <c r="GD111" s="1831"/>
      <c r="GE111" s="1831"/>
      <c r="GF111" s="1831"/>
      <c r="GG111" s="1831"/>
      <c r="GH111" s="1831"/>
      <c r="GI111" s="1831"/>
      <c r="GJ111" s="1831"/>
      <c r="GK111" s="1831"/>
      <c r="GL111" s="1831"/>
      <c r="GM111" s="1831"/>
      <c r="GN111" s="1831"/>
      <c r="GO111" s="1831"/>
      <c r="GP111" s="1831"/>
      <c r="GQ111" s="1831"/>
      <c r="GR111" s="1831"/>
      <c r="GS111" s="1831"/>
      <c r="GT111" s="1831"/>
      <c r="GU111" s="1831"/>
      <c r="GV111" s="1831"/>
      <c r="GW111" s="1831"/>
      <c r="GX111" s="1831"/>
      <c r="GY111" s="1831"/>
      <c r="GZ111" s="1831"/>
      <c r="HA111" s="1831"/>
      <c r="HB111" s="1831"/>
      <c r="HC111" s="1831"/>
      <c r="HD111" s="1831"/>
      <c r="HE111" s="1831"/>
      <c r="HF111" s="1831"/>
      <c r="HG111" s="1831"/>
      <c r="HH111" s="1831"/>
      <c r="HI111" s="1831"/>
      <c r="HJ111" s="1831"/>
      <c r="HK111" s="1831"/>
      <c r="HL111" s="1831"/>
      <c r="HM111" s="1831"/>
      <c r="HN111" s="1831"/>
      <c r="HO111" s="1831"/>
      <c r="HP111" s="1831"/>
      <c r="HQ111" s="1831"/>
      <c r="HR111" s="1831"/>
      <c r="HS111" s="1831"/>
      <c r="HT111" s="1831"/>
      <c r="HU111" s="1831"/>
      <c r="HV111" s="1831"/>
      <c r="HW111" s="1831"/>
      <c r="HX111" s="1831"/>
      <c r="HY111" s="1831"/>
      <c r="HZ111" s="1831"/>
      <c r="IA111" s="1831"/>
      <c r="IB111" s="1831"/>
      <c r="IC111" s="1831"/>
      <c r="ID111" s="1831"/>
      <c r="IE111" s="1831"/>
      <c r="IF111" s="1831"/>
      <c r="IG111" s="1831"/>
      <c r="IH111" s="1831"/>
      <c r="II111" s="1831"/>
      <c r="IJ111" s="1831"/>
      <c r="IK111" s="1831"/>
      <c r="IL111" s="1831"/>
      <c r="IM111" s="1831"/>
      <c r="IN111" s="1831"/>
      <c r="IO111" s="1831"/>
      <c r="IP111" s="1831"/>
      <c r="IQ111" s="1831"/>
      <c r="IR111" s="1831"/>
      <c r="IS111" s="1831"/>
      <c r="IT111" s="1831"/>
      <c r="IU111" s="1831"/>
      <c r="IV111" s="1831"/>
      <c r="IW111" s="1831"/>
      <c r="IX111" s="1831"/>
      <c r="IY111" s="1831"/>
      <c r="IZ111" s="1831"/>
      <c r="JA111" s="1831"/>
      <c r="JB111" s="1831"/>
      <c r="JC111" s="1831"/>
      <c r="JD111" s="1831"/>
      <c r="JE111" s="1831"/>
      <c r="JF111" s="1831"/>
      <c r="JG111" s="1090"/>
      <c r="JH111" s="1831"/>
      <c r="JI111" s="1831"/>
      <c r="JJ111" s="1831"/>
      <c r="JK111" s="1831"/>
      <c r="JL111" s="1831"/>
      <c r="JM111" s="1831"/>
      <c r="JN111" s="1831"/>
      <c r="JO111" s="1831"/>
      <c r="JP111" s="1831"/>
      <c r="JQ111" s="1831"/>
      <c r="JR111" s="1831"/>
      <c r="JS111" s="1831"/>
      <c r="JT111" s="1831"/>
      <c r="JU111" s="1831"/>
      <c r="JV111" s="1831"/>
      <c r="JW111" s="1831"/>
      <c r="JX111" s="1831"/>
      <c r="JY111" s="1831"/>
      <c r="JZ111" s="1831"/>
      <c r="KA111" s="1831"/>
      <c r="KB111" s="1090"/>
    </row>
    <row r="112" spans="1:288" ht="60" customHeight="1" x14ac:dyDescent="0.35">
      <c r="A112" s="280" t="s">
        <v>1606</v>
      </c>
      <c r="B112" s="84"/>
      <c r="C112" s="84"/>
      <c r="D112" s="103"/>
      <c r="E112" s="103"/>
      <c r="F112" s="103"/>
      <c r="G112" s="103"/>
    </row>
    <row r="113" spans="2:288" ht="60" customHeight="1" x14ac:dyDescent="0.35">
      <c r="B113" s="1384" t="s">
        <v>1199</v>
      </c>
      <c r="C113" s="750" t="s">
        <v>1200</v>
      </c>
      <c r="D113" s="895" t="s">
        <v>1201</v>
      </c>
      <c r="E113" s="750" t="s">
        <v>1202</v>
      </c>
      <c r="F113" s="750" t="s">
        <v>1203</v>
      </c>
      <c r="G113" s="750" t="s">
        <v>1600</v>
      </c>
      <c r="H113" s="750" t="s">
        <v>1601</v>
      </c>
      <c r="I113" s="750" t="str">
        <f t="shared" ref="I113:BT113" si="10">"T+" &amp; (COLUMN(I113)-COLUMN($H113))</f>
        <v>T+1</v>
      </c>
      <c r="J113" s="750" t="str">
        <f t="shared" si="10"/>
        <v>T+2</v>
      </c>
      <c r="K113" s="750" t="str">
        <f t="shared" si="10"/>
        <v>T+3</v>
      </c>
      <c r="L113" s="750" t="str">
        <f t="shared" si="10"/>
        <v>T+4</v>
      </c>
      <c r="M113" s="750" t="str">
        <f t="shared" si="10"/>
        <v>T+5</v>
      </c>
      <c r="N113" s="750" t="str">
        <f t="shared" si="10"/>
        <v>T+6</v>
      </c>
      <c r="O113" s="750" t="str">
        <f t="shared" si="10"/>
        <v>T+7</v>
      </c>
      <c r="P113" s="750" t="str">
        <f t="shared" si="10"/>
        <v>T+8</v>
      </c>
      <c r="Q113" s="750" t="str">
        <f t="shared" si="10"/>
        <v>T+9</v>
      </c>
      <c r="R113" s="750" t="str">
        <f t="shared" si="10"/>
        <v>T+10</v>
      </c>
      <c r="S113" s="750" t="str">
        <f t="shared" si="10"/>
        <v>T+11</v>
      </c>
      <c r="T113" s="750" t="str">
        <f t="shared" si="10"/>
        <v>T+12</v>
      </c>
      <c r="U113" s="750" t="str">
        <f t="shared" si="10"/>
        <v>T+13</v>
      </c>
      <c r="V113" s="750" t="str">
        <f t="shared" si="10"/>
        <v>T+14</v>
      </c>
      <c r="W113" s="750" t="str">
        <f t="shared" si="10"/>
        <v>T+15</v>
      </c>
      <c r="X113" s="750" t="str">
        <f t="shared" si="10"/>
        <v>T+16</v>
      </c>
      <c r="Y113" s="750" t="str">
        <f t="shared" si="10"/>
        <v>T+17</v>
      </c>
      <c r="Z113" s="750" t="str">
        <f t="shared" si="10"/>
        <v>T+18</v>
      </c>
      <c r="AA113" s="750" t="str">
        <f t="shared" si="10"/>
        <v>T+19</v>
      </c>
      <c r="AB113" s="750" t="str">
        <f t="shared" si="10"/>
        <v>T+20</v>
      </c>
      <c r="AC113" s="750" t="str">
        <f t="shared" si="10"/>
        <v>T+21</v>
      </c>
      <c r="AD113" s="750" t="str">
        <f t="shared" si="10"/>
        <v>T+22</v>
      </c>
      <c r="AE113" s="750" t="str">
        <f t="shared" si="10"/>
        <v>T+23</v>
      </c>
      <c r="AF113" s="750" t="str">
        <f t="shared" si="10"/>
        <v>T+24</v>
      </c>
      <c r="AG113" s="750" t="str">
        <f t="shared" si="10"/>
        <v>T+25</v>
      </c>
      <c r="AH113" s="750" t="str">
        <f t="shared" si="10"/>
        <v>T+26</v>
      </c>
      <c r="AI113" s="750" t="str">
        <f t="shared" si="10"/>
        <v>T+27</v>
      </c>
      <c r="AJ113" s="750" t="str">
        <f t="shared" si="10"/>
        <v>T+28</v>
      </c>
      <c r="AK113" s="750" t="str">
        <f t="shared" si="10"/>
        <v>T+29</v>
      </c>
      <c r="AL113" s="750" t="str">
        <f t="shared" si="10"/>
        <v>T+30</v>
      </c>
      <c r="AM113" s="750" t="str">
        <f t="shared" si="10"/>
        <v>T+31</v>
      </c>
      <c r="AN113" s="750" t="str">
        <f t="shared" si="10"/>
        <v>T+32</v>
      </c>
      <c r="AO113" s="750" t="str">
        <f t="shared" si="10"/>
        <v>T+33</v>
      </c>
      <c r="AP113" s="750" t="str">
        <f t="shared" si="10"/>
        <v>T+34</v>
      </c>
      <c r="AQ113" s="750" t="str">
        <f t="shared" si="10"/>
        <v>T+35</v>
      </c>
      <c r="AR113" s="750" t="str">
        <f t="shared" si="10"/>
        <v>T+36</v>
      </c>
      <c r="AS113" s="750" t="str">
        <f t="shared" si="10"/>
        <v>T+37</v>
      </c>
      <c r="AT113" s="750" t="str">
        <f t="shared" si="10"/>
        <v>T+38</v>
      </c>
      <c r="AU113" s="750" t="str">
        <f t="shared" si="10"/>
        <v>T+39</v>
      </c>
      <c r="AV113" s="750" t="str">
        <f t="shared" si="10"/>
        <v>T+40</v>
      </c>
      <c r="AW113" s="750" t="str">
        <f t="shared" si="10"/>
        <v>T+41</v>
      </c>
      <c r="AX113" s="750" t="str">
        <f t="shared" si="10"/>
        <v>T+42</v>
      </c>
      <c r="AY113" s="750" t="str">
        <f t="shared" si="10"/>
        <v>T+43</v>
      </c>
      <c r="AZ113" s="750" t="str">
        <f t="shared" si="10"/>
        <v>T+44</v>
      </c>
      <c r="BA113" s="750" t="str">
        <f t="shared" si="10"/>
        <v>T+45</v>
      </c>
      <c r="BB113" s="750" t="str">
        <f t="shared" si="10"/>
        <v>T+46</v>
      </c>
      <c r="BC113" s="750" t="str">
        <f t="shared" si="10"/>
        <v>T+47</v>
      </c>
      <c r="BD113" s="750" t="str">
        <f t="shared" si="10"/>
        <v>T+48</v>
      </c>
      <c r="BE113" s="750" t="str">
        <f t="shared" si="10"/>
        <v>T+49</v>
      </c>
      <c r="BF113" s="750" t="str">
        <f t="shared" si="10"/>
        <v>T+50</v>
      </c>
      <c r="BG113" s="750" t="str">
        <f t="shared" si="10"/>
        <v>T+51</v>
      </c>
      <c r="BH113" s="750" t="str">
        <f t="shared" si="10"/>
        <v>T+52</v>
      </c>
      <c r="BI113" s="750" t="str">
        <f t="shared" si="10"/>
        <v>T+53</v>
      </c>
      <c r="BJ113" s="750" t="str">
        <f t="shared" si="10"/>
        <v>T+54</v>
      </c>
      <c r="BK113" s="750" t="str">
        <f t="shared" si="10"/>
        <v>T+55</v>
      </c>
      <c r="BL113" s="750" t="str">
        <f t="shared" si="10"/>
        <v>T+56</v>
      </c>
      <c r="BM113" s="750" t="str">
        <f t="shared" si="10"/>
        <v>T+57</v>
      </c>
      <c r="BN113" s="750" t="str">
        <f t="shared" si="10"/>
        <v>T+58</v>
      </c>
      <c r="BO113" s="750" t="str">
        <f t="shared" si="10"/>
        <v>T+59</v>
      </c>
      <c r="BP113" s="750" t="str">
        <f t="shared" si="10"/>
        <v>T+60</v>
      </c>
      <c r="BQ113" s="750" t="str">
        <f t="shared" si="10"/>
        <v>T+61</v>
      </c>
      <c r="BR113" s="750" t="str">
        <f t="shared" si="10"/>
        <v>T+62</v>
      </c>
      <c r="BS113" s="750" t="str">
        <f t="shared" si="10"/>
        <v>T+63</v>
      </c>
      <c r="BT113" s="750" t="str">
        <f t="shared" si="10"/>
        <v>T+64</v>
      </c>
      <c r="BU113" s="750" t="str">
        <f t="shared" ref="BU113:EF113" si="11">"T+" &amp; (COLUMN(BU113)-COLUMN($H113))</f>
        <v>T+65</v>
      </c>
      <c r="BV113" s="750" t="str">
        <f t="shared" si="11"/>
        <v>T+66</v>
      </c>
      <c r="BW113" s="750" t="str">
        <f t="shared" si="11"/>
        <v>T+67</v>
      </c>
      <c r="BX113" s="750" t="str">
        <f t="shared" si="11"/>
        <v>T+68</v>
      </c>
      <c r="BY113" s="750" t="str">
        <f t="shared" si="11"/>
        <v>T+69</v>
      </c>
      <c r="BZ113" s="750" t="str">
        <f t="shared" si="11"/>
        <v>T+70</v>
      </c>
      <c r="CA113" s="750" t="str">
        <f t="shared" si="11"/>
        <v>T+71</v>
      </c>
      <c r="CB113" s="750" t="str">
        <f t="shared" si="11"/>
        <v>T+72</v>
      </c>
      <c r="CC113" s="750" t="str">
        <f t="shared" si="11"/>
        <v>T+73</v>
      </c>
      <c r="CD113" s="750" t="str">
        <f t="shared" si="11"/>
        <v>T+74</v>
      </c>
      <c r="CE113" s="750" t="str">
        <f t="shared" si="11"/>
        <v>T+75</v>
      </c>
      <c r="CF113" s="750" t="str">
        <f t="shared" si="11"/>
        <v>T+76</v>
      </c>
      <c r="CG113" s="750" t="str">
        <f t="shared" si="11"/>
        <v>T+77</v>
      </c>
      <c r="CH113" s="750" t="str">
        <f t="shared" si="11"/>
        <v>T+78</v>
      </c>
      <c r="CI113" s="750" t="str">
        <f t="shared" si="11"/>
        <v>T+79</v>
      </c>
      <c r="CJ113" s="750" t="str">
        <f t="shared" si="11"/>
        <v>T+80</v>
      </c>
      <c r="CK113" s="750" t="str">
        <f t="shared" si="11"/>
        <v>T+81</v>
      </c>
      <c r="CL113" s="750" t="str">
        <f t="shared" si="11"/>
        <v>T+82</v>
      </c>
      <c r="CM113" s="750" t="str">
        <f t="shared" si="11"/>
        <v>T+83</v>
      </c>
      <c r="CN113" s="750" t="str">
        <f t="shared" si="11"/>
        <v>T+84</v>
      </c>
      <c r="CO113" s="750" t="str">
        <f t="shared" si="11"/>
        <v>T+85</v>
      </c>
      <c r="CP113" s="750" t="str">
        <f t="shared" si="11"/>
        <v>T+86</v>
      </c>
      <c r="CQ113" s="750" t="str">
        <f t="shared" si="11"/>
        <v>T+87</v>
      </c>
      <c r="CR113" s="750" t="str">
        <f t="shared" si="11"/>
        <v>T+88</v>
      </c>
      <c r="CS113" s="750" t="str">
        <f t="shared" si="11"/>
        <v>T+89</v>
      </c>
      <c r="CT113" s="750" t="str">
        <f t="shared" si="11"/>
        <v>T+90</v>
      </c>
      <c r="CU113" s="750" t="str">
        <f t="shared" si="11"/>
        <v>T+91</v>
      </c>
      <c r="CV113" s="750" t="str">
        <f t="shared" si="11"/>
        <v>T+92</v>
      </c>
      <c r="CW113" s="750" t="str">
        <f t="shared" si="11"/>
        <v>T+93</v>
      </c>
      <c r="CX113" s="750" t="str">
        <f t="shared" si="11"/>
        <v>T+94</v>
      </c>
      <c r="CY113" s="750" t="str">
        <f t="shared" si="11"/>
        <v>T+95</v>
      </c>
      <c r="CZ113" s="750" t="str">
        <f t="shared" si="11"/>
        <v>T+96</v>
      </c>
      <c r="DA113" s="750" t="str">
        <f t="shared" si="11"/>
        <v>T+97</v>
      </c>
      <c r="DB113" s="750" t="str">
        <f t="shared" si="11"/>
        <v>T+98</v>
      </c>
      <c r="DC113" s="750" t="str">
        <f t="shared" si="11"/>
        <v>T+99</v>
      </c>
      <c r="DD113" s="750" t="str">
        <f t="shared" si="11"/>
        <v>T+100</v>
      </c>
      <c r="DE113" s="750" t="str">
        <f t="shared" si="11"/>
        <v>T+101</v>
      </c>
      <c r="DF113" s="750" t="str">
        <f t="shared" si="11"/>
        <v>T+102</v>
      </c>
      <c r="DG113" s="750" t="str">
        <f t="shared" si="11"/>
        <v>T+103</v>
      </c>
      <c r="DH113" s="750" t="str">
        <f t="shared" si="11"/>
        <v>T+104</v>
      </c>
      <c r="DI113" s="750" t="str">
        <f t="shared" si="11"/>
        <v>T+105</v>
      </c>
      <c r="DJ113" s="750" t="str">
        <f t="shared" si="11"/>
        <v>T+106</v>
      </c>
      <c r="DK113" s="750" t="str">
        <f t="shared" si="11"/>
        <v>T+107</v>
      </c>
      <c r="DL113" s="750" t="str">
        <f t="shared" si="11"/>
        <v>T+108</v>
      </c>
      <c r="DM113" s="750" t="str">
        <f t="shared" si="11"/>
        <v>T+109</v>
      </c>
      <c r="DN113" s="750" t="str">
        <f t="shared" si="11"/>
        <v>T+110</v>
      </c>
      <c r="DO113" s="750" t="str">
        <f t="shared" si="11"/>
        <v>T+111</v>
      </c>
      <c r="DP113" s="750" t="str">
        <f t="shared" si="11"/>
        <v>T+112</v>
      </c>
      <c r="DQ113" s="750" t="str">
        <f t="shared" si="11"/>
        <v>T+113</v>
      </c>
      <c r="DR113" s="750" t="str">
        <f t="shared" si="11"/>
        <v>T+114</v>
      </c>
      <c r="DS113" s="750" t="str">
        <f t="shared" si="11"/>
        <v>T+115</v>
      </c>
      <c r="DT113" s="750" t="str">
        <f t="shared" si="11"/>
        <v>T+116</v>
      </c>
      <c r="DU113" s="750" t="str">
        <f t="shared" si="11"/>
        <v>T+117</v>
      </c>
      <c r="DV113" s="750" t="str">
        <f t="shared" si="11"/>
        <v>T+118</v>
      </c>
      <c r="DW113" s="750" t="str">
        <f t="shared" si="11"/>
        <v>T+119</v>
      </c>
      <c r="DX113" s="750" t="str">
        <f t="shared" si="11"/>
        <v>T+120</v>
      </c>
      <c r="DY113" s="750" t="str">
        <f t="shared" si="11"/>
        <v>T+121</v>
      </c>
      <c r="DZ113" s="750" t="str">
        <f t="shared" si="11"/>
        <v>T+122</v>
      </c>
      <c r="EA113" s="750" t="str">
        <f t="shared" si="11"/>
        <v>T+123</v>
      </c>
      <c r="EB113" s="750" t="str">
        <f t="shared" si="11"/>
        <v>T+124</v>
      </c>
      <c r="EC113" s="750" t="str">
        <f t="shared" si="11"/>
        <v>T+125</v>
      </c>
      <c r="ED113" s="750" t="str">
        <f t="shared" si="11"/>
        <v>T+126</v>
      </c>
      <c r="EE113" s="750" t="str">
        <f t="shared" si="11"/>
        <v>T+127</v>
      </c>
      <c r="EF113" s="750" t="str">
        <f t="shared" si="11"/>
        <v>T+128</v>
      </c>
      <c r="EG113" s="750" t="str">
        <f t="shared" ref="EG113:GR113" si="12">"T+" &amp; (COLUMN(EG113)-COLUMN($H113))</f>
        <v>T+129</v>
      </c>
      <c r="EH113" s="750" t="str">
        <f t="shared" si="12"/>
        <v>T+130</v>
      </c>
      <c r="EI113" s="750" t="str">
        <f t="shared" si="12"/>
        <v>T+131</v>
      </c>
      <c r="EJ113" s="750" t="str">
        <f t="shared" si="12"/>
        <v>T+132</v>
      </c>
      <c r="EK113" s="750" t="str">
        <f t="shared" si="12"/>
        <v>T+133</v>
      </c>
      <c r="EL113" s="750" t="str">
        <f t="shared" si="12"/>
        <v>T+134</v>
      </c>
      <c r="EM113" s="750" t="str">
        <f t="shared" si="12"/>
        <v>T+135</v>
      </c>
      <c r="EN113" s="750" t="str">
        <f t="shared" si="12"/>
        <v>T+136</v>
      </c>
      <c r="EO113" s="750" t="str">
        <f t="shared" si="12"/>
        <v>T+137</v>
      </c>
      <c r="EP113" s="750" t="str">
        <f t="shared" si="12"/>
        <v>T+138</v>
      </c>
      <c r="EQ113" s="750" t="str">
        <f t="shared" si="12"/>
        <v>T+139</v>
      </c>
      <c r="ER113" s="750" t="str">
        <f t="shared" si="12"/>
        <v>T+140</v>
      </c>
      <c r="ES113" s="750" t="str">
        <f t="shared" si="12"/>
        <v>T+141</v>
      </c>
      <c r="ET113" s="750" t="str">
        <f t="shared" si="12"/>
        <v>T+142</v>
      </c>
      <c r="EU113" s="750" t="str">
        <f t="shared" si="12"/>
        <v>T+143</v>
      </c>
      <c r="EV113" s="750" t="str">
        <f t="shared" si="12"/>
        <v>T+144</v>
      </c>
      <c r="EW113" s="750" t="str">
        <f t="shared" si="12"/>
        <v>T+145</v>
      </c>
      <c r="EX113" s="750" t="str">
        <f t="shared" si="12"/>
        <v>T+146</v>
      </c>
      <c r="EY113" s="750" t="str">
        <f t="shared" si="12"/>
        <v>T+147</v>
      </c>
      <c r="EZ113" s="750" t="str">
        <f t="shared" si="12"/>
        <v>T+148</v>
      </c>
      <c r="FA113" s="750" t="str">
        <f t="shared" si="12"/>
        <v>T+149</v>
      </c>
      <c r="FB113" s="750" t="str">
        <f t="shared" si="12"/>
        <v>T+150</v>
      </c>
      <c r="FC113" s="750" t="str">
        <f t="shared" si="12"/>
        <v>T+151</v>
      </c>
      <c r="FD113" s="750" t="str">
        <f t="shared" si="12"/>
        <v>T+152</v>
      </c>
      <c r="FE113" s="750" t="str">
        <f t="shared" si="12"/>
        <v>T+153</v>
      </c>
      <c r="FF113" s="750" t="str">
        <f t="shared" si="12"/>
        <v>T+154</v>
      </c>
      <c r="FG113" s="750" t="str">
        <f t="shared" si="12"/>
        <v>T+155</v>
      </c>
      <c r="FH113" s="750" t="str">
        <f t="shared" si="12"/>
        <v>T+156</v>
      </c>
      <c r="FI113" s="750" t="str">
        <f t="shared" si="12"/>
        <v>T+157</v>
      </c>
      <c r="FJ113" s="750" t="str">
        <f t="shared" si="12"/>
        <v>T+158</v>
      </c>
      <c r="FK113" s="750" t="str">
        <f t="shared" si="12"/>
        <v>T+159</v>
      </c>
      <c r="FL113" s="750" t="str">
        <f t="shared" si="12"/>
        <v>T+160</v>
      </c>
      <c r="FM113" s="750" t="str">
        <f t="shared" si="12"/>
        <v>T+161</v>
      </c>
      <c r="FN113" s="750" t="str">
        <f t="shared" si="12"/>
        <v>T+162</v>
      </c>
      <c r="FO113" s="750" t="str">
        <f t="shared" si="12"/>
        <v>T+163</v>
      </c>
      <c r="FP113" s="750" t="str">
        <f t="shared" si="12"/>
        <v>T+164</v>
      </c>
      <c r="FQ113" s="750" t="str">
        <f t="shared" si="12"/>
        <v>T+165</v>
      </c>
      <c r="FR113" s="750" t="str">
        <f t="shared" si="12"/>
        <v>T+166</v>
      </c>
      <c r="FS113" s="750" t="str">
        <f t="shared" si="12"/>
        <v>T+167</v>
      </c>
      <c r="FT113" s="750" t="str">
        <f t="shared" si="12"/>
        <v>T+168</v>
      </c>
      <c r="FU113" s="750" t="str">
        <f t="shared" si="12"/>
        <v>T+169</v>
      </c>
      <c r="FV113" s="750" t="str">
        <f t="shared" si="12"/>
        <v>T+170</v>
      </c>
      <c r="FW113" s="750" t="str">
        <f t="shared" si="12"/>
        <v>T+171</v>
      </c>
      <c r="FX113" s="750" t="str">
        <f t="shared" si="12"/>
        <v>T+172</v>
      </c>
      <c r="FY113" s="750" t="str">
        <f t="shared" si="12"/>
        <v>T+173</v>
      </c>
      <c r="FZ113" s="750" t="str">
        <f t="shared" si="12"/>
        <v>T+174</v>
      </c>
      <c r="GA113" s="750" t="str">
        <f t="shared" si="12"/>
        <v>T+175</v>
      </c>
      <c r="GB113" s="750" t="str">
        <f t="shared" si="12"/>
        <v>T+176</v>
      </c>
      <c r="GC113" s="750" t="str">
        <f t="shared" si="12"/>
        <v>T+177</v>
      </c>
      <c r="GD113" s="750" t="str">
        <f t="shared" si="12"/>
        <v>T+178</v>
      </c>
      <c r="GE113" s="750" t="str">
        <f t="shared" si="12"/>
        <v>T+179</v>
      </c>
      <c r="GF113" s="750" t="str">
        <f t="shared" si="12"/>
        <v>T+180</v>
      </c>
      <c r="GG113" s="750" t="str">
        <f t="shared" si="12"/>
        <v>T+181</v>
      </c>
      <c r="GH113" s="750" t="str">
        <f t="shared" si="12"/>
        <v>T+182</v>
      </c>
      <c r="GI113" s="750" t="str">
        <f t="shared" si="12"/>
        <v>T+183</v>
      </c>
      <c r="GJ113" s="750" t="str">
        <f t="shared" si="12"/>
        <v>T+184</v>
      </c>
      <c r="GK113" s="750" t="str">
        <f t="shared" si="12"/>
        <v>T+185</v>
      </c>
      <c r="GL113" s="750" t="str">
        <f t="shared" si="12"/>
        <v>T+186</v>
      </c>
      <c r="GM113" s="750" t="str">
        <f t="shared" si="12"/>
        <v>T+187</v>
      </c>
      <c r="GN113" s="750" t="str">
        <f t="shared" si="12"/>
        <v>T+188</v>
      </c>
      <c r="GO113" s="750" t="str">
        <f t="shared" si="12"/>
        <v>T+189</v>
      </c>
      <c r="GP113" s="750" t="str">
        <f t="shared" si="12"/>
        <v>T+190</v>
      </c>
      <c r="GQ113" s="750" t="str">
        <f t="shared" si="12"/>
        <v>T+191</v>
      </c>
      <c r="GR113" s="750" t="str">
        <f t="shared" si="12"/>
        <v>T+192</v>
      </c>
      <c r="GS113" s="750" t="str">
        <f t="shared" ref="GS113:JD113" si="13">"T+" &amp; (COLUMN(GS113)-COLUMN($H113))</f>
        <v>T+193</v>
      </c>
      <c r="GT113" s="750" t="str">
        <f t="shared" si="13"/>
        <v>T+194</v>
      </c>
      <c r="GU113" s="750" t="str">
        <f t="shared" si="13"/>
        <v>T+195</v>
      </c>
      <c r="GV113" s="750" t="str">
        <f t="shared" si="13"/>
        <v>T+196</v>
      </c>
      <c r="GW113" s="750" t="str">
        <f t="shared" si="13"/>
        <v>T+197</v>
      </c>
      <c r="GX113" s="750" t="str">
        <f t="shared" si="13"/>
        <v>T+198</v>
      </c>
      <c r="GY113" s="750" t="str">
        <f t="shared" si="13"/>
        <v>T+199</v>
      </c>
      <c r="GZ113" s="750" t="str">
        <f t="shared" si="13"/>
        <v>T+200</v>
      </c>
      <c r="HA113" s="750" t="str">
        <f t="shared" si="13"/>
        <v>T+201</v>
      </c>
      <c r="HB113" s="750" t="str">
        <f t="shared" si="13"/>
        <v>T+202</v>
      </c>
      <c r="HC113" s="750" t="str">
        <f t="shared" si="13"/>
        <v>T+203</v>
      </c>
      <c r="HD113" s="750" t="str">
        <f t="shared" si="13"/>
        <v>T+204</v>
      </c>
      <c r="HE113" s="750" t="str">
        <f t="shared" si="13"/>
        <v>T+205</v>
      </c>
      <c r="HF113" s="750" t="str">
        <f t="shared" si="13"/>
        <v>T+206</v>
      </c>
      <c r="HG113" s="750" t="str">
        <f t="shared" si="13"/>
        <v>T+207</v>
      </c>
      <c r="HH113" s="750" t="str">
        <f t="shared" si="13"/>
        <v>T+208</v>
      </c>
      <c r="HI113" s="750" t="str">
        <f t="shared" si="13"/>
        <v>T+209</v>
      </c>
      <c r="HJ113" s="750" t="str">
        <f t="shared" si="13"/>
        <v>T+210</v>
      </c>
      <c r="HK113" s="750" t="str">
        <f t="shared" si="13"/>
        <v>T+211</v>
      </c>
      <c r="HL113" s="750" t="str">
        <f t="shared" si="13"/>
        <v>T+212</v>
      </c>
      <c r="HM113" s="750" t="str">
        <f t="shared" si="13"/>
        <v>T+213</v>
      </c>
      <c r="HN113" s="750" t="str">
        <f t="shared" si="13"/>
        <v>T+214</v>
      </c>
      <c r="HO113" s="750" t="str">
        <f t="shared" si="13"/>
        <v>T+215</v>
      </c>
      <c r="HP113" s="750" t="str">
        <f t="shared" si="13"/>
        <v>T+216</v>
      </c>
      <c r="HQ113" s="750" t="str">
        <f t="shared" si="13"/>
        <v>T+217</v>
      </c>
      <c r="HR113" s="750" t="str">
        <f t="shared" si="13"/>
        <v>T+218</v>
      </c>
      <c r="HS113" s="750" t="str">
        <f t="shared" si="13"/>
        <v>T+219</v>
      </c>
      <c r="HT113" s="750" t="str">
        <f t="shared" si="13"/>
        <v>T+220</v>
      </c>
      <c r="HU113" s="750" t="str">
        <f t="shared" si="13"/>
        <v>T+221</v>
      </c>
      <c r="HV113" s="750" t="str">
        <f t="shared" si="13"/>
        <v>T+222</v>
      </c>
      <c r="HW113" s="750" t="str">
        <f t="shared" si="13"/>
        <v>T+223</v>
      </c>
      <c r="HX113" s="750" t="str">
        <f t="shared" si="13"/>
        <v>T+224</v>
      </c>
      <c r="HY113" s="750" t="str">
        <f t="shared" si="13"/>
        <v>T+225</v>
      </c>
      <c r="HZ113" s="750" t="str">
        <f t="shared" si="13"/>
        <v>T+226</v>
      </c>
      <c r="IA113" s="750" t="str">
        <f t="shared" si="13"/>
        <v>T+227</v>
      </c>
      <c r="IB113" s="750" t="str">
        <f t="shared" si="13"/>
        <v>T+228</v>
      </c>
      <c r="IC113" s="750" t="str">
        <f t="shared" si="13"/>
        <v>T+229</v>
      </c>
      <c r="ID113" s="750" t="str">
        <f t="shared" si="13"/>
        <v>T+230</v>
      </c>
      <c r="IE113" s="750" t="str">
        <f t="shared" si="13"/>
        <v>T+231</v>
      </c>
      <c r="IF113" s="750" t="str">
        <f t="shared" si="13"/>
        <v>T+232</v>
      </c>
      <c r="IG113" s="750" t="str">
        <f t="shared" si="13"/>
        <v>T+233</v>
      </c>
      <c r="IH113" s="750" t="str">
        <f t="shared" si="13"/>
        <v>T+234</v>
      </c>
      <c r="II113" s="750" t="str">
        <f t="shared" si="13"/>
        <v>T+235</v>
      </c>
      <c r="IJ113" s="750" t="str">
        <f t="shared" si="13"/>
        <v>T+236</v>
      </c>
      <c r="IK113" s="750" t="str">
        <f t="shared" si="13"/>
        <v>T+237</v>
      </c>
      <c r="IL113" s="750" t="str">
        <f t="shared" si="13"/>
        <v>T+238</v>
      </c>
      <c r="IM113" s="750" t="str">
        <f t="shared" si="13"/>
        <v>T+239</v>
      </c>
      <c r="IN113" s="750" t="str">
        <f t="shared" si="13"/>
        <v>T+240</v>
      </c>
      <c r="IO113" s="750" t="str">
        <f t="shared" si="13"/>
        <v>T+241</v>
      </c>
      <c r="IP113" s="750" t="str">
        <f t="shared" si="13"/>
        <v>T+242</v>
      </c>
      <c r="IQ113" s="750" t="str">
        <f t="shared" si="13"/>
        <v>T+243</v>
      </c>
      <c r="IR113" s="750" t="str">
        <f t="shared" si="13"/>
        <v>T+244</v>
      </c>
      <c r="IS113" s="750" t="str">
        <f t="shared" si="13"/>
        <v>T+245</v>
      </c>
      <c r="IT113" s="750" t="str">
        <f t="shared" si="13"/>
        <v>T+246</v>
      </c>
      <c r="IU113" s="750" t="str">
        <f t="shared" si="13"/>
        <v>T+247</v>
      </c>
      <c r="IV113" s="750" t="str">
        <f t="shared" si="13"/>
        <v>T+248</v>
      </c>
      <c r="IW113" s="750" t="str">
        <f t="shared" si="13"/>
        <v>T+249</v>
      </c>
      <c r="IX113" s="750" t="str">
        <f t="shared" si="13"/>
        <v>T+250</v>
      </c>
      <c r="IY113" s="750" t="str">
        <f t="shared" si="13"/>
        <v>T+251</v>
      </c>
      <c r="IZ113" s="750" t="str">
        <f t="shared" si="13"/>
        <v>T+252</v>
      </c>
      <c r="JA113" s="750" t="str">
        <f t="shared" si="13"/>
        <v>T+253</v>
      </c>
      <c r="JB113" s="750" t="str">
        <f t="shared" si="13"/>
        <v>T+254</v>
      </c>
      <c r="JC113" s="750" t="str">
        <f t="shared" si="13"/>
        <v>T+255</v>
      </c>
      <c r="JD113" s="750" t="str">
        <f t="shared" si="13"/>
        <v>T+256</v>
      </c>
      <c r="JE113" s="750" t="str">
        <f t="shared" ref="JE113:KB113" si="14">"T+" &amp; (COLUMN(JE113)-COLUMN($H113))</f>
        <v>T+257</v>
      </c>
      <c r="JF113" s="750" t="str">
        <f t="shared" si="14"/>
        <v>T+258</v>
      </c>
      <c r="JG113" s="750" t="str">
        <f t="shared" si="14"/>
        <v>T+259</v>
      </c>
      <c r="JH113" s="750" t="str">
        <f t="shared" si="14"/>
        <v>T+260</v>
      </c>
      <c r="JI113" s="750" t="str">
        <f t="shared" si="14"/>
        <v>T+261</v>
      </c>
      <c r="JJ113" s="750" t="str">
        <f t="shared" si="14"/>
        <v>T+262</v>
      </c>
      <c r="JK113" s="750" t="str">
        <f t="shared" si="14"/>
        <v>T+263</v>
      </c>
      <c r="JL113" s="750" t="str">
        <f t="shared" si="14"/>
        <v>T+264</v>
      </c>
      <c r="JM113" s="750" t="str">
        <f t="shared" si="14"/>
        <v>T+265</v>
      </c>
      <c r="JN113" s="750" t="str">
        <f t="shared" si="14"/>
        <v>T+266</v>
      </c>
      <c r="JO113" s="750" t="str">
        <f t="shared" si="14"/>
        <v>T+267</v>
      </c>
      <c r="JP113" s="750" t="str">
        <f t="shared" si="14"/>
        <v>T+268</v>
      </c>
      <c r="JQ113" s="750" t="str">
        <f t="shared" si="14"/>
        <v>T+269</v>
      </c>
      <c r="JR113" s="750" t="str">
        <f t="shared" si="14"/>
        <v>T+270</v>
      </c>
      <c r="JS113" s="750" t="str">
        <f t="shared" si="14"/>
        <v>T+271</v>
      </c>
      <c r="JT113" s="750" t="str">
        <f t="shared" si="14"/>
        <v>T+272</v>
      </c>
      <c r="JU113" s="750" t="str">
        <f t="shared" si="14"/>
        <v>T+273</v>
      </c>
      <c r="JV113" s="750" t="str">
        <f t="shared" si="14"/>
        <v>T+274</v>
      </c>
      <c r="JW113" s="750" t="str">
        <f t="shared" si="14"/>
        <v>T+275</v>
      </c>
      <c r="JX113" s="750" t="str">
        <f t="shared" si="14"/>
        <v>T+276</v>
      </c>
      <c r="JY113" s="750" t="str">
        <f t="shared" si="14"/>
        <v>T+277</v>
      </c>
      <c r="JZ113" s="750" t="str">
        <f t="shared" si="14"/>
        <v>T+278</v>
      </c>
      <c r="KA113" s="750" t="str">
        <f t="shared" si="14"/>
        <v>T+279</v>
      </c>
      <c r="KB113" s="750" t="str">
        <f t="shared" si="14"/>
        <v>T+280</v>
      </c>
    </row>
    <row r="114" spans="2:288" ht="15" customHeight="1" x14ac:dyDescent="0.35">
      <c r="B114" s="686" t="str">
        <f t="shared" ref="B114:B177" si="15">B11</f>
        <v>Desk 1</v>
      </c>
      <c r="C114" s="1828" t="str">
        <f t="array" ref="C114:D213" xml:space="preserve"> IF(ISBLANK(TB!C$170:'TB'!D$269), "", TB!C$170:'TB'!D$269)</f>
        <v/>
      </c>
      <c r="D114" s="1828" t="str">
        <v/>
      </c>
      <c r="E114" s="1828" t="str">
        <f t="array" ref="E114:E213" xml:space="preserve"> IF(ISBLANK(TB!G$170:'TB'!G$269), "", TB!G$170:'TB'!G$269)</f>
        <v/>
      </c>
      <c r="F114" s="1828" t="str">
        <f t="array" ref="F114:F213" xml:space="preserve"> IF(ISBLANK(TB!I$170:'TB'!I$269), "", TB!I$170:'TB'!I$269)</f>
        <v/>
      </c>
      <c r="G114" s="268" t="str">
        <f t="array" ref="G114:G213" xml:space="preserve"> IF(ISBLANK(TB!J$170:'TB'!J$269), "", TB!J$170:'TB'!J$269)</f>
        <v/>
      </c>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34"/>
      <c r="DX114" s="23"/>
      <c r="DY114" s="23"/>
      <c r="DZ114" s="23"/>
      <c r="EA114" s="23"/>
      <c r="EB114" s="23"/>
      <c r="EC114" s="23"/>
      <c r="ED114" s="23"/>
      <c r="EE114" s="23"/>
      <c r="EF114" s="23"/>
      <c r="EG114" s="23"/>
      <c r="EH114" s="23"/>
      <c r="EI114" s="23"/>
      <c r="EJ114" s="23"/>
      <c r="EK114" s="23"/>
      <c r="EL114" s="23"/>
      <c r="EM114" s="23"/>
      <c r="EN114" s="23"/>
      <c r="EO114" s="23"/>
      <c r="EP114" s="23"/>
      <c r="EQ114" s="23"/>
      <c r="ER114" s="34"/>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c r="HB114" s="23"/>
      <c r="HC114" s="23"/>
      <c r="HD114" s="23"/>
      <c r="HE114" s="23"/>
      <c r="HF114" s="23"/>
      <c r="HG114" s="23"/>
      <c r="HH114" s="23"/>
      <c r="HI114" s="23"/>
      <c r="HJ114" s="23"/>
      <c r="HK114" s="23"/>
      <c r="HL114" s="23"/>
      <c r="HM114" s="23"/>
      <c r="HN114" s="23"/>
      <c r="HO114" s="23"/>
      <c r="HP114" s="23"/>
      <c r="HQ114" s="23"/>
      <c r="HR114" s="23"/>
      <c r="HS114" s="23"/>
      <c r="HT114" s="23"/>
      <c r="HU114" s="23"/>
      <c r="HV114" s="23"/>
      <c r="HW114" s="23"/>
      <c r="HX114" s="23"/>
      <c r="HY114" s="23"/>
      <c r="HZ114" s="23"/>
      <c r="IA114" s="23"/>
      <c r="IB114" s="23"/>
      <c r="IC114" s="23"/>
      <c r="ID114" s="23"/>
      <c r="IE114" s="23"/>
      <c r="IF114" s="23"/>
      <c r="IG114" s="23"/>
      <c r="IH114" s="23"/>
      <c r="II114" s="23"/>
      <c r="IJ114" s="23"/>
      <c r="IK114" s="23"/>
      <c r="IL114" s="23"/>
      <c r="IM114" s="23"/>
      <c r="IN114" s="23"/>
      <c r="IO114" s="23"/>
      <c r="IP114" s="23"/>
      <c r="IQ114" s="23"/>
      <c r="IR114" s="23"/>
      <c r="IS114" s="23"/>
      <c r="IT114" s="23"/>
      <c r="IU114" s="23"/>
      <c r="IV114" s="23"/>
      <c r="IW114" s="23"/>
      <c r="IX114" s="23"/>
      <c r="IY114" s="23"/>
      <c r="IZ114" s="23"/>
      <c r="JA114" s="23"/>
      <c r="JB114" s="23"/>
      <c r="JC114" s="23"/>
      <c r="JD114" s="23"/>
      <c r="JE114" s="23"/>
      <c r="JF114" s="23"/>
      <c r="JG114" s="34"/>
      <c r="JH114" s="23"/>
      <c r="JI114" s="23"/>
      <c r="JJ114" s="23"/>
      <c r="JK114" s="23"/>
      <c r="JL114" s="23"/>
      <c r="JM114" s="23"/>
      <c r="JN114" s="23"/>
      <c r="JO114" s="23"/>
      <c r="JP114" s="23"/>
      <c r="JQ114" s="23"/>
      <c r="JR114" s="23"/>
      <c r="JS114" s="23"/>
      <c r="JT114" s="23"/>
      <c r="JU114" s="23"/>
      <c r="JV114" s="23"/>
      <c r="JW114" s="23"/>
      <c r="JX114" s="23"/>
      <c r="JY114" s="23"/>
      <c r="JZ114" s="23"/>
      <c r="KA114" s="23"/>
      <c r="KB114" s="34"/>
    </row>
    <row r="115" spans="2:288" ht="15" customHeight="1" x14ac:dyDescent="0.35">
      <c r="B115" s="146" t="str">
        <f t="shared" si="15"/>
        <v>Desk 2</v>
      </c>
      <c r="C115" s="148" t="str">
        <v/>
      </c>
      <c r="D115" s="148" t="str">
        <v/>
      </c>
      <c r="E115" s="148" t="str">
        <v/>
      </c>
      <c r="F115" s="148" t="str">
        <v/>
      </c>
      <c r="G115" s="268" t="str">
        <v/>
      </c>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34"/>
      <c r="DX115" s="23"/>
      <c r="DY115" s="23"/>
      <c r="DZ115" s="23"/>
      <c r="EA115" s="23"/>
      <c r="EB115" s="23"/>
      <c r="EC115" s="23"/>
      <c r="ED115" s="23"/>
      <c r="EE115" s="23"/>
      <c r="EF115" s="23"/>
      <c r="EG115" s="23"/>
      <c r="EH115" s="23"/>
      <c r="EI115" s="23"/>
      <c r="EJ115" s="23"/>
      <c r="EK115" s="23"/>
      <c r="EL115" s="23"/>
      <c r="EM115" s="23"/>
      <c r="EN115" s="23"/>
      <c r="EO115" s="23"/>
      <c r="EP115" s="23"/>
      <c r="EQ115" s="23"/>
      <c r="ER115" s="34"/>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c r="HT115" s="23"/>
      <c r="HU115" s="23"/>
      <c r="HV115" s="23"/>
      <c r="HW115" s="23"/>
      <c r="HX115" s="23"/>
      <c r="HY115" s="23"/>
      <c r="HZ115" s="23"/>
      <c r="IA115" s="23"/>
      <c r="IB115" s="23"/>
      <c r="IC115" s="23"/>
      <c r="ID115" s="23"/>
      <c r="IE115" s="23"/>
      <c r="IF115" s="23"/>
      <c r="IG115" s="23"/>
      <c r="IH115" s="23"/>
      <c r="II115" s="23"/>
      <c r="IJ115" s="23"/>
      <c r="IK115" s="23"/>
      <c r="IL115" s="23"/>
      <c r="IM115" s="23"/>
      <c r="IN115" s="23"/>
      <c r="IO115" s="23"/>
      <c r="IP115" s="23"/>
      <c r="IQ115" s="23"/>
      <c r="IR115" s="23"/>
      <c r="IS115" s="23"/>
      <c r="IT115" s="23"/>
      <c r="IU115" s="23"/>
      <c r="IV115" s="23"/>
      <c r="IW115" s="23"/>
      <c r="IX115" s="23"/>
      <c r="IY115" s="23"/>
      <c r="IZ115" s="23"/>
      <c r="JA115" s="23"/>
      <c r="JB115" s="23"/>
      <c r="JC115" s="23"/>
      <c r="JD115" s="23"/>
      <c r="JE115" s="23"/>
      <c r="JF115" s="23"/>
      <c r="JG115" s="34"/>
      <c r="JH115" s="23"/>
      <c r="JI115" s="23"/>
      <c r="JJ115" s="23"/>
      <c r="JK115" s="23"/>
      <c r="JL115" s="23"/>
      <c r="JM115" s="23"/>
      <c r="JN115" s="23"/>
      <c r="JO115" s="23"/>
      <c r="JP115" s="23"/>
      <c r="JQ115" s="23"/>
      <c r="JR115" s="23"/>
      <c r="JS115" s="23"/>
      <c r="JT115" s="23"/>
      <c r="JU115" s="23"/>
      <c r="JV115" s="23"/>
      <c r="JW115" s="23"/>
      <c r="JX115" s="23"/>
      <c r="JY115" s="23"/>
      <c r="JZ115" s="23"/>
      <c r="KA115" s="23"/>
      <c r="KB115" s="34"/>
    </row>
    <row r="116" spans="2:288" ht="15" customHeight="1" x14ac:dyDescent="0.35">
      <c r="B116" s="146" t="str">
        <f t="shared" si="15"/>
        <v>Desk 3</v>
      </c>
      <c r="C116" s="148" t="str">
        <v/>
      </c>
      <c r="D116" s="148" t="str">
        <v/>
      </c>
      <c r="E116" s="148" t="str">
        <v/>
      </c>
      <c r="F116" s="148" t="str">
        <v/>
      </c>
      <c r="G116" s="268" t="str">
        <v/>
      </c>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34"/>
      <c r="DX116" s="23"/>
      <c r="DY116" s="23"/>
      <c r="DZ116" s="23"/>
      <c r="EA116" s="23"/>
      <c r="EB116" s="23"/>
      <c r="EC116" s="23"/>
      <c r="ED116" s="23"/>
      <c r="EE116" s="23"/>
      <c r="EF116" s="23"/>
      <c r="EG116" s="23"/>
      <c r="EH116" s="23"/>
      <c r="EI116" s="23"/>
      <c r="EJ116" s="23"/>
      <c r="EK116" s="23"/>
      <c r="EL116" s="23"/>
      <c r="EM116" s="23"/>
      <c r="EN116" s="23"/>
      <c r="EO116" s="23"/>
      <c r="EP116" s="23"/>
      <c r="EQ116" s="23"/>
      <c r="ER116" s="34"/>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c r="HT116" s="23"/>
      <c r="HU116" s="23"/>
      <c r="HV116" s="23"/>
      <c r="HW116" s="23"/>
      <c r="HX116" s="23"/>
      <c r="HY116" s="23"/>
      <c r="HZ116" s="23"/>
      <c r="IA116" s="23"/>
      <c r="IB116" s="23"/>
      <c r="IC116" s="23"/>
      <c r="ID116" s="23"/>
      <c r="IE116" s="23"/>
      <c r="IF116" s="23"/>
      <c r="IG116" s="23"/>
      <c r="IH116" s="23"/>
      <c r="II116" s="23"/>
      <c r="IJ116" s="23"/>
      <c r="IK116" s="23"/>
      <c r="IL116" s="23"/>
      <c r="IM116" s="23"/>
      <c r="IN116" s="23"/>
      <c r="IO116" s="23"/>
      <c r="IP116" s="23"/>
      <c r="IQ116" s="23"/>
      <c r="IR116" s="23"/>
      <c r="IS116" s="23"/>
      <c r="IT116" s="23"/>
      <c r="IU116" s="23"/>
      <c r="IV116" s="23"/>
      <c r="IW116" s="23"/>
      <c r="IX116" s="23"/>
      <c r="IY116" s="23"/>
      <c r="IZ116" s="23"/>
      <c r="JA116" s="23"/>
      <c r="JB116" s="23"/>
      <c r="JC116" s="23"/>
      <c r="JD116" s="23"/>
      <c r="JE116" s="23"/>
      <c r="JF116" s="23"/>
      <c r="JG116" s="34"/>
      <c r="JH116" s="23"/>
      <c r="JI116" s="23"/>
      <c r="JJ116" s="23"/>
      <c r="JK116" s="23"/>
      <c r="JL116" s="23"/>
      <c r="JM116" s="23"/>
      <c r="JN116" s="23"/>
      <c r="JO116" s="23"/>
      <c r="JP116" s="23"/>
      <c r="JQ116" s="23"/>
      <c r="JR116" s="23"/>
      <c r="JS116" s="23"/>
      <c r="JT116" s="23"/>
      <c r="JU116" s="23"/>
      <c r="JV116" s="23"/>
      <c r="JW116" s="23"/>
      <c r="JX116" s="23"/>
      <c r="JY116" s="23"/>
      <c r="JZ116" s="23"/>
      <c r="KA116" s="23"/>
      <c r="KB116" s="34"/>
    </row>
    <row r="117" spans="2:288" ht="15" customHeight="1" x14ac:dyDescent="0.35">
      <c r="B117" s="146" t="str">
        <f t="shared" si="15"/>
        <v>Desk 4</v>
      </c>
      <c r="C117" s="148" t="str">
        <v/>
      </c>
      <c r="D117" s="148" t="str">
        <v/>
      </c>
      <c r="E117" s="148" t="str">
        <v/>
      </c>
      <c r="F117" s="148" t="str">
        <v/>
      </c>
      <c r="G117" s="268" t="str">
        <v/>
      </c>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34"/>
      <c r="DX117" s="23"/>
      <c r="DY117" s="23"/>
      <c r="DZ117" s="23"/>
      <c r="EA117" s="23"/>
      <c r="EB117" s="23"/>
      <c r="EC117" s="23"/>
      <c r="ED117" s="23"/>
      <c r="EE117" s="23"/>
      <c r="EF117" s="23"/>
      <c r="EG117" s="23"/>
      <c r="EH117" s="23"/>
      <c r="EI117" s="23"/>
      <c r="EJ117" s="23"/>
      <c r="EK117" s="23"/>
      <c r="EL117" s="23"/>
      <c r="EM117" s="23"/>
      <c r="EN117" s="23"/>
      <c r="EO117" s="23"/>
      <c r="EP117" s="23"/>
      <c r="EQ117" s="23"/>
      <c r="ER117" s="34"/>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c r="HT117" s="23"/>
      <c r="HU117" s="23"/>
      <c r="HV117" s="23"/>
      <c r="HW117" s="23"/>
      <c r="HX117" s="23"/>
      <c r="HY117" s="23"/>
      <c r="HZ117" s="23"/>
      <c r="IA117" s="23"/>
      <c r="IB117" s="23"/>
      <c r="IC117" s="23"/>
      <c r="ID117" s="23"/>
      <c r="IE117" s="23"/>
      <c r="IF117" s="23"/>
      <c r="IG117" s="23"/>
      <c r="IH117" s="23"/>
      <c r="II117" s="23"/>
      <c r="IJ117" s="23"/>
      <c r="IK117" s="23"/>
      <c r="IL117" s="23"/>
      <c r="IM117" s="23"/>
      <c r="IN117" s="23"/>
      <c r="IO117" s="23"/>
      <c r="IP117" s="23"/>
      <c r="IQ117" s="23"/>
      <c r="IR117" s="23"/>
      <c r="IS117" s="23"/>
      <c r="IT117" s="23"/>
      <c r="IU117" s="23"/>
      <c r="IV117" s="23"/>
      <c r="IW117" s="23"/>
      <c r="IX117" s="23"/>
      <c r="IY117" s="23"/>
      <c r="IZ117" s="23"/>
      <c r="JA117" s="23"/>
      <c r="JB117" s="23"/>
      <c r="JC117" s="23"/>
      <c r="JD117" s="23"/>
      <c r="JE117" s="23"/>
      <c r="JF117" s="23"/>
      <c r="JG117" s="34"/>
      <c r="JH117" s="23"/>
      <c r="JI117" s="23"/>
      <c r="JJ117" s="23"/>
      <c r="JK117" s="23"/>
      <c r="JL117" s="23"/>
      <c r="JM117" s="23"/>
      <c r="JN117" s="23"/>
      <c r="JO117" s="23"/>
      <c r="JP117" s="23"/>
      <c r="JQ117" s="23"/>
      <c r="JR117" s="23"/>
      <c r="JS117" s="23"/>
      <c r="JT117" s="23"/>
      <c r="JU117" s="23"/>
      <c r="JV117" s="23"/>
      <c r="JW117" s="23"/>
      <c r="JX117" s="23"/>
      <c r="JY117" s="23"/>
      <c r="JZ117" s="23"/>
      <c r="KA117" s="23"/>
      <c r="KB117" s="34"/>
    </row>
    <row r="118" spans="2:288" ht="15" customHeight="1" x14ac:dyDescent="0.35">
      <c r="B118" s="146" t="str">
        <f t="shared" si="15"/>
        <v>Desk 5</v>
      </c>
      <c r="C118" s="148" t="str">
        <v/>
      </c>
      <c r="D118" s="148" t="str">
        <v/>
      </c>
      <c r="E118" s="148" t="str">
        <v/>
      </c>
      <c r="F118" s="148" t="str">
        <v/>
      </c>
      <c r="G118" s="268" t="str">
        <v/>
      </c>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34"/>
      <c r="DX118" s="23"/>
      <c r="DY118" s="23"/>
      <c r="DZ118" s="23"/>
      <c r="EA118" s="23"/>
      <c r="EB118" s="23"/>
      <c r="EC118" s="23"/>
      <c r="ED118" s="23"/>
      <c r="EE118" s="23"/>
      <c r="EF118" s="23"/>
      <c r="EG118" s="23"/>
      <c r="EH118" s="23"/>
      <c r="EI118" s="23"/>
      <c r="EJ118" s="23"/>
      <c r="EK118" s="23"/>
      <c r="EL118" s="23"/>
      <c r="EM118" s="23"/>
      <c r="EN118" s="23"/>
      <c r="EO118" s="23"/>
      <c r="EP118" s="23"/>
      <c r="EQ118" s="23"/>
      <c r="ER118" s="34"/>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c r="HT118" s="23"/>
      <c r="HU118" s="23"/>
      <c r="HV118" s="23"/>
      <c r="HW118" s="23"/>
      <c r="HX118" s="23"/>
      <c r="HY118" s="23"/>
      <c r="HZ118" s="23"/>
      <c r="IA118" s="23"/>
      <c r="IB118" s="23"/>
      <c r="IC118" s="23"/>
      <c r="ID118" s="23"/>
      <c r="IE118" s="23"/>
      <c r="IF118" s="23"/>
      <c r="IG118" s="23"/>
      <c r="IH118" s="23"/>
      <c r="II118" s="23"/>
      <c r="IJ118" s="23"/>
      <c r="IK118" s="23"/>
      <c r="IL118" s="23"/>
      <c r="IM118" s="23"/>
      <c r="IN118" s="23"/>
      <c r="IO118" s="23"/>
      <c r="IP118" s="23"/>
      <c r="IQ118" s="23"/>
      <c r="IR118" s="23"/>
      <c r="IS118" s="23"/>
      <c r="IT118" s="23"/>
      <c r="IU118" s="23"/>
      <c r="IV118" s="23"/>
      <c r="IW118" s="23"/>
      <c r="IX118" s="23"/>
      <c r="IY118" s="23"/>
      <c r="IZ118" s="23"/>
      <c r="JA118" s="23"/>
      <c r="JB118" s="23"/>
      <c r="JC118" s="23"/>
      <c r="JD118" s="23"/>
      <c r="JE118" s="23"/>
      <c r="JF118" s="23"/>
      <c r="JG118" s="34"/>
      <c r="JH118" s="23"/>
      <c r="JI118" s="23"/>
      <c r="JJ118" s="23"/>
      <c r="JK118" s="23"/>
      <c r="JL118" s="23"/>
      <c r="JM118" s="23"/>
      <c r="JN118" s="23"/>
      <c r="JO118" s="23"/>
      <c r="JP118" s="23"/>
      <c r="JQ118" s="23"/>
      <c r="JR118" s="23"/>
      <c r="JS118" s="23"/>
      <c r="JT118" s="23"/>
      <c r="JU118" s="23"/>
      <c r="JV118" s="23"/>
      <c r="JW118" s="23"/>
      <c r="JX118" s="23"/>
      <c r="JY118" s="23"/>
      <c r="JZ118" s="23"/>
      <c r="KA118" s="23"/>
      <c r="KB118" s="34"/>
    </row>
    <row r="119" spans="2:288" ht="15" customHeight="1" x14ac:dyDescent="0.35">
      <c r="B119" s="146" t="str">
        <f t="shared" si="15"/>
        <v>Desk 6</v>
      </c>
      <c r="C119" s="148" t="str">
        <v/>
      </c>
      <c r="D119" s="148" t="str">
        <v/>
      </c>
      <c r="E119" s="148" t="str">
        <v/>
      </c>
      <c r="F119" s="148" t="str">
        <v/>
      </c>
      <c r="G119" s="268" t="str">
        <v/>
      </c>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34"/>
      <c r="DX119" s="23"/>
      <c r="DY119" s="23"/>
      <c r="DZ119" s="23"/>
      <c r="EA119" s="23"/>
      <c r="EB119" s="23"/>
      <c r="EC119" s="23"/>
      <c r="ED119" s="23"/>
      <c r="EE119" s="23"/>
      <c r="EF119" s="23"/>
      <c r="EG119" s="23"/>
      <c r="EH119" s="23"/>
      <c r="EI119" s="23"/>
      <c r="EJ119" s="23"/>
      <c r="EK119" s="23"/>
      <c r="EL119" s="23"/>
      <c r="EM119" s="23"/>
      <c r="EN119" s="23"/>
      <c r="EO119" s="23"/>
      <c r="EP119" s="23"/>
      <c r="EQ119" s="23"/>
      <c r="ER119" s="34"/>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c r="HT119" s="23"/>
      <c r="HU119" s="23"/>
      <c r="HV119" s="23"/>
      <c r="HW119" s="23"/>
      <c r="HX119" s="23"/>
      <c r="HY119" s="23"/>
      <c r="HZ119" s="23"/>
      <c r="IA119" s="23"/>
      <c r="IB119" s="23"/>
      <c r="IC119" s="23"/>
      <c r="ID119" s="23"/>
      <c r="IE119" s="23"/>
      <c r="IF119" s="23"/>
      <c r="IG119" s="23"/>
      <c r="IH119" s="23"/>
      <c r="II119" s="23"/>
      <c r="IJ119" s="23"/>
      <c r="IK119" s="23"/>
      <c r="IL119" s="23"/>
      <c r="IM119" s="23"/>
      <c r="IN119" s="23"/>
      <c r="IO119" s="23"/>
      <c r="IP119" s="23"/>
      <c r="IQ119" s="23"/>
      <c r="IR119" s="23"/>
      <c r="IS119" s="23"/>
      <c r="IT119" s="23"/>
      <c r="IU119" s="23"/>
      <c r="IV119" s="23"/>
      <c r="IW119" s="23"/>
      <c r="IX119" s="23"/>
      <c r="IY119" s="23"/>
      <c r="IZ119" s="23"/>
      <c r="JA119" s="23"/>
      <c r="JB119" s="23"/>
      <c r="JC119" s="23"/>
      <c r="JD119" s="23"/>
      <c r="JE119" s="23"/>
      <c r="JF119" s="23"/>
      <c r="JG119" s="34"/>
      <c r="JH119" s="23"/>
      <c r="JI119" s="23"/>
      <c r="JJ119" s="23"/>
      <c r="JK119" s="23"/>
      <c r="JL119" s="23"/>
      <c r="JM119" s="23"/>
      <c r="JN119" s="23"/>
      <c r="JO119" s="23"/>
      <c r="JP119" s="23"/>
      <c r="JQ119" s="23"/>
      <c r="JR119" s="23"/>
      <c r="JS119" s="23"/>
      <c r="JT119" s="23"/>
      <c r="JU119" s="23"/>
      <c r="JV119" s="23"/>
      <c r="JW119" s="23"/>
      <c r="JX119" s="23"/>
      <c r="JY119" s="23"/>
      <c r="JZ119" s="23"/>
      <c r="KA119" s="23"/>
      <c r="KB119" s="34"/>
    </row>
    <row r="120" spans="2:288" ht="15" customHeight="1" x14ac:dyDescent="0.35">
      <c r="B120" s="146" t="str">
        <f t="shared" si="15"/>
        <v>Desk 7</v>
      </c>
      <c r="C120" s="148" t="str">
        <v/>
      </c>
      <c r="D120" s="148" t="str">
        <v/>
      </c>
      <c r="E120" s="148" t="str">
        <v/>
      </c>
      <c r="F120" s="148" t="str">
        <v/>
      </c>
      <c r="G120" s="268" t="str">
        <v/>
      </c>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34"/>
      <c r="DX120" s="23"/>
      <c r="DY120" s="23"/>
      <c r="DZ120" s="23"/>
      <c r="EA120" s="23"/>
      <c r="EB120" s="23"/>
      <c r="EC120" s="23"/>
      <c r="ED120" s="23"/>
      <c r="EE120" s="23"/>
      <c r="EF120" s="23"/>
      <c r="EG120" s="23"/>
      <c r="EH120" s="23"/>
      <c r="EI120" s="23"/>
      <c r="EJ120" s="23"/>
      <c r="EK120" s="23"/>
      <c r="EL120" s="23"/>
      <c r="EM120" s="23"/>
      <c r="EN120" s="23"/>
      <c r="EO120" s="23"/>
      <c r="EP120" s="23"/>
      <c r="EQ120" s="23"/>
      <c r="ER120" s="34"/>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c r="HT120" s="23"/>
      <c r="HU120" s="23"/>
      <c r="HV120" s="23"/>
      <c r="HW120" s="23"/>
      <c r="HX120" s="23"/>
      <c r="HY120" s="23"/>
      <c r="HZ120" s="23"/>
      <c r="IA120" s="23"/>
      <c r="IB120" s="23"/>
      <c r="IC120" s="23"/>
      <c r="ID120" s="23"/>
      <c r="IE120" s="23"/>
      <c r="IF120" s="23"/>
      <c r="IG120" s="23"/>
      <c r="IH120" s="23"/>
      <c r="II120" s="23"/>
      <c r="IJ120" s="23"/>
      <c r="IK120" s="23"/>
      <c r="IL120" s="23"/>
      <c r="IM120" s="23"/>
      <c r="IN120" s="23"/>
      <c r="IO120" s="23"/>
      <c r="IP120" s="23"/>
      <c r="IQ120" s="23"/>
      <c r="IR120" s="23"/>
      <c r="IS120" s="23"/>
      <c r="IT120" s="23"/>
      <c r="IU120" s="23"/>
      <c r="IV120" s="23"/>
      <c r="IW120" s="23"/>
      <c r="IX120" s="23"/>
      <c r="IY120" s="23"/>
      <c r="IZ120" s="23"/>
      <c r="JA120" s="23"/>
      <c r="JB120" s="23"/>
      <c r="JC120" s="23"/>
      <c r="JD120" s="23"/>
      <c r="JE120" s="23"/>
      <c r="JF120" s="23"/>
      <c r="JG120" s="34"/>
      <c r="JH120" s="23"/>
      <c r="JI120" s="23"/>
      <c r="JJ120" s="23"/>
      <c r="JK120" s="23"/>
      <c r="JL120" s="23"/>
      <c r="JM120" s="23"/>
      <c r="JN120" s="23"/>
      <c r="JO120" s="23"/>
      <c r="JP120" s="23"/>
      <c r="JQ120" s="23"/>
      <c r="JR120" s="23"/>
      <c r="JS120" s="23"/>
      <c r="JT120" s="23"/>
      <c r="JU120" s="23"/>
      <c r="JV120" s="23"/>
      <c r="JW120" s="23"/>
      <c r="JX120" s="23"/>
      <c r="JY120" s="23"/>
      <c r="JZ120" s="23"/>
      <c r="KA120" s="23"/>
      <c r="KB120" s="34"/>
    </row>
    <row r="121" spans="2:288" ht="15" customHeight="1" x14ac:dyDescent="0.35">
      <c r="B121" s="146" t="str">
        <f t="shared" si="15"/>
        <v>Desk 8</v>
      </c>
      <c r="C121" s="148" t="str">
        <v/>
      </c>
      <c r="D121" s="148" t="str">
        <v/>
      </c>
      <c r="E121" s="148" t="str">
        <v/>
      </c>
      <c r="F121" s="148" t="str">
        <v/>
      </c>
      <c r="G121" s="268" t="str">
        <v/>
      </c>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34"/>
      <c r="DX121" s="23"/>
      <c r="DY121" s="23"/>
      <c r="DZ121" s="23"/>
      <c r="EA121" s="23"/>
      <c r="EB121" s="23"/>
      <c r="EC121" s="23"/>
      <c r="ED121" s="23"/>
      <c r="EE121" s="23"/>
      <c r="EF121" s="23"/>
      <c r="EG121" s="23"/>
      <c r="EH121" s="23"/>
      <c r="EI121" s="23"/>
      <c r="EJ121" s="23"/>
      <c r="EK121" s="23"/>
      <c r="EL121" s="23"/>
      <c r="EM121" s="23"/>
      <c r="EN121" s="23"/>
      <c r="EO121" s="23"/>
      <c r="EP121" s="23"/>
      <c r="EQ121" s="23"/>
      <c r="ER121" s="34"/>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c r="HA121" s="23"/>
      <c r="HB121" s="23"/>
      <c r="HC121" s="23"/>
      <c r="HD121" s="23"/>
      <c r="HE121" s="23"/>
      <c r="HF121" s="23"/>
      <c r="HG121" s="23"/>
      <c r="HH121" s="23"/>
      <c r="HI121" s="23"/>
      <c r="HJ121" s="23"/>
      <c r="HK121" s="23"/>
      <c r="HL121" s="23"/>
      <c r="HM121" s="23"/>
      <c r="HN121" s="23"/>
      <c r="HO121" s="23"/>
      <c r="HP121" s="23"/>
      <c r="HQ121" s="23"/>
      <c r="HR121" s="23"/>
      <c r="HS121" s="23"/>
      <c r="HT121" s="23"/>
      <c r="HU121" s="23"/>
      <c r="HV121" s="23"/>
      <c r="HW121" s="23"/>
      <c r="HX121" s="23"/>
      <c r="HY121" s="23"/>
      <c r="HZ121" s="23"/>
      <c r="IA121" s="23"/>
      <c r="IB121" s="23"/>
      <c r="IC121" s="23"/>
      <c r="ID121" s="23"/>
      <c r="IE121" s="23"/>
      <c r="IF121" s="23"/>
      <c r="IG121" s="23"/>
      <c r="IH121" s="23"/>
      <c r="II121" s="23"/>
      <c r="IJ121" s="23"/>
      <c r="IK121" s="23"/>
      <c r="IL121" s="23"/>
      <c r="IM121" s="23"/>
      <c r="IN121" s="23"/>
      <c r="IO121" s="23"/>
      <c r="IP121" s="23"/>
      <c r="IQ121" s="23"/>
      <c r="IR121" s="23"/>
      <c r="IS121" s="23"/>
      <c r="IT121" s="23"/>
      <c r="IU121" s="23"/>
      <c r="IV121" s="23"/>
      <c r="IW121" s="23"/>
      <c r="IX121" s="23"/>
      <c r="IY121" s="23"/>
      <c r="IZ121" s="23"/>
      <c r="JA121" s="23"/>
      <c r="JB121" s="23"/>
      <c r="JC121" s="23"/>
      <c r="JD121" s="23"/>
      <c r="JE121" s="23"/>
      <c r="JF121" s="23"/>
      <c r="JG121" s="34"/>
      <c r="JH121" s="23"/>
      <c r="JI121" s="23"/>
      <c r="JJ121" s="23"/>
      <c r="JK121" s="23"/>
      <c r="JL121" s="23"/>
      <c r="JM121" s="23"/>
      <c r="JN121" s="23"/>
      <c r="JO121" s="23"/>
      <c r="JP121" s="23"/>
      <c r="JQ121" s="23"/>
      <c r="JR121" s="23"/>
      <c r="JS121" s="23"/>
      <c r="JT121" s="23"/>
      <c r="JU121" s="23"/>
      <c r="JV121" s="23"/>
      <c r="JW121" s="23"/>
      <c r="JX121" s="23"/>
      <c r="JY121" s="23"/>
      <c r="JZ121" s="23"/>
      <c r="KA121" s="23"/>
      <c r="KB121" s="34"/>
    </row>
    <row r="122" spans="2:288" ht="15" customHeight="1" x14ac:dyDescent="0.35">
      <c r="B122" s="146" t="str">
        <f t="shared" si="15"/>
        <v>Desk 9</v>
      </c>
      <c r="C122" s="148" t="str">
        <v/>
      </c>
      <c r="D122" s="148" t="str">
        <v/>
      </c>
      <c r="E122" s="148" t="str">
        <v/>
      </c>
      <c r="F122" s="148" t="str">
        <v/>
      </c>
      <c r="G122" s="268" t="str">
        <v/>
      </c>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34"/>
      <c r="DX122" s="23"/>
      <c r="DY122" s="23"/>
      <c r="DZ122" s="23"/>
      <c r="EA122" s="23"/>
      <c r="EB122" s="23"/>
      <c r="EC122" s="23"/>
      <c r="ED122" s="23"/>
      <c r="EE122" s="23"/>
      <c r="EF122" s="23"/>
      <c r="EG122" s="23"/>
      <c r="EH122" s="23"/>
      <c r="EI122" s="23"/>
      <c r="EJ122" s="23"/>
      <c r="EK122" s="23"/>
      <c r="EL122" s="23"/>
      <c r="EM122" s="23"/>
      <c r="EN122" s="23"/>
      <c r="EO122" s="23"/>
      <c r="EP122" s="23"/>
      <c r="EQ122" s="23"/>
      <c r="ER122" s="34"/>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c r="HT122" s="23"/>
      <c r="HU122" s="23"/>
      <c r="HV122" s="23"/>
      <c r="HW122" s="23"/>
      <c r="HX122" s="23"/>
      <c r="HY122" s="23"/>
      <c r="HZ122" s="23"/>
      <c r="IA122" s="23"/>
      <c r="IB122" s="23"/>
      <c r="IC122" s="23"/>
      <c r="ID122" s="23"/>
      <c r="IE122" s="23"/>
      <c r="IF122" s="23"/>
      <c r="IG122" s="23"/>
      <c r="IH122" s="23"/>
      <c r="II122" s="23"/>
      <c r="IJ122" s="23"/>
      <c r="IK122" s="23"/>
      <c r="IL122" s="23"/>
      <c r="IM122" s="23"/>
      <c r="IN122" s="23"/>
      <c r="IO122" s="23"/>
      <c r="IP122" s="23"/>
      <c r="IQ122" s="23"/>
      <c r="IR122" s="23"/>
      <c r="IS122" s="23"/>
      <c r="IT122" s="23"/>
      <c r="IU122" s="23"/>
      <c r="IV122" s="23"/>
      <c r="IW122" s="23"/>
      <c r="IX122" s="23"/>
      <c r="IY122" s="23"/>
      <c r="IZ122" s="23"/>
      <c r="JA122" s="23"/>
      <c r="JB122" s="23"/>
      <c r="JC122" s="23"/>
      <c r="JD122" s="23"/>
      <c r="JE122" s="23"/>
      <c r="JF122" s="23"/>
      <c r="JG122" s="34"/>
      <c r="JH122" s="23"/>
      <c r="JI122" s="23"/>
      <c r="JJ122" s="23"/>
      <c r="JK122" s="23"/>
      <c r="JL122" s="23"/>
      <c r="JM122" s="23"/>
      <c r="JN122" s="23"/>
      <c r="JO122" s="23"/>
      <c r="JP122" s="23"/>
      <c r="JQ122" s="23"/>
      <c r="JR122" s="23"/>
      <c r="JS122" s="23"/>
      <c r="JT122" s="23"/>
      <c r="JU122" s="23"/>
      <c r="JV122" s="23"/>
      <c r="JW122" s="23"/>
      <c r="JX122" s="23"/>
      <c r="JY122" s="23"/>
      <c r="JZ122" s="23"/>
      <c r="KA122" s="23"/>
      <c r="KB122" s="34"/>
    </row>
    <row r="123" spans="2:288" ht="15" customHeight="1" x14ac:dyDescent="0.35">
      <c r="B123" s="146" t="str">
        <f t="shared" si="15"/>
        <v>Desk 10</v>
      </c>
      <c r="C123" s="148" t="str">
        <v/>
      </c>
      <c r="D123" s="148" t="str">
        <v/>
      </c>
      <c r="E123" s="148" t="str">
        <v/>
      </c>
      <c r="F123" s="148" t="str">
        <v/>
      </c>
      <c r="G123" s="268" t="str">
        <v/>
      </c>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34"/>
      <c r="DX123" s="23"/>
      <c r="DY123" s="23"/>
      <c r="DZ123" s="23"/>
      <c r="EA123" s="23"/>
      <c r="EB123" s="23"/>
      <c r="EC123" s="23"/>
      <c r="ED123" s="23"/>
      <c r="EE123" s="23"/>
      <c r="EF123" s="23"/>
      <c r="EG123" s="23"/>
      <c r="EH123" s="23"/>
      <c r="EI123" s="23"/>
      <c r="EJ123" s="23"/>
      <c r="EK123" s="23"/>
      <c r="EL123" s="23"/>
      <c r="EM123" s="23"/>
      <c r="EN123" s="23"/>
      <c r="EO123" s="23"/>
      <c r="EP123" s="23"/>
      <c r="EQ123" s="23"/>
      <c r="ER123" s="34"/>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c r="HT123" s="23"/>
      <c r="HU123" s="23"/>
      <c r="HV123" s="23"/>
      <c r="HW123" s="23"/>
      <c r="HX123" s="23"/>
      <c r="HY123" s="23"/>
      <c r="HZ123" s="23"/>
      <c r="IA123" s="23"/>
      <c r="IB123" s="23"/>
      <c r="IC123" s="23"/>
      <c r="ID123" s="23"/>
      <c r="IE123" s="23"/>
      <c r="IF123" s="23"/>
      <c r="IG123" s="23"/>
      <c r="IH123" s="23"/>
      <c r="II123" s="23"/>
      <c r="IJ123" s="23"/>
      <c r="IK123" s="23"/>
      <c r="IL123" s="23"/>
      <c r="IM123" s="23"/>
      <c r="IN123" s="23"/>
      <c r="IO123" s="23"/>
      <c r="IP123" s="23"/>
      <c r="IQ123" s="23"/>
      <c r="IR123" s="23"/>
      <c r="IS123" s="23"/>
      <c r="IT123" s="23"/>
      <c r="IU123" s="23"/>
      <c r="IV123" s="23"/>
      <c r="IW123" s="23"/>
      <c r="IX123" s="23"/>
      <c r="IY123" s="23"/>
      <c r="IZ123" s="23"/>
      <c r="JA123" s="23"/>
      <c r="JB123" s="23"/>
      <c r="JC123" s="23"/>
      <c r="JD123" s="23"/>
      <c r="JE123" s="23"/>
      <c r="JF123" s="23"/>
      <c r="JG123" s="34"/>
      <c r="JH123" s="23"/>
      <c r="JI123" s="23"/>
      <c r="JJ123" s="23"/>
      <c r="JK123" s="23"/>
      <c r="JL123" s="23"/>
      <c r="JM123" s="23"/>
      <c r="JN123" s="23"/>
      <c r="JO123" s="23"/>
      <c r="JP123" s="23"/>
      <c r="JQ123" s="23"/>
      <c r="JR123" s="23"/>
      <c r="JS123" s="23"/>
      <c r="JT123" s="23"/>
      <c r="JU123" s="23"/>
      <c r="JV123" s="23"/>
      <c r="JW123" s="23"/>
      <c r="JX123" s="23"/>
      <c r="JY123" s="23"/>
      <c r="JZ123" s="23"/>
      <c r="KA123" s="23"/>
      <c r="KB123" s="34"/>
    </row>
    <row r="124" spans="2:288" ht="15" customHeight="1" x14ac:dyDescent="0.35">
      <c r="B124" s="146" t="str">
        <f t="shared" si="15"/>
        <v>Desk 11</v>
      </c>
      <c r="C124" s="148" t="str">
        <v/>
      </c>
      <c r="D124" s="148" t="str">
        <v/>
      </c>
      <c r="E124" s="148" t="str">
        <v/>
      </c>
      <c r="F124" s="148" t="str">
        <v/>
      </c>
      <c r="G124" s="268" t="str">
        <v/>
      </c>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34"/>
      <c r="DX124" s="23"/>
      <c r="DY124" s="23"/>
      <c r="DZ124" s="23"/>
      <c r="EA124" s="23"/>
      <c r="EB124" s="23"/>
      <c r="EC124" s="23"/>
      <c r="ED124" s="23"/>
      <c r="EE124" s="23"/>
      <c r="EF124" s="23"/>
      <c r="EG124" s="23"/>
      <c r="EH124" s="23"/>
      <c r="EI124" s="23"/>
      <c r="EJ124" s="23"/>
      <c r="EK124" s="23"/>
      <c r="EL124" s="23"/>
      <c r="EM124" s="23"/>
      <c r="EN124" s="23"/>
      <c r="EO124" s="23"/>
      <c r="EP124" s="23"/>
      <c r="EQ124" s="23"/>
      <c r="ER124" s="34"/>
      <c r="ES124" s="23"/>
      <c r="ET124" s="23"/>
      <c r="EU124" s="23"/>
      <c r="EV124" s="23"/>
      <c r="EW124" s="23"/>
      <c r="EX124" s="23"/>
      <c r="EY124" s="23"/>
      <c r="EZ124" s="23"/>
      <c r="FA124" s="23"/>
      <c r="FB124" s="23"/>
      <c r="FC124" s="23"/>
      <c r="FD124" s="23"/>
      <c r="FE124" s="23"/>
      <c r="FF124" s="23"/>
      <c r="FG124" s="23"/>
      <c r="FH124" s="23"/>
      <c r="FI124" s="23"/>
      <c r="FJ124" s="23"/>
      <c r="FK124" s="23"/>
      <c r="FL124" s="23"/>
      <c r="FM124" s="23"/>
      <c r="FN124" s="23"/>
      <c r="FO124" s="23"/>
      <c r="FP124" s="23"/>
      <c r="FQ124" s="23"/>
      <c r="FR124" s="23"/>
      <c r="FS124" s="23"/>
      <c r="FT124" s="23"/>
      <c r="FU124" s="23"/>
      <c r="FV124" s="23"/>
      <c r="FW124" s="23"/>
      <c r="FX124" s="23"/>
      <c r="FY124" s="23"/>
      <c r="FZ124" s="23"/>
      <c r="GA124" s="23"/>
      <c r="GB124" s="23"/>
      <c r="GC124" s="23"/>
      <c r="GD124" s="23"/>
      <c r="GE124" s="23"/>
      <c r="GF124" s="23"/>
      <c r="GG124" s="23"/>
      <c r="GH124" s="23"/>
      <c r="GI124" s="23"/>
      <c r="GJ124" s="23"/>
      <c r="GK124" s="23"/>
      <c r="GL124" s="23"/>
      <c r="GM124" s="23"/>
      <c r="GN124" s="23"/>
      <c r="GO124" s="23"/>
      <c r="GP124" s="23"/>
      <c r="GQ124" s="23"/>
      <c r="GR124" s="23"/>
      <c r="GS124" s="23"/>
      <c r="GT124" s="23"/>
      <c r="GU124" s="23"/>
      <c r="GV124" s="23"/>
      <c r="GW124" s="23"/>
      <c r="GX124" s="23"/>
      <c r="GY124" s="23"/>
      <c r="GZ124" s="23"/>
      <c r="HA124" s="23"/>
      <c r="HB124" s="23"/>
      <c r="HC124" s="23"/>
      <c r="HD124" s="23"/>
      <c r="HE124" s="23"/>
      <c r="HF124" s="23"/>
      <c r="HG124" s="23"/>
      <c r="HH124" s="23"/>
      <c r="HI124" s="23"/>
      <c r="HJ124" s="23"/>
      <c r="HK124" s="23"/>
      <c r="HL124" s="23"/>
      <c r="HM124" s="23"/>
      <c r="HN124" s="23"/>
      <c r="HO124" s="23"/>
      <c r="HP124" s="23"/>
      <c r="HQ124" s="23"/>
      <c r="HR124" s="23"/>
      <c r="HS124" s="23"/>
      <c r="HT124" s="23"/>
      <c r="HU124" s="23"/>
      <c r="HV124" s="23"/>
      <c r="HW124" s="23"/>
      <c r="HX124" s="23"/>
      <c r="HY124" s="23"/>
      <c r="HZ124" s="23"/>
      <c r="IA124" s="23"/>
      <c r="IB124" s="23"/>
      <c r="IC124" s="23"/>
      <c r="ID124" s="23"/>
      <c r="IE124" s="23"/>
      <c r="IF124" s="23"/>
      <c r="IG124" s="23"/>
      <c r="IH124" s="23"/>
      <c r="II124" s="23"/>
      <c r="IJ124" s="23"/>
      <c r="IK124" s="23"/>
      <c r="IL124" s="23"/>
      <c r="IM124" s="23"/>
      <c r="IN124" s="23"/>
      <c r="IO124" s="23"/>
      <c r="IP124" s="23"/>
      <c r="IQ124" s="23"/>
      <c r="IR124" s="23"/>
      <c r="IS124" s="23"/>
      <c r="IT124" s="23"/>
      <c r="IU124" s="23"/>
      <c r="IV124" s="23"/>
      <c r="IW124" s="23"/>
      <c r="IX124" s="23"/>
      <c r="IY124" s="23"/>
      <c r="IZ124" s="23"/>
      <c r="JA124" s="23"/>
      <c r="JB124" s="23"/>
      <c r="JC124" s="23"/>
      <c r="JD124" s="23"/>
      <c r="JE124" s="23"/>
      <c r="JF124" s="23"/>
      <c r="JG124" s="34"/>
      <c r="JH124" s="23"/>
      <c r="JI124" s="23"/>
      <c r="JJ124" s="23"/>
      <c r="JK124" s="23"/>
      <c r="JL124" s="23"/>
      <c r="JM124" s="23"/>
      <c r="JN124" s="23"/>
      <c r="JO124" s="23"/>
      <c r="JP124" s="23"/>
      <c r="JQ124" s="23"/>
      <c r="JR124" s="23"/>
      <c r="JS124" s="23"/>
      <c r="JT124" s="23"/>
      <c r="JU124" s="23"/>
      <c r="JV124" s="23"/>
      <c r="JW124" s="23"/>
      <c r="JX124" s="23"/>
      <c r="JY124" s="23"/>
      <c r="JZ124" s="23"/>
      <c r="KA124" s="23"/>
      <c r="KB124" s="34"/>
    </row>
    <row r="125" spans="2:288" ht="15" customHeight="1" x14ac:dyDescent="0.35">
      <c r="B125" s="146" t="str">
        <f t="shared" si="15"/>
        <v>Desk 12</v>
      </c>
      <c r="C125" s="148" t="str">
        <v/>
      </c>
      <c r="D125" s="148" t="str">
        <v/>
      </c>
      <c r="E125" s="148" t="str">
        <v/>
      </c>
      <c r="F125" s="148" t="str">
        <v/>
      </c>
      <c r="G125" s="268" t="str">
        <v/>
      </c>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34"/>
      <c r="DX125" s="23"/>
      <c r="DY125" s="23"/>
      <c r="DZ125" s="23"/>
      <c r="EA125" s="23"/>
      <c r="EB125" s="23"/>
      <c r="EC125" s="23"/>
      <c r="ED125" s="23"/>
      <c r="EE125" s="23"/>
      <c r="EF125" s="23"/>
      <c r="EG125" s="23"/>
      <c r="EH125" s="23"/>
      <c r="EI125" s="23"/>
      <c r="EJ125" s="23"/>
      <c r="EK125" s="23"/>
      <c r="EL125" s="23"/>
      <c r="EM125" s="23"/>
      <c r="EN125" s="23"/>
      <c r="EO125" s="23"/>
      <c r="EP125" s="23"/>
      <c r="EQ125" s="23"/>
      <c r="ER125" s="34"/>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c r="HO125" s="23"/>
      <c r="HP125" s="23"/>
      <c r="HQ125" s="23"/>
      <c r="HR125" s="23"/>
      <c r="HS125" s="23"/>
      <c r="HT125" s="23"/>
      <c r="HU125" s="23"/>
      <c r="HV125" s="23"/>
      <c r="HW125" s="23"/>
      <c r="HX125" s="23"/>
      <c r="HY125" s="23"/>
      <c r="HZ125" s="23"/>
      <c r="IA125" s="23"/>
      <c r="IB125" s="23"/>
      <c r="IC125" s="23"/>
      <c r="ID125" s="23"/>
      <c r="IE125" s="23"/>
      <c r="IF125" s="23"/>
      <c r="IG125" s="23"/>
      <c r="IH125" s="23"/>
      <c r="II125" s="23"/>
      <c r="IJ125" s="23"/>
      <c r="IK125" s="23"/>
      <c r="IL125" s="23"/>
      <c r="IM125" s="23"/>
      <c r="IN125" s="23"/>
      <c r="IO125" s="23"/>
      <c r="IP125" s="23"/>
      <c r="IQ125" s="23"/>
      <c r="IR125" s="23"/>
      <c r="IS125" s="23"/>
      <c r="IT125" s="23"/>
      <c r="IU125" s="23"/>
      <c r="IV125" s="23"/>
      <c r="IW125" s="23"/>
      <c r="IX125" s="23"/>
      <c r="IY125" s="23"/>
      <c r="IZ125" s="23"/>
      <c r="JA125" s="23"/>
      <c r="JB125" s="23"/>
      <c r="JC125" s="23"/>
      <c r="JD125" s="23"/>
      <c r="JE125" s="23"/>
      <c r="JF125" s="23"/>
      <c r="JG125" s="34"/>
      <c r="JH125" s="23"/>
      <c r="JI125" s="23"/>
      <c r="JJ125" s="23"/>
      <c r="JK125" s="23"/>
      <c r="JL125" s="23"/>
      <c r="JM125" s="23"/>
      <c r="JN125" s="23"/>
      <c r="JO125" s="23"/>
      <c r="JP125" s="23"/>
      <c r="JQ125" s="23"/>
      <c r="JR125" s="23"/>
      <c r="JS125" s="23"/>
      <c r="JT125" s="23"/>
      <c r="JU125" s="23"/>
      <c r="JV125" s="23"/>
      <c r="JW125" s="23"/>
      <c r="JX125" s="23"/>
      <c r="JY125" s="23"/>
      <c r="JZ125" s="23"/>
      <c r="KA125" s="23"/>
      <c r="KB125" s="34"/>
    </row>
    <row r="126" spans="2:288" ht="15" customHeight="1" x14ac:dyDescent="0.35">
      <c r="B126" s="146" t="str">
        <f t="shared" si="15"/>
        <v>Desk 13</v>
      </c>
      <c r="C126" s="148" t="str">
        <v/>
      </c>
      <c r="D126" s="148" t="str">
        <v/>
      </c>
      <c r="E126" s="148" t="str">
        <v/>
      </c>
      <c r="F126" s="148" t="str">
        <v/>
      </c>
      <c r="G126" s="268" t="str">
        <v/>
      </c>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34"/>
      <c r="DX126" s="23"/>
      <c r="DY126" s="23"/>
      <c r="DZ126" s="23"/>
      <c r="EA126" s="23"/>
      <c r="EB126" s="23"/>
      <c r="EC126" s="23"/>
      <c r="ED126" s="23"/>
      <c r="EE126" s="23"/>
      <c r="EF126" s="23"/>
      <c r="EG126" s="23"/>
      <c r="EH126" s="23"/>
      <c r="EI126" s="23"/>
      <c r="EJ126" s="23"/>
      <c r="EK126" s="23"/>
      <c r="EL126" s="23"/>
      <c r="EM126" s="23"/>
      <c r="EN126" s="23"/>
      <c r="EO126" s="23"/>
      <c r="EP126" s="23"/>
      <c r="EQ126" s="23"/>
      <c r="ER126" s="34"/>
      <c r="ES126" s="23"/>
      <c r="ET126" s="23"/>
      <c r="EU126" s="23"/>
      <c r="EV126" s="23"/>
      <c r="EW126" s="23"/>
      <c r="EX126" s="23"/>
      <c r="EY126" s="23"/>
      <c r="EZ126" s="23"/>
      <c r="FA126" s="23"/>
      <c r="FB126" s="23"/>
      <c r="FC126" s="23"/>
      <c r="FD126" s="23"/>
      <c r="FE126" s="23"/>
      <c r="FF126" s="23"/>
      <c r="FG126" s="23"/>
      <c r="FH126" s="23"/>
      <c r="FI126" s="23"/>
      <c r="FJ126" s="23"/>
      <c r="FK126" s="23"/>
      <c r="FL126" s="23"/>
      <c r="FM126" s="23"/>
      <c r="FN126" s="23"/>
      <c r="FO126" s="23"/>
      <c r="FP126" s="23"/>
      <c r="FQ126" s="23"/>
      <c r="FR126" s="23"/>
      <c r="FS126" s="23"/>
      <c r="FT126" s="23"/>
      <c r="FU126" s="23"/>
      <c r="FV126" s="23"/>
      <c r="FW126" s="23"/>
      <c r="FX126" s="23"/>
      <c r="FY126" s="23"/>
      <c r="FZ126" s="23"/>
      <c r="GA126" s="23"/>
      <c r="GB126" s="23"/>
      <c r="GC126" s="23"/>
      <c r="GD126" s="23"/>
      <c r="GE126" s="23"/>
      <c r="GF126" s="23"/>
      <c r="GG126" s="23"/>
      <c r="GH126" s="23"/>
      <c r="GI126" s="23"/>
      <c r="GJ126" s="23"/>
      <c r="GK126" s="23"/>
      <c r="GL126" s="23"/>
      <c r="GM126" s="23"/>
      <c r="GN126" s="23"/>
      <c r="GO126" s="23"/>
      <c r="GP126" s="23"/>
      <c r="GQ126" s="23"/>
      <c r="GR126" s="23"/>
      <c r="GS126" s="23"/>
      <c r="GT126" s="23"/>
      <c r="GU126" s="23"/>
      <c r="GV126" s="23"/>
      <c r="GW126" s="23"/>
      <c r="GX126" s="23"/>
      <c r="GY126" s="23"/>
      <c r="GZ126" s="23"/>
      <c r="HA126" s="23"/>
      <c r="HB126" s="23"/>
      <c r="HC126" s="23"/>
      <c r="HD126" s="23"/>
      <c r="HE126" s="23"/>
      <c r="HF126" s="23"/>
      <c r="HG126" s="23"/>
      <c r="HH126" s="23"/>
      <c r="HI126" s="23"/>
      <c r="HJ126" s="23"/>
      <c r="HK126" s="23"/>
      <c r="HL126" s="23"/>
      <c r="HM126" s="23"/>
      <c r="HN126" s="23"/>
      <c r="HO126" s="23"/>
      <c r="HP126" s="23"/>
      <c r="HQ126" s="23"/>
      <c r="HR126" s="23"/>
      <c r="HS126" s="23"/>
      <c r="HT126" s="23"/>
      <c r="HU126" s="23"/>
      <c r="HV126" s="23"/>
      <c r="HW126" s="23"/>
      <c r="HX126" s="23"/>
      <c r="HY126" s="23"/>
      <c r="HZ126" s="23"/>
      <c r="IA126" s="23"/>
      <c r="IB126" s="23"/>
      <c r="IC126" s="23"/>
      <c r="ID126" s="23"/>
      <c r="IE126" s="23"/>
      <c r="IF126" s="23"/>
      <c r="IG126" s="23"/>
      <c r="IH126" s="23"/>
      <c r="II126" s="23"/>
      <c r="IJ126" s="23"/>
      <c r="IK126" s="23"/>
      <c r="IL126" s="23"/>
      <c r="IM126" s="23"/>
      <c r="IN126" s="23"/>
      <c r="IO126" s="23"/>
      <c r="IP126" s="23"/>
      <c r="IQ126" s="23"/>
      <c r="IR126" s="23"/>
      <c r="IS126" s="23"/>
      <c r="IT126" s="23"/>
      <c r="IU126" s="23"/>
      <c r="IV126" s="23"/>
      <c r="IW126" s="23"/>
      <c r="IX126" s="23"/>
      <c r="IY126" s="23"/>
      <c r="IZ126" s="23"/>
      <c r="JA126" s="23"/>
      <c r="JB126" s="23"/>
      <c r="JC126" s="23"/>
      <c r="JD126" s="23"/>
      <c r="JE126" s="23"/>
      <c r="JF126" s="23"/>
      <c r="JG126" s="34"/>
      <c r="JH126" s="23"/>
      <c r="JI126" s="23"/>
      <c r="JJ126" s="23"/>
      <c r="JK126" s="23"/>
      <c r="JL126" s="23"/>
      <c r="JM126" s="23"/>
      <c r="JN126" s="23"/>
      <c r="JO126" s="23"/>
      <c r="JP126" s="23"/>
      <c r="JQ126" s="23"/>
      <c r="JR126" s="23"/>
      <c r="JS126" s="23"/>
      <c r="JT126" s="23"/>
      <c r="JU126" s="23"/>
      <c r="JV126" s="23"/>
      <c r="JW126" s="23"/>
      <c r="JX126" s="23"/>
      <c r="JY126" s="23"/>
      <c r="JZ126" s="23"/>
      <c r="KA126" s="23"/>
      <c r="KB126" s="34"/>
    </row>
    <row r="127" spans="2:288" ht="15" customHeight="1" x14ac:dyDescent="0.35">
      <c r="B127" s="146" t="str">
        <f t="shared" si="15"/>
        <v>Desk 14</v>
      </c>
      <c r="C127" s="148" t="str">
        <v/>
      </c>
      <c r="D127" s="148" t="str">
        <v/>
      </c>
      <c r="E127" s="148" t="str">
        <v/>
      </c>
      <c r="F127" s="148" t="str">
        <v/>
      </c>
      <c r="G127" s="268" t="str">
        <v/>
      </c>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34"/>
      <c r="DX127" s="23"/>
      <c r="DY127" s="23"/>
      <c r="DZ127" s="23"/>
      <c r="EA127" s="23"/>
      <c r="EB127" s="23"/>
      <c r="EC127" s="23"/>
      <c r="ED127" s="23"/>
      <c r="EE127" s="23"/>
      <c r="EF127" s="23"/>
      <c r="EG127" s="23"/>
      <c r="EH127" s="23"/>
      <c r="EI127" s="23"/>
      <c r="EJ127" s="23"/>
      <c r="EK127" s="23"/>
      <c r="EL127" s="23"/>
      <c r="EM127" s="23"/>
      <c r="EN127" s="23"/>
      <c r="EO127" s="23"/>
      <c r="EP127" s="23"/>
      <c r="EQ127" s="23"/>
      <c r="ER127" s="34"/>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c r="HT127" s="23"/>
      <c r="HU127" s="23"/>
      <c r="HV127" s="23"/>
      <c r="HW127" s="23"/>
      <c r="HX127" s="23"/>
      <c r="HY127" s="23"/>
      <c r="HZ127" s="23"/>
      <c r="IA127" s="23"/>
      <c r="IB127" s="23"/>
      <c r="IC127" s="23"/>
      <c r="ID127" s="23"/>
      <c r="IE127" s="23"/>
      <c r="IF127" s="23"/>
      <c r="IG127" s="23"/>
      <c r="IH127" s="23"/>
      <c r="II127" s="23"/>
      <c r="IJ127" s="23"/>
      <c r="IK127" s="23"/>
      <c r="IL127" s="23"/>
      <c r="IM127" s="23"/>
      <c r="IN127" s="23"/>
      <c r="IO127" s="23"/>
      <c r="IP127" s="23"/>
      <c r="IQ127" s="23"/>
      <c r="IR127" s="23"/>
      <c r="IS127" s="23"/>
      <c r="IT127" s="23"/>
      <c r="IU127" s="23"/>
      <c r="IV127" s="23"/>
      <c r="IW127" s="23"/>
      <c r="IX127" s="23"/>
      <c r="IY127" s="23"/>
      <c r="IZ127" s="23"/>
      <c r="JA127" s="23"/>
      <c r="JB127" s="23"/>
      <c r="JC127" s="23"/>
      <c r="JD127" s="23"/>
      <c r="JE127" s="23"/>
      <c r="JF127" s="23"/>
      <c r="JG127" s="34"/>
      <c r="JH127" s="23"/>
      <c r="JI127" s="23"/>
      <c r="JJ127" s="23"/>
      <c r="JK127" s="23"/>
      <c r="JL127" s="23"/>
      <c r="JM127" s="23"/>
      <c r="JN127" s="23"/>
      <c r="JO127" s="23"/>
      <c r="JP127" s="23"/>
      <c r="JQ127" s="23"/>
      <c r="JR127" s="23"/>
      <c r="JS127" s="23"/>
      <c r="JT127" s="23"/>
      <c r="JU127" s="23"/>
      <c r="JV127" s="23"/>
      <c r="JW127" s="23"/>
      <c r="JX127" s="23"/>
      <c r="JY127" s="23"/>
      <c r="JZ127" s="23"/>
      <c r="KA127" s="23"/>
      <c r="KB127" s="34"/>
    </row>
    <row r="128" spans="2:288" ht="15" customHeight="1" x14ac:dyDescent="0.35">
      <c r="B128" s="146" t="str">
        <f t="shared" si="15"/>
        <v>Desk 15</v>
      </c>
      <c r="C128" s="148" t="str">
        <v/>
      </c>
      <c r="D128" s="148" t="str">
        <v/>
      </c>
      <c r="E128" s="148" t="str">
        <v/>
      </c>
      <c r="F128" s="148" t="str">
        <v/>
      </c>
      <c r="G128" s="268" t="str">
        <v/>
      </c>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34"/>
      <c r="DX128" s="23"/>
      <c r="DY128" s="23"/>
      <c r="DZ128" s="23"/>
      <c r="EA128" s="23"/>
      <c r="EB128" s="23"/>
      <c r="EC128" s="23"/>
      <c r="ED128" s="23"/>
      <c r="EE128" s="23"/>
      <c r="EF128" s="23"/>
      <c r="EG128" s="23"/>
      <c r="EH128" s="23"/>
      <c r="EI128" s="23"/>
      <c r="EJ128" s="23"/>
      <c r="EK128" s="23"/>
      <c r="EL128" s="23"/>
      <c r="EM128" s="23"/>
      <c r="EN128" s="23"/>
      <c r="EO128" s="23"/>
      <c r="EP128" s="23"/>
      <c r="EQ128" s="23"/>
      <c r="ER128" s="34"/>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c r="GT128" s="23"/>
      <c r="GU128" s="23"/>
      <c r="GV128" s="23"/>
      <c r="GW128" s="23"/>
      <c r="GX128" s="23"/>
      <c r="GY128" s="23"/>
      <c r="GZ128" s="23"/>
      <c r="HA128" s="23"/>
      <c r="HB128" s="23"/>
      <c r="HC128" s="23"/>
      <c r="HD128" s="23"/>
      <c r="HE128" s="23"/>
      <c r="HF128" s="23"/>
      <c r="HG128" s="23"/>
      <c r="HH128" s="23"/>
      <c r="HI128" s="23"/>
      <c r="HJ128" s="23"/>
      <c r="HK128" s="23"/>
      <c r="HL128" s="23"/>
      <c r="HM128" s="23"/>
      <c r="HN128" s="23"/>
      <c r="HO128" s="23"/>
      <c r="HP128" s="23"/>
      <c r="HQ128" s="23"/>
      <c r="HR128" s="23"/>
      <c r="HS128" s="23"/>
      <c r="HT128" s="23"/>
      <c r="HU128" s="23"/>
      <c r="HV128" s="23"/>
      <c r="HW128" s="23"/>
      <c r="HX128" s="23"/>
      <c r="HY128" s="23"/>
      <c r="HZ128" s="23"/>
      <c r="IA128" s="23"/>
      <c r="IB128" s="23"/>
      <c r="IC128" s="23"/>
      <c r="ID128" s="23"/>
      <c r="IE128" s="23"/>
      <c r="IF128" s="23"/>
      <c r="IG128" s="23"/>
      <c r="IH128" s="23"/>
      <c r="II128" s="23"/>
      <c r="IJ128" s="23"/>
      <c r="IK128" s="23"/>
      <c r="IL128" s="23"/>
      <c r="IM128" s="23"/>
      <c r="IN128" s="23"/>
      <c r="IO128" s="23"/>
      <c r="IP128" s="23"/>
      <c r="IQ128" s="23"/>
      <c r="IR128" s="23"/>
      <c r="IS128" s="23"/>
      <c r="IT128" s="23"/>
      <c r="IU128" s="23"/>
      <c r="IV128" s="23"/>
      <c r="IW128" s="23"/>
      <c r="IX128" s="23"/>
      <c r="IY128" s="23"/>
      <c r="IZ128" s="23"/>
      <c r="JA128" s="23"/>
      <c r="JB128" s="23"/>
      <c r="JC128" s="23"/>
      <c r="JD128" s="23"/>
      <c r="JE128" s="23"/>
      <c r="JF128" s="23"/>
      <c r="JG128" s="34"/>
      <c r="JH128" s="23"/>
      <c r="JI128" s="23"/>
      <c r="JJ128" s="23"/>
      <c r="JK128" s="23"/>
      <c r="JL128" s="23"/>
      <c r="JM128" s="23"/>
      <c r="JN128" s="23"/>
      <c r="JO128" s="23"/>
      <c r="JP128" s="23"/>
      <c r="JQ128" s="23"/>
      <c r="JR128" s="23"/>
      <c r="JS128" s="23"/>
      <c r="JT128" s="23"/>
      <c r="JU128" s="23"/>
      <c r="JV128" s="23"/>
      <c r="JW128" s="23"/>
      <c r="JX128" s="23"/>
      <c r="JY128" s="23"/>
      <c r="JZ128" s="23"/>
      <c r="KA128" s="23"/>
      <c r="KB128" s="34"/>
    </row>
    <row r="129" spans="2:288" ht="15" customHeight="1" x14ac:dyDescent="0.35">
      <c r="B129" s="146" t="str">
        <f t="shared" si="15"/>
        <v>Desk 16</v>
      </c>
      <c r="C129" s="148" t="str">
        <v/>
      </c>
      <c r="D129" s="148" t="str">
        <v/>
      </c>
      <c r="E129" s="148" t="str">
        <v/>
      </c>
      <c r="F129" s="148" t="str">
        <v/>
      </c>
      <c r="G129" s="268" t="str">
        <v/>
      </c>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34"/>
      <c r="DX129" s="23"/>
      <c r="DY129" s="23"/>
      <c r="DZ129" s="23"/>
      <c r="EA129" s="23"/>
      <c r="EB129" s="23"/>
      <c r="EC129" s="23"/>
      <c r="ED129" s="23"/>
      <c r="EE129" s="23"/>
      <c r="EF129" s="23"/>
      <c r="EG129" s="23"/>
      <c r="EH129" s="23"/>
      <c r="EI129" s="23"/>
      <c r="EJ129" s="23"/>
      <c r="EK129" s="23"/>
      <c r="EL129" s="23"/>
      <c r="EM129" s="23"/>
      <c r="EN129" s="23"/>
      <c r="EO129" s="23"/>
      <c r="EP129" s="23"/>
      <c r="EQ129" s="23"/>
      <c r="ER129" s="34"/>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c r="GT129" s="23"/>
      <c r="GU129" s="23"/>
      <c r="GV129" s="23"/>
      <c r="GW129" s="23"/>
      <c r="GX129" s="23"/>
      <c r="GY129" s="23"/>
      <c r="GZ129" s="23"/>
      <c r="HA129" s="23"/>
      <c r="HB129" s="23"/>
      <c r="HC129" s="23"/>
      <c r="HD129" s="23"/>
      <c r="HE129" s="23"/>
      <c r="HF129" s="23"/>
      <c r="HG129" s="23"/>
      <c r="HH129" s="23"/>
      <c r="HI129" s="23"/>
      <c r="HJ129" s="23"/>
      <c r="HK129" s="23"/>
      <c r="HL129" s="23"/>
      <c r="HM129" s="23"/>
      <c r="HN129" s="23"/>
      <c r="HO129" s="23"/>
      <c r="HP129" s="23"/>
      <c r="HQ129" s="23"/>
      <c r="HR129" s="23"/>
      <c r="HS129" s="23"/>
      <c r="HT129" s="23"/>
      <c r="HU129" s="23"/>
      <c r="HV129" s="23"/>
      <c r="HW129" s="23"/>
      <c r="HX129" s="23"/>
      <c r="HY129" s="23"/>
      <c r="HZ129" s="23"/>
      <c r="IA129" s="23"/>
      <c r="IB129" s="23"/>
      <c r="IC129" s="23"/>
      <c r="ID129" s="23"/>
      <c r="IE129" s="23"/>
      <c r="IF129" s="23"/>
      <c r="IG129" s="23"/>
      <c r="IH129" s="23"/>
      <c r="II129" s="23"/>
      <c r="IJ129" s="23"/>
      <c r="IK129" s="23"/>
      <c r="IL129" s="23"/>
      <c r="IM129" s="23"/>
      <c r="IN129" s="23"/>
      <c r="IO129" s="23"/>
      <c r="IP129" s="23"/>
      <c r="IQ129" s="23"/>
      <c r="IR129" s="23"/>
      <c r="IS129" s="23"/>
      <c r="IT129" s="23"/>
      <c r="IU129" s="23"/>
      <c r="IV129" s="23"/>
      <c r="IW129" s="23"/>
      <c r="IX129" s="23"/>
      <c r="IY129" s="23"/>
      <c r="IZ129" s="23"/>
      <c r="JA129" s="23"/>
      <c r="JB129" s="23"/>
      <c r="JC129" s="23"/>
      <c r="JD129" s="23"/>
      <c r="JE129" s="23"/>
      <c r="JF129" s="23"/>
      <c r="JG129" s="34"/>
      <c r="JH129" s="23"/>
      <c r="JI129" s="23"/>
      <c r="JJ129" s="23"/>
      <c r="JK129" s="23"/>
      <c r="JL129" s="23"/>
      <c r="JM129" s="23"/>
      <c r="JN129" s="23"/>
      <c r="JO129" s="23"/>
      <c r="JP129" s="23"/>
      <c r="JQ129" s="23"/>
      <c r="JR129" s="23"/>
      <c r="JS129" s="23"/>
      <c r="JT129" s="23"/>
      <c r="JU129" s="23"/>
      <c r="JV129" s="23"/>
      <c r="JW129" s="23"/>
      <c r="JX129" s="23"/>
      <c r="JY129" s="23"/>
      <c r="JZ129" s="23"/>
      <c r="KA129" s="23"/>
      <c r="KB129" s="34"/>
    </row>
    <row r="130" spans="2:288" ht="15" customHeight="1" x14ac:dyDescent="0.35">
      <c r="B130" s="146" t="str">
        <f t="shared" si="15"/>
        <v>Desk 17</v>
      </c>
      <c r="C130" s="148" t="str">
        <v/>
      </c>
      <c r="D130" s="148" t="str">
        <v/>
      </c>
      <c r="E130" s="148" t="str">
        <v/>
      </c>
      <c r="F130" s="148" t="str">
        <v/>
      </c>
      <c r="G130" s="268" t="str">
        <v/>
      </c>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34"/>
      <c r="DX130" s="23"/>
      <c r="DY130" s="23"/>
      <c r="DZ130" s="23"/>
      <c r="EA130" s="23"/>
      <c r="EB130" s="23"/>
      <c r="EC130" s="23"/>
      <c r="ED130" s="23"/>
      <c r="EE130" s="23"/>
      <c r="EF130" s="23"/>
      <c r="EG130" s="23"/>
      <c r="EH130" s="23"/>
      <c r="EI130" s="23"/>
      <c r="EJ130" s="23"/>
      <c r="EK130" s="23"/>
      <c r="EL130" s="23"/>
      <c r="EM130" s="23"/>
      <c r="EN130" s="23"/>
      <c r="EO130" s="23"/>
      <c r="EP130" s="23"/>
      <c r="EQ130" s="23"/>
      <c r="ER130" s="34"/>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c r="FX130" s="23"/>
      <c r="FY130" s="23"/>
      <c r="FZ130" s="23"/>
      <c r="GA130" s="23"/>
      <c r="GB130" s="23"/>
      <c r="GC130" s="23"/>
      <c r="GD130" s="23"/>
      <c r="GE130" s="23"/>
      <c r="GF130" s="23"/>
      <c r="GG130" s="23"/>
      <c r="GH130" s="23"/>
      <c r="GI130" s="23"/>
      <c r="GJ130" s="23"/>
      <c r="GK130" s="23"/>
      <c r="GL130" s="23"/>
      <c r="GM130" s="23"/>
      <c r="GN130" s="23"/>
      <c r="GO130" s="23"/>
      <c r="GP130" s="23"/>
      <c r="GQ130" s="23"/>
      <c r="GR130" s="23"/>
      <c r="GS130" s="23"/>
      <c r="GT130" s="23"/>
      <c r="GU130" s="23"/>
      <c r="GV130" s="23"/>
      <c r="GW130" s="23"/>
      <c r="GX130" s="23"/>
      <c r="GY130" s="23"/>
      <c r="GZ130" s="23"/>
      <c r="HA130" s="23"/>
      <c r="HB130" s="23"/>
      <c r="HC130" s="23"/>
      <c r="HD130" s="23"/>
      <c r="HE130" s="23"/>
      <c r="HF130" s="23"/>
      <c r="HG130" s="23"/>
      <c r="HH130" s="23"/>
      <c r="HI130" s="23"/>
      <c r="HJ130" s="23"/>
      <c r="HK130" s="23"/>
      <c r="HL130" s="23"/>
      <c r="HM130" s="23"/>
      <c r="HN130" s="23"/>
      <c r="HO130" s="23"/>
      <c r="HP130" s="23"/>
      <c r="HQ130" s="23"/>
      <c r="HR130" s="23"/>
      <c r="HS130" s="23"/>
      <c r="HT130" s="23"/>
      <c r="HU130" s="23"/>
      <c r="HV130" s="23"/>
      <c r="HW130" s="23"/>
      <c r="HX130" s="23"/>
      <c r="HY130" s="23"/>
      <c r="HZ130" s="23"/>
      <c r="IA130" s="23"/>
      <c r="IB130" s="23"/>
      <c r="IC130" s="23"/>
      <c r="ID130" s="23"/>
      <c r="IE130" s="23"/>
      <c r="IF130" s="23"/>
      <c r="IG130" s="23"/>
      <c r="IH130" s="23"/>
      <c r="II130" s="23"/>
      <c r="IJ130" s="23"/>
      <c r="IK130" s="23"/>
      <c r="IL130" s="23"/>
      <c r="IM130" s="23"/>
      <c r="IN130" s="23"/>
      <c r="IO130" s="23"/>
      <c r="IP130" s="23"/>
      <c r="IQ130" s="23"/>
      <c r="IR130" s="23"/>
      <c r="IS130" s="23"/>
      <c r="IT130" s="23"/>
      <c r="IU130" s="23"/>
      <c r="IV130" s="23"/>
      <c r="IW130" s="23"/>
      <c r="IX130" s="23"/>
      <c r="IY130" s="23"/>
      <c r="IZ130" s="23"/>
      <c r="JA130" s="23"/>
      <c r="JB130" s="23"/>
      <c r="JC130" s="23"/>
      <c r="JD130" s="23"/>
      <c r="JE130" s="23"/>
      <c r="JF130" s="23"/>
      <c r="JG130" s="34"/>
      <c r="JH130" s="23"/>
      <c r="JI130" s="23"/>
      <c r="JJ130" s="23"/>
      <c r="JK130" s="23"/>
      <c r="JL130" s="23"/>
      <c r="JM130" s="23"/>
      <c r="JN130" s="23"/>
      <c r="JO130" s="23"/>
      <c r="JP130" s="23"/>
      <c r="JQ130" s="23"/>
      <c r="JR130" s="23"/>
      <c r="JS130" s="23"/>
      <c r="JT130" s="23"/>
      <c r="JU130" s="23"/>
      <c r="JV130" s="23"/>
      <c r="JW130" s="23"/>
      <c r="JX130" s="23"/>
      <c r="JY130" s="23"/>
      <c r="JZ130" s="23"/>
      <c r="KA130" s="23"/>
      <c r="KB130" s="34"/>
    </row>
    <row r="131" spans="2:288" ht="15" customHeight="1" x14ac:dyDescent="0.35">
      <c r="B131" s="146" t="str">
        <f t="shared" si="15"/>
        <v>Desk 18</v>
      </c>
      <c r="C131" s="148" t="str">
        <v/>
      </c>
      <c r="D131" s="148" t="str">
        <v/>
      </c>
      <c r="E131" s="148" t="str">
        <v/>
      </c>
      <c r="F131" s="148" t="str">
        <v/>
      </c>
      <c r="G131" s="268" t="str">
        <v/>
      </c>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34"/>
      <c r="DX131" s="23"/>
      <c r="DY131" s="23"/>
      <c r="DZ131" s="23"/>
      <c r="EA131" s="23"/>
      <c r="EB131" s="23"/>
      <c r="EC131" s="23"/>
      <c r="ED131" s="23"/>
      <c r="EE131" s="23"/>
      <c r="EF131" s="23"/>
      <c r="EG131" s="23"/>
      <c r="EH131" s="23"/>
      <c r="EI131" s="23"/>
      <c r="EJ131" s="23"/>
      <c r="EK131" s="23"/>
      <c r="EL131" s="23"/>
      <c r="EM131" s="23"/>
      <c r="EN131" s="23"/>
      <c r="EO131" s="23"/>
      <c r="EP131" s="23"/>
      <c r="EQ131" s="23"/>
      <c r="ER131" s="34"/>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c r="GT131" s="23"/>
      <c r="GU131" s="23"/>
      <c r="GV131" s="23"/>
      <c r="GW131" s="23"/>
      <c r="GX131" s="23"/>
      <c r="GY131" s="23"/>
      <c r="GZ131" s="23"/>
      <c r="HA131" s="23"/>
      <c r="HB131" s="23"/>
      <c r="HC131" s="23"/>
      <c r="HD131" s="23"/>
      <c r="HE131" s="23"/>
      <c r="HF131" s="23"/>
      <c r="HG131" s="23"/>
      <c r="HH131" s="23"/>
      <c r="HI131" s="23"/>
      <c r="HJ131" s="23"/>
      <c r="HK131" s="23"/>
      <c r="HL131" s="23"/>
      <c r="HM131" s="23"/>
      <c r="HN131" s="23"/>
      <c r="HO131" s="23"/>
      <c r="HP131" s="23"/>
      <c r="HQ131" s="23"/>
      <c r="HR131" s="23"/>
      <c r="HS131" s="23"/>
      <c r="HT131" s="23"/>
      <c r="HU131" s="23"/>
      <c r="HV131" s="23"/>
      <c r="HW131" s="23"/>
      <c r="HX131" s="23"/>
      <c r="HY131" s="23"/>
      <c r="HZ131" s="23"/>
      <c r="IA131" s="23"/>
      <c r="IB131" s="23"/>
      <c r="IC131" s="23"/>
      <c r="ID131" s="23"/>
      <c r="IE131" s="23"/>
      <c r="IF131" s="23"/>
      <c r="IG131" s="23"/>
      <c r="IH131" s="23"/>
      <c r="II131" s="23"/>
      <c r="IJ131" s="23"/>
      <c r="IK131" s="23"/>
      <c r="IL131" s="23"/>
      <c r="IM131" s="23"/>
      <c r="IN131" s="23"/>
      <c r="IO131" s="23"/>
      <c r="IP131" s="23"/>
      <c r="IQ131" s="23"/>
      <c r="IR131" s="23"/>
      <c r="IS131" s="23"/>
      <c r="IT131" s="23"/>
      <c r="IU131" s="23"/>
      <c r="IV131" s="23"/>
      <c r="IW131" s="23"/>
      <c r="IX131" s="23"/>
      <c r="IY131" s="23"/>
      <c r="IZ131" s="23"/>
      <c r="JA131" s="23"/>
      <c r="JB131" s="23"/>
      <c r="JC131" s="23"/>
      <c r="JD131" s="23"/>
      <c r="JE131" s="23"/>
      <c r="JF131" s="23"/>
      <c r="JG131" s="34"/>
      <c r="JH131" s="23"/>
      <c r="JI131" s="23"/>
      <c r="JJ131" s="23"/>
      <c r="JK131" s="23"/>
      <c r="JL131" s="23"/>
      <c r="JM131" s="23"/>
      <c r="JN131" s="23"/>
      <c r="JO131" s="23"/>
      <c r="JP131" s="23"/>
      <c r="JQ131" s="23"/>
      <c r="JR131" s="23"/>
      <c r="JS131" s="23"/>
      <c r="JT131" s="23"/>
      <c r="JU131" s="23"/>
      <c r="JV131" s="23"/>
      <c r="JW131" s="23"/>
      <c r="JX131" s="23"/>
      <c r="JY131" s="23"/>
      <c r="JZ131" s="23"/>
      <c r="KA131" s="23"/>
      <c r="KB131" s="34"/>
    </row>
    <row r="132" spans="2:288" ht="15" customHeight="1" x14ac:dyDescent="0.35">
      <c r="B132" s="146" t="str">
        <f t="shared" si="15"/>
        <v>Desk 19</v>
      </c>
      <c r="C132" s="148" t="str">
        <v/>
      </c>
      <c r="D132" s="148" t="str">
        <v/>
      </c>
      <c r="E132" s="148" t="str">
        <v/>
      </c>
      <c r="F132" s="148" t="str">
        <v/>
      </c>
      <c r="G132" s="268" t="str">
        <v/>
      </c>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34"/>
      <c r="DX132" s="23"/>
      <c r="DY132" s="23"/>
      <c r="DZ132" s="23"/>
      <c r="EA132" s="23"/>
      <c r="EB132" s="23"/>
      <c r="EC132" s="23"/>
      <c r="ED132" s="23"/>
      <c r="EE132" s="23"/>
      <c r="EF132" s="23"/>
      <c r="EG132" s="23"/>
      <c r="EH132" s="23"/>
      <c r="EI132" s="23"/>
      <c r="EJ132" s="23"/>
      <c r="EK132" s="23"/>
      <c r="EL132" s="23"/>
      <c r="EM132" s="23"/>
      <c r="EN132" s="23"/>
      <c r="EO132" s="23"/>
      <c r="EP132" s="23"/>
      <c r="EQ132" s="23"/>
      <c r="ER132" s="34"/>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c r="HO132" s="23"/>
      <c r="HP132" s="23"/>
      <c r="HQ132" s="23"/>
      <c r="HR132" s="23"/>
      <c r="HS132" s="23"/>
      <c r="HT132" s="23"/>
      <c r="HU132" s="23"/>
      <c r="HV132" s="23"/>
      <c r="HW132" s="23"/>
      <c r="HX132" s="23"/>
      <c r="HY132" s="23"/>
      <c r="HZ132" s="23"/>
      <c r="IA132" s="23"/>
      <c r="IB132" s="23"/>
      <c r="IC132" s="23"/>
      <c r="ID132" s="23"/>
      <c r="IE132" s="23"/>
      <c r="IF132" s="23"/>
      <c r="IG132" s="23"/>
      <c r="IH132" s="23"/>
      <c r="II132" s="23"/>
      <c r="IJ132" s="23"/>
      <c r="IK132" s="23"/>
      <c r="IL132" s="23"/>
      <c r="IM132" s="23"/>
      <c r="IN132" s="23"/>
      <c r="IO132" s="23"/>
      <c r="IP132" s="23"/>
      <c r="IQ132" s="23"/>
      <c r="IR132" s="23"/>
      <c r="IS132" s="23"/>
      <c r="IT132" s="23"/>
      <c r="IU132" s="23"/>
      <c r="IV132" s="23"/>
      <c r="IW132" s="23"/>
      <c r="IX132" s="23"/>
      <c r="IY132" s="23"/>
      <c r="IZ132" s="23"/>
      <c r="JA132" s="23"/>
      <c r="JB132" s="23"/>
      <c r="JC132" s="23"/>
      <c r="JD132" s="23"/>
      <c r="JE132" s="23"/>
      <c r="JF132" s="23"/>
      <c r="JG132" s="34"/>
      <c r="JH132" s="23"/>
      <c r="JI132" s="23"/>
      <c r="JJ132" s="23"/>
      <c r="JK132" s="23"/>
      <c r="JL132" s="23"/>
      <c r="JM132" s="23"/>
      <c r="JN132" s="23"/>
      <c r="JO132" s="23"/>
      <c r="JP132" s="23"/>
      <c r="JQ132" s="23"/>
      <c r="JR132" s="23"/>
      <c r="JS132" s="23"/>
      <c r="JT132" s="23"/>
      <c r="JU132" s="23"/>
      <c r="JV132" s="23"/>
      <c r="JW132" s="23"/>
      <c r="JX132" s="23"/>
      <c r="JY132" s="23"/>
      <c r="JZ132" s="23"/>
      <c r="KA132" s="23"/>
      <c r="KB132" s="34"/>
    </row>
    <row r="133" spans="2:288" ht="15" customHeight="1" x14ac:dyDescent="0.35">
      <c r="B133" s="146" t="str">
        <f t="shared" si="15"/>
        <v>Desk 20</v>
      </c>
      <c r="C133" s="148" t="str">
        <v/>
      </c>
      <c r="D133" s="148" t="str">
        <v/>
      </c>
      <c r="E133" s="148" t="str">
        <v/>
      </c>
      <c r="F133" s="148" t="str">
        <v/>
      </c>
      <c r="G133" s="268" t="str">
        <v/>
      </c>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34"/>
      <c r="DX133" s="23"/>
      <c r="DY133" s="23"/>
      <c r="DZ133" s="23"/>
      <c r="EA133" s="23"/>
      <c r="EB133" s="23"/>
      <c r="EC133" s="23"/>
      <c r="ED133" s="23"/>
      <c r="EE133" s="23"/>
      <c r="EF133" s="23"/>
      <c r="EG133" s="23"/>
      <c r="EH133" s="23"/>
      <c r="EI133" s="23"/>
      <c r="EJ133" s="23"/>
      <c r="EK133" s="23"/>
      <c r="EL133" s="23"/>
      <c r="EM133" s="23"/>
      <c r="EN133" s="23"/>
      <c r="EO133" s="23"/>
      <c r="EP133" s="23"/>
      <c r="EQ133" s="23"/>
      <c r="ER133" s="34"/>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c r="GK133" s="23"/>
      <c r="GL133" s="23"/>
      <c r="GM133" s="23"/>
      <c r="GN133" s="23"/>
      <c r="GO133" s="23"/>
      <c r="GP133" s="23"/>
      <c r="GQ133" s="23"/>
      <c r="GR133" s="23"/>
      <c r="GS133" s="23"/>
      <c r="GT133" s="23"/>
      <c r="GU133" s="23"/>
      <c r="GV133" s="23"/>
      <c r="GW133" s="23"/>
      <c r="GX133" s="23"/>
      <c r="GY133" s="23"/>
      <c r="GZ133" s="23"/>
      <c r="HA133" s="23"/>
      <c r="HB133" s="23"/>
      <c r="HC133" s="23"/>
      <c r="HD133" s="23"/>
      <c r="HE133" s="23"/>
      <c r="HF133" s="23"/>
      <c r="HG133" s="23"/>
      <c r="HH133" s="23"/>
      <c r="HI133" s="23"/>
      <c r="HJ133" s="23"/>
      <c r="HK133" s="23"/>
      <c r="HL133" s="23"/>
      <c r="HM133" s="23"/>
      <c r="HN133" s="23"/>
      <c r="HO133" s="23"/>
      <c r="HP133" s="23"/>
      <c r="HQ133" s="23"/>
      <c r="HR133" s="23"/>
      <c r="HS133" s="23"/>
      <c r="HT133" s="23"/>
      <c r="HU133" s="23"/>
      <c r="HV133" s="23"/>
      <c r="HW133" s="23"/>
      <c r="HX133" s="23"/>
      <c r="HY133" s="23"/>
      <c r="HZ133" s="23"/>
      <c r="IA133" s="23"/>
      <c r="IB133" s="23"/>
      <c r="IC133" s="23"/>
      <c r="ID133" s="23"/>
      <c r="IE133" s="23"/>
      <c r="IF133" s="23"/>
      <c r="IG133" s="23"/>
      <c r="IH133" s="23"/>
      <c r="II133" s="23"/>
      <c r="IJ133" s="23"/>
      <c r="IK133" s="23"/>
      <c r="IL133" s="23"/>
      <c r="IM133" s="23"/>
      <c r="IN133" s="23"/>
      <c r="IO133" s="23"/>
      <c r="IP133" s="23"/>
      <c r="IQ133" s="23"/>
      <c r="IR133" s="23"/>
      <c r="IS133" s="23"/>
      <c r="IT133" s="23"/>
      <c r="IU133" s="23"/>
      <c r="IV133" s="23"/>
      <c r="IW133" s="23"/>
      <c r="IX133" s="23"/>
      <c r="IY133" s="23"/>
      <c r="IZ133" s="23"/>
      <c r="JA133" s="23"/>
      <c r="JB133" s="23"/>
      <c r="JC133" s="23"/>
      <c r="JD133" s="23"/>
      <c r="JE133" s="23"/>
      <c r="JF133" s="23"/>
      <c r="JG133" s="34"/>
      <c r="JH133" s="23"/>
      <c r="JI133" s="23"/>
      <c r="JJ133" s="23"/>
      <c r="JK133" s="23"/>
      <c r="JL133" s="23"/>
      <c r="JM133" s="23"/>
      <c r="JN133" s="23"/>
      <c r="JO133" s="23"/>
      <c r="JP133" s="23"/>
      <c r="JQ133" s="23"/>
      <c r="JR133" s="23"/>
      <c r="JS133" s="23"/>
      <c r="JT133" s="23"/>
      <c r="JU133" s="23"/>
      <c r="JV133" s="23"/>
      <c r="JW133" s="23"/>
      <c r="JX133" s="23"/>
      <c r="JY133" s="23"/>
      <c r="JZ133" s="23"/>
      <c r="KA133" s="23"/>
      <c r="KB133" s="34"/>
    </row>
    <row r="134" spans="2:288" ht="15" customHeight="1" x14ac:dyDescent="0.35">
      <c r="B134" s="146" t="str">
        <f t="shared" si="15"/>
        <v>Desk 21</v>
      </c>
      <c r="C134" s="148" t="str">
        <v/>
      </c>
      <c r="D134" s="148" t="str">
        <v/>
      </c>
      <c r="E134" s="148" t="str">
        <v/>
      </c>
      <c r="F134" s="148" t="str">
        <v/>
      </c>
      <c r="G134" s="268" t="str">
        <v/>
      </c>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34"/>
      <c r="DX134" s="23"/>
      <c r="DY134" s="23"/>
      <c r="DZ134" s="23"/>
      <c r="EA134" s="23"/>
      <c r="EB134" s="23"/>
      <c r="EC134" s="23"/>
      <c r="ED134" s="23"/>
      <c r="EE134" s="23"/>
      <c r="EF134" s="23"/>
      <c r="EG134" s="23"/>
      <c r="EH134" s="23"/>
      <c r="EI134" s="23"/>
      <c r="EJ134" s="23"/>
      <c r="EK134" s="23"/>
      <c r="EL134" s="23"/>
      <c r="EM134" s="23"/>
      <c r="EN134" s="23"/>
      <c r="EO134" s="23"/>
      <c r="EP134" s="23"/>
      <c r="EQ134" s="23"/>
      <c r="ER134" s="34"/>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c r="GK134" s="23"/>
      <c r="GL134" s="23"/>
      <c r="GM134" s="23"/>
      <c r="GN134" s="23"/>
      <c r="GO134" s="23"/>
      <c r="GP134" s="23"/>
      <c r="GQ134" s="23"/>
      <c r="GR134" s="23"/>
      <c r="GS134" s="23"/>
      <c r="GT134" s="23"/>
      <c r="GU134" s="23"/>
      <c r="GV134" s="23"/>
      <c r="GW134" s="23"/>
      <c r="GX134" s="23"/>
      <c r="GY134" s="23"/>
      <c r="GZ134" s="23"/>
      <c r="HA134" s="23"/>
      <c r="HB134" s="23"/>
      <c r="HC134" s="23"/>
      <c r="HD134" s="23"/>
      <c r="HE134" s="23"/>
      <c r="HF134" s="23"/>
      <c r="HG134" s="23"/>
      <c r="HH134" s="23"/>
      <c r="HI134" s="23"/>
      <c r="HJ134" s="23"/>
      <c r="HK134" s="23"/>
      <c r="HL134" s="23"/>
      <c r="HM134" s="23"/>
      <c r="HN134" s="23"/>
      <c r="HO134" s="23"/>
      <c r="HP134" s="23"/>
      <c r="HQ134" s="23"/>
      <c r="HR134" s="23"/>
      <c r="HS134" s="23"/>
      <c r="HT134" s="23"/>
      <c r="HU134" s="23"/>
      <c r="HV134" s="23"/>
      <c r="HW134" s="23"/>
      <c r="HX134" s="23"/>
      <c r="HY134" s="23"/>
      <c r="HZ134" s="23"/>
      <c r="IA134" s="23"/>
      <c r="IB134" s="23"/>
      <c r="IC134" s="23"/>
      <c r="ID134" s="23"/>
      <c r="IE134" s="23"/>
      <c r="IF134" s="23"/>
      <c r="IG134" s="23"/>
      <c r="IH134" s="23"/>
      <c r="II134" s="23"/>
      <c r="IJ134" s="23"/>
      <c r="IK134" s="23"/>
      <c r="IL134" s="23"/>
      <c r="IM134" s="23"/>
      <c r="IN134" s="23"/>
      <c r="IO134" s="23"/>
      <c r="IP134" s="23"/>
      <c r="IQ134" s="23"/>
      <c r="IR134" s="23"/>
      <c r="IS134" s="23"/>
      <c r="IT134" s="23"/>
      <c r="IU134" s="23"/>
      <c r="IV134" s="23"/>
      <c r="IW134" s="23"/>
      <c r="IX134" s="23"/>
      <c r="IY134" s="23"/>
      <c r="IZ134" s="23"/>
      <c r="JA134" s="23"/>
      <c r="JB134" s="23"/>
      <c r="JC134" s="23"/>
      <c r="JD134" s="23"/>
      <c r="JE134" s="23"/>
      <c r="JF134" s="23"/>
      <c r="JG134" s="34"/>
      <c r="JH134" s="23"/>
      <c r="JI134" s="23"/>
      <c r="JJ134" s="23"/>
      <c r="JK134" s="23"/>
      <c r="JL134" s="23"/>
      <c r="JM134" s="23"/>
      <c r="JN134" s="23"/>
      <c r="JO134" s="23"/>
      <c r="JP134" s="23"/>
      <c r="JQ134" s="23"/>
      <c r="JR134" s="23"/>
      <c r="JS134" s="23"/>
      <c r="JT134" s="23"/>
      <c r="JU134" s="23"/>
      <c r="JV134" s="23"/>
      <c r="JW134" s="23"/>
      <c r="JX134" s="23"/>
      <c r="JY134" s="23"/>
      <c r="JZ134" s="23"/>
      <c r="KA134" s="23"/>
      <c r="KB134" s="34"/>
    </row>
    <row r="135" spans="2:288" ht="15" customHeight="1" x14ac:dyDescent="0.35">
      <c r="B135" s="146" t="str">
        <f t="shared" si="15"/>
        <v>Desk 22</v>
      </c>
      <c r="C135" s="148" t="str">
        <v/>
      </c>
      <c r="D135" s="148" t="str">
        <v/>
      </c>
      <c r="E135" s="148" t="str">
        <v/>
      </c>
      <c r="F135" s="148" t="str">
        <v/>
      </c>
      <c r="G135" s="268" t="str">
        <v/>
      </c>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34"/>
      <c r="DX135" s="23"/>
      <c r="DY135" s="23"/>
      <c r="DZ135" s="23"/>
      <c r="EA135" s="23"/>
      <c r="EB135" s="23"/>
      <c r="EC135" s="23"/>
      <c r="ED135" s="23"/>
      <c r="EE135" s="23"/>
      <c r="EF135" s="23"/>
      <c r="EG135" s="23"/>
      <c r="EH135" s="23"/>
      <c r="EI135" s="23"/>
      <c r="EJ135" s="23"/>
      <c r="EK135" s="23"/>
      <c r="EL135" s="23"/>
      <c r="EM135" s="23"/>
      <c r="EN135" s="23"/>
      <c r="EO135" s="23"/>
      <c r="EP135" s="23"/>
      <c r="EQ135" s="23"/>
      <c r="ER135" s="34"/>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O135" s="23"/>
      <c r="GP135" s="23"/>
      <c r="GQ135" s="23"/>
      <c r="GR135" s="23"/>
      <c r="GS135" s="23"/>
      <c r="GT135" s="23"/>
      <c r="GU135" s="23"/>
      <c r="GV135" s="23"/>
      <c r="GW135" s="23"/>
      <c r="GX135" s="23"/>
      <c r="GY135" s="23"/>
      <c r="GZ135" s="23"/>
      <c r="HA135" s="23"/>
      <c r="HB135" s="23"/>
      <c r="HC135" s="23"/>
      <c r="HD135" s="23"/>
      <c r="HE135" s="23"/>
      <c r="HF135" s="23"/>
      <c r="HG135" s="23"/>
      <c r="HH135" s="23"/>
      <c r="HI135" s="23"/>
      <c r="HJ135" s="23"/>
      <c r="HK135" s="23"/>
      <c r="HL135" s="23"/>
      <c r="HM135" s="23"/>
      <c r="HN135" s="23"/>
      <c r="HO135" s="23"/>
      <c r="HP135" s="23"/>
      <c r="HQ135" s="23"/>
      <c r="HR135" s="23"/>
      <c r="HS135" s="23"/>
      <c r="HT135" s="23"/>
      <c r="HU135" s="23"/>
      <c r="HV135" s="23"/>
      <c r="HW135" s="23"/>
      <c r="HX135" s="23"/>
      <c r="HY135" s="23"/>
      <c r="HZ135" s="23"/>
      <c r="IA135" s="23"/>
      <c r="IB135" s="23"/>
      <c r="IC135" s="23"/>
      <c r="ID135" s="23"/>
      <c r="IE135" s="23"/>
      <c r="IF135" s="23"/>
      <c r="IG135" s="23"/>
      <c r="IH135" s="23"/>
      <c r="II135" s="23"/>
      <c r="IJ135" s="23"/>
      <c r="IK135" s="23"/>
      <c r="IL135" s="23"/>
      <c r="IM135" s="23"/>
      <c r="IN135" s="23"/>
      <c r="IO135" s="23"/>
      <c r="IP135" s="23"/>
      <c r="IQ135" s="23"/>
      <c r="IR135" s="23"/>
      <c r="IS135" s="23"/>
      <c r="IT135" s="23"/>
      <c r="IU135" s="23"/>
      <c r="IV135" s="23"/>
      <c r="IW135" s="23"/>
      <c r="IX135" s="23"/>
      <c r="IY135" s="23"/>
      <c r="IZ135" s="23"/>
      <c r="JA135" s="23"/>
      <c r="JB135" s="23"/>
      <c r="JC135" s="23"/>
      <c r="JD135" s="23"/>
      <c r="JE135" s="23"/>
      <c r="JF135" s="23"/>
      <c r="JG135" s="34"/>
      <c r="JH135" s="23"/>
      <c r="JI135" s="23"/>
      <c r="JJ135" s="23"/>
      <c r="JK135" s="23"/>
      <c r="JL135" s="23"/>
      <c r="JM135" s="23"/>
      <c r="JN135" s="23"/>
      <c r="JO135" s="23"/>
      <c r="JP135" s="23"/>
      <c r="JQ135" s="23"/>
      <c r="JR135" s="23"/>
      <c r="JS135" s="23"/>
      <c r="JT135" s="23"/>
      <c r="JU135" s="23"/>
      <c r="JV135" s="23"/>
      <c r="JW135" s="23"/>
      <c r="JX135" s="23"/>
      <c r="JY135" s="23"/>
      <c r="JZ135" s="23"/>
      <c r="KA135" s="23"/>
      <c r="KB135" s="34"/>
    </row>
    <row r="136" spans="2:288" ht="15" customHeight="1" x14ac:dyDescent="0.35">
      <c r="B136" s="146" t="str">
        <f t="shared" si="15"/>
        <v>Desk 23</v>
      </c>
      <c r="C136" s="148" t="str">
        <v/>
      </c>
      <c r="D136" s="148" t="str">
        <v/>
      </c>
      <c r="E136" s="148" t="str">
        <v/>
      </c>
      <c r="F136" s="148" t="str">
        <v/>
      </c>
      <c r="G136" s="268" t="str">
        <v/>
      </c>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34"/>
      <c r="DX136" s="23"/>
      <c r="DY136" s="23"/>
      <c r="DZ136" s="23"/>
      <c r="EA136" s="23"/>
      <c r="EB136" s="23"/>
      <c r="EC136" s="23"/>
      <c r="ED136" s="23"/>
      <c r="EE136" s="23"/>
      <c r="EF136" s="23"/>
      <c r="EG136" s="23"/>
      <c r="EH136" s="23"/>
      <c r="EI136" s="23"/>
      <c r="EJ136" s="23"/>
      <c r="EK136" s="23"/>
      <c r="EL136" s="23"/>
      <c r="EM136" s="23"/>
      <c r="EN136" s="23"/>
      <c r="EO136" s="23"/>
      <c r="EP136" s="23"/>
      <c r="EQ136" s="23"/>
      <c r="ER136" s="34"/>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c r="GZ136" s="23"/>
      <c r="HA136" s="23"/>
      <c r="HB136" s="23"/>
      <c r="HC136" s="23"/>
      <c r="HD136" s="23"/>
      <c r="HE136" s="23"/>
      <c r="HF136" s="23"/>
      <c r="HG136" s="23"/>
      <c r="HH136" s="23"/>
      <c r="HI136" s="23"/>
      <c r="HJ136" s="23"/>
      <c r="HK136" s="23"/>
      <c r="HL136" s="23"/>
      <c r="HM136" s="23"/>
      <c r="HN136" s="23"/>
      <c r="HO136" s="23"/>
      <c r="HP136" s="23"/>
      <c r="HQ136" s="23"/>
      <c r="HR136" s="23"/>
      <c r="HS136" s="23"/>
      <c r="HT136" s="23"/>
      <c r="HU136" s="23"/>
      <c r="HV136" s="23"/>
      <c r="HW136" s="23"/>
      <c r="HX136" s="23"/>
      <c r="HY136" s="23"/>
      <c r="HZ136" s="23"/>
      <c r="IA136" s="23"/>
      <c r="IB136" s="23"/>
      <c r="IC136" s="23"/>
      <c r="ID136" s="23"/>
      <c r="IE136" s="23"/>
      <c r="IF136" s="23"/>
      <c r="IG136" s="23"/>
      <c r="IH136" s="23"/>
      <c r="II136" s="23"/>
      <c r="IJ136" s="23"/>
      <c r="IK136" s="23"/>
      <c r="IL136" s="23"/>
      <c r="IM136" s="23"/>
      <c r="IN136" s="23"/>
      <c r="IO136" s="23"/>
      <c r="IP136" s="23"/>
      <c r="IQ136" s="23"/>
      <c r="IR136" s="23"/>
      <c r="IS136" s="23"/>
      <c r="IT136" s="23"/>
      <c r="IU136" s="23"/>
      <c r="IV136" s="23"/>
      <c r="IW136" s="23"/>
      <c r="IX136" s="23"/>
      <c r="IY136" s="23"/>
      <c r="IZ136" s="23"/>
      <c r="JA136" s="23"/>
      <c r="JB136" s="23"/>
      <c r="JC136" s="23"/>
      <c r="JD136" s="23"/>
      <c r="JE136" s="23"/>
      <c r="JF136" s="23"/>
      <c r="JG136" s="34"/>
      <c r="JH136" s="23"/>
      <c r="JI136" s="23"/>
      <c r="JJ136" s="23"/>
      <c r="JK136" s="23"/>
      <c r="JL136" s="23"/>
      <c r="JM136" s="23"/>
      <c r="JN136" s="23"/>
      <c r="JO136" s="23"/>
      <c r="JP136" s="23"/>
      <c r="JQ136" s="23"/>
      <c r="JR136" s="23"/>
      <c r="JS136" s="23"/>
      <c r="JT136" s="23"/>
      <c r="JU136" s="23"/>
      <c r="JV136" s="23"/>
      <c r="JW136" s="23"/>
      <c r="JX136" s="23"/>
      <c r="JY136" s="23"/>
      <c r="JZ136" s="23"/>
      <c r="KA136" s="23"/>
      <c r="KB136" s="34"/>
    </row>
    <row r="137" spans="2:288" ht="15" customHeight="1" x14ac:dyDescent="0.35">
      <c r="B137" s="146" t="str">
        <f t="shared" si="15"/>
        <v>Desk 24</v>
      </c>
      <c r="C137" s="148" t="str">
        <v/>
      </c>
      <c r="D137" s="148" t="str">
        <v/>
      </c>
      <c r="E137" s="148" t="str">
        <v/>
      </c>
      <c r="F137" s="148" t="str">
        <v/>
      </c>
      <c r="G137" s="268" t="str">
        <v/>
      </c>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34"/>
      <c r="DX137" s="23"/>
      <c r="DY137" s="23"/>
      <c r="DZ137" s="23"/>
      <c r="EA137" s="23"/>
      <c r="EB137" s="23"/>
      <c r="EC137" s="23"/>
      <c r="ED137" s="23"/>
      <c r="EE137" s="23"/>
      <c r="EF137" s="23"/>
      <c r="EG137" s="23"/>
      <c r="EH137" s="23"/>
      <c r="EI137" s="23"/>
      <c r="EJ137" s="23"/>
      <c r="EK137" s="23"/>
      <c r="EL137" s="23"/>
      <c r="EM137" s="23"/>
      <c r="EN137" s="23"/>
      <c r="EO137" s="23"/>
      <c r="EP137" s="23"/>
      <c r="EQ137" s="23"/>
      <c r="ER137" s="34"/>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c r="GK137" s="23"/>
      <c r="GL137" s="23"/>
      <c r="GM137" s="23"/>
      <c r="GN137" s="23"/>
      <c r="GO137" s="23"/>
      <c r="GP137" s="23"/>
      <c r="GQ137" s="23"/>
      <c r="GR137" s="23"/>
      <c r="GS137" s="23"/>
      <c r="GT137" s="23"/>
      <c r="GU137" s="23"/>
      <c r="GV137" s="23"/>
      <c r="GW137" s="23"/>
      <c r="GX137" s="23"/>
      <c r="GY137" s="23"/>
      <c r="GZ137" s="23"/>
      <c r="HA137" s="23"/>
      <c r="HB137" s="23"/>
      <c r="HC137" s="23"/>
      <c r="HD137" s="23"/>
      <c r="HE137" s="23"/>
      <c r="HF137" s="23"/>
      <c r="HG137" s="23"/>
      <c r="HH137" s="23"/>
      <c r="HI137" s="23"/>
      <c r="HJ137" s="23"/>
      <c r="HK137" s="23"/>
      <c r="HL137" s="23"/>
      <c r="HM137" s="23"/>
      <c r="HN137" s="23"/>
      <c r="HO137" s="23"/>
      <c r="HP137" s="23"/>
      <c r="HQ137" s="23"/>
      <c r="HR137" s="23"/>
      <c r="HS137" s="23"/>
      <c r="HT137" s="23"/>
      <c r="HU137" s="23"/>
      <c r="HV137" s="23"/>
      <c r="HW137" s="23"/>
      <c r="HX137" s="23"/>
      <c r="HY137" s="23"/>
      <c r="HZ137" s="23"/>
      <c r="IA137" s="23"/>
      <c r="IB137" s="23"/>
      <c r="IC137" s="23"/>
      <c r="ID137" s="23"/>
      <c r="IE137" s="23"/>
      <c r="IF137" s="23"/>
      <c r="IG137" s="23"/>
      <c r="IH137" s="23"/>
      <c r="II137" s="23"/>
      <c r="IJ137" s="23"/>
      <c r="IK137" s="23"/>
      <c r="IL137" s="23"/>
      <c r="IM137" s="23"/>
      <c r="IN137" s="23"/>
      <c r="IO137" s="23"/>
      <c r="IP137" s="23"/>
      <c r="IQ137" s="23"/>
      <c r="IR137" s="23"/>
      <c r="IS137" s="23"/>
      <c r="IT137" s="23"/>
      <c r="IU137" s="23"/>
      <c r="IV137" s="23"/>
      <c r="IW137" s="23"/>
      <c r="IX137" s="23"/>
      <c r="IY137" s="23"/>
      <c r="IZ137" s="23"/>
      <c r="JA137" s="23"/>
      <c r="JB137" s="23"/>
      <c r="JC137" s="23"/>
      <c r="JD137" s="23"/>
      <c r="JE137" s="23"/>
      <c r="JF137" s="23"/>
      <c r="JG137" s="34"/>
      <c r="JH137" s="23"/>
      <c r="JI137" s="23"/>
      <c r="JJ137" s="23"/>
      <c r="JK137" s="23"/>
      <c r="JL137" s="23"/>
      <c r="JM137" s="23"/>
      <c r="JN137" s="23"/>
      <c r="JO137" s="23"/>
      <c r="JP137" s="23"/>
      <c r="JQ137" s="23"/>
      <c r="JR137" s="23"/>
      <c r="JS137" s="23"/>
      <c r="JT137" s="23"/>
      <c r="JU137" s="23"/>
      <c r="JV137" s="23"/>
      <c r="JW137" s="23"/>
      <c r="JX137" s="23"/>
      <c r="JY137" s="23"/>
      <c r="JZ137" s="23"/>
      <c r="KA137" s="23"/>
      <c r="KB137" s="34"/>
    </row>
    <row r="138" spans="2:288" ht="15" customHeight="1" x14ac:dyDescent="0.35">
      <c r="B138" s="146" t="str">
        <f t="shared" si="15"/>
        <v>Desk 25</v>
      </c>
      <c r="C138" s="148" t="str">
        <v/>
      </c>
      <c r="D138" s="148" t="str">
        <v/>
      </c>
      <c r="E138" s="148" t="str">
        <v/>
      </c>
      <c r="F138" s="148" t="str">
        <v/>
      </c>
      <c r="G138" s="268" t="str">
        <v/>
      </c>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34"/>
      <c r="DX138" s="23"/>
      <c r="DY138" s="23"/>
      <c r="DZ138" s="23"/>
      <c r="EA138" s="23"/>
      <c r="EB138" s="23"/>
      <c r="EC138" s="23"/>
      <c r="ED138" s="23"/>
      <c r="EE138" s="23"/>
      <c r="EF138" s="23"/>
      <c r="EG138" s="23"/>
      <c r="EH138" s="23"/>
      <c r="EI138" s="23"/>
      <c r="EJ138" s="23"/>
      <c r="EK138" s="23"/>
      <c r="EL138" s="23"/>
      <c r="EM138" s="23"/>
      <c r="EN138" s="23"/>
      <c r="EO138" s="23"/>
      <c r="EP138" s="23"/>
      <c r="EQ138" s="23"/>
      <c r="ER138" s="34"/>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c r="HO138" s="23"/>
      <c r="HP138" s="23"/>
      <c r="HQ138" s="23"/>
      <c r="HR138" s="23"/>
      <c r="HS138" s="23"/>
      <c r="HT138" s="23"/>
      <c r="HU138" s="23"/>
      <c r="HV138" s="23"/>
      <c r="HW138" s="23"/>
      <c r="HX138" s="23"/>
      <c r="HY138" s="23"/>
      <c r="HZ138" s="23"/>
      <c r="IA138" s="23"/>
      <c r="IB138" s="23"/>
      <c r="IC138" s="23"/>
      <c r="ID138" s="23"/>
      <c r="IE138" s="23"/>
      <c r="IF138" s="23"/>
      <c r="IG138" s="23"/>
      <c r="IH138" s="23"/>
      <c r="II138" s="23"/>
      <c r="IJ138" s="23"/>
      <c r="IK138" s="23"/>
      <c r="IL138" s="23"/>
      <c r="IM138" s="23"/>
      <c r="IN138" s="23"/>
      <c r="IO138" s="23"/>
      <c r="IP138" s="23"/>
      <c r="IQ138" s="23"/>
      <c r="IR138" s="23"/>
      <c r="IS138" s="23"/>
      <c r="IT138" s="23"/>
      <c r="IU138" s="23"/>
      <c r="IV138" s="23"/>
      <c r="IW138" s="23"/>
      <c r="IX138" s="23"/>
      <c r="IY138" s="23"/>
      <c r="IZ138" s="23"/>
      <c r="JA138" s="23"/>
      <c r="JB138" s="23"/>
      <c r="JC138" s="23"/>
      <c r="JD138" s="23"/>
      <c r="JE138" s="23"/>
      <c r="JF138" s="23"/>
      <c r="JG138" s="34"/>
      <c r="JH138" s="23"/>
      <c r="JI138" s="23"/>
      <c r="JJ138" s="23"/>
      <c r="JK138" s="23"/>
      <c r="JL138" s="23"/>
      <c r="JM138" s="23"/>
      <c r="JN138" s="23"/>
      <c r="JO138" s="23"/>
      <c r="JP138" s="23"/>
      <c r="JQ138" s="23"/>
      <c r="JR138" s="23"/>
      <c r="JS138" s="23"/>
      <c r="JT138" s="23"/>
      <c r="JU138" s="23"/>
      <c r="JV138" s="23"/>
      <c r="JW138" s="23"/>
      <c r="JX138" s="23"/>
      <c r="JY138" s="23"/>
      <c r="JZ138" s="23"/>
      <c r="KA138" s="23"/>
      <c r="KB138" s="34"/>
    </row>
    <row r="139" spans="2:288" ht="15" customHeight="1" x14ac:dyDescent="0.35">
      <c r="B139" s="146" t="str">
        <f t="shared" si="15"/>
        <v>Desk 26</v>
      </c>
      <c r="C139" s="148" t="str">
        <v/>
      </c>
      <c r="D139" s="148" t="str">
        <v/>
      </c>
      <c r="E139" s="148" t="str">
        <v/>
      </c>
      <c r="F139" s="148" t="str">
        <v/>
      </c>
      <c r="G139" s="268" t="str">
        <v/>
      </c>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34"/>
      <c r="DX139" s="23"/>
      <c r="DY139" s="23"/>
      <c r="DZ139" s="23"/>
      <c r="EA139" s="23"/>
      <c r="EB139" s="23"/>
      <c r="EC139" s="23"/>
      <c r="ED139" s="23"/>
      <c r="EE139" s="23"/>
      <c r="EF139" s="23"/>
      <c r="EG139" s="23"/>
      <c r="EH139" s="23"/>
      <c r="EI139" s="23"/>
      <c r="EJ139" s="23"/>
      <c r="EK139" s="23"/>
      <c r="EL139" s="23"/>
      <c r="EM139" s="23"/>
      <c r="EN139" s="23"/>
      <c r="EO139" s="23"/>
      <c r="EP139" s="23"/>
      <c r="EQ139" s="23"/>
      <c r="ER139" s="34"/>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c r="HO139" s="23"/>
      <c r="HP139" s="23"/>
      <c r="HQ139" s="23"/>
      <c r="HR139" s="23"/>
      <c r="HS139" s="23"/>
      <c r="HT139" s="23"/>
      <c r="HU139" s="23"/>
      <c r="HV139" s="23"/>
      <c r="HW139" s="23"/>
      <c r="HX139" s="23"/>
      <c r="HY139" s="23"/>
      <c r="HZ139" s="23"/>
      <c r="IA139" s="23"/>
      <c r="IB139" s="23"/>
      <c r="IC139" s="23"/>
      <c r="ID139" s="23"/>
      <c r="IE139" s="23"/>
      <c r="IF139" s="23"/>
      <c r="IG139" s="23"/>
      <c r="IH139" s="23"/>
      <c r="II139" s="23"/>
      <c r="IJ139" s="23"/>
      <c r="IK139" s="23"/>
      <c r="IL139" s="23"/>
      <c r="IM139" s="23"/>
      <c r="IN139" s="23"/>
      <c r="IO139" s="23"/>
      <c r="IP139" s="23"/>
      <c r="IQ139" s="23"/>
      <c r="IR139" s="23"/>
      <c r="IS139" s="23"/>
      <c r="IT139" s="23"/>
      <c r="IU139" s="23"/>
      <c r="IV139" s="23"/>
      <c r="IW139" s="23"/>
      <c r="IX139" s="23"/>
      <c r="IY139" s="23"/>
      <c r="IZ139" s="23"/>
      <c r="JA139" s="23"/>
      <c r="JB139" s="23"/>
      <c r="JC139" s="23"/>
      <c r="JD139" s="23"/>
      <c r="JE139" s="23"/>
      <c r="JF139" s="23"/>
      <c r="JG139" s="34"/>
      <c r="JH139" s="23"/>
      <c r="JI139" s="23"/>
      <c r="JJ139" s="23"/>
      <c r="JK139" s="23"/>
      <c r="JL139" s="23"/>
      <c r="JM139" s="23"/>
      <c r="JN139" s="23"/>
      <c r="JO139" s="23"/>
      <c r="JP139" s="23"/>
      <c r="JQ139" s="23"/>
      <c r="JR139" s="23"/>
      <c r="JS139" s="23"/>
      <c r="JT139" s="23"/>
      <c r="JU139" s="23"/>
      <c r="JV139" s="23"/>
      <c r="JW139" s="23"/>
      <c r="JX139" s="23"/>
      <c r="JY139" s="23"/>
      <c r="JZ139" s="23"/>
      <c r="KA139" s="23"/>
      <c r="KB139" s="34"/>
    </row>
    <row r="140" spans="2:288" ht="15" customHeight="1" x14ac:dyDescent="0.35">
      <c r="B140" s="146" t="str">
        <f t="shared" si="15"/>
        <v>Desk 27</v>
      </c>
      <c r="C140" s="148" t="str">
        <v/>
      </c>
      <c r="D140" s="148" t="str">
        <v/>
      </c>
      <c r="E140" s="148" t="str">
        <v/>
      </c>
      <c r="F140" s="148" t="str">
        <v/>
      </c>
      <c r="G140" s="268" t="str">
        <v/>
      </c>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34"/>
      <c r="DX140" s="23"/>
      <c r="DY140" s="23"/>
      <c r="DZ140" s="23"/>
      <c r="EA140" s="23"/>
      <c r="EB140" s="23"/>
      <c r="EC140" s="23"/>
      <c r="ED140" s="23"/>
      <c r="EE140" s="23"/>
      <c r="EF140" s="23"/>
      <c r="EG140" s="23"/>
      <c r="EH140" s="23"/>
      <c r="EI140" s="23"/>
      <c r="EJ140" s="23"/>
      <c r="EK140" s="23"/>
      <c r="EL140" s="23"/>
      <c r="EM140" s="23"/>
      <c r="EN140" s="23"/>
      <c r="EO140" s="23"/>
      <c r="EP140" s="23"/>
      <c r="EQ140" s="23"/>
      <c r="ER140" s="34"/>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c r="HT140" s="23"/>
      <c r="HU140" s="23"/>
      <c r="HV140" s="23"/>
      <c r="HW140" s="23"/>
      <c r="HX140" s="23"/>
      <c r="HY140" s="23"/>
      <c r="HZ140" s="23"/>
      <c r="IA140" s="23"/>
      <c r="IB140" s="23"/>
      <c r="IC140" s="23"/>
      <c r="ID140" s="23"/>
      <c r="IE140" s="23"/>
      <c r="IF140" s="23"/>
      <c r="IG140" s="23"/>
      <c r="IH140" s="23"/>
      <c r="II140" s="23"/>
      <c r="IJ140" s="23"/>
      <c r="IK140" s="23"/>
      <c r="IL140" s="23"/>
      <c r="IM140" s="23"/>
      <c r="IN140" s="23"/>
      <c r="IO140" s="23"/>
      <c r="IP140" s="23"/>
      <c r="IQ140" s="23"/>
      <c r="IR140" s="23"/>
      <c r="IS140" s="23"/>
      <c r="IT140" s="23"/>
      <c r="IU140" s="23"/>
      <c r="IV140" s="23"/>
      <c r="IW140" s="23"/>
      <c r="IX140" s="23"/>
      <c r="IY140" s="23"/>
      <c r="IZ140" s="23"/>
      <c r="JA140" s="23"/>
      <c r="JB140" s="23"/>
      <c r="JC140" s="23"/>
      <c r="JD140" s="23"/>
      <c r="JE140" s="23"/>
      <c r="JF140" s="23"/>
      <c r="JG140" s="34"/>
      <c r="JH140" s="23"/>
      <c r="JI140" s="23"/>
      <c r="JJ140" s="23"/>
      <c r="JK140" s="23"/>
      <c r="JL140" s="23"/>
      <c r="JM140" s="23"/>
      <c r="JN140" s="23"/>
      <c r="JO140" s="23"/>
      <c r="JP140" s="23"/>
      <c r="JQ140" s="23"/>
      <c r="JR140" s="23"/>
      <c r="JS140" s="23"/>
      <c r="JT140" s="23"/>
      <c r="JU140" s="23"/>
      <c r="JV140" s="23"/>
      <c r="JW140" s="23"/>
      <c r="JX140" s="23"/>
      <c r="JY140" s="23"/>
      <c r="JZ140" s="23"/>
      <c r="KA140" s="23"/>
      <c r="KB140" s="34"/>
    </row>
    <row r="141" spans="2:288" ht="15" customHeight="1" x14ac:dyDescent="0.35">
      <c r="B141" s="146" t="str">
        <f t="shared" si="15"/>
        <v>Desk 28</v>
      </c>
      <c r="C141" s="148" t="str">
        <v/>
      </c>
      <c r="D141" s="148" t="str">
        <v/>
      </c>
      <c r="E141" s="148" t="str">
        <v/>
      </c>
      <c r="F141" s="148" t="str">
        <v/>
      </c>
      <c r="G141" s="268" t="str">
        <v/>
      </c>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34"/>
      <c r="DX141" s="23"/>
      <c r="DY141" s="23"/>
      <c r="DZ141" s="23"/>
      <c r="EA141" s="23"/>
      <c r="EB141" s="23"/>
      <c r="EC141" s="23"/>
      <c r="ED141" s="23"/>
      <c r="EE141" s="23"/>
      <c r="EF141" s="23"/>
      <c r="EG141" s="23"/>
      <c r="EH141" s="23"/>
      <c r="EI141" s="23"/>
      <c r="EJ141" s="23"/>
      <c r="EK141" s="23"/>
      <c r="EL141" s="23"/>
      <c r="EM141" s="23"/>
      <c r="EN141" s="23"/>
      <c r="EO141" s="23"/>
      <c r="EP141" s="23"/>
      <c r="EQ141" s="23"/>
      <c r="ER141" s="34"/>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c r="HT141" s="23"/>
      <c r="HU141" s="23"/>
      <c r="HV141" s="23"/>
      <c r="HW141" s="23"/>
      <c r="HX141" s="23"/>
      <c r="HY141" s="23"/>
      <c r="HZ141" s="23"/>
      <c r="IA141" s="23"/>
      <c r="IB141" s="23"/>
      <c r="IC141" s="23"/>
      <c r="ID141" s="23"/>
      <c r="IE141" s="23"/>
      <c r="IF141" s="23"/>
      <c r="IG141" s="23"/>
      <c r="IH141" s="23"/>
      <c r="II141" s="23"/>
      <c r="IJ141" s="23"/>
      <c r="IK141" s="23"/>
      <c r="IL141" s="23"/>
      <c r="IM141" s="23"/>
      <c r="IN141" s="23"/>
      <c r="IO141" s="23"/>
      <c r="IP141" s="23"/>
      <c r="IQ141" s="23"/>
      <c r="IR141" s="23"/>
      <c r="IS141" s="23"/>
      <c r="IT141" s="23"/>
      <c r="IU141" s="23"/>
      <c r="IV141" s="23"/>
      <c r="IW141" s="23"/>
      <c r="IX141" s="23"/>
      <c r="IY141" s="23"/>
      <c r="IZ141" s="23"/>
      <c r="JA141" s="23"/>
      <c r="JB141" s="23"/>
      <c r="JC141" s="23"/>
      <c r="JD141" s="23"/>
      <c r="JE141" s="23"/>
      <c r="JF141" s="23"/>
      <c r="JG141" s="34"/>
      <c r="JH141" s="23"/>
      <c r="JI141" s="23"/>
      <c r="JJ141" s="23"/>
      <c r="JK141" s="23"/>
      <c r="JL141" s="23"/>
      <c r="JM141" s="23"/>
      <c r="JN141" s="23"/>
      <c r="JO141" s="23"/>
      <c r="JP141" s="23"/>
      <c r="JQ141" s="23"/>
      <c r="JR141" s="23"/>
      <c r="JS141" s="23"/>
      <c r="JT141" s="23"/>
      <c r="JU141" s="23"/>
      <c r="JV141" s="23"/>
      <c r="JW141" s="23"/>
      <c r="JX141" s="23"/>
      <c r="JY141" s="23"/>
      <c r="JZ141" s="23"/>
      <c r="KA141" s="23"/>
      <c r="KB141" s="34"/>
    </row>
    <row r="142" spans="2:288" ht="15" customHeight="1" x14ac:dyDescent="0.35">
      <c r="B142" s="146" t="str">
        <f t="shared" si="15"/>
        <v>Desk 29</v>
      </c>
      <c r="C142" s="148" t="str">
        <v/>
      </c>
      <c r="D142" s="148" t="str">
        <v/>
      </c>
      <c r="E142" s="148" t="str">
        <v/>
      </c>
      <c r="F142" s="148" t="str">
        <v/>
      </c>
      <c r="G142" s="268" t="str">
        <v/>
      </c>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34"/>
      <c r="DX142" s="23"/>
      <c r="DY142" s="23"/>
      <c r="DZ142" s="23"/>
      <c r="EA142" s="23"/>
      <c r="EB142" s="23"/>
      <c r="EC142" s="23"/>
      <c r="ED142" s="23"/>
      <c r="EE142" s="23"/>
      <c r="EF142" s="23"/>
      <c r="EG142" s="23"/>
      <c r="EH142" s="23"/>
      <c r="EI142" s="23"/>
      <c r="EJ142" s="23"/>
      <c r="EK142" s="23"/>
      <c r="EL142" s="23"/>
      <c r="EM142" s="23"/>
      <c r="EN142" s="23"/>
      <c r="EO142" s="23"/>
      <c r="EP142" s="23"/>
      <c r="EQ142" s="23"/>
      <c r="ER142" s="34"/>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c r="HT142" s="23"/>
      <c r="HU142" s="23"/>
      <c r="HV142" s="23"/>
      <c r="HW142" s="23"/>
      <c r="HX142" s="23"/>
      <c r="HY142" s="23"/>
      <c r="HZ142" s="23"/>
      <c r="IA142" s="23"/>
      <c r="IB142" s="23"/>
      <c r="IC142" s="23"/>
      <c r="ID142" s="23"/>
      <c r="IE142" s="23"/>
      <c r="IF142" s="23"/>
      <c r="IG142" s="23"/>
      <c r="IH142" s="23"/>
      <c r="II142" s="23"/>
      <c r="IJ142" s="23"/>
      <c r="IK142" s="23"/>
      <c r="IL142" s="23"/>
      <c r="IM142" s="23"/>
      <c r="IN142" s="23"/>
      <c r="IO142" s="23"/>
      <c r="IP142" s="23"/>
      <c r="IQ142" s="23"/>
      <c r="IR142" s="23"/>
      <c r="IS142" s="23"/>
      <c r="IT142" s="23"/>
      <c r="IU142" s="23"/>
      <c r="IV142" s="23"/>
      <c r="IW142" s="23"/>
      <c r="IX142" s="23"/>
      <c r="IY142" s="23"/>
      <c r="IZ142" s="23"/>
      <c r="JA142" s="23"/>
      <c r="JB142" s="23"/>
      <c r="JC142" s="23"/>
      <c r="JD142" s="23"/>
      <c r="JE142" s="23"/>
      <c r="JF142" s="23"/>
      <c r="JG142" s="34"/>
      <c r="JH142" s="23"/>
      <c r="JI142" s="23"/>
      <c r="JJ142" s="23"/>
      <c r="JK142" s="23"/>
      <c r="JL142" s="23"/>
      <c r="JM142" s="23"/>
      <c r="JN142" s="23"/>
      <c r="JO142" s="23"/>
      <c r="JP142" s="23"/>
      <c r="JQ142" s="23"/>
      <c r="JR142" s="23"/>
      <c r="JS142" s="23"/>
      <c r="JT142" s="23"/>
      <c r="JU142" s="23"/>
      <c r="JV142" s="23"/>
      <c r="JW142" s="23"/>
      <c r="JX142" s="23"/>
      <c r="JY142" s="23"/>
      <c r="JZ142" s="23"/>
      <c r="KA142" s="23"/>
      <c r="KB142" s="34"/>
    </row>
    <row r="143" spans="2:288" ht="15" customHeight="1" x14ac:dyDescent="0.35">
      <c r="B143" s="146" t="str">
        <f t="shared" si="15"/>
        <v>Desk 30</v>
      </c>
      <c r="C143" s="148" t="str">
        <v/>
      </c>
      <c r="D143" s="148" t="str">
        <v/>
      </c>
      <c r="E143" s="148" t="str">
        <v/>
      </c>
      <c r="F143" s="148" t="str">
        <v/>
      </c>
      <c r="G143" s="268" t="str">
        <v/>
      </c>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34"/>
      <c r="DX143" s="23"/>
      <c r="DY143" s="23"/>
      <c r="DZ143" s="23"/>
      <c r="EA143" s="23"/>
      <c r="EB143" s="23"/>
      <c r="EC143" s="23"/>
      <c r="ED143" s="23"/>
      <c r="EE143" s="23"/>
      <c r="EF143" s="23"/>
      <c r="EG143" s="23"/>
      <c r="EH143" s="23"/>
      <c r="EI143" s="23"/>
      <c r="EJ143" s="23"/>
      <c r="EK143" s="23"/>
      <c r="EL143" s="23"/>
      <c r="EM143" s="23"/>
      <c r="EN143" s="23"/>
      <c r="EO143" s="23"/>
      <c r="EP143" s="23"/>
      <c r="EQ143" s="23"/>
      <c r="ER143" s="34"/>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c r="HO143" s="23"/>
      <c r="HP143" s="23"/>
      <c r="HQ143" s="23"/>
      <c r="HR143" s="23"/>
      <c r="HS143" s="23"/>
      <c r="HT143" s="23"/>
      <c r="HU143" s="23"/>
      <c r="HV143" s="23"/>
      <c r="HW143" s="23"/>
      <c r="HX143" s="23"/>
      <c r="HY143" s="23"/>
      <c r="HZ143" s="23"/>
      <c r="IA143" s="23"/>
      <c r="IB143" s="23"/>
      <c r="IC143" s="23"/>
      <c r="ID143" s="23"/>
      <c r="IE143" s="23"/>
      <c r="IF143" s="23"/>
      <c r="IG143" s="23"/>
      <c r="IH143" s="23"/>
      <c r="II143" s="23"/>
      <c r="IJ143" s="23"/>
      <c r="IK143" s="23"/>
      <c r="IL143" s="23"/>
      <c r="IM143" s="23"/>
      <c r="IN143" s="23"/>
      <c r="IO143" s="23"/>
      <c r="IP143" s="23"/>
      <c r="IQ143" s="23"/>
      <c r="IR143" s="23"/>
      <c r="IS143" s="23"/>
      <c r="IT143" s="23"/>
      <c r="IU143" s="23"/>
      <c r="IV143" s="23"/>
      <c r="IW143" s="23"/>
      <c r="IX143" s="23"/>
      <c r="IY143" s="23"/>
      <c r="IZ143" s="23"/>
      <c r="JA143" s="23"/>
      <c r="JB143" s="23"/>
      <c r="JC143" s="23"/>
      <c r="JD143" s="23"/>
      <c r="JE143" s="23"/>
      <c r="JF143" s="23"/>
      <c r="JG143" s="34"/>
      <c r="JH143" s="23"/>
      <c r="JI143" s="23"/>
      <c r="JJ143" s="23"/>
      <c r="JK143" s="23"/>
      <c r="JL143" s="23"/>
      <c r="JM143" s="23"/>
      <c r="JN143" s="23"/>
      <c r="JO143" s="23"/>
      <c r="JP143" s="23"/>
      <c r="JQ143" s="23"/>
      <c r="JR143" s="23"/>
      <c r="JS143" s="23"/>
      <c r="JT143" s="23"/>
      <c r="JU143" s="23"/>
      <c r="JV143" s="23"/>
      <c r="JW143" s="23"/>
      <c r="JX143" s="23"/>
      <c r="JY143" s="23"/>
      <c r="JZ143" s="23"/>
      <c r="KA143" s="23"/>
      <c r="KB143" s="34"/>
    </row>
    <row r="144" spans="2:288" ht="15" customHeight="1" x14ac:dyDescent="0.35">
      <c r="B144" s="146" t="str">
        <f t="shared" si="15"/>
        <v>Desk 31</v>
      </c>
      <c r="C144" s="148" t="str">
        <v/>
      </c>
      <c r="D144" s="148" t="str">
        <v/>
      </c>
      <c r="E144" s="148" t="str">
        <v/>
      </c>
      <c r="F144" s="148" t="str">
        <v/>
      </c>
      <c r="G144" s="268" t="str">
        <v/>
      </c>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34"/>
      <c r="DX144" s="23"/>
      <c r="DY144" s="23"/>
      <c r="DZ144" s="23"/>
      <c r="EA144" s="23"/>
      <c r="EB144" s="23"/>
      <c r="EC144" s="23"/>
      <c r="ED144" s="23"/>
      <c r="EE144" s="23"/>
      <c r="EF144" s="23"/>
      <c r="EG144" s="23"/>
      <c r="EH144" s="23"/>
      <c r="EI144" s="23"/>
      <c r="EJ144" s="23"/>
      <c r="EK144" s="23"/>
      <c r="EL144" s="23"/>
      <c r="EM144" s="23"/>
      <c r="EN144" s="23"/>
      <c r="EO144" s="23"/>
      <c r="EP144" s="23"/>
      <c r="EQ144" s="23"/>
      <c r="ER144" s="34"/>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c r="HB144" s="23"/>
      <c r="HC144" s="23"/>
      <c r="HD144" s="23"/>
      <c r="HE144" s="23"/>
      <c r="HF144" s="23"/>
      <c r="HG144" s="23"/>
      <c r="HH144" s="23"/>
      <c r="HI144" s="23"/>
      <c r="HJ144" s="23"/>
      <c r="HK144" s="23"/>
      <c r="HL144" s="23"/>
      <c r="HM144" s="23"/>
      <c r="HN144" s="23"/>
      <c r="HO144" s="23"/>
      <c r="HP144" s="23"/>
      <c r="HQ144" s="23"/>
      <c r="HR144" s="23"/>
      <c r="HS144" s="23"/>
      <c r="HT144" s="23"/>
      <c r="HU144" s="23"/>
      <c r="HV144" s="23"/>
      <c r="HW144" s="23"/>
      <c r="HX144" s="23"/>
      <c r="HY144" s="23"/>
      <c r="HZ144" s="23"/>
      <c r="IA144" s="23"/>
      <c r="IB144" s="23"/>
      <c r="IC144" s="23"/>
      <c r="ID144" s="23"/>
      <c r="IE144" s="23"/>
      <c r="IF144" s="23"/>
      <c r="IG144" s="23"/>
      <c r="IH144" s="23"/>
      <c r="II144" s="23"/>
      <c r="IJ144" s="23"/>
      <c r="IK144" s="23"/>
      <c r="IL144" s="23"/>
      <c r="IM144" s="23"/>
      <c r="IN144" s="23"/>
      <c r="IO144" s="23"/>
      <c r="IP144" s="23"/>
      <c r="IQ144" s="23"/>
      <c r="IR144" s="23"/>
      <c r="IS144" s="23"/>
      <c r="IT144" s="23"/>
      <c r="IU144" s="23"/>
      <c r="IV144" s="23"/>
      <c r="IW144" s="23"/>
      <c r="IX144" s="23"/>
      <c r="IY144" s="23"/>
      <c r="IZ144" s="23"/>
      <c r="JA144" s="23"/>
      <c r="JB144" s="23"/>
      <c r="JC144" s="23"/>
      <c r="JD144" s="23"/>
      <c r="JE144" s="23"/>
      <c r="JF144" s="23"/>
      <c r="JG144" s="34"/>
      <c r="JH144" s="23"/>
      <c r="JI144" s="23"/>
      <c r="JJ144" s="23"/>
      <c r="JK144" s="23"/>
      <c r="JL144" s="23"/>
      <c r="JM144" s="23"/>
      <c r="JN144" s="23"/>
      <c r="JO144" s="23"/>
      <c r="JP144" s="23"/>
      <c r="JQ144" s="23"/>
      <c r="JR144" s="23"/>
      <c r="JS144" s="23"/>
      <c r="JT144" s="23"/>
      <c r="JU144" s="23"/>
      <c r="JV144" s="23"/>
      <c r="JW144" s="23"/>
      <c r="JX144" s="23"/>
      <c r="JY144" s="23"/>
      <c r="JZ144" s="23"/>
      <c r="KA144" s="23"/>
      <c r="KB144" s="34"/>
    </row>
    <row r="145" spans="2:288" ht="15" customHeight="1" x14ac:dyDescent="0.35">
      <c r="B145" s="146" t="str">
        <f t="shared" si="15"/>
        <v>Desk 32</v>
      </c>
      <c r="C145" s="148" t="str">
        <v/>
      </c>
      <c r="D145" s="148" t="str">
        <v/>
      </c>
      <c r="E145" s="148" t="str">
        <v/>
      </c>
      <c r="F145" s="148" t="str">
        <v/>
      </c>
      <c r="G145" s="268" t="str">
        <v/>
      </c>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34"/>
      <c r="DX145" s="23"/>
      <c r="DY145" s="23"/>
      <c r="DZ145" s="23"/>
      <c r="EA145" s="23"/>
      <c r="EB145" s="23"/>
      <c r="EC145" s="23"/>
      <c r="ED145" s="23"/>
      <c r="EE145" s="23"/>
      <c r="EF145" s="23"/>
      <c r="EG145" s="23"/>
      <c r="EH145" s="23"/>
      <c r="EI145" s="23"/>
      <c r="EJ145" s="23"/>
      <c r="EK145" s="23"/>
      <c r="EL145" s="23"/>
      <c r="EM145" s="23"/>
      <c r="EN145" s="23"/>
      <c r="EO145" s="23"/>
      <c r="EP145" s="23"/>
      <c r="EQ145" s="23"/>
      <c r="ER145" s="34"/>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c r="HB145" s="23"/>
      <c r="HC145" s="23"/>
      <c r="HD145" s="23"/>
      <c r="HE145" s="23"/>
      <c r="HF145" s="23"/>
      <c r="HG145" s="23"/>
      <c r="HH145" s="23"/>
      <c r="HI145" s="23"/>
      <c r="HJ145" s="23"/>
      <c r="HK145" s="23"/>
      <c r="HL145" s="23"/>
      <c r="HM145" s="23"/>
      <c r="HN145" s="23"/>
      <c r="HO145" s="23"/>
      <c r="HP145" s="23"/>
      <c r="HQ145" s="23"/>
      <c r="HR145" s="23"/>
      <c r="HS145" s="23"/>
      <c r="HT145" s="23"/>
      <c r="HU145" s="23"/>
      <c r="HV145" s="23"/>
      <c r="HW145" s="23"/>
      <c r="HX145" s="23"/>
      <c r="HY145" s="23"/>
      <c r="HZ145" s="23"/>
      <c r="IA145" s="23"/>
      <c r="IB145" s="23"/>
      <c r="IC145" s="23"/>
      <c r="ID145" s="23"/>
      <c r="IE145" s="23"/>
      <c r="IF145" s="23"/>
      <c r="IG145" s="23"/>
      <c r="IH145" s="23"/>
      <c r="II145" s="23"/>
      <c r="IJ145" s="23"/>
      <c r="IK145" s="23"/>
      <c r="IL145" s="23"/>
      <c r="IM145" s="23"/>
      <c r="IN145" s="23"/>
      <c r="IO145" s="23"/>
      <c r="IP145" s="23"/>
      <c r="IQ145" s="23"/>
      <c r="IR145" s="23"/>
      <c r="IS145" s="23"/>
      <c r="IT145" s="23"/>
      <c r="IU145" s="23"/>
      <c r="IV145" s="23"/>
      <c r="IW145" s="23"/>
      <c r="IX145" s="23"/>
      <c r="IY145" s="23"/>
      <c r="IZ145" s="23"/>
      <c r="JA145" s="23"/>
      <c r="JB145" s="23"/>
      <c r="JC145" s="23"/>
      <c r="JD145" s="23"/>
      <c r="JE145" s="23"/>
      <c r="JF145" s="23"/>
      <c r="JG145" s="34"/>
      <c r="JH145" s="23"/>
      <c r="JI145" s="23"/>
      <c r="JJ145" s="23"/>
      <c r="JK145" s="23"/>
      <c r="JL145" s="23"/>
      <c r="JM145" s="23"/>
      <c r="JN145" s="23"/>
      <c r="JO145" s="23"/>
      <c r="JP145" s="23"/>
      <c r="JQ145" s="23"/>
      <c r="JR145" s="23"/>
      <c r="JS145" s="23"/>
      <c r="JT145" s="23"/>
      <c r="JU145" s="23"/>
      <c r="JV145" s="23"/>
      <c r="JW145" s="23"/>
      <c r="JX145" s="23"/>
      <c r="JY145" s="23"/>
      <c r="JZ145" s="23"/>
      <c r="KA145" s="23"/>
      <c r="KB145" s="34"/>
    </row>
    <row r="146" spans="2:288" ht="15" customHeight="1" x14ac:dyDescent="0.35">
      <c r="B146" s="146" t="str">
        <f t="shared" si="15"/>
        <v>Desk 33</v>
      </c>
      <c r="C146" s="148" t="str">
        <v/>
      </c>
      <c r="D146" s="148" t="str">
        <v/>
      </c>
      <c r="E146" s="148" t="str">
        <v/>
      </c>
      <c r="F146" s="148" t="str">
        <v/>
      </c>
      <c r="G146" s="268" t="str">
        <v/>
      </c>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34"/>
      <c r="DX146" s="23"/>
      <c r="DY146" s="23"/>
      <c r="DZ146" s="23"/>
      <c r="EA146" s="23"/>
      <c r="EB146" s="23"/>
      <c r="EC146" s="23"/>
      <c r="ED146" s="23"/>
      <c r="EE146" s="23"/>
      <c r="EF146" s="23"/>
      <c r="EG146" s="23"/>
      <c r="EH146" s="23"/>
      <c r="EI146" s="23"/>
      <c r="EJ146" s="23"/>
      <c r="EK146" s="23"/>
      <c r="EL146" s="23"/>
      <c r="EM146" s="23"/>
      <c r="EN146" s="23"/>
      <c r="EO146" s="23"/>
      <c r="EP146" s="23"/>
      <c r="EQ146" s="23"/>
      <c r="ER146" s="34"/>
      <c r="ES146" s="23"/>
      <c r="ET146" s="23"/>
      <c r="EU146" s="23"/>
      <c r="EV146" s="23"/>
      <c r="EW146" s="23"/>
      <c r="EX146" s="23"/>
      <c r="EY146" s="23"/>
      <c r="EZ146" s="23"/>
      <c r="FA146" s="23"/>
      <c r="FB146" s="23"/>
      <c r="FC146" s="23"/>
      <c r="FD146" s="23"/>
      <c r="FE146" s="23"/>
      <c r="FF146" s="23"/>
      <c r="FG146" s="23"/>
      <c r="FH146" s="23"/>
      <c r="FI146" s="23"/>
      <c r="FJ146" s="23"/>
      <c r="FK146" s="23"/>
      <c r="FL146" s="23"/>
      <c r="FM146" s="23"/>
      <c r="FN146" s="23"/>
      <c r="FO146" s="23"/>
      <c r="FP146" s="23"/>
      <c r="FQ146" s="23"/>
      <c r="FR146" s="23"/>
      <c r="FS146" s="23"/>
      <c r="FT146" s="23"/>
      <c r="FU146" s="23"/>
      <c r="FV146" s="23"/>
      <c r="FW146" s="23"/>
      <c r="FX146" s="23"/>
      <c r="FY146" s="23"/>
      <c r="FZ146" s="23"/>
      <c r="GA146" s="23"/>
      <c r="GB146" s="23"/>
      <c r="GC146" s="23"/>
      <c r="GD146" s="23"/>
      <c r="GE146" s="23"/>
      <c r="GF146" s="23"/>
      <c r="GG146" s="23"/>
      <c r="GH146" s="23"/>
      <c r="GI146" s="23"/>
      <c r="GJ146" s="23"/>
      <c r="GK146" s="23"/>
      <c r="GL146" s="23"/>
      <c r="GM146" s="23"/>
      <c r="GN146" s="23"/>
      <c r="GO146" s="23"/>
      <c r="GP146" s="23"/>
      <c r="GQ146" s="23"/>
      <c r="GR146" s="23"/>
      <c r="GS146" s="23"/>
      <c r="GT146" s="23"/>
      <c r="GU146" s="23"/>
      <c r="GV146" s="23"/>
      <c r="GW146" s="23"/>
      <c r="GX146" s="23"/>
      <c r="GY146" s="23"/>
      <c r="GZ146" s="23"/>
      <c r="HA146" s="23"/>
      <c r="HB146" s="23"/>
      <c r="HC146" s="23"/>
      <c r="HD146" s="23"/>
      <c r="HE146" s="23"/>
      <c r="HF146" s="23"/>
      <c r="HG146" s="23"/>
      <c r="HH146" s="23"/>
      <c r="HI146" s="23"/>
      <c r="HJ146" s="23"/>
      <c r="HK146" s="23"/>
      <c r="HL146" s="23"/>
      <c r="HM146" s="23"/>
      <c r="HN146" s="23"/>
      <c r="HO146" s="23"/>
      <c r="HP146" s="23"/>
      <c r="HQ146" s="23"/>
      <c r="HR146" s="23"/>
      <c r="HS146" s="23"/>
      <c r="HT146" s="23"/>
      <c r="HU146" s="23"/>
      <c r="HV146" s="23"/>
      <c r="HW146" s="23"/>
      <c r="HX146" s="23"/>
      <c r="HY146" s="23"/>
      <c r="HZ146" s="23"/>
      <c r="IA146" s="23"/>
      <c r="IB146" s="23"/>
      <c r="IC146" s="23"/>
      <c r="ID146" s="23"/>
      <c r="IE146" s="23"/>
      <c r="IF146" s="23"/>
      <c r="IG146" s="23"/>
      <c r="IH146" s="23"/>
      <c r="II146" s="23"/>
      <c r="IJ146" s="23"/>
      <c r="IK146" s="23"/>
      <c r="IL146" s="23"/>
      <c r="IM146" s="23"/>
      <c r="IN146" s="23"/>
      <c r="IO146" s="23"/>
      <c r="IP146" s="23"/>
      <c r="IQ146" s="23"/>
      <c r="IR146" s="23"/>
      <c r="IS146" s="23"/>
      <c r="IT146" s="23"/>
      <c r="IU146" s="23"/>
      <c r="IV146" s="23"/>
      <c r="IW146" s="23"/>
      <c r="IX146" s="23"/>
      <c r="IY146" s="23"/>
      <c r="IZ146" s="23"/>
      <c r="JA146" s="23"/>
      <c r="JB146" s="23"/>
      <c r="JC146" s="23"/>
      <c r="JD146" s="23"/>
      <c r="JE146" s="23"/>
      <c r="JF146" s="23"/>
      <c r="JG146" s="34"/>
      <c r="JH146" s="23"/>
      <c r="JI146" s="23"/>
      <c r="JJ146" s="23"/>
      <c r="JK146" s="23"/>
      <c r="JL146" s="23"/>
      <c r="JM146" s="23"/>
      <c r="JN146" s="23"/>
      <c r="JO146" s="23"/>
      <c r="JP146" s="23"/>
      <c r="JQ146" s="23"/>
      <c r="JR146" s="23"/>
      <c r="JS146" s="23"/>
      <c r="JT146" s="23"/>
      <c r="JU146" s="23"/>
      <c r="JV146" s="23"/>
      <c r="JW146" s="23"/>
      <c r="JX146" s="23"/>
      <c r="JY146" s="23"/>
      <c r="JZ146" s="23"/>
      <c r="KA146" s="23"/>
      <c r="KB146" s="34"/>
    </row>
    <row r="147" spans="2:288" ht="15" customHeight="1" x14ac:dyDescent="0.35">
      <c r="B147" s="146" t="str">
        <f t="shared" si="15"/>
        <v>Desk 34</v>
      </c>
      <c r="C147" s="148" t="str">
        <v/>
      </c>
      <c r="D147" s="148" t="str">
        <v/>
      </c>
      <c r="E147" s="148" t="str">
        <v/>
      </c>
      <c r="F147" s="148" t="str">
        <v/>
      </c>
      <c r="G147" s="268" t="str">
        <v/>
      </c>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34"/>
      <c r="DX147" s="23"/>
      <c r="DY147" s="23"/>
      <c r="DZ147" s="23"/>
      <c r="EA147" s="23"/>
      <c r="EB147" s="23"/>
      <c r="EC147" s="23"/>
      <c r="ED147" s="23"/>
      <c r="EE147" s="23"/>
      <c r="EF147" s="23"/>
      <c r="EG147" s="23"/>
      <c r="EH147" s="23"/>
      <c r="EI147" s="23"/>
      <c r="EJ147" s="23"/>
      <c r="EK147" s="23"/>
      <c r="EL147" s="23"/>
      <c r="EM147" s="23"/>
      <c r="EN147" s="23"/>
      <c r="EO147" s="23"/>
      <c r="EP147" s="23"/>
      <c r="EQ147" s="23"/>
      <c r="ER147" s="34"/>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c r="HT147" s="23"/>
      <c r="HU147" s="23"/>
      <c r="HV147" s="23"/>
      <c r="HW147" s="23"/>
      <c r="HX147" s="23"/>
      <c r="HY147" s="23"/>
      <c r="HZ147" s="23"/>
      <c r="IA147" s="23"/>
      <c r="IB147" s="23"/>
      <c r="IC147" s="23"/>
      <c r="ID147" s="23"/>
      <c r="IE147" s="23"/>
      <c r="IF147" s="23"/>
      <c r="IG147" s="23"/>
      <c r="IH147" s="23"/>
      <c r="II147" s="23"/>
      <c r="IJ147" s="23"/>
      <c r="IK147" s="23"/>
      <c r="IL147" s="23"/>
      <c r="IM147" s="23"/>
      <c r="IN147" s="23"/>
      <c r="IO147" s="23"/>
      <c r="IP147" s="23"/>
      <c r="IQ147" s="23"/>
      <c r="IR147" s="23"/>
      <c r="IS147" s="23"/>
      <c r="IT147" s="23"/>
      <c r="IU147" s="23"/>
      <c r="IV147" s="23"/>
      <c r="IW147" s="23"/>
      <c r="IX147" s="23"/>
      <c r="IY147" s="23"/>
      <c r="IZ147" s="23"/>
      <c r="JA147" s="23"/>
      <c r="JB147" s="23"/>
      <c r="JC147" s="23"/>
      <c r="JD147" s="23"/>
      <c r="JE147" s="23"/>
      <c r="JF147" s="23"/>
      <c r="JG147" s="34"/>
      <c r="JH147" s="23"/>
      <c r="JI147" s="23"/>
      <c r="JJ147" s="23"/>
      <c r="JK147" s="23"/>
      <c r="JL147" s="23"/>
      <c r="JM147" s="23"/>
      <c r="JN147" s="23"/>
      <c r="JO147" s="23"/>
      <c r="JP147" s="23"/>
      <c r="JQ147" s="23"/>
      <c r="JR147" s="23"/>
      <c r="JS147" s="23"/>
      <c r="JT147" s="23"/>
      <c r="JU147" s="23"/>
      <c r="JV147" s="23"/>
      <c r="JW147" s="23"/>
      <c r="JX147" s="23"/>
      <c r="JY147" s="23"/>
      <c r="JZ147" s="23"/>
      <c r="KA147" s="23"/>
      <c r="KB147" s="34"/>
    </row>
    <row r="148" spans="2:288" ht="15" customHeight="1" x14ac:dyDescent="0.35">
      <c r="B148" s="146" t="str">
        <f t="shared" si="15"/>
        <v>Desk 35</v>
      </c>
      <c r="C148" s="148" t="str">
        <v/>
      </c>
      <c r="D148" s="148" t="str">
        <v/>
      </c>
      <c r="E148" s="148" t="str">
        <v/>
      </c>
      <c r="F148" s="148" t="str">
        <v/>
      </c>
      <c r="G148" s="268" t="str">
        <v/>
      </c>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34"/>
      <c r="DX148" s="23"/>
      <c r="DY148" s="23"/>
      <c r="DZ148" s="23"/>
      <c r="EA148" s="23"/>
      <c r="EB148" s="23"/>
      <c r="EC148" s="23"/>
      <c r="ED148" s="23"/>
      <c r="EE148" s="23"/>
      <c r="EF148" s="23"/>
      <c r="EG148" s="23"/>
      <c r="EH148" s="23"/>
      <c r="EI148" s="23"/>
      <c r="EJ148" s="23"/>
      <c r="EK148" s="23"/>
      <c r="EL148" s="23"/>
      <c r="EM148" s="23"/>
      <c r="EN148" s="23"/>
      <c r="EO148" s="23"/>
      <c r="EP148" s="23"/>
      <c r="EQ148" s="23"/>
      <c r="ER148" s="34"/>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c r="HT148" s="23"/>
      <c r="HU148" s="23"/>
      <c r="HV148" s="23"/>
      <c r="HW148" s="23"/>
      <c r="HX148" s="23"/>
      <c r="HY148" s="23"/>
      <c r="HZ148" s="23"/>
      <c r="IA148" s="23"/>
      <c r="IB148" s="23"/>
      <c r="IC148" s="23"/>
      <c r="ID148" s="23"/>
      <c r="IE148" s="23"/>
      <c r="IF148" s="23"/>
      <c r="IG148" s="23"/>
      <c r="IH148" s="23"/>
      <c r="II148" s="23"/>
      <c r="IJ148" s="23"/>
      <c r="IK148" s="23"/>
      <c r="IL148" s="23"/>
      <c r="IM148" s="23"/>
      <c r="IN148" s="23"/>
      <c r="IO148" s="23"/>
      <c r="IP148" s="23"/>
      <c r="IQ148" s="23"/>
      <c r="IR148" s="23"/>
      <c r="IS148" s="23"/>
      <c r="IT148" s="23"/>
      <c r="IU148" s="23"/>
      <c r="IV148" s="23"/>
      <c r="IW148" s="23"/>
      <c r="IX148" s="23"/>
      <c r="IY148" s="23"/>
      <c r="IZ148" s="23"/>
      <c r="JA148" s="23"/>
      <c r="JB148" s="23"/>
      <c r="JC148" s="23"/>
      <c r="JD148" s="23"/>
      <c r="JE148" s="23"/>
      <c r="JF148" s="23"/>
      <c r="JG148" s="34"/>
      <c r="JH148" s="23"/>
      <c r="JI148" s="23"/>
      <c r="JJ148" s="23"/>
      <c r="JK148" s="23"/>
      <c r="JL148" s="23"/>
      <c r="JM148" s="23"/>
      <c r="JN148" s="23"/>
      <c r="JO148" s="23"/>
      <c r="JP148" s="23"/>
      <c r="JQ148" s="23"/>
      <c r="JR148" s="23"/>
      <c r="JS148" s="23"/>
      <c r="JT148" s="23"/>
      <c r="JU148" s="23"/>
      <c r="JV148" s="23"/>
      <c r="JW148" s="23"/>
      <c r="JX148" s="23"/>
      <c r="JY148" s="23"/>
      <c r="JZ148" s="23"/>
      <c r="KA148" s="23"/>
      <c r="KB148" s="34"/>
    </row>
    <row r="149" spans="2:288" ht="15" customHeight="1" x14ac:dyDescent="0.35">
      <c r="B149" s="146" t="str">
        <f t="shared" si="15"/>
        <v>Desk 36</v>
      </c>
      <c r="C149" s="148" t="str">
        <v/>
      </c>
      <c r="D149" s="148" t="str">
        <v/>
      </c>
      <c r="E149" s="148" t="str">
        <v/>
      </c>
      <c r="F149" s="148" t="str">
        <v/>
      </c>
      <c r="G149" s="268" t="str">
        <v/>
      </c>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34"/>
      <c r="DX149" s="23"/>
      <c r="DY149" s="23"/>
      <c r="DZ149" s="23"/>
      <c r="EA149" s="23"/>
      <c r="EB149" s="23"/>
      <c r="EC149" s="23"/>
      <c r="ED149" s="23"/>
      <c r="EE149" s="23"/>
      <c r="EF149" s="23"/>
      <c r="EG149" s="23"/>
      <c r="EH149" s="23"/>
      <c r="EI149" s="23"/>
      <c r="EJ149" s="23"/>
      <c r="EK149" s="23"/>
      <c r="EL149" s="23"/>
      <c r="EM149" s="23"/>
      <c r="EN149" s="23"/>
      <c r="EO149" s="23"/>
      <c r="EP149" s="23"/>
      <c r="EQ149" s="23"/>
      <c r="ER149" s="34"/>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c r="HT149" s="23"/>
      <c r="HU149" s="23"/>
      <c r="HV149" s="23"/>
      <c r="HW149" s="23"/>
      <c r="HX149" s="23"/>
      <c r="HY149" s="23"/>
      <c r="HZ149" s="23"/>
      <c r="IA149" s="23"/>
      <c r="IB149" s="23"/>
      <c r="IC149" s="23"/>
      <c r="ID149" s="23"/>
      <c r="IE149" s="23"/>
      <c r="IF149" s="23"/>
      <c r="IG149" s="23"/>
      <c r="IH149" s="23"/>
      <c r="II149" s="23"/>
      <c r="IJ149" s="23"/>
      <c r="IK149" s="23"/>
      <c r="IL149" s="23"/>
      <c r="IM149" s="23"/>
      <c r="IN149" s="23"/>
      <c r="IO149" s="23"/>
      <c r="IP149" s="23"/>
      <c r="IQ149" s="23"/>
      <c r="IR149" s="23"/>
      <c r="IS149" s="23"/>
      <c r="IT149" s="23"/>
      <c r="IU149" s="23"/>
      <c r="IV149" s="23"/>
      <c r="IW149" s="23"/>
      <c r="IX149" s="23"/>
      <c r="IY149" s="23"/>
      <c r="IZ149" s="23"/>
      <c r="JA149" s="23"/>
      <c r="JB149" s="23"/>
      <c r="JC149" s="23"/>
      <c r="JD149" s="23"/>
      <c r="JE149" s="23"/>
      <c r="JF149" s="23"/>
      <c r="JG149" s="34"/>
      <c r="JH149" s="23"/>
      <c r="JI149" s="23"/>
      <c r="JJ149" s="23"/>
      <c r="JK149" s="23"/>
      <c r="JL149" s="23"/>
      <c r="JM149" s="23"/>
      <c r="JN149" s="23"/>
      <c r="JO149" s="23"/>
      <c r="JP149" s="23"/>
      <c r="JQ149" s="23"/>
      <c r="JR149" s="23"/>
      <c r="JS149" s="23"/>
      <c r="JT149" s="23"/>
      <c r="JU149" s="23"/>
      <c r="JV149" s="23"/>
      <c r="JW149" s="23"/>
      <c r="JX149" s="23"/>
      <c r="JY149" s="23"/>
      <c r="JZ149" s="23"/>
      <c r="KA149" s="23"/>
      <c r="KB149" s="34"/>
    </row>
    <row r="150" spans="2:288" ht="15" customHeight="1" x14ac:dyDescent="0.35">
      <c r="B150" s="146" t="str">
        <f t="shared" si="15"/>
        <v>Desk 37</v>
      </c>
      <c r="C150" s="148" t="str">
        <v/>
      </c>
      <c r="D150" s="148" t="str">
        <v/>
      </c>
      <c r="E150" s="148" t="str">
        <v/>
      </c>
      <c r="F150" s="148" t="str">
        <v/>
      </c>
      <c r="G150" s="268" t="str">
        <v/>
      </c>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34"/>
      <c r="DX150" s="23"/>
      <c r="DY150" s="23"/>
      <c r="DZ150" s="23"/>
      <c r="EA150" s="23"/>
      <c r="EB150" s="23"/>
      <c r="EC150" s="23"/>
      <c r="ED150" s="23"/>
      <c r="EE150" s="23"/>
      <c r="EF150" s="23"/>
      <c r="EG150" s="23"/>
      <c r="EH150" s="23"/>
      <c r="EI150" s="23"/>
      <c r="EJ150" s="23"/>
      <c r="EK150" s="23"/>
      <c r="EL150" s="23"/>
      <c r="EM150" s="23"/>
      <c r="EN150" s="23"/>
      <c r="EO150" s="23"/>
      <c r="EP150" s="23"/>
      <c r="EQ150" s="23"/>
      <c r="ER150" s="34"/>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c r="HT150" s="23"/>
      <c r="HU150" s="23"/>
      <c r="HV150" s="23"/>
      <c r="HW150" s="23"/>
      <c r="HX150" s="23"/>
      <c r="HY150" s="23"/>
      <c r="HZ150" s="23"/>
      <c r="IA150" s="23"/>
      <c r="IB150" s="23"/>
      <c r="IC150" s="23"/>
      <c r="ID150" s="23"/>
      <c r="IE150" s="23"/>
      <c r="IF150" s="23"/>
      <c r="IG150" s="23"/>
      <c r="IH150" s="23"/>
      <c r="II150" s="23"/>
      <c r="IJ150" s="23"/>
      <c r="IK150" s="23"/>
      <c r="IL150" s="23"/>
      <c r="IM150" s="23"/>
      <c r="IN150" s="23"/>
      <c r="IO150" s="23"/>
      <c r="IP150" s="23"/>
      <c r="IQ150" s="23"/>
      <c r="IR150" s="23"/>
      <c r="IS150" s="23"/>
      <c r="IT150" s="23"/>
      <c r="IU150" s="23"/>
      <c r="IV150" s="23"/>
      <c r="IW150" s="23"/>
      <c r="IX150" s="23"/>
      <c r="IY150" s="23"/>
      <c r="IZ150" s="23"/>
      <c r="JA150" s="23"/>
      <c r="JB150" s="23"/>
      <c r="JC150" s="23"/>
      <c r="JD150" s="23"/>
      <c r="JE150" s="23"/>
      <c r="JF150" s="23"/>
      <c r="JG150" s="34"/>
      <c r="JH150" s="23"/>
      <c r="JI150" s="23"/>
      <c r="JJ150" s="23"/>
      <c r="JK150" s="23"/>
      <c r="JL150" s="23"/>
      <c r="JM150" s="23"/>
      <c r="JN150" s="23"/>
      <c r="JO150" s="23"/>
      <c r="JP150" s="23"/>
      <c r="JQ150" s="23"/>
      <c r="JR150" s="23"/>
      <c r="JS150" s="23"/>
      <c r="JT150" s="23"/>
      <c r="JU150" s="23"/>
      <c r="JV150" s="23"/>
      <c r="JW150" s="23"/>
      <c r="JX150" s="23"/>
      <c r="JY150" s="23"/>
      <c r="JZ150" s="23"/>
      <c r="KA150" s="23"/>
      <c r="KB150" s="34"/>
    </row>
    <row r="151" spans="2:288" ht="15" customHeight="1" x14ac:dyDescent="0.35">
      <c r="B151" s="146" t="str">
        <f t="shared" si="15"/>
        <v>Desk 38</v>
      </c>
      <c r="C151" s="148" t="str">
        <v/>
      </c>
      <c r="D151" s="148" t="str">
        <v/>
      </c>
      <c r="E151" s="148" t="str">
        <v/>
      </c>
      <c r="F151" s="148" t="str">
        <v/>
      </c>
      <c r="G151" s="268" t="str">
        <v/>
      </c>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34"/>
      <c r="DX151" s="23"/>
      <c r="DY151" s="23"/>
      <c r="DZ151" s="23"/>
      <c r="EA151" s="23"/>
      <c r="EB151" s="23"/>
      <c r="EC151" s="23"/>
      <c r="ED151" s="23"/>
      <c r="EE151" s="23"/>
      <c r="EF151" s="23"/>
      <c r="EG151" s="23"/>
      <c r="EH151" s="23"/>
      <c r="EI151" s="23"/>
      <c r="EJ151" s="23"/>
      <c r="EK151" s="23"/>
      <c r="EL151" s="23"/>
      <c r="EM151" s="23"/>
      <c r="EN151" s="23"/>
      <c r="EO151" s="23"/>
      <c r="EP151" s="23"/>
      <c r="EQ151" s="23"/>
      <c r="ER151" s="34"/>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c r="HO151" s="23"/>
      <c r="HP151" s="23"/>
      <c r="HQ151" s="23"/>
      <c r="HR151" s="23"/>
      <c r="HS151" s="23"/>
      <c r="HT151" s="23"/>
      <c r="HU151" s="23"/>
      <c r="HV151" s="23"/>
      <c r="HW151" s="23"/>
      <c r="HX151" s="23"/>
      <c r="HY151" s="23"/>
      <c r="HZ151" s="23"/>
      <c r="IA151" s="23"/>
      <c r="IB151" s="23"/>
      <c r="IC151" s="23"/>
      <c r="ID151" s="23"/>
      <c r="IE151" s="23"/>
      <c r="IF151" s="23"/>
      <c r="IG151" s="23"/>
      <c r="IH151" s="23"/>
      <c r="II151" s="23"/>
      <c r="IJ151" s="23"/>
      <c r="IK151" s="23"/>
      <c r="IL151" s="23"/>
      <c r="IM151" s="23"/>
      <c r="IN151" s="23"/>
      <c r="IO151" s="23"/>
      <c r="IP151" s="23"/>
      <c r="IQ151" s="23"/>
      <c r="IR151" s="23"/>
      <c r="IS151" s="23"/>
      <c r="IT151" s="23"/>
      <c r="IU151" s="23"/>
      <c r="IV151" s="23"/>
      <c r="IW151" s="23"/>
      <c r="IX151" s="23"/>
      <c r="IY151" s="23"/>
      <c r="IZ151" s="23"/>
      <c r="JA151" s="23"/>
      <c r="JB151" s="23"/>
      <c r="JC151" s="23"/>
      <c r="JD151" s="23"/>
      <c r="JE151" s="23"/>
      <c r="JF151" s="23"/>
      <c r="JG151" s="34"/>
      <c r="JH151" s="23"/>
      <c r="JI151" s="23"/>
      <c r="JJ151" s="23"/>
      <c r="JK151" s="23"/>
      <c r="JL151" s="23"/>
      <c r="JM151" s="23"/>
      <c r="JN151" s="23"/>
      <c r="JO151" s="23"/>
      <c r="JP151" s="23"/>
      <c r="JQ151" s="23"/>
      <c r="JR151" s="23"/>
      <c r="JS151" s="23"/>
      <c r="JT151" s="23"/>
      <c r="JU151" s="23"/>
      <c r="JV151" s="23"/>
      <c r="JW151" s="23"/>
      <c r="JX151" s="23"/>
      <c r="JY151" s="23"/>
      <c r="JZ151" s="23"/>
      <c r="KA151" s="23"/>
      <c r="KB151" s="34"/>
    </row>
    <row r="152" spans="2:288" ht="15" customHeight="1" x14ac:dyDescent="0.35">
      <c r="B152" s="146" t="str">
        <f t="shared" si="15"/>
        <v>Desk 39</v>
      </c>
      <c r="C152" s="148" t="str">
        <v/>
      </c>
      <c r="D152" s="148" t="str">
        <v/>
      </c>
      <c r="E152" s="148" t="str">
        <v/>
      </c>
      <c r="F152" s="148" t="str">
        <v/>
      </c>
      <c r="G152" s="268" t="str">
        <v/>
      </c>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34"/>
      <c r="DX152" s="23"/>
      <c r="DY152" s="23"/>
      <c r="DZ152" s="23"/>
      <c r="EA152" s="23"/>
      <c r="EB152" s="23"/>
      <c r="EC152" s="23"/>
      <c r="ED152" s="23"/>
      <c r="EE152" s="23"/>
      <c r="EF152" s="23"/>
      <c r="EG152" s="23"/>
      <c r="EH152" s="23"/>
      <c r="EI152" s="23"/>
      <c r="EJ152" s="23"/>
      <c r="EK152" s="23"/>
      <c r="EL152" s="23"/>
      <c r="EM152" s="23"/>
      <c r="EN152" s="23"/>
      <c r="EO152" s="23"/>
      <c r="EP152" s="23"/>
      <c r="EQ152" s="23"/>
      <c r="ER152" s="34"/>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c r="HT152" s="23"/>
      <c r="HU152" s="23"/>
      <c r="HV152" s="23"/>
      <c r="HW152" s="23"/>
      <c r="HX152" s="23"/>
      <c r="HY152" s="23"/>
      <c r="HZ152" s="23"/>
      <c r="IA152" s="23"/>
      <c r="IB152" s="23"/>
      <c r="IC152" s="23"/>
      <c r="ID152" s="23"/>
      <c r="IE152" s="23"/>
      <c r="IF152" s="23"/>
      <c r="IG152" s="23"/>
      <c r="IH152" s="23"/>
      <c r="II152" s="23"/>
      <c r="IJ152" s="23"/>
      <c r="IK152" s="23"/>
      <c r="IL152" s="23"/>
      <c r="IM152" s="23"/>
      <c r="IN152" s="23"/>
      <c r="IO152" s="23"/>
      <c r="IP152" s="23"/>
      <c r="IQ152" s="23"/>
      <c r="IR152" s="23"/>
      <c r="IS152" s="23"/>
      <c r="IT152" s="23"/>
      <c r="IU152" s="23"/>
      <c r="IV152" s="23"/>
      <c r="IW152" s="23"/>
      <c r="IX152" s="23"/>
      <c r="IY152" s="23"/>
      <c r="IZ152" s="23"/>
      <c r="JA152" s="23"/>
      <c r="JB152" s="23"/>
      <c r="JC152" s="23"/>
      <c r="JD152" s="23"/>
      <c r="JE152" s="23"/>
      <c r="JF152" s="23"/>
      <c r="JG152" s="34"/>
      <c r="JH152" s="23"/>
      <c r="JI152" s="23"/>
      <c r="JJ152" s="23"/>
      <c r="JK152" s="23"/>
      <c r="JL152" s="23"/>
      <c r="JM152" s="23"/>
      <c r="JN152" s="23"/>
      <c r="JO152" s="23"/>
      <c r="JP152" s="23"/>
      <c r="JQ152" s="23"/>
      <c r="JR152" s="23"/>
      <c r="JS152" s="23"/>
      <c r="JT152" s="23"/>
      <c r="JU152" s="23"/>
      <c r="JV152" s="23"/>
      <c r="JW152" s="23"/>
      <c r="JX152" s="23"/>
      <c r="JY152" s="23"/>
      <c r="JZ152" s="23"/>
      <c r="KA152" s="23"/>
      <c r="KB152" s="34"/>
    </row>
    <row r="153" spans="2:288" ht="15" customHeight="1" x14ac:dyDescent="0.35">
      <c r="B153" s="146" t="str">
        <f t="shared" si="15"/>
        <v>Desk 40</v>
      </c>
      <c r="C153" s="148" t="str">
        <v/>
      </c>
      <c r="D153" s="148" t="str">
        <v/>
      </c>
      <c r="E153" s="148" t="str">
        <v/>
      </c>
      <c r="F153" s="148" t="str">
        <v/>
      </c>
      <c r="G153" s="268" t="str">
        <v/>
      </c>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34"/>
      <c r="DX153" s="23"/>
      <c r="DY153" s="23"/>
      <c r="DZ153" s="23"/>
      <c r="EA153" s="23"/>
      <c r="EB153" s="23"/>
      <c r="EC153" s="23"/>
      <c r="ED153" s="23"/>
      <c r="EE153" s="23"/>
      <c r="EF153" s="23"/>
      <c r="EG153" s="23"/>
      <c r="EH153" s="23"/>
      <c r="EI153" s="23"/>
      <c r="EJ153" s="23"/>
      <c r="EK153" s="23"/>
      <c r="EL153" s="23"/>
      <c r="EM153" s="23"/>
      <c r="EN153" s="23"/>
      <c r="EO153" s="23"/>
      <c r="EP153" s="23"/>
      <c r="EQ153" s="23"/>
      <c r="ER153" s="34"/>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c r="HT153" s="23"/>
      <c r="HU153" s="23"/>
      <c r="HV153" s="23"/>
      <c r="HW153" s="23"/>
      <c r="HX153" s="23"/>
      <c r="HY153" s="23"/>
      <c r="HZ153" s="23"/>
      <c r="IA153" s="23"/>
      <c r="IB153" s="23"/>
      <c r="IC153" s="23"/>
      <c r="ID153" s="23"/>
      <c r="IE153" s="23"/>
      <c r="IF153" s="23"/>
      <c r="IG153" s="23"/>
      <c r="IH153" s="23"/>
      <c r="II153" s="23"/>
      <c r="IJ153" s="23"/>
      <c r="IK153" s="23"/>
      <c r="IL153" s="23"/>
      <c r="IM153" s="23"/>
      <c r="IN153" s="23"/>
      <c r="IO153" s="23"/>
      <c r="IP153" s="23"/>
      <c r="IQ153" s="23"/>
      <c r="IR153" s="23"/>
      <c r="IS153" s="23"/>
      <c r="IT153" s="23"/>
      <c r="IU153" s="23"/>
      <c r="IV153" s="23"/>
      <c r="IW153" s="23"/>
      <c r="IX153" s="23"/>
      <c r="IY153" s="23"/>
      <c r="IZ153" s="23"/>
      <c r="JA153" s="23"/>
      <c r="JB153" s="23"/>
      <c r="JC153" s="23"/>
      <c r="JD153" s="23"/>
      <c r="JE153" s="23"/>
      <c r="JF153" s="23"/>
      <c r="JG153" s="34"/>
      <c r="JH153" s="23"/>
      <c r="JI153" s="23"/>
      <c r="JJ153" s="23"/>
      <c r="JK153" s="23"/>
      <c r="JL153" s="23"/>
      <c r="JM153" s="23"/>
      <c r="JN153" s="23"/>
      <c r="JO153" s="23"/>
      <c r="JP153" s="23"/>
      <c r="JQ153" s="23"/>
      <c r="JR153" s="23"/>
      <c r="JS153" s="23"/>
      <c r="JT153" s="23"/>
      <c r="JU153" s="23"/>
      <c r="JV153" s="23"/>
      <c r="JW153" s="23"/>
      <c r="JX153" s="23"/>
      <c r="JY153" s="23"/>
      <c r="JZ153" s="23"/>
      <c r="KA153" s="23"/>
      <c r="KB153" s="34"/>
    </row>
    <row r="154" spans="2:288" ht="15" customHeight="1" x14ac:dyDescent="0.35">
      <c r="B154" s="146" t="str">
        <f t="shared" si="15"/>
        <v>Desk 41</v>
      </c>
      <c r="C154" s="148" t="str">
        <v/>
      </c>
      <c r="D154" s="148" t="str">
        <v/>
      </c>
      <c r="E154" s="148" t="str">
        <v/>
      </c>
      <c r="F154" s="148" t="str">
        <v/>
      </c>
      <c r="G154" s="268" t="str">
        <v/>
      </c>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34"/>
      <c r="DX154" s="23"/>
      <c r="DY154" s="23"/>
      <c r="DZ154" s="23"/>
      <c r="EA154" s="23"/>
      <c r="EB154" s="23"/>
      <c r="EC154" s="23"/>
      <c r="ED154" s="23"/>
      <c r="EE154" s="23"/>
      <c r="EF154" s="23"/>
      <c r="EG154" s="23"/>
      <c r="EH154" s="23"/>
      <c r="EI154" s="23"/>
      <c r="EJ154" s="23"/>
      <c r="EK154" s="23"/>
      <c r="EL154" s="23"/>
      <c r="EM154" s="23"/>
      <c r="EN154" s="23"/>
      <c r="EO154" s="23"/>
      <c r="EP154" s="23"/>
      <c r="EQ154" s="23"/>
      <c r="ER154" s="34"/>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c r="HT154" s="23"/>
      <c r="HU154" s="23"/>
      <c r="HV154" s="23"/>
      <c r="HW154" s="23"/>
      <c r="HX154" s="23"/>
      <c r="HY154" s="23"/>
      <c r="HZ154" s="23"/>
      <c r="IA154" s="23"/>
      <c r="IB154" s="23"/>
      <c r="IC154" s="23"/>
      <c r="ID154" s="23"/>
      <c r="IE154" s="23"/>
      <c r="IF154" s="23"/>
      <c r="IG154" s="23"/>
      <c r="IH154" s="23"/>
      <c r="II154" s="23"/>
      <c r="IJ154" s="23"/>
      <c r="IK154" s="23"/>
      <c r="IL154" s="23"/>
      <c r="IM154" s="23"/>
      <c r="IN154" s="23"/>
      <c r="IO154" s="23"/>
      <c r="IP154" s="23"/>
      <c r="IQ154" s="23"/>
      <c r="IR154" s="23"/>
      <c r="IS154" s="23"/>
      <c r="IT154" s="23"/>
      <c r="IU154" s="23"/>
      <c r="IV154" s="23"/>
      <c r="IW154" s="23"/>
      <c r="IX154" s="23"/>
      <c r="IY154" s="23"/>
      <c r="IZ154" s="23"/>
      <c r="JA154" s="23"/>
      <c r="JB154" s="23"/>
      <c r="JC154" s="23"/>
      <c r="JD154" s="23"/>
      <c r="JE154" s="23"/>
      <c r="JF154" s="23"/>
      <c r="JG154" s="34"/>
      <c r="JH154" s="23"/>
      <c r="JI154" s="23"/>
      <c r="JJ154" s="23"/>
      <c r="JK154" s="23"/>
      <c r="JL154" s="23"/>
      <c r="JM154" s="23"/>
      <c r="JN154" s="23"/>
      <c r="JO154" s="23"/>
      <c r="JP154" s="23"/>
      <c r="JQ154" s="23"/>
      <c r="JR154" s="23"/>
      <c r="JS154" s="23"/>
      <c r="JT154" s="23"/>
      <c r="JU154" s="23"/>
      <c r="JV154" s="23"/>
      <c r="JW154" s="23"/>
      <c r="JX154" s="23"/>
      <c r="JY154" s="23"/>
      <c r="JZ154" s="23"/>
      <c r="KA154" s="23"/>
      <c r="KB154" s="34"/>
    </row>
    <row r="155" spans="2:288" ht="15" customHeight="1" x14ac:dyDescent="0.35">
      <c r="B155" s="146" t="str">
        <f t="shared" si="15"/>
        <v>Desk 42</v>
      </c>
      <c r="C155" s="148" t="str">
        <v/>
      </c>
      <c r="D155" s="148" t="str">
        <v/>
      </c>
      <c r="E155" s="148" t="str">
        <v/>
      </c>
      <c r="F155" s="148" t="str">
        <v/>
      </c>
      <c r="G155" s="268" t="str">
        <v/>
      </c>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34"/>
      <c r="DX155" s="23"/>
      <c r="DY155" s="23"/>
      <c r="DZ155" s="23"/>
      <c r="EA155" s="23"/>
      <c r="EB155" s="23"/>
      <c r="EC155" s="23"/>
      <c r="ED155" s="23"/>
      <c r="EE155" s="23"/>
      <c r="EF155" s="23"/>
      <c r="EG155" s="23"/>
      <c r="EH155" s="23"/>
      <c r="EI155" s="23"/>
      <c r="EJ155" s="23"/>
      <c r="EK155" s="23"/>
      <c r="EL155" s="23"/>
      <c r="EM155" s="23"/>
      <c r="EN155" s="23"/>
      <c r="EO155" s="23"/>
      <c r="EP155" s="23"/>
      <c r="EQ155" s="23"/>
      <c r="ER155" s="34"/>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c r="HT155" s="23"/>
      <c r="HU155" s="23"/>
      <c r="HV155" s="23"/>
      <c r="HW155" s="23"/>
      <c r="HX155" s="23"/>
      <c r="HY155" s="23"/>
      <c r="HZ155" s="23"/>
      <c r="IA155" s="23"/>
      <c r="IB155" s="23"/>
      <c r="IC155" s="23"/>
      <c r="ID155" s="23"/>
      <c r="IE155" s="23"/>
      <c r="IF155" s="23"/>
      <c r="IG155" s="23"/>
      <c r="IH155" s="23"/>
      <c r="II155" s="23"/>
      <c r="IJ155" s="23"/>
      <c r="IK155" s="23"/>
      <c r="IL155" s="23"/>
      <c r="IM155" s="23"/>
      <c r="IN155" s="23"/>
      <c r="IO155" s="23"/>
      <c r="IP155" s="23"/>
      <c r="IQ155" s="23"/>
      <c r="IR155" s="23"/>
      <c r="IS155" s="23"/>
      <c r="IT155" s="23"/>
      <c r="IU155" s="23"/>
      <c r="IV155" s="23"/>
      <c r="IW155" s="23"/>
      <c r="IX155" s="23"/>
      <c r="IY155" s="23"/>
      <c r="IZ155" s="23"/>
      <c r="JA155" s="23"/>
      <c r="JB155" s="23"/>
      <c r="JC155" s="23"/>
      <c r="JD155" s="23"/>
      <c r="JE155" s="23"/>
      <c r="JF155" s="23"/>
      <c r="JG155" s="34"/>
      <c r="JH155" s="23"/>
      <c r="JI155" s="23"/>
      <c r="JJ155" s="23"/>
      <c r="JK155" s="23"/>
      <c r="JL155" s="23"/>
      <c r="JM155" s="23"/>
      <c r="JN155" s="23"/>
      <c r="JO155" s="23"/>
      <c r="JP155" s="23"/>
      <c r="JQ155" s="23"/>
      <c r="JR155" s="23"/>
      <c r="JS155" s="23"/>
      <c r="JT155" s="23"/>
      <c r="JU155" s="23"/>
      <c r="JV155" s="23"/>
      <c r="JW155" s="23"/>
      <c r="JX155" s="23"/>
      <c r="JY155" s="23"/>
      <c r="JZ155" s="23"/>
      <c r="KA155" s="23"/>
      <c r="KB155" s="34"/>
    </row>
    <row r="156" spans="2:288" ht="15" customHeight="1" x14ac:dyDescent="0.35">
      <c r="B156" s="146" t="str">
        <f t="shared" si="15"/>
        <v>Desk 43</v>
      </c>
      <c r="C156" s="148" t="str">
        <v/>
      </c>
      <c r="D156" s="148" t="str">
        <v/>
      </c>
      <c r="E156" s="148" t="str">
        <v/>
      </c>
      <c r="F156" s="148" t="str">
        <v/>
      </c>
      <c r="G156" s="268" t="str">
        <v/>
      </c>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34"/>
      <c r="DX156" s="23"/>
      <c r="DY156" s="23"/>
      <c r="DZ156" s="23"/>
      <c r="EA156" s="23"/>
      <c r="EB156" s="23"/>
      <c r="EC156" s="23"/>
      <c r="ED156" s="23"/>
      <c r="EE156" s="23"/>
      <c r="EF156" s="23"/>
      <c r="EG156" s="23"/>
      <c r="EH156" s="23"/>
      <c r="EI156" s="23"/>
      <c r="EJ156" s="23"/>
      <c r="EK156" s="23"/>
      <c r="EL156" s="23"/>
      <c r="EM156" s="23"/>
      <c r="EN156" s="23"/>
      <c r="EO156" s="23"/>
      <c r="EP156" s="23"/>
      <c r="EQ156" s="23"/>
      <c r="ER156" s="34"/>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c r="HT156" s="23"/>
      <c r="HU156" s="23"/>
      <c r="HV156" s="23"/>
      <c r="HW156" s="23"/>
      <c r="HX156" s="23"/>
      <c r="HY156" s="23"/>
      <c r="HZ156" s="23"/>
      <c r="IA156" s="23"/>
      <c r="IB156" s="23"/>
      <c r="IC156" s="23"/>
      <c r="ID156" s="23"/>
      <c r="IE156" s="23"/>
      <c r="IF156" s="23"/>
      <c r="IG156" s="23"/>
      <c r="IH156" s="23"/>
      <c r="II156" s="23"/>
      <c r="IJ156" s="23"/>
      <c r="IK156" s="23"/>
      <c r="IL156" s="23"/>
      <c r="IM156" s="23"/>
      <c r="IN156" s="23"/>
      <c r="IO156" s="23"/>
      <c r="IP156" s="23"/>
      <c r="IQ156" s="23"/>
      <c r="IR156" s="23"/>
      <c r="IS156" s="23"/>
      <c r="IT156" s="23"/>
      <c r="IU156" s="23"/>
      <c r="IV156" s="23"/>
      <c r="IW156" s="23"/>
      <c r="IX156" s="23"/>
      <c r="IY156" s="23"/>
      <c r="IZ156" s="23"/>
      <c r="JA156" s="23"/>
      <c r="JB156" s="23"/>
      <c r="JC156" s="23"/>
      <c r="JD156" s="23"/>
      <c r="JE156" s="23"/>
      <c r="JF156" s="23"/>
      <c r="JG156" s="34"/>
      <c r="JH156" s="23"/>
      <c r="JI156" s="23"/>
      <c r="JJ156" s="23"/>
      <c r="JK156" s="23"/>
      <c r="JL156" s="23"/>
      <c r="JM156" s="23"/>
      <c r="JN156" s="23"/>
      <c r="JO156" s="23"/>
      <c r="JP156" s="23"/>
      <c r="JQ156" s="23"/>
      <c r="JR156" s="23"/>
      <c r="JS156" s="23"/>
      <c r="JT156" s="23"/>
      <c r="JU156" s="23"/>
      <c r="JV156" s="23"/>
      <c r="JW156" s="23"/>
      <c r="JX156" s="23"/>
      <c r="JY156" s="23"/>
      <c r="JZ156" s="23"/>
      <c r="KA156" s="23"/>
      <c r="KB156" s="34"/>
    </row>
    <row r="157" spans="2:288" ht="15" customHeight="1" x14ac:dyDescent="0.35">
      <c r="B157" s="146" t="str">
        <f t="shared" si="15"/>
        <v>Desk 44</v>
      </c>
      <c r="C157" s="148" t="str">
        <v/>
      </c>
      <c r="D157" s="148" t="str">
        <v/>
      </c>
      <c r="E157" s="148" t="str">
        <v/>
      </c>
      <c r="F157" s="148" t="str">
        <v/>
      </c>
      <c r="G157" s="268" t="str">
        <v/>
      </c>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34"/>
      <c r="DX157" s="23"/>
      <c r="DY157" s="23"/>
      <c r="DZ157" s="23"/>
      <c r="EA157" s="23"/>
      <c r="EB157" s="23"/>
      <c r="EC157" s="23"/>
      <c r="ED157" s="23"/>
      <c r="EE157" s="23"/>
      <c r="EF157" s="23"/>
      <c r="EG157" s="23"/>
      <c r="EH157" s="23"/>
      <c r="EI157" s="23"/>
      <c r="EJ157" s="23"/>
      <c r="EK157" s="23"/>
      <c r="EL157" s="23"/>
      <c r="EM157" s="23"/>
      <c r="EN157" s="23"/>
      <c r="EO157" s="23"/>
      <c r="EP157" s="23"/>
      <c r="EQ157" s="23"/>
      <c r="ER157" s="34"/>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c r="HT157" s="23"/>
      <c r="HU157" s="23"/>
      <c r="HV157" s="23"/>
      <c r="HW157" s="23"/>
      <c r="HX157" s="23"/>
      <c r="HY157" s="23"/>
      <c r="HZ157" s="23"/>
      <c r="IA157" s="23"/>
      <c r="IB157" s="23"/>
      <c r="IC157" s="23"/>
      <c r="ID157" s="23"/>
      <c r="IE157" s="23"/>
      <c r="IF157" s="23"/>
      <c r="IG157" s="23"/>
      <c r="IH157" s="23"/>
      <c r="II157" s="23"/>
      <c r="IJ157" s="23"/>
      <c r="IK157" s="23"/>
      <c r="IL157" s="23"/>
      <c r="IM157" s="23"/>
      <c r="IN157" s="23"/>
      <c r="IO157" s="23"/>
      <c r="IP157" s="23"/>
      <c r="IQ157" s="23"/>
      <c r="IR157" s="23"/>
      <c r="IS157" s="23"/>
      <c r="IT157" s="23"/>
      <c r="IU157" s="23"/>
      <c r="IV157" s="23"/>
      <c r="IW157" s="23"/>
      <c r="IX157" s="23"/>
      <c r="IY157" s="23"/>
      <c r="IZ157" s="23"/>
      <c r="JA157" s="23"/>
      <c r="JB157" s="23"/>
      <c r="JC157" s="23"/>
      <c r="JD157" s="23"/>
      <c r="JE157" s="23"/>
      <c r="JF157" s="23"/>
      <c r="JG157" s="34"/>
      <c r="JH157" s="23"/>
      <c r="JI157" s="23"/>
      <c r="JJ157" s="23"/>
      <c r="JK157" s="23"/>
      <c r="JL157" s="23"/>
      <c r="JM157" s="23"/>
      <c r="JN157" s="23"/>
      <c r="JO157" s="23"/>
      <c r="JP157" s="23"/>
      <c r="JQ157" s="23"/>
      <c r="JR157" s="23"/>
      <c r="JS157" s="23"/>
      <c r="JT157" s="23"/>
      <c r="JU157" s="23"/>
      <c r="JV157" s="23"/>
      <c r="JW157" s="23"/>
      <c r="JX157" s="23"/>
      <c r="JY157" s="23"/>
      <c r="JZ157" s="23"/>
      <c r="KA157" s="23"/>
      <c r="KB157" s="34"/>
    </row>
    <row r="158" spans="2:288" ht="15" customHeight="1" x14ac:dyDescent="0.35">
      <c r="B158" s="146" t="str">
        <f t="shared" si="15"/>
        <v>Desk 45</v>
      </c>
      <c r="C158" s="148" t="str">
        <v/>
      </c>
      <c r="D158" s="148" t="str">
        <v/>
      </c>
      <c r="E158" s="148" t="str">
        <v/>
      </c>
      <c r="F158" s="148" t="str">
        <v/>
      </c>
      <c r="G158" s="268" t="str">
        <v/>
      </c>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34"/>
      <c r="DX158" s="23"/>
      <c r="DY158" s="23"/>
      <c r="DZ158" s="23"/>
      <c r="EA158" s="23"/>
      <c r="EB158" s="23"/>
      <c r="EC158" s="23"/>
      <c r="ED158" s="23"/>
      <c r="EE158" s="23"/>
      <c r="EF158" s="23"/>
      <c r="EG158" s="23"/>
      <c r="EH158" s="23"/>
      <c r="EI158" s="23"/>
      <c r="EJ158" s="23"/>
      <c r="EK158" s="23"/>
      <c r="EL158" s="23"/>
      <c r="EM158" s="23"/>
      <c r="EN158" s="23"/>
      <c r="EO158" s="23"/>
      <c r="EP158" s="23"/>
      <c r="EQ158" s="23"/>
      <c r="ER158" s="34"/>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c r="HT158" s="23"/>
      <c r="HU158" s="23"/>
      <c r="HV158" s="23"/>
      <c r="HW158" s="23"/>
      <c r="HX158" s="23"/>
      <c r="HY158" s="23"/>
      <c r="HZ158" s="23"/>
      <c r="IA158" s="23"/>
      <c r="IB158" s="23"/>
      <c r="IC158" s="23"/>
      <c r="ID158" s="23"/>
      <c r="IE158" s="23"/>
      <c r="IF158" s="23"/>
      <c r="IG158" s="23"/>
      <c r="IH158" s="23"/>
      <c r="II158" s="23"/>
      <c r="IJ158" s="23"/>
      <c r="IK158" s="23"/>
      <c r="IL158" s="23"/>
      <c r="IM158" s="23"/>
      <c r="IN158" s="23"/>
      <c r="IO158" s="23"/>
      <c r="IP158" s="23"/>
      <c r="IQ158" s="23"/>
      <c r="IR158" s="23"/>
      <c r="IS158" s="23"/>
      <c r="IT158" s="23"/>
      <c r="IU158" s="23"/>
      <c r="IV158" s="23"/>
      <c r="IW158" s="23"/>
      <c r="IX158" s="23"/>
      <c r="IY158" s="23"/>
      <c r="IZ158" s="23"/>
      <c r="JA158" s="23"/>
      <c r="JB158" s="23"/>
      <c r="JC158" s="23"/>
      <c r="JD158" s="23"/>
      <c r="JE158" s="23"/>
      <c r="JF158" s="23"/>
      <c r="JG158" s="34"/>
      <c r="JH158" s="23"/>
      <c r="JI158" s="23"/>
      <c r="JJ158" s="23"/>
      <c r="JK158" s="23"/>
      <c r="JL158" s="23"/>
      <c r="JM158" s="23"/>
      <c r="JN158" s="23"/>
      <c r="JO158" s="23"/>
      <c r="JP158" s="23"/>
      <c r="JQ158" s="23"/>
      <c r="JR158" s="23"/>
      <c r="JS158" s="23"/>
      <c r="JT158" s="23"/>
      <c r="JU158" s="23"/>
      <c r="JV158" s="23"/>
      <c r="JW158" s="23"/>
      <c r="JX158" s="23"/>
      <c r="JY158" s="23"/>
      <c r="JZ158" s="23"/>
      <c r="KA158" s="23"/>
      <c r="KB158" s="34"/>
    </row>
    <row r="159" spans="2:288" ht="15" customHeight="1" x14ac:dyDescent="0.35">
      <c r="B159" s="146" t="str">
        <f t="shared" si="15"/>
        <v>Desk 46</v>
      </c>
      <c r="C159" s="148" t="str">
        <v/>
      </c>
      <c r="D159" s="148" t="str">
        <v/>
      </c>
      <c r="E159" s="148" t="str">
        <v/>
      </c>
      <c r="F159" s="148" t="str">
        <v/>
      </c>
      <c r="G159" s="268" t="str">
        <v/>
      </c>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34"/>
      <c r="DX159" s="23"/>
      <c r="DY159" s="23"/>
      <c r="DZ159" s="23"/>
      <c r="EA159" s="23"/>
      <c r="EB159" s="23"/>
      <c r="EC159" s="23"/>
      <c r="ED159" s="23"/>
      <c r="EE159" s="23"/>
      <c r="EF159" s="23"/>
      <c r="EG159" s="23"/>
      <c r="EH159" s="23"/>
      <c r="EI159" s="23"/>
      <c r="EJ159" s="23"/>
      <c r="EK159" s="23"/>
      <c r="EL159" s="23"/>
      <c r="EM159" s="23"/>
      <c r="EN159" s="23"/>
      <c r="EO159" s="23"/>
      <c r="EP159" s="23"/>
      <c r="EQ159" s="23"/>
      <c r="ER159" s="34"/>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c r="HT159" s="23"/>
      <c r="HU159" s="23"/>
      <c r="HV159" s="23"/>
      <c r="HW159" s="23"/>
      <c r="HX159" s="23"/>
      <c r="HY159" s="23"/>
      <c r="HZ159" s="23"/>
      <c r="IA159" s="23"/>
      <c r="IB159" s="23"/>
      <c r="IC159" s="23"/>
      <c r="ID159" s="23"/>
      <c r="IE159" s="23"/>
      <c r="IF159" s="23"/>
      <c r="IG159" s="23"/>
      <c r="IH159" s="23"/>
      <c r="II159" s="23"/>
      <c r="IJ159" s="23"/>
      <c r="IK159" s="23"/>
      <c r="IL159" s="23"/>
      <c r="IM159" s="23"/>
      <c r="IN159" s="23"/>
      <c r="IO159" s="23"/>
      <c r="IP159" s="23"/>
      <c r="IQ159" s="23"/>
      <c r="IR159" s="23"/>
      <c r="IS159" s="23"/>
      <c r="IT159" s="23"/>
      <c r="IU159" s="23"/>
      <c r="IV159" s="23"/>
      <c r="IW159" s="23"/>
      <c r="IX159" s="23"/>
      <c r="IY159" s="23"/>
      <c r="IZ159" s="23"/>
      <c r="JA159" s="23"/>
      <c r="JB159" s="23"/>
      <c r="JC159" s="23"/>
      <c r="JD159" s="23"/>
      <c r="JE159" s="23"/>
      <c r="JF159" s="23"/>
      <c r="JG159" s="34"/>
      <c r="JH159" s="23"/>
      <c r="JI159" s="23"/>
      <c r="JJ159" s="23"/>
      <c r="JK159" s="23"/>
      <c r="JL159" s="23"/>
      <c r="JM159" s="23"/>
      <c r="JN159" s="23"/>
      <c r="JO159" s="23"/>
      <c r="JP159" s="23"/>
      <c r="JQ159" s="23"/>
      <c r="JR159" s="23"/>
      <c r="JS159" s="23"/>
      <c r="JT159" s="23"/>
      <c r="JU159" s="23"/>
      <c r="JV159" s="23"/>
      <c r="JW159" s="23"/>
      <c r="JX159" s="23"/>
      <c r="JY159" s="23"/>
      <c r="JZ159" s="23"/>
      <c r="KA159" s="23"/>
      <c r="KB159" s="34"/>
    </row>
    <row r="160" spans="2:288" ht="15" customHeight="1" x14ac:dyDescent="0.35">
      <c r="B160" s="146" t="str">
        <f t="shared" si="15"/>
        <v>Desk 47</v>
      </c>
      <c r="C160" s="148" t="str">
        <v/>
      </c>
      <c r="D160" s="148" t="str">
        <v/>
      </c>
      <c r="E160" s="148" t="str">
        <v/>
      </c>
      <c r="F160" s="148" t="str">
        <v/>
      </c>
      <c r="G160" s="268" t="str">
        <v/>
      </c>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34"/>
      <c r="DX160" s="23"/>
      <c r="DY160" s="23"/>
      <c r="DZ160" s="23"/>
      <c r="EA160" s="23"/>
      <c r="EB160" s="23"/>
      <c r="EC160" s="23"/>
      <c r="ED160" s="23"/>
      <c r="EE160" s="23"/>
      <c r="EF160" s="23"/>
      <c r="EG160" s="23"/>
      <c r="EH160" s="23"/>
      <c r="EI160" s="23"/>
      <c r="EJ160" s="23"/>
      <c r="EK160" s="23"/>
      <c r="EL160" s="23"/>
      <c r="EM160" s="23"/>
      <c r="EN160" s="23"/>
      <c r="EO160" s="23"/>
      <c r="EP160" s="23"/>
      <c r="EQ160" s="23"/>
      <c r="ER160" s="34"/>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c r="HT160" s="23"/>
      <c r="HU160" s="23"/>
      <c r="HV160" s="23"/>
      <c r="HW160" s="23"/>
      <c r="HX160" s="23"/>
      <c r="HY160" s="23"/>
      <c r="HZ160" s="23"/>
      <c r="IA160" s="23"/>
      <c r="IB160" s="23"/>
      <c r="IC160" s="23"/>
      <c r="ID160" s="23"/>
      <c r="IE160" s="23"/>
      <c r="IF160" s="23"/>
      <c r="IG160" s="23"/>
      <c r="IH160" s="23"/>
      <c r="II160" s="23"/>
      <c r="IJ160" s="23"/>
      <c r="IK160" s="23"/>
      <c r="IL160" s="23"/>
      <c r="IM160" s="23"/>
      <c r="IN160" s="23"/>
      <c r="IO160" s="23"/>
      <c r="IP160" s="23"/>
      <c r="IQ160" s="23"/>
      <c r="IR160" s="23"/>
      <c r="IS160" s="23"/>
      <c r="IT160" s="23"/>
      <c r="IU160" s="23"/>
      <c r="IV160" s="23"/>
      <c r="IW160" s="23"/>
      <c r="IX160" s="23"/>
      <c r="IY160" s="23"/>
      <c r="IZ160" s="23"/>
      <c r="JA160" s="23"/>
      <c r="JB160" s="23"/>
      <c r="JC160" s="23"/>
      <c r="JD160" s="23"/>
      <c r="JE160" s="23"/>
      <c r="JF160" s="23"/>
      <c r="JG160" s="34"/>
      <c r="JH160" s="23"/>
      <c r="JI160" s="23"/>
      <c r="JJ160" s="23"/>
      <c r="JK160" s="23"/>
      <c r="JL160" s="23"/>
      <c r="JM160" s="23"/>
      <c r="JN160" s="23"/>
      <c r="JO160" s="23"/>
      <c r="JP160" s="23"/>
      <c r="JQ160" s="23"/>
      <c r="JR160" s="23"/>
      <c r="JS160" s="23"/>
      <c r="JT160" s="23"/>
      <c r="JU160" s="23"/>
      <c r="JV160" s="23"/>
      <c r="JW160" s="23"/>
      <c r="JX160" s="23"/>
      <c r="JY160" s="23"/>
      <c r="JZ160" s="23"/>
      <c r="KA160" s="23"/>
      <c r="KB160" s="34"/>
    </row>
    <row r="161" spans="2:288" ht="15" customHeight="1" x14ac:dyDescent="0.35">
      <c r="B161" s="146" t="str">
        <f t="shared" si="15"/>
        <v>Desk 48</v>
      </c>
      <c r="C161" s="148" t="str">
        <v/>
      </c>
      <c r="D161" s="148" t="str">
        <v/>
      </c>
      <c r="E161" s="148" t="str">
        <v/>
      </c>
      <c r="F161" s="148" t="str">
        <v/>
      </c>
      <c r="G161" s="268" t="str">
        <v/>
      </c>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34"/>
      <c r="DX161" s="23"/>
      <c r="DY161" s="23"/>
      <c r="DZ161" s="23"/>
      <c r="EA161" s="23"/>
      <c r="EB161" s="23"/>
      <c r="EC161" s="23"/>
      <c r="ED161" s="23"/>
      <c r="EE161" s="23"/>
      <c r="EF161" s="23"/>
      <c r="EG161" s="23"/>
      <c r="EH161" s="23"/>
      <c r="EI161" s="23"/>
      <c r="EJ161" s="23"/>
      <c r="EK161" s="23"/>
      <c r="EL161" s="23"/>
      <c r="EM161" s="23"/>
      <c r="EN161" s="23"/>
      <c r="EO161" s="23"/>
      <c r="EP161" s="23"/>
      <c r="EQ161" s="23"/>
      <c r="ER161" s="34"/>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c r="HO161" s="23"/>
      <c r="HP161" s="23"/>
      <c r="HQ161" s="23"/>
      <c r="HR161" s="23"/>
      <c r="HS161" s="23"/>
      <c r="HT161" s="23"/>
      <c r="HU161" s="23"/>
      <c r="HV161" s="23"/>
      <c r="HW161" s="23"/>
      <c r="HX161" s="23"/>
      <c r="HY161" s="23"/>
      <c r="HZ161" s="23"/>
      <c r="IA161" s="23"/>
      <c r="IB161" s="23"/>
      <c r="IC161" s="23"/>
      <c r="ID161" s="23"/>
      <c r="IE161" s="23"/>
      <c r="IF161" s="23"/>
      <c r="IG161" s="23"/>
      <c r="IH161" s="23"/>
      <c r="II161" s="23"/>
      <c r="IJ161" s="23"/>
      <c r="IK161" s="23"/>
      <c r="IL161" s="23"/>
      <c r="IM161" s="23"/>
      <c r="IN161" s="23"/>
      <c r="IO161" s="23"/>
      <c r="IP161" s="23"/>
      <c r="IQ161" s="23"/>
      <c r="IR161" s="23"/>
      <c r="IS161" s="23"/>
      <c r="IT161" s="23"/>
      <c r="IU161" s="23"/>
      <c r="IV161" s="23"/>
      <c r="IW161" s="23"/>
      <c r="IX161" s="23"/>
      <c r="IY161" s="23"/>
      <c r="IZ161" s="23"/>
      <c r="JA161" s="23"/>
      <c r="JB161" s="23"/>
      <c r="JC161" s="23"/>
      <c r="JD161" s="23"/>
      <c r="JE161" s="23"/>
      <c r="JF161" s="23"/>
      <c r="JG161" s="34"/>
      <c r="JH161" s="23"/>
      <c r="JI161" s="23"/>
      <c r="JJ161" s="23"/>
      <c r="JK161" s="23"/>
      <c r="JL161" s="23"/>
      <c r="JM161" s="23"/>
      <c r="JN161" s="23"/>
      <c r="JO161" s="23"/>
      <c r="JP161" s="23"/>
      <c r="JQ161" s="23"/>
      <c r="JR161" s="23"/>
      <c r="JS161" s="23"/>
      <c r="JT161" s="23"/>
      <c r="JU161" s="23"/>
      <c r="JV161" s="23"/>
      <c r="JW161" s="23"/>
      <c r="JX161" s="23"/>
      <c r="JY161" s="23"/>
      <c r="JZ161" s="23"/>
      <c r="KA161" s="23"/>
      <c r="KB161" s="34"/>
    </row>
    <row r="162" spans="2:288" ht="15" customHeight="1" x14ac:dyDescent="0.35">
      <c r="B162" s="146" t="str">
        <f t="shared" si="15"/>
        <v>Desk 49</v>
      </c>
      <c r="C162" s="148" t="str">
        <v/>
      </c>
      <c r="D162" s="148" t="str">
        <v/>
      </c>
      <c r="E162" s="148" t="str">
        <v/>
      </c>
      <c r="F162" s="148" t="str">
        <v/>
      </c>
      <c r="G162" s="268" t="str">
        <v/>
      </c>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34"/>
      <c r="DX162" s="23"/>
      <c r="DY162" s="23"/>
      <c r="DZ162" s="23"/>
      <c r="EA162" s="23"/>
      <c r="EB162" s="23"/>
      <c r="EC162" s="23"/>
      <c r="ED162" s="23"/>
      <c r="EE162" s="23"/>
      <c r="EF162" s="23"/>
      <c r="EG162" s="23"/>
      <c r="EH162" s="23"/>
      <c r="EI162" s="23"/>
      <c r="EJ162" s="23"/>
      <c r="EK162" s="23"/>
      <c r="EL162" s="23"/>
      <c r="EM162" s="23"/>
      <c r="EN162" s="23"/>
      <c r="EO162" s="23"/>
      <c r="EP162" s="23"/>
      <c r="EQ162" s="23"/>
      <c r="ER162" s="34"/>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c r="HT162" s="23"/>
      <c r="HU162" s="23"/>
      <c r="HV162" s="23"/>
      <c r="HW162" s="23"/>
      <c r="HX162" s="23"/>
      <c r="HY162" s="23"/>
      <c r="HZ162" s="23"/>
      <c r="IA162" s="23"/>
      <c r="IB162" s="23"/>
      <c r="IC162" s="23"/>
      <c r="ID162" s="23"/>
      <c r="IE162" s="23"/>
      <c r="IF162" s="23"/>
      <c r="IG162" s="23"/>
      <c r="IH162" s="23"/>
      <c r="II162" s="23"/>
      <c r="IJ162" s="23"/>
      <c r="IK162" s="23"/>
      <c r="IL162" s="23"/>
      <c r="IM162" s="23"/>
      <c r="IN162" s="23"/>
      <c r="IO162" s="23"/>
      <c r="IP162" s="23"/>
      <c r="IQ162" s="23"/>
      <c r="IR162" s="23"/>
      <c r="IS162" s="23"/>
      <c r="IT162" s="23"/>
      <c r="IU162" s="23"/>
      <c r="IV162" s="23"/>
      <c r="IW162" s="23"/>
      <c r="IX162" s="23"/>
      <c r="IY162" s="23"/>
      <c r="IZ162" s="23"/>
      <c r="JA162" s="23"/>
      <c r="JB162" s="23"/>
      <c r="JC162" s="23"/>
      <c r="JD162" s="23"/>
      <c r="JE162" s="23"/>
      <c r="JF162" s="23"/>
      <c r="JG162" s="34"/>
      <c r="JH162" s="23"/>
      <c r="JI162" s="23"/>
      <c r="JJ162" s="23"/>
      <c r="JK162" s="23"/>
      <c r="JL162" s="23"/>
      <c r="JM162" s="23"/>
      <c r="JN162" s="23"/>
      <c r="JO162" s="23"/>
      <c r="JP162" s="23"/>
      <c r="JQ162" s="23"/>
      <c r="JR162" s="23"/>
      <c r="JS162" s="23"/>
      <c r="JT162" s="23"/>
      <c r="JU162" s="23"/>
      <c r="JV162" s="23"/>
      <c r="JW162" s="23"/>
      <c r="JX162" s="23"/>
      <c r="JY162" s="23"/>
      <c r="JZ162" s="23"/>
      <c r="KA162" s="23"/>
      <c r="KB162" s="34"/>
    </row>
    <row r="163" spans="2:288" ht="15" customHeight="1" x14ac:dyDescent="0.35">
      <c r="B163" s="146" t="str">
        <f t="shared" si="15"/>
        <v>Desk 50</v>
      </c>
      <c r="C163" s="148" t="str">
        <v/>
      </c>
      <c r="D163" s="148" t="str">
        <v/>
      </c>
      <c r="E163" s="148" t="str">
        <v/>
      </c>
      <c r="F163" s="148" t="str">
        <v/>
      </c>
      <c r="G163" s="268" t="str">
        <v/>
      </c>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34"/>
      <c r="DX163" s="23"/>
      <c r="DY163" s="23"/>
      <c r="DZ163" s="23"/>
      <c r="EA163" s="23"/>
      <c r="EB163" s="23"/>
      <c r="EC163" s="23"/>
      <c r="ED163" s="23"/>
      <c r="EE163" s="23"/>
      <c r="EF163" s="23"/>
      <c r="EG163" s="23"/>
      <c r="EH163" s="23"/>
      <c r="EI163" s="23"/>
      <c r="EJ163" s="23"/>
      <c r="EK163" s="23"/>
      <c r="EL163" s="23"/>
      <c r="EM163" s="23"/>
      <c r="EN163" s="23"/>
      <c r="EO163" s="23"/>
      <c r="EP163" s="23"/>
      <c r="EQ163" s="23"/>
      <c r="ER163" s="34"/>
      <c r="ES163" s="23"/>
      <c r="ET163" s="23"/>
      <c r="EU163" s="23"/>
      <c r="EV163" s="23"/>
      <c r="EW163" s="23"/>
      <c r="EX163" s="23"/>
      <c r="EY163" s="23"/>
      <c r="EZ163" s="23"/>
      <c r="FA163" s="23"/>
      <c r="FB163" s="23"/>
      <c r="FC163" s="23"/>
      <c r="FD163" s="23"/>
      <c r="FE163" s="23"/>
      <c r="FF163" s="23"/>
      <c r="FG163" s="23"/>
      <c r="FH163" s="23"/>
      <c r="FI163" s="23"/>
      <c r="FJ163" s="23"/>
      <c r="FK163" s="23"/>
      <c r="FL163" s="23"/>
      <c r="FM163" s="23"/>
      <c r="FN163" s="23"/>
      <c r="FO163" s="23"/>
      <c r="FP163" s="23"/>
      <c r="FQ163" s="23"/>
      <c r="FR163" s="23"/>
      <c r="FS163" s="23"/>
      <c r="FT163" s="23"/>
      <c r="FU163" s="23"/>
      <c r="FV163" s="23"/>
      <c r="FW163" s="23"/>
      <c r="FX163" s="23"/>
      <c r="FY163" s="23"/>
      <c r="FZ163" s="23"/>
      <c r="GA163" s="23"/>
      <c r="GB163" s="23"/>
      <c r="GC163" s="23"/>
      <c r="GD163" s="23"/>
      <c r="GE163" s="23"/>
      <c r="GF163" s="23"/>
      <c r="GG163" s="23"/>
      <c r="GH163" s="23"/>
      <c r="GI163" s="23"/>
      <c r="GJ163" s="23"/>
      <c r="GK163" s="23"/>
      <c r="GL163" s="23"/>
      <c r="GM163" s="23"/>
      <c r="GN163" s="23"/>
      <c r="GO163" s="23"/>
      <c r="GP163" s="23"/>
      <c r="GQ163" s="23"/>
      <c r="GR163" s="23"/>
      <c r="GS163" s="23"/>
      <c r="GT163" s="23"/>
      <c r="GU163" s="23"/>
      <c r="GV163" s="23"/>
      <c r="GW163" s="23"/>
      <c r="GX163" s="23"/>
      <c r="GY163" s="23"/>
      <c r="GZ163" s="23"/>
      <c r="HA163" s="23"/>
      <c r="HB163" s="23"/>
      <c r="HC163" s="23"/>
      <c r="HD163" s="23"/>
      <c r="HE163" s="23"/>
      <c r="HF163" s="23"/>
      <c r="HG163" s="23"/>
      <c r="HH163" s="23"/>
      <c r="HI163" s="23"/>
      <c r="HJ163" s="23"/>
      <c r="HK163" s="23"/>
      <c r="HL163" s="23"/>
      <c r="HM163" s="23"/>
      <c r="HN163" s="23"/>
      <c r="HO163" s="23"/>
      <c r="HP163" s="23"/>
      <c r="HQ163" s="23"/>
      <c r="HR163" s="23"/>
      <c r="HS163" s="23"/>
      <c r="HT163" s="23"/>
      <c r="HU163" s="23"/>
      <c r="HV163" s="23"/>
      <c r="HW163" s="23"/>
      <c r="HX163" s="23"/>
      <c r="HY163" s="23"/>
      <c r="HZ163" s="23"/>
      <c r="IA163" s="23"/>
      <c r="IB163" s="23"/>
      <c r="IC163" s="23"/>
      <c r="ID163" s="23"/>
      <c r="IE163" s="23"/>
      <c r="IF163" s="23"/>
      <c r="IG163" s="23"/>
      <c r="IH163" s="23"/>
      <c r="II163" s="23"/>
      <c r="IJ163" s="23"/>
      <c r="IK163" s="23"/>
      <c r="IL163" s="23"/>
      <c r="IM163" s="23"/>
      <c r="IN163" s="23"/>
      <c r="IO163" s="23"/>
      <c r="IP163" s="23"/>
      <c r="IQ163" s="23"/>
      <c r="IR163" s="23"/>
      <c r="IS163" s="23"/>
      <c r="IT163" s="23"/>
      <c r="IU163" s="23"/>
      <c r="IV163" s="23"/>
      <c r="IW163" s="23"/>
      <c r="IX163" s="23"/>
      <c r="IY163" s="23"/>
      <c r="IZ163" s="23"/>
      <c r="JA163" s="23"/>
      <c r="JB163" s="23"/>
      <c r="JC163" s="23"/>
      <c r="JD163" s="23"/>
      <c r="JE163" s="23"/>
      <c r="JF163" s="23"/>
      <c r="JG163" s="34"/>
      <c r="JH163" s="23"/>
      <c r="JI163" s="23"/>
      <c r="JJ163" s="23"/>
      <c r="JK163" s="23"/>
      <c r="JL163" s="23"/>
      <c r="JM163" s="23"/>
      <c r="JN163" s="23"/>
      <c r="JO163" s="23"/>
      <c r="JP163" s="23"/>
      <c r="JQ163" s="23"/>
      <c r="JR163" s="23"/>
      <c r="JS163" s="23"/>
      <c r="JT163" s="23"/>
      <c r="JU163" s="23"/>
      <c r="JV163" s="23"/>
      <c r="JW163" s="23"/>
      <c r="JX163" s="23"/>
      <c r="JY163" s="23"/>
      <c r="JZ163" s="23"/>
      <c r="KA163" s="23"/>
      <c r="KB163" s="34"/>
    </row>
    <row r="164" spans="2:288" ht="15" customHeight="1" x14ac:dyDescent="0.35">
      <c r="B164" s="146" t="str">
        <f t="shared" si="15"/>
        <v>Desk 51</v>
      </c>
      <c r="C164" s="148" t="str">
        <v/>
      </c>
      <c r="D164" s="148" t="str">
        <v/>
      </c>
      <c r="E164" s="148" t="str">
        <v/>
      </c>
      <c r="F164" s="148" t="str">
        <v/>
      </c>
      <c r="G164" s="268" t="str">
        <v/>
      </c>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34"/>
      <c r="DX164" s="23"/>
      <c r="DY164" s="23"/>
      <c r="DZ164" s="23"/>
      <c r="EA164" s="23"/>
      <c r="EB164" s="23"/>
      <c r="EC164" s="23"/>
      <c r="ED164" s="23"/>
      <c r="EE164" s="23"/>
      <c r="EF164" s="23"/>
      <c r="EG164" s="23"/>
      <c r="EH164" s="23"/>
      <c r="EI164" s="23"/>
      <c r="EJ164" s="23"/>
      <c r="EK164" s="23"/>
      <c r="EL164" s="23"/>
      <c r="EM164" s="23"/>
      <c r="EN164" s="23"/>
      <c r="EO164" s="23"/>
      <c r="EP164" s="23"/>
      <c r="EQ164" s="23"/>
      <c r="ER164" s="34"/>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c r="GK164" s="23"/>
      <c r="GL164" s="23"/>
      <c r="GM164" s="23"/>
      <c r="GN164" s="23"/>
      <c r="GO164" s="23"/>
      <c r="GP164" s="23"/>
      <c r="GQ164" s="23"/>
      <c r="GR164" s="23"/>
      <c r="GS164" s="23"/>
      <c r="GT164" s="23"/>
      <c r="GU164" s="23"/>
      <c r="GV164" s="23"/>
      <c r="GW164" s="23"/>
      <c r="GX164" s="23"/>
      <c r="GY164" s="23"/>
      <c r="GZ164" s="23"/>
      <c r="HA164" s="23"/>
      <c r="HB164" s="23"/>
      <c r="HC164" s="23"/>
      <c r="HD164" s="23"/>
      <c r="HE164" s="23"/>
      <c r="HF164" s="23"/>
      <c r="HG164" s="23"/>
      <c r="HH164" s="23"/>
      <c r="HI164" s="23"/>
      <c r="HJ164" s="23"/>
      <c r="HK164" s="23"/>
      <c r="HL164" s="23"/>
      <c r="HM164" s="23"/>
      <c r="HN164" s="23"/>
      <c r="HO164" s="23"/>
      <c r="HP164" s="23"/>
      <c r="HQ164" s="23"/>
      <c r="HR164" s="23"/>
      <c r="HS164" s="23"/>
      <c r="HT164" s="23"/>
      <c r="HU164" s="23"/>
      <c r="HV164" s="23"/>
      <c r="HW164" s="23"/>
      <c r="HX164" s="23"/>
      <c r="HY164" s="23"/>
      <c r="HZ164" s="23"/>
      <c r="IA164" s="23"/>
      <c r="IB164" s="23"/>
      <c r="IC164" s="23"/>
      <c r="ID164" s="23"/>
      <c r="IE164" s="23"/>
      <c r="IF164" s="23"/>
      <c r="IG164" s="23"/>
      <c r="IH164" s="23"/>
      <c r="II164" s="23"/>
      <c r="IJ164" s="23"/>
      <c r="IK164" s="23"/>
      <c r="IL164" s="23"/>
      <c r="IM164" s="23"/>
      <c r="IN164" s="23"/>
      <c r="IO164" s="23"/>
      <c r="IP164" s="23"/>
      <c r="IQ164" s="23"/>
      <c r="IR164" s="23"/>
      <c r="IS164" s="23"/>
      <c r="IT164" s="23"/>
      <c r="IU164" s="23"/>
      <c r="IV164" s="23"/>
      <c r="IW164" s="23"/>
      <c r="IX164" s="23"/>
      <c r="IY164" s="23"/>
      <c r="IZ164" s="23"/>
      <c r="JA164" s="23"/>
      <c r="JB164" s="23"/>
      <c r="JC164" s="23"/>
      <c r="JD164" s="23"/>
      <c r="JE164" s="23"/>
      <c r="JF164" s="23"/>
      <c r="JG164" s="34"/>
      <c r="JH164" s="23"/>
      <c r="JI164" s="23"/>
      <c r="JJ164" s="23"/>
      <c r="JK164" s="23"/>
      <c r="JL164" s="23"/>
      <c r="JM164" s="23"/>
      <c r="JN164" s="23"/>
      <c r="JO164" s="23"/>
      <c r="JP164" s="23"/>
      <c r="JQ164" s="23"/>
      <c r="JR164" s="23"/>
      <c r="JS164" s="23"/>
      <c r="JT164" s="23"/>
      <c r="JU164" s="23"/>
      <c r="JV164" s="23"/>
      <c r="JW164" s="23"/>
      <c r="JX164" s="23"/>
      <c r="JY164" s="23"/>
      <c r="JZ164" s="23"/>
      <c r="KA164" s="23"/>
      <c r="KB164" s="34"/>
    </row>
    <row r="165" spans="2:288" ht="15" customHeight="1" x14ac:dyDescent="0.35">
      <c r="B165" s="146" t="str">
        <f t="shared" si="15"/>
        <v>Desk 52</v>
      </c>
      <c r="C165" s="148" t="str">
        <v/>
      </c>
      <c r="D165" s="148" t="str">
        <v/>
      </c>
      <c r="E165" s="148" t="str">
        <v/>
      </c>
      <c r="F165" s="148" t="str">
        <v/>
      </c>
      <c r="G165" s="268" t="str">
        <v/>
      </c>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34"/>
      <c r="DX165" s="23"/>
      <c r="DY165" s="23"/>
      <c r="DZ165" s="23"/>
      <c r="EA165" s="23"/>
      <c r="EB165" s="23"/>
      <c r="EC165" s="23"/>
      <c r="ED165" s="23"/>
      <c r="EE165" s="23"/>
      <c r="EF165" s="23"/>
      <c r="EG165" s="23"/>
      <c r="EH165" s="23"/>
      <c r="EI165" s="23"/>
      <c r="EJ165" s="23"/>
      <c r="EK165" s="23"/>
      <c r="EL165" s="23"/>
      <c r="EM165" s="23"/>
      <c r="EN165" s="23"/>
      <c r="EO165" s="23"/>
      <c r="EP165" s="23"/>
      <c r="EQ165" s="23"/>
      <c r="ER165" s="34"/>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c r="FX165" s="23"/>
      <c r="FY165" s="23"/>
      <c r="FZ165" s="23"/>
      <c r="GA165" s="23"/>
      <c r="GB165" s="23"/>
      <c r="GC165" s="23"/>
      <c r="GD165" s="23"/>
      <c r="GE165" s="23"/>
      <c r="GF165" s="23"/>
      <c r="GG165" s="23"/>
      <c r="GH165" s="23"/>
      <c r="GI165" s="23"/>
      <c r="GJ165" s="23"/>
      <c r="GK165" s="23"/>
      <c r="GL165" s="23"/>
      <c r="GM165" s="23"/>
      <c r="GN165" s="23"/>
      <c r="GO165" s="23"/>
      <c r="GP165" s="23"/>
      <c r="GQ165" s="23"/>
      <c r="GR165" s="23"/>
      <c r="GS165" s="23"/>
      <c r="GT165" s="23"/>
      <c r="GU165" s="23"/>
      <c r="GV165" s="23"/>
      <c r="GW165" s="23"/>
      <c r="GX165" s="23"/>
      <c r="GY165" s="23"/>
      <c r="GZ165" s="23"/>
      <c r="HA165" s="23"/>
      <c r="HB165" s="23"/>
      <c r="HC165" s="23"/>
      <c r="HD165" s="23"/>
      <c r="HE165" s="23"/>
      <c r="HF165" s="23"/>
      <c r="HG165" s="23"/>
      <c r="HH165" s="23"/>
      <c r="HI165" s="23"/>
      <c r="HJ165" s="23"/>
      <c r="HK165" s="23"/>
      <c r="HL165" s="23"/>
      <c r="HM165" s="23"/>
      <c r="HN165" s="23"/>
      <c r="HO165" s="23"/>
      <c r="HP165" s="23"/>
      <c r="HQ165" s="23"/>
      <c r="HR165" s="23"/>
      <c r="HS165" s="23"/>
      <c r="HT165" s="23"/>
      <c r="HU165" s="23"/>
      <c r="HV165" s="23"/>
      <c r="HW165" s="23"/>
      <c r="HX165" s="23"/>
      <c r="HY165" s="23"/>
      <c r="HZ165" s="23"/>
      <c r="IA165" s="23"/>
      <c r="IB165" s="23"/>
      <c r="IC165" s="23"/>
      <c r="ID165" s="23"/>
      <c r="IE165" s="23"/>
      <c r="IF165" s="23"/>
      <c r="IG165" s="23"/>
      <c r="IH165" s="23"/>
      <c r="II165" s="23"/>
      <c r="IJ165" s="23"/>
      <c r="IK165" s="23"/>
      <c r="IL165" s="23"/>
      <c r="IM165" s="23"/>
      <c r="IN165" s="23"/>
      <c r="IO165" s="23"/>
      <c r="IP165" s="23"/>
      <c r="IQ165" s="23"/>
      <c r="IR165" s="23"/>
      <c r="IS165" s="23"/>
      <c r="IT165" s="23"/>
      <c r="IU165" s="23"/>
      <c r="IV165" s="23"/>
      <c r="IW165" s="23"/>
      <c r="IX165" s="23"/>
      <c r="IY165" s="23"/>
      <c r="IZ165" s="23"/>
      <c r="JA165" s="23"/>
      <c r="JB165" s="23"/>
      <c r="JC165" s="23"/>
      <c r="JD165" s="23"/>
      <c r="JE165" s="23"/>
      <c r="JF165" s="23"/>
      <c r="JG165" s="34"/>
      <c r="JH165" s="23"/>
      <c r="JI165" s="23"/>
      <c r="JJ165" s="23"/>
      <c r="JK165" s="23"/>
      <c r="JL165" s="23"/>
      <c r="JM165" s="23"/>
      <c r="JN165" s="23"/>
      <c r="JO165" s="23"/>
      <c r="JP165" s="23"/>
      <c r="JQ165" s="23"/>
      <c r="JR165" s="23"/>
      <c r="JS165" s="23"/>
      <c r="JT165" s="23"/>
      <c r="JU165" s="23"/>
      <c r="JV165" s="23"/>
      <c r="JW165" s="23"/>
      <c r="JX165" s="23"/>
      <c r="JY165" s="23"/>
      <c r="JZ165" s="23"/>
      <c r="KA165" s="23"/>
      <c r="KB165" s="34"/>
    </row>
    <row r="166" spans="2:288" ht="15" customHeight="1" x14ac:dyDescent="0.35">
      <c r="B166" s="146" t="str">
        <f t="shared" si="15"/>
        <v>Desk 53</v>
      </c>
      <c r="C166" s="148" t="str">
        <v/>
      </c>
      <c r="D166" s="148" t="str">
        <v/>
      </c>
      <c r="E166" s="148" t="str">
        <v/>
      </c>
      <c r="F166" s="148" t="str">
        <v/>
      </c>
      <c r="G166" s="268" t="str">
        <v/>
      </c>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34"/>
      <c r="DX166" s="23"/>
      <c r="DY166" s="23"/>
      <c r="DZ166" s="23"/>
      <c r="EA166" s="23"/>
      <c r="EB166" s="23"/>
      <c r="EC166" s="23"/>
      <c r="ED166" s="23"/>
      <c r="EE166" s="23"/>
      <c r="EF166" s="23"/>
      <c r="EG166" s="23"/>
      <c r="EH166" s="23"/>
      <c r="EI166" s="23"/>
      <c r="EJ166" s="23"/>
      <c r="EK166" s="23"/>
      <c r="EL166" s="23"/>
      <c r="EM166" s="23"/>
      <c r="EN166" s="23"/>
      <c r="EO166" s="23"/>
      <c r="EP166" s="23"/>
      <c r="EQ166" s="23"/>
      <c r="ER166" s="34"/>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c r="HT166" s="23"/>
      <c r="HU166" s="23"/>
      <c r="HV166" s="23"/>
      <c r="HW166" s="23"/>
      <c r="HX166" s="23"/>
      <c r="HY166" s="23"/>
      <c r="HZ166" s="23"/>
      <c r="IA166" s="23"/>
      <c r="IB166" s="23"/>
      <c r="IC166" s="23"/>
      <c r="ID166" s="23"/>
      <c r="IE166" s="23"/>
      <c r="IF166" s="23"/>
      <c r="IG166" s="23"/>
      <c r="IH166" s="23"/>
      <c r="II166" s="23"/>
      <c r="IJ166" s="23"/>
      <c r="IK166" s="23"/>
      <c r="IL166" s="23"/>
      <c r="IM166" s="23"/>
      <c r="IN166" s="23"/>
      <c r="IO166" s="23"/>
      <c r="IP166" s="23"/>
      <c r="IQ166" s="23"/>
      <c r="IR166" s="23"/>
      <c r="IS166" s="23"/>
      <c r="IT166" s="23"/>
      <c r="IU166" s="23"/>
      <c r="IV166" s="23"/>
      <c r="IW166" s="23"/>
      <c r="IX166" s="23"/>
      <c r="IY166" s="23"/>
      <c r="IZ166" s="23"/>
      <c r="JA166" s="23"/>
      <c r="JB166" s="23"/>
      <c r="JC166" s="23"/>
      <c r="JD166" s="23"/>
      <c r="JE166" s="23"/>
      <c r="JF166" s="23"/>
      <c r="JG166" s="34"/>
      <c r="JH166" s="23"/>
      <c r="JI166" s="23"/>
      <c r="JJ166" s="23"/>
      <c r="JK166" s="23"/>
      <c r="JL166" s="23"/>
      <c r="JM166" s="23"/>
      <c r="JN166" s="23"/>
      <c r="JO166" s="23"/>
      <c r="JP166" s="23"/>
      <c r="JQ166" s="23"/>
      <c r="JR166" s="23"/>
      <c r="JS166" s="23"/>
      <c r="JT166" s="23"/>
      <c r="JU166" s="23"/>
      <c r="JV166" s="23"/>
      <c r="JW166" s="23"/>
      <c r="JX166" s="23"/>
      <c r="JY166" s="23"/>
      <c r="JZ166" s="23"/>
      <c r="KA166" s="23"/>
      <c r="KB166" s="34"/>
    </row>
    <row r="167" spans="2:288" ht="15" customHeight="1" x14ac:dyDescent="0.35">
      <c r="B167" s="146" t="str">
        <f t="shared" si="15"/>
        <v>Desk 54</v>
      </c>
      <c r="C167" s="148" t="str">
        <v/>
      </c>
      <c r="D167" s="148" t="str">
        <v/>
      </c>
      <c r="E167" s="148" t="str">
        <v/>
      </c>
      <c r="F167" s="148" t="str">
        <v/>
      </c>
      <c r="G167" s="268" t="str">
        <v/>
      </c>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34"/>
      <c r="DX167" s="23"/>
      <c r="DY167" s="23"/>
      <c r="DZ167" s="23"/>
      <c r="EA167" s="23"/>
      <c r="EB167" s="23"/>
      <c r="EC167" s="23"/>
      <c r="ED167" s="23"/>
      <c r="EE167" s="23"/>
      <c r="EF167" s="23"/>
      <c r="EG167" s="23"/>
      <c r="EH167" s="23"/>
      <c r="EI167" s="23"/>
      <c r="EJ167" s="23"/>
      <c r="EK167" s="23"/>
      <c r="EL167" s="23"/>
      <c r="EM167" s="23"/>
      <c r="EN167" s="23"/>
      <c r="EO167" s="23"/>
      <c r="EP167" s="23"/>
      <c r="EQ167" s="23"/>
      <c r="ER167" s="34"/>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23"/>
      <c r="GH167" s="23"/>
      <c r="GI167" s="23"/>
      <c r="GJ167" s="23"/>
      <c r="GK167" s="23"/>
      <c r="GL167" s="23"/>
      <c r="GM167" s="23"/>
      <c r="GN167" s="23"/>
      <c r="GO167" s="23"/>
      <c r="GP167" s="23"/>
      <c r="GQ167" s="23"/>
      <c r="GR167" s="23"/>
      <c r="GS167" s="23"/>
      <c r="GT167" s="23"/>
      <c r="GU167" s="23"/>
      <c r="GV167" s="23"/>
      <c r="GW167" s="23"/>
      <c r="GX167" s="23"/>
      <c r="GY167" s="23"/>
      <c r="GZ167" s="23"/>
      <c r="HA167" s="23"/>
      <c r="HB167" s="23"/>
      <c r="HC167" s="23"/>
      <c r="HD167" s="23"/>
      <c r="HE167" s="23"/>
      <c r="HF167" s="23"/>
      <c r="HG167" s="23"/>
      <c r="HH167" s="23"/>
      <c r="HI167" s="23"/>
      <c r="HJ167" s="23"/>
      <c r="HK167" s="23"/>
      <c r="HL167" s="23"/>
      <c r="HM167" s="23"/>
      <c r="HN167" s="23"/>
      <c r="HO167" s="23"/>
      <c r="HP167" s="23"/>
      <c r="HQ167" s="23"/>
      <c r="HR167" s="23"/>
      <c r="HS167" s="23"/>
      <c r="HT167" s="23"/>
      <c r="HU167" s="23"/>
      <c r="HV167" s="23"/>
      <c r="HW167" s="23"/>
      <c r="HX167" s="23"/>
      <c r="HY167" s="23"/>
      <c r="HZ167" s="23"/>
      <c r="IA167" s="23"/>
      <c r="IB167" s="23"/>
      <c r="IC167" s="23"/>
      <c r="ID167" s="23"/>
      <c r="IE167" s="23"/>
      <c r="IF167" s="23"/>
      <c r="IG167" s="23"/>
      <c r="IH167" s="23"/>
      <c r="II167" s="23"/>
      <c r="IJ167" s="23"/>
      <c r="IK167" s="23"/>
      <c r="IL167" s="23"/>
      <c r="IM167" s="23"/>
      <c r="IN167" s="23"/>
      <c r="IO167" s="23"/>
      <c r="IP167" s="23"/>
      <c r="IQ167" s="23"/>
      <c r="IR167" s="23"/>
      <c r="IS167" s="23"/>
      <c r="IT167" s="23"/>
      <c r="IU167" s="23"/>
      <c r="IV167" s="23"/>
      <c r="IW167" s="23"/>
      <c r="IX167" s="23"/>
      <c r="IY167" s="23"/>
      <c r="IZ167" s="23"/>
      <c r="JA167" s="23"/>
      <c r="JB167" s="23"/>
      <c r="JC167" s="23"/>
      <c r="JD167" s="23"/>
      <c r="JE167" s="23"/>
      <c r="JF167" s="23"/>
      <c r="JG167" s="34"/>
      <c r="JH167" s="23"/>
      <c r="JI167" s="23"/>
      <c r="JJ167" s="23"/>
      <c r="JK167" s="23"/>
      <c r="JL167" s="23"/>
      <c r="JM167" s="23"/>
      <c r="JN167" s="23"/>
      <c r="JO167" s="23"/>
      <c r="JP167" s="23"/>
      <c r="JQ167" s="23"/>
      <c r="JR167" s="23"/>
      <c r="JS167" s="23"/>
      <c r="JT167" s="23"/>
      <c r="JU167" s="23"/>
      <c r="JV167" s="23"/>
      <c r="JW167" s="23"/>
      <c r="JX167" s="23"/>
      <c r="JY167" s="23"/>
      <c r="JZ167" s="23"/>
      <c r="KA167" s="23"/>
      <c r="KB167" s="34"/>
    </row>
    <row r="168" spans="2:288" ht="15" customHeight="1" x14ac:dyDescent="0.35">
      <c r="B168" s="146" t="str">
        <f t="shared" si="15"/>
        <v>Desk 55</v>
      </c>
      <c r="C168" s="148" t="str">
        <v/>
      </c>
      <c r="D168" s="148" t="str">
        <v/>
      </c>
      <c r="E168" s="148" t="str">
        <v/>
      </c>
      <c r="F168" s="148" t="str">
        <v/>
      </c>
      <c r="G168" s="268" t="str">
        <v/>
      </c>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34"/>
      <c r="DX168" s="23"/>
      <c r="DY168" s="23"/>
      <c r="DZ168" s="23"/>
      <c r="EA168" s="23"/>
      <c r="EB168" s="23"/>
      <c r="EC168" s="23"/>
      <c r="ED168" s="23"/>
      <c r="EE168" s="23"/>
      <c r="EF168" s="23"/>
      <c r="EG168" s="23"/>
      <c r="EH168" s="23"/>
      <c r="EI168" s="23"/>
      <c r="EJ168" s="23"/>
      <c r="EK168" s="23"/>
      <c r="EL168" s="23"/>
      <c r="EM168" s="23"/>
      <c r="EN168" s="23"/>
      <c r="EO168" s="23"/>
      <c r="EP168" s="23"/>
      <c r="EQ168" s="23"/>
      <c r="ER168" s="34"/>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c r="HT168" s="23"/>
      <c r="HU168" s="23"/>
      <c r="HV168" s="23"/>
      <c r="HW168" s="23"/>
      <c r="HX168" s="23"/>
      <c r="HY168" s="23"/>
      <c r="HZ168" s="23"/>
      <c r="IA168" s="23"/>
      <c r="IB168" s="23"/>
      <c r="IC168" s="23"/>
      <c r="ID168" s="23"/>
      <c r="IE168" s="23"/>
      <c r="IF168" s="23"/>
      <c r="IG168" s="23"/>
      <c r="IH168" s="23"/>
      <c r="II168" s="23"/>
      <c r="IJ168" s="23"/>
      <c r="IK168" s="23"/>
      <c r="IL168" s="23"/>
      <c r="IM168" s="23"/>
      <c r="IN168" s="23"/>
      <c r="IO168" s="23"/>
      <c r="IP168" s="23"/>
      <c r="IQ168" s="23"/>
      <c r="IR168" s="23"/>
      <c r="IS168" s="23"/>
      <c r="IT168" s="23"/>
      <c r="IU168" s="23"/>
      <c r="IV168" s="23"/>
      <c r="IW168" s="23"/>
      <c r="IX168" s="23"/>
      <c r="IY168" s="23"/>
      <c r="IZ168" s="23"/>
      <c r="JA168" s="23"/>
      <c r="JB168" s="23"/>
      <c r="JC168" s="23"/>
      <c r="JD168" s="23"/>
      <c r="JE168" s="23"/>
      <c r="JF168" s="23"/>
      <c r="JG168" s="34"/>
      <c r="JH168" s="23"/>
      <c r="JI168" s="23"/>
      <c r="JJ168" s="23"/>
      <c r="JK168" s="23"/>
      <c r="JL168" s="23"/>
      <c r="JM168" s="23"/>
      <c r="JN168" s="23"/>
      <c r="JO168" s="23"/>
      <c r="JP168" s="23"/>
      <c r="JQ168" s="23"/>
      <c r="JR168" s="23"/>
      <c r="JS168" s="23"/>
      <c r="JT168" s="23"/>
      <c r="JU168" s="23"/>
      <c r="JV168" s="23"/>
      <c r="JW168" s="23"/>
      <c r="JX168" s="23"/>
      <c r="JY168" s="23"/>
      <c r="JZ168" s="23"/>
      <c r="KA168" s="23"/>
      <c r="KB168" s="34"/>
    </row>
    <row r="169" spans="2:288" ht="15" customHeight="1" x14ac:dyDescent="0.35">
      <c r="B169" s="146" t="str">
        <f t="shared" si="15"/>
        <v>Desk 56</v>
      </c>
      <c r="C169" s="148" t="str">
        <v/>
      </c>
      <c r="D169" s="148" t="str">
        <v/>
      </c>
      <c r="E169" s="148" t="str">
        <v/>
      </c>
      <c r="F169" s="148" t="str">
        <v/>
      </c>
      <c r="G169" s="268" t="str">
        <v/>
      </c>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34"/>
      <c r="DX169" s="23"/>
      <c r="DY169" s="23"/>
      <c r="DZ169" s="23"/>
      <c r="EA169" s="23"/>
      <c r="EB169" s="23"/>
      <c r="EC169" s="23"/>
      <c r="ED169" s="23"/>
      <c r="EE169" s="23"/>
      <c r="EF169" s="23"/>
      <c r="EG169" s="23"/>
      <c r="EH169" s="23"/>
      <c r="EI169" s="23"/>
      <c r="EJ169" s="23"/>
      <c r="EK169" s="23"/>
      <c r="EL169" s="23"/>
      <c r="EM169" s="23"/>
      <c r="EN169" s="23"/>
      <c r="EO169" s="23"/>
      <c r="EP169" s="23"/>
      <c r="EQ169" s="23"/>
      <c r="ER169" s="34"/>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c r="FX169" s="23"/>
      <c r="FY169" s="23"/>
      <c r="FZ169" s="23"/>
      <c r="GA169" s="23"/>
      <c r="GB169" s="23"/>
      <c r="GC169" s="23"/>
      <c r="GD169" s="23"/>
      <c r="GE169" s="23"/>
      <c r="GF169" s="23"/>
      <c r="GG169" s="23"/>
      <c r="GH169" s="23"/>
      <c r="GI169" s="23"/>
      <c r="GJ169" s="23"/>
      <c r="GK169" s="23"/>
      <c r="GL169" s="23"/>
      <c r="GM169" s="23"/>
      <c r="GN169" s="23"/>
      <c r="GO169" s="23"/>
      <c r="GP169" s="23"/>
      <c r="GQ169" s="23"/>
      <c r="GR169" s="23"/>
      <c r="GS169" s="23"/>
      <c r="GT169" s="23"/>
      <c r="GU169" s="23"/>
      <c r="GV169" s="23"/>
      <c r="GW169" s="23"/>
      <c r="GX169" s="23"/>
      <c r="GY169" s="23"/>
      <c r="GZ169" s="23"/>
      <c r="HA169" s="23"/>
      <c r="HB169" s="23"/>
      <c r="HC169" s="23"/>
      <c r="HD169" s="23"/>
      <c r="HE169" s="23"/>
      <c r="HF169" s="23"/>
      <c r="HG169" s="23"/>
      <c r="HH169" s="23"/>
      <c r="HI169" s="23"/>
      <c r="HJ169" s="23"/>
      <c r="HK169" s="23"/>
      <c r="HL169" s="23"/>
      <c r="HM169" s="23"/>
      <c r="HN169" s="23"/>
      <c r="HO169" s="23"/>
      <c r="HP169" s="23"/>
      <c r="HQ169" s="23"/>
      <c r="HR169" s="23"/>
      <c r="HS169" s="23"/>
      <c r="HT169" s="23"/>
      <c r="HU169" s="23"/>
      <c r="HV169" s="23"/>
      <c r="HW169" s="23"/>
      <c r="HX169" s="23"/>
      <c r="HY169" s="23"/>
      <c r="HZ169" s="23"/>
      <c r="IA169" s="23"/>
      <c r="IB169" s="23"/>
      <c r="IC169" s="23"/>
      <c r="ID169" s="23"/>
      <c r="IE169" s="23"/>
      <c r="IF169" s="23"/>
      <c r="IG169" s="23"/>
      <c r="IH169" s="23"/>
      <c r="II169" s="23"/>
      <c r="IJ169" s="23"/>
      <c r="IK169" s="23"/>
      <c r="IL169" s="23"/>
      <c r="IM169" s="23"/>
      <c r="IN169" s="23"/>
      <c r="IO169" s="23"/>
      <c r="IP169" s="23"/>
      <c r="IQ169" s="23"/>
      <c r="IR169" s="23"/>
      <c r="IS169" s="23"/>
      <c r="IT169" s="23"/>
      <c r="IU169" s="23"/>
      <c r="IV169" s="23"/>
      <c r="IW169" s="23"/>
      <c r="IX169" s="23"/>
      <c r="IY169" s="23"/>
      <c r="IZ169" s="23"/>
      <c r="JA169" s="23"/>
      <c r="JB169" s="23"/>
      <c r="JC169" s="23"/>
      <c r="JD169" s="23"/>
      <c r="JE169" s="23"/>
      <c r="JF169" s="23"/>
      <c r="JG169" s="34"/>
      <c r="JH169" s="23"/>
      <c r="JI169" s="23"/>
      <c r="JJ169" s="23"/>
      <c r="JK169" s="23"/>
      <c r="JL169" s="23"/>
      <c r="JM169" s="23"/>
      <c r="JN169" s="23"/>
      <c r="JO169" s="23"/>
      <c r="JP169" s="23"/>
      <c r="JQ169" s="23"/>
      <c r="JR169" s="23"/>
      <c r="JS169" s="23"/>
      <c r="JT169" s="23"/>
      <c r="JU169" s="23"/>
      <c r="JV169" s="23"/>
      <c r="JW169" s="23"/>
      <c r="JX169" s="23"/>
      <c r="JY169" s="23"/>
      <c r="JZ169" s="23"/>
      <c r="KA169" s="23"/>
      <c r="KB169" s="34"/>
    </row>
    <row r="170" spans="2:288" ht="15" customHeight="1" x14ac:dyDescent="0.35">
      <c r="B170" s="146" t="str">
        <f t="shared" si="15"/>
        <v>Desk 57</v>
      </c>
      <c r="C170" s="148" t="str">
        <v/>
      </c>
      <c r="D170" s="148" t="str">
        <v/>
      </c>
      <c r="E170" s="148" t="str">
        <v/>
      </c>
      <c r="F170" s="148" t="str">
        <v/>
      </c>
      <c r="G170" s="268" t="str">
        <v/>
      </c>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34"/>
      <c r="DX170" s="23"/>
      <c r="DY170" s="23"/>
      <c r="DZ170" s="23"/>
      <c r="EA170" s="23"/>
      <c r="EB170" s="23"/>
      <c r="EC170" s="23"/>
      <c r="ED170" s="23"/>
      <c r="EE170" s="23"/>
      <c r="EF170" s="23"/>
      <c r="EG170" s="23"/>
      <c r="EH170" s="23"/>
      <c r="EI170" s="23"/>
      <c r="EJ170" s="23"/>
      <c r="EK170" s="23"/>
      <c r="EL170" s="23"/>
      <c r="EM170" s="23"/>
      <c r="EN170" s="23"/>
      <c r="EO170" s="23"/>
      <c r="EP170" s="23"/>
      <c r="EQ170" s="23"/>
      <c r="ER170" s="34"/>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c r="HT170" s="23"/>
      <c r="HU170" s="23"/>
      <c r="HV170" s="23"/>
      <c r="HW170" s="23"/>
      <c r="HX170" s="23"/>
      <c r="HY170" s="23"/>
      <c r="HZ170" s="23"/>
      <c r="IA170" s="23"/>
      <c r="IB170" s="23"/>
      <c r="IC170" s="23"/>
      <c r="ID170" s="23"/>
      <c r="IE170" s="23"/>
      <c r="IF170" s="23"/>
      <c r="IG170" s="23"/>
      <c r="IH170" s="23"/>
      <c r="II170" s="23"/>
      <c r="IJ170" s="23"/>
      <c r="IK170" s="23"/>
      <c r="IL170" s="23"/>
      <c r="IM170" s="23"/>
      <c r="IN170" s="23"/>
      <c r="IO170" s="23"/>
      <c r="IP170" s="23"/>
      <c r="IQ170" s="23"/>
      <c r="IR170" s="23"/>
      <c r="IS170" s="23"/>
      <c r="IT170" s="23"/>
      <c r="IU170" s="23"/>
      <c r="IV170" s="23"/>
      <c r="IW170" s="23"/>
      <c r="IX170" s="23"/>
      <c r="IY170" s="23"/>
      <c r="IZ170" s="23"/>
      <c r="JA170" s="23"/>
      <c r="JB170" s="23"/>
      <c r="JC170" s="23"/>
      <c r="JD170" s="23"/>
      <c r="JE170" s="23"/>
      <c r="JF170" s="23"/>
      <c r="JG170" s="34"/>
      <c r="JH170" s="23"/>
      <c r="JI170" s="23"/>
      <c r="JJ170" s="23"/>
      <c r="JK170" s="23"/>
      <c r="JL170" s="23"/>
      <c r="JM170" s="23"/>
      <c r="JN170" s="23"/>
      <c r="JO170" s="23"/>
      <c r="JP170" s="23"/>
      <c r="JQ170" s="23"/>
      <c r="JR170" s="23"/>
      <c r="JS170" s="23"/>
      <c r="JT170" s="23"/>
      <c r="JU170" s="23"/>
      <c r="JV170" s="23"/>
      <c r="JW170" s="23"/>
      <c r="JX170" s="23"/>
      <c r="JY170" s="23"/>
      <c r="JZ170" s="23"/>
      <c r="KA170" s="23"/>
      <c r="KB170" s="34"/>
    </row>
    <row r="171" spans="2:288" ht="15" customHeight="1" x14ac:dyDescent="0.35">
      <c r="B171" s="146" t="str">
        <f t="shared" si="15"/>
        <v>Desk 58</v>
      </c>
      <c r="C171" s="148" t="str">
        <v/>
      </c>
      <c r="D171" s="148" t="str">
        <v/>
      </c>
      <c r="E171" s="148" t="str">
        <v/>
      </c>
      <c r="F171" s="148" t="str">
        <v/>
      </c>
      <c r="G171" s="268" t="str">
        <v/>
      </c>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34"/>
      <c r="DX171" s="23"/>
      <c r="DY171" s="23"/>
      <c r="DZ171" s="23"/>
      <c r="EA171" s="23"/>
      <c r="EB171" s="23"/>
      <c r="EC171" s="23"/>
      <c r="ED171" s="23"/>
      <c r="EE171" s="23"/>
      <c r="EF171" s="23"/>
      <c r="EG171" s="23"/>
      <c r="EH171" s="23"/>
      <c r="EI171" s="23"/>
      <c r="EJ171" s="23"/>
      <c r="EK171" s="23"/>
      <c r="EL171" s="23"/>
      <c r="EM171" s="23"/>
      <c r="EN171" s="23"/>
      <c r="EO171" s="23"/>
      <c r="EP171" s="23"/>
      <c r="EQ171" s="23"/>
      <c r="ER171" s="34"/>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c r="FX171" s="23"/>
      <c r="FY171" s="23"/>
      <c r="FZ171" s="23"/>
      <c r="GA171" s="23"/>
      <c r="GB171" s="23"/>
      <c r="GC171" s="23"/>
      <c r="GD171" s="23"/>
      <c r="GE171" s="23"/>
      <c r="GF171" s="23"/>
      <c r="GG171" s="23"/>
      <c r="GH171" s="23"/>
      <c r="GI171" s="23"/>
      <c r="GJ171" s="23"/>
      <c r="GK171" s="23"/>
      <c r="GL171" s="23"/>
      <c r="GM171" s="23"/>
      <c r="GN171" s="23"/>
      <c r="GO171" s="23"/>
      <c r="GP171" s="23"/>
      <c r="GQ171" s="23"/>
      <c r="GR171" s="23"/>
      <c r="GS171" s="23"/>
      <c r="GT171" s="23"/>
      <c r="GU171" s="23"/>
      <c r="GV171" s="23"/>
      <c r="GW171" s="23"/>
      <c r="GX171" s="23"/>
      <c r="GY171" s="23"/>
      <c r="GZ171" s="23"/>
      <c r="HA171" s="23"/>
      <c r="HB171" s="23"/>
      <c r="HC171" s="23"/>
      <c r="HD171" s="23"/>
      <c r="HE171" s="23"/>
      <c r="HF171" s="23"/>
      <c r="HG171" s="23"/>
      <c r="HH171" s="23"/>
      <c r="HI171" s="23"/>
      <c r="HJ171" s="23"/>
      <c r="HK171" s="23"/>
      <c r="HL171" s="23"/>
      <c r="HM171" s="23"/>
      <c r="HN171" s="23"/>
      <c r="HO171" s="23"/>
      <c r="HP171" s="23"/>
      <c r="HQ171" s="23"/>
      <c r="HR171" s="23"/>
      <c r="HS171" s="23"/>
      <c r="HT171" s="23"/>
      <c r="HU171" s="23"/>
      <c r="HV171" s="23"/>
      <c r="HW171" s="23"/>
      <c r="HX171" s="23"/>
      <c r="HY171" s="23"/>
      <c r="HZ171" s="23"/>
      <c r="IA171" s="23"/>
      <c r="IB171" s="23"/>
      <c r="IC171" s="23"/>
      <c r="ID171" s="23"/>
      <c r="IE171" s="23"/>
      <c r="IF171" s="23"/>
      <c r="IG171" s="23"/>
      <c r="IH171" s="23"/>
      <c r="II171" s="23"/>
      <c r="IJ171" s="23"/>
      <c r="IK171" s="23"/>
      <c r="IL171" s="23"/>
      <c r="IM171" s="23"/>
      <c r="IN171" s="23"/>
      <c r="IO171" s="23"/>
      <c r="IP171" s="23"/>
      <c r="IQ171" s="23"/>
      <c r="IR171" s="23"/>
      <c r="IS171" s="23"/>
      <c r="IT171" s="23"/>
      <c r="IU171" s="23"/>
      <c r="IV171" s="23"/>
      <c r="IW171" s="23"/>
      <c r="IX171" s="23"/>
      <c r="IY171" s="23"/>
      <c r="IZ171" s="23"/>
      <c r="JA171" s="23"/>
      <c r="JB171" s="23"/>
      <c r="JC171" s="23"/>
      <c r="JD171" s="23"/>
      <c r="JE171" s="23"/>
      <c r="JF171" s="23"/>
      <c r="JG171" s="34"/>
      <c r="JH171" s="23"/>
      <c r="JI171" s="23"/>
      <c r="JJ171" s="23"/>
      <c r="JK171" s="23"/>
      <c r="JL171" s="23"/>
      <c r="JM171" s="23"/>
      <c r="JN171" s="23"/>
      <c r="JO171" s="23"/>
      <c r="JP171" s="23"/>
      <c r="JQ171" s="23"/>
      <c r="JR171" s="23"/>
      <c r="JS171" s="23"/>
      <c r="JT171" s="23"/>
      <c r="JU171" s="23"/>
      <c r="JV171" s="23"/>
      <c r="JW171" s="23"/>
      <c r="JX171" s="23"/>
      <c r="JY171" s="23"/>
      <c r="JZ171" s="23"/>
      <c r="KA171" s="23"/>
      <c r="KB171" s="34"/>
    </row>
    <row r="172" spans="2:288" ht="15" customHeight="1" x14ac:dyDescent="0.35">
      <c r="B172" s="146" t="str">
        <f t="shared" si="15"/>
        <v>Desk 59</v>
      </c>
      <c r="C172" s="148" t="str">
        <v/>
      </c>
      <c r="D172" s="148" t="str">
        <v/>
      </c>
      <c r="E172" s="148" t="str">
        <v/>
      </c>
      <c r="F172" s="148" t="str">
        <v/>
      </c>
      <c r="G172" s="268" t="str">
        <v/>
      </c>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34"/>
      <c r="DX172" s="23"/>
      <c r="DY172" s="23"/>
      <c r="DZ172" s="23"/>
      <c r="EA172" s="23"/>
      <c r="EB172" s="23"/>
      <c r="EC172" s="23"/>
      <c r="ED172" s="23"/>
      <c r="EE172" s="23"/>
      <c r="EF172" s="23"/>
      <c r="EG172" s="23"/>
      <c r="EH172" s="23"/>
      <c r="EI172" s="23"/>
      <c r="EJ172" s="23"/>
      <c r="EK172" s="23"/>
      <c r="EL172" s="23"/>
      <c r="EM172" s="23"/>
      <c r="EN172" s="23"/>
      <c r="EO172" s="23"/>
      <c r="EP172" s="23"/>
      <c r="EQ172" s="23"/>
      <c r="ER172" s="34"/>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c r="HT172" s="23"/>
      <c r="HU172" s="23"/>
      <c r="HV172" s="23"/>
      <c r="HW172" s="23"/>
      <c r="HX172" s="23"/>
      <c r="HY172" s="23"/>
      <c r="HZ172" s="23"/>
      <c r="IA172" s="23"/>
      <c r="IB172" s="23"/>
      <c r="IC172" s="23"/>
      <c r="ID172" s="23"/>
      <c r="IE172" s="23"/>
      <c r="IF172" s="23"/>
      <c r="IG172" s="23"/>
      <c r="IH172" s="23"/>
      <c r="II172" s="23"/>
      <c r="IJ172" s="23"/>
      <c r="IK172" s="23"/>
      <c r="IL172" s="23"/>
      <c r="IM172" s="23"/>
      <c r="IN172" s="23"/>
      <c r="IO172" s="23"/>
      <c r="IP172" s="23"/>
      <c r="IQ172" s="23"/>
      <c r="IR172" s="23"/>
      <c r="IS172" s="23"/>
      <c r="IT172" s="23"/>
      <c r="IU172" s="23"/>
      <c r="IV172" s="23"/>
      <c r="IW172" s="23"/>
      <c r="IX172" s="23"/>
      <c r="IY172" s="23"/>
      <c r="IZ172" s="23"/>
      <c r="JA172" s="23"/>
      <c r="JB172" s="23"/>
      <c r="JC172" s="23"/>
      <c r="JD172" s="23"/>
      <c r="JE172" s="23"/>
      <c r="JF172" s="23"/>
      <c r="JG172" s="34"/>
      <c r="JH172" s="23"/>
      <c r="JI172" s="23"/>
      <c r="JJ172" s="23"/>
      <c r="JK172" s="23"/>
      <c r="JL172" s="23"/>
      <c r="JM172" s="23"/>
      <c r="JN172" s="23"/>
      <c r="JO172" s="23"/>
      <c r="JP172" s="23"/>
      <c r="JQ172" s="23"/>
      <c r="JR172" s="23"/>
      <c r="JS172" s="23"/>
      <c r="JT172" s="23"/>
      <c r="JU172" s="23"/>
      <c r="JV172" s="23"/>
      <c r="JW172" s="23"/>
      <c r="JX172" s="23"/>
      <c r="JY172" s="23"/>
      <c r="JZ172" s="23"/>
      <c r="KA172" s="23"/>
      <c r="KB172" s="34"/>
    </row>
    <row r="173" spans="2:288" ht="15" customHeight="1" x14ac:dyDescent="0.35">
      <c r="B173" s="146" t="str">
        <f t="shared" si="15"/>
        <v>Desk 60</v>
      </c>
      <c r="C173" s="148" t="str">
        <v/>
      </c>
      <c r="D173" s="148" t="str">
        <v/>
      </c>
      <c r="E173" s="148" t="str">
        <v/>
      </c>
      <c r="F173" s="148" t="str">
        <v/>
      </c>
      <c r="G173" s="268" t="str">
        <v/>
      </c>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34"/>
      <c r="DX173" s="23"/>
      <c r="DY173" s="23"/>
      <c r="DZ173" s="23"/>
      <c r="EA173" s="23"/>
      <c r="EB173" s="23"/>
      <c r="EC173" s="23"/>
      <c r="ED173" s="23"/>
      <c r="EE173" s="23"/>
      <c r="EF173" s="23"/>
      <c r="EG173" s="23"/>
      <c r="EH173" s="23"/>
      <c r="EI173" s="23"/>
      <c r="EJ173" s="23"/>
      <c r="EK173" s="23"/>
      <c r="EL173" s="23"/>
      <c r="EM173" s="23"/>
      <c r="EN173" s="23"/>
      <c r="EO173" s="23"/>
      <c r="EP173" s="23"/>
      <c r="EQ173" s="23"/>
      <c r="ER173" s="34"/>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c r="GK173" s="23"/>
      <c r="GL173" s="23"/>
      <c r="GM173" s="23"/>
      <c r="GN173" s="23"/>
      <c r="GO173" s="23"/>
      <c r="GP173" s="23"/>
      <c r="GQ173" s="23"/>
      <c r="GR173" s="23"/>
      <c r="GS173" s="23"/>
      <c r="GT173" s="23"/>
      <c r="GU173" s="23"/>
      <c r="GV173" s="23"/>
      <c r="GW173" s="23"/>
      <c r="GX173" s="23"/>
      <c r="GY173" s="23"/>
      <c r="GZ173" s="23"/>
      <c r="HA173" s="23"/>
      <c r="HB173" s="23"/>
      <c r="HC173" s="23"/>
      <c r="HD173" s="23"/>
      <c r="HE173" s="23"/>
      <c r="HF173" s="23"/>
      <c r="HG173" s="23"/>
      <c r="HH173" s="23"/>
      <c r="HI173" s="23"/>
      <c r="HJ173" s="23"/>
      <c r="HK173" s="23"/>
      <c r="HL173" s="23"/>
      <c r="HM173" s="23"/>
      <c r="HN173" s="23"/>
      <c r="HO173" s="23"/>
      <c r="HP173" s="23"/>
      <c r="HQ173" s="23"/>
      <c r="HR173" s="23"/>
      <c r="HS173" s="23"/>
      <c r="HT173" s="23"/>
      <c r="HU173" s="23"/>
      <c r="HV173" s="23"/>
      <c r="HW173" s="23"/>
      <c r="HX173" s="23"/>
      <c r="HY173" s="23"/>
      <c r="HZ173" s="23"/>
      <c r="IA173" s="23"/>
      <c r="IB173" s="23"/>
      <c r="IC173" s="23"/>
      <c r="ID173" s="23"/>
      <c r="IE173" s="23"/>
      <c r="IF173" s="23"/>
      <c r="IG173" s="23"/>
      <c r="IH173" s="23"/>
      <c r="II173" s="23"/>
      <c r="IJ173" s="23"/>
      <c r="IK173" s="23"/>
      <c r="IL173" s="23"/>
      <c r="IM173" s="23"/>
      <c r="IN173" s="23"/>
      <c r="IO173" s="23"/>
      <c r="IP173" s="23"/>
      <c r="IQ173" s="23"/>
      <c r="IR173" s="23"/>
      <c r="IS173" s="23"/>
      <c r="IT173" s="23"/>
      <c r="IU173" s="23"/>
      <c r="IV173" s="23"/>
      <c r="IW173" s="23"/>
      <c r="IX173" s="23"/>
      <c r="IY173" s="23"/>
      <c r="IZ173" s="23"/>
      <c r="JA173" s="23"/>
      <c r="JB173" s="23"/>
      <c r="JC173" s="23"/>
      <c r="JD173" s="23"/>
      <c r="JE173" s="23"/>
      <c r="JF173" s="23"/>
      <c r="JG173" s="34"/>
      <c r="JH173" s="23"/>
      <c r="JI173" s="23"/>
      <c r="JJ173" s="23"/>
      <c r="JK173" s="23"/>
      <c r="JL173" s="23"/>
      <c r="JM173" s="23"/>
      <c r="JN173" s="23"/>
      <c r="JO173" s="23"/>
      <c r="JP173" s="23"/>
      <c r="JQ173" s="23"/>
      <c r="JR173" s="23"/>
      <c r="JS173" s="23"/>
      <c r="JT173" s="23"/>
      <c r="JU173" s="23"/>
      <c r="JV173" s="23"/>
      <c r="JW173" s="23"/>
      <c r="JX173" s="23"/>
      <c r="JY173" s="23"/>
      <c r="JZ173" s="23"/>
      <c r="KA173" s="23"/>
      <c r="KB173" s="34"/>
    </row>
    <row r="174" spans="2:288" ht="15" customHeight="1" x14ac:dyDescent="0.35">
      <c r="B174" s="146" t="str">
        <f t="shared" si="15"/>
        <v>Desk 61</v>
      </c>
      <c r="C174" s="148" t="str">
        <v/>
      </c>
      <c r="D174" s="148" t="str">
        <v/>
      </c>
      <c r="E174" s="148" t="str">
        <v/>
      </c>
      <c r="F174" s="148" t="str">
        <v/>
      </c>
      <c r="G174" s="268" t="str">
        <v/>
      </c>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34"/>
      <c r="DX174" s="23"/>
      <c r="DY174" s="23"/>
      <c r="DZ174" s="23"/>
      <c r="EA174" s="23"/>
      <c r="EB174" s="23"/>
      <c r="EC174" s="23"/>
      <c r="ED174" s="23"/>
      <c r="EE174" s="23"/>
      <c r="EF174" s="23"/>
      <c r="EG174" s="23"/>
      <c r="EH174" s="23"/>
      <c r="EI174" s="23"/>
      <c r="EJ174" s="23"/>
      <c r="EK174" s="23"/>
      <c r="EL174" s="23"/>
      <c r="EM174" s="23"/>
      <c r="EN174" s="23"/>
      <c r="EO174" s="23"/>
      <c r="EP174" s="23"/>
      <c r="EQ174" s="23"/>
      <c r="ER174" s="34"/>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c r="HT174" s="23"/>
      <c r="HU174" s="23"/>
      <c r="HV174" s="23"/>
      <c r="HW174" s="23"/>
      <c r="HX174" s="23"/>
      <c r="HY174" s="23"/>
      <c r="HZ174" s="23"/>
      <c r="IA174" s="23"/>
      <c r="IB174" s="23"/>
      <c r="IC174" s="23"/>
      <c r="ID174" s="23"/>
      <c r="IE174" s="23"/>
      <c r="IF174" s="23"/>
      <c r="IG174" s="23"/>
      <c r="IH174" s="23"/>
      <c r="II174" s="23"/>
      <c r="IJ174" s="23"/>
      <c r="IK174" s="23"/>
      <c r="IL174" s="23"/>
      <c r="IM174" s="23"/>
      <c r="IN174" s="23"/>
      <c r="IO174" s="23"/>
      <c r="IP174" s="23"/>
      <c r="IQ174" s="23"/>
      <c r="IR174" s="23"/>
      <c r="IS174" s="23"/>
      <c r="IT174" s="23"/>
      <c r="IU174" s="23"/>
      <c r="IV174" s="23"/>
      <c r="IW174" s="23"/>
      <c r="IX174" s="23"/>
      <c r="IY174" s="23"/>
      <c r="IZ174" s="23"/>
      <c r="JA174" s="23"/>
      <c r="JB174" s="23"/>
      <c r="JC174" s="23"/>
      <c r="JD174" s="23"/>
      <c r="JE174" s="23"/>
      <c r="JF174" s="23"/>
      <c r="JG174" s="34"/>
      <c r="JH174" s="23"/>
      <c r="JI174" s="23"/>
      <c r="JJ174" s="23"/>
      <c r="JK174" s="23"/>
      <c r="JL174" s="23"/>
      <c r="JM174" s="23"/>
      <c r="JN174" s="23"/>
      <c r="JO174" s="23"/>
      <c r="JP174" s="23"/>
      <c r="JQ174" s="23"/>
      <c r="JR174" s="23"/>
      <c r="JS174" s="23"/>
      <c r="JT174" s="23"/>
      <c r="JU174" s="23"/>
      <c r="JV174" s="23"/>
      <c r="JW174" s="23"/>
      <c r="JX174" s="23"/>
      <c r="JY174" s="23"/>
      <c r="JZ174" s="23"/>
      <c r="KA174" s="23"/>
      <c r="KB174" s="34"/>
    </row>
    <row r="175" spans="2:288" ht="15" customHeight="1" x14ac:dyDescent="0.35">
      <c r="B175" s="146" t="str">
        <f t="shared" si="15"/>
        <v>Desk 62</v>
      </c>
      <c r="C175" s="148" t="str">
        <v/>
      </c>
      <c r="D175" s="148" t="str">
        <v/>
      </c>
      <c r="E175" s="148" t="str">
        <v/>
      </c>
      <c r="F175" s="148" t="str">
        <v/>
      </c>
      <c r="G175" s="268" t="str">
        <v/>
      </c>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34"/>
      <c r="DX175" s="23"/>
      <c r="DY175" s="23"/>
      <c r="DZ175" s="23"/>
      <c r="EA175" s="23"/>
      <c r="EB175" s="23"/>
      <c r="EC175" s="23"/>
      <c r="ED175" s="23"/>
      <c r="EE175" s="23"/>
      <c r="EF175" s="23"/>
      <c r="EG175" s="23"/>
      <c r="EH175" s="23"/>
      <c r="EI175" s="23"/>
      <c r="EJ175" s="23"/>
      <c r="EK175" s="23"/>
      <c r="EL175" s="23"/>
      <c r="EM175" s="23"/>
      <c r="EN175" s="23"/>
      <c r="EO175" s="23"/>
      <c r="EP175" s="23"/>
      <c r="EQ175" s="23"/>
      <c r="ER175" s="34"/>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c r="JB175" s="23"/>
      <c r="JC175" s="23"/>
      <c r="JD175" s="23"/>
      <c r="JE175" s="23"/>
      <c r="JF175" s="23"/>
      <c r="JG175" s="34"/>
      <c r="JH175" s="23"/>
      <c r="JI175" s="23"/>
      <c r="JJ175" s="23"/>
      <c r="JK175" s="23"/>
      <c r="JL175" s="23"/>
      <c r="JM175" s="23"/>
      <c r="JN175" s="23"/>
      <c r="JO175" s="23"/>
      <c r="JP175" s="23"/>
      <c r="JQ175" s="23"/>
      <c r="JR175" s="23"/>
      <c r="JS175" s="23"/>
      <c r="JT175" s="23"/>
      <c r="JU175" s="23"/>
      <c r="JV175" s="23"/>
      <c r="JW175" s="23"/>
      <c r="JX175" s="23"/>
      <c r="JY175" s="23"/>
      <c r="JZ175" s="23"/>
      <c r="KA175" s="23"/>
      <c r="KB175" s="34"/>
    </row>
    <row r="176" spans="2:288" ht="15" customHeight="1" x14ac:dyDescent="0.35">
      <c r="B176" s="146" t="str">
        <f t="shared" si="15"/>
        <v>Desk 63</v>
      </c>
      <c r="C176" s="148" t="str">
        <v/>
      </c>
      <c r="D176" s="148" t="str">
        <v/>
      </c>
      <c r="E176" s="148" t="str">
        <v/>
      </c>
      <c r="F176" s="148" t="str">
        <v/>
      </c>
      <c r="G176" s="268" t="str">
        <v/>
      </c>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34"/>
      <c r="DX176" s="23"/>
      <c r="DY176" s="23"/>
      <c r="DZ176" s="23"/>
      <c r="EA176" s="23"/>
      <c r="EB176" s="23"/>
      <c r="EC176" s="23"/>
      <c r="ED176" s="23"/>
      <c r="EE176" s="23"/>
      <c r="EF176" s="23"/>
      <c r="EG176" s="23"/>
      <c r="EH176" s="23"/>
      <c r="EI176" s="23"/>
      <c r="EJ176" s="23"/>
      <c r="EK176" s="23"/>
      <c r="EL176" s="23"/>
      <c r="EM176" s="23"/>
      <c r="EN176" s="23"/>
      <c r="EO176" s="23"/>
      <c r="EP176" s="23"/>
      <c r="EQ176" s="23"/>
      <c r="ER176" s="34"/>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c r="JC176" s="23"/>
      <c r="JD176" s="23"/>
      <c r="JE176" s="23"/>
      <c r="JF176" s="23"/>
      <c r="JG176" s="34"/>
      <c r="JH176" s="23"/>
      <c r="JI176" s="23"/>
      <c r="JJ176" s="23"/>
      <c r="JK176" s="23"/>
      <c r="JL176" s="23"/>
      <c r="JM176" s="23"/>
      <c r="JN176" s="23"/>
      <c r="JO176" s="23"/>
      <c r="JP176" s="23"/>
      <c r="JQ176" s="23"/>
      <c r="JR176" s="23"/>
      <c r="JS176" s="23"/>
      <c r="JT176" s="23"/>
      <c r="JU176" s="23"/>
      <c r="JV176" s="23"/>
      <c r="JW176" s="23"/>
      <c r="JX176" s="23"/>
      <c r="JY176" s="23"/>
      <c r="JZ176" s="23"/>
      <c r="KA176" s="23"/>
      <c r="KB176" s="34"/>
    </row>
    <row r="177" spans="2:288" ht="15" customHeight="1" x14ac:dyDescent="0.35">
      <c r="B177" s="146" t="str">
        <f t="shared" si="15"/>
        <v>Desk 64</v>
      </c>
      <c r="C177" s="148" t="str">
        <v/>
      </c>
      <c r="D177" s="148" t="str">
        <v/>
      </c>
      <c r="E177" s="148" t="str">
        <v/>
      </c>
      <c r="F177" s="148" t="str">
        <v/>
      </c>
      <c r="G177" s="268" t="str">
        <v/>
      </c>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34"/>
      <c r="DX177" s="23"/>
      <c r="DY177" s="23"/>
      <c r="DZ177" s="23"/>
      <c r="EA177" s="23"/>
      <c r="EB177" s="23"/>
      <c r="EC177" s="23"/>
      <c r="ED177" s="23"/>
      <c r="EE177" s="23"/>
      <c r="EF177" s="23"/>
      <c r="EG177" s="23"/>
      <c r="EH177" s="23"/>
      <c r="EI177" s="23"/>
      <c r="EJ177" s="23"/>
      <c r="EK177" s="23"/>
      <c r="EL177" s="23"/>
      <c r="EM177" s="23"/>
      <c r="EN177" s="23"/>
      <c r="EO177" s="23"/>
      <c r="EP177" s="23"/>
      <c r="EQ177" s="23"/>
      <c r="ER177" s="34"/>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c r="JC177" s="23"/>
      <c r="JD177" s="23"/>
      <c r="JE177" s="23"/>
      <c r="JF177" s="23"/>
      <c r="JG177" s="34"/>
      <c r="JH177" s="23"/>
      <c r="JI177" s="23"/>
      <c r="JJ177" s="23"/>
      <c r="JK177" s="23"/>
      <c r="JL177" s="23"/>
      <c r="JM177" s="23"/>
      <c r="JN177" s="23"/>
      <c r="JO177" s="23"/>
      <c r="JP177" s="23"/>
      <c r="JQ177" s="23"/>
      <c r="JR177" s="23"/>
      <c r="JS177" s="23"/>
      <c r="JT177" s="23"/>
      <c r="JU177" s="23"/>
      <c r="JV177" s="23"/>
      <c r="JW177" s="23"/>
      <c r="JX177" s="23"/>
      <c r="JY177" s="23"/>
      <c r="JZ177" s="23"/>
      <c r="KA177" s="23"/>
      <c r="KB177" s="34"/>
    </row>
    <row r="178" spans="2:288" ht="15" customHeight="1" x14ac:dyDescent="0.35">
      <c r="B178" s="146" t="str">
        <f t="shared" ref="B178:B213" si="16">B75</f>
        <v>Desk 65</v>
      </c>
      <c r="C178" s="148" t="str">
        <v/>
      </c>
      <c r="D178" s="148" t="str">
        <v/>
      </c>
      <c r="E178" s="148" t="str">
        <v/>
      </c>
      <c r="F178" s="148" t="str">
        <v/>
      </c>
      <c r="G178" s="268" t="str">
        <v/>
      </c>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34"/>
      <c r="DX178" s="23"/>
      <c r="DY178" s="23"/>
      <c r="DZ178" s="23"/>
      <c r="EA178" s="23"/>
      <c r="EB178" s="23"/>
      <c r="EC178" s="23"/>
      <c r="ED178" s="23"/>
      <c r="EE178" s="23"/>
      <c r="EF178" s="23"/>
      <c r="EG178" s="23"/>
      <c r="EH178" s="23"/>
      <c r="EI178" s="23"/>
      <c r="EJ178" s="23"/>
      <c r="EK178" s="23"/>
      <c r="EL178" s="23"/>
      <c r="EM178" s="23"/>
      <c r="EN178" s="23"/>
      <c r="EO178" s="23"/>
      <c r="EP178" s="23"/>
      <c r="EQ178" s="23"/>
      <c r="ER178" s="34"/>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c r="JC178" s="23"/>
      <c r="JD178" s="23"/>
      <c r="JE178" s="23"/>
      <c r="JF178" s="23"/>
      <c r="JG178" s="34"/>
      <c r="JH178" s="23"/>
      <c r="JI178" s="23"/>
      <c r="JJ178" s="23"/>
      <c r="JK178" s="23"/>
      <c r="JL178" s="23"/>
      <c r="JM178" s="23"/>
      <c r="JN178" s="23"/>
      <c r="JO178" s="23"/>
      <c r="JP178" s="23"/>
      <c r="JQ178" s="23"/>
      <c r="JR178" s="23"/>
      <c r="JS178" s="23"/>
      <c r="JT178" s="23"/>
      <c r="JU178" s="23"/>
      <c r="JV178" s="23"/>
      <c r="JW178" s="23"/>
      <c r="JX178" s="23"/>
      <c r="JY178" s="23"/>
      <c r="JZ178" s="23"/>
      <c r="KA178" s="23"/>
      <c r="KB178" s="34"/>
    </row>
    <row r="179" spans="2:288" ht="15" customHeight="1" x14ac:dyDescent="0.35">
      <c r="B179" s="146" t="str">
        <f t="shared" si="16"/>
        <v>Desk 66</v>
      </c>
      <c r="C179" s="148" t="str">
        <v/>
      </c>
      <c r="D179" s="148" t="str">
        <v/>
      </c>
      <c r="E179" s="148" t="str">
        <v/>
      </c>
      <c r="F179" s="148" t="str">
        <v/>
      </c>
      <c r="G179" s="268" t="str">
        <v/>
      </c>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34"/>
      <c r="DX179" s="23"/>
      <c r="DY179" s="23"/>
      <c r="DZ179" s="23"/>
      <c r="EA179" s="23"/>
      <c r="EB179" s="23"/>
      <c r="EC179" s="23"/>
      <c r="ED179" s="23"/>
      <c r="EE179" s="23"/>
      <c r="EF179" s="23"/>
      <c r="EG179" s="23"/>
      <c r="EH179" s="23"/>
      <c r="EI179" s="23"/>
      <c r="EJ179" s="23"/>
      <c r="EK179" s="23"/>
      <c r="EL179" s="23"/>
      <c r="EM179" s="23"/>
      <c r="EN179" s="23"/>
      <c r="EO179" s="23"/>
      <c r="EP179" s="23"/>
      <c r="EQ179" s="23"/>
      <c r="ER179" s="34"/>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c r="JC179" s="23"/>
      <c r="JD179" s="23"/>
      <c r="JE179" s="23"/>
      <c r="JF179" s="23"/>
      <c r="JG179" s="34"/>
      <c r="JH179" s="23"/>
      <c r="JI179" s="23"/>
      <c r="JJ179" s="23"/>
      <c r="JK179" s="23"/>
      <c r="JL179" s="23"/>
      <c r="JM179" s="23"/>
      <c r="JN179" s="23"/>
      <c r="JO179" s="23"/>
      <c r="JP179" s="23"/>
      <c r="JQ179" s="23"/>
      <c r="JR179" s="23"/>
      <c r="JS179" s="23"/>
      <c r="JT179" s="23"/>
      <c r="JU179" s="23"/>
      <c r="JV179" s="23"/>
      <c r="JW179" s="23"/>
      <c r="JX179" s="23"/>
      <c r="JY179" s="23"/>
      <c r="JZ179" s="23"/>
      <c r="KA179" s="23"/>
      <c r="KB179" s="34"/>
    </row>
    <row r="180" spans="2:288" ht="15" customHeight="1" x14ac:dyDescent="0.35">
      <c r="B180" s="146" t="str">
        <f t="shared" si="16"/>
        <v>Desk 67</v>
      </c>
      <c r="C180" s="148" t="str">
        <v/>
      </c>
      <c r="D180" s="148" t="str">
        <v/>
      </c>
      <c r="E180" s="148" t="str">
        <v/>
      </c>
      <c r="F180" s="148" t="str">
        <v/>
      </c>
      <c r="G180" s="268" t="str">
        <v/>
      </c>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34"/>
      <c r="DX180" s="23"/>
      <c r="DY180" s="23"/>
      <c r="DZ180" s="23"/>
      <c r="EA180" s="23"/>
      <c r="EB180" s="23"/>
      <c r="EC180" s="23"/>
      <c r="ED180" s="23"/>
      <c r="EE180" s="23"/>
      <c r="EF180" s="23"/>
      <c r="EG180" s="23"/>
      <c r="EH180" s="23"/>
      <c r="EI180" s="23"/>
      <c r="EJ180" s="23"/>
      <c r="EK180" s="23"/>
      <c r="EL180" s="23"/>
      <c r="EM180" s="23"/>
      <c r="EN180" s="23"/>
      <c r="EO180" s="23"/>
      <c r="EP180" s="23"/>
      <c r="EQ180" s="23"/>
      <c r="ER180" s="34"/>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c r="JC180" s="23"/>
      <c r="JD180" s="23"/>
      <c r="JE180" s="23"/>
      <c r="JF180" s="23"/>
      <c r="JG180" s="34"/>
      <c r="JH180" s="23"/>
      <c r="JI180" s="23"/>
      <c r="JJ180" s="23"/>
      <c r="JK180" s="23"/>
      <c r="JL180" s="23"/>
      <c r="JM180" s="23"/>
      <c r="JN180" s="23"/>
      <c r="JO180" s="23"/>
      <c r="JP180" s="23"/>
      <c r="JQ180" s="23"/>
      <c r="JR180" s="23"/>
      <c r="JS180" s="23"/>
      <c r="JT180" s="23"/>
      <c r="JU180" s="23"/>
      <c r="JV180" s="23"/>
      <c r="JW180" s="23"/>
      <c r="JX180" s="23"/>
      <c r="JY180" s="23"/>
      <c r="JZ180" s="23"/>
      <c r="KA180" s="23"/>
      <c r="KB180" s="34"/>
    </row>
    <row r="181" spans="2:288" ht="15" customHeight="1" x14ac:dyDescent="0.35">
      <c r="B181" s="146" t="str">
        <f t="shared" si="16"/>
        <v>Desk 68</v>
      </c>
      <c r="C181" s="148" t="str">
        <v/>
      </c>
      <c r="D181" s="148" t="str">
        <v/>
      </c>
      <c r="E181" s="148" t="str">
        <v/>
      </c>
      <c r="F181" s="148" t="str">
        <v/>
      </c>
      <c r="G181" s="268" t="str">
        <v/>
      </c>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34"/>
      <c r="DX181" s="23"/>
      <c r="DY181" s="23"/>
      <c r="DZ181" s="23"/>
      <c r="EA181" s="23"/>
      <c r="EB181" s="23"/>
      <c r="EC181" s="23"/>
      <c r="ED181" s="23"/>
      <c r="EE181" s="23"/>
      <c r="EF181" s="23"/>
      <c r="EG181" s="23"/>
      <c r="EH181" s="23"/>
      <c r="EI181" s="23"/>
      <c r="EJ181" s="23"/>
      <c r="EK181" s="23"/>
      <c r="EL181" s="23"/>
      <c r="EM181" s="23"/>
      <c r="EN181" s="23"/>
      <c r="EO181" s="23"/>
      <c r="EP181" s="23"/>
      <c r="EQ181" s="23"/>
      <c r="ER181" s="34"/>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c r="JC181" s="23"/>
      <c r="JD181" s="23"/>
      <c r="JE181" s="23"/>
      <c r="JF181" s="23"/>
      <c r="JG181" s="34"/>
      <c r="JH181" s="23"/>
      <c r="JI181" s="23"/>
      <c r="JJ181" s="23"/>
      <c r="JK181" s="23"/>
      <c r="JL181" s="23"/>
      <c r="JM181" s="23"/>
      <c r="JN181" s="23"/>
      <c r="JO181" s="23"/>
      <c r="JP181" s="23"/>
      <c r="JQ181" s="23"/>
      <c r="JR181" s="23"/>
      <c r="JS181" s="23"/>
      <c r="JT181" s="23"/>
      <c r="JU181" s="23"/>
      <c r="JV181" s="23"/>
      <c r="JW181" s="23"/>
      <c r="JX181" s="23"/>
      <c r="JY181" s="23"/>
      <c r="JZ181" s="23"/>
      <c r="KA181" s="23"/>
      <c r="KB181" s="34"/>
    </row>
    <row r="182" spans="2:288" ht="15" customHeight="1" x14ac:dyDescent="0.35">
      <c r="B182" s="146" t="str">
        <f t="shared" si="16"/>
        <v>Desk 69</v>
      </c>
      <c r="C182" s="148" t="str">
        <v/>
      </c>
      <c r="D182" s="148" t="str">
        <v/>
      </c>
      <c r="E182" s="148" t="str">
        <v/>
      </c>
      <c r="F182" s="148" t="str">
        <v/>
      </c>
      <c r="G182" s="268" t="str">
        <v/>
      </c>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34"/>
      <c r="DX182" s="23"/>
      <c r="DY182" s="23"/>
      <c r="DZ182" s="23"/>
      <c r="EA182" s="23"/>
      <c r="EB182" s="23"/>
      <c r="EC182" s="23"/>
      <c r="ED182" s="23"/>
      <c r="EE182" s="23"/>
      <c r="EF182" s="23"/>
      <c r="EG182" s="23"/>
      <c r="EH182" s="23"/>
      <c r="EI182" s="23"/>
      <c r="EJ182" s="23"/>
      <c r="EK182" s="23"/>
      <c r="EL182" s="23"/>
      <c r="EM182" s="23"/>
      <c r="EN182" s="23"/>
      <c r="EO182" s="23"/>
      <c r="EP182" s="23"/>
      <c r="EQ182" s="23"/>
      <c r="ER182" s="34"/>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c r="JC182" s="23"/>
      <c r="JD182" s="23"/>
      <c r="JE182" s="23"/>
      <c r="JF182" s="23"/>
      <c r="JG182" s="34"/>
      <c r="JH182" s="23"/>
      <c r="JI182" s="23"/>
      <c r="JJ182" s="23"/>
      <c r="JK182" s="23"/>
      <c r="JL182" s="23"/>
      <c r="JM182" s="23"/>
      <c r="JN182" s="23"/>
      <c r="JO182" s="23"/>
      <c r="JP182" s="23"/>
      <c r="JQ182" s="23"/>
      <c r="JR182" s="23"/>
      <c r="JS182" s="23"/>
      <c r="JT182" s="23"/>
      <c r="JU182" s="23"/>
      <c r="JV182" s="23"/>
      <c r="JW182" s="23"/>
      <c r="JX182" s="23"/>
      <c r="JY182" s="23"/>
      <c r="JZ182" s="23"/>
      <c r="KA182" s="23"/>
      <c r="KB182" s="34"/>
    </row>
    <row r="183" spans="2:288" ht="15" customHeight="1" x14ac:dyDescent="0.35">
      <c r="B183" s="146" t="str">
        <f t="shared" si="16"/>
        <v>Desk 70</v>
      </c>
      <c r="C183" s="148" t="str">
        <v/>
      </c>
      <c r="D183" s="148" t="str">
        <v/>
      </c>
      <c r="E183" s="148" t="str">
        <v/>
      </c>
      <c r="F183" s="148" t="str">
        <v/>
      </c>
      <c r="G183" s="268" t="str">
        <v/>
      </c>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34"/>
      <c r="DX183" s="23"/>
      <c r="DY183" s="23"/>
      <c r="DZ183" s="23"/>
      <c r="EA183" s="23"/>
      <c r="EB183" s="23"/>
      <c r="EC183" s="23"/>
      <c r="ED183" s="23"/>
      <c r="EE183" s="23"/>
      <c r="EF183" s="23"/>
      <c r="EG183" s="23"/>
      <c r="EH183" s="23"/>
      <c r="EI183" s="23"/>
      <c r="EJ183" s="23"/>
      <c r="EK183" s="23"/>
      <c r="EL183" s="23"/>
      <c r="EM183" s="23"/>
      <c r="EN183" s="23"/>
      <c r="EO183" s="23"/>
      <c r="EP183" s="23"/>
      <c r="EQ183" s="23"/>
      <c r="ER183" s="34"/>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c r="JB183" s="23"/>
      <c r="JC183" s="23"/>
      <c r="JD183" s="23"/>
      <c r="JE183" s="23"/>
      <c r="JF183" s="23"/>
      <c r="JG183" s="34"/>
      <c r="JH183" s="23"/>
      <c r="JI183" s="23"/>
      <c r="JJ183" s="23"/>
      <c r="JK183" s="23"/>
      <c r="JL183" s="23"/>
      <c r="JM183" s="23"/>
      <c r="JN183" s="23"/>
      <c r="JO183" s="23"/>
      <c r="JP183" s="23"/>
      <c r="JQ183" s="23"/>
      <c r="JR183" s="23"/>
      <c r="JS183" s="23"/>
      <c r="JT183" s="23"/>
      <c r="JU183" s="23"/>
      <c r="JV183" s="23"/>
      <c r="JW183" s="23"/>
      <c r="JX183" s="23"/>
      <c r="JY183" s="23"/>
      <c r="JZ183" s="23"/>
      <c r="KA183" s="23"/>
      <c r="KB183" s="34"/>
    </row>
    <row r="184" spans="2:288" ht="15" customHeight="1" x14ac:dyDescent="0.35">
      <c r="B184" s="146" t="str">
        <f t="shared" si="16"/>
        <v>Desk 71</v>
      </c>
      <c r="C184" s="148" t="str">
        <v/>
      </c>
      <c r="D184" s="148" t="str">
        <v/>
      </c>
      <c r="E184" s="148" t="str">
        <v/>
      </c>
      <c r="F184" s="148" t="str">
        <v/>
      </c>
      <c r="G184" s="268" t="str">
        <v/>
      </c>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34"/>
      <c r="DX184" s="23"/>
      <c r="DY184" s="23"/>
      <c r="DZ184" s="23"/>
      <c r="EA184" s="23"/>
      <c r="EB184" s="23"/>
      <c r="EC184" s="23"/>
      <c r="ED184" s="23"/>
      <c r="EE184" s="23"/>
      <c r="EF184" s="23"/>
      <c r="EG184" s="23"/>
      <c r="EH184" s="23"/>
      <c r="EI184" s="23"/>
      <c r="EJ184" s="23"/>
      <c r="EK184" s="23"/>
      <c r="EL184" s="23"/>
      <c r="EM184" s="23"/>
      <c r="EN184" s="23"/>
      <c r="EO184" s="23"/>
      <c r="EP184" s="23"/>
      <c r="EQ184" s="23"/>
      <c r="ER184" s="34"/>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c r="JC184" s="23"/>
      <c r="JD184" s="23"/>
      <c r="JE184" s="23"/>
      <c r="JF184" s="23"/>
      <c r="JG184" s="34"/>
      <c r="JH184" s="23"/>
      <c r="JI184" s="23"/>
      <c r="JJ184" s="23"/>
      <c r="JK184" s="23"/>
      <c r="JL184" s="23"/>
      <c r="JM184" s="23"/>
      <c r="JN184" s="23"/>
      <c r="JO184" s="23"/>
      <c r="JP184" s="23"/>
      <c r="JQ184" s="23"/>
      <c r="JR184" s="23"/>
      <c r="JS184" s="23"/>
      <c r="JT184" s="23"/>
      <c r="JU184" s="23"/>
      <c r="JV184" s="23"/>
      <c r="JW184" s="23"/>
      <c r="JX184" s="23"/>
      <c r="JY184" s="23"/>
      <c r="JZ184" s="23"/>
      <c r="KA184" s="23"/>
      <c r="KB184" s="34"/>
    </row>
    <row r="185" spans="2:288" ht="15" customHeight="1" x14ac:dyDescent="0.35">
      <c r="B185" s="146" t="str">
        <f t="shared" si="16"/>
        <v>Desk 72</v>
      </c>
      <c r="C185" s="148" t="str">
        <v/>
      </c>
      <c r="D185" s="148" t="str">
        <v/>
      </c>
      <c r="E185" s="148" t="str">
        <v/>
      </c>
      <c r="F185" s="148" t="str">
        <v/>
      </c>
      <c r="G185" s="268" t="str">
        <v/>
      </c>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34"/>
      <c r="DX185" s="23"/>
      <c r="DY185" s="23"/>
      <c r="DZ185" s="23"/>
      <c r="EA185" s="23"/>
      <c r="EB185" s="23"/>
      <c r="EC185" s="23"/>
      <c r="ED185" s="23"/>
      <c r="EE185" s="23"/>
      <c r="EF185" s="23"/>
      <c r="EG185" s="23"/>
      <c r="EH185" s="23"/>
      <c r="EI185" s="23"/>
      <c r="EJ185" s="23"/>
      <c r="EK185" s="23"/>
      <c r="EL185" s="23"/>
      <c r="EM185" s="23"/>
      <c r="EN185" s="23"/>
      <c r="EO185" s="23"/>
      <c r="EP185" s="23"/>
      <c r="EQ185" s="23"/>
      <c r="ER185" s="34"/>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c r="JC185" s="23"/>
      <c r="JD185" s="23"/>
      <c r="JE185" s="23"/>
      <c r="JF185" s="23"/>
      <c r="JG185" s="34"/>
      <c r="JH185" s="23"/>
      <c r="JI185" s="23"/>
      <c r="JJ185" s="23"/>
      <c r="JK185" s="23"/>
      <c r="JL185" s="23"/>
      <c r="JM185" s="23"/>
      <c r="JN185" s="23"/>
      <c r="JO185" s="23"/>
      <c r="JP185" s="23"/>
      <c r="JQ185" s="23"/>
      <c r="JR185" s="23"/>
      <c r="JS185" s="23"/>
      <c r="JT185" s="23"/>
      <c r="JU185" s="23"/>
      <c r="JV185" s="23"/>
      <c r="JW185" s="23"/>
      <c r="JX185" s="23"/>
      <c r="JY185" s="23"/>
      <c r="JZ185" s="23"/>
      <c r="KA185" s="23"/>
      <c r="KB185" s="34"/>
    </row>
    <row r="186" spans="2:288" ht="15" customHeight="1" x14ac:dyDescent="0.35">
      <c r="B186" s="146" t="str">
        <f t="shared" si="16"/>
        <v>Desk 73</v>
      </c>
      <c r="C186" s="148" t="str">
        <v/>
      </c>
      <c r="D186" s="148" t="str">
        <v/>
      </c>
      <c r="E186" s="148" t="str">
        <v/>
      </c>
      <c r="F186" s="148" t="str">
        <v/>
      </c>
      <c r="G186" s="268" t="str">
        <v/>
      </c>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34"/>
      <c r="DX186" s="23"/>
      <c r="DY186" s="23"/>
      <c r="DZ186" s="23"/>
      <c r="EA186" s="23"/>
      <c r="EB186" s="23"/>
      <c r="EC186" s="23"/>
      <c r="ED186" s="23"/>
      <c r="EE186" s="23"/>
      <c r="EF186" s="23"/>
      <c r="EG186" s="23"/>
      <c r="EH186" s="23"/>
      <c r="EI186" s="23"/>
      <c r="EJ186" s="23"/>
      <c r="EK186" s="23"/>
      <c r="EL186" s="23"/>
      <c r="EM186" s="23"/>
      <c r="EN186" s="23"/>
      <c r="EO186" s="23"/>
      <c r="EP186" s="23"/>
      <c r="EQ186" s="23"/>
      <c r="ER186" s="34"/>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c r="JC186" s="23"/>
      <c r="JD186" s="23"/>
      <c r="JE186" s="23"/>
      <c r="JF186" s="23"/>
      <c r="JG186" s="34"/>
      <c r="JH186" s="23"/>
      <c r="JI186" s="23"/>
      <c r="JJ186" s="23"/>
      <c r="JK186" s="23"/>
      <c r="JL186" s="23"/>
      <c r="JM186" s="23"/>
      <c r="JN186" s="23"/>
      <c r="JO186" s="23"/>
      <c r="JP186" s="23"/>
      <c r="JQ186" s="23"/>
      <c r="JR186" s="23"/>
      <c r="JS186" s="23"/>
      <c r="JT186" s="23"/>
      <c r="JU186" s="23"/>
      <c r="JV186" s="23"/>
      <c r="JW186" s="23"/>
      <c r="JX186" s="23"/>
      <c r="JY186" s="23"/>
      <c r="JZ186" s="23"/>
      <c r="KA186" s="23"/>
      <c r="KB186" s="34"/>
    </row>
    <row r="187" spans="2:288" ht="15" customHeight="1" x14ac:dyDescent="0.35">
      <c r="B187" s="146" t="str">
        <f t="shared" si="16"/>
        <v>Desk 74</v>
      </c>
      <c r="C187" s="148" t="str">
        <v/>
      </c>
      <c r="D187" s="148" t="str">
        <v/>
      </c>
      <c r="E187" s="148" t="str">
        <v/>
      </c>
      <c r="F187" s="148" t="str">
        <v/>
      </c>
      <c r="G187" s="268" t="str">
        <v/>
      </c>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34"/>
      <c r="DX187" s="23"/>
      <c r="DY187" s="23"/>
      <c r="DZ187" s="23"/>
      <c r="EA187" s="23"/>
      <c r="EB187" s="23"/>
      <c r="EC187" s="23"/>
      <c r="ED187" s="23"/>
      <c r="EE187" s="23"/>
      <c r="EF187" s="23"/>
      <c r="EG187" s="23"/>
      <c r="EH187" s="23"/>
      <c r="EI187" s="23"/>
      <c r="EJ187" s="23"/>
      <c r="EK187" s="23"/>
      <c r="EL187" s="23"/>
      <c r="EM187" s="23"/>
      <c r="EN187" s="23"/>
      <c r="EO187" s="23"/>
      <c r="EP187" s="23"/>
      <c r="EQ187" s="23"/>
      <c r="ER187" s="34"/>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c r="JC187" s="23"/>
      <c r="JD187" s="23"/>
      <c r="JE187" s="23"/>
      <c r="JF187" s="23"/>
      <c r="JG187" s="34"/>
      <c r="JH187" s="23"/>
      <c r="JI187" s="23"/>
      <c r="JJ187" s="23"/>
      <c r="JK187" s="23"/>
      <c r="JL187" s="23"/>
      <c r="JM187" s="23"/>
      <c r="JN187" s="23"/>
      <c r="JO187" s="23"/>
      <c r="JP187" s="23"/>
      <c r="JQ187" s="23"/>
      <c r="JR187" s="23"/>
      <c r="JS187" s="23"/>
      <c r="JT187" s="23"/>
      <c r="JU187" s="23"/>
      <c r="JV187" s="23"/>
      <c r="JW187" s="23"/>
      <c r="JX187" s="23"/>
      <c r="JY187" s="23"/>
      <c r="JZ187" s="23"/>
      <c r="KA187" s="23"/>
      <c r="KB187" s="34"/>
    </row>
    <row r="188" spans="2:288" ht="15" customHeight="1" x14ac:dyDescent="0.35">
      <c r="B188" s="146" t="str">
        <f t="shared" si="16"/>
        <v>Desk 75</v>
      </c>
      <c r="C188" s="148" t="str">
        <v/>
      </c>
      <c r="D188" s="148" t="str">
        <v/>
      </c>
      <c r="E188" s="148" t="str">
        <v/>
      </c>
      <c r="F188" s="148" t="str">
        <v/>
      </c>
      <c r="G188" s="268" t="str">
        <v/>
      </c>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34"/>
      <c r="DX188" s="23"/>
      <c r="DY188" s="23"/>
      <c r="DZ188" s="23"/>
      <c r="EA188" s="23"/>
      <c r="EB188" s="23"/>
      <c r="EC188" s="23"/>
      <c r="ED188" s="23"/>
      <c r="EE188" s="23"/>
      <c r="EF188" s="23"/>
      <c r="EG188" s="23"/>
      <c r="EH188" s="23"/>
      <c r="EI188" s="23"/>
      <c r="EJ188" s="23"/>
      <c r="EK188" s="23"/>
      <c r="EL188" s="23"/>
      <c r="EM188" s="23"/>
      <c r="EN188" s="23"/>
      <c r="EO188" s="23"/>
      <c r="EP188" s="23"/>
      <c r="EQ188" s="23"/>
      <c r="ER188" s="34"/>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c r="JC188" s="23"/>
      <c r="JD188" s="23"/>
      <c r="JE188" s="23"/>
      <c r="JF188" s="23"/>
      <c r="JG188" s="34"/>
      <c r="JH188" s="23"/>
      <c r="JI188" s="23"/>
      <c r="JJ188" s="23"/>
      <c r="JK188" s="23"/>
      <c r="JL188" s="23"/>
      <c r="JM188" s="23"/>
      <c r="JN188" s="23"/>
      <c r="JO188" s="23"/>
      <c r="JP188" s="23"/>
      <c r="JQ188" s="23"/>
      <c r="JR188" s="23"/>
      <c r="JS188" s="23"/>
      <c r="JT188" s="23"/>
      <c r="JU188" s="23"/>
      <c r="JV188" s="23"/>
      <c r="JW188" s="23"/>
      <c r="JX188" s="23"/>
      <c r="JY188" s="23"/>
      <c r="JZ188" s="23"/>
      <c r="KA188" s="23"/>
      <c r="KB188" s="34"/>
    </row>
    <row r="189" spans="2:288" ht="15" customHeight="1" x14ac:dyDescent="0.35">
      <c r="B189" s="146" t="str">
        <f t="shared" si="16"/>
        <v>Desk 76</v>
      </c>
      <c r="C189" s="148" t="str">
        <v/>
      </c>
      <c r="D189" s="148" t="str">
        <v/>
      </c>
      <c r="E189" s="148" t="str">
        <v/>
      </c>
      <c r="F189" s="148" t="str">
        <v/>
      </c>
      <c r="G189" s="268" t="str">
        <v/>
      </c>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34"/>
      <c r="DX189" s="23"/>
      <c r="DY189" s="23"/>
      <c r="DZ189" s="23"/>
      <c r="EA189" s="23"/>
      <c r="EB189" s="23"/>
      <c r="EC189" s="23"/>
      <c r="ED189" s="23"/>
      <c r="EE189" s="23"/>
      <c r="EF189" s="23"/>
      <c r="EG189" s="23"/>
      <c r="EH189" s="23"/>
      <c r="EI189" s="23"/>
      <c r="EJ189" s="23"/>
      <c r="EK189" s="23"/>
      <c r="EL189" s="23"/>
      <c r="EM189" s="23"/>
      <c r="EN189" s="23"/>
      <c r="EO189" s="23"/>
      <c r="EP189" s="23"/>
      <c r="EQ189" s="23"/>
      <c r="ER189" s="34"/>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c r="JC189" s="23"/>
      <c r="JD189" s="23"/>
      <c r="JE189" s="23"/>
      <c r="JF189" s="23"/>
      <c r="JG189" s="34"/>
      <c r="JH189" s="23"/>
      <c r="JI189" s="23"/>
      <c r="JJ189" s="23"/>
      <c r="JK189" s="23"/>
      <c r="JL189" s="23"/>
      <c r="JM189" s="23"/>
      <c r="JN189" s="23"/>
      <c r="JO189" s="23"/>
      <c r="JP189" s="23"/>
      <c r="JQ189" s="23"/>
      <c r="JR189" s="23"/>
      <c r="JS189" s="23"/>
      <c r="JT189" s="23"/>
      <c r="JU189" s="23"/>
      <c r="JV189" s="23"/>
      <c r="JW189" s="23"/>
      <c r="JX189" s="23"/>
      <c r="JY189" s="23"/>
      <c r="JZ189" s="23"/>
      <c r="KA189" s="23"/>
      <c r="KB189" s="34"/>
    </row>
    <row r="190" spans="2:288" ht="15" customHeight="1" x14ac:dyDescent="0.35">
      <c r="B190" s="146" t="str">
        <f t="shared" si="16"/>
        <v>Desk 77</v>
      </c>
      <c r="C190" s="148" t="str">
        <v/>
      </c>
      <c r="D190" s="148" t="str">
        <v/>
      </c>
      <c r="E190" s="148" t="str">
        <v/>
      </c>
      <c r="F190" s="148" t="str">
        <v/>
      </c>
      <c r="G190" s="268" t="str">
        <v/>
      </c>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34"/>
      <c r="DX190" s="23"/>
      <c r="DY190" s="23"/>
      <c r="DZ190" s="23"/>
      <c r="EA190" s="23"/>
      <c r="EB190" s="23"/>
      <c r="EC190" s="23"/>
      <c r="ED190" s="23"/>
      <c r="EE190" s="23"/>
      <c r="EF190" s="23"/>
      <c r="EG190" s="23"/>
      <c r="EH190" s="23"/>
      <c r="EI190" s="23"/>
      <c r="EJ190" s="23"/>
      <c r="EK190" s="23"/>
      <c r="EL190" s="23"/>
      <c r="EM190" s="23"/>
      <c r="EN190" s="23"/>
      <c r="EO190" s="23"/>
      <c r="EP190" s="23"/>
      <c r="EQ190" s="23"/>
      <c r="ER190" s="34"/>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c r="JC190" s="23"/>
      <c r="JD190" s="23"/>
      <c r="JE190" s="23"/>
      <c r="JF190" s="23"/>
      <c r="JG190" s="34"/>
      <c r="JH190" s="23"/>
      <c r="JI190" s="23"/>
      <c r="JJ190" s="23"/>
      <c r="JK190" s="23"/>
      <c r="JL190" s="23"/>
      <c r="JM190" s="23"/>
      <c r="JN190" s="23"/>
      <c r="JO190" s="23"/>
      <c r="JP190" s="23"/>
      <c r="JQ190" s="23"/>
      <c r="JR190" s="23"/>
      <c r="JS190" s="23"/>
      <c r="JT190" s="23"/>
      <c r="JU190" s="23"/>
      <c r="JV190" s="23"/>
      <c r="JW190" s="23"/>
      <c r="JX190" s="23"/>
      <c r="JY190" s="23"/>
      <c r="JZ190" s="23"/>
      <c r="KA190" s="23"/>
      <c r="KB190" s="34"/>
    </row>
    <row r="191" spans="2:288" ht="15" customHeight="1" x14ac:dyDescent="0.35">
      <c r="B191" s="146" t="str">
        <f t="shared" si="16"/>
        <v>Desk 78</v>
      </c>
      <c r="C191" s="148" t="str">
        <v/>
      </c>
      <c r="D191" s="148" t="str">
        <v/>
      </c>
      <c r="E191" s="148" t="str">
        <v/>
      </c>
      <c r="F191" s="148" t="str">
        <v/>
      </c>
      <c r="G191" s="268" t="str">
        <v/>
      </c>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34"/>
      <c r="DX191" s="23"/>
      <c r="DY191" s="23"/>
      <c r="DZ191" s="23"/>
      <c r="EA191" s="23"/>
      <c r="EB191" s="23"/>
      <c r="EC191" s="23"/>
      <c r="ED191" s="23"/>
      <c r="EE191" s="23"/>
      <c r="EF191" s="23"/>
      <c r="EG191" s="23"/>
      <c r="EH191" s="23"/>
      <c r="EI191" s="23"/>
      <c r="EJ191" s="23"/>
      <c r="EK191" s="23"/>
      <c r="EL191" s="23"/>
      <c r="EM191" s="23"/>
      <c r="EN191" s="23"/>
      <c r="EO191" s="23"/>
      <c r="EP191" s="23"/>
      <c r="EQ191" s="23"/>
      <c r="ER191" s="34"/>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c r="JB191" s="23"/>
      <c r="JC191" s="23"/>
      <c r="JD191" s="23"/>
      <c r="JE191" s="23"/>
      <c r="JF191" s="23"/>
      <c r="JG191" s="34"/>
      <c r="JH191" s="23"/>
      <c r="JI191" s="23"/>
      <c r="JJ191" s="23"/>
      <c r="JK191" s="23"/>
      <c r="JL191" s="23"/>
      <c r="JM191" s="23"/>
      <c r="JN191" s="23"/>
      <c r="JO191" s="23"/>
      <c r="JP191" s="23"/>
      <c r="JQ191" s="23"/>
      <c r="JR191" s="23"/>
      <c r="JS191" s="23"/>
      <c r="JT191" s="23"/>
      <c r="JU191" s="23"/>
      <c r="JV191" s="23"/>
      <c r="JW191" s="23"/>
      <c r="JX191" s="23"/>
      <c r="JY191" s="23"/>
      <c r="JZ191" s="23"/>
      <c r="KA191" s="23"/>
      <c r="KB191" s="34"/>
    </row>
    <row r="192" spans="2:288" ht="15" customHeight="1" x14ac:dyDescent="0.35">
      <c r="B192" s="146" t="str">
        <f t="shared" si="16"/>
        <v>Desk 79</v>
      </c>
      <c r="C192" s="148" t="str">
        <v/>
      </c>
      <c r="D192" s="148" t="str">
        <v/>
      </c>
      <c r="E192" s="148" t="str">
        <v/>
      </c>
      <c r="F192" s="148" t="str">
        <v/>
      </c>
      <c r="G192" s="268" t="str">
        <v/>
      </c>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34"/>
      <c r="DX192" s="23"/>
      <c r="DY192" s="23"/>
      <c r="DZ192" s="23"/>
      <c r="EA192" s="23"/>
      <c r="EB192" s="23"/>
      <c r="EC192" s="23"/>
      <c r="ED192" s="23"/>
      <c r="EE192" s="23"/>
      <c r="EF192" s="23"/>
      <c r="EG192" s="23"/>
      <c r="EH192" s="23"/>
      <c r="EI192" s="23"/>
      <c r="EJ192" s="23"/>
      <c r="EK192" s="23"/>
      <c r="EL192" s="23"/>
      <c r="EM192" s="23"/>
      <c r="EN192" s="23"/>
      <c r="EO192" s="23"/>
      <c r="EP192" s="23"/>
      <c r="EQ192" s="23"/>
      <c r="ER192" s="34"/>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c r="JC192" s="23"/>
      <c r="JD192" s="23"/>
      <c r="JE192" s="23"/>
      <c r="JF192" s="23"/>
      <c r="JG192" s="34"/>
      <c r="JH192" s="23"/>
      <c r="JI192" s="23"/>
      <c r="JJ192" s="23"/>
      <c r="JK192" s="23"/>
      <c r="JL192" s="23"/>
      <c r="JM192" s="23"/>
      <c r="JN192" s="23"/>
      <c r="JO192" s="23"/>
      <c r="JP192" s="23"/>
      <c r="JQ192" s="23"/>
      <c r="JR192" s="23"/>
      <c r="JS192" s="23"/>
      <c r="JT192" s="23"/>
      <c r="JU192" s="23"/>
      <c r="JV192" s="23"/>
      <c r="JW192" s="23"/>
      <c r="JX192" s="23"/>
      <c r="JY192" s="23"/>
      <c r="JZ192" s="23"/>
      <c r="KA192" s="23"/>
      <c r="KB192" s="34"/>
    </row>
    <row r="193" spans="2:288" ht="15" customHeight="1" x14ac:dyDescent="0.35">
      <c r="B193" s="146" t="str">
        <f t="shared" si="16"/>
        <v>Desk 80</v>
      </c>
      <c r="C193" s="148" t="str">
        <v/>
      </c>
      <c r="D193" s="148" t="str">
        <v/>
      </c>
      <c r="E193" s="148" t="str">
        <v/>
      </c>
      <c r="F193" s="148" t="str">
        <v/>
      </c>
      <c r="G193" s="268" t="str">
        <v/>
      </c>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34"/>
      <c r="DX193" s="23"/>
      <c r="DY193" s="23"/>
      <c r="DZ193" s="23"/>
      <c r="EA193" s="23"/>
      <c r="EB193" s="23"/>
      <c r="EC193" s="23"/>
      <c r="ED193" s="23"/>
      <c r="EE193" s="23"/>
      <c r="EF193" s="23"/>
      <c r="EG193" s="23"/>
      <c r="EH193" s="23"/>
      <c r="EI193" s="23"/>
      <c r="EJ193" s="23"/>
      <c r="EK193" s="23"/>
      <c r="EL193" s="23"/>
      <c r="EM193" s="23"/>
      <c r="EN193" s="23"/>
      <c r="EO193" s="23"/>
      <c r="EP193" s="23"/>
      <c r="EQ193" s="23"/>
      <c r="ER193" s="34"/>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c r="JC193" s="23"/>
      <c r="JD193" s="23"/>
      <c r="JE193" s="23"/>
      <c r="JF193" s="23"/>
      <c r="JG193" s="34"/>
      <c r="JH193" s="23"/>
      <c r="JI193" s="23"/>
      <c r="JJ193" s="23"/>
      <c r="JK193" s="23"/>
      <c r="JL193" s="23"/>
      <c r="JM193" s="23"/>
      <c r="JN193" s="23"/>
      <c r="JO193" s="23"/>
      <c r="JP193" s="23"/>
      <c r="JQ193" s="23"/>
      <c r="JR193" s="23"/>
      <c r="JS193" s="23"/>
      <c r="JT193" s="23"/>
      <c r="JU193" s="23"/>
      <c r="JV193" s="23"/>
      <c r="JW193" s="23"/>
      <c r="JX193" s="23"/>
      <c r="JY193" s="23"/>
      <c r="JZ193" s="23"/>
      <c r="KA193" s="23"/>
      <c r="KB193" s="34"/>
    </row>
    <row r="194" spans="2:288" ht="15" customHeight="1" x14ac:dyDescent="0.35">
      <c r="B194" s="146" t="str">
        <f t="shared" si="16"/>
        <v>Desk 81</v>
      </c>
      <c r="C194" s="148" t="str">
        <v/>
      </c>
      <c r="D194" s="148" t="str">
        <v/>
      </c>
      <c r="E194" s="148" t="str">
        <v/>
      </c>
      <c r="F194" s="148" t="str">
        <v/>
      </c>
      <c r="G194" s="268" t="str">
        <v/>
      </c>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34"/>
      <c r="DX194" s="23"/>
      <c r="DY194" s="23"/>
      <c r="DZ194" s="23"/>
      <c r="EA194" s="23"/>
      <c r="EB194" s="23"/>
      <c r="EC194" s="23"/>
      <c r="ED194" s="23"/>
      <c r="EE194" s="23"/>
      <c r="EF194" s="23"/>
      <c r="EG194" s="23"/>
      <c r="EH194" s="23"/>
      <c r="EI194" s="23"/>
      <c r="EJ194" s="23"/>
      <c r="EK194" s="23"/>
      <c r="EL194" s="23"/>
      <c r="EM194" s="23"/>
      <c r="EN194" s="23"/>
      <c r="EO194" s="23"/>
      <c r="EP194" s="23"/>
      <c r="EQ194" s="23"/>
      <c r="ER194" s="34"/>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c r="JC194" s="23"/>
      <c r="JD194" s="23"/>
      <c r="JE194" s="23"/>
      <c r="JF194" s="23"/>
      <c r="JG194" s="34"/>
      <c r="JH194" s="23"/>
      <c r="JI194" s="23"/>
      <c r="JJ194" s="23"/>
      <c r="JK194" s="23"/>
      <c r="JL194" s="23"/>
      <c r="JM194" s="23"/>
      <c r="JN194" s="23"/>
      <c r="JO194" s="23"/>
      <c r="JP194" s="23"/>
      <c r="JQ194" s="23"/>
      <c r="JR194" s="23"/>
      <c r="JS194" s="23"/>
      <c r="JT194" s="23"/>
      <c r="JU194" s="23"/>
      <c r="JV194" s="23"/>
      <c r="JW194" s="23"/>
      <c r="JX194" s="23"/>
      <c r="JY194" s="23"/>
      <c r="JZ194" s="23"/>
      <c r="KA194" s="23"/>
      <c r="KB194" s="34"/>
    </row>
    <row r="195" spans="2:288" ht="15" customHeight="1" x14ac:dyDescent="0.35">
      <c r="B195" s="146" t="str">
        <f t="shared" si="16"/>
        <v>Desk 82</v>
      </c>
      <c r="C195" s="148" t="str">
        <v/>
      </c>
      <c r="D195" s="148" t="str">
        <v/>
      </c>
      <c r="E195" s="148" t="str">
        <v/>
      </c>
      <c r="F195" s="148" t="str">
        <v/>
      </c>
      <c r="G195" s="268" t="str">
        <v/>
      </c>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34"/>
      <c r="DX195" s="23"/>
      <c r="DY195" s="23"/>
      <c r="DZ195" s="23"/>
      <c r="EA195" s="23"/>
      <c r="EB195" s="23"/>
      <c r="EC195" s="23"/>
      <c r="ED195" s="23"/>
      <c r="EE195" s="23"/>
      <c r="EF195" s="23"/>
      <c r="EG195" s="23"/>
      <c r="EH195" s="23"/>
      <c r="EI195" s="23"/>
      <c r="EJ195" s="23"/>
      <c r="EK195" s="23"/>
      <c r="EL195" s="23"/>
      <c r="EM195" s="23"/>
      <c r="EN195" s="23"/>
      <c r="EO195" s="23"/>
      <c r="EP195" s="23"/>
      <c r="EQ195" s="23"/>
      <c r="ER195" s="34"/>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c r="JC195" s="23"/>
      <c r="JD195" s="23"/>
      <c r="JE195" s="23"/>
      <c r="JF195" s="23"/>
      <c r="JG195" s="34"/>
      <c r="JH195" s="23"/>
      <c r="JI195" s="23"/>
      <c r="JJ195" s="23"/>
      <c r="JK195" s="23"/>
      <c r="JL195" s="23"/>
      <c r="JM195" s="23"/>
      <c r="JN195" s="23"/>
      <c r="JO195" s="23"/>
      <c r="JP195" s="23"/>
      <c r="JQ195" s="23"/>
      <c r="JR195" s="23"/>
      <c r="JS195" s="23"/>
      <c r="JT195" s="23"/>
      <c r="JU195" s="23"/>
      <c r="JV195" s="23"/>
      <c r="JW195" s="23"/>
      <c r="JX195" s="23"/>
      <c r="JY195" s="23"/>
      <c r="JZ195" s="23"/>
      <c r="KA195" s="23"/>
      <c r="KB195" s="34"/>
    </row>
    <row r="196" spans="2:288" ht="15" customHeight="1" x14ac:dyDescent="0.35">
      <c r="B196" s="146" t="str">
        <f t="shared" si="16"/>
        <v>Desk 83</v>
      </c>
      <c r="C196" s="148" t="str">
        <v/>
      </c>
      <c r="D196" s="148" t="str">
        <v/>
      </c>
      <c r="E196" s="148" t="str">
        <v/>
      </c>
      <c r="F196" s="148" t="str">
        <v/>
      </c>
      <c r="G196" s="268" t="str">
        <v/>
      </c>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34"/>
      <c r="DX196" s="23"/>
      <c r="DY196" s="23"/>
      <c r="DZ196" s="23"/>
      <c r="EA196" s="23"/>
      <c r="EB196" s="23"/>
      <c r="EC196" s="23"/>
      <c r="ED196" s="23"/>
      <c r="EE196" s="23"/>
      <c r="EF196" s="23"/>
      <c r="EG196" s="23"/>
      <c r="EH196" s="23"/>
      <c r="EI196" s="23"/>
      <c r="EJ196" s="23"/>
      <c r="EK196" s="23"/>
      <c r="EL196" s="23"/>
      <c r="EM196" s="23"/>
      <c r="EN196" s="23"/>
      <c r="EO196" s="23"/>
      <c r="EP196" s="23"/>
      <c r="EQ196" s="23"/>
      <c r="ER196" s="34"/>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c r="JC196" s="23"/>
      <c r="JD196" s="23"/>
      <c r="JE196" s="23"/>
      <c r="JF196" s="23"/>
      <c r="JG196" s="34"/>
      <c r="JH196" s="23"/>
      <c r="JI196" s="23"/>
      <c r="JJ196" s="23"/>
      <c r="JK196" s="23"/>
      <c r="JL196" s="23"/>
      <c r="JM196" s="23"/>
      <c r="JN196" s="23"/>
      <c r="JO196" s="23"/>
      <c r="JP196" s="23"/>
      <c r="JQ196" s="23"/>
      <c r="JR196" s="23"/>
      <c r="JS196" s="23"/>
      <c r="JT196" s="23"/>
      <c r="JU196" s="23"/>
      <c r="JV196" s="23"/>
      <c r="JW196" s="23"/>
      <c r="JX196" s="23"/>
      <c r="JY196" s="23"/>
      <c r="JZ196" s="23"/>
      <c r="KA196" s="23"/>
      <c r="KB196" s="34"/>
    </row>
    <row r="197" spans="2:288" ht="15" customHeight="1" x14ac:dyDescent="0.35">
      <c r="B197" s="146" t="str">
        <f t="shared" si="16"/>
        <v>Desk 84</v>
      </c>
      <c r="C197" s="148" t="str">
        <v/>
      </c>
      <c r="D197" s="148" t="str">
        <v/>
      </c>
      <c r="E197" s="148" t="str">
        <v/>
      </c>
      <c r="F197" s="148" t="str">
        <v/>
      </c>
      <c r="G197" s="268" t="str">
        <v/>
      </c>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34"/>
      <c r="DX197" s="23"/>
      <c r="DY197" s="23"/>
      <c r="DZ197" s="23"/>
      <c r="EA197" s="23"/>
      <c r="EB197" s="23"/>
      <c r="EC197" s="23"/>
      <c r="ED197" s="23"/>
      <c r="EE197" s="23"/>
      <c r="EF197" s="23"/>
      <c r="EG197" s="23"/>
      <c r="EH197" s="23"/>
      <c r="EI197" s="23"/>
      <c r="EJ197" s="23"/>
      <c r="EK197" s="23"/>
      <c r="EL197" s="23"/>
      <c r="EM197" s="23"/>
      <c r="EN197" s="23"/>
      <c r="EO197" s="23"/>
      <c r="EP197" s="23"/>
      <c r="EQ197" s="23"/>
      <c r="ER197" s="34"/>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c r="JC197" s="23"/>
      <c r="JD197" s="23"/>
      <c r="JE197" s="23"/>
      <c r="JF197" s="23"/>
      <c r="JG197" s="34"/>
      <c r="JH197" s="23"/>
      <c r="JI197" s="23"/>
      <c r="JJ197" s="23"/>
      <c r="JK197" s="23"/>
      <c r="JL197" s="23"/>
      <c r="JM197" s="23"/>
      <c r="JN197" s="23"/>
      <c r="JO197" s="23"/>
      <c r="JP197" s="23"/>
      <c r="JQ197" s="23"/>
      <c r="JR197" s="23"/>
      <c r="JS197" s="23"/>
      <c r="JT197" s="23"/>
      <c r="JU197" s="23"/>
      <c r="JV197" s="23"/>
      <c r="JW197" s="23"/>
      <c r="JX197" s="23"/>
      <c r="JY197" s="23"/>
      <c r="JZ197" s="23"/>
      <c r="KA197" s="23"/>
      <c r="KB197" s="34"/>
    </row>
    <row r="198" spans="2:288" ht="15" customHeight="1" x14ac:dyDescent="0.35">
      <c r="B198" s="146" t="str">
        <f t="shared" si="16"/>
        <v>Desk 85</v>
      </c>
      <c r="C198" s="148" t="str">
        <v/>
      </c>
      <c r="D198" s="148" t="str">
        <v/>
      </c>
      <c r="E198" s="148" t="str">
        <v/>
      </c>
      <c r="F198" s="148" t="str">
        <v/>
      </c>
      <c r="G198" s="268" t="str">
        <v/>
      </c>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34"/>
      <c r="DX198" s="23"/>
      <c r="DY198" s="23"/>
      <c r="DZ198" s="23"/>
      <c r="EA198" s="23"/>
      <c r="EB198" s="23"/>
      <c r="EC198" s="23"/>
      <c r="ED198" s="23"/>
      <c r="EE198" s="23"/>
      <c r="EF198" s="23"/>
      <c r="EG198" s="23"/>
      <c r="EH198" s="23"/>
      <c r="EI198" s="23"/>
      <c r="EJ198" s="23"/>
      <c r="EK198" s="23"/>
      <c r="EL198" s="23"/>
      <c r="EM198" s="23"/>
      <c r="EN198" s="23"/>
      <c r="EO198" s="23"/>
      <c r="EP198" s="23"/>
      <c r="EQ198" s="23"/>
      <c r="ER198" s="34"/>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c r="JC198" s="23"/>
      <c r="JD198" s="23"/>
      <c r="JE198" s="23"/>
      <c r="JF198" s="23"/>
      <c r="JG198" s="34"/>
      <c r="JH198" s="23"/>
      <c r="JI198" s="23"/>
      <c r="JJ198" s="23"/>
      <c r="JK198" s="23"/>
      <c r="JL198" s="23"/>
      <c r="JM198" s="23"/>
      <c r="JN198" s="23"/>
      <c r="JO198" s="23"/>
      <c r="JP198" s="23"/>
      <c r="JQ198" s="23"/>
      <c r="JR198" s="23"/>
      <c r="JS198" s="23"/>
      <c r="JT198" s="23"/>
      <c r="JU198" s="23"/>
      <c r="JV198" s="23"/>
      <c r="JW198" s="23"/>
      <c r="JX198" s="23"/>
      <c r="JY198" s="23"/>
      <c r="JZ198" s="23"/>
      <c r="KA198" s="23"/>
      <c r="KB198" s="34"/>
    </row>
    <row r="199" spans="2:288" ht="15" customHeight="1" x14ac:dyDescent="0.35">
      <c r="B199" s="146" t="str">
        <f t="shared" si="16"/>
        <v>Desk 86</v>
      </c>
      <c r="C199" s="148" t="str">
        <v/>
      </c>
      <c r="D199" s="148" t="str">
        <v/>
      </c>
      <c r="E199" s="148" t="str">
        <v/>
      </c>
      <c r="F199" s="148" t="str">
        <v/>
      </c>
      <c r="G199" s="268" t="str">
        <v/>
      </c>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34"/>
      <c r="DX199" s="23"/>
      <c r="DY199" s="23"/>
      <c r="DZ199" s="23"/>
      <c r="EA199" s="23"/>
      <c r="EB199" s="23"/>
      <c r="EC199" s="23"/>
      <c r="ED199" s="23"/>
      <c r="EE199" s="23"/>
      <c r="EF199" s="23"/>
      <c r="EG199" s="23"/>
      <c r="EH199" s="23"/>
      <c r="EI199" s="23"/>
      <c r="EJ199" s="23"/>
      <c r="EK199" s="23"/>
      <c r="EL199" s="23"/>
      <c r="EM199" s="23"/>
      <c r="EN199" s="23"/>
      <c r="EO199" s="23"/>
      <c r="EP199" s="23"/>
      <c r="EQ199" s="23"/>
      <c r="ER199" s="34"/>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c r="JC199" s="23"/>
      <c r="JD199" s="23"/>
      <c r="JE199" s="23"/>
      <c r="JF199" s="23"/>
      <c r="JG199" s="34"/>
      <c r="JH199" s="23"/>
      <c r="JI199" s="23"/>
      <c r="JJ199" s="23"/>
      <c r="JK199" s="23"/>
      <c r="JL199" s="23"/>
      <c r="JM199" s="23"/>
      <c r="JN199" s="23"/>
      <c r="JO199" s="23"/>
      <c r="JP199" s="23"/>
      <c r="JQ199" s="23"/>
      <c r="JR199" s="23"/>
      <c r="JS199" s="23"/>
      <c r="JT199" s="23"/>
      <c r="JU199" s="23"/>
      <c r="JV199" s="23"/>
      <c r="JW199" s="23"/>
      <c r="JX199" s="23"/>
      <c r="JY199" s="23"/>
      <c r="JZ199" s="23"/>
      <c r="KA199" s="23"/>
      <c r="KB199" s="34"/>
    </row>
    <row r="200" spans="2:288" ht="15" customHeight="1" x14ac:dyDescent="0.35">
      <c r="B200" s="146" t="str">
        <f t="shared" si="16"/>
        <v>Desk 87</v>
      </c>
      <c r="C200" s="148" t="str">
        <v/>
      </c>
      <c r="D200" s="148" t="str">
        <v/>
      </c>
      <c r="E200" s="148" t="str">
        <v/>
      </c>
      <c r="F200" s="148" t="str">
        <v/>
      </c>
      <c r="G200" s="268" t="str">
        <v/>
      </c>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34"/>
      <c r="DX200" s="23"/>
      <c r="DY200" s="23"/>
      <c r="DZ200" s="23"/>
      <c r="EA200" s="23"/>
      <c r="EB200" s="23"/>
      <c r="EC200" s="23"/>
      <c r="ED200" s="23"/>
      <c r="EE200" s="23"/>
      <c r="EF200" s="23"/>
      <c r="EG200" s="23"/>
      <c r="EH200" s="23"/>
      <c r="EI200" s="23"/>
      <c r="EJ200" s="23"/>
      <c r="EK200" s="23"/>
      <c r="EL200" s="23"/>
      <c r="EM200" s="23"/>
      <c r="EN200" s="23"/>
      <c r="EO200" s="23"/>
      <c r="EP200" s="23"/>
      <c r="EQ200" s="23"/>
      <c r="ER200" s="34"/>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c r="JC200" s="23"/>
      <c r="JD200" s="23"/>
      <c r="JE200" s="23"/>
      <c r="JF200" s="23"/>
      <c r="JG200" s="34"/>
      <c r="JH200" s="23"/>
      <c r="JI200" s="23"/>
      <c r="JJ200" s="23"/>
      <c r="JK200" s="23"/>
      <c r="JL200" s="23"/>
      <c r="JM200" s="23"/>
      <c r="JN200" s="23"/>
      <c r="JO200" s="23"/>
      <c r="JP200" s="23"/>
      <c r="JQ200" s="23"/>
      <c r="JR200" s="23"/>
      <c r="JS200" s="23"/>
      <c r="JT200" s="23"/>
      <c r="JU200" s="23"/>
      <c r="JV200" s="23"/>
      <c r="JW200" s="23"/>
      <c r="JX200" s="23"/>
      <c r="JY200" s="23"/>
      <c r="JZ200" s="23"/>
      <c r="KA200" s="23"/>
      <c r="KB200" s="34"/>
    </row>
    <row r="201" spans="2:288" ht="15" customHeight="1" x14ac:dyDescent="0.35">
      <c r="B201" s="146" t="str">
        <f t="shared" si="16"/>
        <v>Desk 88</v>
      </c>
      <c r="C201" s="148" t="str">
        <v/>
      </c>
      <c r="D201" s="148" t="str">
        <v/>
      </c>
      <c r="E201" s="148" t="str">
        <v/>
      </c>
      <c r="F201" s="148" t="str">
        <v/>
      </c>
      <c r="G201" s="268" t="str">
        <v/>
      </c>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34"/>
      <c r="DX201" s="23"/>
      <c r="DY201" s="23"/>
      <c r="DZ201" s="23"/>
      <c r="EA201" s="23"/>
      <c r="EB201" s="23"/>
      <c r="EC201" s="23"/>
      <c r="ED201" s="23"/>
      <c r="EE201" s="23"/>
      <c r="EF201" s="23"/>
      <c r="EG201" s="23"/>
      <c r="EH201" s="23"/>
      <c r="EI201" s="23"/>
      <c r="EJ201" s="23"/>
      <c r="EK201" s="23"/>
      <c r="EL201" s="23"/>
      <c r="EM201" s="23"/>
      <c r="EN201" s="23"/>
      <c r="EO201" s="23"/>
      <c r="EP201" s="23"/>
      <c r="EQ201" s="23"/>
      <c r="ER201" s="34"/>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c r="JC201" s="23"/>
      <c r="JD201" s="23"/>
      <c r="JE201" s="23"/>
      <c r="JF201" s="23"/>
      <c r="JG201" s="34"/>
      <c r="JH201" s="23"/>
      <c r="JI201" s="23"/>
      <c r="JJ201" s="23"/>
      <c r="JK201" s="23"/>
      <c r="JL201" s="23"/>
      <c r="JM201" s="23"/>
      <c r="JN201" s="23"/>
      <c r="JO201" s="23"/>
      <c r="JP201" s="23"/>
      <c r="JQ201" s="23"/>
      <c r="JR201" s="23"/>
      <c r="JS201" s="23"/>
      <c r="JT201" s="23"/>
      <c r="JU201" s="23"/>
      <c r="JV201" s="23"/>
      <c r="JW201" s="23"/>
      <c r="JX201" s="23"/>
      <c r="JY201" s="23"/>
      <c r="JZ201" s="23"/>
      <c r="KA201" s="23"/>
      <c r="KB201" s="34"/>
    </row>
    <row r="202" spans="2:288" ht="15" customHeight="1" x14ac:dyDescent="0.35">
      <c r="B202" s="146" t="str">
        <f t="shared" si="16"/>
        <v>Desk 89</v>
      </c>
      <c r="C202" s="148" t="str">
        <v/>
      </c>
      <c r="D202" s="148" t="str">
        <v/>
      </c>
      <c r="E202" s="148" t="str">
        <v/>
      </c>
      <c r="F202" s="148" t="str">
        <v/>
      </c>
      <c r="G202" s="268" t="str">
        <v/>
      </c>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34"/>
      <c r="DX202" s="23"/>
      <c r="DY202" s="23"/>
      <c r="DZ202" s="23"/>
      <c r="EA202" s="23"/>
      <c r="EB202" s="23"/>
      <c r="EC202" s="23"/>
      <c r="ED202" s="23"/>
      <c r="EE202" s="23"/>
      <c r="EF202" s="23"/>
      <c r="EG202" s="23"/>
      <c r="EH202" s="23"/>
      <c r="EI202" s="23"/>
      <c r="EJ202" s="23"/>
      <c r="EK202" s="23"/>
      <c r="EL202" s="23"/>
      <c r="EM202" s="23"/>
      <c r="EN202" s="23"/>
      <c r="EO202" s="23"/>
      <c r="EP202" s="23"/>
      <c r="EQ202" s="23"/>
      <c r="ER202" s="34"/>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c r="JC202" s="23"/>
      <c r="JD202" s="23"/>
      <c r="JE202" s="23"/>
      <c r="JF202" s="23"/>
      <c r="JG202" s="34"/>
      <c r="JH202" s="23"/>
      <c r="JI202" s="23"/>
      <c r="JJ202" s="23"/>
      <c r="JK202" s="23"/>
      <c r="JL202" s="23"/>
      <c r="JM202" s="23"/>
      <c r="JN202" s="23"/>
      <c r="JO202" s="23"/>
      <c r="JP202" s="23"/>
      <c r="JQ202" s="23"/>
      <c r="JR202" s="23"/>
      <c r="JS202" s="23"/>
      <c r="JT202" s="23"/>
      <c r="JU202" s="23"/>
      <c r="JV202" s="23"/>
      <c r="JW202" s="23"/>
      <c r="JX202" s="23"/>
      <c r="JY202" s="23"/>
      <c r="JZ202" s="23"/>
      <c r="KA202" s="23"/>
      <c r="KB202" s="34"/>
    </row>
    <row r="203" spans="2:288" ht="15" customHeight="1" x14ac:dyDescent="0.35">
      <c r="B203" s="146" t="str">
        <f t="shared" si="16"/>
        <v>Desk 90</v>
      </c>
      <c r="C203" s="148" t="str">
        <v/>
      </c>
      <c r="D203" s="148" t="str">
        <v/>
      </c>
      <c r="E203" s="148" t="str">
        <v/>
      </c>
      <c r="F203" s="148" t="str">
        <v/>
      </c>
      <c r="G203" s="268" t="str">
        <v/>
      </c>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34"/>
      <c r="DX203" s="23"/>
      <c r="DY203" s="23"/>
      <c r="DZ203" s="23"/>
      <c r="EA203" s="23"/>
      <c r="EB203" s="23"/>
      <c r="EC203" s="23"/>
      <c r="ED203" s="23"/>
      <c r="EE203" s="23"/>
      <c r="EF203" s="23"/>
      <c r="EG203" s="23"/>
      <c r="EH203" s="23"/>
      <c r="EI203" s="23"/>
      <c r="EJ203" s="23"/>
      <c r="EK203" s="23"/>
      <c r="EL203" s="23"/>
      <c r="EM203" s="23"/>
      <c r="EN203" s="23"/>
      <c r="EO203" s="23"/>
      <c r="EP203" s="23"/>
      <c r="EQ203" s="23"/>
      <c r="ER203" s="34"/>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c r="JC203" s="23"/>
      <c r="JD203" s="23"/>
      <c r="JE203" s="23"/>
      <c r="JF203" s="23"/>
      <c r="JG203" s="34"/>
      <c r="JH203" s="23"/>
      <c r="JI203" s="23"/>
      <c r="JJ203" s="23"/>
      <c r="JK203" s="23"/>
      <c r="JL203" s="23"/>
      <c r="JM203" s="23"/>
      <c r="JN203" s="23"/>
      <c r="JO203" s="23"/>
      <c r="JP203" s="23"/>
      <c r="JQ203" s="23"/>
      <c r="JR203" s="23"/>
      <c r="JS203" s="23"/>
      <c r="JT203" s="23"/>
      <c r="JU203" s="23"/>
      <c r="JV203" s="23"/>
      <c r="JW203" s="23"/>
      <c r="JX203" s="23"/>
      <c r="JY203" s="23"/>
      <c r="JZ203" s="23"/>
      <c r="KA203" s="23"/>
      <c r="KB203" s="34"/>
    </row>
    <row r="204" spans="2:288" ht="15" customHeight="1" x14ac:dyDescent="0.35">
      <c r="B204" s="146" t="str">
        <f t="shared" si="16"/>
        <v>Desk 91</v>
      </c>
      <c r="C204" s="148" t="str">
        <v/>
      </c>
      <c r="D204" s="148" t="str">
        <v/>
      </c>
      <c r="E204" s="148" t="str">
        <v/>
      </c>
      <c r="F204" s="148" t="str">
        <v/>
      </c>
      <c r="G204" s="268" t="str">
        <v/>
      </c>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34"/>
      <c r="DX204" s="23"/>
      <c r="DY204" s="23"/>
      <c r="DZ204" s="23"/>
      <c r="EA204" s="23"/>
      <c r="EB204" s="23"/>
      <c r="EC204" s="23"/>
      <c r="ED204" s="23"/>
      <c r="EE204" s="23"/>
      <c r="EF204" s="23"/>
      <c r="EG204" s="23"/>
      <c r="EH204" s="23"/>
      <c r="EI204" s="23"/>
      <c r="EJ204" s="23"/>
      <c r="EK204" s="23"/>
      <c r="EL204" s="23"/>
      <c r="EM204" s="23"/>
      <c r="EN204" s="23"/>
      <c r="EO204" s="23"/>
      <c r="EP204" s="23"/>
      <c r="EQ204" s="23"/>
      <c r="ER204" s="34"/>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c r="JC204" s="23"/>
      <c r="JD204" s="23"/>
      <c r="JE204" s="23"/>
      <c r="JF204" s="23"/>
      <c r="JG204" s="34"/>
      <c r="JH204" s="23"/>
      <c r="JI204" s="23"/>
      <c r="JJ204" s="23"/>
      <c r="JK204" s="23"/>
      <c r="JL204" s="23"/>
      <c r="JM204" s="23"/>
      <c r="JN204" s="23"/>
      <c r="JO204" s="23"/>
      <c r="JP204" s="23"/>
      <c r="JQ204" s="23"/>
      <c r="JR204" s="23"/>
      <c r="JS204" s="23"/>
      <c r="JT204" s="23"/>
      <c r="JU204" s="23"/>
      <c r="JV204" s="23"/>
      <c r="JW204" s="23"/>
      <c r="JX204" s="23"/>
      <c r="JY204" s="23"/>
      <c r="JZ204" s="23"/>
      <c r="KA204" s="23"/>
      <c r="KB204" s="34"/>
    </row>
    <row r="205" spans="2:288" ht="15" customHeight="1" x14ac:dyDescent="0.35">
      <c r="B205" s="146" t="str">
        <f t="shared" si="16"/>
        <v>Desk 92</v>
      </c>
      <c r="C205" s="148" t="str">
        <v/>
      </c>
      <c r="D205" s="148" t="str">
        <v/>
      </c>
      <c r="E205" s="148" t="str">
        <v/>
      </c>
      <c r="F205" s="148" t="str">
        <v/>
      </c>
      <c r="G205" s="268" t="str">
        <v/>
      </c>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34"/>
      <c r="DX205" s="23"/>
      <c r="DY205" s="23"/>
      <c r="DZ205" s="23"/>
      <c r="EA205" s="23"/>
      <c r="EB205" s="23"/>
      <c r="EC205" s="23"/>
      <c r="ED205" s="23"/>
      <c r="EE205" s="23"/>
      <c r="EF205" s="23"/>
      <c r="EG205" s="23"/>
      <c r="EH205" s="23"/>
      <c r="EI205" s="23"/>
      <c r="EJ205" s="23"/>
      <c r="EK205" s="23"/>
      <c r="EL205" s="23"/>
      <c r="EM205" s="23"/>
      <c r="EN205" s="23"/>
      <c r="EO205" s="23"/>
      <c r="EP205" s="23"/>
      <c r="EQ205" s="23"/>
      <c r="ER205" s="34"/>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c r="JC205" s="23"/>
      <c r="JD205" s="23"/>
      <c r="JE205" s="23"/>
      <c r="JF205" s="23"/>
      <c r="JG205" s="34"/>
      <c r="JH205" s="23"/>
      <c r="JI205" s="23"/>
      <c r="JJ205" s="23"/>
      <c r="JK205" s="23"/>
      <c r="JL205" s="23"/>
      <c r="JM205" s="23"/>
      <c r="JN205" s="23"/>
      <c r="JO205" s="23"/>
      <c r="JP205" s="23"/>
      <c r="JQ205" s="23"/>
      <c r="JR205" s="23"/>
      <c r="JS205" s="23"/>
      <c r="JT205" s="23"/>
      <c r="JU205" s="23"/>
      <c r="JV205" s="23"/>
      <c r="JW205" s="23"/>
      <c r="JX205" s="23"/>
      <c r="JY205" s="23"/>
      <c r="JZ205" s="23"/>
      <c r="KA205" s="23"/>
      <c r="KB205" s="34"/>
    </row>
    <row r="206" spans="2:288" ht="15" customHeight="1" x14ac:dyDescent="0.35">
      <c r="B206" s="146" t="str">
        <f t="shared" si="16"/>
        <v>Desk 93</v>
      </c>
      <c r="C206" s="148" t="str">
        <v/>
      </c>
      <c r="D206" s="148" t="str">
        <v/>
      </c>
      <c r="E206" s="148" t="str">
        <v/>
      </c>
      <c r="F206" s="148" t="str">
        <v/>
      </c>
      <c r="G206" s="268" t="str">
        <v/>
      </c>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34"/>
      <c r="DX206" s="23"/>
      <c r="DY206" s="23"/>
      <c r="DZ206" s="23"/>
      <c r="EA206" s="23"/>
      <c r="EB206" s="23"/>
      <c r="EC206" s="23"/>
      <c r="ED206" s="23"/>
      <c r="EE206" s="23"/>
      <c r="EF206" s="23"/>
      <c r="EG206" s="23"/>
      <c r="EH206" s="23"/>
      <c r="EI206" s="23"/>
      <c r="EJ206" s="23"/>
      <c r="EK206" s="23"/>
      <c r="EL206" s="23"/>
      <c r="EM206" s="23"/>
      <c r="EN206" s="23"/>
      <c r="EO206" s="23"/>
      <c r="EP206" s="23"/>
      <c r="EQ206" s="23"/>
      <c r="ER206" s="34"/>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c r="JC206" s="23"/>
      <c r="JD206" s="23"/>
      <c r="JE206" s="23"/>
      <c r="JF206" s="23"/>
      <c r="JG206" s="34"/>
      <c r="JH206" s="23"/>
      <c r="JI206" s="23"/>
      <c r="JJ206" s="23"/>
      <c r="JK206" s="23"/>
      <c r="JL206" s="23"/>
      <c r="JM206" s="23"/>
      <c r="JN206" s="23"/>
      <c r="JO206" s="23"/>
      <c r="JP206" s="23"/>
      <c r="JQ206" s="23"/>
      <c r="JR206" s="23"/>
      <c r="JS206" s="23"/>
      <c r="JT206" s="23"/>
      <c r="JU206" s="23"/>
      <c r="JV206" s="23"/>
      <c r="JW206" s="23"/>
      <c r="JX206" s="23"/>
      <c r="JY206" s="23"/>
      <c r="JZ206" s="23"/>
      <c r="KA206" s="23"/>
      <c r="KB206" s="34"/>
    </row>
    <row r="207" spans="2:288" ht="15" customHeight="1" x14ac:dyDescent="0.35">
      <c r="B207" s="146" t="str">
        <f t="shared" si="16"/>
        <v>Desk 94</v>
      </c>
      <c r="C207" s="148" t="str">
        <v/>
      </c>
      <c r="D207" s="148" t="str">
        <v/>
      </c>
      <c r="E207" s="148" t="str">
        <v/>
      </c>
      <c r="F207" s="148" t="str">
        <v/>
      </c>
      <c r="G207" s="268" t="str">
        <v/>
      </c>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34"/>
      <c r="DX207" s="23"/>
      <c r="DY207" s="23"/>
      <c r="DZ207" s="23"/>
      <c r="EA207" s="23"/>
      <c r="EB207" s="23"/>
      <c r="EC207" s="23"/>
      <c r="ED207" s="23"/>
      <c r="EE207" s="23"/>
      <c r="EF207" s="23"/>
      <c r="EG207" s="23"/>
      <c r="EH207" s="23"/>
      <c r="EI207" s="23"/>
      <c r="EJ207" s="23"/>
      <c r="EK207" s="23"/>
      <c r="EL207" s="23"/>
      <c r="EM207" s="23"/>
      <c r="EN207" s="23"/>
      <c r="EO207" s="23"/>
      <c r="EP207" s="23"/>
      <c r="EQ207" s="23"/>
      <c r="ER207" s="34"/>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c r="JC207" s="23"/>
      <c r="JD207" s="23"/>
      <c r="JE207" s="23"/>
      <c r="JF207" s="23"/>
      <c r="JG207" s="34"/>
      <c r="JH207" s="23"/>
      <c r="JI207" s="23"/>
      <c r="JJ207" s="23"/>
      <c r="JK207" s="23"/>
      <c r="JL207" s="23"/>
      <c r="JM207" s="23"/>
      <c r="JN207" s="23"/>
      <c r="JO207" s="23"/>
      <c r="JP207" s="23"/>
      <c r="JQ207" s="23"/>
      <c r="JR207" s="23"/>
      <c r="JS207" s="23"/>
      <c r="JT207" s="23"/>
      <c r="JU207" s="23"/>
      <c r="JV207" s="23"/>
      <c r="JW207" s="23"/>
      <c r="JX207" s="23"/>
      <c r="JY207" s="23"/>
      <c r="JZ207" s="23"/>
      <c r="KA207" s="23"/>
      <c r="KB207" s="34"/>
    </row>
    <row r="208" spans="2:288" ht="15" customHeight="1" x14ac:dyDescent="0.35">
      <c r="B208" s="146" t="str">
        <f t="shared" si="16"/>
        <v>Desk 95</v>
      </c>
      <c r="C208" s="148" t="str">
        <v/>
      </c>
      <c r="D208" s="148" t="str">
        <v/>
      </c>
      <c r="E208" s="148" t="str">
        <v/>
      </c>
      <c r="F208" s="148" t="str">
        <v/>
      </c>
      <c r="G208" s="268" t="str">
        <v/>
      </c>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34"/>
      <c r="DX208" s="23"/>
      <c r="DY208" s="23"/>
      <c r="DZ208" s="23"/>
      <c r="EA208" s="23"/>
      <c r="EB208" s="23"/>
      <c r="EC208" s="23"/>
      <c r="ED208" s="23"/>
      <c r="EE208" s="23"/>
      <c r="EF208" s="23"/>
      <c r="EG208" s="23"/>
      <c r="EH208" s="23"/>
      <c r="EI208" s="23"/>
      <c r="EJ208" s="23"/>
      <c r="EK208" s="23"/>
      <c r="EL208" s="23"/>
      <c r="EM208" s="23"/>
      <c r="EN208" s="23"/>
      <c r="EO208" s="23"/>
      <c r="EP208" s="23"/>
      <c r="EQ208" s="23"/>
      <c r="ER208" s="34"/>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c r="JB208" s="23"/>
      <c r="JC208" s="23"/>
      <c r="JD208" s="23"/>
      <c r="JE208" s="23"/>
      <c r="JF208" s="23"/>
      <c r="JG208" s="34"/>
      <c r="JH208" s="23"/>
      <c r="JI208" s="23"/>
      <c r="JJ208" s="23"/>
      <c r="JK208" s="23"/>
      <c r="JL208" s="23"/>
      <c r="JM208" s="23"/>
      <c r="JN208" s="23"/>
      <c r="JO208" s="23"/>
      <c r="JP208" s="23"/>
      <c r="JQ208" s="23"/>
      <c r="JR208" s="23"/>
      <c r="JS208" s="23"/>
      <c r="JT208" s="23"/>
      <c r="JU208" s="23"/>
      <c r="JV208" s="23"/>
      <c r="JW208" s="23"/>
      <c r="JX208" s="23"/>
      <c r="JY208" s="23"/>
      <c r="JZ208" s="23"/>
      <c r="KA208" s="23"/>
      <c r="KB208" s="34"/>
    </row>
    <row r="209" spans="1:288" ht="15" customHeight="1" x14ac:dyDescent="0.35">
      <c r="B209" s="146" t="str">
        <f t="shared" si="16"/>
        <v>Desk 96</v>
      </c>
      <c r="C209" s="148" t="str">
        <v/>
      </c>
      <c r="D209" s="148" t="str">
        <v/>
      </c>
      <c r="E209" s="148" t="str">
        <v/>
      </c>
      <c r="F209" s="148" t="str">
        <v/>
      </c>
      <c r="G209" s="268" t="str">
        <v/>
      </c>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34"/>
      <c r="DX209" s="23"/>
      <c r="DY209" s="23"/>
      <c r="DZ209" s="23"/>
      <c r="EA209" s="23"/>
      <c r="EB209" s="23"/>
      <c r="EC209" s="23"/>
      <c r="ED209" s="23"/>
      <c r="EE209" s="23"/>
      <c r="EF209" s="23"/>
      <c r="EG209" s="23"/>
      <c r="EH209" s="23"/>
      <c r="EI209" s="23"/>
      <c r="EJ209" s="23"/>
      <c r="EK209" s="23"/>
      <c r="EL209" s="23"/>
      <c r="EM209" s="23"/>
      <c r="EN209" s="23"/>
      <c r="EO209" s="23"/>
      <c r="EP209" s="23"/>
      <c r="EQ209" s="23"/>
      <c r="ER209" s="34"/>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c r="JB209" s="23"/>
      <c r="JC209" s="23"/>
      <c r="JD209" s="23"/>
      <c r="JE209" s="23"/>
      <c r="JF209" s="23"/>
      <c r="JG209" s="34"/>
      <c r="JH209" s="23"/>
      <c r="JI209" s="23"/>
      <c r="JJ209" s="23"/>
      <c r="JK209" s="23"/>
      <c r="JL209" s="23"/>
      <c r="JM209" s="23"/>
      <c r="JN209" s="23"/>
      <c r="JO209" s="23"/>
      <c r="JP209" s="23"/>
      <c r="JQ209" s="23"/>
      <c r="JR209" s="23"/>
      <c r="JS209" s="23"/>
      <c r="JT209" s="23"/>
      <c r="JU209" s="23"/>
      <c r="JV209" s="23"/>
      <c r="JW209" s="23"/>
      <c r="JX209" s="23"/>
      <c r="JY209" s="23"/>
      <c r="JZ209" s="23"/>
      <c r="KA209" s="23"/>
      <c r="KB209" s="34"/>
    </row>
    <row r="210" spans="1:288" ht="15" customHeight="1" x14ac:dyDescent="0.35">
      <c r="B210" s="146" t="str">
        <f t="shared" si="16"/>
        <v>Desk 97</v>
      </c>
      <c r="C210" s="148" t="str">
        <v/>
      </c>
      <c r="D210" s="148" t="str">
        <v/>
      </c>
      <c r="E210" s="148" t="str">
        <v/>
      </c>
      <c r="F210" s="148" t="str">
        <v/>
      </c>
      <c r="G210" s="268" t="str">
        <v/>
      </c>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34"/>
      <c r="DX210" s="23"/>
      <c r="DY210" s="23"/>
      <c r="DZ210" s="23"/>
      <c r="EA210" s="23"/>
      <c r="EB210" s="23"/>
      <c r="EC210" s="23"/>
      <c r="ED210" s="23"/>
      <c r="EE210" s="23"/>
      <c r="EF210" s="23"/>
      <c r="EG210" s="23"/>
      <c r="EH210" s="23"/>
      <c r="EI210" s="23"/>
      <c r="EJ210" s="23"/>
      <c r="EK210" s="23"/>
      <c r="EL210" s="23"/>
      <c r="EM210" s="23"/>
      <c r="EN210" s="23"/>
      <c r="EO210" s="23"/>
      <c r="EP210" s="23"/>
      <c r="EQ210" s="23"/>
      <c r="ER210" s="34"/>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c r="JC210" s="23"/>
      <c r="JD210" s="23"/>
      <c r="JE210" s="23"/>
      <c r="JF210" s="23"/>
      <c r="JG210" s="34"/>
      <c r="JH210" s="23"/>
      <c r="JI210" s="23"/>
      <c r="JJ210" s="23"/>
      <c r="JK210" s="23"/>
      <c r="JL210" s="23"/>
      <c r="JM210" s="23"/>
      <c r="JN210" s="23"/>
      <c r="JO210" s="23"/>
      <c r="JP210" s="23"/>
      <c r="JQ210" s="23"/>
      <c r="JR210" s="23"/>
      <c r="JS210" s="23"/>
      <c r="JT210" s="23"/>
      <c r="JU210" s="23"/>
      <c r="JV210" s="23"/>
      <c r="JW210" s="23"/>
      <c r="JX210" s="23"/>
      <c r="JY210" s="23"/>
      <c r="JZ210" s="23"/>
      <c r="KA210" s="23"/>
      <c r="KB210" s="34"/>
    </row>
    <row r="211" spans="1:288" ht="15" customHeight="1" x14ac:dyDescent="0.35">
      <c r="B211" s="146" t="str">
        <f t="shared" si="16"/>
        <v>Desk 98</v>
      </c>
      <c r="C211" s="148" t="str">
        <v/>
      </c>
      <c r="D211" s="148" t="str">
        <v/>
      </c>
      <c r="E211" s="148" t="str">
        <v/>
      </c>
      <c r="F211" s="148" t="str">
        <v/>
      </c>
      <c r="G211" s="268" t="str">
        <v/>
      </c>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34"/>
      <c r="DX211" s="23"/>
      <c r="DY211" s="23"/>
      <c r="DZ211" s="23"/>
      <c r="EA211" s="23"/>
      <c r="EB211" s="23"/>
      <c r="EC211" s="23"/>
      <c r="ED211" s="23"/>
      <c r="EE211" s="23"/>
      <c r="EF211" s="23"/>
      <c r="EG211" s="23"/>
      <c r="EH211" s="23"/>
      <c r="EI211" s="23"/>
      <c r="EJ211" s="23"/>
      <c r="EK211" s="23"/>
      <c r="EL211" s="23"/>
      <c r="EM211" s="23"/>
      <c r="EN211" s="23"/>
      <c r="EO211" s="23"/>
      <c r="EP211" s="23"/>
      <c r="EQ211" s="23"/>
      <c r="ER211" s="34"/>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c r="JC211" s="23"/>
      <c r="JD211" s="23"/>
      <c r="JE211" s="23"/>
      <c r="JF211" s="23"/>
      <c r="JG211" s="34"/>
      <c r="JH211" s="23"/>
      <c r="JI211" s="23"/>
      <c r="JJ211" s="23"/>
      <c r="JK211" s="23"/>
      <c r="JL211" s="23"/>
      <c r="JM211" s="23"/>
      <c r="JN211" s="23"/>
      <c r="JO211" s="23"/>
      <c r="JP211" s="23"/>
      <c r="JQ211" s="23"/>
      <c r="JR211" s="23"/>
      <c r="JS211" s="23"/>
      <c r="JT211" s="23"/>
      <c r="JU211" s="23"/>
      <c r="JV211" s="23"/>
      <c r="JW211" s="23"/>
      <c r="JX211" s="23"/>
      <c r="JY211" s="23"/>
      <c r="JZ211" s="23"/>
      <c r="KA211" s="23"/>
      <c r="KB211" s="34"/>
    </row>
    <row r="212" spans="1:288" ht="15" customHeight="1" x14ac:dyDescent="0.35">
      <c r="B212" s="146" t="str">
        <f t="shared" si="16"/>
        <v>Desk 99</v>
      </c>
      <c r="C212" s="148" t="str">
        <v/>
      </c>
      <c r="D212" s="148" t="str">
        <v/>
      </c>
      <c r="E212" s="148" t="str">
        <v/>
      </c>
      <c r="F212" s="148" t="str">
        <v/>
      </c>
      <c r="G212" s="268" t="str">
        <v/>
      </c>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34"/>
      <c r="DX212" s="23"/>
      <c r="DY212" s="23"/>
      <c r="DZ212" s="23"/>
      <c r="EA212" s="23"/>
      <c r="EB212" s="23"/>
      <c r="EC212" s="23"/>
      <c r="ED212" s="23"/>
      <c r="EE212" s="23"/>
      <c r="EF212" s="23"/>
      <c r="EG212" s="23"/>
      <c r="EH212" s="23"/>
      <c r="EI212" s="23"/>
      <c r="EJ212" s="23"/>
      <c r="EK212" s="23"/>
      <c r="EL212" s="23"/>
      <c r="EM212" s="23"/>
      <c r="EN212" s="23"/>
      <c r="EO212" s="23"/>
      <c r="EP212" s="23"/>
      <c r="EQ212" s="23"/>
      <c r="ER212" s="34"/>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c r="JC212" s="23"/>
      <c r="JD212" s="23"/>
      <c r="JE212" s="23"/>
      <c r="JF212" s="23"/>
      <c r="JG212" s="34"/>
      <c r="JH212" s="23"/>
      <c r="JI212" s="23"/>
      <c r="JJ212" s="23"/>
      <c r="JK212" s="23"/>
      <c r="JL212" s="23"/>
      <c r="JM212" s="23"/>
      <c r="JN212" s="23"/>
      <c r="JO212" s="23"/>
      <c r="JP212" s="23"/>
      <c r="JQ212" s="23"/>
      <c r="JR212" s="23"/>
      <c r="JS212" s="23"/>
      <c r="JT212" s="23"/>
      <c r="JU212" s="23"/>
      <c r="JV212" s="23"/>
      <c r="JW212" s="23"/>
      <c r="JX212" s="23"/>
      <c r="JY212" s="23"/>
      <c r="JZ212" s="23"/>
      <c r="KA212" s="23"/>
      <c r="KB212" s="34"/>
    </row>
    <row r="213" spans="1:288" ht="15" customHeight="1" x14ac:dyDescent="0.35">
      <c r="B213" s="147" t="str">
        <f t="shared" si="16"/>
        <v>Desk 100</v>
      </c>
      <c r="C213" s="150" t="str">
        <v/>
      </c>
      <c r="D213" s="150" t="str">
        <v/>
      </c>
      <c r="E213" s="150" t="str">
        <v/>
      </c>
      <c r="F213" s="150" t="str">
        <v/>
      </c>
      <c r="G213" s="268" t="str">
        <v/>
      </c>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c r="CH213" s="29"/>
      <c r="CI213" s="29"/>
      <c r="CJ213" s="29"/>
      <c r="CK213" s="29"/>
      <c r="CL213" s="29"/>
      <c r="CM213" s="29"/>
      <c r="CN213" s="29"/>
      <c r="CO213" s="29"/>
      <c r="CP213" s="29"/>
      <c r="CQ213" s="29"/>
      <c r="CR213" s="29"/>
      <c r="CS213" s="29"/>
      <c r="CT213" s="29"/>
      <c r="CU213" s="29"/>
      <c r="CV213" s="29"/>
      <c r="CW213" s="29"/>
      <c r="CX213" s="29"/>
      <c r="CY213" s="29"/>
      <c r="CZ213" s="29"/>
      <c r="DA213" s="29"/>
      <c r="DB213" s="29"/>
      <c r="DC213" s="29"/>
      <c r="DD213" s="29"/>
      <c r="DE213" s="29"/>
      <c r="DF213" s="29"/>
      <c r="DG213" s="29"/>
      <c r="DH213" s="29"/>
      <c r="DI213" s="29"/>
      <c r="DJ213" s="29"/>
      <c r="DK213" s="29"/>
      <c r="DL213" s="29"/>
      <c r="DM213" s="29"/>
      <c r="DN213" s="29"/>
      <c r="DO213" s="29"/>
      <c r="DP213" s="29"/>
      <c r="DQ213" s="29"/>
      <c r="DR213" s="29"/>
      <c r="DS213" s="29"/>
      <c r="DT213" s="29"/>
      <c r="DU213" s="29"/>
      <c r="DV213" s="29"/>
      <c r="DW213" s="54"/>
      <c r="DX213" s="29"/>
      <c r="DY213" s="29"/>
      <c r="DZ213" s="29"/>
      <c r="EA213" s="29"/>
      <c r="EB213" s="29"/>
      <c r="EC213" s="29"/>
      <c r="ED213" s="29"/>
      <c r="EE213" s="29"/>
      <c r="EF213" s="29"/>
      <c r="EG213" s="29"/>
      <c r="EH213" s="29"/>
      <c r="EI213" s="29"/>
      <c r="EJ213" s="29"/>
      <c r="EK213" s="29"/>
      <c r="EL213" s="29"/>
      <c r="EM213" s="29"/>
      <c r="EN213" s="29"/>
      <c r="EO213" s="29"/>
      <c r="EP213" s="29"/>
      <c r="EQ213" s="29"/>
      <c r="ER213" s="54"/>
      <c r="ES213" s="29"/>
      <c r="ET213" s="29"/>
      <c r="EU213" s="29"/>
      <c r="EV213" s="29"/>
      <c r="EW213" s="29"/>
      <c r="EX213" s="29"/>
      <c r="EY213" s="29"/>
      <c r="EZ213" s="29"/>
      <c r="FA213" s="29"/>
      <c r="FB213" s="29"/>
      <c r="FC213" s="29"/>
      <c r="FD213" s="29"/>
      <c r="FE213" s="29"/>
      <c r="FF213" s="29"/>
      <c r="FG213" s="29"/>
      <c r="FH213" s="29"/>
      <c r="FI213" s="29"/>
      <c r="FJ213" s="29"/>
      <c r="FK213" s="29"/>
      <c r="FL213" s="29"/>
      <c r="FM213" s="29"/>
      <c r="FN213" s="29"/>
      <c r="FO213" s="29"/>
      <c r="FP213" s="29"/>
      <c r="FQ213" s="29"/>
      <c r="FR213" s="29"/>
      <c r="FS213" s="29"/>
      <c r="FT213" s="29"/>
      <c r="FU213" s="29"/>
      <c r="FV213" s="29"/>
      <c r="FW213" s="29"/>
      <c r="FX213" s="29"/>
      <c r="FY213" s="29"/>
      <c r="FZ213" s="29"/>
      <c r="GA213" s="29"/>
      <c r="GB213" s="29"/>
      <c r="GC213" s="29"/>
      <c r="GD213" s="29"/>
      <c r="GE213" s="29"/>
      <c r="GF213" s="29"/>
      <c r="GG213" s="29"/>
      <c r="GH213" s="29"/>
      <c r="GI213" s="29"/>
      <c r="GJ213" s="29"/>
      <c r="GK213" s="29"/>
      <c r="GL213" s="29"/>
      <c r="GM213" s="29"/>
      <c r="GN213" s="29"/>
      <c r="GO213" s="29"/>
      <c r="GP213" s="29"/>
      <c r="GQ213" s="29"/>
      <c r="GR213" s="29"/>
      <c r="GS213" s="29"/>
      <c r="GT213" s="29"/>
      <c r="GU213" s="29"/>
      <c r="GV213" s="29"/>
      <c r="GW213" s="29"/>
      <c r="GX213" s="29"/>
      <c r="GY213" s="29"/>
      <c r="GZ213" s="29"/>
      <c r="HA213" s="29"/>
      <c r="HB213" s="29"/>
      <c r="HC213" s="29"/>
      <c r="HD213" s="29"/>
      <c r="HE213" s="29"/>
      <c r="HF213" s="29"/>
      <c r="HG213" s="29"/>
      <c r="HH213" s="29"/>
      <c r="HI213" s="29"/>
      <c r="HJ213" s="29"/>
      <c r="HK213" s="29"/>
      <c r="HL213" s="29"/>
      <c r="HM213" s="29"/>
      <c r="HN213" s="29"/>
      <c r="HO213" s="29"/>
      <c r="HP213" s="29"/>
      <c r="HQ213" s="29"/>
      <c r="HR213" s="29"/>
      <c r="HS213" s="29"/>
      <c r="HT213" s="29"/>
      <c r="HU213" s="29"/>
      <c r="HV213" s="29"/>
      <c r="HW213" s="29"/>
      <c r="HX213" s="29"/>
      <c r="HY213" s="29"/>
      <c r="HZ213" s="29"/>
      <c r="IA213" s="29"/>
      <c r="IB213" s="29"/>
      <c r="IC213" s="29"/>
      <c r="ID213" s="29"/>
      <c r="IE213" s="29"/>
      <c r="IF213" s="29"/>
      <c r="IG213" s="29"/>
      <c r="IH213" s="29"/>
      <c r="II213" s="29"/>
      <c r="IJ213" s="29"/>
      <c r="IK213" s="29"/>
      <c r="IL213" s="29"/>
      <c r="IM213" s="29"/>
      <c r="IN213" s="29"/>
      <c r="IO213" s="29"/>
      <c r="IP213" s="29"/>
      <c r="IQ213" s="29"/>
      <c r="IR213" s="29"/>
      <c r="IS213" s="29"/>
      <c r="IT213" s="29"/>
      <c r="IU213" s="29"/>
      <c r="IV213" s="29"/>
      <c r="IW213" s="29"/>
      <c r="IX213" s="29"/>
      <c r="IY213" s="29"/>
      <c r="IZ213" s="29"/>
      <c r="JA213" s="29"/>
      <c r="JB213" s="29"/>
      <c r="JC213" s="29"/>
      <c r="JD213" s="29"/>
      <c r="JE213" s="29"/>
      <c r="JF213" s="29"/>
      <c r="JG213" s="54"/>
      <c r="JH213" s="29"/>
      <c r="JI213" s="29"/>
      <c r="JJ213" s="29"/>
      <c r="JK213" s="29"/>
      <c r="JL213" s="29"/>
      <c r="JM213" s="29"/>
      <c r="JN213" s="29"/>
      <c r="JO213" s="29"/>
      <c r="JP213" s="29"/>
      <c r="JQ213" s="29"/>
      <c r="JR213" s="29"/>
      <c r="JS213" s="29"/>
      <c r="JT213" s="29"/>
      <c r="JU213" s="29"/>
      <c r="JV213" s="29"/>
      <c r="JW213" s="29"/>
      <c r="JX213" s="29"/>
      <c r="JY213" s="29"/>
      <c r="JZ213" s="29"/>
      <c r="KA213" s="29"/>
      <c r="KB213" s="54"/>
    </row>
    <row r="214" spans="1:288" ht="15" customHeight="1" x14ac:dyDescent="0.35">
      <c r="B214" s="1829" t="s">
        <v>1605</v>
      </c>
      <c r="C214" s="1102"/>
      <c r="D214" s="1102"/>
      <c r="E214" s="1102"/>
      <c r="F214" s="1102"/>
      <c r="G214" s="1102"/>
      <c r="H214" s="1831"/>
      <c r="I214" s="1831"/>
      <c r="J214" s="1831"/>
      <c r="K214" s="1831"/>
      <c r="L214" s="1831"/>
      <c r="M214" s="1831"/>
      <c r="N214" s="1831"/>
      <c r="O214" s="1831"/>
      <c r="P214" s="1831"/>
      <c r="Q214" s="1831"/>
      <c r="R214" s="1831"/>
      <c r="S214" s="1831"/>
      <c r="T214" s="1831"/>
      <c r="U214" s="1831"/>
      <c r="V214" s="1831"/>
      <c r="W214" s="1831"/>
      <c r="X214" s="1831"/>
      <c r="Y214" s="1831"/>
      <c r="Z214" s="1831"/>
      <c r="AA214" s="1831"/>
      <c r="AB214" s="1831"/>
      <c r="AC214" s="1831"/>
      <c r="AD214" s="1831"/>
      <c r="AE214" s="1831"/>
      <c r="AF214" s="1831"/>
      <c r="AG214" s="1831"/>
      <c r="AH214" s="1831"/>
      <c r="AI214" s="1831"/>
      <c r="AJ214" s="1831"/>
      <c r="AK214" s="1831"/>
      <c r="AL214" s="1831"/>
      <c r="AM214" s="1831"/>
      <c r="AN214" s="1831"/>
      <c r="AO214" s="1831"/>
      <c r="AP214" s="1831"/>
      <c r="AQ214" s="1831"/>
      <c r="AR214" s="1831"/>
      <c r="AS214" s="1831"/>
      <c r="AT214" s="1831"/>
      <c r="AU214" s="1831"/>
      <c r="AV214" s="1831"/>
      <c r="AW214" s="1831"/>
      <c r="AX214" s="1831"/>
      <c r="AY214" s="1831"/>
      <c r="AZ214" s="1831"/>
      <c r="BA214" s="1831"/>
      <c r="BB214" s="1831"/>
      <c r="BC214" s="1831"/>
      <c r="BD214" s="1831"/>
      <c r="BE214" s="1831"/>
      <c r="BF214" s="1831"/>
      <c r="BG214" s="1831"/>
      <c r="BH214" s="1831"/>
      <c r="BI214" s="1831"/>
      <c r="BJ214" s="1831"/>
      <c r="BK214" s="1831"/>
      <c r="BL214" s="1831"/>
      <c r="BM214" s="1831"/>
      <c r="BN214" s="1831"/>
      <c r="BO214" s="1831"/>
      <c r="BP214" s="1831"/>
      <c r="BQ214" s="1831"/>
      <c r="BR214" s="1831"/>
      <c r="BS214" s="1831"/>
      <c r="BT214" s="1831"/>
      <c r="BU214" s="1831"/>
      <c r="BV214" s="1831"/>
      <c r="BW214" s="1831"/>
      <c r="BX214" s="1831"/>
      <c r="BY214" s="1831"/>
      <c r="BZ214" s="1831"/>
      <c r="CA214" s="1831"/>
      <c r="CB214" s="1831"/>
      <c r="CC214" s="1831"/>
      <c r="CD214" s="1831"/>
      <c r="CE214" s="1831"/>
      <c r="CF214" s="1831"/>
      <c r="CG214" s="1831"/>
      <c r="CH214" s="1831"/>
      <c r="CI214" s="1831"/>
      <c r="CJ214" s="1831"/>
      <c r="CK214" s="1831"/>
      <c r="CL214" s="1831"/>
      <c r="CM214" s="1831"/>
      <c r="CN214" s="1831"/>
      <c r="CO214" s="1831"/>
      <c r="CP214" s="1831"/>
      <c r="CQ214" s="1831"/>
      <c r="CR214" s="1831"/>
      <c r="CS214" s="1831"/>
      <c r="CT214" s="1831"/>
      <c r="CU214" s="1831"/>
      <c r="CV214" s="1831"/>
      <c r="CW214" s="1831"/>
      <c r="CX214" s="1831"/>
      <c r="CY214" s="1831"/>
      <c r="CZ214" s="1831"/>
      <c r="DA214" s="1831"/>
      <c r="DB214" s="1831"/>
      <c r="DC214" s="1831"/>
      <c r="DD214" s="1831"/>
      <c r="DE214" s="1831"/>
      <c r="DF214" s="1831"/>
      <c r="DG214" s="1831"/>
      <c r="DH214" s="1831"/>
      <c r="DI214" s="1831"/>
      <c r="DJ214" s="1831"/>
      <c r="DK214" s="1831"/>
      <c r="DL214" s="1831"/>
      <c r="DM214" s="1831"/>
      <c r="DN214" s="1831"/>
      <c r="DO214" s="1831"/>
      <c r="DP214" s="1831"/>
      <c r="DQ214" s="1831"/>
      <c r="DR214" s="1831"/>
      <c r="DS214" s="1831"/>
      <c r="DT214" s="1831"/>
      <c r="DU214" s="1831"/>
      <c r="DV214" s="1831"/>
      <c r="DW214" s="1090"/>
      <c r="DX214" s="1831"/>
      <c r="DY214" s="1831"/>
      <c r="DZ214" s="1831"/>
      <c r="EA214" s="1831"/>
      <c r="EB214" s="1831"/>
      <c r="EC214" s="1831"/>
      <c r="ED214" s="1831"/>
      <c r="EE214" s="1831"/>
      <c r="EF214" s="1831"/>
      <c r="EG214" s="1831"/>
      <c r="EH214" s="1831"/>
      <c r="EI214" s="1831"/>
      <c r="EJ214" s="1831"/>
      <c r="EK214" s="1831"/>
      <c r="EL214" s="1831"/>
      <c r="EM214" s="1831"/>
      <c r="EN214" s="1831"/>
      <c r="EO214" s="1831"/>
      <c r="EP214" s="1831"/>
      <c r="EQ214" s="1831"/>
      <c r="ER214" s="1090"/>
      <c r="ES214" s="1831"/>
      <c r="ET214" s="1831"/>
      <c r="EU214" s="1831"/>
      <c r="EV214" s="1831"/>
      <c r="EW214" s="1831"/>
      <c r="EX214" s="1831"/>
      <c r="EY214" s="1831"/>
      <c r="EZ214" s="1831"/>
      <c r="FA214" s="1831"/>
      <c r="FB214" s="1831"/>
      <c r="FC214" s="1831"/>
      <c r="FD214" s="1831"/>
      <c r="FE214" s="1831"/>
      <c r="FF214" s="1831"/>
      <c r="FG214" s="1831"/>
      <c r="FH214" s="1831"/>
      <c r="FI214" s="1831"/>
      <c r="FJ214" s="1831"/>
      <c r="FK214" s="1831"/>
      <c r="FL214" s="1831"/>
      <c r="FM214" s="1831"/>
      <c r="FN214" s="1831"/>
      <c r="FO214" s="1831"/>
      <c r="FP214" s="1831"/>
      <c r="FQ214" s="1831"/>
      <c r="FR214" s="1831"/>
      <c r="FS214" s="1831"/>
      <c r="FT214" s="1831"/>
      <c r="FU214" s="1831"/>
      <c r="FV214" s="1831"/>
      <c r="FW214" s="1831"/>
      <c r="FX214" s="1831"/>
      <c r="FY214" s="1831"/>
      <c r="FZ214" s="1831"/>
      <c r="GA214" s="1831"/>
      <c r="GB214" s="1831"/>
      <c r="GC214" s="1831"/>
      <c r="GD214" s="1831"/>
      <c r="GE214" s="1831"/>
      <c r="GF214" s="1831"/>
      <c r="GG214" s="1831"/>
      <c r="GH214" s="1831"/>
      <c r="GI214" s="1831"/>
      <c r="GJ214" s="1831"/>
      <c r="GK214" s="1831"/>
      <c r="GL214" s="1831"/>
      <c r="GM214" s="1831"/>
      <c r="GN214" s="1831"/>
      <c r="GO214" s="1831"/>
      <c r="GP214" s="1831"/>
      <c r="GQ214" s="1831"/>
      <c r="GR214" s="1831"/>
      <c r="GS214" s="1831"/>
      <c r="GT214" s="1831"/>
      <c r="GU214" s="1831"/>
      <c r="GV214" s="1831"/>
      <c r="GW214" s="1831"/>
      <c r="GX214" s="1831"/>
      <c r="GY214" s="1831"/>
      <c r="GZ214" s="1831"/>
      <c r="HA214" s="1831"/>
      <c r="HB214" s="1831"/>
      <c r="HC214" s="1831"/>
      <c r="HD214" s="1831"/>
      <c r="HE214" s="1831"/>
      <c r="HF214" s="1831"/>
      <c r="HG214" s="1831"/>
      <c r="HH214" s="1831"/>
      <c r="HI214" s="1831"/>
      <c r="HJ214" s="1831"/>
      <c r="HK214" s="1831"/>
      <c r="HL214" s="1831"/>
      <c r="HM214" s="1831"/>
      <c r="HN214" s="1831"/>
      <c r="HO214" s="1831"/>
      <c r="HP214" s="1831"/>
      <c r="HQ214" s="1831"/>
      <c r="HR214" s="1831"/>
      <c r="HS214" s="1831"/>
      <c r="HT214" s="1831"/>
      <c r="HU214" s="1831"/>
      <c r="HV214" s="1831"/>
      <c r="HW214" s="1831"/>
      <c r="HX214" s="1831"/>
      <c r="HY214" s="1831"/>
      <c r="HZ214" s="1831"/>
      <c r="IA214" s="1831"/>
      <c r="IB214" s="1831"/>
      <c r="IC214" s="1831"/>
      <c r="ID214" s="1831"/>
      <c r="IE214" s="1831"/>
      <c r="IF214" s="1831"/>
      <c r="IG214" s="1831"/>
      <c r="IH214" s="1831"/>
      <c r="II214" s="1831"/>
      <c r="IJ214" s="1831"/>
      <c r="IK214" s="1831"/>
      <c r="IL214" s="1831"/>
      <c r="IM214" s="1831"/>
      <c r="IN214" s="1831"/>
      <c r="IO214" s="1831"/>
      <c r="IP214" s="1831"/>
      <c r="IQ214" s="1831"/>
      <c r="IR214" s="1831"/>
      <c r="IS214" s="1831"/>
      <c r="IT214" s="1831"/>
      <c r="IU214" s="1831"/>
      <c r="IV214" s="1831"/>
      <c r="IW214" s="1831"/>
      <c r="IX214" s="1831"/>
      <c r="IY214" s="1831"/>
      <c r="IZ214" s="1831"/>
      <c r="JA214" s="1831"/>
      <c r="JB214" s="1831"/>
      <c r="JC214" s="1831"/>
      <c r="JD214" s="1831"/>
      <c r="JE214" s="1831"/>
      <c r="JF214" s="1831"/>
      <c r="JG214" s="1090"/>
      <c r="JH214" s="1831"/>
      <c r="JI214" s="1831"/>
      <c r="JJ214" s="1831"/>
      <c r="JK214" s="1831"/>
      <c r="JL214" s="1831"/>
      <c r="JM214" s="1831"/>
      <c r="JN214" s="1831"/>
      <c r="JO214" s="1831"/>
      <c r="JP214" s="1831"/>
      <c r="JQ214" s="1831"/>
      <c r="JR214" s="1831"/>
      <c r="JS214" s="1831"/>
      <c r="JT214" s="1831"/>
      <c r="JU214" s="1831"/>
      <c r="JV214" s="1831"/>
      <c r="JW214" s="1831"/>
      <c r="JX214" s="1831"/>
      <c r="JY214" s="1831"/>
      <c r="JZ214" s="1831"/>
      <c r="KA214" s="1831"/>
      <c r="KB214" s="1090"/>
    </row>
    <row r="215" spans="1:288" ht="60" customHeight="1" x14ac:dyDescent="0.35">
      <c r="A215" s="269" t="s">
        <v>1607</v>
      </c>
      <c r="B215" s="84"/>
      <c r="C215" s="84"/>
      <c r="D215" s="103"/>
      <c r="E215" s="103"/>
      <c r="F215" s="103"/>
      <c r="G215" s="103"/>
    </row>
    <row r="216" spans="1:288" ht="60" customHeight="1" x14ac:dyDescent="0.35">
      <c r="B216" s="1384" t="s">
        <v>1199</v>
      </c>
      <c r="C216" s="750" t="s">
        <v>1200</v>
      </c>
      <c r="D216" s="895" t="s">
        <v>1201</v>
      </c>
      <c r="E216" s="750" t="s">
        <v>1202</v>
      </c>
      <c r="F216" s="750" t="s">
        <v>1203</v>
      </c>
      <c r="G216" s="750" t="s">
        <v>1600</v>
      </c>
      <c r="H216" s="750" t="s">
        <v>1601</v>
      </c>
      <c r="I216" s="750" t="str">
        <f t="shared" ref="I216:BT216" si="17">"T+" &amp; (COLUMN(I216)-COLUMN($H216))</f>
        <v>T+1</v>
      </c>
      <c r="J216" s="750" t="str">
        <f t="shared" si="17"/>
        <v>T+2</v>
      </c>
      <c r="K216" s="750" t="str">
        <f t="shared" si="17"/>
        <v>T+3</v>
      </c>
      <c r="L216" s="750" t="str">
        <f t="shared" si="17"/>
        <v>T+4</v>
      </c>
      <c r="M216" s="750" t="str">
        <f t="shared" si="17"/>
        <v>T+5</v>
      </c>
      <c r="N216" s="750" t="str">
        <f t="shared" si="17"/>
        <v>T+6</v>
      </c>
      <c r="O216" s="750" t="str">
        <f t="shared" si="17"/>
        <v>T+7</v>
      </c>
      <c r="P216" s="750" t="str">
        <f t="shared" si="17"/>
        <v>T+8</v>
      </c>
      <c r="Q216" s="750" t="str">
        <f t="shared" si="17"/>
        <v>T+9</v>
      </c>
      <c r="R216" s="750" t="str">
        <f t="shared" si="17"/>
        <v>T+10</v>
      </c>
      <c r="S216" s="750" t="str">
        <f t="shared" si="17"/>
        <v>T+11</v>
      </c>
      <c r="T216" s="750" t="str">
        <f t="shared" si="17"/>
        <v>T+12</v>
      </c>
      <c r="U216" s="750" t="str">
        <f t="shared" si="17"/>
        <v>T+13</v>
      </c>
      <c r="V216" s="750" t="str">
        <f t="shared" si="17"/>
        <v>T+14</v>
      </c>
      <c r="W216" s="750" t="str">
        <f t="shared" si="17"/>
        <v>T+15</v>
      </c>
      <c r="X216" s="750" t="str">
        <f t="shared" si="17"/>
        <v>T+16</v>
      </c>
      <c r="Y216" s="750" t="str">
        <f t="shared" si="17"/>
        <v>T+17</v>
      </c>
      <c r="Z216" s="750" t="str">
        <f t="shared" si="17"/>
        <v>T+18</v>
      </c>
      <c r="AA216" s="750" t="str">
        <f t="shared" si="17"/>
        <v>T+19</v>
      </c>
      <c r="AB216" s="750" t="str">
        <f t="shared" si="17"/>
        <v>T+20</v>
      </c>
      <c r="AC216" s="750" t="str">
        <f t="shared" si="17"/>
        <v>T+21</v>
      </c>
      <c r="AD216" s="750" t="str">
        <f t="shared" si="17"/>
        <v>T+22</v>
      </c>
      <c r="AE216" s="750" t="str">
        <f t="shared" si="17"/>
        <v>T+23</v>
      </c>
      <c r="AF216" s="750" t="str">
        <f t="shared" si="17"/>
        <v>T+24</v>
      </c>
      <c r="AG216" s="750" t="str">
        <f t="shared" si="17"/>
        <v>T+25</v>
      </c>
      <c r="AH216" s="750" t="str">
        <f t="shared" si="17"/>
        <v>T+26</v>
      </c>
      <c r="AI216" s="750" t="str">
        <f t="shared" si="17"/>
        <v>T+27</v>
      </c>
      <c r="AJ216" s="750" t="str">
        <f t="shared" si="17"/>
        <v>T+28</v>
      </c>
      <c r="AK216" s="750" t="str">
        <f t="shared" si="17"/>
        <v>T+29</v>
      </c>
      <c r="AL216" s="750" t="str">
        <f t="shared" si="17"/>
        <v>T+30</v>
      </c>
      <c r="AM216" s="750" t="str">
        <f t="shared" si="17"/>
        <v>T+31</v>
      </c>
      <c r="AN216" s="750" t="str">
        <f t="shared" si="17"/>
        <v>T+32</v>
      </c>
      <c r="AO216" s="750" t="str">
        <f t="shared" si="17"/>
        <v>T+33</v>
      </c>
      <c r="AP216" s="750" t="str">
        <f t="shared" si="17"/>
        <v>T+34</v>
      </c>
      <c r="AQ216" s="750" t="str">
        <f t="shared" si="17"/>
        <v>T+35</v>
      </c>
      <c r="AR216" s="750" t="str">
        <f t="shared" si="17"/>
        <v>T+36</v>
      </c>
      <c r="AS216" s="750" t="str">
        <f t="shared" si="17"/>
        <v>T+37</v>
      </c>
      <c r="AT216" s="750" t="str">
        <f t="shared" si="17"/>
        <v>T+38</v>
      </c>
      <c r="AU216" s="750" t="str">
        <f t="shared" si="17"/>
        <v>T+39</v>
      </c>
      <c r="AV216" s="750" t="str">
        <f t="shared" si="17"/>
        <v>T+40</v>
      </c>
      <c r="AW216" s="750" t="str">
        <f t="shared" si="17"/>
        <v>T+41</v>
      </c>
      <c r="AX216" s="750" t="str">
        <f t="shared" si="17"/>
        <v>T+42</v>
      </c>
      <c r="AY216" s="750" t="str">
        <f t="shared" si="17"/>
        <v>T+43</v>
      </c>
      <c r="AZ216" s="750" t="str">
        <f t="shared" si="17"/>
        <v>T+44</v>
      </c>
      <c r="BA216" s="750" t="str">
        <f t="shared" si="17"/>
        <v>T+45</v>
      </c>
      <c r="BB216" s="750" t="str">
        <f t="shared" si="17"/>
        <v>T+46</v>
      </c>
      <c r="BC216" s="750" t="str">
        <f t="shared" si="17"/>
        <v>T+47</v>
      </c>
      <c r="BD216" s="750" t="str">
        <f t="shared" si="17"/>
        <v>T+48</v>
      </c>
      <c r="BE216" s="750" t="str">
        <f t="shared" si="17"/>
        <v>T+49</v>
      </c>
      <c r="BF216" s="750" t="str">
        <f t="shared" si="17"/>
        <v>T+50</v>
      </c>
      <c r="BG216" s="750" t="str">
        <f t="shared" si="17"/>
        <v>T+51</v>
      </c>
      <c r="BH216" s="750" t="str">
        <f t="shared" si="17"/>
        <v>T+52</v>
      </c>
      <c r="BI216" s="750" t="str">
        <f t="shared" si="17"/>
        <v>T+53</v>
      </c>
      <c r="BJ216" s="750" t="str">
        <f t="shared" si="17"/>
        <v>T+54</v>
      </c>
      <c r="BK216" s="750" t="str">
        <f t="shared" si="17"/>
        <v>T+55</v>
      </c>
      <c r="BL216" s="750" t="str">
        <f t="shared" si="17"/>
        <v>T+56</v>
      </c>
      <c r="BM216" s="750" t="str">
        <f t="shared" si="17"/>
        <v>T+57</v>
      </c>
      <c r="BN216" s="750" t="str">
        <f t="shared" si="17"/>
        <v>T+58</v>
      </c>
      <c r="BO216" s="750" t="str">
        <f t="shared" si="17"/>
        <v>T+59</v>
      </c>
      <c r="BP216" s="750" t="str">
        <f t="shared" si="17"/>
        <v>T+60</v>
      </c>
      <c r="BQ216" s="750" t="str">
        <f t="shared" si="17"/>
        <v>T+61</v>
      </c>
      <c r="BR216" s="750" t="str">
        <f t="shared" si="17"/>
        <v>T+62</v>
      </c>
      <c r="BS216" s="750" t="str">
        <f t="shared" si="17"/>
        <v>T+63</v>
      </c>
      <c r="BT216" s="750" t="str">
        <f t="shared" si="17"/>
        <v>T+64</v>
      </c>
      <c r="BU216" s="750" t="str">
        <f t="shared" ref="BU216:EF216" si="18">"T+" &amp; (COLUMN(BU216)-COLUMN($H216))</f>
        <v>T+65</v>
      </c>
      <c r="BV216" s="750" t="str">
        <f t="shared" si="18"/>
        <v>T+66</v>
      </c>
      <c r="BW216" s="750" t="str">
        <f t="shared" si="18"/>
        <v>T+67</v>
      </c>
      <c r="BX216" s="750" t="str">
        <f t="shared" si="18"/>
        <v>T+68</v>
      </c>
      <c r="BY216" s="750" t="str">
        <f t="shared" si="18"/>
        <v>T+69</v>
      </c>
      <c r="BZ216" s="750" t="str">
        <f t="shared" si="18"/>
        <v>T+70</v>
      </c>
      <c r="CA216" s="750" t="str">
        <f t="shared" si="18"/>
        <v>T+71</v>
      </c>
      <c r="CB216" s="750" t="str">
        <f t="shared" si="18"/>
        <v>T+72</v>
      </c>
      <c r="CC216" s="750" t="str">
        <f t="shared" si="18"/>
        <v>T+73</v>
      </c>
      <c r="CD216" s="750" t="str">
        <f t="shared" si="18"/>
        <v>T+74</v>
      </c>
      <c r="CE216" s="750" t="str">
        <f t="shared" si="18"/>
        <v>T+75</v>
      </c>
      <c r="CF216" s="750" t="str">
        <f t="shared" si="18"/>
        <v>T+76</v>
      </c>
      <c r="CG216" s="750" t="str">
        <f t="shared" si="18"/>
        <v>T+77</v>
      </c>
      <c r="CH216" s="750" t="str">
        <f t="shared" si="18"/>
        <v>T+78</v>
      </c>
      <c r="CI216" s="750" t="str">
        <f t="shared" si="18"/>
        <v>T+79</v>
      </c>
      <c r="CJ216" s="750" t="str">
        <f t="shared" si="18"/>
        <v>T+80</v>
      </c>
      <c r="CK216" s="750" t="str">
        <f t="shared" si="18"/>
        <v>T+81</v>
      </c>
      <c r="CL216" s="750" t="str">
        <f t="shared" si="18"/>
        <v>T+82</v>
      </c>
      <c r="CM216" s="750" t="str">
        <f t="shared" si="18"/>
        <v>T+83</v>
      </c>
      <c r="CN216" s="750" t="str">
        <f t="shared" si="18"/>
        <v>T+84</v>
      </c>
      <c r="CO216" s="750" t="str">
        <f t="shared" si="18"/>
        <v>T+85</v>
      </c>
      <c r="CP216" s="750" t="str">
        <f t="shared" si="18"/>
        <v>T+86</v>
      </c>
      <c r="CQ216" s="750" t="str">
        <f t="shared" si="18"/>
        <v>T+87</v>
      </c>
      <c r="CR216" s="750" t="str">
        <f t="shared" si="18"/>
        <v>T+88</v>
      </c>
      <c r="CS216" s="750" t="str">
        <f t="shared" si="18"/>
        <v>T+89</v>
      </c>
      <c r="CT216" s="750" t="str">
        <f t="shared" si="18"/>
        <v>T+90</v>
      </c>
      <c r="CU216" s="750" t="str">
        <f t="shared" si="18"/>
        <v>T+91</v>
      </c>
      <c r="CV216" s="750" t="str">
        <f t="shared" si="18"/>
        <v>T+92</v>
      </c>
      <c r="CW216" s="750" t="str">
        <f t="shared" si="18"/>
        <v>T+93</v>
      </c>
      <c r="CX216" s="750" t="str">
        <f t="shared" si="18"/>
        <v>T+94</v>
      </c>
      <c r="CY216" s="750" t="str">
        <f t="shared" si="18"/>
        <v>T+95</v>
      </c>
      <c r="CZ216" s="750" t="str">
        <f t="shared" si="18"/>
        <v>T+96</v>
      </c>
      <c r="DA216" s="750" t="str">
        <f t="shared" si="18"/>
        <v>T+97</v>
      </c>
      <c r="DB216" s="750" t="str">
        <f t="shared" si="18"/>
        <v>T+98</v>
      </c>
      <c r="DC216" s="750" t="str">
        <f t="shared" si="18"/>
        <v>T+99</v>
      </c>
      <c r="DD216" s="750" t="str">
        <f t="shared" si="18"/>
        <v>T+100</v>
      </c>
      <c r="DE216" s="750" t="str">
        <f t="shared" si="18"/>
        <v>T+101</v>
      </c>
      <c r="DF216" s="750" t="str">
        <f t="shared" si="18"/>
        <v>T+102</v>
      </c>
      <c r="DG216" s="750" t="str">
        <f t="shared" si="18"/>
        <v>T+103</v>
      </c>
      <c r="DH216" s="750" t="str">
        <f t="shared" si="18"/>
        <v>T+104</v>
      </c>
      <c r="DI216" s="750" t="str">
        <f t="shared" si="18"/>
        <v>T+105</v>
      </c>
      <c r="DJ216" s="750" t="str">
        <f t="shared" si="18"/>
        <v>T+106</v>
      </c>
      <c r="DK216" s="750" t="str">
        <f t="shared" si="18"/>
        <v>T+107</v>
      </c>
      <c r="DL216" s="750" t="str">
        <f t="shared" si="18"/>
        <v>T+108</v>
      </c>
      <c r="DM216" s="750" t="str">
        <f t="shared" si="18"/>
        <v>T+109</v>
      </c>
      <c r="DN216" s="750" t="str">
        <f t="shared" si="18"/>
        <v>T+110</v>
      </c>
      <c r="DO216" s="750" t="str">
        <f t="shared" si="18"/>
        <v>T+111</v>
      </c>
      <c r="DP216" s="750" t="str">
        <f t="shared" si="18"/>
        <v>T+112</v>
      </c>
      <c r="DQ216" s="750" t="str">
        <f t="shared" si="18"/>
        <v>T+113</v>
      </c>
      <c r="DR216" s="750" t="str">
        <f t="shared" si="18"/>
        <v>T+114</v>
      </c>
      <c r="DS216" s="750" t="str">
        <f t="shared" si="18"/>
        <v>T+115</v>
      </c>
      <c r="DT216" s="750" t="str">
        <f t="shared" si="18"/>
        <v>T+116</v>
      </c>
      <c r="DU216" s="750" t="str">
        <f t="shared" si="18"/>
        <v>T+117</v>
      </c>
      <c r="DV216" s="750" t="str">
        <f t="shared" si="18"/>
        <v>T+118</v>
      </c>
      <c r="DW216" s="750" t="str">
        <f t="shared" si="18"/>
        <v>T+119</v>
      </c>
      <c r="DX216" s="750" t="str">
        <f t="shared" si="18"/>
        <v>T+120</v>
      </c>
      <c r="DY216" s="750" t="str">
        <f t="shared" si="18"/>
        <v>T+121</v>
      </c>
      <c r="DZ216" s="750" t="str">
        <f t="shared" si="18"/>
        <v>T+122</v>
      </c>
      <c r="EA216" s="750" t="str">
        <f t="shared" si="18"/>
        <v>T+123</v>
      </c>
      <c r="EB216" s="750" t="str">
        <f t="shared" si="18"/>
        <v>T+124</v>
      </c>
      <c r="EC216" s="750" t="str">
        <f t="shared" si="18"/>
        <v>T+125</v>
      </c>
      <c r="ED216" s="750" t="str">
        <f t="shared" si="18"/>
        <v>T+126</v>
      </c>
      <c r="EE216" s="750" t="str">
        <f t="shared" si="18"/>
        <v>T+127</v>
      </c>
      <c r="EF216" s="750" t="str">
        <f t="shared" si="18"/>
        <v>T+128</v>
      </c>
      <c r="EG216" s="750" t="str">
        <f t="shared" ref="EG216:GR216" si="19">"T+" &amp; (COLUMN(EG216)-COLUMN($H216))</f>
        <v>T+129</v>
      </c>
      <c r="EH216" s="750" t="str">
        <f t="shared" si="19"/>
        <v>T+130</v>
      </c>
      <c r="EI216" s="750" t="str">
        <f t="shared" si="19"/>
        <v>T+131</v>
      </c>
      <c r="EJ216" s="750" t="str">
        <f t="shared" si="19"/>
        <v>T+132</v>
      </c>
      <c r="EK216" s="750" t="str">
        <f t="shared" si="19"/>
        <v>T+133</v>
      </c>
      <c r="EL216" s="750" t="str">
        <f t="shared" si="19"/>
        <v>T+134</v>
      </c>
      <c r="EM216" s="750" t="str">
        <f t="shared" si="19"/>
        <v>T+135</v>
      </c>
      <c r="EN216" s="750" t="str">
        <f t="shared" si="19"/>
        <v>T+136</v>
      </c>
      <c r="EO216" s="750" t="str">
        <f t="shared" si="19"/>
        <v>T+137</v>
      </c>
      <c r="EP216" s="750" t="str">
        <f t="shared" si="19"/>
        <v>T+138</v>
      </c>
      <c r="EQ216" s="750" t="str">
        <f t="shared" si="19"/>
        <v>T+139</v>
      </c>
      <c r="ER216" s="750" t="str">
        <f t="shared" si="19"/>
        <v>T+140</v>
      </c>
      <c r="ES216" s="750" t="str">
        <f t="shared" si="19"/>
        <v>T+141</v>
      </c>
      <c r="ET216" s="750" t="str">
        <f t="shared" si="19"/>
        <v>T+142</v>
      </c>
      <c r="EU216" s="750" t="str">
        <f t="shared" si="19"/>
        <v>T+143</v>
      </c>
      <c r="EV216" s="750" t="str">
        <f t="shared" si="19"/>
        <v>T+144</v>
      </c>
      <c r="EW216" s="750" t="str">
        <f t="shared" si="19"/>
        <v>T+145</v>
      </c>
      <c r="EX216" s="750" t="str">
        <f t="shared" si="19"/>
        <v>T+146</v>
      </c>
      <c r="EY216" s="750" t="str">
        <f t="shared" si="19"/>
        <v>T+147</v>
      </c>
      <c r="EZ216" s="750" t="str">
        <f t="shared" si="19"/>
        <v>T+148</v>
      </c>
      <c r="FA216" s="750" t="str">
        <f t="shared" si="19"/>
        <v>T+149</v>
      </c>
      <c r="FB216" s="750" t="str">
        <f t="shared" si="19"/>
        <v>T+150</v>
      </c>
      <c r="FC216" s="750" t="str">
        <f t="shared" si="19"/>
        <v>T+151</v>
      </c>
      <c r="FD216" s="750" t="str">
        <f t="shared" si="19"/>
        <v>T+152</v>
      </c>
      <c r="FE216" s="750" t="str">
        <f t="shared" si="19"/>
        <v>T+153</v>
      </c>
      <c r="FF216" s="750" t="str">
        <f t="shared" si="19"/>
        <v>T+154</v>
      </c>
      <c r="FG216" s="750" t="str">
        <f t="shared" si="19"/>
        <v>T+155</v>
      </c>
      <c r="FH216" s="750" t="str">
        <f t="shared" si="19"/>
        <v>T+156</v>
      </c>
      <c r="FI216" s="750" t="str">
        <f t="shared" si="19"/>
        <v>T+157</v>
      </c>
      <c r="FJ216" s="750" t="str">
        <f t="shared" si="19"/>
        <v>T+158</v>
      </c>
      <c r="FK216" s="750" t="str">
        <f t="shared" si="19"/>
        <v>T+159</v>
      </c>
      <c r="FL216" s="750" t="str">
        <f t="shared" si="19"/>
        <v>T+160</v>
      </c>
      <c r="FM216" s="750" t="str">
        <f t="shared" si="19"/>
        <v>T+161</v>
      </c>
      <c r="FN216" s="750" t="str">
        <f t="shared" si="19"/>
        <v>T+162</v>
      </c>
      <c r="FO216" s="750" t="str">
        <f t="shared" si="19"/>
        <v>T+163</v>
      </c>
      <c r="FP216" s="750" t="str">
        <f t="shared" si="19"/>
        <v>T+164</v>
      </c>
      <c r="FQ216" s="750" t="str">
        <f t="shared" si="19"/>
        <v>T+165</v>
      </c>
      <c r="FR216" s="750" t="str">
        <f t="shared" si="19"/>
        <v>T+166</v>
      </c>
      <c r="FS216" s="750" t="str">
        <f t="shared" si="19"/>
        <v>T+167</v>
      </c>
      <c r="FT216" s="750" t="str">
        <f t="shared" si="19"/>
        <v>T+168</v>
      </c>
      <c r="FU216" s="750" t="str">
        <f t="shared" si="19"/>
        <v>T+169</v>
      </c>
      <c r="FV216" s="750" t="str">
        <f t="shared" si="19"/>
        <v>T+170</v>
      </c>
      <c r="FW216" s="750" t="str">
        <f t="shared" si="19"/>
        <v>T+171</v>
      </c>
      <c r="FX216" s="750" t="str">
        <f t="shared" si="19"/>
        <v>T+172</v>
      </c>
      <c r="FY216" s="750" t="str">
        <f t="shared" si="19"/>
        <v>T+173</v>
      </c>
      <c r="FZ216" s="750" t="str">
        <f t="shared" si="19"/>
        <v>T+174</v>
      </c>
      <c r="GA216" s="750" t="str">
        <f t="shared" si="19"/>
        <v>T+175</v>
      </c>
      <c r="GB216" s="750" t="str">
        <f t="shared" si="19"/>
        <v>T+176</v>
      </c>
      <c r="GC216" s="750" t="str">
        <f t="shared" si="19"/>
        <v>T+177</v>
      </c>
      <c r="GD216" s="750" t="str">
        <f t="shared" si="19"/>
        <v>T+178</v>
      </c>
      <c r="GE216" s="750" t="str">
        <f t="shared" si="19"/>
        <v>T+179</v>
      </c>
      <c r="GF216" s="750" t="str">
        <f t="shared" si="19"/>
        <v>T+180</v>
      </c>
      <c r="GG216" s="750" t="str">
        <f t="shared" si="19"/>
        <v>T+181</v>
      </c>
      <c r="GH216" s="750" t="str">
        <f t="shared" si="19"/>
        <v>T+182</v>
      </c>
      <c r="GI216" s="750" t="str">
        <f t="shared" si="19"/>
        <v>T+183</v>
      </c>
      <c r="GJ216" s="750" t="str">
        <f t="shared" si="19"/>
        <v>T+184</v>
      </c>
      <c r="GK216" s="750" t="str">
        <f t="shared" si="19"/>
        <v>T+185</v>
      </c>
      <c r="GL216" s="750" t="str">
        <f t="shared" si="19"/>
        <v>T+186</v>
      </c>
      <c r="GM216" s="750" t="str">
        <f t="shared" si="19"/>
        <v>T+187</v>
      </c>
      <c r="GN216" s="750" t="str">
        <f t="shared" si="19"/>
        <v>T+188</v>
      </c>
      <c r="GO216" s="750" t="str">
        <f t="shared" si="19"/>
        <v>T+189</v>
      </c>
      <c r="GP216" s="750" t="str">
        <f t="shared" si="19"/>
        <v>T+190</v>
      </c>
      <c r="GQ216" s="750" t="str">
        <f t="shared" si="19"/>
        <v>T+191</v>
      </c>
      <c r="GR216" s="750" t="str">
        <f t="shared" si="19"/>
        <v>T+192</v>
      </c>
      <c r="GS216" s="750" t="str">
        <f t="shared" ref="GS216:JD216" si="20">"T+" &amp; (COLUMN(GS216)-COLUMN($H216))</f>
        <v>T+193</v>
      </c>
      <c r="GT216" s="750" t="str">
        <f t="shared" si="20"/>
        <v>T+194</v>
      </c>
      <c r="GU216" s="750" t="str">
        <f t="shared" si="20"/>
        <v>T+195</v>
      </c>
      <c r="GV216" s="750" t="str">
        <f t="shared" si="20"/>
        <v>T+196</v>
      </c>
      <c r="GW216" s="750" t="str">
        <f t="shared" si="20"/>
        <v>T+197</v>
      </c>
      <c r="GX216" s="750" t="str">
        <f t="shared" si="20"/>
        <v>T+198</v>
      </c>
      <c r="GY216" s="750" t="str">
        <f t="shared" si="20"/>
        <v>T+199</v>
      </c>
      <c r="GZ216" s="750" t="str">
        <f t="shared" si="20"/>
        <v>T+200</v>
      </c>
      <c r="HA216" s="750" t="str">
        <f t="shared" si="20"/>
        <v>T+201</v>
      </c>
      <c r="HB216" s="750" t="str">
        <f t="shared" si="20"/>
        <v>T+202</v>
      </c>
      <c r="HC216" s="750" t="str">
        <f t="shared" si="20"/>
        <v>T+203</v>
      </c>
      <c r="HD216" s="750" t="str">
        <f t="shared" si="20"/>
        <v>T+204</v>
      </c>
      <c r="HE216" s="750" t="str">
        <f t="shared" si="20"/>
        <v>T+205</v>
      </c>
      <c r="HF216" s="750" t="str">
        <f t="shared" si="20"/>
        <v>T+206</v>
      </c>
      <c r="HG216" s="750" t="str">
        <f t="shared" si="20"/>
        <v>T+207</v>
      </c>
      <c r="HH216" s="750" t="str">
        <f t="shared" si="20"/>
        <v>T+208</v>
      </c>
      <c r="HI216" s="750" t="str">
        <f t="shared" si="20"/>
        <v>T+209</v>
      </c>
      <c r="HJ216" s="750" t="str">
        <f t="shared" si="20"/>
        <v>T+210</v>
      </c>
      <c r="HK216" s="750" t="str">
        <f t="shared" si="20"/>
        <v>T+211</v>
      </c>
      <c r="HL216" s="750" t="str">
        <f t="shared" si="20"/>
        <v>T+212</v>
      </c>
      <c r="HM216" s="750" t="str">
        <f t="shared" si="20"/>
        <v>T+213</v>
      </c>
      <c r="HN216" s="750" t="str">
        <f t="shared" si="20"/>
        <v>T+214</v>
      </c>
      <c r="HO216" s="750" t="str">
        <f t="shared" si="20"/>
        <v>T+215</v>
      </c>
      <c r="HP216" s="750" t="str">
        <f t="shared" si="20"/>
        <v>T+216</v>
      </c>
      <c r="HQ216" s="750" t="str">
        <f t="shared" si="20"/>
        <v>T+217</v>
      </c>
      <c r="HR216" s="750" t="str">
        <f t="shared" si="20"/>
        <v>T+218</v>
      </c>
      <c r="HS216" s="750" t="str">
        <f t="shared" si="20"/>
        <v>T+219</v>
      </c>
      <c r="HT216" s="750" t="str">
        <f t="shared" si="20"/>
        <v>T+220</v>
      </c>
      <c r="HU216" s="750" t="str">
        <f t="shared" si="20"/>
        <v>T+221</v>
      </c>
      <c r="HV216" s="750" t="str">
        <f t="shared" si="20"/>
        <v>T+222</v>
      </c>
      <c r="HW216" s="750" t="str">
        <f t="shared" si="20"/>
        <v>T+223</v>
      </c>
      <c r="HX216" s="750" t="str">
        <f t="shared" si="20"/>
        <v>T+224</v>
      </c>
      <c r="HY216" s="750" t="str">
        <f t="shared" si="20"/>
        <v>T+225</v>
      </c>
      <c r="HZ216" s="750" t="str">
        <f t="shared" si="20"/>
        <v>T+226</v>
      </c>
      <c r="IA216" s="750" t="str">
        <f t="shared" si="20"/>
        <v>T+227</v>
      </c>
      <c r="IB216" s="750" t="str">
        <f t="shared" si="20"/>
        <v>T+228</v>
      </c>
      <c r="IC216" s="750" t="str">
        <f t="shared" si="20"/>
        <v>T+229</v>
      </c>
      <c r="ID216" s="750" t="str">
        <f t="shared" si="20"/>
        <v>T+230</v>
      </c>
      <c r="IE216" s="750" t="str">
        <f t="shared" si="20"/>
        <v>T+231</v>
      </c>
      <c r="IF216" s="750" t="str">
        <f t="shared" si="20"/>
        <v>T+232</v>
      </c>
      <c r="IG216" s="750" t="str">
        <f t="shared" si="20"/>
        <v>T+233</v>
      </c>
      <c r="IH216" s="750" t="str">
        <f t="shared" si="20"/>
        <v>T+234</v>
      </c>
      <c r="II216" s="750" t="str">
        <f t="shared" si="20"/>
        <v>T+235</v>
      </c>
      <c r="IJ216" s="750" t="str">
        <f t="shared" si="20"/>
        <v>T+236</v>
      </c>
      <c r="IK216" s="750" t="str">
        <f t="shared" si="20"/>
        <v>T+237</v>
      </c>
      <c r="IL216" s="750" t="str">
        <f t="shared" si="20"/>
        <v>T+238</v>
      </c>
      <c r="IM216" s="750" t="str">
        <f t="shared" si="20"/>
        <v>T+239</v>
      </c>
      <c r="IN216" s="750" t="str">
        <f t="shared" si="20"/>
        <v>T+240</v>
      </c>
      <c r="IO216" s="750" t="str">
        <f t="shared" si="20"/>
        <v>T+241</v>
      </c>
      <c r="IP216" s="750" t="str">
        <f t="shared" si="20"/>
        <v>T+242</v>
      </c>
      <c r="IQ216" s="750" t="str">
        <f t="shared" si="20"/>
        <v>T+243</v>
      </c>
      <c r="IR216" s="750" t="str">
        <f t="shared" si="20"/>
        <v>T+244</v>
      </c>
      <c r="IS216" s="750" t="str">
        <f t="shared" si="20"/>
        <v>T+245</v>
      </c>
      <c r="IT216" s="750" t="str">
        <f t="shared" si="20"/>
        <v>T+246</v>
      </c>
      <c r="IU216" s="750" t="str">
        <f t="shared" si="20"/>
        <v>T+247</v>
      </c>
      <c r="IV216" s="750" t="str">
        <f t="shared" si="20"/>
        <v>T+248</v>
      </c>
      <c r="IW216" s="750" t="str">
        <f t="shared" si="20"/>
        <v>T+249</v>
      </c>
      <c r="IX216" s="750" t="str">
        <f t="shared" si="20"/>
        <v>T+250</v>
      </c>
      <c r="IY216" s="750" t="str">
        <f t="shared" si="20"/>
        <v>T+251</v>
      </c>
      <c r="IZ216" s="750" t="str">
        <f t="shared" si="20"/>
        <v>T+252</v>
      </c>
      <c r="JA216" s="750" t="str">
        <f t="shared" si="20"/>
        <v>T+253</v>
      </c>
      <c r="JB216" s="750" t="str">
        <f t="shared" si="20"/>
        <v>T+254</v>
      </c>
      <c r="JC216" s="750" t="str">
        <f t="shared" si="20"/>
        <v>T+255</v>
      </c>
      <c r="JD216" s="750" t="str">
        <f t="shared" si="20"/>
        <v>T+256</v>
      </c>
      <c r="JE216" s="750" t="str">
        <f t="shared" ref="JE216:KB216" si="21">"T+" &amp; (COLUMN(JE216)-COLUMN($H216))</f>
        <v>T+257</v>
      </c>
      <c r="JF216" s="750" t="str">
        <f t="shared" si="21"/>
        <v>T+258</v>
      </c>
      <c r="JG216" s="750" t="str">
        <f t="shared" si="21"/>
        <v>T+259</v>
      </c>
      <c r="JH216" s="750" t="str">
        <f t="shared" si="21"/>
        <v>T+260</v>
      </c>
      <c r="JI216" s="750" t="str">
        <f t="shared" si="21"/>
        <v>T+261</v>
      </c>
      <c r="JJ216" s="750" t="str">
        <f t="shared" si="21"/>
        <v>T+262</v>
      </c>
      <c r="JK216" s="750" t="str">
        <f t="shared" si="21"/>
        <v>T+263</v>
      </c>
      <c r="JL216" s="750" t="str">
        <f t="shared" si="21"/>
        <v>T+264</v>
      </c>
      <c r="JM216" s="750" t="str">
        <f t="shared" si="21"/>
        <v>T+265</v>
      </c>
      <c r="JN216" s="750" t="str">
        <f t="shared" si="21"/>
        <v>T+266</v>
      </c>
      <c r="JO216" s="750" t="str">
        <f t="shared" si="21"/>
        <v>T+267</v>
      </c>
      <c r="JP216" s="750" t="str">
        <f t="shared" si="21"/>
        <v>T+268</v>
      </c>
      <c r="JQ216" s="750" t="str">
        <f t="shared" si="21"/>
        <v>T+269</v>
      </c>
      <c r="JR216" s="750" t="str">
        <f t="shared" si="21"/>
        <v>T+270</v>
      </c>
      <c r="JS216" s="750" t="str">
        <f t="shared" si="21"/>
        <v>T+271</v>
      </c>
      <c r="JT216" s="750" t="str">
        <f t="shared" si="21"/>
        <v>T+272</v>
      </c>
      <c r="JU216" s="750" t="str">
        <f t="shared" si="21"/>
        <v>T+273</v>
      </c>
      <c r="JV216" s="750" t="str">
        <f t="shared" si="21"/>
        <v>T+274</v>
      </c>
      <c r="JW216" s="750" t="str">
        <f t="shared" si="21"/>
        <v>T+275</v>
      </c>
      <c r="JX216" s="750" t="str">
        <f t="shared" si="21"/>
        <v>T+276</v>
      </c>
      <c r="JY216" s="750" t="str">
        <f t="shared" si="21"/>
        <v>T+277</v>
      </c>
      <c r="JZ216" s="750" t="str">
        <f t="shared" si="21"/>
        <v>T+278</v>
      </c>
      <c r="KA216" s="750" t="str">
        <f t="shared" si="21"/>
        <v>T+279</v>
      </c>
      <c r="KB216" s="750" t="str">
        <f t="shared" si="21"/>
        <v>T+280</v>
      </c>
    </row>
    <row r="217" spans="1:288" ht="15" customHeight="1" x14ac:dyDescent="0.35">
      <c r="B217" s="686" t="str">
        <f t="shared" ref="B217:B280" si="22">B11</f>
        <v>Desk 1</v>
      </c>
      <c r="C217" s="1828" t="str">
        <f t="array" ref="C217:D316" xml:space="preserve"> IF(ISBLANK(TB!C$170:'TB'!D$269), "", TB!C$170:'TB'!D$269)</f>
        <v/>
      </c>
      <c r="D217" s="1828" t="str">
        <v/>
      </c>
      <c r="E217" s="1828" t="str">
        <f t="array" ref="E217:E316" xml:space="preserve"> IF(ISBLANK(TB!G$170:'TB'!G$269), "", TB!G$170:'TB'!G$269)</f>
        <v/>
      </c>
      <c r="F217" s="1828" t="str">
        <f t="array" ref="F217:F316" xml:space="preserve"> IF(ISBLANK(TB!I$170:'TB'!I$269), "", TB!I$170:'TB'!I$269)</f>
        <v/>
      </c>
      <c r="G217" s="268" t="str">
        <f t="array" ref="G217:G316" xml:space="preserve"> IF(ISBLANK(TB!J$170:'TB'!J$269), "", TB!J$170:'TB'!J$269)</f>
        <v/>
      </c>
      <c r="H217" s="255"/>
      <c r="I217" s="255"/>
      <c r="J217" s="255"/>
      <c r="K217" s="255"/>
      <c r="L217" s="255"/>
      <c r="M217" s="255"/>
      <c r="N217" s="255"/>
      <c r="O217" s="255"/>
      <c r="P217" s="255"/>
      <c r="Q217" s="255"/>
      <c r="R217" s="255"/>
      <c r="S217" s="255"/>
      <c r="T217" s="255"/>
      <c r="U217" s="255"/>
      <c r="V217" s="255"/>
      <c r="W217" s="255"/>
      <c r="X217" s="255"/>
      <c r="Y217" s="255"/>
      <c r="Z217" s="255"/>
      <c r="AA217" s="255"/>
      <c r="AB217" s="255"/>
      <c r="AC217" s="255"/>
      <c r="AD217" s="255"/>
      <c r="AE217" s="255"/>
      <c r="AF217" s="255"/>
      <c r="AG217" s="255"/>
      <c r="AH217" s="255"/>
      <c r="AI217" s="255"/>
      <c r="AJ217" s="255"/>
      <c r="AK217" s="255"/>
      <c r="AL217" s="255"/>
      <c r="AM217" s="255"/>
      <c r="AN217" s="255"/>
      <c r="AO217" s="255"/>
      <c r="AP217" s="255"/>
      <c r="AQ217" s="255"/>
      <c r="AR217" s="255"/>
      <c r="AS217" s="255"/>
      <c r="AT217" s="255"/>
      <c r="AU217" s="255"/>
      <c r="AV217" s="255"/>
      <c r="AW217" s="255"/>
      <c r="AX217" s="255"/>
      <c r="AY217" s="255"/>
      <c r="AZ217" s="255"/>
      <c r="BA217" s="255"/>
      <c r="BB217" s="255"/>
      <c r="BC217" s="255"/>
      <c r="BD217" s="255"/>
      <c r="BE217" s="255"/>
      <c r="BF217" s="255"/>
      <c r="BG217" s="255"/>
      <c r="BH217" s="255"/>
      <c r="BI217" s="255"/>
      <c r="BJ217" s="255"/>
      <c r="BK217" s="255"/>
      <c r="BL217" s="255"/>
      <c r="BM217" s="255"/>
      <c r="BN217" s="255"/>
      <c r="BO217" s="255"/>
      <c r="BP217" s="255"/>
      <c r="BQ217" s="255"/>
      <c r="BR217" s="255"/>
      <c r="BS217" s="255"/>
      <c r="BT217" s="255"/>
      <c r="BU217" s="255"/>
      <c r="BV217" s="255"/>
      <c r="BW217" s="255"/>
      <c r="BX217" s="255"/>
      <c r="BY217" s="255"/>
      <c r="BZ217" s="255"/>
      <c r="CA217" s="255"/>
      <c r="CB217" s="255"/>
      <c r="CC217" s="255"/>
      <c r="CD217" s="255"/>
      <c r="CE217" s="255"/>
      <c r="CF217" s="255"/>
      <c r="CG217" s="255"/>
      <c r="CH217" s="255"/>
      <c r="CI217" s="255"/>
      <c r="CJ217" s="255"/>
      <c r="CK217" s="255"/>
      <c r="CL217" s="255"/>
      <c r="CM217" s="255"/>
      <c r="CN217" s="255"/>
      <c r="CO217" s="255"/>
      <c r="CP217" s="255"/>
      <c r="CQ217" s="255"/>
      <c r="CR217" s="255"/>
      <c r="CS217" s="255"/>
      <c r="CT217" s="255"/>
      <c r="CU217" s="255"/>
      <c r="CV217" s="255"/>
      <c r="CW217" s="255"/>
      <c r="CX217" s="255"/>
      <c r="CY217" s="255"/>
      <c r="CZ217" s="255"/>
      <c r="DA217" s="255"/>
      <c r="DB217" s="255"/>
      <c r="DC217" s="255"/>
      <c r="DD217" s="255"/>
      <c r="DE217" s="255"/>
      <c r="DF217" s="255"/>
      <c r="DG217" s="255"/>
      <c r="DH217" s="255"/>
      <c r="DI217" s="255"/>
      <c r="DJ217" s="255"/>
      <c r="DK217" s="255"/>
      <c r="DL217" s="255"/>
      <c r="DM217" s="255"/>
      <c r="DN217" s="255"/>
      <c r="DO217" s="255"/>
      <c r="DP217" s="255"/>
      <c r="DQ217" s="255"/>
      <c r="DR217" s="255"/>
      <c r="DS217" s="255"/>
      <c r="DT217" s="255"/>
      <c r="DU217" s="255"/>
      <c r="DV217" s="255"/>
      <c r="DW217" s="191"/>
      <c r="DX217" s="255"/>
      <c r="DY217" s="255"/>
      <c r="DZ217" s="255"/>
      <c r="EA217" s="255"/>
      <c r="EB217" s="255"/>
      <c r="EC217" s="255"/>
      <c r="ED217" s="255"/>
      <c r="EE217" s="255"/>
      <c r="EF217" s="255"/>
      <c r="EG217" s="255"/>
      <c r="EH217" s="255"/>
      <c r="EI217" s="255"/>
      <c r="EJ217" s="255"/>
      <c r="EK217" s="255"/>
      <c r="EL217" s="255"/>
      <c r="EM217" s="255"/>
      <c r="EN217" s="255"/>
      <c r="EO217" s="255"/>
      <c r="EP217" s="255"/>
      <c r="EQ217" s="255"/>
      <c r="ER217" s="191"/>
      <c r="ES217" s="255"/>
      <c r="ET217" s="255"/>
      <c r="EU217" s="255"/>
      <c r="EV217" s="255"/>
      <c r="EW217" s="255"/>
      <c r="EX217" s="255"/>
      <c r="EY217" s="255"/>
      <c r="EZ217" s="255"/>
      <c r="FA217" s="255"/>
      <c r="FB217" s="255"/>
      <c r="FC217" s="255"/>
      <c r="FD217" s="255"/>
      <c r="FE217" s="255"/>
      <c r="FF217" s="255"/>
      <c r="FG217" s="255"/>
      <c r="FH217" s="255"/>
      <c r="FI217" s="255"/>
      <c r="FJ217" s="255"/>
      <c r="FK217" s="255"/>
      <c r="FL217" s="255"/>
      <c r="FM217" s="255"/>
      <c r="FN217" s="255"/>
      <c r="FO217" s="255"/>
      <c r="FP217" s="255"/>
      <c r="FQ217" s="255"/>
      <c r="FR217" s="255"/>
      <c r="FS217" s="255"/>
      <c r="FT217" s="255"/>
      <c r="FU217" s="255"/>
      <c r="FV217" s="255"/>
      <c r="FW217" s="255"/>
      <c r="FX217" s="255"/>
      <c r="FY217" s="255"/>
      <c r="FZ217" s="255"/>
      <c r="GA217" s="255"/>
      <c r="GB217" s="255"/>
      <c r="GC217" s="255"/>
      <c r="GD217" s="255"/>
      <c r="GE217" s="255"/>
      <c r="GF217" s="255"/>
      <c r="GG217" s="255"/>
      <c r="GH217" s="255"/>
      <c r="GI217" s="255"/>
      <c r="GJ217" s="255"/>
      <c r="GK217" s="255"/>
      <c r="GL217" s="255"/>
      <c r="GM217" s="255"/>
      <c r="GN217" s="255"/>
      <c r="GO217" s="255"/>
      <c r="GP217" s="255"/>
      <c r="GQ217" s="255"/>
      <c r="GR217" s="255"/>
      <c r="GS217" s="255"/>
      <c r="GT217" s="255"/>
      <c r="GU217" s="255"/>
      <c r="GV217" s="255"/>
      <c r="GW217" s="255"/>
      <c r="GX217" s="255"/>
      <c r="GY217" s="255"/>
      <c r="GZ217" s="255"/>
      <c r="HA217" s="255"/>
      <c r="HB217" s="255"/>
      <c r="HC217" s="255"/>
      <c r="HD217" s="255"/>
      <c r="HE217" s="255"/>
      <c r="HF217" s="255"/>
      <c r="HG217" s="255"/>
      <c r="HH217" s="255"/>
      <c r="HI217" s="255"/>
      <c r="HJ217" s="255"/>
      <c r="HK217" s="255"/>
      <c r="HL217" s="255"/>
      <c r="HM217" s="255"/>
      <c r="HN217" s="255"/>
      <c r="HO217" s="255"/>
      <c r="HP217" s="255"/>
      <c r="HQ217" s="255"/>
      <c r="HR217" s="255"/>
      <c r="HS217" s="255"/>
      <c r="HT217" s="255"/>
      <c r="HU217" s="255"/>
      <c r="HV217" s="255"/>
      <c r="HW217" s="255"/>
      <c r="HX217" s="255"/>
      <c r="HY217" s="255"/>
      <c r="HZ217" s="255"/>
      <c r="IA217" s="255"/>
      <c r="IB217" s="255"/>
      <c r="IC217" s="255"/>
      <c r="ID217" s="255"/>
      <c r="IE217" s="255"/>
      <c r="IF217" s="255"/>
      <c r="IG217" s="255"/>
      <c r="IH217" s="255"/>
      <c r="II217" s="255"/>
      <c r="IJ217" s="255"/>
      <c r="IK217" s="255"/>
      <c r="IL217" s="255"/>
      <c r="IM217" s="255"/>
      <c r="IN217" s="255"/>
      <c r="IO217" s="255"/>
      <c r="IP217" s="255"/>
      <c r="IQ217" s="255"/>
      <c r="IR217" s="255"/>
      <c r="IS217" s="255"/>
      <c r="IT217" s="255"/>
      <c r="IU217" s="255"/>
      <c r="IV217" s="255"/>
      <c r="IW217" s="255"/>
      <c r="IX217" s="255"/>
      <c r="IY217" s="255"/>
      <c r="IZ217" s="255"/>
      <c r="JA217" s="255"/>
      <c r="JB217" s="255"/>
      <c r="JC217" s="255"/>
      <c r="JD217" s="255"/>
      <c r="JE217" s="255"/>
      <c r="JF217" s="255"/>
      <c r="JG217" s="191"/>
      <c r="JH217" s="255"/>
      <c r="JI217" s="255"/>
      <c r="JJ217" s="255"/>
      <c r="JK217" s="255"/>
      <c r="JL217" s="255"/>
      <c r="JM217" s="255"/>
      <c r="JN217" s="255"/>
      <c r="JO217" s="255"/>
      <c r="JP217" s="255"/>
      <c r="JQ217" s="255"/>
      <c r="JR217" s="255"/>
      <c r="JS217" s="255"/>
      <c r="JT217" s="255"/>
      <c r="JU217" s="255"/>
      <c r="JV217" s="255"/>
      <c r="JW217" s="255"/>
      <c r="JX217" s="255"/>
      <c r="JY217" s="255"/>
      <c r="JZ217" s="255"/>
      <c r="KA217" s="255"/>
      <c r="KB217" s="191"/>
    </row>
    <row r="218" spans="1:288" ht="15" customHeight="1" x14ac:dyDescent="0.35">
      <c r="B218" s="146" t="str">
        <f t="shared" si="22"/>
        <v>Desk 2</v>
      </c>
      <c r="C218" s="148" t="str">
        <v/>
      </c>
      <c r="D218" s="148" t="str">
        <v/>
      </c>
      <c r="E218" s="148" t="str">
        <v/>
      </c>
      <c r="F218" s="148" t="str">
        <v/>
      </c>
      <c r="G218" s="268" t="str">
        <v/>
      </c>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255"/>
      <c r="AE218" s="255"/>
      <c r="AF218" s="255"/>
      <c r="AG218" s="255"/>
      <c r="AH218" s="255"/>
      <c r="AI218" s="255"/>
      <c r="AJ218" s="255"/>
      <c r="AK218" s="255"/>
      <c r="AL218" s="255"/>
      <c r="AM218" s="255"/>
      <c r="AN218" s="255"/>
      <c r="AO218" s="255"/>
      <c r="AP218" s="255"/>
      <c r="AQ218" s="255"/>
      <c r="AR218" s="255"/>
      <c r="AS218" s="255"/>
      <c r="AT218" s="255"/>
      <c r="AU218" s="255"/>
      <c r="AV218" s="255"/>
      <c r="AW218" s="255"/>
      <c r="AX218" s="255"/>
      <c r="AY218" s="255"/>
      <c r="AZ218" s="255"/>
      <c r="BA218" s="255"/>
      <c r="BB218" s="255"/>
      <c r="BC218" s="255"/>
      <c r="BD218" s="255"/>
      <c r="BE218" s="255"/>
      <c r="BF218" s="255"/>
      <c r="BG218" s="255"/>
      <c r="BH218" s="255"/>
      <c r="BI218" s="255"/>
      <c r="BJ218" s="255"/>
      <c r="BK218" s="255"/>
      <c r="BL218" s="255"/>
      <c r="BM218" s="255"/>
      <c r="BN218" s="255"/>
      <c r="BO218" s="255"/>
      <c r="BP218" s="255"/>
      <c r="BQ218" s="255"/>
      <c r="BR218" s="255"/>
      <c r="BS218" s="255"/>
      <c r="BT218" s="255"/>
      <c r="BU218" s="255"/>
      <c r="BV218" s="255"/>
      <c r="BW218" s="255"/>
      <c r="BX218" s="255"/>
      <c r="BY218" s="255"/>
      <c r="BZ218" s="255"/>
      <c r="CA218" s="255"/>
      <c r="CB218" s="255"/>
      <c r="CC218" s="255"/>
      <c r="CD218" s="255"/>
      <c r="CE218" s="255"/>
      <c r="CF218" s="255"/>
      <c r="CG218" s="255"/>
      <c r="CH218" s="255"/>
      <c r="CI218" s="255"/>
      <c r="CJ218" s="255"/>
      <c r="CK218" s="255"/>
      <c r="CL218" s="255"/>
      <c r="CM218" s="255"/>
      <c r="CN218" s="255"/>
      <c r="CO218" s="255"/>
      <c r="CP218" s="255"/>
      <c r="CQ218" s="255"/>
      <c r="CR218" s="255"/>
      <c r="CS218" s="255"/>
      <c r="CT218" s="255"/>
      <c r="CU218" s="255"/>
      <c r="CV218" s="255"/>
      <c r="CW218" s="255"/>
      <c r="CX218" s="255"/>
      <c r="CY218" s="255"/>
      <c r="CZ218" s="255"/>
      <c r="DA218" s="255"/>
      <c r="DB218" s="255"/>
      <c r="DC218" s="255"/>
      <c r="DD218" s="255"/>
      <c r="DE218" s="255"/>
      <c r="DF218" s="255"/>
      <c r="DG218" s="255"/>
      <c r="DH218" s="255"/>
      <c r="DI218" s="255"/>
      <c r="DJ218" s="255"/>
      <c r="DK218" s="255"/>
      <c r="DL218" s="255"/>
      <c r="DM218" s="255"/>
      <c r="DN218" s="255"/>
      <c r="DO218" s="255"/>
      <c r="DP218" s="255"/>
      <c r="DQ218" s="255"/>
      <c r="DR218" s="255"/>
      <c r="DS218" s="255"/>
      <c r="DT218" s="255"/>
      <c r="DU218" s="255"/>
      <c r="DV218" s="255"/>
      <c r="DW218" s="191"/>
      <c r="DX218" s="255"/>
      <c r="DY218" s="255"/>
      <c r="DZ218" s="255"/>
      <c r="EA218" s="255"/>
      <c r="EB218" s="255"/>
      <c r="EC218" s="255"/>
      <c r="ED218" s="255"/>
      <c r="EE218" s="255"/>
      <c r="EF218" s="255"/>
      <c r="EG218" s="255"/>
      <c r="EH218" s="255"/>
      <c r="EI218" s="255"/>
      <c r="EJ218" s="255"/>
      <c r="EK218" s="255"/>
      <c r="EL218" s="255"/>
      <c r="EM218" s="255"/>
      <c r="EN218" s="255"/>
      <c r="EO218" s="255"/>
      <c r="EP218" s="255"/>
      <c r="EQ218" s="255"/>
      <c r="ER218" s="191"/>
      <c r="ES218" s="255"/>
      <c r="ET218" s="255"/>
      <c r="EU218" s="255"/>
      <c r="EV218" s="255"/>
      <c r="EW218" s="255"/>
      <c r="EX218" s="255"/>
      <c r="EY218" s="255"/>
      <c r="EZ218" s="255"/>
      <c r="FA218" s="255"/>
      <c r="FB218" s="255"/>
      <c r="FC218" s="255"/>
      <c r="FD218" s="255"/>
      <c r="FE218" s="255"/>
      <c r="FF218" s="255"/>
      <c r="FG218" s="255"/>
      <c r="FH218" s="255"/>
      <c r="FI218" s="255"/>
      <c r="FJ218" s="255"/>
      <c r="FK218" s="255"/>
      <c r="FL218" s="255"/>
      <c r="FM218" s="255"/>
      <c r="FN218" s="255"/>
      <c r="FO218" s="255"/>
      <c r="FP218" s="255"/>
      <c r="FQ218" s="255"/>
      <c r="FR218" s="255"/>
      <c r="FS218" s="255"/>
      <c r="FT218" s="255"/>
      <c r="FU218" s="255"/>
      <c r="FV218" s="255"/>
      <c r="FW218" s="255"/>
      <c r="FX218" s="255"/>
      <c r="FY218" s="255"/>
      <c r="FZ218" s="255"/>
      <c r="GA218" s="255"/>
      <c r="GB218" s="255"/>
      <c r="GC218" s="255"/>
      <c r="GD218" s="255"/>
      <c r="GE218" s="255"/>
      <c r="GF218" s="255"/>
      <c r="GG218" s="255"/>
      <c r="GH218" s="255"/>
      <c r="GI218" s="255"/>
      <c r="GJ218" s="255"/>
      <c r="GK218" s="255"/>
      <c r="GL218" s="255"/>
      <c r="GM218" s="255"/>
      <c r="GN218" s="255"/>
      <c r="GO218" s="255"/>
      <c r="GP218" s="255"/>
      <c r="GQ218" s="255"/>
      <c r="GR218" s="255"/>
      <c r="GS218" s="255"/>
      <c r="GT218" s="255"/>
      <c r="GU218" s="255"/>
      <c r="GV218" s="255"/>
      <c r="GW218" s="255"/>
      <c r="GX218" s="255"/>
      <c r="GY218" s="255"/>
      <c r="GZ218" s="255"/>
      <c r="HA218" s="255"/>
      <c r="HB218" s="255"/>
      <c r="HC218" s="255"/>
      <c r="HD218" s="255"/>
      <c r="HE218" s="255"/>
      <c r="HF218" s="255"/>
      <c r="HG218" s="255"/>
      <c r="HH218" s="255"/>
      <c r="HI218" s="255"/>
      <c r="HJ218" s="255"/>
      <c r="HK218" s="255"/>
      <c r="HL218" s="255"/>
      <c r="HM218" s="255"/>
      <c r="HN218" s="255"/>
      <c r="HO218" s="255"/>
      <c r="HP218" s="255"/>
      <c r="HQ218" s="255"/>
      <c r="HR218" s="255"/>
      <c r="HS218" s="255"/>
      <c r="HT218" s="255"/>
      <c r="HU218" s="255"/>
      <c r="HV218" s="255"/>
      <c r="HW218" s="255"/>
      <c r="HX218" s="255"/>
      <c r="HY218" s="255"/>
      <c r="HZ218" s="255"/>
      <c r="IA218" s="255"/>
      <c r="IB218" s="255"/>
      <c r="IC218" s="255"/>
      <c r="ID218" s="255"/>
      <c r="IE218" s="255"/>
      <c r="IF218" s="255"/>
      <c r="IG218" s="255"/>
      <c r="IH218" s="255"/>
      <c r="II218" s="255"/>
      <c r="IJ218" s="255"/>
      <c r="IK218" s="255"/>
      <c r="IL218" s="255"/>
      <c r="IM218" s="255"/>
      <c r="IN218" s="255"/>
      <c r="IO218" s="255"/>
      <c r="IP218" s="255"/>
      <c r="IQ218" s="255"/>
      <c r="IR218" s="255"/>
      <c r="IS218" s="255"/>
      <c r="IT218" s="255"/>
      <c r="IU218" s="255"/>
      <c r="IV218" s="255"/>
      <c r="IW218" s="255"/>
      <c r="IX218" s="255"/>
      <c r="IY218" s="255"/>
      <c r="IZ218" s="255"/>
      <c r="JA218" s="255"/>
      <c r="JB218" s="255"/>
      <c r="JC218" s="255"/>
      <c r="JD218" s="255"/>
      <c r="JE218" s="255"/>
      <c r="JF218" s="255"/>
      <c r="JG218" s="191"/>
      <c r="JH218" s="255"/>
      <c r="JI218" s="255"/>
      <c r="JJ218" s="255"/>
      <c r="JK218" s="255"/>
      <c r="JL218" s="255"/>
      <c r="JM218" s="255"/>
      <c r="JN218" s="255"/>
      <c r="JO218" s="255"/>
      <c r="JP218" s="255"/>
      <c r="JQ218" s="255"/>
      <c r="JR218" s="255"/>
      <c r="JS218" s="255"/>
      <c r="JT218" s="255"/>
      <c r="JU218" s="255"/>
      <c r="JV218" s="255"/>
      <c r="JW218" s="255"/>
      <c r="JX218" s="255"/>
      <c r="JY218" s="255"/>
      <c r="JZ218" s="255"/>
      <c r="KA218" s="255"/>
      <c r="KB218" s="191"/>
    </row>
    <row r="219" spans="1:288" ht="15" customHeight="1" x14ac:dyDescent="0.35">
      <c r="B219" s="146" t="str">
        <f t="shared" si="22"/>
        <v>Desk 3</v>
      </c>
      <c r="C219" s="148" t="str">
        <v/>
      </c>
      <c r="D219" s="148" t="str">
        <v/>
      </c>
      <c r="E219" s="148" t="str">
        <v/>
      </c>
      <c r="F219" s="148" t="str">
        <v/>
      </c>
      <c r="G219" s="268" t="str">
        <v/>
      </c>
      <c r="H219" s="255"/>
      <c r="I219" s="255"/>
      <c r="J219" s="255"/>
      <c r="K219" s="255"/>
      <c r="L219" s="255"/>
      <c r="M219" s="255"/>
      <c r="N219" s="255"/>
      <c r="O219" s="255"/>
      <c r="P219" s="255"/>
      <c r="Q219" s="255"/>
      <c r="R219" s="255"/>
      <c r="S219" s="255"/>
      <c r="T219" s="255"/>
      <c r="U219" s="255"/>
      <c r="V219" s="255"/>
      <c r="W219" s="255"/>
      <c r="X219" s="255"/>
      <c r="Y219" s="255"/>
      <c r="Z219" s="255"/>
      <c r="AA219" s="255"/>
      <c r="AB219" s="255"/>
      <c r="AC219" s="255"/>
      <c r="AD219" s="255"/>
      <c r="AE219" s="255"/>
      <c r="AF219" s="255"/>
      <c r="AG219" s="255"/>
      <c r="AH219" s="255"/>
      <c r="AI219" s="255"/>
      <c r="AJ219" s="255"/>
      <c r="AK219" s="255"/>
      <c r="AL219" s="255"/>
      <c r="AM219" s="255"/>
      <c r="AN219" s="255"/>
      <c r="AO219" s="255"/>
      <c r="AP219" s="255"/>
      <c r="AQ219" s="255"/>
      <c r="AR219" s="255"/>
      <c r="AS219" s="255"/>
      <c r="AT219" s="255"/>
      <c r="AU219" s="255"/>
      <c r="AV219" s="255"/>
      <c r="AW219" s="255"/>
      <c r="AX219" s="255"/>
      <c r="AY219" s="255"/>
      <c r="AZ219" s="255"/>
      <c r="BA219" s="255"/>
      <c r="BB219" s="255"/>
      <c r="BC219" s="255"/>
      <c r="BD219" s="255"/>
      <c r="BE219" s="255"/>
      <c r="BF219" s="255"/>
      <c r="BG219" s="255"/>
      <c r="BH219" s="255"/>
      <c r="BI219" s="255"/>
      <c r="BJ219" s="255"/>
      <c r="BK219" s="255"/>
      <c r="BL219" s="255"/>
      <c r="BM219" s="255"/>
      <c r="BN219" s="255"/>
      <c r="BO219" s="255"/>
      <c r="BP219" s="255"/>
      <c r="BQ219" s="255"/>
      <c r="BR219" s="255"/>
      <c r="BS219" s="255"/>
      <c r="BT219" s="255"/>
      <c r="BU219" s="255"/>
      <c r="BV219" s="255"/>
      <c r="BW219" s="255"/>
      <c r="BX219" s="255"/>
      <c r="BY219" s="255"/>
      <c r="BZ219" s="255"/>
      <c r="CA219" s="255"/>
      <c r="CB219" s="255"/>
      <c r="CC219" s="255"/>
      <c r="CD219" s="255"/>
      <c r="CE219" s="255"/>
      <c r="CF219" s="255"/>
      <c r="CG219" s="255"/>
      <c r="CH219" s="255"/>
      <c r="CI219" s="255"/>
      <c r="CJ219" s="255"/>
      <c r="CK219" s="255"/>
      <c r="CL219" s="255"/>
      <c r="CM219" s="255"/>
      <c r="CN219" s="255"/>
      <c r="CO219" s="255"/>
      <c r="CP219" s="255"/>
      <c r="CQ219" s="255"/>
      <c r="CR219" s="255"/>
      <c r="CS219" s="255"/>
      <c r="CT219" s="255"/>
      <c r="CU219" s="255"/>
      <c r="CV219" s="255"/>
      <c r="CW219" s="255"/>
      <c r="CX219" s="255"/>
      <c r="CY219" s="255"/>
      <c r="CZ219" s="255"/>
      <c r="DA219" s="255"/>
      <c r="DB219" s="255"/>
      <c r="DC219" s="255"/>
      <c r="DD219" s="255"/>
      <c r="DE219" s="255"/>
      <c r="DF219" s="255"/>
      <c r="DG219" s="255"/>
      <c r="DH219" s="255"/>
      <c r="DI219" s="255"/>
      <c r="DJ219" s="255"/>
      <c r="DK219" s="255"/>
      <c r="DL219" s="255"/>
      <c r="DM219" s="255"/>
      <c r="DN219" s="255"/>
      <c r="DO219" s="255"/>
      <c r="DP219" s="255"/>
      <c r="DQ219" s="255"/>
      <c r="DR219" s="255"/>
      <c r="DS219" s="255"/>
      <c r="DT219" s="255"/>
      <c r="DU219" s="255"/>
      <c r="DV219" s="255"/>
      <c r="DW219" s="191"/>
      <c r="DX219" s="255"/>
      <c r="DY219" s="255"/>
      <c r="DZ219" s="255"/>
      <c r="EA219" s="255"/>
      <c r="EB219" s="255"/>
      <c r="EC219" s="255"/>
      <c r="ED219" s="255"/>
      <c r="EE219" s="255"/>
      <c r="EF219" s="255"/>
      <c r="EG219" s="255"/>
      <c r="EH219" s="255"/>
      <c r="EI219" s="255"/>
      <c r="EJ219" s="255"/>
      <c r="EK219" s="255"/>
      <c r="EL219" s="255"/>
      <c r="EM219" s="255"/>
      <c r="EN219" s="255"/>
      <c r="EO219" s="255"/>
      <c r="EP219" s="255"/>
      <c r="EQ219" s="255"/>
      <c r="ER219" s="191"/>
      <c r="ES219" s="255"/>
      <c r="ET219" s="255"/>
      <c r="EU219" s="255"/>
      <c r="EV219" s="255"/>
      <c r="EW219" s="255"/>
      <c r="EX219" s="255"/>
      <c r="EY219" s="255"/>
      <c r="EZ219" s="255"/>
      <c r="FA219" s="255"/>
      <c r="FB219" s="255"/>
      <c r="FC219" s="255"/>
      <c r="FD219" s="255"/>
      <c r="FE219" s="255"/>
      <c r="FF219" s="255"/>
      <c r="FG219" s="255"/>
      <c r="FH219" s="255"/>
      <c r="FI219" s="255"/>
      <c r="FJ219" s="255"/>
      <c r="FK219" s="255"/>
      <c r="FL219" s="255"/>
      <c r="FM219" s="255"/>
      <c r="FN219" s="255"/>
      <c r="FO219" s="255"/>
      <c r="FP219" s="255"/>
      <c r="FQ219" s="255"/>
      <c r="FR219" s="255"/>
      <c r="FS219" s="255"/>
      <c r="FT219" s="255"/>
      <c r="FU219" s="255"/>
      <c r="FV219" s="255"/>
      <c r="FW219" s="255"/>
      <c r="FX219" s="255"/>
      <c r="FY219" s="255"/>
      <c r="FZ219" s="255"/>
      <c r="GA219" s="255"/>
      <c r="GB219" s="255"/>
      <c r="GC219" s="255"/>
      <c r="GD219" s="255"/>
      <c r="GE219" s="255"/>
      <c r="GF219" s="255"/>
      <c r="GG219" s="255"/>
      <c r="GH219" s="255"/>
      <c r="GI219" s="255"/>
      <c r="GJ219" s="255"/>
      <c r="GK219" s="255"/>
      <c r="GL219" s="255"/>
      <c r="GM219" s="255"/>
      <c r="GN219" s="255"/>
      <c r="GO219" s="255"/>
      <c r="GP219" s="255"/>
      <c r="GQ219" s="255"/>
      <c r="GR219" s="255"/>
      <c r="GS219" s="255"/>
      <c r="GT219" s="255"/>
      <c r="GU219" s="255"/>
      <c r="GV219" s="255"/>
      <c r="GW219" s="255"/>
      <c r="GX219" s="255"/>
      <c r="GY219" s="255"/>
      <c r="GZ219" s="255"/>
      <c r="HA219" s="255"/>
      <c r="HB219" s="255"/>
      <c r="HC219" s="255"/>
      <c r="HD219" s="255"/>
      <c r="HE219" s="255"/>
      <c r="HF219" s="255"/>
      <c r="HG219" s="255"/>
      <c r="HH219" s="255"/>
      <c r="HI219" s="255"/>
      <c r="HJ219" s="255"/>
      <c r="HK219" s="255"/>
      <c r="HL219" s="255"/>
      <c r="HM219" s="255"/>
      <c r="HN219" s="255"/>
      <c r="HO219" s="255"/>
      <c r="HP219" s="255"/>
      <c r="HQ219" s="255"/>
      <c r="HR219" s="255"/>
      <c r="HS219" s="255"/>
      <c r="HT219" s="255"/>
      <c r="HU219" s="255"/>
      <c r="HV219" s="255"/>
      <c r="HW219" s="255"/>
      <c r="HX219" s="255"/>
      <c r="HY219" s="255"/>
      <c r="HZ219" s="255"/>
      <c r="IA219" s="255"/>
      <c r="IB219" s="255"/>
      <c r="IC219" s="255"/>
      <c r="ID219" s="255"/>
      <c r="IE219" s="255"/>
      <c r="IF219" s="255"/>
      <c r="IG219" s="255"/>
      <c r="IH219" s="255"/>
      <c r="II219" s="255"/>
      <c r="IJ219" s="255"/>
      <c r="IK219" s="255"/>
      <c r="IL219" s="255"/>
      <c r="IM219" s="255"/>
      <c r="IN219" s="255"/>
      <c r="IO219" s="255"/>
      <c r="IP219" s="255"/>
      <c r="IQ219" s="255"/>
      <c r="IR219" s="255"/>
      <c r="IS219" s="255"/>
      <c r="IT219" s="255"/>
      <c r="IU219" s="255"/>
      <c r="IV219" s="255"/>
      <c r="IW219" s="255"/>
      <c r="IX219" s="255"/>
      <c r="IY219" s="255"/>
      <c r="IZ219" s="255"/>
      <c r="JA219" s="255"/>
      <c r="JB219" s="255"/>
      <c r="JC219" s="255"/>
      <c r="JD219" s="255"/>
      <c r="JE219" s="255"/>
      <c r="JF219" s="255"/>
      <c r="JG219" s="191"/>
      <c r="JH219" s="255"/>
      <c r="JI219" s="255"/>
      <c r="JJ219" s="255"/>
      <c r="JK219" s="255"/>
      <c r="JL219" s="255"/>
      <c r="JM219" s="255"/>
      <c r="JN219" s="255"/>
      <c r="JO219" s="255"/>
      <c r="JP219" s="255"/>
      <c r="JQ219" s="255"/>
      <c r="JR219" s="255"/>
      <c r="JS219" s="255"/>
      <c r="JT219" s="255"/>
      <c r="JU219" s="255"/>
      <c r="JV219" s="255"/>
      <c r="JW219" s="255"/>
      <c r="JX219" s="255"/>
      <c r="JY219" s="255"/>
      <c r="JZ219" s="255"/>
      <c r="KA219" s="255"/>
      <c r="KB219" s="191"/>
    </row>
    <row r="220" spans="1:288" ht="15" customHeight="1" x14ac:dyDescent="0.35">
      <c r="B220" s="146" t="str">
        <f t="shared" si="22"/>
        <v>Desk 4</v>
      </c>
      <c r="C220" s="148" t="str">
        <v/>
      </c>
      <c r="D220" s="148" t="str">
        <v/>
      </c>
      <c r="E220" s="148" t="str">
        <v/>
      </c>
      <c r="F220" s="148" t="str">
        <v/>
      </c>
      <c r="G220" s="268" t="str">
        <v/>
      </c>
      <c r="H220" s="255"/>
      <c r="I220" s="255"/>
      <c r="J220" s="255"/>
      <c r="K220" s="255"/>
      <c r="L220" s="255"/>
      <c r="M220" s="255"/>
      <c r="N220" s="255"/>
      <c r="O220" s="255"/>
      <c r="P220" s="255"/>
      <c r="Q220" s="255"/>
      <c r="R220" s="255"/>
      <c r="S220" s="255"/>
      <c r="T220" s="255"/>
      <c r="U220" s="255"/>
      <c r="V220" s="255"/>
      <c r="W220" s="255"/>
      <c r="X220" s="255"/>
      <c r="Y220" s="255"/>
      <c r="Z220" s="255"/>
      <c r="AA220" s="255"/>
      <c r="AB220" s="255"/>
      <c r="AC220" s="255"/>
      <c r="AD220" s="255"/>
      <c r="AE220" s="255"/>
      <c r="AF220" s="255"/>
      <c r="AG220" s="255"/>
      <c r="AH220" s="255"/>
      <c r="AI220" s="255"/>
      <c r="AJ220" s="255"/>
      <c r="AK220" s="255"/>
      <c r="AL220" s="255"/>
      <c r="AM220" s="255"/>
      <c r="AN220" s="255"/>
      <c r="AO220" s="255"/>
      <c r="AP220" s="255"/>
      <c r="AQ220" s="255"/>
      <c r="AR220" s="255"/>
      <c r="AS220" s="255"/>
      <c r="AT220" s="255"/>
      <c r="AU220" s="255"/>
      <c r="AV220" s="255"/>
      <c r="AW220" s="255"/>
      <c r="AX220" s="255"/>
      <c r="AY220" s="255"/>
      <c r="AZ220" s="255"/>
      <c r="BA220" s="255"/>
      <c r="BB220" s="255"/>
      <c r="BC220" s="255"/>
      <c r="BD220" s="255"/>
      <c r="BE220" s="255"/>
      <c r="BF220" s="255"/>
      <c r="BG220" s="255"/>
      <c r="BH220" s="255"/>
      <c r="BI220" s="255"/>
      <c r="BJ220" s="255"/>
      <c r="BK220" s="255"/>
      <c r="BL220" s="255"/>
      <c r="BM220" s="255"/>
      <c r="BN220" s="255"/>
      <c r="BO220" s="255"/>
      <c r="BP220" s="255"/>
      <c r="BQ220" s="255"/>
      <c r="BR220" s="255"/>
      <c r="BS220" s="255"/>
      <c r="BT220" s="255"/>
      <c r="BU220" s="255"/>
      <c r="BV220" s="255"/>
      <c r="BW220" s="255"/>
      <c r="BX220" s="255"/>
      <c r="BY220" s="255"/>
      <c r="BZ220" s="255"/>
      <c r="CA220" s="255"/>
      <c r="CB220" s="255"/>
      <c r="CC220" s="255"/>
      <c r="CD220" s="255"/>
      <c r="CE220" s="255"/>
      <c r="CF220" s="255"/>
      <c r="CG220" s="255"/>
      <c r="CH220" s="255"/>
      <c r="CI220" s="255"/>
      <c r="CJ220" s="255"/>
      <c r="CK220" s="255"/>
      <c r="CL220" s="255"/>
      <c r="CM220" s="255"/>
      <c r="CN220" s="255"/>
      <c r="CO220" s="255"/>
      <c r="CP220" s="255"/>
      <c r="CQ220" s="255"/>
      <c r="CR220" s="255"/>
      <c r="CS220" s="255"/>
      <c r="CT220" s="255"/>
      <c r="CU220" s="255"/>
      <c r="CV220" s="255"/>
      <c r="CW220" s="255"/>
      <c r="CX220" s="255"/>
      <c r="CY220" s="255"/>
      <c r="CZ220" s="255"/>
      <c r="DA220" s="255"/>
      <c r="DB220" s="255"/>
      <c r="DC220" s="255"/>
      <c r="DD220" s="255"/>
      <c r="DE220" s="255"/>
      <c r="DF220" s="255"/>
      <c r="DG220" s="255"/>
      <c r="DH220" s="255"/>
      <c r="DI220" s="255"/>
      <c r="DJ220" s="255"/>
      <c r="DK220" s="255"/>
      <c r="DL220" s="255"/>
      <c r="DM220" s="255"/>
      <c r="DN220" s="255"/>
      <c r="DO220" s="255"/>
      <c r="DP220" s="255"/>
      <c r="DQ220" s="255"/>
      <c r="DR220" s="255"/>
      <c r="DS220" s="255"/>
      <c r="DT220" s="255"/>
      <c r="DU220" s="255"/>
      <c r="DV220" s="255"/>
      <c r="DW220" s="191"/>
      <c r="DX220" s="255"/>
      <c r="DY220" s="255"/>
      <c r="DZ220" s="255"/>
      <c r="EA220" s="255"/>
      <c r="EB220" s="255"/>
      <c r="EC220" s="255"/>
      <c r="ED220" s="255"/>
      <c r="EE220" s="255"/>
      <c r="EF220" s="255"/>
      <c r="EG220" s="255"/>
      <c r="EH220" s="255"/>
      <c r="EI220" s="255"/>
      <c r="EJ220" s="255"/>
      <c r="EK220" s="255"/>
      <c r="EL220" s="255"/>
      <c r="EM220" s="255"/>
      <c r="EN220" s="255"/>
      <c r="EO220" s="255"/>
      <c r="EP220" s="255"/>
      <c r="EQ220" s="255"/>
      <c r="ER220" s="191"/>
      <c r="ES220" s="255"/>
      <c r="ET220" s="255"/>
      <c r="EU220" s="255"/>
      <c r="EV220" s="255"/>
      <c r="EW220" s="255"/>
      <c r="EX220" s="255"/>
      <c r="EY220" s="255"/>
      <c r="EZ220" s="255"/>
      <c r="FA220" s="255"/>
      <c r="FB220" s="255"/>
      <c r="FC220" s="255"/>
      <c r="FD220" s="255"/>
      <c r="FE220" s="255"/>
      <c r="FF220" s="255"/>
      <c r="FG220" s="255"/>
      <c r="FH220" s="255"/>
      <c r="FI220" s="255"/>
      <c r="FJ220" s="255"/>
      <c r="FK220" s="255"/>
      <c r="FL220" s="255"/>
      <c r="FM220" s="255"/>
      <c r="FN220" s="255"/>
      <c r="FO220" s="255"/>
      <c r="FP220" s="255"/>
      <c r="FQ220" s="255"/>
      <c r="FR220" s="255"/>
      <c r="FS220" s="255"/>
      <c r="FT220" s="255"/>
      <c r="FU220" s="255"/>
      <c r="FV220" s="255"/>
      <c r="FW220" s="255"/>
      <c r="FX220" s="255"/>
      <c r="FY220" s="255"/>
      <c r="FZ220" s="255"/>
      <c r="GA220" s="255"/>
      <c r="GB220" s="255"/>
      <c r="GC220" s="255"/>
      <c r="GD220" s="255"/>
      <c r="GE220" s="255"/>
      <c r="GF220" s="255"/>
      <c r="GG220" s="255"/>
      <c r="GH220" s="255"/>
      <c r="GI220" s="255"/>
      <c r="GJ220" s="255"/>
      <c r="GK220" s="255"/>
      <c r="GL220" s="255"/>
      <c r="GM220" s="255"/>
      <c r="GN220" s="255"/>
      <c r="GO220" s="255"/>
      <c r="GP220" s="255"/>
      <c r="GQ220" s="255"/>
      <c r="GR220" s="255"/>
      <c r="GS220" s="255"/>
      <c r="GT220" s="255"/>
      <c r="GU220" s="255"/>
      <c r="GV220" s="255"/>
      <c r="GW220" s="255"/>
      <c r="GX220" s="255"/>
      <c r="GY220" s="255"/>
      <c r="GZ220" s="255"/>
      <c r="HA220" s="255"/>
      <c r="HB220" s="255"/>
      <c r="HC220" s="255"/>
      <c r="HD220" s="255"/>
      <c r="HE220" s="255"/>
      <c r="HF220" s="255"/>
      <c r="HG220" s="255"/>
      <c r="HH220" s="255"/>
      <c r="HI220" s="255"/>
      <c r="HJ220" s="255"/>
      <c r="HK220" s="255"/>
      <c r="HL220" s="255"/>
      <c r="HM220" s="255"/>
      <c r="HN220" s="255"/>
      <c r="HO220" s="255"/>
      <c r="HP220" s="255"/>
      <c r="HQ220" s="255"/>
      <c r="HR220" s="255"/>
      <c r="HS220" s="255"/>
      <c r="HT220" s="255"/>
      <c r="HU220" s="255"/>
      <c r="HV220" s="255"/>
      <c r="HW220" s="255"/>
      <c r="HX220" s="255"/>
      <c r="HY220" s="255"/>
      <c r="HZ220" s="255"/>
      <c r="IA220" s="255"/>
      <c r="IB220" s="255"/>
      <c r="IC220" s="255"/>
      <c r="ID220" s="255"/>
      <c r="IE220" s="255"/>
      <c r="IF220" s="255"/>
      <c r="IG220" s="255"/>
      <c r="IH220" s="255"/>
      <c r="II220" s="255"/>
      <c r="IJ220" s="255"/>
      <c r="IK220" s="255"/>
      <c r="IL220" s="255"/>
      <c r="IM220" s="255"/>
      <c r="IN220" s="255"/>
      <c r="IO220" s="255"/>
      <c r="IP220" s="255"/>
      <c r="IQ220" s="255"/>
      <c r="IR220" s="255"/>
      <c r="IS220" s="255"/>
      <c r="IT220" s="255"/>
      <c r="IU220" s="255"/>
      <c r="IV220" s="255"/>
      <c r="IW220" s="255"/>
      <c r="IX220" s="255"/>
      <c r="IY220" s="255"/>
      <c r="IZ220" s="255"/>
      <c r="JA220" s="255"/>
      <c r="JB220" s="255"/>
      <c r="JC220" s="255"/>
      <c r="JD220" s="255"/>
      <c r="JE220" s="255"/>
      <c r="JF220" s="255"/>
      <c r="JG220" s="191"/>
      <c r="JH220" s="255"/>
      <c r="JI220" s="255"/>
      <c r="JJ220" s="255"/>
      <c r="JK220" s="255"/>
      <c r="JL220" s="255"/>
      <c r="JM220" s="255"/>
      <c r="JN220" s="255"/>
      <c r="JO220" s="255"/>
      <c r="JP220" s="255"/>
      <c r="JQ220" s="255"/>
      <c r="JR220" s="255"/>
      <c r="JS220" s="255"/>
      <c r="JT220" s="255"/>
      <c r="JU220" s="255"/>
      <c r="JV220" s="255"/>
      <c r="JW220" s="255"/>
      <c r="JX220" s="255"/>
      <c r="JY220" s="255"/>
      <c r="JZ220" s="255"/>
      <c r="KA220" s="255"/>
      <c r="KB220" s="191"/>
    </row>
    <row r="221" spans="1:288" ht="15" customHeight="1" x14ac:dyDescent="0.35">
      <c r="B221" s="146" t="str">
        <f t="shared" si="22"/>
        <v>Desk 5</v>
      </c>
      <c r="C221" s="148" t="str">
        <v/>
      </c>
      <c r="D221" s="148" t="str">
        <v/>
      </c>
      <c r="E221" s="148" t="str">
        <v/>
      </c>
      <c r="F221" s="148" t="str">
        <v/>
      </c>
      <c r="G221" s="268" t="str">
        <v/>
      </c>
      <c r="H221" s="255"/>
      <c r="I221" s="255"/>
      <c r="J221" s="255"/>
      <c r="K221" s="255"/>
      <c r="L221" s="255"/>
      <c r="M221" s="255"/>
      <c r="N221" s="255"/>
      <c r="O221" s="255"/>
      <c r="P221" s="255"/>
      <c r="Q221" s="255"/>
      <c r="R221" s="255"/>
      <c r="S221" s="255"/>
      <c r="T221" s="255"/>
      <c r="U221" s="255"/>
      <c r="V221" s="255"/>
      <c r="W221" s="255"/>
      <c r="X221" s="255"/>
      <c r="Y221" s="255"/>
      <c r="Z221" s="255"/>
      <c r="AA221" s="255"/>
      <c r="AB221" s="255"/>
      <c r="AC221" s="255"/>
      <c r="AD221" s="255"/>
      <c r="AE221" s="255"/>
      <c r="AF221" s="255"/>
      <c r="AG221" s="255"/>
      <c r="AH221" s="255"/>
      <c r="AI221" s="255"/>
      <c r="AJ221" s="255"/>
      <c r="AK221" s="255"/>
      <c r="AL221" s="255"/>
      <c r="AM221" s="255"/>
      <c r="AN221" s="255"/>
      <c r="AO221" s="255"/>
      <c r="AP221" s="255"/>
      <c r="AQ221" s="255"/>
      <c r="AR221" s="255"/>
      <c r="AS221" s="255"/>
      <c r="AT221" s="255"/>
      <c r="AU221" s="255"/>
      <c r="AV221" s="255"/>
      <c r="AW221" s="255"/>
      <c r="AX221" s="255"/>
      <c r="AY221" s="255"/>
      <c r="AZ221" s="255"/>
      <c r="BA221" s="255"/>
      <c r="BB221" s="255"/>
      <c r="BC221" s="255"/>
      <c r="BD221" s="255"/>
      <c r="BE221" s="255"/>
      <c r="BF221" s="255"/>
      <c r="BG221" s="255"/>
      <c r="BH221" s="255"/>
      <c r="BI221" s="255"/>
      <c r="BJ221" s="255"/>
      <c r="BK221" s="255"/>
      <c r="BL221" s="255"/>
      <c r="BM221" s="255"/>
      <c r="BN221" s="255"/>
      <c r="BO221" s="255"/>
      <c r="BP221" s="255"/>
      <c r="BQ221" s="255"/>
      <c r="BR221" s="255"/>
      <c r="BS221" s="255"/>
      <c r="BT221" s="255"/>
      <c r="BU221" s="255"/>
      <c r="BV221" s="255"/>
      <c r="BW221" s="255"/>
      <c r="BX221" s="255"/>
      <c r="BY221" s="255"/>
      <c r="BZ221" s="255"/>
      <c r="CA221" s="255"/>
      <c r="CB221" s="255"/>
      <c r="CC221" s="255"/>
      <c r="CD221" s="255"/>
      <c r="CE221" s="255"/>
      <c r="CF221" s="255"/>
      <c r="CG221" s="255"/>
      <c r="CH221" s="255"/>
      <c r="CI221" s="255"/>
      <c r="CJ221" s="255"/>
      <c r="CK221" s="255"/>
      <c r="CL221" s="255"/>
      <c r="CM221" s="255"/>
      <c r="CN221" s="255"/>
      <c r="CO221" s="255"/>
      <c r="CP221" s="255"/>
      <c r="CQ221" s="255"/>
      <c r="CR221" s="255"/>
      <c r="CS221" s="255"/>
      <c r="CT221" s="255"/>
      <c r="CU221" s="255"/>
      <c r="CV221" s="255"/>
      <c r="CW221" s="255"/>
      <c r="CX221" s="255"/>
      <c r="CY221" s="255"/>
      <c r="CZ221" s="255"/>
      <c r="DA221" s="255"/>
      <c r="DB221" s="255"/>
      <c r="DC221" s="255"/>
      <c r="DD221" s="255"/>
      <c r="DE221" s="255"/>
      <c r="DF221" s="255"/>
      <c r="DG221" s="255"/>
      <c r="DH221" s="255"/>
      <c r="DI221" s="255"/>
      <c r="DJ221" s="255"/>
      <c r="DK221" s="255"/>
      <c r="DL221" s="255"/>
      <c r="DM221" s="255"/>
      <c r="DN221" s="255"/>
      <c r="DO221" s="255"/>
      <c r="DP221" s="255"/>
      <c r="DQ221" s="255"/>
      <c r="DR221" s="255"/>
      <c r="DS221" s="255"/>
      <c r="DT221" s="255"/>
      <c r="DU221" s="255"/>
      <c r="DV221" s="255"/>
      <c r="DW221" s="191"/>
      <c r="DX221" s="255"/>
      <c r="DY221" s="255"/>
      <c r="DZ221" s="255"/>
      <c r="EA221" s="255"/>
      <c r="EB221" s="255"/>
      <c r="EC221" s="255"/>
      <c r="ED221" s="255"/>
      <c r="EE221" s="255"/>
      <c r="EF221" s="255"/>
      <c r="EG221" s="255"/>
      <c r="EH221" s="255"/>
      <c r="EI221" s="255"/>
      <c r="EJ221" s="255"/>
      <c r="EK221" s="255"/>
      <c r="EL221" s="255"/>
      <c r="EM221" s="255"/>
      <c r="EN221" s="255"/>
      <c r="EO221" s="255"/>
      <c r="EP221" s="255"/>
      <c r="EQ221" s="255"/>
      <c r="ER221" s="191"/>
      <c r="ES221" s="255"/>
      <c r="ET221" s="255"/>
      <c r="EU221" s="255"/>
      <c r="EV221" s="255"/>
      <c r="EW221" s="255"/>
      <c r="EX221" s="255"/>
      <c r="EY221" s="255"/>
      <c r="EZ221" s="255"/>
      <c r="FA221" s="255"/>
      <c r="FB221" s="255"/>
      <c r="FC221" s="255"/>
      <c r="FD221" s="255"/>
      <c r="FE221" s="255"/>
      <c r="FF221" s="255"/>
      <c r="FG221" s="255"/>
      <c r="FH221" s="255"/>
      <c r="FI221" s="255"/>
      <c r="FJ221" s="255"/>
      <c r="FK221" s="255"/>
      <c r="FL221" s="255"/>
      <c r="FM221" s="255"/>
      <c r="FN221" s="255"/>
      <c r="FO221" s="255"/>
      <c r="FP221" s="255"/>
      <c r="FQ221" s="255"/>
      <c r="FR221" s="255"/>
      <c r="FS221" s="255"/>
      <c r="FT221" s="255"/>
      <c r="FU221" s="255"/>
      <c r="FV221" s="255"/>
      <c r="FW221" s="255"/>
      <c r="FX221" s="255"/>
      <c r="FY221" s="255"/>
      <c r="FZ221" s="255"/>
      <c r="GA221" s="255"/>
      <c r="GB221" s="255"/>
      <c r="GC221" s="255"/>
      <c r="GD221" s="255"/>
      <c r="GE221" s="255"/>
      <c r="GF221" s="255"/>
      <c r="GG221" s="255"/>
      <c r="GH221" s="255"/>
      <c r="GI221" s="255"/>
      <c r="GJ221" s="255"/>
      <c r="GK221" s="255"/>
      <c r="GL221" s="255"/>
      <c r="GM221" s="255"/>
      <c r="GN221" s="255"/>
      <c r="GO221" s="255"/>
      <c r="GP221" s="255"/>
      <c r="GQ221" s="255"/>
      <c r="GR221" s="255"/>
      <c r="GS221" s="255"/>
      <c r="GT221" s="255"/>
      <c r="GU221" s="255"/>
      <c r="GV221" s="255"/>
      <c r="GW221" s="255"/>
      <c r="GX221" s="255"/>
      <c r="GY221" s="255"/>
      <c r="GZ221" s="255"/>
      <c r="HA221" s="255"/>
      <c r="HB221" s="255"/>
      <c r="HC221" s="255"/>
      <c r="HD221" s="255"/>
      <c r="HE221" s="255"/>
      <c r="HF221" s="255"/>
      <c r="HG221" s="255"/>
      <c r="HH221" s="255"/>
      <c r="HI221" s="255"/>
      <c r="HJ221" s="255"/>
      <c r="HK221" s="255"/>
      <c r="HL221" s="255"/>
      <c r="HM221" s="255"/>
      <c r="HN221" s="255"/>
      <c r="HO221" s="255"/>
      <c r="HP221" s="255"/>
      <c r="HQ221" s="255"/>
      <c r="HR221" s="255"/>
      <c r="HS221" s="255"/>
      <c r="HT221" s="255"/>
      <c r="HU221" s="255"/>
      <c r="HV221" s="255"/>
      <c r="HW221" s="255"/>
      <c r="HX221" s="255"/>
      <c r="HY221" s="255"/>
      <c r="HZ221" s="255"/>
      <c r="IA221" s="255"/>
      <c r="IB221" s="255"/>
      <c r="IC221" s="255"/>
      <c r="ID221" s="255"/>
      <c r="IE221" s="255"/>
      <c r="IF221" s="255"/>
      <c r="IG221" s="255"/>
      <c r="IH221" s="255"/>
      <c r="II221" s="255"/>
      <c r="IJ221" s="255"/>
      <c r="IK221" s="255"/>
      <c r="IL221" s="255"/>
      <c r="IM221" s="255"/>
      <c r="IN221" s="255"/>
      <c r="IO221" s="255"/>
      <c r="IP221" s="255"/>
      <c r="IQ221" s="255"/>
      <c r="IR221" s="255"/>
      <c r="IS221" s="255"/>
      <c r="IT221" s="255"/>
      <c r="IU221" s="255"/>
      <c r="IV221" s="255"/>
      <c r="IW221" s="255"/>
      <c r="IX221" s="255"/>
      <c r="IY221" s="255"/>
      <c r="IZ221" s="255"/>
      <c r="JA221" s="255"/>
      <c r="JB221" s="255"/>
      <c r="JC221" s="255"/>
      <c r="JD221" s="255"/>
      <c r="JE221" s="255"/>
      <c r="JF221" s="255"/>
      <c r="JG221" s="191"/>
      <c r="JH221" s="255"/>
      <c r="JI221" s="255"/>
      <c r="JJ221" s="255"/>
      <c r="JK221" s="255"/>
      <c r="JL221" s="255"/>
      <c r="JM221" s="255"/>
      <c r="JN221" s="255"/>
      <c r="JO221" s="255"/>
      <c r="JP221" s="255"/>
      <c r="JQ221" s="255"/>
      <c r="JR221" s="255"/>
      <c r="JS221" s="255"/>
      <c r="JT221" s="255"/>
      <c r="JU221" s="255"/>
      <c r="JV221" s="255"/>
      <c r="JW221" s="255"/>
      <c r="JX221" s="255"/>
      <c r="JY221" s="255"/>
      <c r="JZ221" s="255"/>
      <c r="KA221" s="255"/>
      <c r="KB221" s="191"/>
    </row>
    <row r="222" spans="1:288" ht="15" customHeight="1" x14ac:dyDescent="0.35">
      <c r="B222" s="146" t="str">
        <f t="shared" si="22"/>
        <v>Desk 6</v>
      </c>
      <c r="C222" s="148" t="str">
        <v/>
      </c>
      <c r="D222" s="148" t="str">
        <v/>
      </c>
      <c r="E222" s="148" t="str">
        <v/>
      </c>
      <c r="F222" s="148" t="str">
        <v/>
      </c>
      <c r="G222" s="268" t="str">
        <v/>
      </c>
      <c r="H222" s="255"/>
      <c r="I222" s="255"/>
      <c r="J222" s="255"/>
      <c r="K222" s="255"/>
      <c r="L222" s="255"/>
      <c r="M222" s="255"/>
      <c r="N222" s="255"/>
      <c r="O222" s="255"/>
      <c r="P222" s="255"/>
      <c r="Q222" s="255"/>
      <c r="R222" s="255"/>
      <c r="S222" s="255"/>
      <c r="T222" s="255"/>
      <c r="U222" s="255"/>
      <c r="V222" s="255"/>
      <c r="W222" s="255"/>
      <c r="X222" s="255"/>
      <c r="Y222" s="255"/>
      <c r="Z222" s="255"/>
      <c r="AA222" s="255"/>
      <c r="AB222" s="255"/>
      <c r="AC222" s="255"/>
      <c r="AD222" s="255"/>
      <c r="AE222" s="255"/>
      <c r="AF222" s="255"/>
      <c r="AG222" s="255"/>
      <c r="AH222" s="255"/>
      <c r="AI222" s="255"/>
      <c r="AJ222" s="255"/>
      <c r="AK222" s="255"/>
      <c r="AL222" s="255"/>
      <c r="AM222" s="255"/>
      <c r="AN222" s="255"/>
      <c r="AO222" s="255"/>
      <c r="AP222" s="255"/>
      <c r="AQ222" s="255"/>
      <c r="AR222" s="255"/>
      <c r="AS222" s="255"/>
      <c r="AT222" s="255"/>
      <c r="AU222" s="255"/>
      <c r="AV222" s="255"/>
      <c r="AW222" s="255"/>
      <c r="AX222" s="255"/>
      <c r="AY222" s="255"/>
      <c r="AZ222" s="255"/>
      <c r="BA222" s="255"/>
      <c r="BB222" s="255"/>
      <c r="BC222" s="255"/>
      <c r="BD222" s="255"/>
      <c r="BE222" s="255"/>
      <c r="BF222" s="255"/>
      <c r="BG222" s="255"/>
      <c r="BH222" s="255"/>
      <c r="BI222" s="255"/>
      <c r="BJ222" s="255"/>
      <c r="BK222" s="255"/>
      <c r="BL222" s="255"/>
      <c r="BM222" s="255"/>
      <c r="BN222" s="255"/>
      <c r="BO222" s="255"/>
      <c r="BP222" s="255"/>
      <c r="BQ222" s="255"/>
      <c r="BR222" s="255"/>
      <c r="BS222" s="255"/>
      <c r="BT222" s="255"/>
      <c r="BU222" s="255"/>
      <c r="BV222" s="255"/>
      <c r="BW222" s="255"/>
      <c r="BX222" s="255"/>
      <c r="BY222" s="255"/>
      <c r="BZ222" s="255"/>
      <c r="CA222" s="255"/>
      <c r="CB222" s="255"/>
      <c r="CC222" s="255"/>
      <c r="CD222" s="255"/>
      <c r="CE222" s="255"/>
      <c r="CF222" s="255"/>
      <c r="CG222" s="255"/>
      <c r="CH222" s="255"/>
      <c r="CI222" s="255"/>
      <c r="CJ222" s="255"/>
      <c r="CK222" s="255"/>
      <c r="CL222" s="255"/>
      <c r="CM222" s="255"/>
      <c r="CN222" s="255"/>
      <c r="CO222" s="255"/>
      <c r="CP222" s="255"/>
      <c r="CQ222" s="255"/>
      <c r="CR222" s="255"/>
      <c r="CS222" s="255"/>
      <c r="CT222" s="255"/>
      <c r="CU222" s="255"/>
      <c r="CV222" s="255"/>
      <c r="CW222" s="255"/>
      <c r="CX222" s="255"/>
      <c r="CY222" s="255"/>
      <c r="CZ222" s="255"/>
      <c r="DA222" s="255"/>
      <c r="DB222" s="255"/>
      <c r="DC222" s="255"/>
      <c r="DD222" s="255"/>
      <c r="DE222" s="255"/>
      <c r="DF222" s="255"/>
      <c r="DG222" s="255"/>
      <c r="DH222" s="255"/>
      <c r="DI222" s="255"/>
      <c r="DJ222" s="255"/>
      <c r="DK222" s="255"/>
      <c r="DL222" s="255"/>
      <c r="DM222" s="255"/>
      <c r="DN222" s="255"/>
      <c r="DO222" s="255"/>
      <c r="DP222" s="255"/>
      <c r="DQ222" s="255"/>
      <c r="DR222" s="255"/>
      <c r="DS222" s="255"/>
      <c r="DT222" s="255"/>
      <c r="DU222" s="255"/>
      <c r="DV222" s="255"/>
      <c r="DW222" s="191"/>
      <c r="DX222" s="255"/>
      <c r="DY222" s="255"/>
      <c r="DZ222" s="255"/>
      <c r="EA222" s="255"/>
      <c r="EB222" s="255"/>
      <c r="EC222" s="255"/>
      <c r="ED222" s="255"/>
      <c r="EE222" s="255"/>
      <c r="EF222" s="255"/>
      <c r="EG222" s="255"/>
      <c r="EH222" s="255"/>
      <c r="EI222" s="255"/>
      <c r="EJ222" s="255"/>
      <c r="EK222" s="255"/>
      <c r="EL222" s="255"/>
      <c r="EM222" s="255"/>
      <c r="EN222" s="255"/>
      <c r="EO222" s="255"/>
      <c r="EP222" s="255"/>
      <c r="EQ222" s="255"/>
      <c r="ER222" s="191"/>
      <c r="ES222" s="255"/>
      <c r="ET222" s="255"/>
      <c r="EU222" s="255"/>
      <c r="EV222" s="255"/>
      <c r="EW222" s="255"/>
      <c r="EX222" s="255"/>
      <c r="EY222" s="255"/>
      <c r="EZ222" s="255"/>
      <c r="FA222" s="255"/>
      <c r="FB222" s="255"/>
      <c r="FC222" s="255"/>
      <c r="FD222" s="255"/>
      <c r="FE222" s="255"/>
      <c r="FF222" s="255"/>
      <c r="FG222" s="255"/>
      <c r="FH222" s="255"/>
      <c r="FI222" s="255"/>
      <c r="FJ222" s="255"/>
      <c r="FK222" s="255"/>
      <c r="FL222" s="255"/>
      <c r="FM222" s="255"/>
      <c r="FN222" s="255"/>
      <c r="FO222" s="255"/>
      <c r="FP222" s="255"/>
      <c r="FQ222" s="255"/>
      <c r="FR222" s="255"/>
      <c r="FS222" s="255"/>
      <c r="FT222" s="255"/>
      <c r="FU222" s="255"/>
      <c r="FV222" s="255"/>
      <c r="FW222" s="255"/>
      <c r="FX222" s="255"/>
      <c r="FY222" s="255"/>
      <c r="FZ222" s="255"/>
      <c r="GA222" s="255"/>
      <c r="GB222" s="255"/>
      <c r="GC222" s="255"/>
      <c r="GD222" s="255"/>
      <c r="GE222" s="255"/>
      <c r="GF222" s="255"/>
      <c r="GG222" s="255"/>
      <c r="GH222" s="255"/>
      <c r="GI222" s="255"/>
      <c r="GJ222" s="255"/>
      <c r="GK222" s="255"/>
      <c r="GL222" s="255"/>
      <c r="GM222" s="255"/>
      <c r="GN222" s="255"/>
      <c r="GO222" s="255"/>
      <c r="GP222" s="255"/>
      <c r="GQ222" s="255"/>
      <c r="GR222" s="255"/>
      <c r="GS222" s="255"/>
      <c r="GT222" s="255"/>
      <c r="GU222" s="255"/>
      <c r="GV222" s="255"/>
      <c r="GW222" s="255"/>
      <c r="GX222" s="255"/>
      <c r="GY222" s="255"/>
      <c r="GZ222" s="255"/>
      <c r="HA222" s="255"/>
      <c r="HB222" s="255"/>
      <c r="HC222" s="255"/>
      <c r="HD222" s="255"/>
      <c r="HE222" s="255"/>
      <c r="HF222" s="255"/>
      <c r="HG222" s="255"/>
      <c r="HH222" s="255"/>
      <c r="HI222" s="255"/>
      <c r="HJ222" s="255"/>
      <c r="HK222" s="255"/>
      <c r="HL222" s="255"/>
      <c r="HM222" s="255"/>
      <c r="HN222" s="255"/>
      <c r="HO222" s="255"/>
      <c r="HP222" s="255"/>
      <c r="HQ222" s="255"/>
      <c r="HR222" s="255"/>
      <c r="HS222" s="255"/>
      <c r="HT222" s="255"/>
      <c r="HU222" s="255"/>
      <c r="HV222" s="255"/>
      <c r="HW222" s="255"/>
      <c r="HX222" s="255"/>
      <c r="HY222" s="255"/>
      <c r="HZ222" s="255"/>
      <c r="IA222" s="255"/>
      <c r="IB222" s="255"/>
      <c r="IC222" s="255"/>
      <c r="ID222" s="255"/>
      <c r="IE222" s="255"/>
      <c r="IF222" s="255"/>
      <c r="IG222" s="255"/>
      <c r="IH222" s="255"/>
      <c r="II222" s="255"/>
      <c r="IJ222" s="255"/>
      <c r="IK222" s="255"/>
      <c r="IL222" s="255"/>
      <c r="IM222" s="255"/>
      <c r="IN222" s="255"/>
      <c r="IO222" s="255"/>
      <c r="IP222" s="255"/>
      <c r="IQ222" s="255"/>
      <c r="IR222" s="255"/>
      <c r="IS222" s="255"/>
      <c r="IT222" s="255"/>
      <c r="IU222" s="255"/>
      <c r="IV222" s="255"/>
      <c r="IW222" s="255"/>
      <c r="IX222" s="255"/>
      <c r="IY222" s="255"/>
      <c r="IZ222" s="255"/>
      <c r="JA222" s="255"/>
      <c r="JB222" s="255"/>
      <c r="JC222" s="255"/>
      <c r="JD222" s="255"/>
      <c r="JE222" s="255"/>
      <c r="JF222" s="255"/>
      <c r="JG222" s="191"/>
      <c r="JH222" s="255"/>
      <c r="JI222" s="255"/>
      <c r="JJ222" s="255"/>
      <c r="JK222" s="255"/>
      <c r="JL222" s="255"/>
      <c r="JM222" s="255"/>
      <c r="JN222" s="255"/>
      <c r="JO222" s="255"/>
      <c r="JP222" s="255"/>
      <c r="JQ222" s="255"/>
      <c r="JR222" s="255"/>
      <c r="JS222" s="255"/>
      <c r="JT222" s="255"/>
      <c r="JU222" s="255"/>
      <c r="JV222" s="255"/>
      <c r="JW222" s="255"/>
      <c r="JX222" s="255"/>
      <c r="JY222" s="255"/>
      <c r="JZ222" s="255"/>
      <c r="KA222" s="255"/>
      <c r="KB222" s="191"/>
    </row>
    <row r="223" spans="1:288" ht="15" customHeight="1" x14ac:dyDescent="0.35">
      <c r="B223" s="146" t="str">
        <f t="shared" si="22"/>
        <v>Desk 7</v>
      </c>
      <c r="C223" s="148" t="str">
        <v/>
      </c>
      <c r="D223" s="148" t="str">
        <v/>
      </c>
      <c r="E223" s="148" t="str">
        <v/>
      </c>
      <c r="F223" s="148" t="str">
        <v/>
      </c>
      <c r="G223" s="268" t="str">
        <v/>
      </c>
      <c r="H223" s="255"/>
      <c r="I223" s="255"/>
      <c r="J223" s="255"/>
      <c r="K223" s="255"/>
      <c r="L223" s="255"/>
      <c r="M223" s="255"/>
      <c r="N223" s="255"/>
      <c r="O223" s="255"/>
      <c r="P223" s="255"/>
      <c r="Q223" s="255"/>
      <c r="R223" s="255"/>
      <c r="S223" s="255"/>
      <c r="T223" s="255"/>
      <c r="U223" s="255"/>
      <c r="V223" s="255"/>
      <c r="W223" s="255"/>
      <c r="X223" s="255"/>
      <c r="Y223" s="255"/>
      <c r="Z223" s="255"/>
      <c r="AA223" s="255"/>
      <c r="AB223" s="255"/>
      <c r="AC223" s="255"/>
      <c r="AD223" s="255"/>
      <c r="AE223" s="255"/>
      <c r="AF223" s="255"/>
      <c r="AG223" s="255"/>
      <c r="AH223" s="255"/>
      <c r="AI223" s="255"/>
      <c r="AJ223" s="255"/>
      <c r="AK223" s="255"/>
      <c r="AL223" s="255"/>
      <c r="AM223" s="255"/>
      <c r="AN223" s="255"/>
      <c r="AO223" s="255"/>
      <c r="AP223" s="255"/>
      <c r="AQ223" s="255"/>
      <c r="AR223" s="255"/>
      <c r="AS223" s="255"/>
      <c r="AT223" s="255"/>
      <c r="AU223" s="255"/>
      <c r="AV223" s="255"/>
      <c r="AW223" s="255"/>
      <c r="AX223" s="255"/>
      <c r="AY223" s="255"/>
      <c r="AZ223" s="255"/>
      <c r="BA223" s="255"/>
      <c r="BB223" s="255"/>
      <c r="BC223" s="255"/>
      <c r="BD223" s="255"/>
      <c r="BE223" s="255"/>
      <c r="BF223" s="255"/>
      <c r="BG223" s="255"/>
      <c r="BH223" s="255"/>
      <c r="BI223" s="255"/>
      <c r="BJ223" s="255"/>
      <c r="BK223" s="255"/>
      <c r="BL223" s="255"/>
      <c r="BM223" s="255"/>
      <c r="BN223" s="255"/>
      <c r="BO223" s="255"/>
      <c r="BP223" s="255"/>
      <c r="BQ223" s="255"/>
      <c r="BR223" s="255"/>
      <c r="BS223" s="255"/>
      <c r="BT223" s="255"/>
      <c r="BU223" s="255"/>
      <c r="BV223" s="255"/>
      <c r="BW223" s="255"/>
      <c r="BX223" s="255"/>
      <c r="BY223" s="255"/>
      <c r="BZ223" s="255"/>
      <c r="CA223" s="255"/>
      <c r="CB223" s="255"/>
      <c r="CC223" s="255"/>
      <c r="CD223" s="255"/>
      <c r="CE223" s="255"/>
      <c r="CF223" s="255"/>
      <c r="CG223" s="255"/>
      <c r="CH223" s="255"/>
      <c r="CI223" s="255"/>
      <c r="CJ223" s="255"/>
      <c r="CK223" s="255"/>
      <c r="CL223" s="255"/>
      <c r="CM223" s="255"/>
      <c r="CN223" s="255"/>
      <c r="CO223" s="255"/>
      <c r="CP223" s="255"/>
      <c r="CQ223" s="255"/>
      <c r="CR223" s="255"/>
      <c r="CS223" s="255"/>
      <c r="CT223" s="255"/>
      <c r="CU223" s="255"/>
      <c r="CV223" s="255"/>
      <c r="CW223" s="255"/>
      <c r="CX223" s="255"/>
      <c r="CY223" s="255"/>
      <c r="CZ223" s="255"/>
      <c r="DA223" s="255"/>
      <c r="DB223" s="255"/>
      <c r="DC223" s="255"/>
      <c r="DD223" s="255"/>
      <c r="DE223" s="255"/>
      <c r="DF223" s="255"/>
      <c r="DG223" s="255"/>
      <c r="DH223" s="255"/>
      <c r="DI223" s="255"/>
      <c r="DJ223" s="255"/>
      <c r="DK223" s="255"/>
      <c r="DL223" s="255"/>
      <c r="DM223" s="255"/>
      <c r="DN223" s="255"/>
      <c r="DO223" s="255"/>
      <c r="DP223" s="255"/>
      <c r="DQ223" s="255"/>
      <c r="DR223" s="255"/>
      <c r="DS223" s="255"/>
      <c r="DT223" s="255"/>
      <c r="DU223" s="255"/>
      <c r="DV223" s="255"/>
      <c r="DW223" s="191"/>
      <c r="DX223" s="255"/>
      <c r="DY223" s="255"/>
      <c r="DZ223" s="255"/>
      <c r="EA223" s="255"/>
      <c r="EB223" s="255"/>
      <c r="EC223" s="255"/>
      <c r="ED223" s="255"/>
      <c r="EE223" s="255"/>
      <c r="EF223" s="255"/>
      <c r="EG223" s="255"/>
      <c r="EH223" s="255"/>
      <c r="EI223" s="255"/>
      <c r="EJ223" s="255"/>
      <c r="EK223" s="255"/>
      <c r="EL223" s="255"/>
      <c r="EM223" s="255"/>
      <c r="EN223" s="255"/>
      <c r="EO223" s="255"/>
      <c r="EP223" s="255"/>
      <c r="EQ223" s="255"/>
      <c r="ER223" s="191"/>
      <c r="ES223" s="255"/>
      <c r="ET223" s="255"/>
      <c r="EU223" s="255"/>
      <c r="EV223" s="255"/>
      <c r="EW223" s="255"/>
      <c r="EX223" s="255"/>
      <c r="EY223" s="255"/>
      <c r="EZ223" s="255"/>
      <c r="FA223" s="255"/>
      <c r="FB223" s="255"/>
      <c r="FC223" s="255"/>
      <c r="FD223" s="255"/>
      <c r="FE223" s="255"/>
      <c r="FF223" s="255"/>
      <c r="FG223" s="255"/>
      <c r="FH223" s="255"/>
      <c r="FI223" s="255"/>
      <c r="FJ223" s="255"/>
      <c r="FK223" s="255"/>
      <c r="FL223" s="255"/>
      <c r="FM223" s="255"/>
      <c r="FN223" s="255"/>
      <c r="FO223" s="255"/>
      <c r="FP223" s="255"/>
      <c r="FQ223" s="255"/>
      <c r="FR223" s="255"/>
      <c r="FS223" s="255"/>
      <c r="FT223" s="255"/>
      <c r="FU223" s="255"/>
      <c r="FV223" s="255"/>
      <c r="FW223" s="255"/>
      <c r="FX223" s="255"/>
      <c r="FY223" s="255"/>
      <c r="FZ223" s="255"/>
      <c r="GA223" s="255"/>
      <c r="GB223" s="255"/>
      <c r="GC223" s="255"/>
      <c r="GD223" s="255"/>
      <c r="GE223" s="255"/>
      <c r="GF223" s="255"/>
      <c r="GG223" s="255"/>
      <c r="GH223" s="255"/>
      <c r="GI223" s="255"/>
      <c r="GJ223" s="255"/>
      <c r="GK223" s="255"/>
      <c r="GL223" s="255"/>
      <c r="GM223" s="255"/>
      <c r="GN223" s="255"/>
      <c r="GO223" s="255"/>
      <c r="GP223" s="255"/>
      <c r="GQ223" s="255"/>
      <c r="GR223" s="255"/>
      <c r="GS223" s="255"/>
      <c r="GT223" s="255"/>
      <c r="GU223" s="255"/>
      <c r="GV223" s="255"/>
      <c r="GW223" s="255"/>
      <c r="GX223" s="255"/>
      <c r="GY223" s="255"/>
      <c r="GZ223" s="255"/>
      <c r="HA223" s="255"/>
      <c r="HB223" s="255"/>
      <c r="HC223" s="255"/>
      <c r="HD223" s="255"/>
      <c r="HE223" s="255"/>
      <c r="HF223" s="255"/>
      <c r="HG223" s="255"/>
      <c r="HH223" s="255"/>
      <c r="HI223" s="255"/>
      <c r="HJ223" s="255"/>
      <c r="HK223" s="255"/>
      <c r="HL223" s="255"/>
      <c r="HM223" s="255"/>
      <c r="HN223" s="255"/>
      <c r="HO223" s="255"/>
      <c r="HP223" s="255"/>
      <c r="HQ223" s="255"/>
      <c r="HR223" s="255"/>
      <c r="HS223" s="255"/>
      <c r="HT223" s="255"/>
      <c r="HU223" s="255"/>
      <c r="HV223" s="255"/>
      <c r="HW223" s="255"/>
      <c r="HX223" s="255"/>
      <c r="HY223" s="255"/>
      <c r="HZ223" s="255"/>
      <c r="IA223" s="255"/>
      <c r="IB223" s="255"/>
      <c r="IC223" s="255"/>
      <c r="ID223" s="255"/>
      <c r="IE223" s="255"/>
      <c r="IF223" s="255"/>
      <c r="IG223" s="255"/>
      <c r="IH223" s="255"/>
      <c r="II223" s="255"/>
      <c r="IJ223" s="255"/>
      <c r="IK223" s="255"/>
      <c r="IL223" s="255"/>
      <c r="IM223" s="255"/>
      <c r="IN223" s="255"/>
      <c r="IO223" s="255"/>
      <c r="IP223" s="255"/>
      <c r="IQ223" s="255"/>
      <c r="IR223" s="255"/>
      <c r="IS223" s="255"/>
      <c r="IT223" s="255"/>
      <c r="IU223" s="255"/>
      <c r="IV223" s="255"/>
      <c r="IW223" s="255"/>
      <c r="IX223" s="255"/>
      <c r="IY223" s="255"/>
      <c r="IZ223" s="255"/>
      <c r="JA223" s="255"/>
      <c r="JB223" s="255"/>
      <c r="JC223" s="255"/>
      <c r="JD223" s="255"/>
      <c r="JE223" s="255"/>
      <c r="JF223" s="255"/>
      <c r="JG223" s="191"/>
      <c r="JH223" s="255"/>
      <c r="JI223" s="255"/>
      <c r="JJ223" s="255"/>
      <c r="JK223" s="255"/>
      <c r="JL223" s="255"/>
      <c r="JM223" s="255"/>
      <c r="JN223" s="255"/>
      <c r="JO223" s="255"/>
      <c r="JP223" s="255"/>
      <c r="JQ223" s="255"/>
      <c r="JR223" s="255"/>
      <c r="JS223" s="255"/>
      <c r="JT223" s="255"/>
      <c r="JU223" s="255"/>
      <c r="JV223" s="255"/>
      <c r="JW223" s="255"/>
      <c r="JX223" s="255"/>
      <c r="JY223" s="255"/>
      <c r="JZ223" s="255"/>
      <c r="KA223" s="255"/>
      <c r="KB223" s="191"/>
    </row>
    <row r="224" spans="1:288" ht="15" customHeight="1" x14ac:dyDescent="0.35">
      <c r="B224" s="146" t="str">
        <f t="shared" si="22"/>
        <v>Desk 8</v>
      </c>
      <c r="C224" s="148" t="str">
        <v/>
      </c>
      <c r="D224" s="148" t="str">
        <v/>
      </c>
      <c r="E224" s="148" t="str">
        <v/>
      </c>
      <c r="F224" s="148" t="str">
        <v/>
      </c>
      <c r="G224" s="268" t="str">
        <v/>
      </c>
      <c r="H224" s="255"/>
      <c r="I224" s="255"/>
      <c r="J224" s="255"/>
      <c r="K224" s="255"/>
      <c r="L224" s="255"/>
      <c r="M224" s="255"/>
      <c r="N224" s="255"/>
      <c r="O224" s="255"/>
      <c r="P224" s="255"/>
      <c r="Q224" s="255"/>
      <c r="R224" s="255"/>
      <c r="S224" s="255"/>
      <c r="T224" s="255"/>
      <c r="U224" s="255"/>
      <c r="V224" s="255"/>
      <c r="W224" s="255"/>
      <c r="X224" s="255"/>
      <c r="Y224" s="255"/>
      <c r="Z224" s="255"/>
      <c r="AA224" s="255"/>
      <c r="AB224" s="255"/>
      <c r="AC224" s="255"/>
      <c r="AD224" s="255"/>
      <c r="AE224" s="255"/>
      <c r="AF224" s="255"/>
      <c r="AG224" s="255"/>
      <c r="AH224" s="255"/>
      <c r="AI224" s="255"/>
      <c r="AJ224" s="255"/>
      <c r="AK224" s="255"/>
      <c r="AL224" s="255"/>
      <c r="AM224" s="255"/>
      <c r="AN224" s="255"/>
      <c r="AO224" s="255"/>
      <c r="AP224" s="255"/>
      <c r="AQ224" s="255"/>
      <c r="AR224" s="255"/>
      <c r="AS224" s="255"/>
      <c r="AT224" s="255"/>
      <c r="AU224" s="255"/>
      <c r="AV224" s="255"/>
      <c r="AW224" s="255"/>
      <c r="AX224" s="255"/>
      <c r="AY224" s="255"/>
      <c r="AZ224" s="255"/>
      <c r="BA224" s="255"/>
      <c r="BB224" s="255"/>
      <c r="BC224" s="255"/>
      <c r="BD224" s="255"/>
      <c r="BE224" s="255"/>
      <c r="BF224" s="255"/>
      <c r="BG224" s="255"/>
      <c r="BH224" s="255"/>
      <c r="BI224" s="255"/>
      <c r="BJ224" s="255"/>
      <c r="BK224" s="255"/>
      <c r="BL224" s="255"/>
      <c r="BM224" s="255"/>
      <c r="BN224" s="255"/>
      <c r="BO224" s="255"/>
      <c r="BP224" s="255"/>
      <c r="BQ224" s="255"/>
      <c r="BR224" s="255"/>
      <c r="BS224" s="255"/>
      <c r="BT224" s="255"/>
      <c r="BU224" s="255"/>
      <c r="BV224" s="255"/>
      <c r="BW224" s="255"/>
      <c r="BX224" s="255"/>
      <c r="BY224" s="255"/>
      <c r="BZ224" s="255"/>
      <c r="CA224" s="255"/>
      <c r="CB224" s="255"/>
      <c r="CC224" s="255"/>
      <c r="CD224" s="255"/>
      <c r="CE224" s="255"/>
      <c r="CF224" s="255"/>
      <c r="CG224" s="255"/>
      <c r="CH224" s="255"/>
      <c r="CI224" s="255"/>
      <c r="CJ224" s="255"/>
      <c r="CK224" s="255"/>
      <c r="CL224" s="255"/>
      <c r="CM224" s="255"/>
      <c r="CN224" s="255"/>
      <c r="CO224" s="255"/>
      <c r="CP224" s="255"/>
      <c r="CQ224" s="255"/>
      <c r="CR224" s="255"/>
      <c r="CS224" s="255"/>
      <c r="CT224" s="255"/>
      <c r="CU224" s="255"/>
      <c r="CV224" s="255"/>
      <c r="CW224" s="255"/>
      <c r="CX224" s="255"/>
      <c r="CY224" s="255"/>
      <c r="CZ224" s="255"/>
      <c r="DA224" s="255"/>
      <c r="DB224" s="255"/>
      <c r="DC224" s="255"/>
      <c r="DD224" s="255"/>
      <c r="DE224" s="255"/>
      <c r="DF224" s="255"/>
      <c r="DG224" s="255"/>
      <c r="DH224" s="255"/>
      <c r="DI224" s="255"/>
      <c r="DJ224" s="255"/>
      <c r="DK224" s="255"/>
      <c r="DL224" s="255"/>
      <c r="DM224" s="255"/>
      <c r="DN224" s="255"/>
      <c r="DO224" s="255"/>
      <c r="DP224" s="255"/>
      <c r="DQ224" s="255"/>
      <c r="DR224" s="255"/>
      <c r="DS224" s="255"/>
      <c r="DT224" s="255"/>
      <c r="DU224" s="255"/>
      <c r="DV224" s="255"/>
      <c r="DW224" s="191"/>
      <c r="DX224" s="255"/>
      <c r="DY224" s="255"/>
      <c r="DZ224" s="255"/>
      <c r="EA224" s="255"/>
      <c r="EB224" s="255"/>
      <c r="EC224" s="255"/>
      <c r="ED224" s="255"/>
      <c r="EE224" s="255"/>
      <c r="EF224" s="255"/>
      <c r="EG224" s="255"/>
      <c r="EH224" s="255"/>
      <c r="EI224" s="255"/>
      <c r="EJ224" s="255"/>
      <c r="EK224" s="255"/>
      <c r="EL224" s="255"/>
      <c r="EM224" s="255"/>
      <c r="EN224" s="255"/>
      <c r="EO224" s="255"/>
      <c r="EP224" s="255"/>
      <c r="EQ224" s="255"/>
      <c r="ER224" s="191"/>
      <c r="ES224" s="255"/>
      <c r="ET224" s="255"/>
      <c r="EU224" s="255"/>
      <c r="EV224" s="255"/>
      <c r="EW224" s="255"/>
      <c r="EX224" s="255"/>
      <c r="EY224" s="255"/>
      <c r="EZ224" s="255"/>
      <c r="FA224" s="255"/>
      <c r="FB224" s="255"/>
      <c r="FC224" s="255"/>
      <c r="FD224" s="255"/>
      <c r="FE224" s="255"/>
      <c r="FF224" s="255"/>
      <c r="FG224" s="255"/>
      <c r="FH224" s="255"/>
      <c r="FI224" s="255"/>
      <c r="FJ224" s="255"/>
      <c r="FK224" s="255"/>
      <c r="FL224" s="255"/>
      <c r="FM224" s="255"/>
      <c r="FN224" s="255"/>
      <c r="FO224" s="255"/>
      <c r="FP224" s="255"/>
      <c r="FQ224" s="255"/>
      <c r="FR224" s="255"/>
      <c r="FS224" s="255"/>
      <c r="FT224" s="255"/>
      <c r="FU224" s="255"/>
      <c r="FV224" s="255"/>
      <c r="FW224" s="255"/>
      <c r="FX224" s="255"/>
      <c r="FY224" s="255"/>
      <c r="FZ224" s="255"/>
      <c r="GA224" s="255"/>
      <c r="GB224" s="255"/>
      <c r="GC224" s="255"/>
      <c r="GD224" s="255"/>
      <c r="GE224" s="255"/>
      <c r="GF224" s="255"/>
      <c r="GG224" s="255"/>
      <c r="GH224" s="255"/>
      <c r="GI224" s="255"/>
      <c r="GJ224" s="255"/>
      <c r="GK224" s="255"/>
      <c r="GL224" s="255"/>
      <c r="GM224" s="255"/>
      <c r="GN224" s="255"/>
      <c r="GO224" s="255"/>
      <c r="GP224" s="255"/>
      <c r="GQ224" s="255"/>
      <c r="GR224" s="255"/>
      <c r="GS224" s="255"/>
      <c r="GT224" s="255"/>
      <c r="GU224" s="255"/>
      <c r="GV224" s="255"/>
      <c r="GW224" s="255"/>
      <c r="GX224" s="255"/>
      <c r="GY224" s="255"/>
      <c r="GZ224" s="255"/>
      <c r="HA224" s="255"/>
      <c r="HB224" s="255"/>
      <c r="HC224" s="255"/>
      <c r="HD224" s="255"/>
      <c r="HE224" s="255"/>
      <c r="HF224" s="255"/>
      <c r="HG224" s="255"/>
      <c r="HH224" s="255"/>
      <c r="HI224" s="255"/>
      <c r="HJ224" s="255"/>
      <c r="HK224" s="255"/>
      <c r="HL224" s="255"/>
      <c r="HM224" s="255"/>
      <c r="HN224" s="255"/>
      <c r="HO224" s="255"/>
      <c r="HP224" s="255"/>
      <c r="HQ224" s="255"/>
      <c r="HR224" s="255"/>
      <c r="HS224" s="255"/>
      <c r="HT224" s="255"/>
      <c r="HU224" s="255"/>
      <c r="HV224" s="255"/>
      <c r="HW224" s="255"/>
      <c r="HX224" s="255"/>
      <c r="HY224" s="255"/>
      <c r="HZ224" s="255"/>
      <c r="IA224" s="255"/>
      <c r="IB224" s="255"/>
      <c r="IC224" s="255"/>
      <c r="ID224" s="255"/>
      <c r="IE224" s="255"/>
      <c r="IF224" s="255"/>
      <c r="IG224" s="255"/>
      <c r="IH224" s="255"/>
      <c r="II224" s="255"/>
      <c r="IJ224" s="255"/>
      <c r="IK224" s="255"/>
      <c r="IL224" s="255"/>
      <c r="IM224" s="255"/>
      <c r="IN224" s="255"/>
      <c r="IO224" s="255"/>
      <c r="IP224" s="255"/>
      <c r="IQ224" s="255"/>
      <c r="IR224" s="255"/>
      <c r="IS224" s="255"/>
      <c r="IT224" s="255"/>
      <c r="IU224" s="255"/>
      <c r="IV224" s="255"/>
      <c r="IW224" s="255"/>
      <c r="IX224" s="255"/>
      <c r="IY224" s="255"/>
      <c r="IZ224" s="255"/>
      <c r="JA224" s="255"/>
      <c r="JB224" s="255"/>
      <c r="JC224" s="255"/>
      <c r="JD224" s="255"/>
      <c r="JE224" s="255"/>
      <c r="JF224" s="255"/>
      <c r="JG224" s="191"/>
      <c r="JH224" s="255"/>
      <c r="JI224" s="255"/>
      <c r="JJ224" s="255"/>
      <c r="JK224" s="255"/>
      <c r="JL224" s="255"/>
      <c r="JM224" s="255"/>
      <c r="JN224" s="255"/>
      <c r="JO224" s="255"/>
      <c r="JP224" s="255"/>
      <c r="JQ224" s="255"/>
      <c r="JR224" s="255"/>
      <c r="JS224" s="255"/>
      <c r="JT224" s="255"/>
      <c r="JU224" s="255"/>
      <c r="JV224" s="255"/>
      <c r="JW224" s="255"/>
      <c r="JX224" s="255"/>
      <c r="JY224" s="255"/>
      <c r="JZ224" s="255"/>
      <c r="KA224" s="255"/>
      <c r="KB224" s="191"/>
    </row>
    <row r="225" spans="2:288" ht="15" customHeight="1" x14ac:dyDescent="0.35">
      <c r="B225" s="146" t="str">
        <f t="shared" si="22"/>
        <v>Desk 9</v>
      </c>
      <c r="C225" s="148" t="str">
        <v/>
      </c>
      <c r="D225" s="148" t="str">
        <v/>
      </c>
      <c r="E225" s="148" t="str">
        <v/>
      </c>
      <c r="F225" s="148" t="str">
        <v/>
      </c>
      <c r="G225" s="268" t="str">
        <v/>
      </c>
      <c r="H225" s="255"/>
      <c r="I225" s="255"/>
      <c r="J225" s="255"/>
      <c r="K225" s="255"/>
      <c r="L225" s="255"/>
      <c r="M225" s="255"/>
      <c r="N225" s="255"/>
      <c r="O225" s="255"/>
      <c r="P225" s="255"/>
      <c r="Q225" s="255"/>
      <c r="R225" s="255"/>
      <c r="S225" s="255"/>
      <c r="T225" s="255"/>
      <c r="U225" s="255"/>
      <c r="V225" s="255"/>
      <c r="W225" s="255"/>
      <c r="X225" s="255"/>
      <c r="Y225" s="255"/>
      <c r="Z225" s="255"/>
      <c r="AA225" s="255"/>
      <c r="AB225" s="255"/>
      <c r="AC225" s="255"/>
      <c r="AD225" s="255"/>
      <c r="AE225" s="255"/>
      <c r="AF225" s="255"/>
      <c r="AG225" s="255"/>
      <c r="AH225" s="255"/>
      <c r="AI225" s="255"/>
      <c r="AJ225" s="255"/>
      <c r="AK225" s="255"/>
      <c r="AL225" s="255"/>
      <c r="AM225" s="255"/>
      <c r="AN225" s="255"/>
      <c r="AO225" s="255"/>
      <c r="AP225" s="255"/>
      <c r="AQ225" s="255"/>
      <c r="AR225" s="255"/>
      <c r="AS225" s="255"/>
      <c r="AT225" s="255"/>
      <c r="AU225" s="255"/>
      <c r="AV225" s="255"/>
      <c r="AW225" s="255"/>
      <c r="AX225" s="255"/>
      <c r="AY225" s="255"/>
      <c r="AZ225" s="255"/>
      <c r="BA225" s="255"/>
      <c r="BB225" s="255"/>
      <c r="BC225" s="255"/>
      <c r="BD225" s="255"/>
      <c r="BE225" s="255"/>
      <c r="BF225" s="255"/>
      <c r="BG225" s="255"/>
      <c r="BH225" s="255"/>
      <c r="BI225" s="255"/>
      <c r="BJ225" s="255"/>
      <c r="BK225" s="255"/>
      <c r="BL225" s="255"/>
      <c r="BM225" s="255"/>
      <c r="BN225" s="255"/>
      <c r="BO225" s="255"/>
      <c r="BP225" s="255"/>
      <c r="BQ225" s="255"/>
      <c r="BR225" s="255"/>
      <c r="BS225" s="255"/>
      <c r="BT225" s="255"/>
      <c r="BU225" s="255"/>
      <c r="BV225" s="255"/>
      <c r="BW225" s="255"/>
      <c r="BX225" s="255"/>
      <c r="BY225" s="255"/>
      <c r="BZ225" s="255"/>
      <c r="CA225" s="255"/>
      <c r="CB225" s="255"/>
      <c r="CC225" s="255"/>
      <c r="CD225" s="255"/>
      <c r="CE225" s="255"/>
      <c r="CF225" s="255"/>
      <c r="CG225" s="255"/>
      <c r="CH225" s="255"/>
      <c r="CI225" s="255"/>
      <c r="CJ225" s="255"/>
      <c r="CK225" s="255"/>
      <c r="CL225" s="255"/>
      <c r="CM225" s="255"/>
      <c r="CN225" s="255"/>
      <c r="CO225" s="255"/>
      <c r="CP225" s="255"/>
      <c r="CQ225" s="255"/>
      <c r="CR225" s="255"/>
      <c r="CS225" s="255"/>
      <c r="CT225" s="255"/>
      <c r="CU225" s="255"/>
      <c r="CV225" s="255"/>
      <c r="CW225" s="255"/>
      <c r="CX225" s="255"/>
      <c r="CY225" s="255"/>
      <c r="CZ225" s="255"/>
      <c r="DA225" s="255"/>
      <c r="DB225" s="255"/>
      <c r="DC225" s="255"/>
      <c r="DD225" s="255"/>
      <c r="DE225" s="255"/>
      <c r="DF225" s="255"/>
      <c r="DG225" s="255"/>
      <c r="DH225" s="255"/>
      <c r="DI225" s="255"/>
      <c r="DJ225" s="255"/>
      <c r="DK225" s="255"/>
      <c r="DL225" s="255"/>
      <c r="DM225" s="255"/>
      <c r="DN225" s="255"/>
      <c r="DO225" s="255"/>
      <c r="DP225" s="255"/>
      <c r="DQ225" s="255"/>
      <c r="DR225" s="255"/>
      <c r="DS225" s="255"/>
      <c r="DT225" s="255"/>
      <c r="DU225" s="255"/>
      <c r="DV225" s="255"/>
      <c r="DW225" s="191"/>
      <c r="DX225" s="255"/>
      <c r="DY225" s="255"/>
      <c r="DZ225" s="255"/>
      <c r="EA225" s="255"/>
      <c r="EB225" s="255"/>
      <c r="EC225" s="255"/>
      <c r="ED225" s="255"/>
      <c r="EE225" s="255"/>
      <c r="EF225" s="255"/>
      <c r="EG225" s="255"/>
      <c r="EH225" s="255"/>
      <c r="EI225" s="255"/>
      <c r="EJ225" s="255"/>
      <c r="EK225" s="255"/>
      <c r="EL225" s="255"/>
      <c r="EM225" s="255"/>
      <c r="EN225" s="255"/>
      <c r="EO225" s="255"/>
      <c r="EP225" s="255"/>
      <c r="EQ225" s="255"/>
      <c r="ER225" s="191"/>
      <c r="ES225" s="255"/>
      <c r="ET225" s="255"/>
      <c r="EU225" s="255"/>
      <c r="EV225" s="255"/>
      <c r="EW225" s="255"/>
      <c r="EX225" s="255"/>
      <c r="EY225" s="255"/>
      <c r="EZ225" s="255"/>
      <c r="FA225" s="255"/>
      <c r="FB225" s="255"/>
      <c r="FC225" s="255"/>
      <c r="FD225" s="255"/>
      <c r="FE225" s="255"/>
      <c r="FF225" s="255"/>
      <c r="FG225" s="255"/>
      <c r="FH225" s="255"/>
      <c r="FI225" s="255"/>
      <c r="FJ225" s="255"/>
      <c r="FK225" s="255"/>
      <c r="FL225" s="255"/>
      <c r="FM225" s="255"/>
      <c r="FN225" s="255"/>
      <c r="FO225" s="255"/>
      <c r="FP225" s="255"/>
      <c r="FQ225" s="255"/>
      <c r="FR225" s="255"/>
      <c r="FS225" s="255"/>
      <c r="FT225" s="255"/>
      <c r="FU225" s="255"/>
      <c r="FV225" s="255"/>
      <c r="FW225" s="255"/>
      <c r="FX225" s="255"/>
      <c r="FY225" s="255"/>
      <c r="FZ225" s="255"/>
      <c r="GA225" s="255"/>
      <c r="GB225" s="255"/>
      <c r="GC225" s="255"/>
      <c r="GD225" s="255"/>
      <c r="GE225" s="255"/>
      <c r="GF225" s="255"/>
      <c r="GG225" s="255"/>
      <c r="GH225" s="255"/>
      <c r="GI225" s="255"/>
      <c r="GJ225" s="255"/>
      <c r="GK225" s="255"/>
      <c r="GL225" s="255"/>
      <c r="GM225" s="255"/>
      <c r="GN225" s="255"/>
      <c r="GO225" s="255"/>
      <c r="GP225" s="255"/>
      <c r="GQ225" s="255"/>
      <c r="GR225" s="255"/>
      <c r="GS225" s="255"/>
      <c r="GT225" s="255"/>
      <c r="GU225" s="255"/>
      <c r="GV225" s="255"/>
      <c r="GW225" s="255"/>
      <c r="GX225" s="255"/>
      <c r="GY225" s="255"/>
      <c r="GZ225" s="255"/>
      <c r="HA225" s="255"/>
      <c r="HB225" s="255"/>
      <c r="HC225" s="255"/>
      <c r="HD225" s="255"/>
      <c r="HE225" s="255"/>
      <c r="HF225" s="255"/>
      <c r="HG225" s="255"/>
      <c r="HH225" s="255"/>
      <c r="HI225" s="255"/>
      <c r="HJ225" s="255"/>
      <c r="HK225" s="255"/>
      <c r="HL225" s="255"/>
      <c r="HM225" s="255"/>
      <c r="HN225" s="255"/>
      <c r="HO225" s="255"/>
      <c r="HP225" s="255"/>
      <c r="HQ225" s="255"/>
      <c r="HR225" s="255"/>
      <c r="HS225" s="255"/>
      <c r="HT225" s="255"/>
      <c r="HU225" s="255"/>
      <c r="HV225" s="255"/>
      <c r="HW225" s="255"/>
      <c r="HX225" s="255"/>
      <c r="HY225" s="255"/>
      <c r="HZ225" s="255"/>
      <c r="IA225" s="255"/>
      <c r="IB225" s="255"/>
      <c r="IC225" s="255"/>
      <c r="ID225" s="255"/>
      <c r="IE225" s="255"/>
      <c r="IF225" s="255"/>
      <c r="IG225" s="255"/>
      <c r="IH225" s="255"/>
      <c r="II225" s="255"/>
      <c r="IJ225" s="255"/>
      <c r="IK225" s="255"/>
      <c r="IL225" s="255"/>
      <c r="IM225" s="255"/>
      <c r="IN225" s="255"/>
      <c r="IO225" s="255"/>
      <c r="IP225" s="255"/>
      <c r="IQ225" s="255"/>
      <c r="IR225" s="255"/>
      <c r="IS225" s="255"/>
      <c r="IT225" s="255"/>
      <c r="IU225" s="255"/>
      <c r="IV225" s="255"/>
      <c r="IW225" s="255"/>
      <c r="IX225" s="255"/>
      <c r="IY225" s="255"/>
      <c r="IZ225" s="255"/>
      <c r="JA225" s="255"/>
      <c r="JB225" s="255"/>
      <c r="JC225" s="255"/>
      <c r="JD225" s="255"/>
      <c r="JE225" s="255"/>
      <c r="JF225" s="255"/>
      <c r="JG225" s="191"/>
      <c r="JH225" s="255"/>
      <c r="JI225" s="255"/>
      <c r="JJ225" s="255"/>
      <c r="JK225" s="255"/>
      <c r="JL225" s="255"/>
      <c r="JM225" s="255"/>
      <c r="JN225" s="255"/>
      <c r="JO225" s="255"/>
      <c r="JP225" s="255"/>
      <c r="JQ225" s="255"/>
      <c r="JR225" s="255"/>
      <c r="JS225" s="255"/>
      <c r="JT225" s="255"/>
      <c r="JU225" s="255"/>
      <c r="JV225" s="255"/>
      <c r="JW225" s="255"/>
      <c r="JX225" s="255"/>
      <c r="JY225" s="255"/>
      <c r="JZ225" s="255"/>
      <c r="KA225" s="255"/>
      <c r="KB225" s="191"/>
    </row>
    <row r="226" spans="2:288" ht="15" customHeight="1" x14ac:dyDescent="0.35">
      <c r="B226" s="146" t="str">
        <f t="shared" si="22"/>
        <v>Desk 10</v>
      </c>
      <c r="C226" s="148" t="str">
        <v/>
      </c>
      <c r="D226" s="148" t="str">
        <v/>
      </c>
      <c r="E226" s="148" t="str">
        <v/>
      </c>
      <c r="F226" s="148" t="str">
        <v/>
      </c>
      <c r="G226" s="268" t="str">
        <v/>
      </c>
      <c r="H226" s="255"/>
      <c r="I226" s="255"/>
      <c r="J226" s="255"/>
      <c r="K226" s="255"/>
      <c r="L226" s="255"/>
      <c r="M226" s="255"/>
      <c r="N226" s="255"/>
      <c r="O226" s="255"/>
      <c r="P226" s="255"/>
      <c r="Q226" s="255"/>
      <c r="R226" s="255"/>
      <c r="S226" s="255"/>
      <c r="T226" s="255"/>
      <c r="U226" s="255"/>
      <c r="V226" s="255"/>
      <c r="W226" s="255"/>
      <c r="X226" s="255"/>
      <c r="Y226" s="255"/>
      <c r="Z226" s="255"/>
      <c r="AA226" s="255"/>
      <c r="AB226" s="255"/>
      <c r="AC226" s="255"/>
      <c r="AD226" s="255"/>
      <c r="AE226" s="255"/>
      <c r="AF226" s="255"/>
      <c r="AG226" s="255"/>
      <c r="AH226" s="255"/>
      <c r="AI226" s="255"/>
      <c r="AJ226" s="255"/>
      <c r="AK226" s="255"/>
      <c r="AL226" s="255"/>
      <c r="AM226" s="255"/>
      <c r="AN226" s="255"/>
      <c r="AO226" s="255"/>
      <c r="AP226" s="255"/>
      <c r="AQ226" s="255"/>
      <c r="AR226" s="255"/>
      <c r="AS226" s="255"/>
      <c r="AT226" s="255"/>
      <c r="AU226" s="255"/>
      <c r="AV226" s="255"/>
      <c r="AW226" s="255"/>
      <c r="AX226" s="255"/>
      <c r="AY226" s="255"/>
      <c r="AZ226" s="255"/>
      <c r="BA226" s="255"/>
      <c r="BB226" s="255"/>
      <c r="BC226" s="255"/>
      <c r="BD226" s="255"/>
      <c r="BE226" s="255"/>
      <c r="BF226" s="255"/>
      <c r="BG226" s="255"/>
      <c r="BH226" s="255"/>
      <c r="BI226" s="255"/>
      <c r="BJ226" s="255"/>
      <c r="BK226" s="255"/>
      <c r="BL226" s="255"/>
      <c r="BM226" s="255"/>
      <c r="BN226" s="255"/>
      <c r="BO226" s="255"/>
      <c r="BP226" s="255"/>
      <c r="BQ226" s="255"/>
      <c r="BR226" s="255"/>
      <c r="BS226" s="255"/>
      <c r="BT226" s="255"/>
      <c r="BU226" s="255"/>
      <c r="BV226" s="255"/>
      <c r="BW226" s="255"/>
      <c r="BX226" s="255"/>
      <c r="BY226" s="255"/>
      <c r="BZ226" s="255"/>
      <c r="CA226" s="255"/>
      <c r="CB226" s="255"/>
      <c r="CC226" s="255"/>
      <c r="CD226" s="255"/>
      <c r="CE226" s="255"/>
      <c r="CF226" s="255"/>
      <c r="CG226" s="255"/>
      <c r="CH226" s="255"/>
      <c r="CI226" s="255"/>
      <c r="CJ226" s="255"/>
      <c r="CK226" s="255"/>
      <c r="CL226" s="255"/>
      <c r="CM226" s="255"/>
      <c r="CN226" s="255"/>
      <c r="CO226" s="255"/>
      <c r="CP226" s="255"/>
      <c r="CQ226" s="255"/>
      <c r="CR226" s="255"/>
      <c r="CS226" s="255"/>
      <c r="CT226" s="255"/>
      <c r="CU226" s="255"/>
      <c r="CV226" s="255"/>
      <c r="CW226" s="255"/>
      <c r="CX226" s="255"/>
      <c r="CY226" s="255"/>
      <c r="CZ226" s="255"/>
      <c r="DA226" s="255"/>
      <c r="DB226" s="255"/>
      <c r="DC226" s="255"/>
      <c r="DD226" s="255"/>
      <c r="DE226" s="255"/>
      <c r="DF226" s="255"/>
      <c r="DG226" s="255"/>
      <c r="DH226" s="255"/>
      <c r="DI226" s="255"/>
      <c r="DJ226" s="255"/>
      <c r="DK226" s="255"/>
      <c r="DL226" s="255"/>
      <c r="DM226" s="255"/>
      <c r="DN226" s="255"/>
      <c r="DO226" s="255"/>
      <c r="DP226" s="255"/>
      <c r="DQ226" s="255"/>
      <c r="DR226" s="255"/>
      <c r="DS226" s="255"/>
      <c r="DT226" s="255"/>
      <c r="DU226" s="255"/>
      <c r="DV226" s="255"/>
      <c r="DW226" s="191"/>
      <c r="DX226" s="255"/>
      <c r="DY226" s="255"/>
      <c r="DZ226" s="255"/>
      <c r="EA226" s="255"/>
      <c r="EB226" s="255"/>
      <c r="EC226" s="255"/>
      <c r="ED226" s="255"/>
      <c r="EE226" s="255"/>
      <c r="EF226" s="255"/>
      <c r="EG226" s="255"/>
      <c r="EH226" s="255"/>
      <c r="EI226" s="255"/>
      <c r="EJ226" s="255"/>
      <c r="EK226" s="255"/>
      <c r="EL226" s="255"/>
      <c r="EM226" s="255"/>
      <c r="EN226" s="255"/>
      <c r="EO226" s="255"/>
      <c r="EP226" s="255"/>
      <c r="EQ226" s="255"/>
      <c r="ER226" s="191"/>
      <c r="ES226" s="255"/>
      <c r="ET226" s="255"/>
      <c r="EU226" s="255"/>
      <c r="EV226" s="255"/>
      <c r="EW226" s="255"/>
      <c r="EX226" s="255"/>
      <c r="EY226" s="255"/>
      <c r="EZ226" s="255"/>
      <c r="FA226" s="255"/>
      <c r="FB226" s="255"/>
      <c r="FC226" s="255"/>
      <c r="FD226" s="255"/>
      <c r="FE226" s="255"/>
      <c r="FF226" s="255"/>
      <c r="FG226" s="255"/>
      <c r="FH226" s="255"/>
      <c r="FI226" s="255"/>
      <c r="FJ226" s="255"/>
      <c r="FK226" s="255"/>
      <c r="FL226" s="255"/>
      <c r="FM226" s="255"/>
      <c r="FN226" s="255"/>
      <c r="FO226" s="255"/>
      <c r="FP226" s="255"/>
      <c r="FQ226" s="255"/>
      <c r="FR226" s="255"/>
      <c r="FS226" s="255"/>
      <c r="FT226" s="255"/>
      <c r="FU226" s="255"/>
      <c r="FV226" s="255"/>
      <c r="FW226" s="255"/>
      <c r="FX226" s="255"/>
      <c r="FY226" s="255"/>
      <c r="FZ226" s="255"/>
      <c r="GA226" s="255"/>
      <c r="GB226" s="255"/>
      <c r="GC226" s="255"/>
      <c r="GD226" s="255"/>
      <c r="GE226" s="255"/>
      <c r="GF226" s="255"/>
      <c r="GG226" s="255"/>
      <c r="GH226" s="255"/>
      <c r="GI226" s="255"/>
      <c r="GJ226" s="255"/>
      <c r="GK226" s="255"/>
      <c r="GL226" s="255"/>
      <c r="GM226" s="255"/>
      <c r="GN226" s="255"/>
      <c r="GO226" s="255"/>
      <c r="GP226" s="255"/>
      <c r="GQ226" s="255"/>
      <c r="GR226" s="255"/>
      <c r="GS226" s="255"/>
      <c r="GT226" s="255"/>
      <c r="GU226" s="255"/>
      <c r="GV226" s="255"/>
      <c r="GW226" s="255"/>
      <c r="GX226" s="255"/>
      <c r="GY226" s="255"/>
      <c r="GZ226" s="255"/>
      <c r="HA226" s="255"/>
      <c r="HB226" s="255"/>
      <c r="HC226" s="255"/>
      <c r="HD226" s="255"/>
      <c r="HE226" s="255"/>
      <c r="HF226" s="255"/>
      <c r="HG226" s="255"/>
      <c r="HH226" s="255"/>
      <c r="HI226" s="255"/>
      <c r="HJ226" s="255"/>
      <c r="HK226" s="255"/>
      <c r="HL226" s="255"/>
      <c r="HM226" s="255"/>
      <c r="HN226" s="255"/>
      <c r="HO226" s="255"/>
      <c r="HP226" s="255"/>
      <c r="HQ226" s="255"/>
      <c r="HR226" s="255"/>
      <c r="HS226" s="255"/>
      <c r="HT226" s="255"/>
      <c r="HU226" s="255"/>
      <c r="HV226" s="255"/>
      <c r="HW226" s="255"/>
      <c r="HX226" s="255"/>
      <c r="HY226" s="255"/>
      <c r="HZ226" s="255"/>
      <c r="IA226" s="255"/>
      <c r="IB226" s="255"/>
      <c r="IC226" s="255"/>
      <c r="ID226" s="255"/>
      <c r="IE226" s="255"/>
      <c r="IF226" s="255"/>
      <c r="IG226" s="255"/>
      <c r="IH226" s="255"/>
      <c r="II226" s="255"/>
      <c r="IJ226" s="255"/>
      <c r="IK226" s="255"/>
      <c r="IL226" s="255"/>
      <c r="IM226" s="255"/>
      <c r="IN226" s="255"/>
      <c r="IO226" s="255"/>
      <c r="IP226" s="255"/>
      <c r="IQ226" s="255"/>
      <c r="IR226" s="255"/>
      <c r="IS226" s="255"/>
      <c r="IT226" s="255"/>
      <c r="IU226" s="255"/>
      <c r="IV226" s="255"/>
      <c r="IW226" s="255"/>
      <c r="IX226" s="255"/>
      <c r="IY226" s="255"/>
      <c r="IZ226" s="255"/>
      <c r="JA226" s="255"/>
      <c r="JB226" s="255"/>
      <c r="JC226" s="255"/>
      <c r="JD226" s="255"/>
      <c r="JE226" s="255"/>
      <c r="JF226" s="255"/>
      <c r="JG226" s="191"/>
      <c r="JH226" s="255"/>
      <c r="JI226" s="255"/>
      <c r="JJ226" s="255"/>
      <c r="JK226" s="255"/>
      <c r="JL226" s="255"/>
      <c r="JM226" s="255"/>
      <c r="JN226" s="255"/>
      <c r="JO226" s="255"/>
      <c r="JP226" s="255"/>
      <c r="JQ226" s="255"/>
      <c r="JR226" s="255"/>
      <c r="JS226" s="255"/>
      <c r="JT226" s="255"/>
      <c r="JU226" s="255"/>
      <c r="JV226" s="255"/>
      <c r="JW226" s="255"/>
      <c r="JX226" s="255"/>
      <c r="JY226" s="255"/>
      <c r="JZ226" s="255"/>
      <c r="KA226" s="255"/>
      <c r="KB226" s="191"/>
    </row>
    <row r="227" spans="2:288" ht="15" customHeight="1" x14ac:dyDescent="0.35">
      <c r="B227" s="146" t="str">
        <f t="shared" si="22"/>
        <v>Desk 11</v>
      </c>
      <c r="C227" s="148" t="str">
        <v/>
      </c>
      <c r="D227" s="148" t="str">
        <v/>
      </c>
      <c r="E227" s="148" t="str">
        <v/>
      </c>
      <c r="F227" s="148" t="str">
        <v/>
      </c>
      <c r="G227" s="268" t="str">
        <v/>
      </c>
      <c r="H227" s="255"/>
      <c r="I227" s="255"/>
      <c r="J227" s="255"/>
      <c r="K227" s="255"/>
      <c r="L227" s="255"/>
      <c r="M227" s="255"/>
      <c r="N227" s="255"/>
      <c r="O227" s="255"/>
      <c r="P227" s="255"/>
      <c r="Q227" s="255"/>
      <c r="R227" s="255"/>
      <c r="S227" s="255"/>
      <c r="T227" s="255"/>
      <c r="U227" s="255"/>
      <c r="V227" s="255"/>
      <c r="W227" s="255"/>
      <c r="X227" s="255"/>
      <c r="Y227" s="255"/>
      <c r="Z227" s="255"/>
      <c r="AA227" s="255"/>
      <c r="AB227" s="255"/>
      <c r="AC227" s="255"/>
      <c r="AD227" s="255"/>
      <c r="AE227" s="255"/>
      <c r="AF227" s="255"/>
      <c r="AG227" s="255"/>
      <c r="AH227" s="255"/>
      <c r="AI227" s="255"/>
      <c r="AJ227" s="255"/>
      <c r="AK227" s="255"/>
      <c r="AL227" s="255"/>
      <c r="AM227" s="255"/>
      <c r="AN227" s="255"/>
      <c r="AO227" s="255"/>
      <c r="AP227" s="255"/>
      <c r="AQ227" s="255"/>
      <c r="AR227" s="255"/>
      <c r="AS227" s="255"/>
      <c r="AT227" s="255"/>
      <c r="AU227" s="255"/>
      <c r="AV227" s="255"/>
      <c r="AW227" s="255"/>
      <c r="AX227" s="255"/>
      <c r="AY227" s="255"/>
      <c r="AZ227" s="255"/>
      <c r="BA227" s="255"/>
      <c r="BB227" s="255"/>
      <c r="BC227" s="255"/>
      <c r="BD227" s="255"/>
      <c r="BE227" s="255"/>
      <c r="BF227" s="255"/>
      <c r="BG227" s="255"/>
      <c r="BH227" s="255"/>
      <c r="BI227" s="255"/>
      <c r="BJ227" s="255"/>
      <c r="BK227" s="255"/>
      <c r="BL227" s="255"/>
      <c r="BM227" s="255"/>
      <c r="BN227" s="255"/>
      <c r="BO227" s="255"/>
      <c r="BP227" s="255"/>
      <c r="BQ227" s="255"/>
      <c r="BR227" s="255"/>
      <c r="BS227" s="255"/>
      <c r="BT227" s="255"/>
      <c r="BU227" s="255"/>
      <c r="BV227" s="255"/>
      <c r="BW227" s="255"/>
      <c r="BX227" s="255"/>
      <c r="BY227" s="255"/>
      <c r="BZ227" s="255"/>
      <c r="CA227" s="255"/>
      <c r="CB227" s="255"/>
      <c r="CC227" s="255"/>
      <c r="CD227" s="255"/>
      <c r="CE227" s="255"/>
      <c r="CF227" s="255"/>
      <c r="CG227" s="255"/>
      <c r="CH227" s="255"/>
      <c r="CI227" s="255"/>
      <c r="CJ227" s="255"/>
      <c r="CK227" s="255"/>
      <c r="CL227" s="255"/>
      <c r="CM227" s="255"/>
      <c r="CN227" s="255"/>
      <c r="CO227" s="255"/>
      <c r="CP227" s="255"/>
      <c r="CQ227" s="255"/>
      <c r="CR227" s="255"/>
      <c r="CS227" s="255"/>
      <c r="CT227" s="255"/>
      <c r="CU227" s="255"/>
      <c r="CV227" s="255"/>
      <c r="CW227" s="255"/>
      <c r="CX227" s="255"/>
      <c r="CY227" s="255"/>
      <c r="CZ227" s="255"/>
      <c r="DA227" s="255"/>
      <c r="DB227" s="255"/>
      <c r="DC227" s="255"/>
      <c r="DD227" s="255"/>
      <c r="DE227" s="255"/>
      <c r="DF227" s="255"/>
      <c r="DG227" s="255"/>
      <c r="DH227" s="255"/>
      <c r="DI227" s="255"/>
      <c r="DJ227" s="255"/>
      <c r="DK227" s="255"/>
      <c r="DL227" s="255"/>
      <c r="DM227" s="255"/>
      <c r="DN227" s="255"/>
      <c r="DO227" s="255"/>
      <c r="DP227" s="255"/>
      <c r="DQ227" s="255"/>
      <c r="DR227" s="255"/>
      <c r="DS227" s="255"/>
      <c r="DT227" s="255"/>
      <c r="DU227" s="255"/>
      <c r="DV227" s="255"/>
      <c r="DW227" s="191"/>
      <c r="DX227" s="255"/>
      <c r="DY227" s="255"/>
      <c r="DZ227" s="255"/>
      <c r="EA227" s="255"/>
      <c r="EB227" s="255"/>
      <c r="EC227" s="255"/>
      <c r="ED227" s="255"/>
      <c r="EE227" s="255"/>
      <c r="EF227" s="255"/>
      <c r="EG227" s="255"/>
      <c r="EH227" s="255"/>
      <c r="EI227" s="255"/>
      <c r="EJ227" s="255"/>
      <c r="EK227" s="255"/>
      <c r="EL227" s="255"/>
      <c r="EM227" s="255"/>
      <c r="EN227" s="255"/>
      <c r="EO227" s="255"/>
      <c r="EP227" s="255"/>
      <c r="EQ227" s="255"/>
      <c r="ER227" s="191"/>
      <c r="ES227" s="255"/>
      <c r="ET227" s="255"/>
      <c r="EU227" s="255"/>
      <c r="EV227" s="255"/>
      <c r="EW227" s="255"/>
      <c r="EX227" s="255"/>
      <c r="EY227" s="255"/>
      <c r="EZ227" s="255"/>
      <c r="FA227" s="255"/>
      <c r="FB227" s="255"/>
      <c r="FC227" s="255"/>
      <c r="FD227" s="255"/>
      <c r="FE227" s="255"/>
      <c r="FF227" s="255"/>
      <c r="FG227" s="255"/>
      <c r="FH227" s="255"/>
      <c r="FI227" s="255"/>
      <c r="FJ227" s="255"/>
      <c r="FK227" s="255"/>
      <c r="FL227" s="255"/>
      <c r="FM227" s="255"/>
      <c r="FN227" s="255"/>
      <c r="FO227" s="255"/>
      <c r="FP227" s="255"/>
      <c r="FQ227" s="255"/>
      <c r="FR227" s="255"/>
      <c r="FS227" s="255"/>
      <c r="FT227" s="255"/>
      <c r="FU227" s="255"/>
      <c r="FV227" s="255"/>
      <c r="FW227" s="255"/>
      <c r="FX227" s="255"/>
      <c r="FY227" s="255"/>
      <c r="FZ227" s="255"/>
      <c r="GA227" s="255"/>
      <c r="GB227" s="255"/>
      <c r="GC227" s="255"/>
      <c r="GD227" s="255"/>
      <c r="GE227" s="255"/>
      <c r="GF227" s="255"/>
      <c r="GG227" s="255"/>
      <c r="GH227" s="255"/>
      <c r="GI227" s="255"/>
      <c r="GJ227" s="255"/>
      <c r="GK227" s="255"/>
      <c r="GL227" s="255"/>
      <c r="GM227" s="255"/>
      <c r="GN227" s="255"/>
      <c r="GO227" s="255"/>
      <c r="GP227" s="255"/>
      <c r="GQ227" s="255"/>
      <c r="GR227" s="255"/>
      <c r="GS227" s="255"/>
      <c r="GT227" s="255"/>
      <c r="GU227" s="255"/>
      <c r="GV227" s="255"/>
      <c r="GW227" s="255"/>
      <c r="GX227" s="255"/>
      <c r="GY227" s="255"/>
      <c r="GZ227" s="255"/>
      <c r="HA227" s="255"/>
      <c r="HB227" s="255"/>
      <c r="HC227" s="255"/>
      <c r="HD227" s="255"/>
      <c r="HE227" s="255"/>
      <c r="HF227" s="255"/>
      <c r="HG227" s="255"/>
      <c r="HH227" s="255"/>
      <c r="HI227" s="255"/>
      <c r="HJ227" s="255"/>
      <c r="HK227" s="255"/>
      <c r="HL227" s="255"/>
      <c r="HM227" s="255"/>
      <c r="HN227" s="255"/>
      <c r="HO227" s="255"/>
      <c r="HP227" s="255"/>
      <c r="HQ227" s="255"/>
      <c r="HR227" s="255"/>
      <c r="HS227" s="255"/>
      <c r="HT227" s="255"/>
      <c r="HU227" s="255"/>
      <c r="HV227" s="255"/>
      <c r="HW227" s="255"/>
      <c r="HX227" s="255"/>
      <c r="HY227" s="255"/>
      <c r="HZ227" s="255"/>
      <c r="IA227" s="255"/>
      <c r="IB227" s="255"/>
      <c r="IC227" s="255"/>
      <c r="ID227" s="255"/>
      <c r="IE227" s="255"/>
      <c r="IF227" s="255"/>
      <c r="IG227" s="255"/>
      <c r="IH227" s="255"/>
      <c r="II227" s="255"/>
      <c r="IJ227" s="255"/>
      <c r="IK227" s="255"/>
      <c r="IL227" s="255"/>
      <c r="IM227" s="255"/>
      <c r="IN227" s="255"/>
      <c r="IO227" s="255"/>
      <c r="IP227" s="255"/>
      <c r="IQ227" s="255"/>
      <c r="IR227" s="255"/>
      <c r="IS227" s="255"/>
      <c r="IT227" s="255"/>
      <c r="IU227" s="255"/>
      <c r="IV227" s="255"/>
      <c r="IW227" s="255"/>
      <c r="IX227" s="255"/>
      <c r="IY227" s="255"/>
      <c r="IZ227" s="255"/>
      <c r="JA227" s="255"/>
      <c r="JB227" s="255"/>
      <c r="JC227" s="255"/>
      <c r="JD227" s="255"/>
      <c r="JE227" s="255"/>
      <c r="JF227" s="255"/>
      <c r="JG227" s="191"/>
      <c r="JH227" s="255"/>
      <c r="JI227" s="255"/>
      <c r="JJ227" s="255"/>
      <c r="JK227" s="255"/>
      <c r="JL227" s="255"/>
      <c r="JM227" s="255"/>
      <c r="JN227" s="255"/>
      <c r="JO227" s="255"/>
      <c r="JP227" s="255"/>
      <c r="JQ227" s="255"/>
      <c r="JR227" s="255"/>
      <c r="JS227" s="255"/>
      <c r="JT227" s="255"/>
      <c r="JU227" s="255"/>
      <c r="JV227" s="255"/>
      <c r="JW227" s="255"/>
      <c r="JX227" s="255"/>
      <c r="JY227" s="255"/>
      <c r="JZ227" s="255"/>
      <c r="KA227" s="255"/>
      <c r="KB227" s="191"/>
    </row>
    <row r="228" spans="2:288" ht="15" customHeight="1" x14ac:dyDescent="0.35">
      <c r="B228" s="146" t="str">
        <f t="shared" si="22"/>
        <v>Desk 12</v>
      </c>
      <c r="C228" s="148" t="str">
        <v/>
      </c>
      <c r="D228" s="148" t="str">
        <v/>
      </c>
      <c r="E228" s="148" t="str">
        <v/>
      </c>
      <c r="F228" s="148" t="str">
        <v/>
      </c>
      <c r="G228" s="268" t="str">
        <v/>
      </c>
      <c r="H228" s="255"/>
      <c r="I228" s="255"/>
      <c r="J228" s="255"/>
      <c r="K228" s="255"/>
      <c r="L228" s="255"/>
      <c r="M228" s="255"/>
      <c r="N228" s="255"/>
      <c r="O228" s="255"/>
      <c r="P228" s="255"/>
      <c r="Q228" s="255"/>
      <c r="R228" s="255"/>
      <c r="S228" s="255"/>
      <c r="T228" s="255"/>
      <c r="U228" s="255"/>
      <c r="V228" s="255"/>
      <c r="W228" s="255"/>
      <c r="X228" s="255"/>
      <c r="Y228" s="255"/>
      <c r="Z228" s="255"/>
      <c r="AA228" s="255"/>
      <c r="AB228" s="255"/>
      <c r="AC228" s="255"/>
      <c r="AD228" s="255"/>
      <c r="AE228" s="255"/>
      <c r="AF228" s="255"/>
      <c r="AG228" s="255"/>
      <c r="AH228" s="255"/>
      <c r="AI228" s="255"/>
      <c r="AJ228" s="255"/>
      <c r="AK228" s="255"/>
      <c r="AL228" s="255"/>
      <c r="AM228" s="255"/>
      <c r="AN228" s="255"/>
      <c r="AO228" s="255"/>
      <c r="AP228" s="255"/>
      <c r="AQ228" s="255"/>
      <c r="AR228" s="255"/>
      <c r="AS228" s="255"/>
      <c r="AT228" s="255"/>
      <c r="AU228" s="255"/>
      <c r="AV228" s="255"/>
      <c r="AW228" s="255"/>
      <c r="AX228" s="255"/>
      <c r="AY228" s="255"/>
      <c r="AZ228" s="255"/>
      <c r="BA228" s="255"/>
      <c r="BB228" s="255"/>
      <c r="BC228" s="255"/>
      <c r="BD228" s="255"/>
      <c r="BE228" s="255"/>
      <c r="BF228" s="255"/>
      <c r="BG228" s="255"/>
      <c r="BH228" s="255"/>
      <c r="BI228" s="255"/>
      <c r="BJ228" s="255"/>
      <c r="BK228" s="255"/>
      <c r="BL228" s="255"/>
      <c r="BM228" s="255"/>
      <c r="BN228" s="255"/>
      <c r="BO228" s="255"/>
      <c r="BP228" s="255"/>
      <c r="BQ228" s="255"/>
      <c r="BR228" s="255"/>
      <c r="BS228" s="255"/>
      <c r="BT228" s="255"/>
      <c r="BU228" s="255"/>
      <c r="BV228" s="255"/>
      <c r="BW228" s="255"/>
      <c r="BX228" s="255"/>
      <c r="BY228" s="255"/>
      <c r="BZ228" s="255"/>
      <c r="CA228" s="255"/>
      <c r="CB228" s="255"/>
      <c r="CC228" s="255"/>
      <c r="CD228" s="255"/>
      <c r="CE228" s="255"/>
      <c r="CF228" s="255"/>
      <c r="CG228" s="255"/>
      <c r="CH228" s="255"/>
      <c r="CI228" s="255"/>
      <c r="CJ228" s="255"/>
      <c r="CK228" s="255"/>
      <c r="CL228" s="255"/>
      <c r="CM228" s="255"/>
      <c r="CN228" s="255"/>
      <c r="CO228" s="255"/>
      <c r="CP228" s="255"/>
      <c r="CQ228" s="255"/>
      <c r="CR228" s="255"/>
      <c r="CS228" s="255"/>
      <c r="CT228" s="255"/>
      <c r="CU228" s="255"/>
      <c r="CV228" s="255"/>
      <c r="CW228" s="255"/>
      <c r="CX228" s="255"/>
      <c r="CY228" s="255"/>
      <c r="CZ228" s="255"/>
      <c r="DA228" s="255"/>
      <c r="DB228" s="255"/>
      <c r="DC228" s="255"/>
      <c r="DD228" s="255"/>
      <c r="DE228" s="255"/>
      <c r="DF228" s="255"/>
      <c r="DG228" s="255"/>
      <c r="DH228" s="255"/>
      <c r="DI228" s="255"/>
      <c r="DJ228" s="255"/>
      <c r="DK228" s="255"/>
      <c r="DL228" s="255"/>
      <c r="DM228" s="255"/>
      <c r="DN228" s="255"/>
      <c r="DO228" s="255"/>
      <c r="DP228" s="255"/>
      <c r="DQ228" s="255"/>
      <c r="DR228" s="255"/>
      <c r="DS228" s="255"/>
      <c r="DT228" s="255"/>
      <c r="DU228" s="255"/>
      <c r="DV228" s="255"/>
      <c r="DW228" s="191"/>
      <c r="DX228" s="255"/>
      <c r="DY228" s="255"/>
      <c r="DZ228" s="255"/>
      <c r="EA228" s="255"/>
      <c r="EB228" s="255"/>
      <c r="EC228" s="255"/>
      <c r="ED228" s="255"/>
      <c r="EE228" s="255"/>
      <c r="EF228" s="255"/>
      <c r="EG228" s="255"/>
      <c r="EH228" s="255"/>
      <c r="EI228" s="255"/>
      <c r="EJ228" s="255"/>
      <c r="EK228" s="255"/>
      <c r="EL228" s="255"/>
      <c r="EM228" s="255"/>
      <c r="EN228" s="255"/>
      <c r="EO228" s="255"/>
      <c r="EP228" s="255"/>
      <c r="EQ228" s="255"/>
      <c r="ER228" s="191"/>
      <c r="ES228" s="255"/>
      <c r="ET228" s="255"/>
      <c r="EU228" s="255"/>
      <c r="EV228" s="255"/>
      <c r="EW228" s="255"/>
      <c r="EX228" s="255"/>
      <c r="EY228" s="255"/>
      <c r="EZ228" s="255"/>
      <c r="FA228" s="255"/>
      <c r="FB228" s="255"/>
      <c r="FC228" s="255"/>
      <c r="FD228" s="255"/>
      <c r="FE228" s="255"/>
      <c r="FF228" s="255"/>
      <c r="FG228" s="255"/>
      <c r="FH228" s="255"/>
      <c r="FI228" s="255"/>
      <c r="FJ228" s="255"/>
      <c r="FK228" s="255"/>
      <c r="FL228" s="255"/>
      <c r="FM228" s="255"/>
      <c r="FN228" s="255"/>
      <c r="FO228" s="255"/>
      <c r="FP228" s="255"/>
      <c r="FQ228" s="255"/>
      <c r="FR228" s="255"/>
      <c r="FS228" s="255"/>
      <c r="FT228" s="255"/>
      <c r="FU228" s="255"/>
      <c r="FV228" s="255"/>
      <c r="FW228" s="255"/>
      <c r="FX228" s="255"/>
      <c r="FY228" s="255"/>
      <c r="FZ228" s="255"/>
      <c r="GA228" s="255"/>
      <c r="GB228" s="255"/>
      <c r="GC228" s="255"/>
      <c r="GD228" s="255"/>
      <c r="GE228" s="255"/>
      <c r="GF228" s="255"/>
      <c r="GG228" s="255"/>
      <c r="GH228" s="255"/>
      <c r="GI228" s="255"/>
      <c r="GJ228" s="255"/>
      <c r="GK228" s="255"/>
      <c r="GL228" s="255"/>
      <c r="GM228" s="255"/>
      <c r="GN228" s="255"/>
      <c r="GO228" s="255"/>
      <c r="GP228" s="255"/>
      <c r="GQ228" s="255"/>
      <c r="GR228" s="255"/>
      <c r="GS228" s="255"/>
      <c r="GT228" s="255"/>
      <c r="GU228" s="255"/>
      <c r="GV228" s="255"/>
      <c r="GW228" s="255"/>
      <c r="GX228" s="255"/>
      <c r="GY228" s="255"/>
      <c r="GZ228" s="255"/>
      <c r="HA228" s="255"/>
      <c r="HB228" s="255"/>
      <c r="HC228" s="255"/>
      <c r="HD228" s="255"/>
      <c r="HE228" s="255"/>
      <c r="HF228" s="255"/>
      <c r="HG228" s="255"/>
      <c r="HH228" s="255"/>
      <c r="HI228" s="255"/>
      <c r="HJ228" s="255"/>
      <c r="HK228" s="255"/>
      <c r="HL228" s="255"/>
      <c r="HM228" s="255"/>
      <c r="HN228" s="255"/>
      <c r="HO228" s="255"/>
      <c r="HP228" s="255"/>
      <c r="HQ228" s="255"/>
      <c r="HR228" s="255"/>
      <c r="HS228" s="255"/>
      <c r="HT228" s="255"/>
      <c r="HU228" s="255"/>
      <c r="HV228" s="255"/>
      <c r="HW228" s="255"/>
      <c r="HX228" s="255"/>
      <c r="HY228" s="255"/>
      <c r="HZ228" s="255"/>
      <c r="IA228" s="255"/>
      <c r="IB228" s="255"/>
      <c r="IC228" s="255"/>
      <c r="ID228" s="255"/>
      <c r="IE228" s="255"/>
      <c r="IF228" s="255"/>
      <c r="IG228" s="255"/>
      <c r="IH228" s="255"/>
      <c r="II228" s="255"/>
      <c r="IJ228" s="255"/>
      <c r="IK228" s="255"/>
      <c r="IL228" s="255"/>
      <c r="IM228" s="255"/>
      <c r="IN228" s="255"/>
      <c r="IO228" s="255"/>
      <c r="IP228" s="255"/>
      <c r="IQ228" s="255"/>
      <c r="IR228" s="255"/>
      <c r="IS228" s="255"/>
      <c r="IT228" s="255"/>
      <c r="IU228" s="255"/>
      <c r="IV228" s="255"/>
      <c r="IW228" s="255"/>
      <c r="IX228" s="255"/>
      <c r="IY228" s="255"/>
      <c r="IZ228" s="255"/>
      <c r="JA228" s="255"/>
      <c r="JB228" s="255"/>
      <c r="JC228" s="255"/>
      <c r="JD228" s="255"/>
      <c r="JE228" s="255"/>
      <c r="JF228" s="255"/>
      <c r="JG228" s="191"/>
      <c r="JH228" s="255"/>
      <c r="JI228" s="255"/>
      <c r="JJ228" s="255"/>
      <c r="JK228" s="255"/>
      <c r="JL228" s="255"/>
      <c r="JM228" s="255"/>
      <c r="JN228" s="255"/>
      <c r="JO228" s="255"/>
      <c r="JP228" s="255"/>
      <c r="JQ228" s="255"/>
      <c r="JR228" s="255"/>
      <c r="JS228" s="255"/>
      <c r="JT228" s="255"/>
      <c r="JU228" s="255"/>
      <c r="JV228" s="255"/>
      <c r="JW228" s="255"/>
      <c r="JX228" s="255"/>
      <c r="JY228" s="255"/>
      <c r="JZ228" s="255"/>
      <c r="KA228" s="255"/>
      <c r="KB228" s="191"/>
    </row>
    <row r="229" spans="2:288" ht="15" customHeight="1" x14ac:dyDescent="0.35">
      <c r="B229" s="146" t="str">
        <f t="shared" si="22"/>
        <v>Desk 13</v>
      </c>
      <c r="C229" s="148" t="str">
        <v/>
      </c>
      <c r="D229" s="148" t="str">
        <v/>
      </c>
      <c r="E229" s="148" t="str">
        <v/>
      </c>
      <c r="F229" s="148" t="str">
        <v/>
      </c>
      <c r="G229" s="268" t="str">
        <v/>
      </c>
      <c r="H229" s="255"/>
      <c r="I229" s="255"/>
      <c r="J229" s="255"/>
      <c r="K229" s="255"/>
      <c r="L229" s="255"/>
      <c r="M229" s="255"/>
      <c r="N229" s="255"/>
      <c r="O229" s="255"/>
      <c r="P229" s="255"/>
      <c r="Q229" s="255"/>
      <c r="R229" s="255"/>
      <c r="S229" s="255"/>
      <c r="T229" s="255"/>
      <c r="U229" s="255"/>
      <c r="V229" s="255"/>
      <c r="W229" s="255"/>
      <c r="X229" s="255"/>
      <c r="Y229" s="255"/>
      <c r="Z229" s="255"/>
      <c r="AA229" s="255"/>
      <c r="AB229" s="255"/>
      <c r="AC229" s="255"/>
      <c r="AD229" s="255"/>
      <c r="AE229" s="255"/>
      <c r="AF229" s="255"/>
      <c r="AG229" s="255"/>
      <c r="AH229" s="255"/>
      <c r="AI229" s="255"/>
      <c r="AJ229" s="255"/>
      <c r="AK229" s="255"/>
      <c r="AL229" s="255"/>
      <c r="AM229" s="255"/>
      <c r="AN229" s="255"/>
      <c r="AO229" s="255"/>
      <c r="AP229" s="255"/>
      <c r="AQ229" s="255"/>
      <c r="AR229" s="255"/>
      <c r="AS229" s="255"/>
      <c r="AT229" s="255"/>
      <c r="AU229" s="255"/>
      <c r="AV229" s="255"/>
      <c r="AW229" s="255"/>
      <c r="AX229" s="255"/>
      <c r="AY229" s="255"/>
      <c r="AZ229" s="255"/>
      <c r="BA229" s="255"/>
      <c r="BB229" s="255"/>
      <c r="BC229" s="255"/>
      <c r="BD229" s="255"/>
      <c r="BE229" s="255"/>
      <c r="BF229" s="255"/>
      <c r="BG229" s="255"/>
      <c r="BH229" s="255"/>
      <c r="BI229" s="255"/>
      <c r="BJ229" s="255"/>
      <c r="BK229" s="255"/>
      <c r="BL229" s="255"/>
      <c r="BM229" s="255"/>
      <c r="BN229" s="255"/>
      <c r="BO229" s="255"/>
      <c r="BP229" s="255"/>
      <c r="BQ229" s="255"/>
      <c r="BR229" s="255"/>
      <c r="BS229" s="255"/>
      <c r="BT229" s="255"/>
      <c r="BU229" s="255"/>
      <c r="BV229" s="255"/>
      <c r="BW229" s="255"/>
      <c r="BX229" s="255"/>
      <c r="BY229" s="255"/>
      <c r="BZ229" s="255"/>
      <c r="CA229" s="255"/>
      <c r="CB229" s="255"/>
      <c r="CC229" s="255"/>
      <c r="CD229" s="255"/>
      <c r="CE229" s="255"/>
      <c r="CF229" s="255"/>
      <c r="CG229" s="255"/>
      <c r="CH229" s="255"/>
      <c r="CI229" s="255"/>
      <c r="CJ229" s="255"/>
      <c r="CK229" s="255"/>
      <c r="CL229" s="255"/>
      <c r="CM229" s="255"/>
      <c r="CN229" s="255"/>
      <c r="CO229" s="255"/>
      <c r="CP229" s="255"/>
      <c r="CQ229" s="255"/>
      <c r="CR229" s="255"/>
      <c r="CS229" s="255"/>
      <c r="CT229" s="255"/>
      <c r="CU229" s="255"/>
      <c r="CV229" s="255"/>
      <c r="CW229" s="255"/>
      <c r="CX229" s="255"/>
      <c r="CY229" s="255"/>
      <c r="CZ229" s="255"/>
      <c r="DA229" s="255"/>
      <c r="DB229" s="255"/>
      <c r="DC229" s="255"/>
      <c r="DD229" s="255"/>
      <c r="DE229" s="255"/>
      <c r="DF229" s="255"/>
      <c r="DG229" s="255"/>
      <c r="DH229" s="255"/>
      <c r="DI229" s="255"/>
      <c r="DJ229" s="255"/>
      <c r="DK229" s="255"/>
      <c r="DL229" s="255"/>
      <c r="DM229" s="255"/>
      <c r="DN229" s="255"/>
      <c r="DO229" s="255"/>
      <c r="DP229" s="255"/>
      <c r="DQ229" s="255"/>
      <c r="DR229" s="255"/>
      <c r="DS229" s="255"/>
      <c r="DT229" s="255"/>
      <c r="DU229" s="255"/>
      <c r="DV229" s="255"/>
      <c r="DW229" s="191"/>
      <c r="DX229" s="255"/>
      <c r="DY229" s="255"/>
      <c r="DZ229" s="255"/>
      <c r="EA229" s="255"/>
      <c r="EB229" s="255"/>
      <c r="EC229" s="255"/>
      <c r="ED229" s="255"/>
      <c r="EE229" s="255"/>
      <c r="EF229" s="255"/>
      <c r="EG229" s="255"/>
      <c r="EH229" s="255"/>
      <c r="EI229" s="255"/>
      <c r="EJ229" s="255"/>
      <c r="EK229" s="255"/>
      <c r="EL229" s="255"/>
      <c r="EM229" s="255"/>
      <c r="EN229" s="255"/>
      <c r="EO229" s="255"/>
      <c r="EP229" s="255"/>
      <c r="EQ229" s="255"/>
      <c r="ER229" s="191"/>
      <c r="ES229" s="255"/>
      <c r="ET229" s="255"/>
      <c r="EU229" s="255"/>
      <c r="EV229" s="255"/>
      <c r="EW229" s="255"/>
      <c r="EX229" s="255"/>
      <c r="EY229" s="255"/>
      <c r="EZ229" s="255"/>
      <c r="FA229" s="255"/>
      <c r="FB229" s="255"/>
      <c r="FC229" s="255"/>
      <c r="FD229" s="255"/>
      <c r="FE229" s="255"/>
      <c r="FF229" s="255"/>
      <c r="FG229" s="255"/>
      <c r="FH229" s="255"/>
      <c r="FI229" s="255"/>
      <c r="FJ229" s="255"/>
      <c r="FK229" s="255"/>
      <c r="FL229" s="255"/>
      <c r="FM229" s="255"/>
      <c r="FN229" s="255"/>
      <c r="FO229" s="255"/>
      <c r="FP229" s="255"/>
      <c r="FQ229" s="255"/>
      <c r="FR229" s="255"/>
      <c r="FS229" s="255"/>
      <c r="FT229" s="255"/>
      <c r="FU229" s="255"/>
      <c r="FV229" s="255"/>
      <c r="FW229" s="255"/>
      <c r="FX229" s="255"/>
      <c r="FY229" s="255"/>
      <c r="FZ229" s="255"/>
      <c r="GA229" s="255"/>
      <c r="GB229" s="255"/>
      <c r="GC229" s="255"/>
      <c r="GD229" s="255"/>
      <c r="GE229" s="255"/>
      <c r="GF229" s="255"/>
      <c r="GG229" s="255"/>
      <c r="GH229" s="255"/>
      <c r="GI229" s="255"/>
      <c r="GJ229" s="255"/>
      <c r="GK229" s="255"/>
      <c r="GL229" s="255"/>
      <c r="GM229" s="255"/>
      <c r="GN229" s="255"/>
      <c r="GO229" s="255"/>
      <c r="GP229" s="255"/>
      <c r="GQ229" s="255"/>
      <c r="GR229" s="255"/>
      <c r="GS229" s="255"/>
      <c r="GT229" s="255"/>
      <c r="GU229" s="255"/>
      <c r="GV229" s="255"/>
      <c r="GW229" s="255"/>
      <c r="GX229" s="255"/>
      <c r="GY229" s="255"/>
      <c r="GZ229" s="255"/>
      <c r="HA229" s="255"/>
      <c r="HB229" s="255"/>
      <c r="HC229" s="255"/>
      <c r="HD229" s="255"/>
      <c r="HE229" s="255"/>
      <c r="HF229" s="255"/>
      <c r="HG229" s="255"/>
      <c r="HH229" s="255"/>
      <c r="HI229" s="255"/>
      <c r="HJ229" s="255"/>
      <c r="HK229" s="255"/>
      <c r="HL229" s="255"/>
      <c r="HM229" s="255"/>
      <c r="HN229" s="255"/>
      <c r="HO229" s="255"/>
      <c r="HP229" s="255"/>
      <c r="HQ229" s="255"/>
      <c r="HR229" s="255"/>
      <c r="HS229" s="255"/>
      <c r="HT229" s="255"/>
      <c r="HU229" s="255"/>
      <c r="HV229" s="255"/>
      <c r="HW229" s="255"/>
      <c r="HX229" s="255"/>
      <c r="HY229" s="255"/>
      <c r="HZ229" s="255"/>
      <c r="IA229" s="255"/>
      <c r="IB229" s="255"/>
      <c r="IC229" s="255"/>
      <c r="ID229" s="255"/>
      <c r="IE229" s="255"/>
      <c r="IF229" s="255"/>
      <c r="IG229" s="255"/>
      <c r="IH229" s="255"/>
      <c r="II229" s="255"/>
      <c r="IJ229" s="255"/>
      <c r="IK229" s="255"/>
      <c r="IL229" s="255"/>
      <c r="IM229" s="255"/>
      <c r="IN229" s="255"/>
      <c r="IO229" s="255"/>
      <c r="IP229" s="255"/>
      <c r="IQ229" s="255"/>
      <c r="IR229" s="255"/>
      <c r="IS229" s="255"/>
      <c r="IT229" s="255"/>
      <c r="IU229" s="255"/>
      <c r="IV229" s="255"/>
      <c r="IW229" s="255"/>
      <c r="IX229" s="255"/>
      <c r="IY229" s="255"/>
      <c r="IZ229" s="255"/>
      <c r="JA229" s="255"/>
      <c r="JB229" s="255"/>
      <c r="JC229" s="255"/>
      <c r="JD229" s="255"/>
      <c r="JE229" s="255"/>
      <c r="JF229" s="255"/>
      <c r="JG229" s="191"/>
      <c r="JH229" s="255"/>
      <c r="JI229" s="255"/>
      <c r="JJ229" s="255"/>
      <c r="JK229" s="255"/>
      <c r="JL229" s="255"/>
      <c r="JM229" s="255"/>
      <c r="JN229" s="255"/>
      <c r="JO229" s="255"/>
      <c r="JP229" s="255"/>
      <c r="JQ229" s="255"/>
      <c r="JR229" s="255"/>
      <c r="JS229" s="255"/>
      <c r="JT229" s="255"/>
      <c r="JU229" s="255"/>
      <c r="JV229" s="255"/>
      <c r="JW229" s="255"/>
      <c r="JX229" s="255"/>
      <c r="JY229" s="255"/>
      <c r="JZ229" s="255"/>
      <c r="KA229" s="255"/>
      <c r="KB229" s="191"/>
    </row>
    <row r="230" spans="2:288" ht="15" customHeight="1" x14ac:dyDescent="0.35">
      <c r="B230" s="146" t="str">
        <f t="shared" si="22"/>
        <v>Desk 14</v>
      </c>
      <c r="C230" s="148" t="str">
        <v/>
      </c>
      <c r="D230" s="148" t="str">
        <v/>
      </c>
      <c r="E230" s="148" t="str">
        <v/>
      </c>
      <c r="F230" s="148" t="str">
        <v/>
      </c>
      <c r="G230" s="268" t="str">
        <v/>
      </c>
      <c r="H230" s="255"/>
      <c r="I230" s="255"/>
      <c r="J230" s="255"/>
      <c r="K230" s="255"/>
      <c r="L230" s="255"/>
      <c r="M230" s="255"/>
      <c r="N230" s="255"/>
      <c r="O230" s="255"/>
      <c r="P230" s="255"/>
      <c r="Q230" s="255"/>
      <c r="R230" s="255"/>
      <c r="S230" s="255"/>
      <c r="T230" s="255"/>
      <c r="U230" s="255"/>
      <c r="V230" s="255"/>
      <c r="W230" s="255"/>
      <c r="X230" s="255"/>
      <c r="Y230" s="255"/>
      <c r="Z230" s="255"/>
      <c r="AA230" s="255"/>
      <c r="AB230" s="255"/>
      <c r="AC230" s="255"/>
      <c r="AD230" s="255"/>
      <c r="AE230" s="255"/>
      <c r="AF230" s="255"/>
      <c r="AG230" s="255"/>
      <c r="AH230" s="255"/>
      <c r="AI230" s="255"/>
      <c r="AJ230" s="255"/>
      <c r="AK230" s="255"/>
      <c r="AL230" s="255"/>
      <c r="AM230" s="255"/>
      <c r="AN230" s="255"/>
      <c r="AO230" s="255"/>
      <c r="AP230" s="255"/>
      <c r="AQ230" s="255"/>
      <c r="AR230" s="255"/>
      <c r="AS230" s="255"/>
      <c r="AT230" s="255"/>
      <c r="AU230" s="255"/>
      <c r="AV230" s="255"/>
      <c r="AW230" s="255"/>
      <c r="AX230" s="255"/>
      <c r="AY230" s="255"/>
      <c r="AZ230" s="255"/>
      <c r="BA230" s="255"/>
      <c r="BB230" s="255"/>
      <c r="BC230" s="255"/>
      <c r="BD230" s="255"/>
      <c r="BE230" s="255"/>
      <c r="BF230" s="255"/>
      <c r="BG230" s="255"/>
      <c r="BH230" s="255"/>
      <c r="BI230" s="255"/>
      <c r="BJ230" s="255"/>
      <c r="BK230" s="255"/>
      <c r="BL230" s="255"/>
      <c r="BM230" s="255"/>
      <c r="BN230" s="255"/>
      <c r="BO230" s="255"/>
      <c r="BP230" s="255"/>
      <c r="BQ230" s="255"/>
      <c r="BR230" s="255"/>
      <c r="BS230" s="255"/>
      <c r="BT230" s="255"/>
      <c r="BU230" s="255"/>
      <c r="BV230" s="255"/>
      <c r="BW230" s="255"/>
      <c r="BX230" s="255"/>
      <c r="BY230" s="255"/>
      <c r="BZ230" s="255"/>
      <c r="CA230" s="255"/>
      <c r="CB230" s="255"/>
      <c r="CC230" s="255"/>
      <c r="CD230" s="255"/>
      <c r="CE230" s="255"/>
      <c r="CF230" s="255"/>
      <c r="CG230" s="255"/>
      <c r="CH230" s="255"/>
      <c r="CI230" s="255"/>
      <c r="CJ230" s="255"/>
      <c r="CK230" s="255"/>
      <c r="CL230" s="255"/>
      <c r="CM230" s="255"/>
      <c r="CN230" s="255"/>
      <c r="CO230" s="255"/>
      <c r="CP230" s="255"/>
      <c r="CQ230" s="255"/>
      <c r="CR230" s="255"/>
      <c r="CS230" s="255"/>
      <c r="CT230" s="255"/>
      <c r="CU230" s="255"/>
      <c r="CV230" s="255"/>
      <c r="CW230" s="255"/>
      <c r="CX230" s="255"/>
      <c r="CY230" s="255"/>
      <c r="CZ230" s="255"/>
      <c r="DA230" s="255"/>
      <c r="DB230" s="255"/>
      <c r="DC230" s="255"/>
      <c r="DD230" s="255"/>
      <c r="DE230" s="255"/>
      <c r="DF230" s="255"/>
      <c r="DG230" s="255"/>
      <c r="DH230" s="255"/>
      <c r="DI230" s="255"/>
      <c r="DJ230" s="255"/>
      <c r="DK230" s="255"/>
      <c r="DL230" s="255"/>
      <c r="DM230" s="255"/>
      <c r="DN230" s="255"/>
      <c r="DO230" s="255"/>
      <c r="DP230" s="255"/>
      <c r="DQ230" s="255"/>
      <c r="DR230" s="255"/>
      <c r="DS230" s="255"/>
      <c r="DT230" s="255"/>
      <c r="DU230" s="255"/>
      <c r="DV230" s="255"/>
      <c r="DW230" s="191"/>
      <c r="DX230" s="255"/>
      <c r="DY230" s="255"/>
      <c r="DZ230" s="255"/>
      <c r="EA230" s="255"/>
      <c r="EB230" s="255"/>
      <c r="EC230" s="255"/>
      <c r="ED230" s="255"/>
      <c r="EE230" s="255"/>
      <c r="EF230" s="255"/>
      <c r="EG230" s="255"/>
      <c r="EH230" s="255"/>
      <c r="EI230" s="255"/>
      <c r="EJ230" s="255"/>
      <c r="EK230" s="255"/>
      <c r="EL230" s="255"/>
      <c r="EM230" s="255"/>
      <c r="EN230" s="255"/>
      <c r="EO230" s="255"/>
      <c r="EP230" s="255"/>
      <c r="EQ230" s="255"/>
      <c r="ER230" s="191"/>
      <c r="ES230" s="255"/>
      <c r="ET230" s="255"/>
      <c r="EU230" s="255"/>
      <c r="EV230" s="255"/>
      <c r="EW230" s="255"/>
      <c r="EX230" s="255"/>
      <c r="EY230" s="255"/>
      <c r="EZ230" s="255"/>
      <c r="FA230" s="255"/>
      <c r="FB230" s="255"/>
      <c r="FC230" s="255"/>
      <c r="FD230" s="255"/>
      <c r="FE230" s="255"/>
      <c r="FF230" s="255"/>
      <c r="FG230" s="255"/>
      <c r="FH230" s="255"/>
      <c r="FI230" s="255"/>
      <c r="FJ230" s="255"/>
      <c r="FK230" s="255"/>
      <c r="FL230" s="255"/>
      <c r="FM230" s="255"/>
      <c r="FN230" s="255"/>
      <c r="FO230" s="255"/>
      <c r="FP230" s="255"/>
      <c r="FQ230" s="255"/>
      <c r="FR230" s="255"/>
      <c r="FS230" s="255"/>
      <c r="FT230" s="255"/>
      <c r="FU230" s="255"/>
      <c r="FV230" s="255"/>
      <c r="FW230" s="255"/>
      <c r="FX230" s="255"/>
      <c r="FY230" s="255"/>
      <c r="FZ230" s="255"/>
      <c r="GA230" s="255"/>
      <c r="GB230" s="255"/>
      <c r="GC230" s="255"/>
      <c r="GD230" s="255"/>
      <c r="GE230" s="255"/>
      <c r="GF230" s="255"/>
      <c r="GG230" s="255"/>
      <c r="GH230" s="255"/>
      <c r="GI230" s="255"/>
      <c r="GJ230" s="255"/>
      <c r="GK230" s="255"/>
      <c r="GL230" s="255"/>
      <c r="GM230" s="255"/>
      <c r="GN230" s="255"/>
      <c r="GO230" s="255"/>
      <c r="GP230" s="255"/>
      <c r="GQ230" s="255"/>
      <c r="GR230" s="255"/>
      <c r="GS230" s="255"/>
      <c r="GT230" s="255"/>
      <c r="GU230" s="255"/>
      <c r="GV230" s="255"/>
      <c r="GW230" s="255"/>
      <c r="GX230" s="255"/>
      <c r="GY230" s="255"/>
      <c r="GZ230" s="255"/>
      <c r="HA230" s="255"/>
      <c r="HB230" s="255"/>
      <c r="HC230" s="255"/>
      <c r="HD230" s="255"/>
      <c r="HE230" s="255"/>
      <c r="HF230" s="255"/>
      <c r="HG230" s="255"/>
      <c r="HH230" s="255"/>
      <c r="HI230" s="255"/>
      <c r="HJ230" s="255"/>
      <c r="HK230" s="255"/>
      <c r="HL230" s="255"/>
      <c r="HM230" s="255"/>
      <c r="HN230" s="255"/>
      <c r="HO230" s="255"/>
      <c r="HP230" s="255"/>
      <c r="HQ230" s="255"/>
      <c r="HR230" s="255"/>
      <c r="HS230" s="255"/>
      <c r="HT230" s="255"/>
      <c r="HU230" s="255"/>
      <c r="HV230" s="255"/>
      <c r="HW230" s="255"/>
      <c r="HX230" s="255"/>
      <c r="HY230" s="255"/>
      <c r="HZ230" s="255"/>
      <c r="IA230" s="255"/>
      <c r="IB230" s="255"/>
      <c r="IC230" s="255"/>
      <c r="ID230" s="255"/>
      <c r="IE230" s="255"/>
      <c r="IF230" s="255"/>
      <c r="IG230" s="255"/>
      <c r="IH230" s="255"/>
      <c r="II230" s="255"/>
      <c r="IJ230" s="255"/>
      <c r="IK230" s="255"/>
      <c r="IL230" s="255"/>
      <c r="IM230" s="255"/>
      <c r="IN230" s="255"/>
      <c r="IO230" s="255"/>
      <c r="IP230" s="255"/>
      <c r="IQ230" s="255"/>
      <c r="IR230" s="255"/>
      <c r="IS230" s="255"/>
      <c r="IT230" s="255"/>
      <c r="IU230" s="255"/>
      <c r="IV230" s="255"/>
      <c r="IW230" s="255"/>
      <c r="IX230" s="255"/>
      <c r="IY230" s="255"/>
      <c r="IZ230" s="255"/>
      <c r="JA230" s="255"/>
      <c r="JB230" s="255"/>
      <c r="JC230" s="255"/>
      <c r="JD230" s="255"/>
      <c r="JE230" s="255"/>
      <c r="JF230" s="255"/>
      <c r="JG230" s="191"/>
      <c r="JH230" s="255"/>
      <c r="JI230" s="255"/>
      <c r="JJ230" s="255"/>
      <c r="JK230" s="255"/>
      <c r="JL230" s="255"/>
      <c r="JM230" s="255"/>
      <c r="JN230" s="255"/>
      <c r="JO230" s="255"/>
      <c r="JP230" s="255"/>
      <c r="JQ230" s="255"/>
      <c r="JR230" s="255"/>
      <c r="JS230" s="255"/>
      <c r="JT230" s="255"/>
      <c r="JU230" s="255"/>
      <c r="JV230" s="255"/>
      <c r="JW230" s="255"/>
      <c r="JX230" s="255"/>
      <c r="JY230" s="255"/>
      <c r="JZ230" s="255"/>
      <c r="KA230" s="255"/>
      <c r="KB230" s="191"/>
    </row>
    <row r="231" spans="2:288" ht="15" customHeight="1" x14ac:dyDescent="0.35">
      <c r="B231" s="146" t="str">
        <f t="shared" si="22"/>
        <v>Desk 15</v>
      </c>
      <c r="C231" s="148" t="str">
        <v/>
      </c>
      <c r="D231" s="148" t="str">
        <v/>
      </c>
      <c r="E231" s="148" t="str">
        <v/>
      </c>
      <c r="F231" s="148" t="str">
        <v/>
      </c>
      <c r="G231" s="268" t="str">
        <v/>
      </c>
      <c r="H231" s="255"/>
      <c r="I231" s="255"/>
      <c r="J231" s="255"/>
      <c r="K231" s="255"/>
      <c r="L231" s="255"/>
      <c r="M231" s="255"/>
      <c r="N231" s="255"/>
      <c r="O231" s="255"/>
      <c r="P231" s="255"/>
      <c r="Q231" s="255"/>
      <c r="R231" s="255"/>
      <c r="S231" s="255"/>
      <c r="T231" s="255"/>
      <c r="U231" s="255"/>
      <c r="V231" s="255"/>
      <c r="W231" s="255"/>
      <c r="X231" s="255"/>
      <c r="Y231" s="255"/>
      <c r="Z231" s="255"/>
      <c r="AA231" s="255"/>
      <c r="AB231" s="255"/>
      <c r="AC231" s="255"/>
      <c r="AD231" s="255"/>
      <c r="AE231" s="255"/>
      <c r="AF231" s="255"/>
      <c r="AG231" s="255"/>
      <c r="AH231" s="255"/>
      <c r="AI231" s="255"/>
      <c r="AJ231" s="255"/>
      <c r="AK231" s="255"/>
      <c r="AL231" s="255"/>
      <c r="AM231" s="255"/>
      <c r="AN231" s="255"/>
      <c r="AO231" s="255"/>
      <c r="AP231" s="255"/>
      <c r="AQ231" s="255"/>
      <c r="AR231" s="255"/>
      <c r="AS231" s="255"/>
      <c r="AT231" s="255"/>
      <c r="AU231" s="255"/>
      <c r="AV231" s="255"/>
      <c r="AW231" s="255"/>
      <c r="AX231" s="255"/>
      <c r="AY231" s="255"/>
      <c r="AZ231" s="255"/>
      <c r="BA231" s="255"/>
      <c r="BB231" s="255"/>
      <c r="BC231" s="255"/>
      <c r="BD231" s="255"/>
      <c r="BE231" s="255"/>
      <c r="BF231" s="255"/>
      <c r="BG231" s="255"/>
      <c r="BH231" s="255"/>
      <c r="BI231" s="255"/>
      <c r="BJ231" s="255"/>
      <c r="BK231" s="255"/>
      <c r="BL231" s="255"/>
      <c r="BM231" s="255"/>
      <c r="BN231" s="255"/>
      <c r="BO231" s="255"/>
      <c r="BP231" s="255"/>
      <c r="BQ231" s="255"/>
      <c r="BR231" s="255"/>
      <c r="BS231" s="255"/>
      <c r="BT231" s="255"/>
      <c r="BU231" s="255"/>
      <c r="BV231" s="255"/>
      <c r="BW231" s="255"/>
      <c r="BX231" s="255"/>
      <c r="BY231" s="255"/>
      <c r="BZ231" s="255"/>
      <c r="CA231" s="255"/>
      <c r="CB231" s="255"/>
      <c r="CC231" s="255"/>
      <c r="CD231" s="255"/>
      <c r="CE231" s="255"/>
      <c r="CF231" s="255"/>
      <c r="CG231" s="255"/>
      <c r="CH231" s="255"/>
      <c r="CI231" s="255"/>
      <c r="CJ231" s="255"/>
      <c r="CK231" s="255"/>
      <c r="CL231" s="255"/>
      <c r="CM231" s="255"/>
      <c r="CN231" s="255"/>
      <c r="CO231" s="255"/>
      <c r="CP231" s="255"/>
      <c r="CQ231" s="255"/>
      <c r="CR231" s="255"/>
      <c r="CS231" s="255"/>
      <c r="CT231" s="255"/>
      <c r="CU231" s="255"/>
      <c r="CV231" s="255"/>
      <c r="CW231" s="255"/>
      <c r="CX231" s="255"/>
      <c r="CY231" s="255"/>
      <c r="CZ231" s="255"/>
      <c r="DA231" s="255"/>
      <c r="DB231" s="255"/>
      <c r="DC231" s="255"/>
      <c r="DD231" s="255"/>
      <c r="DE231" s="255"/>
      <c r="DF231" s="255"/>
      <c r="DG231" s="255"/>
      <c r="DH231" s="255"/>
      <c r="DI231" s="255"/>
      <c r="DJ231" s="255"/>
      <c r="DK231" s="255"/>
      <c r="DL231" s="255"/>
      <c r="DM231" s="255"/>
      <c r="DN231" s="255"/>
      <c r="DO231" s="255"/>
      <c r="DP231" s="255"/>
      <c r="DQ231" s="255"/>
      <c r="DR231" s="255"/>
      <c r="DS231" s="255"/>
      <c r="DT231" s="255"/>
      <c r="DU231" s="255"/>
      <c r="DV231" s="255"/>
      <c r="DW231" s="191"/>
      <c r="DX231" s="255"/>
      <c r="DY231" s="255"/>
      <c r="DZ231" s="255"/>
      <c r="EA231" s="255"/>
      <c r="EB231" s="255"/>
      <c r="EC231" s="255"/>
      <c r="ED231" s="255"/>
      <c r="EE231" s="255"/>
      <c r="EF231" s="255"/>
      <c r="EG231" s="255"/>
      <c r="EH231" s="255"/>
      <c r="EI231" s="255"/>
      <c r="EJ231" s="255"/>
      <c r="EK231" s="255"/>
      <c r="EL231" s="255"/>
      <c r="EM231" s="255"/>
      <c r="EN231" s="255"/>
      <c r="EO231" s="255"/>
      <c r="EP231" s="255"/>
      <c r="EQ231" s="255"/>
      <c r="ER231" s="191"/>
      <c r="ES231" s="255"/>
      <c r="ET231" s="255"/>
      <c r="EU231" s="255"/>
      <c r="EV231" s="255"/>
      <c r="EW231" s="255"/>
      <c r="EX231" s="255"/>
      <c r="EY231" s="255"/>
      <c r="EZ231" s="255"/>
      <c r="FA231" s="255"/>
      <c r="FB231" s="255"/>
      <c r="FC231" s="255"/>
      <c r="FD231" s="255"/>
      <c r="FE231" s="255"/>
      <c r="FF231" s="255"/>
      <c r="FG231" s="255"/>
      <c r="FH231" s="255"/>
      <c r="FI231" s="255"/>
      <c r="FJ231" s="255"/>
      <c r="FK231" s="255"/>
      <c r="FL231" s="255"/>
      <c r="FM231" s="255"/>
      <c r="FN231" s="255"/>
      <c r="FO231" s="255"/>
      <c r="FP231" s="255"/>
      <c r="FQ231" s="255"/>
      <c r="FR231" s="255"/>
      <c r="FS231" s="255"/>
      <c r="FT231" s="255"/>
      <c r="FU231" s="255"/>
      <c r="FV231" s="255"/>
      <c r="FW231" s="255"/>
      <c r="FX231" s="255"/>
      <c r="FY231" s="255"/>
      <c r="FZ231" s="255"/>
      <c r="GA231" s="255"/>
      <c r="GB231" s="255"/>
      <c r="GC231" s="255"/>
      <c r="GD231" s="255"/>
      <c r="GE231" s="255"/>
      <c r="GF231" s="255"/>
      <c r="GG231" s="255"/>
      <c r="GH231" s="255"/>
      <c r="GI231" s="255"/>
      <c r="GJ231" s="255"/>
      <c r="GK231" s="255"/>
      <c r="GL231" s="255"/>
      <c r="GM231" s="255"/>
      <c r="GN231" s="255"/>
      <c r="GO231" s="255"/>
      <c r="GP231" s="255"/>
      <c r="GQ231" s="255"/>
      <c r="GR231" s="255"/>
      <c r="GS231" s="255"/>
      <c r="GT231" s="255"/>
      <c r="GU231" s="255"/>
      <c r="GV231" s="255"/>
      <c r="GW231" s="255"/>
      <c r="GX231" s="255"/>
      <c r="GY231" s="255"/>
      <c r="GZ231" s="255"/>
      <c r="HA231" s="255"/>
      <c r="HB231" s="255"/>
      <c r="HC231" s="255"/>
      <c r="HD231" s="255"/>
      <c r="HE231" s="255"/>
      <c r="HF231" s="255"/>
      <c r="HG231" s="255"/>
      <c r="HH231" s="255"/>
      <c r="HI231" s="255"/>
      <c r="HJ231" s="255"/>
      <c r="HK231" s="255"/>
      <c r="HL231" s="255"/>
      <c r="HM231" s="255"/>
      <c r="HN231" s="255"/>
      <c r="HO231" s="255"/>
      <c r="HP231" s="255"/>
      <c r="HQ231" s="255"/>
      <c r="HR231" s="255"/>
      <c r="HS231" s="255"/>
      <c r="HT231" s="255"/>
      <c r="HU231" s="255"/>
      <c r="HV231" s="255"/>
      <c r="HW231" s="255"/>
      <c r="HX231" s="255"/>
      <c r="HY231" s="255"/>
      <c r="HZ231" s="255"/>
      <c r="IA231" s="255"/>
      <c r="IB231" s="255"/>
      <c r="IC231" s="255"/>
      <c r="ID231" s="255"/>
      <c r="IE231" s="255"/>
      <c r="IF231" s="255"/>
      <c r="IG231" s="255"/>
      <c r="IH231" s="255"/>
      <c r="II231" s="255"/>
      <c r="IJ231" s="255"/>
      <c r="IK231" s="255"/>
      <c r="IL231" s="255"/>
      <c r="IM231" s="255"/>
      <c r="IN231" s="255"/>
      <c r="IO231" s="255"/>
      <c r="IP231" s="255"/>
      <c r="IQ231" s="255"/>
      <c r="IR231" s="255"/>
      <c r="IS231" s="255"/>
      <c r="IT231" s="255"/>
      <c r="IU231" s="255"/>
      <c r="IV231" s="255"/>
      <c r="IW231" s="255"/>
      <c r="IX231" s="255"/>
      <c r="IY231" s="255"/>
      <c r="IZ231" s="255"/>
      <c r="JA231" s="255"/>
      <c r="JB231" s="255"/>
      <c r="JC231" s="255"/>
      <c r="JD231" s="255"/>
      <c r="JE231" s="255"/>
      <c r="JF231" s="255"/>
      <c r="JG231" s="191"/>
      <c r="JH231" s="255"/>
      <c r="JI231" s="255"/>
      <c r="JJ231" s="255"/>
      <c r="JK231" s="255"/>
      <c r="JL231" s="255"/>
      <c r="JM231" s="255"/>
      <c r="JN231" s="255"/>
      <c r="JO231" s="255"/>
      <c r="JP231" s="255"/>
      <c r="JQ231" s="255"/>
      <c r="JR231" s="255"/>
      <c r="JS231" s="255"/>
      <c r="JT231" s="255"/>
      <c r="JU231" s="255"/>
      <c r="JV231" s="255"/>
      <c r="JW231" s="255"/>
      <c r="JX231" s="255"/>
      <c r="JY231" s="255"/>
      <c r="JZ231" s="255"/>
      <c r="KA231" s="255"/>
      <c r="KB231" s="191"/>
    </row>
    <row r="232" spans="2:288" ht="15" customHeight="1" x14ac:dyDescent="0.35">
      <c r="B232" s="146" t="str">
        <f t="shared" si="22"/>
        <v>Desk 16</v>
      </c>
      <c r="C232" s="148" t="str">
        <v/>
      </c>
      <c r="D232" s="148" t="str">
        <v/>
      </c>
      <c r="E232" s="148" t="str">
        <v/>
      </c>
      <c r="F232" s="148" t="str">
        <v/>
      </c>
      <c r="G232" s="268" t="str">
        <v/>
      </c>
      <c r="H232" s="255"/>
      <c r="I232" s="255"/>
      <c r="J232" s="255"/>
      <c r="K232" s="255"/>
      <c r="L232" s="255"/>
      <c r="M232" s="255"/>
      <c r="N232" s="255"/>
      <c r="O232" s="255"/>
      <c r="P232" s="255"/>
      <c r="Q232" s="255"/>
      <c r="R232" s="255"/>
      <c r="S232" s="255"/>
      <c r="T232" s="255"/>
      <c r="U232" s="255"/>
      <c r="V232" s="255"/>
      <c r="W232" s="255"/>
      <c r="X232" s="255"/>
      <c r="Y232" s="255"/>
      <c r="Z232" s="255"/>
      <c r="AA232" s="255"/>
      <c r="AB232" s="255"/>
      <c r="AC232" s="255"/>
      <c r="AD232" s="255"/>
      <c r="AE232" s="255"/>
      <c r="AF232" s="255"/>
      <c r="AG232" s="255"/>
      <c r="AH232" s="255"/>
      <c r="AI232" s="255"/>
      <c r="AJ232" s="255"/>
      <c r="AK232" s="255"/>
      <c r="AL232" s="255"/>
      <c r="AM232" s="255"/>
      <c r="AN232" s="255"/>
      <c r="AO232" s="255"/>
      <c r="AP232" s="255"/>
      <c r="AQ232" s="255"/>
      <c r="AR232" s="255"/>
      <c r="AS232" s="255"/>
      <c r="AT232" s="255"/>
      <c r="AU232" s="255"/>
      <c r="AV232" s="255"/>
      <c r="AW232" s="255"/>
      <c r="AX232" s="255"/>
      <c r="AY232" s="255"/>
      <c r="AZ232" s="255"/>
      <c r="BA232" s="255"/>
      <c r="BB232" s="255"/>
      <c r="BC232" s="255"/>
      <c r="BD232" s="255"/>
      <c r="BE232" s="255"/>
      <c r="BF232" s="255"/>
      <c r="BG232" s="255"/>
      <c r="BH232" s="255"/>
      <c r="BI232" s="255"/>
      <c r="BJ232" s="255"/>
      <c r="BK232" s="255"/>
      <c r="BL232" s="255"/>
      <c r="BM232" s="255"/>
      <c r="BN232" s="255"/>
      <c r="BO232" s="255"/>
      <c r="BP232" s="255"/>
      <c r="BQ232" s="255"/>
      <c r="BR232" s="255"/>
      <c r="BS232" s="255"/>
      <c r="BT232" s="255"/>
      <c r="BU232" s="255"/>
      <c r="BV232" s="255"/>
      <c r="BW232" s="255"/>
      <c r="BX232" s="255"/>
      <c r="BY232" s="255"/>
      <c r="BZ232" s="255"/>
      <c r="CA232" s="255"/>
      <c r="CB232" s="255"/>
      <c r="CC232" s="255"/>
      <c r="CD232" s="255"/>
      <c r="CE232" s="255"/>
      <c r="CF232" s="255"/>
      <c r="CG232" s="255"/>
      <c r="CH232" s="255"/>
      <c r="CI232" s="255"/>
      <c r="CJ232" s="255"/>
      <c r="CK232" s="255"/>
      <c r="CL232" s="255"/>
      <c r="CM232" s="255"/>
      <c r="CN232" s="255"/>
      <c r="CO232" s="255"/>
      <c r="CP232" s="255"/>
      <c r="CQ232" s="255"/>
      <c r="CR232" s="255"/>
      <c r="CS232" s="255"/>
      <c r="CT232" s="255"/>
      <c r="CU232" s="255"/>
      <c r="CV232" s="255"/>
      <c r="CW232" s="255"/>
      <c r="CX232" s="255"/>
      <c r="CY232" s="255"/>
      <c r="CZ232" s="255"/>
      <c r="DA232" s="255"/>
      <c r="DB232" s="255"/>
      <c r="DC232" s="255"/>
      <c r="DD232" s="255"/>
      <c r="DE232" s="255"/>
      <c r="DF232" s="255"/>
      <c r="DG232" s="255"/>
      <c r="DH232" s="255"/>
      <c r="DI232" s="255"/>
      <c r="DJ232" s="255"/>
      <c r="DK232" s="255"/>
      <c r="DL232" s="255"/>
      <c r="DM232" s="255"/>
      <c r="DN232" s="255"/>
      <c r="DO232" s="255"/>
      <c r="DP232" s="255"/>
      <c r="DQ232" s="255"/>
      <c r="DR232" s="255"/>
      <c r="DS232" s="255"/>
      <c r="DT232" s="255"/>
      <c r="DU232" s="255"/>
      <c r="DV232" s="255"/>
      <c r="DW232" s="191"/>
      <c r="DX232" s="255"/>
      <c r="DY232" s="255"/>
      <c r="DZ232" s="255"/>
      <c r="EA232" s="255"/>
      <c r="EB232" s="255"/>
      <c r="EC232" s="255"/>
      <c r="ED232" s="255"/>
      <c r="EE232" s="255"/>
      <c r="EF232" s="255"/>
      <c r="EG232" s="255"/>
      <c r="EH232" s="255"/>
      <c r="EI232" s="255"/>
      <c r="EJ232" s="255"/>
      <c r="EK232" s="255"/>
      <c r="EL232" s="255"/>
      <c r="EM232" s="255"/>
      <c r="EN232" s="255"/>
      <c r="EO232" s="255"/>
      <c r="EP232" s="255"/>
      <c r="EQ232" s="255"/>
      <c r="ER232" s="191"/>
      <c r="ES232" s="255"/>
      <c r="ET232" s="255"/>
      <c r="EU232" s="255"/>
      <c r="EV232" s="255"/>
      <c r="EW232" s="255"/>
      <c r="EX232" s="255"/>
      <c r="EY232" s="255"/>
      <c r="EZ232" s="255"/>
      <c r="FA232" s="255"/>
      <c r="FB232" s="255"/>
      <c r="FC232" s="255"/>
      <c r="FD232" s="255"/>
      <c r="FE232" s="255"/>
      <c r="FF232" s="255"/>
      <c r="FG232" s="255"/>
      <c r="FH232" s="255"/>
      <c r="FI232" s="255"/>
      <c r="FJ232" s="255"/>
      <c r="FK232" s="255"/>
      <c r="FL232" s="255"/>
      <c r="FM232" s="255"/>
      <c r="FN232" s="255"/>
      <c r="FO232" s="255"/>
      <c r="FP232" s="255"/>
      <c r="FQ232" s="255"/>
      <c r="FR232" s="255"/>
      <c r="FS232" s="255"/>
      <c r="FT232" s="255"/>
      <c r="FU232" s="255"/>
      <c r="FV232" s="255"/>
      <c r="FW232" s="255"/>
      <c r="FX232" s="255"/>
      <c r="FY232" s="255"/>
      <c r="FZ232" s="255"/>
      <c r="GA232" s="255"/>
      <c r="GB232" s="255"/>
      <c r="GC232" s="255"/>
      <c r="GD232" s="255"/>
      <c r="GE232" s="255"/>
      <c r="GF232" s="255"/>
      <c r="GG232" s="255"/>
      <c r="GH232" s="255"/>
      <c r="GI232" s="255"/>
      <c r="GJ232" s="255"/>
      <c r="GK232" s="255"/>
      <c r="GL232" s="255"/>
      <c r="GM232" s="255"/>
      <c r="GN232" s="255"/>
      <c r="GO232" s="255"/>
      <c r="GP232" s="255"/>
      <c r="GQ232" s="255"/>
      <c r="GR232" s="255"/>
      <c r="GS232" s="255"/>
      <c r="GT232" s="255"/>
      <c r="GU232" s="255"/>
      <c r="GV232" s="255"/>
      <c r="GW232" s="255"/>
      <c r="GX232" s="255"/>
      <c r="GY232" s="255"/>
      <c r="GZ232" s="255"/>
      <c r="HA232" s="255"/>
      <c r="HB232" s="255"/>
      <c r="HC232" s="255"/>
      <c r="HD232" s="255"/>
      <c r="HE232" s="255"/>
      <c r="HF232" s="255"/>
      <c r="HG232" s="255"/>
      <c r="HH232" s="255"/>
      <c r="HI232" s="255"/>
      <c r="HJ232" s="255"/>
      <c r="HK232" s="255"/>
      <c r="HL232" s="255"/>
      <c r="HM232" s="255"/>
      <c r="HN232" s="255"/>
      <c r="HO232" s="255"/>
      <c r="HP232" s="255"/>
      <c r="HQ232" s="255"/>
      <c r="HR232" s="255"/>
      <c r="HS232" s="255"/>
      <c r="HT232" s="255"/>
      <c r="HU232" s="255"/>
      <c r="HV232" s="255"/>
      <c r="HW232" s="255"/>
      <c r="HX232" s="255"/>
      <c r="HY232" s="255"/>
      <c r="HZ232" s="255"/>
      <c r="IA232" s="255"/>
      <c r="IB232" s="255"/>
      <c r="IC232" s="255"/>
      <c r="ID232" s="255"/>
      <c r="IE232" s="255"/>
      <c r="IF232" s="255"/>
      <c r="IG232" s="255"/>
      <c r="IH232" s="255"/>
      <c r="II232" s="255"/>
      <c r="IJ232" s="255"/>
      <c r="IK232" s="255"/>
      <c r="IL232" s="255"/>
      <c r="IM232" s="255"/>
      <c r="IN232" s="255"/>
      <c r="IO232" s="255"/>
      <c r="IP232" s="255"/>
      <c r="IQ232" s="255"/>
      <c r="IR232" s="255"/>
      <c r="IS232" s="255"/>
      <c r="IT232" s="255"/>
      <c r="IU232" s="255"/>
      <c r="IV232" s="255"/>
      <c r="IW232" s="255"/>
      <c r="IX232" s="255"/>
      <c r="IY232" s="255"/>
      <c r="IZ232" s="255"/>
      <c r="JA232" s="255"/>
      <c r="JB232" s="255"/>
      <c r="JC232" s="255"/>
      <c r="JD232" s="255"/>
      <c r="JE232" s="255"/>
      <c r="JF232" s="255"/>
      <c r="JG232" s="191"/>
      <c r="JH232" s="255"/>
      <c r="JI232" s="255"/>
      <c r="JJ232" s="255"/>
      <c r="JK232" s="255"/>
      <c r="JL232" s="255"/>
      <c r="JM232" s="255"/>
      <c r="JN232" s="255"/>
      <c r="JO232" s="255"/>
      <c r="JP232" s="255"/>
      <c r="JQ232" s="255"/>
      <c r="JR232" s="255"/>
      <c r="JS232" s="255"/>
      <c r="JT232" s="255"/>
      <c r="JU232" s="255"/>
      <c r="JV232" s="255"/>
      <c r="JW232" s="255"/>
      <c r="JX232" s="255"/>
      <c r="JY232" s="255"/>
      <c r="JZ232" s="255"/>
      <c r="KA232" s="255"/>
      <c r="KB232" s="191"/>
    </row>
    <row r="233" spans="2:288" ht="15" customHeight="1" x14ac:dyDescent="0.35">
      <c r="B233" s="146" t="str">
        <f t="shared" si="22"/>
        <v>Desk 17</v>
      </c>
      <c r="C233" s="148" t="str">
        <v/>
      </c>
      <c r="D233" s="148" t="str">
        <v/>
      </c>
      <c r="E233" s="148" t="str">
        <v/>
      </c>
      <c r="F233" s="148" t="str">
        <v/>
      </c>
      <c r="G233" s="268" t="str">
        <v/>
      </c>
      <c r="H233" s="255"/>
      <c r="I233" s="255"/>
      <c r="J233" s="255"/>
      <c r="K233" s="255"/>
      <c r="L233" s="255"/>
      <c r="M233" s="255"/>
      <c r="N233" s="255"/>
      <c r="O233" s="255"/>
      <c r="P233" s="255"/>
      <c r="Q233" s="255"/>
      <c r="R233" s="255"/>
      <c r="S233" s="255"/>
      <c r="T233" s="255"/>
      <c r="U233" s="255"/>
      <c r="V233" s="255"/>
      <c r="W233" s="255"/>
      <c r="X233" s="255"/>
      <c r="Y233" s="255"/>
      <c r="Z233" s="255"/>
      <c r="AA233" s="255"/>
      <c r="AB233" s="255"/>
      <c r="AC233" s="255"/>
      <c r="AD233" s="255"/>
      <c r="AE233" s="255"/>
      <c r="AF233" s="255"/>
      <c r="AG233" s="255"/>
      <c r="AH233" s="255"/>
      <c r="AI233" s="255"/>
      <c r="AJ233" s="255"/>
      <c r="AK233" s="255"/>
      <c r="AL233" s="255"/>
      <c r="AM233" s="255"/>
      <c r="AN233" s="255"/>
      <c r="AO233" s="255"/>
      <c r="AP233" s="255"/>
      <c r="AQ233" s="255"/>
      <c r="AR233" s="255"/>
      <c r="AS233" s="255"/>
      <c r="AT233" s="255"/>
      <c r="AU233" s="255"/>
      <c r="AV233" s="255"/>
      <c r="AW233" s="255"/>
      <c r="AX233" s="255"/>
      <c r="AY233" s="255"/>
      <c r="AZ233" s="255"/>
      <c r="BA233" s="255"/>
      <c r="BB233" s="255"/>
      <c r="BC233" s="255"/>
      <c r="BD233" s="255"/>
      <c r="BE233" s="255"/>
      <c r="BF233" s="255"/>
      <c r="BG233" s="255"/>
      <c r="BH233" s="255"/>
      <c r="BI233" s="255"/>
      <c r="BJ233" s="255"/>
      <c r="BK233" s="255"/>
      <c r="BL233" s="255"/>
      <c r="BM233" s="255"/>
      <c r="BN233" s="255"/>
      <c r="BO233" s="255"/>
      <c r="BP233" s="255"/>
      <c r="BQ233" s="255"/>
      <c r="BR233" s="255"/>
      <c r="BS233" s="255"/>
      <c r="BT233" s="255"/>
      <c r="BU233" s="255"/>
      <c r="BV233" s="255"/>
      <c r="BW233" s="255"/>
      <c r="BX233" s="255"/>
      <c r="BY233" s="255"/>
      <c r="BZ233" s="255"/>
      <c r="CA233" s="255"/>
      <c r="CB233" s="255"/>
      <c r="CC233" s="255"/>
      <c r="CD233" s="255"/>
      <c r="CE233" s="255"/>
      <c r="CF233" s="255"/>
      <c r="CG233" s="255"/>
      <c r="CH233" s="255"/>
      <c r="CI233" s="255"/>
      <c r="CJ233" s="255"/>
      <c r="CK233" s="255"/>
      <c r="CL233" s="255"/>
      <c r="CM233" s="255"/>
      <c r="CN233" s="255"/>
      <c r="CO233" s="255"/>
      <c r="CP233" s="255"/>
      <c r="CQ233" s="255"/>
      <c r="CR233" s="255"/>
      <c r="CS233" s="255"/>
      <c r="CT233" s="255"/>
      <c r="CU233" s="255"/>
      <c r="CV233" s="255"/>
      <c r="CW233" s="255"/>
      <c r="CX233" s="255"/>
      <c r="CY233" s="255"/>
      <c r="CZ233" s="255"/>
      <c r="DA233" s="255"/>
      <c r="DB233" s="255"/>
      <c r="DC233" s="255"/>
      <c r="DD233" s="255"/>
      <c r="DE233" s="255"/>
      <c r="DF233" s="255"/>
      <c r="DG233" s="255"/>
      <c r="DH233" s="255"/>
      <c r="DI233" s="255"/>
      <c r="DJ233" s="255"/>
      <c r="DK233" s="255"/>
      <c r="DL233" s="255"/>
      <c r="DM233" s="255"/>
      <c r="DN233" s="255"/>
      <c r="DO233" s="255"/>
      <c r="DP233" s="255"/>
      <c r="DQ233" s="255"/>
      <c r="DR233" s="255"/>
      <c r="DS233" s="255"/>
      <c r="DT233" s="255"/>
      <c r="DU233" s="255"/>
      <c r="DV233" s="255"/>
      <c r="DW233" s="191"/>
      <c r="DX233" s="255"/>
      <c r="DY233" s="255"/>
      <c r="DZ233" s="255"/>
      <c r="EA233" s="255"/>
      <c r="EB233" s="255"/>
      <c r="EC233" s="255"/>
      <c r="ED233" s="255"/>
      <c r="EE233" s="255"/>
      <c r="EF233" s="255"/>
      <c r="EG233" s="255"/>
      <c r="EH233" s="255"/>
      <c r="EI233" s="255"/>
      <c r="EJ233" s="255"/>
      <c r="EK233" s="255"/>
      <c r="EL233" s="255"/>
      <c r="EM233" s="255"/>
      <c r="EN233" s="255"/>
      <c r="EO233" s="255"/>
      <c r="EP233" s="255"/>
      <c r="EQ233" s="255"/>
      <c r="ER233" s="191"/>
      <c r="ES233" s="255"/>
      <c r="ET233" s="255"/>
      <c r="EU233" s="255"/>
      <c r="EV233" s="255"/>
      <c r="EW233" s="255"/>
      <c r="EX233" s="255"/>
      <c r="EY233" s="255"/>
      <c r="EZ233" s="255"/>
      <c r="FA233" s="255"/>
      <c r="FB233" s="255"/>
      <c r="FC233" s="255"/>
      <c r="FD233" s="255"/>
      <c r="FE233" s="255"/>
      <c r="FF233" s="255"/>
      <c r="FG233" s="255"/>
      <c r="FH233" s="255"/>
      <c r="FI233" s="255"/>
      <c r="FJ233" s="255"/>
      <c r="FK233" s="255"/>
      <c r="FL233" s="255"/>
      <c r="FM233" s="255"/>
      <c r="FN233" s="255"/>
      <c r="FO233" s="255"/>
      <c r="FP233" s="255"/>
      <c r="FQ233" s="255"/>
      <c r="FR233" s="255"/>
      <c r="FS233" s="255"/>
      <c r="FT233" s="255"/>
      <c r="FU233" s="255"/>
      <c r="FV233" s="255"/>
      <c r="FW233" s="255"/>
      <c r="FX233" s="255"/>
      <c r="FY233" s="255"/>
      <c r="FZ233" s="255"/>
      <c r="GA233" s="255"/>
      <c r="GB233" s="255"/>
      <c r="GC233" s="255"/>
      <c r="GD233" s="255"/>
      <c r="GE233" s="255"/>
      <c r="GF233" s="255"/>
      <c r="GG233" s="255"/>
      <c r="GH233" s="255"/>
      <c r="GI233" s="255"/>
      <c r="GJ233" s="255"/>
      <c r="GK233" s="255"/>
      <c r="GL233" s="255"/>
      <c r="GM233" s="255"/>
      <c r="GN233" s="255"/>
      <c r="GO233" s="255"/>
      <c r="GP233" s="255"/>
      <c r="GQ233" s="255"/>
      <c r="GR233" s="255"/>
      <c r="GS233" s="255"/>
      <c r="GT233" s="255"/>
      <c r="GU233" s="255"/>
      <c r="GV233" s="255"/>
      <c r="GW233" s="255"/>
      <c r="GX233" s="255"/>
      <c r="GY233" s="255"/>
      <c r="GZ233" s="255"/>
      <c r="HA233" s="255"/>
      <c r="HB233" s="255"/>
      <c r="HC233" s="255"/>
      <c r="HD233" s="255"/>
      <c r="HE233" s="255"/>
      <c r="HF233" s="255"/>
      <c r="HG233" s="255"/>
      <c r="HH233" s="255"/>
      <c r="HI233" s="255"/>
      <c r="HJ233" s="255"/>
      <c r="HK233" s="255"/>
      <c r="HL233" s="255"/>
      <c r="HM233" s="255"/>
      <c r="HN233" s="255"/>
      <c r="HO233" s="255"/>
      <c r="HP233" s="255"/>
      <c r="HQ233" s="255"/>
      <c r="HR233" s="255"/>
      <c r="HS233" s="255"/>
      <c r="HT233" s="255"/>
      <c r="HU233" s="255"/>
      <c r="HV233" s="255"/>
      <c r="HW233" s="255"/>
      <c r="HX233" s="255"/>
      <c r="HY233" s="255"/>
      <c r="HZ233" s="255"/>
      <c r="IA233" s="255"/>
      <c r="IB233" s="255"/>
      <c r="IC233" s="255"/>
      <c r="ID233" s="255"/>
      <c r="IE233" s="255"/>
      <c r="IF233" s="255"/>
      <c r="IG233" s="255"/>
      <c r="IH233" s="255"/>
      <c r="II233" s="255"/>
      <c r="IJ233" s="255"/>
      <c r="IK233" s="255"/>
      <c r="IL233" s="255"/>
      <c r="IM233" s="255"/>
      <c r="IN233" s="255"/>
      <c r="IO233" s="255"/>
      <c r="IP233" s="255"/>
      <c r="IQ233" s="255"/>
      <c r="IR233" s="255"/>
      <c r="IS233" s="255"/>
      <c r="IT233" s="255"/>
      <c r="IU233" s="255"/>
      <c r="IV233" s="255"/>
      <c r="IW233" s="255"/>
      <c r="IX233" s="255"/>
      <c r="IY233" s="255"/>
      <c r="IZ233" s="255"/>
      <c r="JA233" s="255"/>
      <c r="JB233" s="255"/>
      <c r="JC233" s="255"/>
      <c r="JD233" s="255"/>
      <c r="JE233" s="255"/>
      <c r="JF233" s="255"/>
      <c r="JG233" s="191"/>
      <c r="JH233" s="255"/>
      <c r="JI233" s="255"/>
      <c r="JJ233" s="255"/>
      <c r="JK233" s="255"/>
      <c r="JL233" s="255"/>
      <c r="JM233" s="255"/>
      <c r="JN233" s="255"/>
      <c r="JO233" s="255"/>
      <c r="JP233" s="255"/>
      <c r="JQ233" s="255"/>
      <c r="JR233" s="255"/>
      <c r="JS233" s="255"/>
      <c r="JT233" s="255"/>
      <c r="JU233" s="255"/>
      <c r="JV233" s="255"/>
      <c r="JW233" s="255"/>
      <c r="JX233" s="255"/>
      <c r="JY233" s="255"/>
      <c r="JZ233" s="255"/>
      <c r="KA233" s="255"/>
      <c r="KB233" s="191"/>
    </row>
    <row r="234" spans="2:288" ht="15" customHeight="1" x14ac:dyDescent="0.35">
      <c r="B234" s="146" t="str">
        <f t="shared" si="22"/>
        <v>Desk 18</v>
      </c>
      <c r="C234" s="148" t="str">
        <v/>
      </c>
      <c r="D234" s="148" t="str">
        <v/>
      </c>
      <c r="E234" s="148" t="str">
        <v/>
      </c>
      <c r="F234" s="148" t="str">
        <v/>
      </c>
      <c r="G234" s="268" t="str">
        <v/>
      </c>
      <c r="H234" s="255"/>
      <c r="I234" s="255"/>
      <c r="J234" s="255"/>
      <c r="K234" s="255"/>
      <c r="L234" s="255"/>
      <c r="M234" s="255"/>
      <c r="N234" s="255"/>
      <c r="O234" s="255"/>
      <c r="P234" s="255"/>
      <c r="Q234" s="255"/>
      <c r="R234" s="255"/>
      <c r="S234" s="255"/>
      <c r="T234" s="255"/>
      <c r="U234" s="255"/>
      <c r="V234" s="255"/>
      <c r="W234" s="255"/>
      <c r="X234" s="255"/>
      <c r="Y234" s="255"/>
      <c r="Z234" s="255"/>
      <c r="AA234" s="255"/>
      <c r="AB234" s="255"/>
      <c r="AC234" s="255"/>
      <c r="AD234" s="255"/>
      <c r="AE234" s="255"/>
      <c r="AF234" s="255"/>
      <c r="AG234" s="255"/>
      <c r="AH234" s="255"/>
      <c r="AI234" s="255"/>
      <c r="AJ234" s="255"/>
      <c r="AK234" s="255"/>
      <c r="AL234" s="255"/>
      <c r="AM234" s="255"/>
      <c r="AN234" s="255"/>
      <c r="AO234" s="255"/>
      <c r="AP234" s="255"/>
      <c r="AQ234" s="255"/>
      <c r="AR234" s="255"/>
      <c r="AS234" s="255"/>
      <c r="AT234" s="255"/>
      <c r="AU234" s="255"/>
      <c r="AV234" s="255"/>
      <c r="AW234" s="255"/>
      <c r="AX234" s="255"/>
      <c r="AY234" s="255"/>
      <c r="AZ234" s="255"/>
      <c r="BA234" s="255"/>
      <c r="BB234" s="255"/>
      <c r="BC234" s="255"/>
      <c r="BD234" s="255"/>
      <c r="BE234" s="255"/>
      <c r="BF234" s="255"/>
      <c r="BG234" s="255"/>
      <c r="BH234" s="255"/>
      <c r="BI234" s="255"/>
      <c r="BJ234" s="255"/>
      <c r="BK234" s="255"/>
      <c r="BL234" s="255"/>
      <c r="BM234" s="255"/>
      <c r="BN234" s="255"/>
      <c r="BO234" s="255"/>
      <c r="BP234" s="255"/>
      <c r="BQ234" s="255"/>
      <c r="BR234" s="255"/>
      <c r="BS234" s="255"/>
      <c r="BT234" s="255"/>
      <c r="BU234" s="255"/>
      <c r="BV234" s="255"/>
      <c r="BW234" s="255"/>
      <c r="BX234" s="255"/>
      <c r="BY234" s="255"/>
      <c r="BZ234" s="255"/>
      <c r="CA234" s="255"/>
      <c r="CB234" s="255"/>
      <c r="CC234" s="255"/>
      <c r="CD234" s="255"/>
      <c r="CE234" s="255"/>
      <c r="CF234" s="255"/>
      <c r="CG234" s="255"/>
      <c r="CH234" s="255"/>
      <c r="CI234" s="255"/>
      <c r="CJ234" s="255"/>
      <c r="CK234" s="255"/>
      <c r="CL234" s="255"/>
      <c r="CM234" s="255"/>
      <c r="CN234" s="255"/>
      <c r="CO234" s="255"/>
      <c r="CP234" s="255"/>
      <c r="CQ234" s="255"/>
      <c r="CR234" s="255"/>
      <c r="CS234" s="255"/>
      <c r="CT234" s="255"/>
      <c r="CU234" s="255"/>
      <c r="CV234" s="255"/>
      <c r="CW234" s="255"/>
      <c r="CX234" s="255"/>
      <c r="CY234" s="255"/>
      <c r="CZ234" s="255"/>
      <c r="DA234" s="255"/>
      <c r="DB234" s="255"/>
      <c r="DC234" s="255"/>
      <c r="DD234" s="255"/>
      <c r="DE234" s="255"/>
      <c r="DF234" s="255"/>
      <c r="DG234" s="255"/>
      <c r="DH234" s="255"/>
      <c r="DI234" s="255"/>
      <c r="DJ234" s="255"/>
      <c r="DK234" s="255"/>
      <c r="DL234" s="255"/>
      <c r="DM234" s="255"/>
      <c r="DN234" s="255"/>
      <c r="DO234" s="255"/>
      <c r="DP234" s="255"/>
      <c r="DQ234" s="255"/>
      <c r="DR234" s="255"/>
      <c r="DS234" s="255"/>
      <c r="DT234" s="255"/>
      <c r="DU234" s="255"/>
      <c r="DV234" s="255"/>
      <c r="DW234" s="191"/>
      <c r="DX234" s="255"/>
      <c r="DY234" s="255"/>
      <c r="DZ234" s="255"/>
      <c r="EA234" s="255"/>
      <c r="EB234" s="255"/>
      <c r="EC234" s="255"/>
      <c r="ED234" s="255"/>
      <c r="EE234" s="255"/>
      <c r="EF234" s="255"/>
      <c r="EG234" s="255"/>
      <c r="EH234" s="255"/>
      <c r="EI234" s="255"/>
      <c r="EJ234" s="255"/>
      <c r="EK234" s="255"/>
      <c r="EL234" s="255"/>
      <c r="EM234" s="255"/>
      <c r="EN234" s="255"/>
      <c r="EO234" s="255"/>
      <c r="EP234" s="255"/>
      <c r="EQ234" s="255"/>
      <c r="ER234" s="191"/>
      <c r="ES234" s="255"/>
      <c r="ET234" s="255"/>
      <c r="EU234" s="255"/>
      <c r="EV234" s="255"/>
      <c r="EW234" s="255"/>
      <c r="EX234" s="255"/>
      <c r="EY234" s="255"/>
      <c r="EZ234" s="255"/>
      <c r="FA234" s="255"/>
      <c r="FB234" s="255"/>
      <c r="FC234" s="255"/>
      <c r="FD234" s="255"/>
      <c r="FE234" s="255"/>
      <c r="FF234" s="255"/>
      <c r="FG234" s="255"/>
      <c r="FH234" s="255"/>
      <c r="FI234" s="255"/>
      <c r="FJ234" s="255"/>
      <c r="FK234" s="255"/>
      <c r="FL234" s="255"/>
      <c r="FM234" s="255"/>
      <c r="FN234" s="255"/>
      <c r="FO234" s="255"/>
      <c r="FP234" s="255"/>
      <c r="FQ234" s="255"/>
      <c r="FR234" s="255"/>
      <c r="FS234" s="255"/>
      <c r="FT234" s="255"/>
      <c r="FU234" s="255"/>
      <c r="FV234" s="255"/>
      <c r="FW234" s="255"/>
      <c r="FX234" s="255"/>
      <c r="FY234" s="255"/>
      <c r="FZ234" s="255"/>
      <c r="GA234" s="255"/>
      <c r="GB234" s="255"/>
      <c r="GC234" s="255"/>
      <c r="GD234" s="255"/>
      <c r="GE234" s="255"/>
      <c r="GF234" s="255"/>
      <c r="GG234" s="255"/>
      <c r="GH234" s="255"/>
      <c r="GI234" s="255"/>
      <c r="GJ234" s="255"/>
      <c r="GK234" s="255"/>
      <c r="GL234" s="255"/>
      <c r="GM234" s="255"/>
      <c r="GN234" s="255"/>
      <c r="GO234" s="255"/>
      <c r="GP234" s="255"/>
      <c r="GQ234" s="255"/>
      <c r="GR234" s="255"/>
      <c r="GS234" s="255"/>
      <c r="GT234" s="255"/>
      <c r="GU234" s="255"/>
      <c r="GV234" s="255"/>
      <c r="GW234" s="255"/>
      <c r="GX234" s="255"/>
      <c r="GY234" s="255"/>
      <c r="GZ234" s="255"/>
      <c r="HA234" s="255"/>
      <c r="HB234" s="255"/>
      <c r="HC234" s="255"/>
      <c r="HD234" s="255"/>
      <c r="HE234" s="255"/>
      <c r="HF234" s="255"/>
      <c r="HG234" s="255"/>
      <c r="HH234" s="255"/>
      <c r="HI234" s="255"/>
      <c r="HJ234" s="255"/>
      <c r="HK234" s="255"/>
      <c r="HL234" s="255"/>
      <c r="HM234" s="255"/>
      <c r="HN234" s="255"/>
      <c r="HO234" s="255"/>
      <c r="HP234" s="255"/>
      <c r="HQ234" s="255"/>
      <c r="HR234" s="255"/>
      <c r="HS234" s="255"/>
      <c r="HT234" s="255"/>
      <c r="HU234" s="255"/>
      <c r="HV234" s="255"/>
      <c r="HW234" s="255"/>
      <c r="HX234" s="255"/>
      <c r="HY234" s="255"/>
      <c r="HZ234" s="255"/>
      <c r="IA234" s="255"/>
      <c r="IB234" s="255"/>
      <c r="IC234" s="255"/>
      <c r="ID234" s="255"/>
      <c r="IE234" s="255"/>
      <c r="IF234" s="255"/>
      <c r="IG234" s="255"/>
      <c r="IH234" s="255"/>
      <c r="II234" s="255"/>
      <c r="IJ234" s="255"/>
      <c r="IK234" s="255"/>
      <c r="IL234" s="255"/>
      <c r="IM234" s="255"/>
      <c r="IN234" s="255"/>
      <c r="IO234" s="255"/>
      <c r="IP234" s="255"/>
      <c r="IQ234" s="255"/>
      <c r="IR234" s="255"/>
      <c r="IS234" s="255"/>
      <c r="IT234" s="255"/>
      <c r="IU234" s="255"/>
      <c r="IV234" s="255"/>
      <c r="IW234" s="255"/>
      <c r="IX234" s="255"/>
      <c r="IY234" s="255"/>
      <c r="IZ234" s="255"/>
      <c r="JA234" s="255"/>
      <c r="JB234" s="255"/>
      <c r="JC234" s="255"/>
      <c r="JD234" s="255"/>
      <c r="JE234" s="255"/>
      <c r="JF234" s="255"/>
      <c r="JG234" s="191"/>
      <c r="JH234" s="255"/>
      <c r="JI234" s="255"/>
      <c r="JJ234" s="255"/>
      <c r="JK234" s="255"/>
      <c r="JL234" s="255"/>
      <c r="JM234" s="255"/>
      <c r="JN234" s="255"/>
      <c r="JO234" s="255"/>
      <c r="JP234" s="255"/>
      <c r="JQ234" s="255"/>
      <c r="JR234" s="255"/>
      <c r="JS234" s="255"/>
      <c r="JT234" s="255"/>
      <c r="JU234" s="255"/>
      <c r="JV234" s="255"/>
      <c r="JW234" s="255"/>
      <c r="JX234" s="255"/>
      <c r="JY234" s="255"/>
      <c r="JZ234" s="255"/>
      <c r="KA234" s="255"/>
      <c r="KB234" s="191"/>
    </row>
    <row r="235" spans="2:288" ht="15" customHeight="1" x14ac:dyDescent="0.35">
      <c r="B235" s="146" t="str">
        <f t="shared" si="22"/>
        <v>Desk 19</v>
      </c>
      <c r="C235" s="148" t="str">
        <v/>
      </c>
      <c r="D235" s="148" t="str">
        <v/>
      </c>
      <c r="E235" s="148" t="str">
        <v/>
      </c>
      <c r="F235" s="148" t="str">
        <v/>
      </c>
      <c r="G235" s="268" t="str">
        <v/>
      </c>
      <c r="H235" s="255"/>
      <c r="I235" s="255"/>
      <c r="J235" s="255"/>
      <c r="K235" s="255"/>
      <c r="L235" s="255"/>
      <c r="M235" s="255"/>
      <c r="N235" s="255"/>
      <c r="O235" s="255"/>
      <c r="P235" s="255"/>
      <c r="Q235" s="255"/>
      <c r="R235" s="255"/>
      <c r="S235" s="255"/>
      <c r="T235" s="255"/>
      <c r="U235" s="255"/>
      <c r="V235" s="255"/>
      <c r="W235" s="255"/>
      <c r="X235" s="255"/>
      <c r="Y235" s="255"/>
      <c r="Z235" s="255"/>
      <c r="AA235" s="255"/>
      <c r="AB235" s="255"/>
      <c r="AC235" s="255"/>
      <c r="AD235" s="255"/>
      <c r="AE235" s="255"/>
      <c r="AF235" s="255"/>
      <c r="AG235" s="255"/>
      <c r="AH235" s="255"/>
      <c r="AI235" s="255"/>
      <c r="AJ235" s="255"/>
      <c r="AK235" s="255"/>
      <c r="AL235" s="255"/>
      <c r="AM235" s="255"/>
      <c r="AN235" s="255"/>
      <c r="AO235" s="255"/>
      <c r="AP235" s="255"/>
      <c r="AQ235" s="255"/>
      <c r="AR235" s="255"/>
      <c r="AS235" s="255"/>
      <c r="AT235" s="255"/>
      <c r="AU235" s="255"/>
      <c r="AV235" s="255"/>
      <c r="AW235" s="255"/>
      <c r="AX235" s="255"/>
      <c r="AY235" s="255"/>
      <c r="AZ235" s="255"/>
      <c r="BA235" s="255"/>
      <c r="BB235" s="255"/>
      <c r="BC235" s="255"/>
      <c r="BD235" s="255"/>
      <c r="BE235" s="255"/>
      <c r="BF235" s="255"/>
      <c r="BG235" s="255"/>
      <c r="BH235" s="255"/>
      <c r="BI235" s="255"/>
      <c r="BJ235" s="255"/>
      <c r="BK235" s="255"/>
      <c r="BL235" s="255"/>
      <c r="BM235" s="255"/>
      <c r="BN235" s="255"/>
      <c r="BO235" s="255"/>
      <c r="BP235" s="255"/>
      <c r="BQ235" s="255"/>
      <c r="BR235" s="255"/>
      <c r="BS235" s="255"/>
      <c r="BT235" s="255"/>
      <c r="BU235" s="255"/>
      <c r="BV235" s="255"/>
      <c r="BW235" s="255"/>
      <c r="BX235" s="255"/>
      <c r="BY235" s="255"/>
      <c r="BZ235" s="255"/>
      <c r="CA235" s="255"/>
      <c r="CB235" s="255"/>
      <c r="CC235" s="255"/>
      <c r="CD235" s="255"/>
      <c r="CE235" s="255"/>
      <c r="CF235" s="255"/>
      <c r="CG235" s="255"/>
      <c r="CH235" s="255"/>
      <c r="CI235" s="255"/>
      <c r="CJ235" s="255"/>
      <c r="CK235" s="255"/>
      <c r="CL235" s="255"/>
      <c r="CM235" s="255"/>
      <c r="CN235" s="255"/>
      <c r="CO235" s="255"/>
      <c r="CP235" s="255"/>
      <c r="CQ235" s="255"/>
      <c r="CR235" s="255"/>
      <c r="CS235" s="255"/>
      <c r="CT235" s="255"/>
      <c r="CU235" s="255"/>
      <c r="CV235" s="255"/>
      <c r="CW235" s="255"/>
      <c r="CX235" s="255"/>
      <c r="CY235" s="255"/>
      <c r="CZ235" s="255"/>
      <c r="DA235" s="255"/>
      <c r="DB235" s="255"/>
      <c r="DC235" s="255"/>
      <c r="DD235" s="255"/>
      <c r="DE235" s="255"/>
      <c r="DF235" s="255"/>
      <c r="DG235" s="255"/>
      <c r="DH235" s="255"/>
      <c r="DI235" s="255"/>
      <c r="DJ235" s="255"/>
      <c r="DK235" s="255"/>
      <c r="DL235" s="255"/>
      <c r="DM235" s="255"/>
      <c r="DN235" s="255"/>
      <c r="DO235" s="255"/>
      <c r="DP235" s="255"/>
      <c r="DQ235" s="255"/>
      <c r="DR235" s="255"/>
      <c r="DS235" s="255"/>
      <c r="DT235" s="255"/>
      <c r="DU235" s="255"/>
      <c r="DV235" s="255"/>
      <c r="DW235" s="191"/>
      <c r="DX235" s="255"/>
      <c r="DY235" s="255"/>
      <c r="DZ235" s="255"/>
      <c r="EA235" s="255"/>
      <c r="EB235" s="255"/>
      <c r="EC235" s="255"/>
      <c r="ED235" s="255"/>
      <c r="EE235" s="255"/>
      <c r="EF235" s="255"/>
      <c r="EG235" s="255"/>
      <c r="EH235" s="255"/>
      <c r="EI235" s="255"/>
      <c r="EJ235" s="255"/>
      <c r="EK235" s="255"/>
      <c r="EL235" s="255"/>
      <c r="EM235" s="255"/>
      <c r="EN235" s="255"/>
      <c r="EO235" s="255"/>
      <c r="EP235" s="255"/>
      <c r="EQ235" s="255"/>
      <c r="ER235" s="191"/>
      <c r="ES235" s="255"/>
      <c r="ET235" s="255"/>
      <c r="EU235" s="255"/>
      <c r="EV235" s="255"/>
      <c r="EW235" s="255"/>
      <c r="EX235" s="255"/>
      <c r="EY235" s="255"/>
      <c r="EZ235" s="255"/>
      <c r="FA235" s="255"/>
      <c r="FB235" s="255"/>
      <c r="FC235" s="255"/>
      <c r="FD235" s="255"/>
      <c r="FE235" s="255"/>
      <c r="FF235" s="255"/>
      <c r="FG235" s="255"/>
      <c r="FH235" s="255"/>
      <c r="FI235" s="255"/>
      <c r="FJ235" s="255"/>
      <c r="FK235" s="255"/>
      <c r="FL235" s="255"/>
      <c r="FM235" s="255"/>
      <c r="FN235" s="255"/>
      <c r="FO235" s="255"/>
      <c r="FP235" s="255"/>
      <c r="FQ235" s="255"/>
      <c r="FR235" s="255"/>
      <c r="FS235" s="255"/>
      <c r="FT235" s="255"/>
      <c r="FU235" s="255"/>
      <c r="FV235" s="255"/>
      <c r="FW235" s="255"/>
      <c r="FX235" s="255"/>
      <c r="FY235" s="255"/>
      <c r="FZ235" s="255"/>
      <c r="GA235" s="255"/>
      <c r="GB235" s="255"/>
      <c r="GC235" s="255"/>
      <c r="GD235" s="255"/>
      <c r="GE235" s="255"/>
      <c r="GF235" s="255"/>
      <c r="GG235" s="255"/>
      <c r="GH235" s="255"/>
      <c r="GI235" s="255"/>
      <c r="GJ235" s="255"/>
      <c r="GK235" s="255"/>
      <c r="GL235" s="255"/>
      <c r="GM235" s="255"/>
      <c r="GN235" s="255"/>
      <c r="GO235" s="255"/>
      <c r="GP235" s="255"/>
      <c r="GQ235" s="255"/>
      <c r="GR235" s="255"/>
      <c r="GS235" s="255"/>
      <c r="GT235" s="255"/>
      <c r="GU235" s="255"/>
      <c r="GV235" s="255"/>
      <c r="GW235" s="255"/>
      <c r="GX235" s="255"/>
      <c r="GY235" s="255"/>
      <c r="GZ235" s="255"/>
      <c r="HA235" s="255"/>
      <c r="HB235" s="255"/>
      <c r="HC235" s="255"/>
      <c r="HD235" s="255"/>
      <c r="HE235" s="255"/>
      <c r="HF235" s="255"/>
      <c r="HG235" s="255"/>
      <c r="HH235" s="255"/>
      <c r="HI235" s="255"/>
      <c r="HJ235" s="255"/>
      <c r="HK235" s="255"/>
      <c r="HL235" s="255"/>
      <c r="HM235" s="255"/>
      <c r="HN235" s="255"/>
      <c r="HO235" s="255"/>
      <c r="HP235" s="255"/>
      <c r="HQ235" s="255"/>
      <c r="HR235" s="255"/>
      <c r="HS235" s="255"/>
      <c r="HT235" s="255"/>
      <c r="HU235" s="255"/>
      <c r="HV235" s="255"/>
      <c r="HW235" s="255"/>
      <c r="HX235" s="255"/>
      <c r="HY235" s="255"/>
      <c r="HZ235" s="255"/>
      <c r="IA235" s="255"/>
      <c r="IB235" s="255"/>
      <c r="IC235" s="255"/>
      <c r="ID235" s="255"/>
      <c r="IE235" s="255"/>
      <c r="IF235" s="255"/>
      <c r="IG235" s="255"/>
      <c r="IH235" s="255"/>
      <c r="II235" s="255"/>
      <c r="IJ235" s="255"/>
      <c r="IK235" s="255"/>
      <c r="IL235" s="255"/>
      <c r="IM235" s="255"/>
      <c r="IN235" s="255"/>
      <c r="IO235" s="255"/>
      <c r="IP235" s="255"/>
      <c r="IQ235" s="255"/>
      <c r="IR235" s="255"/>
      <c r="IS235" s="255"/>
      <c r="IT235" s="255"/>
      <c r="IU235" s="255"/>
      <c r="IV235" s="255"/>
      <c r="IW235" s="255"/>
      <c r="IX235" s="255"/>
      <c r="IY235" s="255"/>
      <c r="IZ235" s="255"/>
      <c r="JA235" s="255"/>
      <c r="JB235" s="255"/>
      <c r="JC235" s="255"/>
      <c r="JD235" s="255"/>
      <c r="JE235" s="255"/>
      <c r="JF235" s="255"/>
      <c r="JG235" s="191"/>
      <c r="JH235" s="255"/>
      <c r="JI235" s="255"/>
      <c r="JJ235" s="255"/>
      <c r="JK235" s="255"/>
      <c r="JL235" s="255"/>
      <c r="JM235" s="255"/>
      <c r="JN235" s="255"/>
      <c r="JO235" s="255"/>
      <c r="JP235" s="255"/>
      <c r="JQ235" s="255"/>
      <c r="JR235" s="255"/>
      <c r="JS235" s="255"/>
      <c r="JT235" s="255"/>
      <c r="JU235" s="255"/>
      <c r="JV235" s="255"/>
      <c r="JW235" s="255"/>
      <c r="JX235" s="255"/>
      <c r="JY235" s="255"/>
      <c r="JZ235" s="255"/>
      <c r="KA235" s="255"/>
      <c r="KB235" s="191"/>
    </row>
    <row r="236" spans="2:288" ht="15" customHeight="1" x14ac:dyDescent="0.35">
      <c r="B236" s="146" t="str">
        <f t="shared" si="22"/>
        <v>Desk 20</v>
      </c>
      <c r="C236" s="148" t="str">
        <v/>
      </c>
      <c r="D236" s="148" t="str">
        <v/>
      </c>
      <c r="E236" s="148" t="str">
        <v/>
      </c>
      <c r="F236" s="148" t="str">
        <v/>
      </c>
      <c r="G236" s="268" t="str">
        <v/>
      </c>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255"/>
      <c r="AH236" s="255"/>
      <c r="AI236" s="255"/>
      <c r="AJ236" s="255"/>
      <c r="AK236" s="255"/>
      <c r="AL236" s="255"/>
      <c r="AM236" s="255"/>
      <c r="AN236" s="255"/>
      <c r="AO236" s="255"/>
      <c r="AP236" s="255"/>
      <c r="AQ236" s="255"/>
      <c r="AR236" s="255"/>
      <c r="AS236" s="255"/>
      <c r="AT236" s="255"/>
      <c r="AU236" s="255"/>
      <c r="AV236" s="255"/>
      <c r="AW236" s="255"/>
      <c r="AX236" s="255"/>
      <c r="AY236" s="255"/>
      <c r="AZ236" s="255"/>
      <c r="BA236" s="255"/>
      <c r="BB236" s="255"/>
      <c r="BC236" s="255"/>
      <c r="BD236" s="255"/>
      <c r="BE236" s="255"/>
      <c r="BF236" s="255"/>
      <c r="BG236" s="255"/>
      <c r="BH236" s="255"/>
      <c r="BI236" s="255"/>
      <c r="BJ236" s="255"/>
      <c r="BK236" s="255"/>
      <c r="BL236" s="255"/>
      <c r="BM236" s="255"/>
      <c r="BN236" s="255"/>
      <c r="BO236" s="255"/>
      <c r="BP236" s="255"/>
      <c r="BQ236" s="255"/>
      <c r="BR236" s="255"/>
      <c r="BS236" s="255"/>
      <c r="BT236" s="255"/>
      <c r="BU236" s="255"/>
      <c r="BV236" s="255"/>
      <c r="BW236" s="255"/>
      <c r="BX236" s="255"/>
      <c r="BY236" s="255"/>
      <c r="BZ236" s="255"/>
      <c r="CA236" s="255"/>
      <c r="CB236" s="255"/>
      <c r="CC236" s="255"/>
      <c r="CD236" s="255"/>
      <c r="CE236" s="255"/>
      <c r="CF236" s="255"/>
      <c r="CG236" s="255"/>
      <c r="CH236" s="255"/>
      <c r="CI236" s="255"/>
      <c r="CJ236" s="255"/>
      <c r="CK236" s="255"/>
      <c r="CL236" s="255"/>
      <c r="CM236" s="255"/>
      <c r="CN236" s="255"/>
      <c r="CO236" s="255"/>
      <c r="CP236" s="255"/>
      <c r="CQ236" s="255"/>
      <c r="CR236" s="255"/>
      <c r="CS236" s="255"/>
      <c r="CT236" s="255"/>
      <c r="CU236" s="255"/>
      <c r="CV236" s="255"/>
      <c r="CW236" s="255"/>
      <c r="CX236" s="255"/>
      <c r="CY236" s="255"/>
      <c r="CZ236" s="255"/>
      <c r="DA236" s="255"/>
      <c r="DB236" s="255"/>
      <c r="DC236" s="255"/>
      <c r="DD236" s="255"/>
      <c r="DE236" s="255"/>
      <c r="DF236" s="255"/>
      <c r="DG236" s="255"/>
      <c r="DH236" s="255"/>
      <c r="DI236" s="255"/>
      <c r="DJ236" s="255"/>
      <c r="DK236" s="255"/>
      <c r="DL236" s="255"/>
      <c r="DM236" s="255"/>
      <c r="DN236" s="255"/>
      <c r="DO236" s="255"/>
      <c r="DP236" s="255"/>
      <c r="DQ236" s="255"/>
      <c r="DR236" s="255"/>
      <c r="DS236" s="255"/>
      <c r="DT236" s="255"/>
      <c r="DU236" s="255"/>
      <c r="DV236" s="255"/>
      <c r="DW236" s="191"/>
      <c r="DX236" s="255"/>
      <c r="DY236" s="255"/>
      <c r="DZ236" s="255"/>
      <c r="EA236" s="255"/>
      <c r="EB236" s="255"/>
      <c r="EC236" s="255"/>
      <c r="ED236" s="255"/>
      <c r="EE236" s="255"/>
      <c r="EF236" s="255"/>
      <c r="EG236" s="255"/>
      <c r="EH236" s="255"/>
      <c r="EI236" s="255"/>
      <c r="EJ236" s="255"/>
      <c r="EK236" s="255"/>
      <c r="EL236" s="255"/>
      <c r="EM236" s="255"/>
      <c r="EN236" s="255"/>
      <c r="EO236" s="255"/>
      <c r="EP236" s="255"/>
      <c r="EQ236" s="255"/>
      <c r="ER236" s="191"/>
      <c r="ES236" s="255"/>
      <c r="ET236" s="255"/>
      <c r="EU236" s="255"/>
      <c r="EV236" s="255"/>
      <c r="EW236" s="255"/>
      <c r="EX236" s="255"/>
      <c r="EY236" s="255"/>
      <c r="EZ236" s="255"/>
      <c r="FA236" s="255"/>
      <c r="FB236" s="255"/>
      <c r="FC236" s="255"/>
      <c r="FD236" s="255"/>
      <c r="FE236" s="255"/>
      <c r="FF236" s="255"/>
      <c r="FG236" s="255"/>
      <c r="FH236" s="255"/>
      <c r="FI236" s="255"/>
      <c r="FJ236" s="255"/>
      <c r="FK236" s="255"/>
      <c r="FL236" s="255"/>
      <c r="FM236" s="255"/>
      <c r="FN236" s="255"/>
      <c r="FO236" s="255"/>
      <c r="FP236" s="255"/>
      <c r="FQ236" s="255"/>
      <c r="FR236" s="255"/>
      <c r="FS236" s="255"/>
      <c r="FT236" s="255"/>
      <c r="FU236" s="255"/>
      <c r="FV236" s="255"/>
      <c r="FW236" s="255"/>
      <c r="FX236" s="255"/>
      <c r="FY236" s="255"/>
      <c r="FZ236" s="255"/>
      <c r="GA236" s="255"/>
      <c r="GB236" s="255"/>
      <c r="GC236" s="255"/>
      <c r="GD236" s="255"/>
      <c r="GE236" s="255"/>
      <c r="GF236" s="255"/>
      <c r="GG236" s="255"/>
      <c r="GH236" s="255"/>
      <c r="GI236" s="255"/>
      <c r="GJ236" s="255"/>
      <c r="GK236" s="255"/>
      <c r="GL236" s="255"/>
      <c r="GM236" s="255"/>
      <c r="GN236" s="255"/>
      <c r="GO236" s="255"/>
      <c r="GP236" s="255"/>
      <c r="GQ236" s="255"/>
      <c r="GR236" s="255"/>
      <c r="GS236" s="255"/>
      <c r="GT236" s="255"/>
      <c r="GU236" s="255"/>
      <c r="GV236" s="255"/>
      <c r="GW236" s="255"/>
      <c r="GX236" s="255"/>
      <c r="GY236" s="255"/>
      <c r="GZ236" s="255"/>
      <c r="HA236" s="255"/>
      <c r="HB236" s="255"/>
      <c r="HC236" s="255"/>
      <c r="HD236" s="255"/>
      <c r="HE236" s="255"/>
      <c r="HF236" s="255"/>
      <c r="HG236" s="255"/>
      <c r="HH236" s="255"/>
      <c r="HI236" s="255"/>
      <c r="HJ236" s="255"/>
      <c r="HK236" s="255"/>
      <c r="HL236" s="255"/>
      <c r="HM236" s="255"/>
      <c r="HN236" s="255"/>
      <c r="HO236" s="255"/>
      <c r="HP236" s="255"/>
      <c r="HQ236" s="255"/>
      <c r="HR236" s="255"/>
      <c r="HS236" s="255"/>
      <c r="HT236" s="255"/>
      <c r="HU236" s="255"/>
      <c r="HV236" s="255"/>
      <c r="HW236" s="255"/>
      <c r="HX236" s="255"/>
      <c r="HY236" s="255"/>
      <c r="HZ236" s="255"/>
      <c r="IA236" s="255"/>
      <c r="IB236" s="255"/>
      <c r="IC236" s="255"/>
      <c r="ID236" s="255"/>
      <c r="IE236" s="255"/>
      <c r="IF236" s="255"/>
      <c r="IG236" s="255"/>
      <c r="IH236" s="255"/>
      <c r="II236" s="255"/>
      <c r="IJ236" s="255"/>
      <c r="IK236" s="255"/>
      <c r="IL236" s="255"/>
      <c r="IM236" s="255"/>
      <c r="IN236" s="255"/>
      <c r="IO236" s="255"/>
      <c r="IP236" s="255"/>
      <c r="IQ236" s="255"/>
      <c r="IR236" s="255"/>
      <c r="IS236" s="255"/>
      <c r="IT236" s="255"/>
      <c r="IU236" s="255"/>
      <c r="IV236" s="255"/>
      <c r="IW236" s="255"/>
      <c r="IX236" s="255"/>
      <c r="IY236" s="255"/>
      <c r="IZ236" s="255"/>
      <c r="JA236" s="255"/>
      <c r="JB236" s="255"/>
      <c r="JC236" s="255"/>
      <c r="JD236" s="255"/>
      <c r="JE236" s="255"/>
      <c r="JF236" s="255"/>
      <c r="JG236" s="191"/>
      <c r="JH236" s="255"/>
      <c r="JI236" s="255"/>
      <c r="JJ236" s="255"/>
      <c r="JK236" s="255"/>
      <c r="JL236" s="255"/>
      <c r="JM236" s="255"/>
      <c r="JN236" s="255"/>
      <c r="JO236" s="255"/>
      <c r="JP236" s="255"/>
      <c r="JQ236" s="255"/>
      <c r="JR236" s="255"/>
      <c r="JS236" s="255"/>
      <c r="JT236" s="255"/>
      <c r="JU236" s="255"/>
      <c r="JV236" s="255"/>
      <c r="JW236" s="255"/>
      <c r="JX236" s="255"/>
      <c r="JY236" s="255"/>
      <c r="JZ236" s="255"/>
      <c r="KA236" s="255"/>
      <c r="KB236" s="191"/>
    </row>
    <row r="237" spans="2:288" ht="15" customHeight="1" x14ac:dyDescent="0.35">
      <c r="B237" s="146" t="str">
        <f t="shared" si="22"/>
        <v>Desk 21</v>
      </c>
      <c r="C237" s="148" t="str">
        <v/>
      </c>
      <c r="D237" s="148" t="str">
        <v/>
      </c>
      <c r="E237" s="148" t="str">
        <v/>
      </c>
      <c r="F237" s="148" t="str">
        <v/>
      </c>
      <c r="G237" s="268" t="str">
        <v/>
      </c>
      <c r="H237" s="255"/>
      <c r="I237" s="255"/>
      <c r="J237" s="255"/>
      <c r="K237" s="255"/>
      <c r="L237" s="255"/>
      <c r="M237" s="255"/>
      <c r="N237" s="255"/>
      <c r="O237" s="255"/>
      <c r="P237" s="255"/>
      <c r="Q237" s="255"/>
      <c r="R237" s="255"/>
      <c r="S237" s="255"/>
      <c r="T237" s="255"/>
      <c r="U237" s="255"/>
      <c r="V237" s="255"/>
      <c r="W237" s="255"/>
      <c r="X237" s="255"/>
      <c r="Y237" s="255"/>
      <c r="Z237" s="255"/>
      <c r="AA237" s="255"/>
      <c r="AB237" s="255"/>
      <c r="AC237" s="255"/>
      <c r="AD237" s="255"/>
      <c r="AE237" s="255"/>
      <c r="AF237" s="255"/>
      <c r="AG237" s="255"/>
      <c r="AH237" s="255"/>
      <c r="AI237" s="255"/>
      <c r="AJ237" s="255"/>
      <c r="AK237" s="255"/>
      <c r="AL237" s="255"/>
      <c r="AM237" s="255"/>
      <c r="AN237" s="255"/>
      <c r="AO237" s="255"/>
      <c r="AP237" s="255"/>
      <c r="AQ237" s="255"/>
      <c r="AR237" s="255"/>
      <c r="AS237" s="255"/>
      <c r="AT237" s="255"/>
      <c r="AU237" s="255"/>
      <c r="AV237" s="255"/>
      <c r="AW237" s="255"/>
      <c r="AX237" s="255"/>
      <c r="AY237" s="255"/>
      <c r="AZ237" s="255"/>
      <c r="BA237" s="255"/>
      <c r="BB237" s="255"/>
      <c r="BC237" s="255"/>
      <c r="BD237" s="255"/>
      <c r="BE237" s="255"/>
      <c r="BF237" s="255"/>
      <c r="BG237" s="255"/>
      <c r="BH237" s="255"/>
      <c r="BI237" s="255"/>
      <c r="BJ237" s="255"/>
      <c r="BK237" s="255"/>
      <c r="BL237" s="255"/>
      <c r="BM237" s="255"/>
      <c r="BN237" s="255"/>
      <c r="BO237" s="255"/>
      <c r="BP237" s="255"/>
      <c r="BQ237" s="255"/>
      <c r="BR237" s="255"/>
      <c r="BS237" s="255"/>
      <c r="BT237" s="255"/>
      <c r="BU237" s="255"/>
      <c r="BV237" s="255"/>
      <c r="BW237" s="255"/>
      <c r="BX237" s="255"/>
      <c r="BY237" s="255"/>
      <c r="BZ237" s="255"/>
      <c r="CA237" s="255"/>
      <c r="CB237" s="255"/>
      <c r="CC237" s="255"/>
      <c r="CD237" s="255"/>
      <c r="CE237" s="255"/>
      <c r="CF237" s="255"/>
      <c r="CG237" s="255"/>
      <c r="CH237" s="255"/>
      <c r="CI237" s="255"/>
      <c r="CJ237" s="255"/>
      <c r="CK237" s="255"/>
      <c r="CL237" s="255"/>
      <c r="CM237" s="255"/>
      <c r="CN237" s="255"/>
      <c r="CO237" s="255"/>
      <c r="CP237" s="255"/>
      <c r="CQ237" s="255"/>
      <c r="CR237" s="255"/>
      <c r="CS237" s="255"/>
      <c r="CT237" s="255"/>
      <c r="CU237" s="255"/>
      <c r="CV237" s="255"/>
      <c r="CW237" s="255"/>
      <c r="CX237" s="255"/>
      <c r="CY237" s="255"/>
      <c r="CZ237" s="255"/>
      <c r="DA237" s="255"/>
      <c r="DB237" s="255"/>
      <c r="DC237" s="255"/>
      <c r="DD237" s="255"/>
      <c r="DE237" s="255"/>
      <c r="DF237" s="255"/>
      <c r="DG237" s="255"/>
      <c r="DH237" s="255"/>
      <c r="DI237" s="255"/>
      <c r="DJ237" s="255"/>
      <c r="DK237" s="255"/>
      <c r="DL237" s="255"/>
      <c r="DM237" s="255"/>
      <c r="DN237" s="255"/>
      <c r="DO237" s="255"/>
      <c r="DP237" s="255"/>
      <c r="DQ237" s="255"/>
      <c r="DR237" s="255"/>
      <c r="DS237" s="255"/>
      <c r="DT237" s="255"/>
      <c r="DU237" s="255"/>
      <c r="DV237" s="255"/>
      <c r="DW237" s="191"/>
      <c r="DX237" s="255"/>
      <c r="DY237" s="255"/>
      <c r="DZ237" s="255"/>
      <c r="EA237" s="255"/>
      <c r="EB237" s="255"/>
      <c r="EC237" s="255"/>
      <c r="ED237" s="255"/>
      <c r="EE237" s="255"/>
      <c r="EF237" s="255"/>
      <c r="EG237" s="255"/>
      <c r="EH237" s="255"/>
      <c r="EI237" s="255"/>
      <c r="EJ237" s="255"/>
      <c r="EK237" s="255"/>
      <c r="EL237" s="255"/>
      <c r="EM237" s="255"/>
      <c r="EN237" s="255"/>
      <c r="EO237" s="255"/>
      <c r="EP237" s="255"/>
      <c r="EQ237" s="255"/>
      <c r="ER237" s="191"/>
      <c r="ES237" s="255"/>
      <c r="ET237" s="255"/>
      <c r="EU237" s="255"/>
      <c r="EV237" s="255"/>
      <c r="EW237" s="255"/>
      <c r="EX237" s="255"/>
      <c r="EY237" s="255"/>
      <c r="EZ237" s="255"/>
      <c r="FA237" s="255"/>
      <c r="FB237" s="255"/>
      <c r="FC237" s="255"/>
      <c r="FD237" s="255"/>
      <c r="FE237" s="255"/>
      <c r="FF237" s="255"/>
      <c r="FG237" s="255"/>
      <c r="FH237" s="255"/>
      <c r="FI237" s="255"/>
      <c r="FJ237" s="255"/>
      <c r="FK237" s="255"/>
      <c r="FL237" s="255"/>
      <c r="FM237" s="255"/>
      <c r="FN237" s="255"/>
      <c r="FO237" s="255"/>
      <c r="FP237" s="255"/>
      <c r="FQ237" s="255"/>
      <c r="FR237" s="255"/>
      <c r="FS237" s="255"/>
      <c r="FT237" s="255"/>
      <c r="FU237" s="255"/>
      <c r="FV237" s="255"/>
      <c r="FW237" s="255"/>
      <c r="FX237" s="255"/>
      <c r="FY237" s="255"/>
      <c r="FZ237" s="255"/>
      <c r="GA237" s="255"/>
      <c r="GB237" s="255"/>
      <c r="GC237" s="255"/>
      <c r="GD237" s="255"/>
      <c r="GE237" s="255"/>
      <c r="GF237" s="255"/>
      <c r="GG237" s="255"/>
      <c r="GH237" s="255"/>
      <c r="GI237" s="255"/>
      <c r="GJ237" s="255"/>
      <c r="GK237" s="255"/>
      <c r="GL237" s="255"/>
      <c r="GM237" s="255"/>
      <c r="GN237" s="255"/>
      <c r="GO237" s="255"/>
      <c r="GP237" s="255"/>
      <c r="GQ237" s="255"/>
      <c r="GR237" s="255"/>
      <c r="GS237" s="255"/>
      <c r="GT237" s="255"/>
      <c r="GU237" s="255"/>
      <c r="GV237" s="255"/>
      <c r="GW237" s="255"/>
      <c r="GX237" s="255"/>
      <c r="GY237" s="255"/>
      <c r="GZ237" s="255"/>
      <c r="HA237" s="255"/>
      <c r="HB237" s="255"/>
      <c r="HC237" s="255"/>
      <c r="HD237" s="255"/>
      <c r="HE237" s="255"/>
      <c r="HF237" s="255"/>
      <c r="HG237" s="255"/>
      <c r="HH237" s="255"/>
      <c r="HI237" s="255"/>
      <c r="HJ237" s="255"/>
      <c r="HK237" s="255"/>
      <c r="HL237" s="255"/>
      <c r="HM237" s="255"/>
      <c r="HN237" s="255"/>
      <c r="HO237" s="255"/>
      <c r="HP237" s="255"/>
      <c r="HQ237" s="255"/>
      <c r="HR237" s="255"/>
      <c r="HS237" s="255"/>
      <c r="HT237" s="255"/>
      <c r="HU237" s="255"/>
      <c r="HV237" s="255"/>
      <c r="HW237" s="255"/>
      <c r="HX237" s="255"/>
      <c r="HY237" s="255"/>
      <c r="HZ237" s="255"/>
      <c r="IA237" s="255"/>
      <c r="IB237" s="255"/>
      <c r="IC237" s="255"/>
      <c r="ID237" s="255"/>
      <c r="IE237" s="255"/>
      <c r="IF237" s="255"/>
      <c r="IG237" s="255"/>
      <c r="IH237" s="255"/>
      <c r="II237" s="255"/>
      <c r="IJ237" s="255"/>
      <c r="IK237" s="255"/>
      <c r="IL237" s="255"/>
      <c r="IM237" s="255"/>
      <c r="IN237" s="255"/>
      <c r="IO237" s="255"/>
      <c r="IP237" s="255"/>
      <c r="IQ237" s="255"/>
      <c r="IR237" s="255"/>
      <c r="IS237" s="255"/>
      <c r="IT237" s="255"/>
      <c r="IU237" s="255"/>
      <c r="IV237" s="255"/>
      <c r="IW237" s="255"/>
      <c r="IX237" s="255"/>
      <c r="IY237" s="255"/>
      <c r="IZ237" s="255"/>
      <c r="JA237" s="255"/>
      <c r="JB237" s="255"/>
      <c r="JC237" s="255"/>
      <c r="JD237" s="255"/>
      <c r="JE237" s="255"/>
      <c r="JF237" s="255"/>
      <c r="JG237" s="191"/>
      <c r="JH237" s="255"/>
      <c r="JI237" s="255"/>
      <c r="JJ237" s="255"/>
      <c r="JK237" s="255"/>
      <c r="JL237" s="255"/>
      <c r="JM237" s="255"/>
      <c r="JN237" s="255"/>
      <c r="JO237" s="255"/>
      <c r="JP237" s="255"/>
      <c r="JQ237" s="255"/>
      <c r="JR237" s="255"/>
      <c r="JS237" s="255"/>
      <c r="JT237" s="255"/>
      <c r="JU237" s="255"/>
      <c r="JV237" s="255"/>
      <c r="JW237" s="255"/>
      <c r="JX237" s="255"/>
      <c r="JY237" s="255"/>
      <c r="JZ237" s="255"/>
      <c r="KA237" s="255"/>
      <c r="KB237" s="191"/>
    </row>
    <row r="238" spans="2:288" ht="15" customHeight="1" x14ac:dyDescent="0.35">
      <c r="B238" s="146" t="str">
        <f t="shared" si="22"/>
        <v>Desk 22</v>
      </c>
      <c r="C238" s="148" t="str">
        <v/>
      </c>
      <c r="D238" s="148" t="str">
        <v/>
      </c>
      <c r="E238" s="148" t="str">
        <v/>
      </c>
      <c r="F238" s="148" t="str">
        <v/>
      </c>
      <c r="G238" s="268" t="str">
        <v/>
      </c>
      <c r="H238" s="255"/>
      <c r="I238" s="255"/>
      <c r="J238" s="255"/>
      <c r="K238" s="255"/>
      <c r="L238" s="255"/>
      <c r="M238" s="255"/>
      <c r="N238" s="255"/>
      <c r="O238" s="255"/>
      <c r="P238" s="255"/>
      <c r="Q238" s="255"/>
      <c r="R238" s="255"/>
      <c r="S238" s="255"/>
      <c r="T238" s="255"/>
      <c r="U238" s="255"/>
      <c r="V238" s="255"/>
      <c r="W238" s="255"/>
      <c r="X238" s="255"/>
      <c r="Y238" s="255"/>
      <c r="Z238" s="255"/>
      <c r="AA238" s="255"/>
      <c r="AB238" s="255"/>
      <c r="AC238" s="255"/>
      <c r="AD238" s="255"/>
      <c r="AE238" s="255"/>
      <c r="AF238" s="255"/>
      <c r="AG238" s="255"/>
      <c r="AH238" s="255"/>
      <c r="AI238" s="255"/>
      <c r="AJ238" s="255"/>
      <c r="AK238" s="255"/>
      <c r="AL238" s="255"/>
      <c r="AM238" s="255"/>
      <c r="AN238" s="255"/>
      <c r="AO238" s="255"/>
      <c r="AP238" s="255"/>
      <c r="AQ238" s="255"/>
      <c r="AR238" s="255"/>
      <c r="AS238" s="255"/>
      <c r="AT238" s="255"/>
      <c r="AU238" s="255"/>
      <c r="AV238" s="255"/>
      <c r="AW238" s="255"/>
      <c r="AX238" s="255"/>
      <c r="AY238" s="255"/>
      <c r="AZ238" s="255"/>
      <c r="BA238" s="255"/>
      <c r="BB238" s="255"/>
      <c r="BC238" s="255"/>
      <c r="BD238" s="255"/>
      <c r="BE238" s="255"/>
      <c r="BF238" s="255"/>
      <c r="BG238" s="255"/>
      <c r="BH238" s="255"/>
      <c r="BI238" s="255"/>
      <c r="BJ238" s="255"/>
      <c r="BK238" s="255"/>
      <c r="BL238" s="255"/>
      <c r="BM238" s="255"/>
      <c r="BN238" s="255"/>
      <c r="BO238" s="255"/>
      <c r="BP238" s="255"/>
      <c r="BQ238" s="255"/>
      <c r="BR238" s="255"/>
      <c r="BS238" s="255"/>
      <c r="BT238" s="255"/>
      <c r="BU238" s="255"/>
      <c r="BV238" s="255"/>
      <c r="BW238" s="255"/>
      <c r="BX238" s="255"/>
      <c r="BY238" s="255"/>
      <c r="BZ238" s="255"/>
      <c r="CA238" s="255"/>
      <c r="CB238" s="255"/>
      <c r="CC238" s="255"/>
      <c r="CD238" s="255"/>
      <c r="CE238" s="255"/>
      <c r="CF238" s="255"/>
      <c r="CG238" s="255"/>
      <c r="CH238" s="255"/>
      <c r="CI238" s="255"/>
      <c r="CJ238" s="255"/>
      <c r="CK238" s="255"/>
      <c r="CL238" s="255"/>
      <c r="CM238" s="255"/>
      <c r="CN238" s="255"/>
      <c r="CO238" s="255"/>
      <c r="CP238" s="255"/>
      <c r="CQ238" s="255"/>
      <c r="CR238" s="255"/>
      <c r="CS238" s="255"/>
      <c r="CT238" s="255"/>
      <c r="CU238" s="255"/>
      <c r="CV238" s="255"/>
      <c r="CW238" s="255"/>
      <c r="CX238" s="255"/>
      <c r="CY238" s="255"/>
      <c r="CZ238" s="255"/>
      <c r="DA238" s="255"/>
      <c r="DB238" s="255"/>
      <c r="DC238" s="255"/>
      <c r="DD238" s="255"/>
      <c r="DE238" s="255"/>
      <c r="DF238" s="255"/>
      <c r="DG238" s="255"/>
      <c r="DH238" s="255"/>
      <c r="DI238" s="255"/>
      <c r="DJ238" s="255"/>
      <c r="DK238" s="255"/>
      <c r="DL238" s="255"/>
      <c r="DM238" s="255"/>
      <c r="DN238" s="255"/>
      <c r="DO238" s="255"/>
      <c r="DP238" s="255"/>
      <c r="DQ238" s="255"/>
      <c r="DR238" s="255"/>
      <c r="DS238" s="255"/>
      <c r="DT238" s="255"/>
      <c r="DU238" s="255"/>
      <c r="DV238" s="255"/>
      <c r="DW238" s="191"/>
      <c r="DX238" s="255"/>
      <c r="DY238" s="255"/>
      <c r="DZ238" s="255"/>
      <c r="EA238" s="255"/>
      <c r="EB238" s="255"/>
      <c r="EC238" s="255"/>
      <c r="ED238" s="255"/>
      <c r="EE238" s="255"/>
      <c r="EF238" s="255"/>
      <c r="EG238" s="255"/>
      <c r="EH238" s="255"/>
      <c r="EI238" s="255"/>
      <c r="EJ238" s="255"/>
      <c r="EK238" s="255"/>
      <c r="EL238" s="255"/>
      <c r="EM238" s="255"/>
      <c r="EN238" s="255"/>
      <c r="EO238" s="255"/>
      <c r="EP238" s="255"/>
      <c r="EQ238" s="255"/>
      <c r="ER238" s="191"/>
      <c r="ES238" s="255"/>
      <c r="ET238" s="255"/>
      <c r="EU238" s="255"/>
      <c r="EV238" s="255"/>
      <c r="EW238" s="255"/>
      <c r="EX238" s="255"/>
      <c r="EY238" s="255"/>
      <c r="EZ238" s="255"/>
      <c r="FA238" s="255"/>
      <c r="FB238" s="255"/>
      <c r="FC238" s="255"/>
      <c r="FD238" s="255"/>
      <c r="FE238" s="255"/>
      <c r="FF238" s="255"/>
      <c r="FG238" s="255"/>
      <c r="FH238" s="255"/>
      <c r="FI238" s="255"/>
      <c r="FJ238" s="255"/>
      <c r="FK238" s="255"/>
      <c r="FL238" s="255"/>
      <c r="FM238" s="255"/>
      <c r="FN238" s="255"/>
      <c r="FO238" s="255"/>
      <c r="FP238" s="255"/>
      <c r="FQ238" s="255"/>
      <c r="FR238" s="255"/>
      <c r="FS238" s="255"/>
      <c r="FT238" s="255"/>
      <c r="FU238" s="255"/>
      <c r="FV238" s="255"/>
      <c r="FW238" s="255"/>
      <c r="FX238" s="255"/>
      <c r="FY238" s="255"/>
      <c r="FZ238" s="255"/>
      <c r="GA238" s="255"/>
      <c r="GB238" s="255"/>
      <c r="GC238" s="255"/>
      <c r="GD238" s="255"/>
      <c r="GE238" s="255"/>
      <c r="GF238" s="255"/>
      <c r="GG238" s="255"/>
      <c r="GH238" s="255"/>
      <c r="GI238" s="255"/>
      <c r="GJ238" s="255"/>
      <c r="GK238" s="255"/>
      <c r="GL238" s="255"/>
      <c r="GM238" s="255"/>
      <c r="GN238" s="255"/>
      <c r="GO238" s="255"/>
      <c r="GP238" s="255"/>
      <c r="GQ238" s="255"/>
      <c r="GR238" s="255"/>
      <c r="GS238" s="255"/>
      <c r="GT238" s="255"/>
      <c r="GU238" s="255"/>
      <c r="GV238" s="255"/>
      <c r="GW238" s="255"/>
      <c r="GX238" s="255"/>
      <c r="GY238" s="255"/>
      <c r="GZ238" s="255"/>
      <c r="HA238" s="255"/>
      <c r="HB238" s="255"/>
      <c r="HC238" s="255"/>
      <c r="HD238" s="255"/>
      <c r="HE238" s="255"/>
      <c r="HF238" s="255"/>
      <c r="HG238" s="255"/>
      <c r="HH238" s="255"/>
      <c r="HI238" s="255"/>
      <c r="HJ238" s="255"/>
      <c r="HK238" s="255"/>
      <c r="HL238" s="255"/>
      <c r="HM238" s="255"/>
      <c r="HN238" s="255"/>
      <c r="HO238" s="255"/>
      <c r="HP238" s="255"/>
      <c r="HQ238" s="255"/>
      <c r="HR238" s="255"/>
      <c r="HS238" s="255"/>
      <c r="HT238" s="255"/>
      <c r="HU238" s="255"/>
      <c r="HV238" s="255"/>
      <c r="HW238" s="255"/>
      <c r="HX238" s="255"/>
      <c r="HY238" s="255"/>
      <c r="HZ238" s="255"/>
      <c r="IA238" s="255"/>
      <c r="IB238" s="255"/>
      <c r="IC238" s="255"/>
      <c r="ID238" s="255"/>
      <c r="IE238" s="255"/>
      <c r="IF238" s="255"/>
      <c r="IG238" s="255"/>
      <c r="IH238" s="255"/>
      <c r="II238" s="255"/>
      <c r="IJ238" s="255"/>
      <c r="IK238" s="255"/>
      <c r="IL238" s="255"/>
      <c r="IM238" s="255"/>
      <c r="IN238" s="255"/>
      <c r="IO238" s="255"/>
      <c r="IP238" s="255"/>
      <c r="IQ238" s="255"/>
      <c r="IR238" s="255"/>
      <c r="IS238" s="255"/>
      <c r="IT238" s="255"/>
      <c r="IU238" s="255"/>
      <c r="IV238" s="255"/>
      <c r="IW238" s="255"/>
      <c r="IX238" s="255"/>
      <c r="IY238" s="255"/>
      <c r="IZ238" s="255"/>
      <c r="JA238" s="255"/>
      <c r="JB238" s="255"/>
      <c r="JC238" s="255"/>
      <c r="JD238" s="255"/>
      <c r="JE238" s="255"/>
      <c r="JF238" s="255"/>
      <c r="JG238" s="191"/>
      <c r="JH238" s="255"/>
      <c r="JI238" s="255"/>
      <c r="JJ238" s="255"/>
      <c r="JK238" s="255"/>
      <c r="JL238" s="255"/>
      <c r="JM238" s="255"/>
      <c r="JN238" s="255"/>
      <c r="JO238" s="255"/>
      <c r="JP238" s="255"/>
      <c r="JQ238" s="255"/>
      <c r="JR238" s="255"/>
      <c r="JS238" s="255"/>
      <c r="JT238" s="255"/>
      <c r="JU238" s="255"/>
      <c r="JV238" s="255"/>
      <c r="JW238" s="255"/>
      <c r="JX238" s="255"/>
      <c r="JY238" s="255"/>
      <c r="JZ238" s="255"/>
      <c r="KA238" s="255"/>
      <c r="KB238" s="191"/>
    </row>
    <row r="239" spans="2:288" ht="15" customHeight="1" x14ac:dyDescent="0.35">
      <c r="B239" s="146" t="str">
        <f t="shared" si="22"/>
        <v>Desk 23</v>
      </c>
      <c r="C239" s="148" t="str">
        <v/>
      </c>
      <c r="D239" s="148" t="str">
        <v/>
      </c>
      <c r="E239" s="148" t="str">
        <v/>
      </c>
      <c r="F239" s="148" t="str">
        <v/>
      </c>
      <c r="G239" s="268" t="str">
        <v/>
      </c>
      <c r="H239" s="255"/>
      <c r="I239" s="255"/>
      <c r="J239" s="255"/>
      <c r="K239" s="255"/>
      <c r="L239" s="255"/>
      <c r="M239" s="255"/>
      <c r="N239" s="255"/>
      <c r="O239" s="255"/>
      <c r="P239" s="255"/>
      <c r="Q239" s="255"/>
      <c r="R239" s="255"/>
      <c r="S239" s="255"/>
      <c r="T239" s="255"/>
      <c r="U239" s="255"/>
      <c r="V239" s="255"/>
      <c r="W239" s="255"/>
      <c r="X239" s="255"/>
      <c r="Y239" s="255"/>
      <c r="Z239" s="255"/>
      <c r="AA239" s="255"/>
      <c r="AB239" s="255"/>
      <c r="AC239" s="255"/>
      <c r="AD239" s="255"/>
      <c r="AE239" s="255"/>
      <c r="AF239" s="255"/>
      <c r="AG239" s="255"/>
      <c r="AH239" s="255"/>
      <c r="AI239" s="255"/>
      <c r="AJ239" s="255"/>
      <c r="AK239" s="255"/>
      <c r="AL239" s="255"/>
      <c r="AM239" s="255"/>
      <c r="AN239" s="255"/>
      <c r="AO239" s="255"/>
      <c r="AP239" s="255"/>
      <c r="AQ239" s="255"/>
      <c r="AR239" s="255"/>
      <c r="AS239" s="255"/>
      <c r="AT239" s="255"/>
      <c r="AU239" s="255"/>
      <c r="AV239" s="255"/>
      <c r="AW239" s="255"/>
      <c r="AX239" s="255"/>
      <c r="AY239" s="255"/>
      <c r="AZ239" s="255"/>
      <c r="BA239" s="255"/>
      <c r="BB239" s="255"/>
      <c r="BC239" s="255"/>
      <c r="BD239" s="255"/>
      <c r="BE239" s="255"/>
      <c r="BF239" s="255"/>
      <c r="BG239" s="255"/>
      <c r="BH239" s="255"/>
      <c r="BI239" s="255"/>
      <c r="BJ239" s="255"/>
      <c r="BK239" s="255"/>
      <c r="BL239" s="255"/>
      <c r="BM239" s="255"/>
      <c r="BN239" s="255"/>
      <c r="BO239" s="255"/>
      <c r="BP239" s="255"/>
      <c r="BQ239" s="255"/>
      <c r="BR239" s="255"/>
      <c r="BS239" s="255"/>
      <c r="BT239" s="255"/>
      <c r="BU239" s="255"/>
      <c r="BV239" s="255"/>
      <c r="BW239" s="255"/>
      <c r="BX239" s="255"/>
      <c r="BY239" s="255"/>
      <c r="BZ239" s="255"/>
      <c r="CA239" s="255"/>
      <c r="CB239" s="255"/>
      <c r="CC239" s="255"/>
      <c r="CD239" s="255"/>
      <c r="CE239" s="255"/>
      <c r="CF239" s="255"/>
      <c r="CG239" s="255"/>
      <c r="CH239" s="255"/>
      <c r="CI239" s="255"/>
      <c r="CJ239" s="255"/>
      <c r="CK239" s="255"/>
      <c r="CL239" s="255"/>
      <c r="CM239" s="255"/>
      <c r="CN239" s="255"/>
      <c r="CO239" s="255"/>
      <c r="CP239" s="255"/>
      <c r="CQ239" s="255"/>
      <c r="CR239" s="255"/>
      <c r="CS239" s="255"/>
      <c r="CT239" s="255"/>
      <c r="CU239" s="255"/>
      <c r="CV239" s="255"/>
      <c r="CW239" s="255"/>
      <c r="CX239" s="255"/>
      <c r="CY239" s="255"/>
      <c r="CZ239" s="255"/>
      <c r="DA239" s="255"/>
      <c r="DB239" s="255"/>
      <c r="DC239" s="255"/>
      <c r="DD239" s="255"/>
      <c r="DE239" s="255"/>
      <c r="DF239" s="255"/>
      <c r="DG239" s="255"/>
      <c r="DH239" s="255"/>
      <c r="DI239" s="255"/>
      <c r="DJ239" s="255"/>
      <c r="DK239" s="255"/>
      <c r="DL239" s="255"/>
      <c r="DM239" s="255"/>
      <c r="DN239" s="255"/>
      <c r="DO239" s="255"/>
      <c r="DP239" s="255"/>
      <c r="DQ239" s="255"/>
      <c r="DR239" s="255"/>
      <c r="DS239" s="255"/>
      <c r="DT239" s="255"/>
      <c r="DU239" s="255"/>
      <c r="DV239" s="255"/>
      <c r="DW239" s="191"/>
      <c r="DX239" s="255"/>
      <c r="DY239" s="255"/>
      <c r="DZ239" s="255"/>
      <c r="EA239" s="255"/>
      <c r="EB239" s="255"/>
      <c r="EC239" s="255"/>
      <c r="ED239" s="255"/>
      <c r="EE239" s="255"/>
      <c r="EF239" s="255"/>
      <c r="EG239" s="255"/>
      <c r="EH239" s="255"/>
      <c r="EI239" s="255"/>
      <c r="EJ239" s="255"/>
      <c r="EK239" s="255"/>
      <c r="EL239" s="255"/>
      <c r="EM239" s="255"/>
      <c r="EN239" s="255"/>
      <c r="EO239" s="255"/>
      <c r="EP239" s="255"/>
      <c r="EQ239" s="255"/>
      <c r="ER239" s="191"/>
      <c r="ES239" s="255"/>
      <c r="ET239" s="255"/>
      <c r="EU239" s="255"/>
      <c r="EV239" s="255"/>
      <c r="EW239" s="255"/>
      <c r="EX239" s="255"/>
      <c r="EY239" s="255"/>
      <c r="EZ239" s="255"/>
      <c r="FA239" s="255"/>
      <c r="FB239" s="255"/>
      <c r="FC239" s="255"/>
      <c r="FD239" s="255"/>
      <c r="FE239" s="255"/>
      <c r="FF239" s="255"/>
      <c r="FG239" s="255"/>
      <c r="FH239" s="255"/>
      <c r="FI239" s="255"/>
      <c r="FJ239" s="255"/>
      <c r="FK239" s="255"/>
      <c r="FL239" s="255"/>
      <c r="FM239" s="255"/>
      <c r="FN239" s="255"/>
      <c r="FO239" s="255"/>
      <c r="FP239" s="255"/>
      <c r="FQ239" s="255"/>
      <c r="FR239" s="255"/>
      <c r="FS239" s="255"/>
      <c r="FT239" s="255"/>
      <c r="FU239" s="255"/>
      <c r="FV239" s="255"/>
      <c r="FW239" s="255"/>
      <c r="FX239" s="255"/>
      <c r="FY239" s="255"/>
      <c r="FZ239" s="255"/>
      <c r="GA239" s="255"/>
      <c r="GB239" s="255"/>
      <c r="GC239" s="255"/>
      <c r="GD239" s="255"/>
      <c r="GE239" s="255"/>
      <c r="GF239" s="255"/>
      <c r="GG239" s="255"/>
      <c r="GH239" s="255"/>
      <c r="GI239" s="255"/>
      <c r="GJ239" s="255"/>
      <c r="GK239" s="255"/>
      <c r="GL239" s="255"/>
      <c r="GM239" s="255"/>
      <c r="GN239" s="255"/>
      <c r="GO239" s="255"/>
      <c r="GP239" s="255"/>
      <c r="GQ239" s="255"/>
      <c r="GR239" s="255"/>
      <c r="GS239" s="255"/>
      <c r="GT239" s="255"/>
      <c r="GU239" s="255"/>
      <c r="GV239" s="255"/>
      <c r="GW239" s="255"/>
      <c r="GX239" s="255"/>
      <c r="GY239" s="255"/>
      <c r="GZ239" s="255"/>
      <c r="HA239" s="255"/>
      <c r="HB239" s="255"/>
      <c r="HC239" s="255"/>
      <c r="HD239" s="255"/>
      <c r="HE239" s="255"/>
      <c r="HF239" s="255"/>
      <c r="HG239" s="255"/>
      <c r="HH239" s="255"/>
      <c r="HI239" s="255"/>
      <c r="HJ239" s="255"/>
      <c r="HK239" s="255"/>
      <c r="HL239" s="255"/>
      <c r="HM239" s="255"/>
      <c r="HN239" s="255"/>
      <c r="HO239" s="255"/>
      <c r="HP239" s="255"/>
      <c r="HQ239" s="255"/>
      <c r="HR239" s="255"/>
      <c r="HS239" s="255"/>
      <c r="HT239" s="255"/>
      <c r="HU239" s="255"/>
      <c r="HV239" s="255"/>
      <c r="HW239" s="255"/>
      <c r="HX239" s="255"/>
      <c r="HY239" s="255"/>
      <c r="HZ239" s="255"/>
      <c r="IA239" s="255"/>
      <c r="IB239" s="255"/>
      <c r="IC239" s="255"/>
      <c r="ID239" s="255"/>
      <c r="IE239" s="255"/>
      <c r="IF239" s="255"/>
      <c r="IG239" s="255"/>
      <c r="IH239" s="255"/>
      <c r="II239" s="255"/>
      <c r="IJ239" s="255"/>
      <c r="IK239" s="255"/>
      <c r="IL239" s="255"/>
      <c r="IM239" s="255"/>
      <c r="IN239" s="255"/>
      <c r="IO239" s="255"/>
      <c r="IP239" s="255"/>
      <c r="IQ239" s="255"/>
      <c r="IR239" s="255"/>
      <c r="IS239" s="255"/>
      <c r="IT239" s="255"/>
      <c r="IU239" s="255"/>
      <c r="IV239" s="255"/>
      <c r="IW239" s="255"/>
      <c r="IX239" s="255"/>
      <c r="IY239" s="255"/>
      <c r="IZ239" s="255"/>
      <c r="JA239" s="255"/>
      <c r="JB239" s="255"/>
      <c r="JC239" s="255"/>
      <c r="JD239" s="255"/>
      <c r="JE239" s="255"/>
      <c r="JF239" s="255"/>
      <c r="JG239" s="191"/>
      <c r="JH239" s="255"/>
      <c r="JI239" s="255"/>
      <c r="JJ239" s="255"/>
      <c r="JK239" s="255"/>
      <c r="JL239" s="255"/>
      <c r="JM239" s="255"/>
      <c r="JN239" s="255"/>
      <c r="JO239" s="255"/>
      <c r="JP239" s="255"/>
      <c r="JQ239" s="255"/>
      <c r="JR239" s="255"/>
      <c r="JS239" s="255"/>
      <c r="JT239" s="255"/>
      <c r="JU239" s="255"/>
      <c r="JV239" s="255"/>
      <c r="JW239" s="255"/>
      <c r="JX239" s="255"/>
      <c r="JY239" s="255"/>
      <c r="JZ239" s="255"/>
      <c r="KA239" s="255"/>
      <c r="KB239" s="191"/>
    </row>
    <row r="240" spans="2:288" ht="15" customHeight="1" x14ac:dyDescent="0.35">
      <c r="B240" s="146" t="str">
        <f t="shared" si="22"/>
        <v>Desk 24</v>
      </c>
      <c r="C240" s="148" t="str">
        <v/>
      </c>
      <c r="D240" s="148" t="str">
        <v/>
      </c>
      <c r="E240" s="148" t="str">
        <v/>
      </c>
      <c r="F240" s="148" t="str">
        <v/>
      </c>
      <c r="G240" s="268" t="str">
        <v/>
      </c>
      <c r="H240" s="255"/>
      <c r="I240" s="255"/>
      <c r="J240" s="255"/>
      <c r="K240" s="255"/>
      <c r="L240" s="255"/>
      <c r="M240" s="255"/>
      <c r="N240" s="255"/>
      <c r="O240" s="255"/>
      <c r="P240" s="255"/>
      <c r="Q240" s="255"/>
      <c r="R240" s="255"/>
      <c r="S240" s="255"/>
      <c r="T240" s="255"/>
      <c r="U240" s="255"/>
      <c r="V240" s="255"/>
      <c r="W240" s="255"/>
      <c r="X240" s="255"/>
      <c r="Y240" s="255"/>
      <c r="Z240" s="255"/>
      <c r="AA240" s="255"/>
      <c r="AB240" s="255"/>
      <c r="AC240" s="255"/>
      <c r="AD240" s="255"/>
      <c r="AE240" s="255"/>
      <c r="AF240" s="255"/>
      <c r="AG240" s="255"/>
      <c r="AH240" s="255"/>
      <c r="AI240" s="255"/>
      <c r="AJ240" s="255"/>
      <c r="AK240" s="255"/>
      <c r="AL240" s="255"/>
      <c r="AM240" s="255"/>
      <c r="AN240" s="255"/>
      <c r="AO240" s="255"/>
      <c r="AP240" s="255"/>
      <c r="AQ240" s="255"/>
      <c r="AR240" s="255"/>
      <c r="AS240" s="255"/>
      <c r="AT240" s="255"/>
      <c r="AU240" s="255"/>
      <c r="AV240" s="255"/>
      <c r="AW240" s="255"/>
      <c r="AX240" s="255"/>
      <c r="AY240" s="255"/>
      <c r="AZ240" s="255"/>
      <c r="BA240" s="255"/>
      <c r="BB240" s="255"/>
      <c r="BC240" s="255"/>
      <c r="BD240" s="255"/>
      <c r="BE240" s="255"/>
      <c r="BF240" s="255"/>
      <c r="BG240" s="255"/>
      <c r="BH240" s="255"/>
      <c r="BI240" s="255"/>
      <c r="BJ240" s="255"/>
      <c r="BK240" s="255"/>
      <c r="BL240" s="255"/>
      <c r="BM240" s="255"/>
      <c r="BN240" s="255"/>
      <c r="BO240" s="255"/>
      <c r="BP240" s="255"/>
      <c r="BQ240" s="255"/>
      <c r="BR240" s="255"/>
      <c r="BS240" s="255"/>
      <c r="BT240" s="255"/>
      <c r="BU240" s="255"/>
      <c r="BV240" s="255"/>
      <c r="BW240" s="255"/>
      <c r="BX240" s="255"/>
      <c r="BY240" s="255"/>
      <c r="BZ240" s="255"/>
      <c r="CA240" s="255"/>
      <c r="CB240" s="255"/>
      <c r="CC240" s="255"/>
      <c r="CD240" s="255"/>
      <c r="CE240" s="255"/>
      <c r="CF240" s="255"/>
      <c r="CG240" s="255"/>
      <c r="CH240" s="255"/>
      <c r="CI240" s="255"/>
      <c r="CJ240" s="255"/>
      <c r="CK240" s="255"/>
      <c r="CL240" s="255"/>
      <c r="CM240" s="255"/>
      <c r="CN240" s="255"/>
      <c r="CO240" s="255"/>
      <c r="CP240" s="255"/>
      <c r="CQ240" s="255"/>
      <c r="CR240" s="255"/>
      <c r="CS240" s="255"/>
      <c r="CT240" s="255"/>
      <c r="CU240" s="255"/>
      <c r="CV240" s="255"/>
      <c r="CW240" s="255"/>
      <c r="CX240" s="255"/>
      <c r="CY240" s="255"/>
      <c r="CZ240" s="255"/>
      <c r="DA240" s="255"/>
      <c r="DB240" s="255"/>
      <c r="DC240" s="255"/>
      <c r="DD240" s="255"/>
      <c r="DE240" s="255"/>
      <c r="DF240" s="255"/>
      <c r="DG240" s="255"/>
      <c r="DH240" s="255"/>
      <c r="DI240" s="255"/>
      <c r="DJ240" s="255"/>
      <c r="DK240" s="255"/>
      <c r="DL240" s="255"/>
      <c r="DM240" s="255"/>
      <c r="DN240" s="255"/>
      <c r="DO240" s="255"/>
      <c r="DP240" s="255"/>
      <c r="DQ240" s="255"/>
      <c r="DR240" s="255"/>
      <c r="DS240" s="255"/>
      <c r="DT240" s="255"/>
      <c r="DU240" s="255"/>
      <c r="DV240" s="255"/>
      <c r="DW240" s="191"/>
      <c r="DX240" s="255"/>
      <c r="DY240" s="255"/>
      <c r="DZ240" s="255"/>
      <c r="EA240" s="255"/>
      <c r="EB240" s="255"/>
      <c r="EC240" s="255"/>
      <c r="ED240" s="255"/>
      <c r="EE240" s="255"/>
      <c r="EF240" s="255"/>
      <c r="EG240" s="255"/>
      <c r="EH240" s="255"/>
      <c r="EI240" s="255"/>
      <c r="EJ240" s="255"/>
      <c r="EK240" s="255"/>
      <c r="EL240" s="255"/>
      <c r="EM240" s="255"/>
      <c r="EN240" s="255"/>
      <c r="EO240" s="255"/>
      <c r="EP240" s="255"/>
      <c r="EQ240" s="255"/>
      <c r="ER240" s="191"/>
      <c r="ES240" s="255"/>
      <c r="ET240" s="255"/>
      <c r="EU240" s="255"/>
      <c r="EV240" s="255"/>
      <c r="EW240" s="255"/>
      <c r="EX240" s="255"/>
      <c r="EY240" s="255"/>
      <c r="EZ240" s="255"/>
      <c r="FA240" s="255"/>
      <c r="FB240" s="255"/>
      <c r="FC240" s="255"/>
      <c r="FD240" s="255"/>
      <c r="FE240" s="255"/>
      <c r="FF240" s="255"/>
      <c r="FG240" s="255"/>
      <c r="FH240" s="255"/>
      <c r="FI240" s="255"/>
      <c r="FJ240" s="255"/>
      <c r="FK240" s="255"/>
      <c r="FL240" s="255"/>
      <c r="FM240" s="255"/>
      <c r="FN240" s="255"/>
      <c r="FO240" s="255"/>
      <c r="FP240" s="255"/>
      <c r="FQ240" s="255"/>
      <c r="FR240" s="255"/>
      <c r="FS240" s="255"/>
      <c r="FT240" s="255"/>
      <c r="FU240" s="255"/>
      <c r="FV240" s="255"/>
      <c r="FW240" s="255"/>
      <c r="FX240" s="255"/>
      <c r="FY240" s="255"/>
      <c r="FZ240" s="255"/>
      <c r="GA240" s="255"/>
      <c r="GB240" s="255"/>
      <c r="GC240" s="255"/>
      <c r="GD240" s="255"/>
      <c r="GE240" s="255"/>
      <c r="GF240" s="255"/>
      <c r="GG240" s="255"/>
      <c r="GH240" s="255"/>
      <c r="GI240" s="255"/>
      <c r="GJ240" s="255"/>
      <c r="GK240" s="255"/>
      <c r="GL240" s="255"/>
      <c r="GM240" s="255"/>
      <c r="GN240" s="255"/>
      <c r="GO240" s="255"/>
      <c r="GP240" s="255"/>
      <c r="GQ240" s="255"/>
      <c r="GR240" s="255"/>
      <c r="GS240" s="255"/>
      <c r="GT240" s="255"/>
      <c r="GU240" s="255"/>
      <c r="GV240" s="255"/>
      <c r="GW240" s="255"/>
      <c r="GX240" s="255"/>
      <c r="GY240" s="255"/>
      <c r="GZ240" s="255"/>
      <c r="HA240" s="255"/>
      <c r="HB240" s="255"/>
      <c r="HC240" s="255"/>
      <c r="HD240" s="255"/>
      <c r="HE240" s="255"/>
      <c r="HF240" s="255"/>
      <c r="HG240" s="255"/>
      <c r="HH240" s="255"/>
      <c r="HI240" s="255"/>
      <c r="HJ240" s="255"/>
      <c r="HK240" s="255"/>
      <c r="HL240" s="255"/>
      <c r="HM240" s="255"/>
      <c r="HN240" s="255"/>
      <c r="HO240" s="255"/>
      <c r="HP240" s="255"/>
      <c r="HQ240" s="255"/>
      <c r="HR240" s="255"/>
      <c r="HS240" s="255"/>
      <c r="HT240" s="255"/>
      <c r="HU240" s="255"/>
      <c r="HV240" s="255"/>
      <c r="HW240" s="255"/>
      <c r="HX240" s="255"/>
      <c r="HY240" s="255"/>
      <c r="HZ240" s="255"/>
      <c r="IA240" s="255"/>
      <c r="IB240" s="255"/>
      <c r="IC240" s="255"/>
      <c r="ID240" s="255"/>
      <c r="IE240" s="255"/>
      <c r="IF240" s="255"/>
      <c r="IG240" s="255"/>
      <c r="IH240" s="255"/>
      <c r="II240" s="255"/>
      <c r="IJ240" s="255"/>
      <c r="IK240" s="255"/>
      <c r="IL240" s="255"/>
      <c r="IM240" s="255"/>
      <c r="IN240" s="255"/>
      <c r="IO240" s="255"/>
      <c r="IP240" s="255"/>
      <c r="IQ240" s="255"/>
      <c r="IR240" s="255"/>
      <c r="IS240" s="255"/>
      <c r="IT240" s="255"/>
      <c r="IU240" s="255"/>
      <c r="IV240" s="255"/>
      <c r="IW240" s="255"/>
      <c r="IX240" s="255"/>
      <c r="IY240" s="255"/>
      <c r="IZ240" s="255"/>
      <c r="JA240" s="255"/>
      <c r="JB240" s="255"/>
      <c r="JC240" s="255"/>
      <c r="JD240" s="255"/>
      <c r="JE240" s="255"/>
      <c r="JF240" s="255"/>
      <c r="JG240" s="191"/>
      <c r="JH240" s="255"/>
      <c r="JI240" s="255"/>
      <c r="JJ240" s="255"/>
      <c r="JK240" s="255"/>
      <c r="JL240" s="255"/>
      <c r="JM240" s="255"/>
      <c r="JN240" s="255"/>
      <c r="JO240" s="255"/>
      <c r="JP240" s="255"/>
      <c r="JQ240" s="255"/>
      <c r="JR240" s="255"/>
      <c r="JS240" s="255"/>
      <c r="JT240" s="255"/>
      <c r="JU240" s="255"/>
      <c r="JV240" s="255"/>
      <c r="JW240" s="255"/>
      <c r="JX240" s="255"/>
      <c r="JY240" s="255"/>
      <c r="JZ240" s="255"/>
      <c r="KA240" s="255"/>
      <c r="KB240" s="191"/>
    </row>
    <row r="241" spans="2:288" ht="15" customHeight="1" x14ac:dyDescent="0.35">
      <c r="B241" s="146" t="str">
        <f t="shared" si="22"/>
        <v>Desk 25</v>
      </c>
      <c r="C241" s="148" t="str">
        <v/>
      </c>
      <c r="D241" s="148" t="str">
        <v/>
      </c>
      <c r="E241" s="148" t="str">
        <v/>
      </c>
      <c r="F241" s="148" t="str">
        <v/>
      </c>
      <c r="G241" s="268" t="str">
        <v/>
      </c>
      <c r="H241" s="255"/>
      <c r="I241" s="255"/>
      <c r="J241" s="255"/>
      <c r="K241" s="255"/>
      <c r="L241" s="255"/>
      <c r="M241" s="255"/>
      <c r="N241" s="255"/>
      <c r="O241" s="255"/>
      <c r="P241" s="255"/>
      <c r="Q241" s="255"/>
      <c r="R241" s="255"/>
      <c r="S241" s="255"/>
      <c r="T241" s="255"/>
      <c r="U241" s="255"/>
      <c r="V241" s="255"/>
      <c r="W241" s="255"/>
      <c r="X241" s="255"/>
      <c r="Y241" s="255"/>
      <c r="Z241" s="255"/>
      <c r="AA241" s="255"/>
      <c r="AB241" s="255"/>
      <c r="AC241" s="255"/>
      <c r="AD241" s="255"/>
      <c r="AE241" s="255"/>
      <c r="AF241" s="255"/>
      <c r="AG241" s="255"/>
      <c r="AH241" s="255"/>
      <c r="AI241" s="255"/>
      <c r="AJ241" s="255"/>
      <c r="AK241" s="255"/>
      <c r="AL241" s="255"/>
      <c r="AM241" s="255"/>
      <c r="AN241" s="255"/>
      <c r="AO241" s="255"/>
      <c r="AP241" s="255"/>
      <c r="AQ241" s="255"/>
      <c r="AR241" s="255"/>
      <c r="AS241" s="255"/>
      <c r="AT241" s="255"/>
      <c r="AU241" s="255"/>
      <c r="AV241" s="255"/>
      <c r="AW241" s="255"/>
      <c r="AX241" s="255"/>
      <c r="AY241" s="255"/>
      <c r="AZ241" s="255"/>
      <c r="BA241" s="255"/>
      <c r="BB241" s="255"/>
      <c r="BC241" s="255"/>
      <c r="BD241" s="255"/>
      <c r="BE241" s="255"/>
      <c r="BF241" s="255"/>
      <c r="BG241" s="255"/>
      <c r="BH241" s="255"/>
      <c r="BI241" s="255"/>
      <c r="BJ241" s="255"/>
      <c r="BK241" s="255"/>
      <c r="BL241" s="255"/>
      <c r="BM241" s="255"/>
      <c r="BN241" s="255"/>
      <c r="BO241" s="255"/>
      <c r="BP241" s="255"/>
      <c r="BQ241" s="255"/>
      <c r="BR241" s="255"/>
      <c r="BS241" s="255"/>
      <c r="BT241" s="255"/>
      <c r="BU241" s="255"/>
      <c r="BV241" s="255"/>
      <c r="BW241" s="255"/>
      <c r="BX241" s="255"/>
      <c r="BY241" s="255"/>
      <c r="BZ241" s="255"/>
      <c r="CA241" s="255"/>
      <c r="CB241" s="255"/>
      <c r="CC241" s="255"/>
      <c r="CD241" s="255"/>
      <c r="CE241" s="255"/>
      <c r="CF241" s="255"/>
      <c r="CG241" s="255"/>
      <c r="CH241" s="255"/>
      <c r="CI241" s="255"/>
      <c r="CJ241" s="255"/>
      <c r="CK241" s="255"/>
      <c r="CL241" s="255"/>
      <c r="CM241" s="255"/>
      <c r="CN241" s="255"/>
      <c r="CO241" s="255"/>
      <c r="CP241" s="255"/>
      <c r="CQ241" s="255"/>
      <c r="CR241" s="255"/>
      <c r="CS241" s="255"/>
      <c r="CT241" s="255"/>
      <c r="CU241" s="255"/>
      <c r="CV241" s="255"/>
      <c r="CW241" s="255"/>
      <c r="CX241" s="255"/>
      <c r="CY241" s="255"/>
      <c r="CZ241" s="255"/>
      <c r="DA241" s="255"/>
      <c r="DB241" s="255"/>
      <c r="DC241" s="255"/>
      <c r="DD241" s="255"/>
      <c r="DE241" s="255"/>
      <c r="DF241" s="255"/>
      <c r="DG241" s="255"/>
      <c r="DH241" s="255"/>
      <c r="DI241" s="255"/>
      <c r="DJ241" s="255"/>
      <c r="DK241" s="255"/>
      <c r="DL241" s="255"/>
      <c r="DM241" s="255"/>
      <c r="DN241" s="255"/>
      <c r="DO241" s="255"/>
      <c r="DP241" s="255"/>
      <c r="DQ241" s="255"/>
      <c r="DR241" s="255"/>
      <c r="DS241" s="255"/>
      <c r="DT241" s="255"/>
      <c r="DU241" s="255"/>
      <c r="DV241" s="255"/>
      <c r="DW241" s="191"/>
      <c r="DX241" s="255"/>
      <c r="DY241" s="255"/>
      <c r="DZ241" s="255"/>
      <c r="EA241" s="255"/>
      <c r="EB241" s="255"/>
      <c r="EC241" s="255"/>
      <c r="ED241" s="255"/>
      <c r="EE241" s="255"/>
      <c r="EF241" s="255"/>
      <c r="EG241" s="255"/>
      <c r="EH241" s="255"/>
      <c r="EI241" s="255"/>
      <c r="EJ241" s="255"/>
      <c r="EK241" s="255"/>
      <c r="EL241" s="255"/>
      <c r="EM241" s="255"/>
      <c r="EN241" s="255"/>
      <c r="EO241" s="255"/>
      <c r="EP241" s="255"/>
      <c r="EQ241" s="255"/>
      <c r="ER241" s="191"/>
      <c r="ES241" s="255"/>
      <c r="ET241" s="255"/>
      <c r="EU241" s="255"/>
      <c r="EV241" s="255"/>
      <c r="EW241" s="255"/>
      <c r="EX241" s="255"/>
      <c r="EY241" s="255"/>
      <c r="EZ241" s="255"/>
      <c r="FA241" s="255"/>
      <c r="FB241" s="255"/>
      <c r="FC241" s="255"/>
      <c r="FD241" s="255"/>
      <c r="FE241" s="255"/>
      <c r="FF241" s="255"/>
      <c r="FG241" s="255"/>
      <c r="FH241" s="255"/>
      <c r="FI241" s="255"/>
      <c r="FJ241" s="255"/>
      <c r="FK241" s="255"/>
      <c r="FL241" s="255"/>
      <c r="FM241" s="255"/>
      <c r="FN241" s="255"/>
      <c r="FO241" s="255"/>
      <c r="FP241" s="255"/>
      <c r="FQ241" s="255"/>
      <c r="FR241" s="255"/>
      <c r="FS241" s="255"/>
      <c r="FT241" s="255"/>
      <c r="FU241" s="255"/>
      <c r="FV241" s="255"/>
      <c r="FW241" s="255"/>
      <c r="FX241" s="255"/>
      <c r="FY241" s="255"/>
      <c r="FZ241" s="255"/>
      <c r="GA241" s="255"/>
      <c r="GB241" s="255"/>
      <c r="GC241" s="255"/>
      <c r="GD241" s="255"/>
      <c r="GE241" s="255"/>
      <c r="GF241" s="255"/>
      <c r="GG241" s="255"/>
      <c r="GH241" s="255"/>
      <c r="GI241" s="255"/>
      <c r="GJ241" s="255"/>
      <c r="GK241" s="255"/>
      <c r="GL241" s="255"/>
      <c r="GM241" s="255"/>
      <c r="GN241" s="255"/>
      <c r="GO241" s="255"/>
      <c r="GP241" s="255"/>
      <c r="GQ241" s="255"/>
      <c r="GR241" s="255"/>
      <c r="GS241" s="255"/>
      <c r="GT241" s="255"/>
      <c r="GU241" s="255"/>
      <c r="GV241" s="255"/>
      <c r="GW241" s="255"/>
      <c r="GX241" s="255"/>
      <c r="GY241" s="255"/>
      <c r="GZ241" s="255"/>
      <c r="HA241" s="255"/>
      <c r="HB241" s="255"/>
      <c r="HC241" s="255"/>
      <c r="HD241" s="255"/>
      <c r="HE241" s="255"/>
      <c r="HF241" s="255"/>
      <c r="HG241" s="255"/>
      <c r="HH241" s="255"/>
      <c r="HI241" s="255"/>
      <c r="HJ241" s="255"/>
      <c r="HK241" s="255"/>
      <c r="HL241" s="255"/>
      <c r="HM241" s="255"/>
      <c r="HN241" s="255"/>
      <c r="HO241" s="255"/>
      <c r="HP241" s="255"/>
      <c r="HQ241" s="255"/>
      <c r="HR241" s="255"/>
      <c r="HS241" s="255"/>
      <c r="HT241" s="255"/>
      <c r="HU241" s="255"/>
      <c r="HV241" s="255"/>
      <c r="HW241" s="255"/>
      <c r="HX241" s="255"/>
      <c r="HY241" s="255"/>
      <c r="HZ241" s="255"/>
      <c r="IA241" s="255"/>
      <c r="IB241" s="255"/>
      <c r="IC241" s="255"/>
      <c r="ID241" s="255"/>
      <c r="IE241" s="255"/>
      <c r="IF241" s="255"/>
      <c r="IG241" s="255"/>
      <c r="IH241" s="255"/>
      <c r="II241" s="255"/>
      <c r="IJ241" s="255"/>
      <c r="IK241" s="255"/>
      <c r="IL241" s="255"/>
      <c r="IM241" s="255"/>
      <c r="IN241" s="255"/>
      <c r="IO241" s="255"/>
      <c r="IP241" s="255"/>
      <c r="IQ241" s="255"/>
      <c r="IR241" s="255"/>
      <c r="IS241" s="255"/>
      <c r="IT241" s="255"/>
      <c r="IU241" s="255"/>
      <c r="IV241" s="255"/>
      <c r="IW241" s="255"/>
      <c r="IX241" s="255"/>
      <c r="IY241" s="255"/>
      <c r="IZ241" s="255"/>
      <c r="JA241" s="255"/>
      <c r="JB241" s="255"/>
      <c r="JC241" s="255"/>
      <c r="JD241" s="255"/>
      <c r="JE241" s="255"/>
      <c r="JF241" s="255"/>
      <c r="JG241" s="191"/>
      <c r="JH241" s="255"/>
      <c r="JI241" s="255"/>
      <c r="JJ241" s="255"/>
      <c r="JK241" s="255"/>
      <c r="JL241" s="255"/>
      <c r="JM241" s="255"/>
      <c r="JN241" s="255"/>
      <c r="JO241" s="255"/>
      <c r="JP241" s="255"/>
      <c r="JQ241" s="255"/>
      <c r="JR241" s="255"/>
      <c r="JS241" s="255"/>
      <c r="JT241" s="255"/>
      <c r="JU241" s="255"/>
      <c r="JV241" s="255"/>
      <c r="JW241" s="255"/>
      <c r="JX241" s="255"/>
      <c r="JY241" s="255"/>
      <c r="JZ241" s="255"/>
      <c r="KA241" s="255"/>
      <c r="KB241" s="191"/>
    </row>
    <row r="242" spans="2:288" ht="15" customHeight="1" x14ac:dyDescent="0.35">
      <c r="B242" s="146" t="str">
        <f t="shared" si="22"/>
        <v>Desk 26</v>
      </c>
      <c r="C242" s="148" t="str">
        <v/>
      </c>
      <c r="D242" s="148" t="str">
        <v/>
      </c>
      <c r="E242" s="148" t="str">
        <v/>
      </c>
      <c r="F242" s="148" t="str">
        <v/>
      </c>
      <c r="G242" s="268" t="str">
        <v/>
      </c>
      <c r="H242" s="255"/>
      <c r="I242" s="255"/>
      <c r="J242" s="255"/>
      <c r="K242" s="255"/>
      <c r="L242" s="255"/>
      <c r="M242" s="255"/>
      <c r="N242" s="255"/>
      <c r="O242" s="255"/>
      <c r="P242" s="255"/>
      <c r="Q242" s="255"/>
      <c r="R242" s="255"/>
      <c r="S242" s="255"/>
      <c r="T242" s="255"/>
      <c r="U242" s="255"/>
      <c r="V242" s="255"/>
      <c r="W242" s="255"/>
      <c r="X242" s="255"/>
      <c r="Y242" s="255"/>
      <c r="Z242" s="255"/>
      <c r="AA242" s="255"/>
      <c r="AB242" s="255"/>
      <c r="AC242" s="255"/>
      <c r="AD242" s="255"/>
      <c r="AE242" s="255"/>
      <c r="AF242" s="255"/>
      <c r="AG242" s="255"/>
      <c r="AH242" s="255"/>
      <c r="AI242" s="255"/>
      <c r="AJ242" s="255"/>
      <c r="AK242" s="255"/>
      <c r="AL242" s="255"/>
      <c r="AM242" s="255"/>
      <c r="AN242" s="255"/>
      <c r="AO242" s="255"/>
      <c r="AP242" s="255"/>
      <c r="AQ242" s="255"/>
      <c r="AR242" s="255"/>
      <c r="AS242" s="255"/>
      <c r="AT242" s="255"/>
      <c r="AU242" s="255"/>
      <c r="AV242" s="255"/>
      <c r="AW242" s="255"/>
      <c r="AX242" s="255"/>
      <c r="AY242" s="255"/>
      <c r="AZ242" s="255"/>
      <c r="BA242" s="255"/>
      <c r="BB242" s="255"/>
      <c r="BC242" s="255"/>
      <c r="BD242" s="255"/>
      <c r="BE242" s="255"/>
      <c r="BF242" s="255"/>
      <c r="BG242" s="255"/>
      <c r="BH242" s="255"/>
      <c r="BI242" s="255"/>
      <c r="BJ242" s="255"/>
      <c r="BK242" s="255"/>
      <c r="BL242" s="255"/>
      <c r="BM242" s="255"/>
      <c r="BN242" s="255"/>
      <c r="BO242" s="255"/>
      <c r="BP242" s="255"/>
      <c r="BQ242" s="255"/>
      <c r="BR242" s="255"/>
      <c r="BS242" s="255"/>
      <c r="BT242" s="255"/>
      <c r="BU242" s="255"/>
      <c r="BV242" s="255"/>
      <c r="BW242" s="255"/>
      <c r="BX242" s="255"/>
      <c r="BY242" s="255"/>
      <c r="BZ242" s="255"/>
      <c r="CA242" s="255"/>
      <c r="CB242" s="255"/>
      <c r="CC242" s="255"/>
      <c r="CD242" s="255"/>
      <c r="CE242" s="255"/>
      <c r="CF242" s="255"/>
      <c r="CG242" s="255"/>
      <c r="CH242" s="255"/>
      <c r="CI242" s="255"/>
      <c r="CJ242" s="255"/>
      <c r="CK242" s="255"/>
      <c r="CL242" s="255"/>
      <c r="CM242" s="255"/>
      <c r="CN242" s="255"/>
      <c r="CO242" s="255"/>
      <c r="CP242" s="255"/>
      <c r="CQ242" s="255"/>
      <c r="CR242" s="255"/>
      <c r="CS242" s="255"/>
      <c r="CT242" s="255"/>
      <c r="CU242" s="255"/>
      <c r="CV242" s="255"/>
      <c r="CW242" s="255"/>
      <c r="CX242" s="255"/>
      <c r="CY242" s="255"/>
      <c r="CZ242" s="255"/>
      <c r="DA242" s="255"/>
      <c r="DB242" s="255"/>
      <c r="DC242" s="255"/>
      <c r="DD242" s="255"/>
      <c r="DE242" s="255"/>
      <c r="DF242" s="255"/>
      <c r="DG242" s="255"/>
      <c r="DH242" s="255"/>
      <c r="DI242" s="255"/>
      <c r="DJ242" s="255"/>
      <c r="DK242" s="255"/>
      <c r="DL242" s="255"/>
      <c r="DM242" s="255"/>
      <c r="DN242" s="255"/>
      <c r="DO242" s="255"/>
      <c r="DP242" s="255"/>
      <c r="DQ242" s="255"/>
      <c r="DR242" s="255"/>
      <c r="DS242" s="255"/>
      <c r="DT242" s="255"/>
      <c r="DU242" s="255"/>
      <c r="DV242" s="255"/>
      <c r="DW242" s="191"/>
      <c r="DX242" s="255"/>
      <c r="DY242" s="255"/>
      <c r="DZ242" s="255"/>
      <c r="EA242" s="255"/>
      <c r="EB242" s="255"/>
      <c r="EC242" s="255"/>
      <c r="ED242" s="255"/>
      <c r="EE242" s="255"/>
      <c r="EF242" s="255"/>
      <c r="EG242" s="255"/>
      <c r="EH242" s="255"/>
      <c r="EI242" s="255"/>
      <c r="EJ242" s="255"/>
      <c r="EK242" s="255"/>
      <c r="EL242" s="255"/>
      <c r="EM242" s="255"/>
      <c r="EN242" s="255"/>
      <c r="EO242" s="255"/>
      <c r="EP242" s="255"/>
      <c r="EQ242" s="255"/>
      <c r="ER242" s="191"/>
      <c r="ES242" s="255"/>
      <c r="ET242" s="255"/>
      <c r="EU242" s="255"/>
      <c r="EV242" s="255"/>
      <c r="EW242" s="255"/>
      <c r="EX242" s="255"/>
      <c r="EY242" s="255"/>
      <c r="EZ242" s="255"/>
      <c r="FA242" s="255"/>
      <c r="FB242" s="255"/>
      <c r="FC242" s="255"/>
      <c r="FD242" s="255"/>
      <c r="FE242" s="255"/>
      <c r="FF242" s="255"/>
      <c r="FG242" s="255"/>
      <c r="FH242" s="255"/>
      <c r="FI242" s="255"/>
      <c r="FJ242" s="255"/>
      <c r="FK242" s="255"/>
      <c r="FL242" s="255"/>
      <c r="FM242" s="255"/>
      <c r="FN242" s="255"/>
      <c r="FO242" s="255"/>
      <c r="FP242" s="255"/>
      <c r="FQ242" s="255"/>
      <c r="FR242" s="255"/>
      <c r="FS242" s="255"/>
      <c r="FT242" s="255"/>
      <c r="FU242" s="255"/>
      <c r="FV242" s="255"/>
      <c r="FW242" s="255"/>
      <c r="FX242" s="255"/>
      <c r="FY242" s="255"/>
      <c r="FZ242" s="255"/>
      <c r="GA242" s="255"/>
      <c r="GB242" s="255"/>
      <c r="GC242" s="255"/>
      <c r="GD242" s="255"/>
      <c r="GE242" s="255"/>
      <c r="GF242" s="255"/>
      <c r="GG242" s="255"/>
      <c r="GH242" s="255"/>
      <c r="GI242" s="255"/>
      <c r="GJ242" s="255"/>
      <c r="GK242" s="255"/>
      <c r="GL242" s="255"/>
      <c r="GM242" s="255"/>
      <c r="GN242" s="255"/>
      <c r="GO242" s="255"/>
      <c r="GP242" s="255"/>
      <c r="GQ242" s="255"/>
      <c r="GR242" s="255"/>
      <c r="GS242" s="255"/>
      <c r="GT242" s="255"/>
      <c r="GU242" s="255"/>
      <c r="GV242" s="255"/>
      <c r="GW242" s="255"/>
      <c r="GX242" s="255"/>
      <c r="GY242" s="255"/>
      <c r="GZ242" s="255"/>
      <c r="HA242" s="255"/>
      <c r="HB242" s="255"/>
      <c r="HC242" s="255"/>
      <c r="HD242" s="255"/>
      <c r="HE242" s="255"/>
      <c r="HF242" s="255"/>
      <c r="HG242" s="255"/>
      <c r="HH242" s="255"/>
      <c r="HI242" s="255"/>
      <c r="HJ242" s="255"/>
      <c r="HK242" s="255"/>
      <c r="HL242" s="255"/>
      <c r="HM242" s="255"/>
      <c r="HN242" s="255"/>
      <c r="HO242" s="255"/>
      <c r="HP242" s="255"/>
      <c r="HQ242" s="255"/>
      <c r="HR242" s="255"/>
      <c r="HS242" s="255"/>
      <c r="HT242" s="255"/>
      <c r="HU242" s="255"/>
      <c r="HV242" s="255"/>
      <c r="HW242" s="255"/>
      <c r="HX242" s="255"/>
      <c r="HY242" s="255"/>
      <c r="HZ242" s="255"/>
      <c r="IA242" s="255"/>
      <c r="IB242" s="255"/>
      <c r="IC242" s="255"/>
      <c r="ID242" s="255"/>
      <c r="IE242" s="255"/>
      <c r="IF242" s="255"/>
      <c r="IG242" s="255"/>
      <c r="IH242" s="255"/>
      <c r="II242" s="255"/>
      <c r="IJ242" s="255"/>
      <c r="IK242" s="255"/>
      <c r="IL242" s="255"/>
      <c r="IM242" s="255"/>
      <c r="IN242" s="255"/>
      <c r="IO242" s="255"/>
      <c r="IP242" s="255"/>
      <c r="IQ242" s="255"/>
      <c r="IR242" s="255"/>
      <c r="IS242" s="255"/>
      <c r="IT242" s="255"/>
      <c r="IU242" s="255"/>
      <c r="IV242" s="255"/>
      <c r="IW242" s="255"/>
      <c r="IX242" s="255"/>
      <c r="IY242" s="255"/>
      <c r="IZ242" s="255"/>
      <c r="JA242" s="255"/>
      <c r="JB242" s="255"/>
      <c r="JC242" s="255"/>
      <c r="JD242" s="255"/>
      <c r="JE242" s="255"/>
      <c r="JF242" s="255"/>
      <c r="JG242" s="191"/>
      <c r="JH242" s="255"/>
      <c r="JI242" s="255"/>
      <c r="JJ242" s="255"/>
      <c r="JK242" s="255"/>
      <c r="JL242" s="255"/>
      <c r="JM242" s="255"/>
      <c r="JN242" s="255"/>
      <c r="JO242" s="255"/>
      <c r="JP242" s="255"/>
      <c r="JQ242" s="255"/>
      <c r="JR242" s="255"/>
      <c r="JS242" s="255"/>
      <c r="JT242" s="255"/>
      <c r="JU242" s="255"/>
      <c r="JV242" s="255"/>
      <c r="JW242" s="255"/>
      <c r="JX242" s="255"/>
      <c r="JY242" s="255"/>
      <c r="JZ242" s="255"/>
      <c r="KA242" s="255"/>
      <c r="KB242" s="191"/>
    </row>
    <row r="243" spans="2:288" ht="15" customHeight="1" x14ac:dyDescent="0.35">
      <c r="B243" s="146" t="str">
        <f t="shared" si="22"/>
        <v>Desk 27</v>
      </c>
      <c r="C243" s="148" t="str">
        <v/>
      </c>
      <c r="D243" s="148" t="str">
        <v/>
      </c>
      <c r="E243" s="148" t="str">
        <v/>
      </c>
      <c r="F243" s="148" t="str">
        <v/>
      </c>
      <c r="G243" s="268" t="str">
        <v/>
      </c>
      <c r="H243" s="255"/>
      <c r="I243" s="255"/>
      <c r="J243" s="255"/>
      <c r="K243" s="255"/>
      <c r="L243" s="255"/>
      <c r="M243" s="255"/>
      <c r="N243" s="255"/>
      <c r="O243" s="255"/>
      <c r="P243" s="255"/>
      <c r="Q243" s="255"/>
      <c r="R243" s="255"/>
      <c r="S243" s="255"/>
      <c r="T243" s="255"/>
      <c r="U243" s="255"/>
      <c r="V243" s="255"/>
      <c r="W243" s="255"/>
      <c r="X243" s="255"/>
      <c r="Y243" s="255"/>
      <c r="Z243" s="255"/>
      <c r="AA243" s="255"/>
      <c r="AB243" s="255"/>
      <c r="AC243" s="255"/>
      <c r="AD243" s="255"/>
      <c r="AE243" s="255"/>
      <c r="AF243" s="255"/>
      <c r="AG243" s="255"/>
      <c r="AH243" s="255"/>
      <c r="AI243" s="255"/>
      <c r="AJ243" s="255"/>
      <c r="AK243" s="255"/>
      <c r="AL243" s="255"/>
      <c r="AM243" s="255"/>
      <c r="AN243" s="255"/>
      <c r="AO243" s="255"/>
      <c r="AP243" s="255"/>
      <c r="AQ243" s="255"/>
      <c r="AR243" s="255"/>
      <c r="AS243" s="255"/>
      <c r="AT243" s="255"/>
      <c r="AU243" s="255"/>
      <c r="AV243" s="255"/>
      <c r="AW243" s="255"/>
      <c r="AX243" s="255"/>
      <c r="AY243" s="255"/>
      <c r="AZ243" s="255"/>
      <c r="BA243" s="255"/>
      <c r="BB243" s="255"/>
      <c r="BC243" s="255"/>
      <c r="BD243" s="255"/>
      <c r="BE243" s="255"/>
      <c r="BF243" s="255"/>
      <c r="BG243" s="255"/>
      <c r="BH243" s="255"/>
      <c r="BI243" s="255"/>
      <c r="BJ243" s="255"/>
      <c r="BK243" s="255"/>
      <c r="BL243" s="255"/>
      <c r="BM243" s="255"/>
      <c r="BN243" s="255"/>
      <c r="BO243" s="255"/>
      <c r="BP243" s="255"/>
      <c r="BQ243" s="255"/>
      <c r="BR243" s="255"/>
      <c r="BS243" s="255"/>
      <c r="BT243" s="255"/>
      <c r="BU243" s="255"/>
      <c r="BV243" s="255"/>
      <c r="BW243" s="255"/>
      <c r="BX243" s="255"/>
      <c r="BY243" s="255"/>
      <c r="BZ243" s="255"/>
      <c r="CA243" s="255"/>
      <c r="CB243" s="255"/>
      <c r="CC243" s="255"/>
      <c r="CD243" s="255"/>
      <c r="CE243" s="255"/>
      <c r="CF243" s="255"/>
      <c r="CG243" s="255"/>
      <c r="CH243" s="255"/>
      <c r="CI243" s="255"/>
      <c r="CJ243" s="255"/>
      <c r="CK243" s="255"/>
      <c r="CL243" s="255"/>
      <c r="CM243" s="255"/>
      <c r="CN243" s="255"/>
      <c r="CO243" s="255"/>
      <c r="CP243" s="255"/>
      <c r="CQ243" s="255"/>
      <c r="CR243" s="255"/>
      <c r="CS243" s="255"/>
      <c r="CT243" s="255"/>
      <c r="CU243" s="255"/>
      <c r="CV243" s="255"/>
      <c r="CW243" s="255"/>
      <c r="CX243" s="255"/>
      <c r="CY243" s="255"/>
      <c r="CZ243" s="255"/>
      <c r="DA243" s="255"/>
      <c r="DB243" s="255"/>
      <c r="DC243" s="255"/>
      <c r="DD243" s="255"/>
      <c r="DE243" s="255"/>
      <c r="DF243" s="255"/>
      <c r="DG243" s="255"/>
      <c r="DH243" s="255"/>
      <c r="DI243" s="255"/>
      <c r="DJ243" s="255"/>
      <c r="DK243" s="255"/>
      <c r="DL243" s="255"/>
      <c r="DM243" s="255"/>
      <c r="DN243" s="255"/>
      <c r="DO243" s="255"/>
      <c r="DP243" s="255"/>
      <c r="DQ243" s="255"/>
      <c r="DR243" s="255"/>
      <c r="DS243" s="255"/>
      <c r="DT243" s="255"/>
      <c r="DU243" s="255"/>
      <c r="DV243" s="255"/>
      <c r="DW243" s="191"/>
      <c r="DX243" s="255"/>
      <c r="DY243" s="255"/>
      <c r="DZ243" s="255"/>
      <c r="EA243" s="255"/>
      <c r="EB243" s="255"/>
      <c r="EC243" s="255"/>
      <c r="ED243" s="255"/>
      <c r="EE243" s="255"/>
      <c r="EF243" s="255"/>
      <c r="EG243" s="255"/>
      <c r="EH243" s="255"/>
      <c r="EI243" s="255"/>
      <c r="EJ243" s="255"/>
      <c r="EK243" s="255"/>
      <c r="EL243" s="255"/>
      <c r="EM243" s="255"/>
      <c r="EN243" s="255"/>
      <c r="EO243" s="255"/>
      <c r="EP243" s="255"/>
      <c r="EQ243" s="255"/>
      <c r="ER243" s="191"/>
      <c r="ES243" s="255"/>
      <c r="ET243" s="255"/>
      <c r="EU243" s="255"/>
      <c r="EV243" s="255"/>
      <c r="EW243" s="255"/>
      <c r="EX243" s="255"/>
      <c r="EY243" s="255"/>
      <c r="EZ243" s="255"/>
      <c r="FA243" s="255"/>
      <c r="FB243" s="255"/>
      <c r="FC243" s="255"/>
      <c r="FD243" s="255"/>
      <c r="FE243" s="255"/>
      <c r="FF243" s="255"/>
      <c r="FG243" s="255"/>
      <c r="FH243" s="255"/>
      <c r="FI243" s="255"/>
      <c r="FJ243" s="255"/>
      <c r="FK243" s="255"/>
      <c r="FL243" s="255"/>
      <c r="FM243" s="255"/>
      <c r="FN243" s="255"/>
      <c r="FO243" s="255"/>
      <c r="FP243" s="255"/>
      <c r="FQ243" s="255"/>
      <c r="FR243" s="255"/>
      <c r="FS243" s="255"/>
      <c r="FT243" s="255"/>
      <c r="FU243" s="255"/>
      <c r="FV243" s="255"/>
      <c r="FW243" s="255"/>
      <c r="FX243" s="255"/>
      <c r="FY243" s="255"/>
      <c r="FZ243" s="255"/>
      <c r="GA243" s="255"/>
      <c r="GB243" s="255"/>
      <c r="GC243" s="255"/>
      <c r="GD243" s="255"/>
      <c r="GE243" s="255"/>
      <c r="GF243" s="255"/>
      <c r="GG243" s="255"/>
      <c r="GH243" s="255"/>
      <c r="GI243" s="255"/>
      <c r="GJ243" s="255"/>
      <c r="GK243" s="255"/>
      <c r="GL243" s="255"/>
      <c r="GM243" s="255"/>
      <c r="GN243" s="255"/>
      <c r="GO243" s="255"/>
      <c r="GP243" s="255"/>
      <c r="GQ243" s="255"/>
      <c r="GR243" s="255"/>
      <c r="GS243" s="255"/>
      <c r="GT243" s="255"/>
      <c r="GU243" s="255"/>
      <c r="GV243" s="255"/>
      <c r="GW243" s="255"/>
      <c r="GX243" s="255"/>
      <c r="GY243" s="255"/>
      <c r="GZ243" s="255"/>
      <c r="HA243" s="255"/>
      <c r="HB243" s="255"/>
      <c r="HC243" s="255"/>
      <c r="HD243" s="255"/>
      <c r="HE243" s="255"/>
      <c r="HF243" s="255"/>
      <c r="HG243" s="255"/>
      <c r="HH243" s="255"/>
      <c r="HI243" s="255"/>
      <c r="HJ243" s="255"/>
      <c r="HK243" s="255"/>
      <c r="HL243" s="255"/>
      <c r="HM243" s="255"/>
      <c r="HN243" s="255"/>
      <c r="HO243" s="255"/>
      <c r="HP243" s="255"/>
      <c r="HQ243" s="255"/>
      <c r="HR243" s="255"/>
      <c r="HS243" s="255"/>
      <c r="HT243" s="255"/>
      <c r="HU243" s="255"/>
      <c r="HV243" s="255"/>
      <c r="HW243" s="255"/>
      <c r="HX243" s="255"/>
      <c r="HY243" s="255"/>
      <c r="HZ243" s="255"/>
      <c r="IA243" s="255"/>
      <c r="IB243" s="255"/>
      <c r="IC243" s="255"/>
      <c r="ID243" s="255"/>
      <c r="IE243" s="255"/>
      <c r="IF243" s="255"/>
      <c r="IG243" s="255"/>
      <c r="IH243" s="255"/>
      <c r="II243" s="255"/>
      <c r="IJ243" s="255"/>
      <c r="IK243" s="255"/>
      <c r="IL243" s="255"/>
      <c r="IM243" s="255"/>
      <c r="IN243" s="255"/>
      <c r="IO243" s="255"/>
      <c r="IP243" s="255"/>
      <c r="IQ243" s="255"/>
      <c r="IR243" s="255"/>
      <c r="IS243" s="255"/>
      <c r="IT243" s="255"/>
      <c r="IU243" s="255"/>
      <c r="IV243" s="255"/>
      <c r="IW243" s="255"/>
      <c r="IX243" s="255"/>
      <c r="IY243" s="255"/>
      <c r="IZ243" s="255"/>
      <c r="JA243" s="255"/>
      <c r="JB243" s="255"/>
      <c r="JC243" s="255"/>
      <c r="JD243" s="255"/>
      <c r="JE243" s="255"/>
      <c r="JF243" s="255"/>
      <c r="JG243" s="191"/>
      <c r="JH243" s="255"/>
      <c r="JI243" s="255"/>
      <c r="JJ243" s="255"/>
      <c r="JK243" s="255"/>
      <c r="JL243" s="255"/>
      <c r="JM243" s="255"/>
      <c r="JN243" s="255"/>
      <c r="JO243" s="255"/>
      <c r="JP243" s="255"/>
      <c r="JQ243" s="255"/>
      <c r="JR243" s="255"/>
      <c r="JS243" s="255"/>
      <c r="JT243" s="255"/>
      <c r="JU243" s="255"/>
      <c r="JV243" s="255"/>
      <c r="JW243" s="255"/>
      <c r="JX243" s="255"/>
      <c r="JY243" s="255"/>
      <c r="JZ243" s="255"/>
      <c r="KA243" s="255"/>
      <c r="KB243" s="191"/>
    </row>
    <row r="244" spans="2:288" ht="15" customHeight="1" x14ac:dyDescent="0.35">
      <c r="B244" s="146" t="str">
        <f t="shared" si="22"/>
        <v>Desk 28</v>
      </c>
      <c r="C244" s="148" t="str">
        <v/>
      </c>
      <c r="D244" s="148" t="str">
        <v/>
      </c>
      <c r="E244" s="148" t="str">
        <v/>
      </c>
      <c r="F244" s="148" t="str">
        <v/>
      </c>
      <c r="G244" s="268" t="str">
        <v/>
      </c>
      <c r="H244" s="255"/>
      <c r="I244" s="255"/>
      <c r="J244" s="255"/>
      <c r="K244" s="255"/>
      <c r="L244" s="255"/>
      <c r="M244" s="255"/>
      <c r="N244" s="255"/>
      <c r="O244" s="255"/>
      <c r="P244" s="255"/>
      <c r="Q244" s="255"/>
      <c r="R244" s="255"/>
      <c r="S244" s="255"/>
      <c r="T244" s="255"/>
      <c r="U244" s="255"/>
      <c r="V244" s="255"/>
      <c r="W244" s="255"/>
      <c r="X244" s="255"/>
      <c r="Y244" s="255"/>
      <c r="Z244" s="255"/>
      <c r="AA244" s="255"/>
      <c r="AB244" s="255"/>
      <c r="AC244" s="255"/>
      <c r="AD244" s="255"/>
      <c r="AE244" s="255"/>
      <c r="AF244" s="255"/>
      <c r="AG244" s="255"/>
      <c r="AH244" s="255"/>
      <c r="AI244" s="255"/>
      <c r="AJ244" s="255"/>
      <c r="AK244" s="255"/>
      <c r="AL244" s="255"/>
      <c r="AM244" s="255"/>
      <c r="AN244" s="255"/>
      <c r="AO244" s="255"/>
      <c r="AP244" s="255"/>
      <c r="AQ244" s="255"/>
      <c r="AR244" s="255"/>
      <c r="AS244" s="255"/>
      <c r="AT244" s="255"/>
      <c r="AU244" s="255"/>
      <c r="AV244" s="255"/>
      <c r="AW244" s="255"/>
      <c r="AX244" s="255"/>
      <c r="AY244" s="255"/>
      <c r="AZ244" s="255"/>
      <c r="BA244" s="255"/>
      <c r="BB244" s="255"/>
      <c r="BC244" s="255"/>
      <c r="BD244" s="255"/>
      <c r="BE244" s="255"/>
      <c r="BF244" s="255"/>
      <c r="BG244" s="255"/>
      <c r="BH244" s="255"/>
      <c r="BI244" s="255"/>
      <c r="BJ244" s="255"/>
      <c r="BK244" s="255"/>
      <c r="BL244" s="255"/>
      <c r="BM244" s="255"/>
      <c r="BN244" s="255"/>
      <c r="BO244" s="255"/>
      <c r="BP244" s="255"/>
      <c r="BQ244" s="255"/>
      <c r="BR244" s="255"/>
      <c r="BS244" s="255"/>
      <c r="BT244" s="255"/>
      <c r="BU244" s="255"/>
      <c r="BV244" s="255"/>
      <c r="BW244" s="255"/>
      <c r="BX244" s="255"/>
      <c r="BY244" s="255"/>
      <c r="BZ244" s="255"/>
      <c r="CA244" s="255"/>
      <c r="CB244" s="255"/>
      <c r="CC244" s="255"/>
      <c r="CD244" s="255"/>
      <c r="CE244" s="255"/>
      <c r="CF244" s="255"/>
      <c r="CG244" s="255"/>
      <c r="CH244" s="255"/>
      <c r="CI244" s="255"/>
      <c r="CJ244" s="255"/>
      <c r="CK244" s="255"/>
      <c r="CL244" s="255"/>
      <c r="CM244" s="255"/>
      <c r="CN244" s="255"/>
      <c r="CO244" s="255"/>
      <c r="CP244" s="255"/>
      <c r="CQ244" s="255"/>
      <c r="CR244" s="255"/>
      <c r="CS244" s="255"/>
      <c r="CT244" s="255"/>
      <c r="CU244" s="255"/>
      <c r="CV244" s="255"/>
      <c r="CW244" s="255"/>
      <c r="CX244" s="255"/>
      <c r="CY244" s="255"/>
      <c r="CZ244" s="255"/>
      <c r="DA244" s="255"/>
      <c r="DB244" s="255"/>
      <c r="DC244" s="255"/>
      <c r="DD244" s="255"/>
      <c r="DE244" s="255"/>
      <c r="DF244" s="255"/>
      <c r="DG244" s="255"/>
      <c r="DH244" s="255"/>
      <c r="DI244" s="255"/>
      <c r="DJ244" s="255"/>
      <c r="DK244" s="255"/>
      <c r="DL244" s="255"/>
      <c r="DM244" s="255"/>
      <c r="DN244" s="255"/>
      <c r="DO244" s="255"/>
      <c r="DP244" s="255"/>
      <c r="DQ244" s="255"/>
      <c r="DR244" s="255"/>
      <c r="DS244" s="255"/>
      <c r="DT244" s="255"/>
      <c r="DU244" s="255"/>
      <c r="DV244" s="255"/>
      <c r="DW244" s="191"/>
      <c r="DX244" s="255"/>
      <c r="DY244" s="255"/>
      <c r="DZ244" s="255"/>
      <c r="EA244" s="255"/>
      <c r="EB244" s="255"/>
      <c r="EC244" s="255"/>
      <c r="ED244" s="255"/>
      <c r="EE244" s="255"/>
      <c r="EF244" s="255"/>
      <c r="EG244" s="255"/>
      <c r="EH244" s="255"/>
      <c r="EI244" s="255"/>
      <c r="EJ244" s="255"/>
      <c r="EK244" s="255"/>
      <c r="EL244" s="255"/>
      <c r="EM244" s="255"/>
      <c r="EN244" s="255"/>
      <c r="EO244" s="255"/>
      <c r="EP244" s="255"/>
      <c r="EQ244" s="255"/>
      <c r="ER244" s="191"/>
      <c r="ES244" s="255"/>
      <c r="ET244" s="255"/>
      <c r="EU244" s="255"/>
      <c r="EV244" s="255"/>
      <c r="EW244" s="255"/>
      <c r="EX244" s="255"/>
      <c r="EY244" s="255"/>
      <c r="EZ244" s="255"/>
      <c r="FA244" s="255"/>
      <c r="FB244" s="255"/>
      <c r="FC244" s="255"/>
      <c r="FD244" s="255"/>
      <c r="FE244" s="255"/>
      <c r="FF244" s="255"/>
      <c r="FG244" s="255"/>
      <c r="FH244" s="255"/>
      <c r="FI244" s="255"/>
      <c r="FJ244" s="255"/>
      <c r="FK244" s="255"/>
      <c r="FL244" s="255"/>
      <c r="FM244" s="255"/>
      <c r="FN244" s="255"/>
      <c r="FO244" s="255"/>
      <c r="FP244" s="255"/>
      <c r="FQ244" s="255"/>
      <c r="FR244" s="255"/>
      <c r="FS244" s="255"/>
      <c r="FT244" s="255"/>
      <c r="FU244" s="255"/>
      <c r="FV244" s="255"/>
      <c r="FW244" s="255"/>
      <c r="FX244" s="255"/>
      <c r="FY244" s="255"/>
      <c r="FZ244" s="255"/>
      <c r="GA244" s="255"/>
      <c r="GB244" s="255"/>
      <c r="GC244" s="255"/>
      <c r="GD244" s="255"/>
      <c r="GE244" s="255"/>
      <c r="GF244" s="255"/>
      <c r="GG244" s="255"/>
      <c r="GH244" s="255"/>
      <c r="GI244" s="255"/>
      <c r="GJ244" s="255"/>
      <c r="GK244" s="255"/>
      <c r="GL244" s="255"/>
      <c r="GM244" s="255"/>
      <c r="GN244" s="255"/>
      <c r="GO244" s="255"/>
      <c r="GP244" s="255"/>
      <c r="GQ244" s="255"/>
      <c r="GR244" s="255"/>
      <c r="GS244" s="255"/>
      <c r="GT244" s="255"/>
      <c r="GU244" s="255"/>
      <c r="GV244" s="255"/>
      <c r="GW244" s="255"/>
      <c r="GX244" s="255"/>
      <c r="GY244" s="255"/>
      <c r="GZ244" s="255"/>
      <c r="HA244" s="255"/>
      <c r="HB244" s="255"/>
      <c r="HC244" s="255"/>
      <c r="HD244" s="255"/>
      <c r="HE244" s="255"/>
      <c r="HF244" s="255"/>
      <c r="HG244" s="255"/>
      <c r="HH244" s="255"/>
      <c r="HI244" s="255"/>
      <c r="HJ244" s="255"/>
      <c r="HK244" s="255"/>
      <c r="HL244" s="255"/>
      <c r="HM244" s="255"/>
      <c r="HN244" s="255"/>
      <c r="HO244" s="255"/>
      <c r="HP244" s="255"/>
      <c r="HQ244" s="255"/>
      <c r="HR244" s="255"/>
      <c r="HS244" s="255"/>
      <c r="HT244" s="255"/>
      <c r="HU244" s="255"/>
      <c r="HV244" s="255"/>
      <c r="HW244" s="255"/>
      <c r="HX244" s="255"/>
      <c r="HY244" s="255"/>
      <c r="HZ244" s="255"/>
      <c r="IA244" s="255"/>
      <c r="IB244" s="255"/>
      <c r="IC244" s="255"/>
      <c r="ID244" s="255"/>
      <c r="IE244" s="255"/>
      <c r="IF244" s="255"/>
      <c r="IG244" s="255"/>
      <c r="IH244" s="255"/>
      <c r="II244" s="255"/>
      <c r="IJ244" s="255"/>
      <c r="IK244" s="255"/>
      <c r="IL244" s="255"/>
      <c r="IM244" s="255"/>
      <c r="IN244" s="255"/>
      <c r="IO244" s="255"/>
      <c r="IP244" s="255"/>
      <c r="IQ244" s="255"/>
      <c r="IR244" s="255"/>
      <c r="IS244" s="255"/>
      <c r="IT244" s="255"/>
      <c r="IU244" s="255"/>
      <c r="IV244" s="255"/>
      <c r="IW244" s="255"/>
      <c r="IX244" s="255"/>
      <c r="IY244" s="255"/>
      <c r="IZ244" s="255"/>
      <c r="JA244" s="255"/>
      <c r="JB244" s="255"/>
      <c r="JC244" s="255"/>
      <c r="JD244" s="255"/>
      <c r="JE244" s="255"/>
      <c r="JF244" s="255"/>
      <c r="JG244" s="191"/>
      <c r="JH244" s="255"/>
      <c r="JI244" s="255"/>
      <c r="JJ244" s="255"/>
      <c r="JK244" s="255"/>
      <c r="JL244" s="255"/>
      <c r="JM244" s="255"/>
      <c r="JN244" s="255"/>
      <c r="JO244" s="255"/>
      <c r="JP244" s="255"/>
      <c r="JQ244" s="255"/>
      <c r="JR244" s="255"/>
      <c r="JS244" s="255"/>
      <c r="JT244" s="255"/>
      <c r="JU244" s="255"/>
      <c r="JV244" s="255"/>
      <c r="JW244" s="255"/>
      <c r="JX244" s="255"/>
      <c r="JY244" s="255"/>
      <c r="JZ244" s="255"/>
      <c r="KA244" s="255"/>
      <c r="KB244" s="191"/>
    </row>
    <row r="245" spans="2:288" ht="15" customHeight="1" x14ac:dyDescent="0.35">
      <c r="B245" s="146" t="str">
        <f t="shared" si="22"/>
        <v>Desk 29</v>
      </c>
      <c r="C245" s="148" t="str">
        <v/>
      </c>
      <c r="D245" s="148" t="str">
        <v/>
      </c>
      <c r="E245" s="148" t="str">
        <v/>
      </c>
      <c r="F245" s="148" t="str">
        <v/>
      </c>
      <c r="G245" s="268" t="str">
        <v/>
      </c>
      <c r="H245" s="255"/>
      <c r="I245" s="255"/>
      <c r="J245" s="255"/>
      <c r="K245" s="255"/>
      <c r="L245" s="255"/>
      <c r="M245" s="255"/>
      <c r="N245" s="255"/>
      <c r="O245" s="255"/>
      <c r="P245" s="255"/>
      <c r="Q245" s="255"/>
      <c r="R245" s="255"/>
      <c r="S245" s="255"/>
      <c r="T245" s="255"/>
      <c r="U245" s="255"/>
      <c r="V245" s="255"/>
      <c r="W245" s="255"/>
      <c r="X245" s="255"/>
      <c r="Y245" s="255"/>
      <c r="Z245" s="255"/>
      <c r="AA245" s="255"/>
      <c r="AB245" s="255"/>
      <c r="AC245" s="255"/>
      <c r="AD245" s="255"/>
      <c r="AE245" s="255"/>
      <c r="AF245" s="255"/>
      <c r="AG245" s="255"/>
      <c r="AH245" s="255"/>
      <c r="AI245" s="255"/>
      <c r="AJ245" s="255"/>
      <c r="AK245" s="255"/>
      <c r="AL245" s="255"/>
      <c r="AM245" s="255"/>
      <c r="AN245" s="255"/>
      <c r="AO245" s="255"/>
      <c r="AP245" s="255"/>
      <c r="AQ245" s="255"/>
      <c r="AR245" s="255"/>
      <c r="AS245" s="255"/>
      <c r="AT245" s="255"/>
      <c r="AU245" s="255"/>
      <c r="AV245" s="255"/>
      <c r="AW245" s="255"/>
      <c r="AX245" s="255"/>
      <c r="AY245" s="255"/>
      <c r="AZ245" s="255"/>
      <c r="BA245" s="255"/>
      <c r="BB245" s="255"/>
      <c r="BC245" s="255"/>
      <c r="BD245" s="255"/>
      <c r="BE245" s="255"/>
      <c r="BF245" s="255"/>
      <c r="BG245" s="255"/>
      <c r="BH245" s="255"/>
      <c r="BI245" s="255"/>
      <c r="BJ245" s="255"/>
      <c r="BK245" s="255"/>
      <c r="BL245" s="255"/>
      <c r="BM245" s="255"/>
      <c r="BN245" s="255"/>
      <c r="BO245" s="255"/>
      <c r="BP245" s="255"/>
      <c r="BQ245" s="255"/>
      <c r="BR245" s="255"/>
      <c r="BS245" s="255"/>
      <c r="BT245" s="255"/>
      <c r="BU245" s="255"/>
      <c r="BV245" s="255"/>
      <c r="BW245" s="255"/>
      <c r="BX245" s="255"/>
      <c r="BY245" s="255"/>
      <c r="BZ245" s="255"/>
      <c r="CA245" s="255"/>
      <c r="CB245" s="255"/>
      <c r="CC245" s="255"/>
      <c r="CD245" s="255"/>
      <c r="CE245" s="255"/>
      <c r="CF245" s="255"/>
      <c r="CG245" s="255"/>
      <c r="CH245" s="255"/>
      <c r="CI245" s="255"/>
      <c r="CJ245" s="255"/>
      <c r="CK245" s="255"/>
      <c r="CL245" s="255"/>
      <c r="CM245" s="255"/>
      <c r="CN245" s="255"/>
      <c r="CO245" s="255"/>
      <c r="CP245" s="255"/>
      <c r="CQ245" s="255"/>
      <c r="CR245" s="255"/>
      <c r="CS245" s="255"/>
      <c r="CT245" s="255"/>
      <c r="CU245" s="255"/>
      <c r="CV245" s="255"/>
      <c r="CW245" s="255"/>
      <c r="CX245" s="255"/>
      <c r="CY245" s="255"/>
      <c r="CZ245" s="255"/>
      <c r="DA245" s="255"/>
      <c r="DB245" s="255"/>
      <c r="DC245" s="255"/>
      <c r="DD245" s="255"/>
      <c r="DE245" s="255"/>
      <c r="DF245" s="255"/>
      <c r="DG245" s="255"/>
      <c r="DH245" s="255"/>
      <c r="DI245" s="255"/>
      <c r="DJ245" s="255"/>
      <c r="DK245" s="255"/>
      <c r="DL245" s="255"/>
      <c r="DM245" s="255"/>
      <c r="DN245" s="255"/>
      <c r="DO245" s="255"/>
      <c r="DP245" s="255"/>
      <c r="DQ245" s="255"/>
      <c r="DR245" s="255"/>
      <c r="DS245" s="255"/>
      <c r="DT245" s="255"/>
      <c r="DU245" s="255"/>
      <c r="DV245" s="255"/>
      <c r="DW245" s="191"/>
      <c r="DX245" s="255"/>
      <c r="DY245" s="255"/>
      <c r="DZ245" s="255"/>
      <c r="EA245" s="255"/>
      <c r="EB245" s="255"/>
      <c r="EC245" s="255"/>
      <c r="ED245" s="255"/>
      <c r="EE245" s="255"/>
      <c r="EF245" s="255"/>
      <c r="EG245" s="255"/>
      <c r="EH245" s="255"/>
      <c r="EI245" s="255"/>
      <c r="EJ245" s="255"/>
      <c r="EK245" s="255"/>
      <c r="EL245" s="255"/>
      <c r="EM245" s="255"/>
      <c r="EN245" s="255"/>
      <c r="EO245" s="255"/>
      <c r="EP245" s="255"/>
      <c r="EQ245" s="255"/>
      <c r="ER245" s="191"/>
      <c r="ES245" s="255"/>
      <c r="ET245" s="255"/>
      <c r="EU245" s="255"/>
      <c r="EV245" s="255"/>
      <c r="EW245" s="255"/>
      <c r="EX245" s="255"/>
      <c r="EY245" s="255"/>
      <c r="EZ245" s="255"/>
      <c r="FA245" s="255"/>
      <c r="FB245" s="255"/>
      <c r="FC245" s="255"/>
      <c r="FD245" s="255"/>
      <c r="FE245" s="255"/>
      <c r="FF245" s="255"/>
      <c r="FG245" s="255"/>
      <c r="FH245" s="255"/>
      <c r="FI245" s="255"/>
      <c r="FJ245" s="255"/>
      <c r="FK245" s="255"/>
      <c r="FL245" s="255"/>
      <c r="FM245" s="255"/>
      <c r="FN245" s="255"/>
      <c r="FO245" s="255"/>
      <c r="FP245" s="255"/>
      <c r="FQ245" s="255"/>
      <c r="FR245" s="255"/>
      <c r="FS245" s="255"/>
      <c r="FT245" s="255"/>
      <c r="FU245" s="255"/>
      <c r="FV245" s="255"/>
      <c r="FW245" s="255"/>
      <c r="FX245" s="255"/>
      <c r="FY245" s="255"/>
      <c r="FZ245" s="255"/>
      <c r="GA245" s="255"/>
      <c r="GB245" s="255"/>
      <c r="GC245" s="255"/>
      <c r="GD245" s="255"/>
      <c r="GE245" s="255"/>
      <c r="GF245" s="255"/>
      <c r="GG245" s="255"/>
      <c r="GH245" s="255"/>
      <c r="GI245" s="255"/>
      <c r="GJ245" s="255"/>
      <c r="GK245" s="255"/>
      <c r="GL245" s="255"/>
      <c r="GM245" s="255"/>
      <c r="GN245" s="255"/>
      <c r="GO245" s="255"/>
      <c r="GP245" s="255"/>
      <c r="GQ245" s="255"/>
      <c r="GR245" s="255"/>
      <c r="GS245" s="255"/>
      <c r="GT245" s="255"/>
      <c r="GU245" s="255"/>
      <c r="GV245" s="255"/>
      <c r="GW245" s="255"/>
      <c r="GX245" s="255"/>
      <c r="GY245" s="255"/>
      <c r="GZ245" s="255"/>
      <c r="HA245" s="255"/>
      <c r="HB245" s="255"/>
      <c r="HC245" s="255"/>
      <c r="HD245" s="255"/>
      <c r="HE245" s="255"/>
      <c r="HF245" s="255"/>
      <c r="HG245" s="255"/>
      <c r="HH245" s="255"/>
      <c r="HI245" s="255"/>
      <c r="HJ245" s="255"/>
      <c r="HK245" s="255"/>
      <c r="HL245" s="255"/>
      <c r="HM245" s="255"/>
      <c r="HN245" s="255"/>
      <c r="HO245" s="255"/>
      <c r="HP245" s="255"/>
      <c r="HQ245" s="255"/>
      <c r="HR245" s="255"/>
      <c r="HS245" s="255"/>
      <c r="HT245" s="255"/>
      <c r="HU245" s="255"/>
      <c r="HV245" s="255"/>
      <c r="HW245" s="255"/>
      <c r="HX245" s="255"/>
      <c r="HY245" s="255"/>
      <c r="HZ245" s="255"/>
      <c r="IA245" s="255"/>
      <c r="IB245" s="255"/>
      <c r="IC245" s="255"/>
      <c r="ID245" s="255"/>
      <c r="IE245" s="255"/>
      <c r="IF245" s="255"/>
      <c r="IG245" s="255"/>
      <c r="IH245" s="255"/>
      <c r="II245" s="255"/>
      <c r="IJ245" s="255"/>
      <c r="IK245" s="255"/>
      <c r="IL245" s="255"/>
      <c r="IM245" s="255"/>
      <c r="IN245" s="255"/>
      <c r="IO245" s="255"/>
      <c r="IP245" s="255"/>
      <c r="IQ245" s="255"/>
      <c r="IR245" s="255"/>
      <c r="IS245" s="255"/>
      <c r="IT245" s="255"/>
      <c r="IU245" s="255"/>
      <c r="IV245" s="255"/>
      <c r="IW245" s="255"/>
      <c r="IX245" s="255"/>
      <c r="IY245" s="255"/>
      <c r="IZ245" s="255"/>
      <c r="JA245" s="255"/>
      <c r="JB245" s="255"/>
      <c r="JC245" s="255"/>
      <c r="JD245" s="255"/>
      <c r="JE245" s="255"/>
      <c r="JF245" s="255"/>
      <c r="JG245" s="191"/>
      <c r="JH245" s="255"/>
      <c r="JI245" s="255"/>
      <c r="JJ245" s="255"/>
      <c r="JK245" s="255"/>
      <c r="JL245" s="255"/>
      <c r="JM245" s="255"/>
      <c r="JN245" s="255"/>
      <c r="JO245" s="255"/>
      <c r="JP245" s="255"/>
      <c r="JQ245" s="255"/>
      <c r="JR245" s="255"/>
      <c r="JS245" s="255"/>
      <c r="JT245" s="255"/>
      <c r="JU245" s="255"/>
      <c r="JV245" s="255"/>
      <c r="JW245" s="255"/>
      <c r="JX245" s="255"/>
      <c r="JY245" s="255"/>
      <c r="JZ245" s="255"/>
      <c r="KA245" s="255"/>
      <c r="KB245" s="191"/>
    </row>
    <row r="246" spans="2:288" ht="15" customHeight="1" x14ac:dyDescent="0.35">
      <c r="B246" s="146" t="str">
        <f t="shared" si="22"/>
        <v>Desk 30</v>
      </c>
      <c r="C246" s="148" t="str">
        <v/>
      </c>
      <c r="D246" s="148" t="str">
        <v/>
      </c>
      <c r="E246" s="148" t="str">
        <v/>
      </c>
      <c r="F246" s="148" t="str">
        <v/>
      </c>
      <c r="G246" s="268" t="str">
        <v/>
      </c>
      <c r="H246" s="255"/>
      <c r="I246" s="255"/>
      <c r="J246" s="255"/>
      <c r="K246" s="255"/>
      <c r="L246" s="255"/>
      <c r="M246" s="255"/>
      <c r="N246" s="255"/>
      <c r="O246" s="255"/>
      <c r="P246" s="255"/>
      <c r="Q246" s="255"/>
      <c r="R246" s="255"/>
      <c r="S246" s="255"/>
      <c r="T246" s="255"/>
      <c r="U246" s="255"/>
      <c r="V246" s="255"/>
      <c r="W246" s="255"/>
      <c r="X246" s="255"/>
      <c r="Y246" s="255"/>
      <c r="Z246" s="255"/>
      <c r="AA246" s="255"/>
      <c r="AB246" s="255"/>
      <c r="AC246" s="255"/>
      <c r="AD246" s="255"/>
      <c r="AE246" s="255"/>
      <c r="AF246" s="255"/>
      <c r="AG246" s="255"/>
      <c r="AH246" s="255"/>
      <c r="AI246" s="255"/>
      <c r="AJ246" s="255"/>
      <c r="AK246" s="255"/>
      <c r="AL246" s="255"/>
      <c r="AM246" s="255"/>
      <c r="AN246" s="255"/>
      <c r="AO246" s="255"/>
      <c r="AP246" s="255"/>
      <c r="AQ246" s="255"/>
      <c r="AR246" s="255"/>
      <c r="AS246" s="255"/>
      <c r="AT246" s="255"/>
      <c r="AU246" s="255"/>
      <c r="AV246" s="255"/>
      <c r="AW246" s="255"/>
      <c r="AX246" s="255"/>
      <c r="AY246" s="255"/>
      <c r="AZ246" s="255"/>
      <c r="BA246" s="255"/>
      <c r="BB246" s="255"/>
      <c r="BC246" s="255"/>
      <c r="BD246" s="255"/>
      <c r="BE246" s="255"/>
      <c r="BF246" s="255"/>
      <c r="BG246" s="255"/>
      <c r="BH246" s="255"/>
      <c r="BI246" s="255"/>
      <c r="BJ246" s="255"/>
      <c r="BK246" s="255"/>
      <c r="BL246" s="255"/>
      <c r="BM246" s="255"/>
      <c r="BN246" s="255"/>
      <c r="BO246" s="255"/>
      <c r="BP246" s="255"/>
      <c r="BQ246" s="255"/>
      <c r="BR246" s="255"/>
      <c r="BS246" s="255"/>
      <c r="BT246" s="255"/>
      <c r="BU246" s="255"/>
      <c r="BV246" s="255"/>
      <c r="BW246" s="255"/>
      <c r="BX246" s="255"/>
      <c r="BY246" s="255"/>
      <c r="BZ246" s="255"/>
      <c r="CA246" s="255"/>
      <c r="CB246" s="255"/>
      <c r="CC246" s="255"/>
      <c r="CD246" s="255"/>
      <c r="CE246" s="255"/>
      <c r="CF246" s="255"/>
      <c r="CG246" s="255"/>
      <c r="CH246" s="255"/>
      <c r="CI246" s="255"/>
      <c r="CJ246" s="255"/>
      <c r="CK246" s="255"/>
      <c r="CL246" s="255"/>
      <c r="CM246" s="255"/>
      <c r="CN246" s="255"/>
      <c r="CO246" s="255"/>
      <c r="CP246" s="255"/>
      <c r="CQ246" s="255"/>
      <c r="CR246" s="255"/>
      <c r="CS246" s="255"/>
      <c r="CT246" s="255"/>
      <c r="CU246" s="255"/>
      <c r="CV246" s="255"/>
      <c r="CW246" s="255"/>
      <c r="CX246" s="255"/>
      <c r="CY246" s="255"/>
      <c r="CZ246" s="255"/>
      <c r="DA246" s="255"/>
      <c r="DB246" s="255"/>
      <c r="DC246" s="255"/>
      <c r="DD246" s="255"/>
      <c r="DE246" s="255"/>
      <c r="DF246" s="255"/>
      <c r="DG246" s="255"/>
      <c r="DH246" s="255"/>
      <c r="DI246" s="255"/>
      <c r="DJ246" s="255"/>
      <c r="DK246" s="255"/>
      <c r="DL246" s="255"/>
      <c r="DM246" s="255"/>
      <c r="DN246" s="255"/>
      <c r="DO246" s="255"/>
      <c r="DP246" s="255"/>
      <c r="DQ246" s="255"/>
      <c r="DR246" s="255"/>
      <c r="DS246" s="255"/>
      <c r="DT246" s="255"/>
      <c r="DU246" s="255"/>
      <c r="DV246" s="255"/>
      <c r="DW246" s="191"/>
      <c r="DX246" s="255"/>
      <c r="DY246" s="255"/>
      <c r="DZ246" s="255"/>
      <c r="EA246" s="255"/>
      <c r="EB246" s="255"/>
      <c r="EC246" s="255"/>
      <c r="ED246" s="255"/>
      <c r="EE246" s="255"/>
      <c r="EF246" s="255"/>
      <c r="EG246" s="255"/>
      <c r="EH246" s="255"/>
      <c r="EI246" s="255"/>
      <c r="EJ246" s="255"/>
      <c r="EK246" s="255"/>
      <c r="EL246" s="255"/>
      <c r="EM246" s="255"/>
      <c r="EN246" s="255"/>
      <c r="EO246" s="255"/>
      <c r="EP246" s="255"/>
      <c r="EQ246" s="255"/>
      <c r="ER246" s="191"/>
      <c r="ES246" s="255"/>
      <c r="ET246" s="255"/>
      <c r="EU246" s="255"/>
      <c r="EV246" s="255"/>
      <c r="EW246" s="255"/>
      <c r="EX246" s="255"/>
      <c r="EY246" s="255"/>
      <c r="EZ246" s="255"/>
      <c r="FA246" s="255"/>
      <c r="FB246" s="255"/>
      <c r="FC246" s="255"/>
      <c r="FD246" s="255"/>
      <c r="FE246" s="255"/>
      <c r="FF246" s="255"/>
      <c r="FG246" s="255"/>
      <c r="FH246" s="255"/>
      <c r="FI246" s="255"/>
      <c r="FJ246" s="255"/>
      <c r="FK246" s="255"/>
      <c r="FL246" s="255"/>
      <c r="FM246" s="255"/>
      <c r="FN246" s="255"/>
      <c r="FO246" s="255"/>
      <c r="FP246" s="255"/>
      <c r="FQ246" s="255"/>
      <c r="FR246" s="255"/>
      <c r="FS246" s="255"/>
      <c r="FT246" s="255"/>
      <c r="FU246" s="255"/>
      <c r="FV246" s="255"/>
      <c r="FW246" s="255"/>
      <c r="FX246" s="255"/>
      <c r="FY246" s="255"/>
      <c r="FZ246" s="255"/>
      <c r="GA246" s="255"/>
      <c r="GB246" s="255"/>
      <c r="GC246" s="255"/>
      <c r="GD246" s="255"/>
      <c r="GE246" s="255"/>
      <c r="GF246" s="255"/>
      <c r="GG246" s="255"/>
      <c r="GH246" s="255"/>
      <c r="GI246" s="255"/>
      <c r="GJ246" s="255"/>
      <c r="GK246" s="255"/>
      <c r="GL246" s="255"/>
      <c r="GM246" s="255"/>
      <c r="GN246" s="255"/>
      <c r="GO246" s="255"/>
      <c r="GP246" s="255"/>
      <c r="GQ246" s="255"/>
      <c r="GR246" s="255"/>
      <c r="GS246" s="255"/>
      <c r="GT246" s="255"/>
      <c r="GU246" s="255"/>
      <c r="GV246" s="255"/>
      <c r="GW246" s="255"/>
      <c r="GX246" s="255"/>
      <c r="GY246" s="255"/>
      <c r="GZ246" s="255"/>
      <c r="HA246" s="255"/>
      <c r="HB246" s="255"/>
      <c r="HC246" s="255"/>
      <c r="HD246" s="255"/>
      <c r="HE246" s="255"/>
      <c r="HF246" s="255"/>
      <c r="HG246" s="255"/>
      <c r="HH246" s="255"/>
      <c r="HI246" s="255"/>
      <c r="HJ246" s="255"/>
      <c r="HK246" s="255"/>
      <c r="HL246" s="255"/>
      <c r="HM246" s="255"/>
      <c r="HN246" s="255"/>
      <c r="HO246" s="255"/>
      <c r="HP246" s="255"/>
      <c r="HQ246" s="255"/>
      <c r="HR246" s="255"/>
      <c r="HS246" s="255"/>
      <c r="HT246" s="255"/>
      <c r="HU246" s="255"/>
      <c r="HV246" s="255"/>
      <c r="HW246" s="255"/>
      <c r="HX246" s="255"/>
      <c r="HY246" s="255"/>
      <c r="HZ246" s="255"/>
      <c r="IA246" s="255"/>
      <c r="IB246" s="255"/>
      <c r="IC246" s="255"/>
      <c r="ID246" s="255"/>
      <c r="IE246" s="255"/>
      <c r="IF246" s="255"/>
      <c r="IG246" s="255"/>
      <c r="IH246" s="255"/>
      <c r="II246" s="255"/>
      <c r="IJ246" s="255"/>
      <c r="IK246" s="255"/>
      <c r="IL246" s="255"/>
      <c r="IM246" s="255"/>
      <c r="IN246" s="255"/>
      <c r="IO246" s="255"/>
      <c r="IP246" s="255"/>
      <c r="IQ246" s="255"/>
      <c r="IR246" s="255"/>
      <c r="IS246" s="255"/>
      <c r="IT246" s="255"/>
      <c r="IU246" s="255"/>
      <c r="IV246" s="255"/>
      <c r="IW246" s="255"/>
      <c r="IX246" s="255"/>
      <c r="IY246" s="255"/>
      <c r="IZ246" s="255"/>
      <c r="JA246" s="255"/>
      <c r="JB246" s="255"/>
      <c r="JC246" s="255"/>
      <c r="JD246" s="255"/>
      <c r="JE246" s="255"/>
      <c r="JF246" s="255"/>
      <c r="JG246" s="191"/>
      <c r="JH246" s="255"/>
      <c r="JI246" s="255"/>
      <c r="JJ246" s="255"/>
      <c r="JK246" s="255"/>
      <c r="JL246" s="255"/>
      <c r="JM246" s="255"/>
      <c r="JN246" s="255"/>
      <c r="JO246" s="255"/>
      <c r="JP246" s="255"/>
      <c r="JQ246" s="255"/>
      <c r="JR246" s="255"/>
      <c r="JS246" s="255"/>
      <c r="JT246" s="255"/>
      <c r="JU246" s="255"/>
      <c r="JV246" s="255"/>
      <c r="JW246" s="255"/>
      <c r="JX246" s="255"/>
      <c r="JY246" s="255"/>
      <c r="JZ246" s="255"/>
      <c r="KA246" s="255"/>
      <c r="KB246" s="191"/>
    </row>
    <row r="247" spans="2:288" ht="15" customHeight="1" x14ac:dyDescent="0.35">
      <c r="B247" s="146" t="str">
        <f t="shared" si="22"/>
        <v>Desk 31</v>
      </c>
      <c r="C247" s="148" t="str">
        <v/>
      </c>
      <c r="D247" s="148" t="str">
        <v/>
      </c>
      <c r="E247" s="148" t="str">
        <v/>
      </c>
      <c r="F247" s="148" t="str">
        <v/>
      </c>
      <c r="G247" s="268" t="str">
        <v/>
      </c>
      <c r="H247" s="255"/>
      <c r="I247" s="255"/>
      <c r="J247" s="255"/>
      <c r="K247" s="255"/>
      <c r="L247" s="255"/>
      <c r="M247" s="255"/>
      <c r="N247" s="255"/>
      <c r="O247" s="255"/>
      <c r="P247" s="255"/>
      <c r="Q247" s="255"/>
      <c r="R247" s="255"/>
      <c r="S247" s="255"/>
      <c r="T247" s="255"/>
      <c r="U247" s="255"/>
      <c r="V247" s="255"/>
      <c r="W247" s="255"/>
      <c r="X247" s="255"/>
      <c r="Y247" s="255"/>
      <c r="Z247" s="255"/>
      <c r="AA247" s="255"/>
      <c r="AB247" s="255"/>
      <c r="AC247" s="255"/>
      <c r="AD247" s="255"/>
      <c r="AE247" s="255"/>
      <c r="AF247" s="255"/>
      <c r="AG247" s="255"/>
      <c r="AH247" s="255"/>
      <c r="AI247" s="255"/>
      <c r="AJ247" s="255"/>
      <c r="AK247" s="255"/>
      <c r="AL247" s="255"/>
      <c r="AM247" s="255"/>
      <c r="AN247" s="255"/>
      <c r="AO247" s="255"/>
      <c r="AP247" s="255"/>
      <c r="AQ247" s="255"/>
      <c r="AR247" s="255"/>
      <c r="AS247" s="255"/>
      <c r="AT247" s="255"/>
      <c r="AU247" s="255"/>
      <c r="AV247" s="255"/>
      <c r="AW247" s="255"/>
      <c r="AX247" s="255"/>
      <c r="AY247" s="255"/>
      <c r="AZ247" s="255"/>
      <c r="BA247" s="255"/>
      <c r="BB247" s="255"/>
      <c r="BC247" s="255"/>
      <c r="BD247" s="255"/>
      <c r="BE247" s="255"/>
      <c r="BF247" s="255"/>
      <c r="BG247" s="255"/>
      <c r="BH247" s="255"/>
      <c r="BI247" s="255"/>
      <c r="BJ247" s="255"/>
      <c r="BK247" s="255"/>
      <c r="BL247" s="255"/>
      <c r="BM247" s="255"/>
      <c r="BN247" s="255"/>
      <c r="BO247" s="255"/>
      <c r="BP247" s="255"/>
      <c r="BQ247" s="255"/>
      <c r="BR247" s="255"/>
      <c r="BS247" s="255"/>
      <c r="BT247" s="255"/>
      <c r="BU247" s="255"/>
      <c r="BV247" s="255"/>
      <c r="BW247" s="255"/>
      <c r="BX247" s="255"/>
      <c r="BY247" s="255"/>
      <c r="BZ247" s="255"/>
      <c r="CA247" s="255"/>
      <c r="CB247" s="255"/>
      <c r="CC247" s="255"/>
      <c r="CD247" s="255"/>
      <c r="CE247" s="255"/>
      <c r="CF247" s="255"/>
      <c r="CG247" s="255"/>
      <c r="CH247" s="255"/>
      <c r="CI247" s="255"/>
      <c r="CJ247" s="255"/>
      <c r="CK247" s="255"/>
      <c r="CL247" s="255"/>
      <c r="CM247" s="255"/>
      <c r="CN247" s="255"/>
      <c r="CO247" s="255"/>
      <c r="CP247" s="255"/>
      <c r="CQ247" s="255"/>
      <c r="CR247" s="255"/>
      <c r="CS247" s="255"/>
      <c r="CT247" s="255"/>
      <c r="CU247" s="255"/>
      <c r="CV247" s="255"/>
      <c r="CW247" s="255"/>
      <c r="CX247" s="255"/>
      <c r="CY247" s="255"/>
      <c r="CZ247" s="255"/>
      <c r="DA247" s="255"/>
      <c r="DB247" s="255"/>
      <c r="DC247" s="255"/>
      <c r="DD247" s="255"/>
      <c r="DE247" s="255"/>
      <c r="DF247" s="255"/>
      <c r="DG247" s="255"/>
      <c r="DH247" s="255"/>
      <c r="DI247" s="255"/>
      <c r="DJ247" s="255"/>
      <c r="DK247" s="255"/>
      <c r="DL247" s="255"/>
      <c r="DM247" s="255"/>
      <c r="DN247" s="255"/>
      <c r="DO247" s="255"/>
      <c r="DP247" s="255"/>
      <c r="DQ247" s="255"/>
      <c r="DR247" s="255"/>
      <c r="DS247" s="255"/>
      <c r="DT247" s="255"/>
      <c r="DU247" s="255"/>
      <c r="DV247" s="255"/>
      <c r="DW247" s="191"/>
      <c r="DX247" s="255"/>
      <c r="DY247" s="255"/>
      <c r="DZ247" s="255"/>
      <c r="EA247" s="255"/>
      <c r="EB247" s="255"/>
      <c r="EC247" s="255"/>
      <c r="ED247" s="255"/>
      <c r="EE247" s="255"/>
      <c r="EF247" s="255"/>
      <c r="EG247" s="255"/>
      <c r="EH247" s="255"/>
      <c r="EI247" s="255"/>
      <c r="EJ247" s="255"/>
      <c r="EK247" s="255"/>
      <c r="EL247" s="255"/>
      <c r="EM247" s="255"/>
      <c r="EN247" s="255"/>
      <c r="EO247" s="255"/>
      <c r="EP247" s="255"/>
      <c r="EQ247" s="255"/>
      <c r="ER247" s="191"/>
      <c r="ES247" s="255"/>
      <c r="ET247" s="255"/>
      <c r="EU247" s="255"/>
      <c r="EV247" s="255"/>
      <c r="EW247" s="255"/>
      <c r="EX247" s="255"/>
      <c r="EY247" s="255"/>
      <c r="EZ247" s="255"/>
      <c r="FA247" s="255"/>
      <c r="FB247" s="255"/>
      <c r="FC247" s="255"/>
      <c r="FD247" s="255"/>
      <c r="FE247" s="255"/>
      <c r="FF247" s="255"/>
      <c r="FG247" s="255"/>
      <c r="FH247" s="255"/>
      <c r="FI247" s="255"/>
      <c r="FJ247" s="255"/>
      <c r="FK247" s="255"/>
      <c r="FL247" s="255"/>
      <c r="FM247" s="255"/>
      <c r="FN247" s="255"/>
      <c r="FO247" s="255"/>
      <c r="FP247" s="255"/>
      <c r="FQ247" s="255"/>
      <c r="FR247" s="255"/>
      <c r="FS247" s="255"/>
      <c r="FT247" s="255"/>
      <c r="FU247" s="255"/>
      <c r="FV247" s="255"/>
      <c r="FW247" s="255"/>
      <c r="FX247" s="255"/>
      <c r="FY247" s="255"/>
      <c r="FZ247" s="255"/>
      <c r="GA247" s="255"/>
      <c r="GB247" s="255"/>
      <c r="GC247" s="255"/>
      <c r="GD247" s="255"/>
      <c r="GE247" s="255"/>
      <c r="GF247" s="255"/>
      <c r="GG247" s="255"/>
      <c r="GH247" s="255"/>
      <c r="GI247" s="255"/>
      <c r="GJ247" s="255"/>
      <c r="GK247" s="255"/>
      <c r="GL247" s="255"/>
      <c r="GM247" s="255"/>
      <c r="GN247" s="255"/>
      <c r="GO247" s="255"/>
      <c r="GP247" s="255"/>
      <c r="GQ247" s="255"/>
      <c r="GR247" s="255"/>
      <c r="GS247" s="255"/>
      <c r="GT247" s="255"/>
      <c r="GU247" s="255"/>
      <c r="GV247" s="255"/>
      <c r="GW247" s="255"/>
      <c r="GX247" s="255"/>
      <c r="GY247" s="255"/>
      <c r="GZ247" s="255"/>
      <c r="HA247" s="255"/>
      <c r="HB247" s="255"/>
      <c r="HC247" s="255"/>
      <c r="HD247" s="255"/>
      <c r="HE247" s="255"/>
      <c r="HF247" s="255"/>
      <c r="HG247" s="255"/>
      <c r="HH247" s="255"/>
      <c r="HI247" s="255"/>
      <c r="HJ247" s="255"/>
      <c r="HK247" s="255"/>
      <c r="HL247" s="255"/>
      <c r="HM247" s="255"/>
      <c r="HN247" s="255"/>
      <c r="HO247" s="255"/>
      <c r="HP247" s="255"/>
      <c r="HQ247" s="255"/>
      <c r="HR247" s="255"/>
      <c r="HS247" s="255"/>
      <c r="HT247" s="255"/>
      <c r="HU247" s="255"/>
      <c r="HV247" s="255"/>
      <c r="HW247" s="255"/>
      <c r="HX247" s="255"/>
      <c r="HY247" s="255"/>
      <c r="HZ247" s="255"/>
      <c r="IA247" s="255"/>
      <c r="IB247" s="255"/>
      <c r="IC247" s="255"/>
      <c r="ID247" s="255"/>
      <c r="IE247" s="255"/>
      <c r="IF247" s="255"/>
      <c r="IG247" s="255"/>
      <c r="IH247" s="255"/>
      <c r="II247" s="255"/>
      <c r="IJ247" s="255"/>
      <c r="IK247" s="255"/>
      <c r="IL247" s="255"/>
      <c r="IM247" s="255"/>
      <c r="IN247" s="255"/>
      <c r="IO247" s="255"/>
      <c r="IP247" s="255"/>
      <c r="IQ247" s="255"/>
      <c r="IR247" s="255"/>
      <c r="IS247" s="255"/>
      <c r="IT247" s="255"/>
      <c r="IU247" s="255"/>
      <c r="IV247" s="255"/>
      <c r="IW247" s="255"/>
      <c r="IX247" s="255"/>
      <c r="IY247" s="255"/>
      <c r="IZ247" s="255"/>
      <c r="JA247" s="255"/>
      <c r="JB247" s="255"/>
      <c r="JC247" s="255"/>
      <c r="JD247" s="255"/>
      <c r="JE247" s="255"/>
      <c r="JF247" s="255"/>
      <c r="JG247" s="191"/>
      <c r="JH247" s="255"/>
      <c r="JI247" s="255"/>
      <c r="JJ247" s="255"/>
      <c r="JK247" s="255"/>
      <c r="JL247" s="255"/>
      <c r="JM247" s="255"/>
      <c r="JN247" s="255"/>
      <c r="JO247" s="255"/>
      <c r="JP247" s="255"/>
      <c r="JQ247" s="255"/>
      <c r="JR247" s="255"/>
      <c r="JS247" s="255"/>
      <c r="JT247" s="255"/>
      <c r="JU247" s="255"/>
      <c r="JV247" s="255"/>
      <c r="JW247" s="255"/>
      <c r="JX247" s="255"/>
      <c r="JY247" s="255"/>
      <c r="JZ247" s="255"/>
      <c r="KA247" s="255"/>
      <c r="KB247" s="191"/>
    </row>
    <row r="248" spans="2:288" ht="15" customHeight="1" x14ac:dyDescent="0.35">
      <c r="B248" s="146" t="str">
        <f t="shared" si="22"/>
        <v>Desk 32</v>
      </c>
      <c r="C248" s="148" t="str">
        <v/>
      </c>
      <c r="D248" s="148" t="str">
        <v/>
      </c>
      <c r="E248" s="148" t="str">
        <v/>
      </c>
      <c r="F248" s="148" t="str">
        <v/>
      </c>
      <c r="G248" s="268" t="str">
        <v/>
      </c>
      <c r="H248" s="255"/>
      <c r="I248" s="255"/>
      <c r="J248" s="255"/>
      <c r="K248" s="255"/>
      <c r="L248" s="255"/>
      <c r="M248" s="255"/>
      <c r="N248" s="255"/>
      <c r="O248" s="255"/>
      <c r="P248" s="255"/>
      <c r="Q248" s="255"/>
      <c r="R248" s="255"/>
      <c r="S248" s="255"/>
      <c r="T248" s="255"/>
      <c r="U248" s="255"/>
      <c r="V248" s="255"/>
      <c r="W248" s="255"/>
      <c r="X248" s="255"/>
      <c r="Y248" s="255"/>
      <c r="Z248" s="255"/>
      <c r="AA248" s="255"/>
      <c r="AB248" s="255"/>
      <c r="AC248" s="255"/>
      <c r="AD248" s="255"/>
      <c r="AE248" s="255"/>
      <c r="AF248" s="255"/>
      <c r="AG248" s="255"/>
      <c r="AH248" s="255"/>
      <c r="AI248" s="255"/>
      <c r="AJ248" s="255"/>
      <c r="AK248" s="255"/>
      <c r="AL248" s="255"/>
      <c r="AM248" s="255"/>
      <c r="AN248" s="255"/>
      <c r="AO248" s="255"/>
      <c r="AP248" s="255"/>
      <c r="AQ248" s="255"/>
      <c r="AR248" s="255"/>
      <c r="AS248" s="255"/>
      <c r="AT248" s="255"/>
      <c r="AU248" s="255"/>
      <c r="AV248" s="255"/>
      <c r="AW248" s="255"/>
      <c r="AX248" s="255"/>
      <c r="AY248" s="255"/>
      <c r="AZ248" s="255"/>
      <c r="BA248" s="255"/>
      <c r="BB248" s="255"/>
      <c r="BC248" s="255"/>
      <c r="BD248" s="255"/>
      <c r="BE248" s="255"/>
      <c r="BF248" s="255"/>
      <c r="BG248" s="255"/>
      <c r="BH248" s="255"/>
      <c r="BI248" s="255"/>
      <c r="BJ248" s="255"/>
      <c r="BK248" s="255"/>
      <c r="BL248" s="255"/>
      <c r="BM248" s="255"/>
      <c r="BN248" s="255"/>
      <c r="BO248" s="255"/>
      <c r="BP248" s="255"/>
      <c r="BQ248" s="255"/>
      <c r="BR248" s="255"/>
      <c r="BS248" s="255"/>
      <c r="BT248" s="255"/>
      <c r="BU248" s="255"/>
      <c r="BV248" s="255"/>
      <c r="BW248" s="255"/>
      <c r="BX248" s="255"/>
      <c r="BY248" s="255"/>
      <c r="BZ248" s="255"/>
      <c r="CA248" s="255"/>
      <c r="CB248" s="255"/>
      <c r="CC248" s="255"/>
      <c r="CD248" s="255"/>
      <c r="CE248" s="255"/>
      <c r="CF248" s="255"/>
      <c r="CG248" s="255"/>
      <c r="CH248" s="255"/>
      <c r="CI248" s="255"/>
      <c r="CJ248" s="255"/>
      <c r="CK248" s="255"/>
      <c r="CL248" s="255"/>
      <c r="CM248" s="255"/>
      <c r="CN248" s="255"/>
      <c r="CO248" s="255"/>
      <c r="CP248" s="255"/>
      <c r="CQ248" s="255"/>
      <c r="CR248" s="255"/>
      <c r="CS248" s="255"/>
      <c r="CT248" s="255"/>
      <c r="CU248" s="255"/>
      <c r="CV248" s="255"/>
      <c r="CW248" s="255"/>
      <c r="CX248" s="255"/>
      <c r="CY248" s="255"/>
      <c r="CZ248" s="255"/>
      <c r="DA248" s="255"/>
      <c r="DB248" s="255"/>
      <c r="DC248" s="255"/>
      <c r="DD248" s="255"/>
      <c r="DE248" s="255"/>
      <c r="DF248" s="255"/>
      <c r="DG248" s="255"/>
      <c r="DH248" s="255"/>
      <c r="DI248" s="255"/>
      <c r="DJ248" s="255"/>
      <c r="DK248" s="255"/>
      <c r="DL248" s="255"/>
      <c r="DM248" s="255"/>
      <c r="DN248" s="255"/>
      <c r="DO248" s="255"/>
      <c r="DP248" s="255"/>
      <c r="DQ248" s="255"/>
      <c r="DR248" s="255"/>
      <c r="DS248" s="255"/>
      <c r="DT248" s="255"/>
      <c r="DU248" s="255"/>
      <c r="DV248" s="255"/>
      <c r="DW248" s="191"/>
      <c r="DX248" s="255"/>
      <c r="DY248" s="255"/>
      <c r="DZ248" s="255"/>
      <c r="EA248" s="255"/>
      <c r="EB248" s="255"/>
      <c r="EC248" s="255"/>
      <c r="ED248" s="255"/>
      <c r="EE248" s="255"/>
      <c r="EF248" s="255"/>
      <c r="EG248" s="255"/>
      <c r="EH248" s="255"/>
      <c r="EI248" s="255"/>
      <c r="EJ248" s="255"/>
      <c r="EK248" s="255"/>
      <c r="EL248" s="255"/>
      <c r="EM248" s="255"/>
      <c r="EN248" s="255"/>
      <c r="EO248" s="255"/>
      <c r="EP248" s="255"/>
      <c r="EQ248" s="255"/>
      <c r="ER248" s="191"/>
      <c r="ES248" s="255"/>
      <c r="ET248" s="255"/>
      <c r="EU248" s="255"/>
      <c r="EV248" s="255"/>
      <c r="EW248" s="255"/>
      <c r="EX248" s="255"/>
      <c r="EY248" s="255"/>
      <c r="EZ248" s="255"/>
      <c r="FA248" s="255"/>
      <c r="FB248" s="255"/>
      <c r="FC248" s="255"/>
      <c r="FD248" s="255"/>
      <c r="FE248" s="255"/>
      <c r="FF248" s="255"/>
      <c r="FG248" s="255"/>
      <c r="FH248" s="255"/>
      <c r="FI248" s="255"/>
      <c r="FJ248" s="255"/>
      <c r="FK248" s="255"/>
      <c r="FL248" s="255"/>
      <c r="FM248" s="255"/>
      <c r="FN248" s="255"/>
      <c r="FO248" s="255"/>
      <c r="FP248" s="255"/>
      <c r="FQ248" s="255"/>
      <c r="FR248" s="255"/>
      <c r="FS248" s="255"/>
      <c r="FT248" s="255"/>
      <c r="FU248" s="255"/>
      <c r="FV248" s="255"/>
      <c r="FW248" s="255"/>
      <c r="FX248" s="255"/>
      <c r="FY248" s="255"/>
      <c r="FZ248" s="255"/>
      <c r="GA248" s="255"/>
      <c r="GB248" s="255"/>
      <c r="GC248" s="255"/>
      <c r="GD248" s="255"/>
      <c r="GE248" s="255"/>
      <c r="GF248" s="255"/>
      <c r="GG248" s="255"/>
      <c r="GH248" s="255"/>
      <c r="GI248" s="255"/>
      <c r="GJ248" s="255"/>
      <c r="GK248" s="255"/>
      <c r="GL248" s="255"/>
      <c r="GM248" s="255"/>
      <c r="GN248" s="255"/>
      <c r="GO248" s="255"/>
      <c r="GP248" s="255"/>
      <c r="GQ248" s="255"/>
      <c r="GR248" s="255"/>
      <c r="GS248" s="255"/>
      <c r="GT248" s="255"/>
      <c r="GU248" s="255"/>
      <c r="GV248" s="255"/>
      <c r="GW248" s="255"/>
      <c r="GX248" s="255"/>
      <c r="GY248" s="255"/>
      <c r="GZ248" s="255"/>
      <c r="HA248" s="255"/>
      <c r="HB248" s="255"/>
      <c r="HC248" s="255"/>
      <c r="HD248" s="255"/>
      <c r="HE248" s="255"/>
      <c r="HF248" s="255"/>
      <c r="HG248" s="255"/>
      <c r="HH248" s="255"/>
      <c r="HI248" s="255"/>
      <c r="HJ248" s="255"/>
      <c r="HK248" s="255"/>
      <c r="HL248" s="255"/>
      <c r="HM248" s="255"/>
      <c r="HN248" s="255"/>
      <c r="HO248" s="255"/>
      <c r="HP248" s="255"/>
      <c r="HQ248" s="255"/>
      <c r="HR248" s="255"/>
      <c r="HS248" s="255"/>
      <c r="HT248" s="255"/>
      <c r="HU248" s="255"/>
      <c r="HV248" s="255"/>
      <c r="HW248" s="255"/>
      <c r="HX248" s="255"/>
      <c r="HY248" s="255"/>
      <c r="HZ248" s="255"/>
      <c r="IA248" s="255"/>
      <c r="IB248" s="255"/>
      <c r="IC248" s="255"/>
      <c r="ID248" s="255"/>
      <c r="IE248" s="255"/>
      <c r="IF248" s="255"/>
      <c r="IG248" s="255"/>
      <c r="IH248" s="255"/>
      <c r="II248" s="255"/>
      <c r="IJ248" s="255"/>
      <c r="IK248" s="255"/>
      <c r="IL248" s="255"/>
      <c r="IM248" s="255"/>
      <c r="IN248" s="255"/>
      <c r="IO248" s="255"/>
      <c r="IP248" s="255"/>
      <c r="IQ248" s="255"/>
      <c r="IR248" s="255"/>
      <c r="IS248" s="255"/>
      <c r="IT248" s="255"/>
      <c r="IU248" s="255"/>
      <c r="IV248" s="255"/>
      <c r="IW248" s="255"/>
      <c r="IX248" s="255"/>
      <c r="IY248" s="255"/>
      <c r="IZ248" s="255"/>
      <c r="JA248" s="255"/>
      <c r="JB248" s="255"/>
      <c r="JC248" s="255"/>
      <c r="JD248" s="255"/>
      <c r="JE248" s="255"/>
      <c r="JF248" s="255"/>
      <c r="JG248" s="191"/>
      <c r="JH248" s="255"/>
      <c r="JI248" s="255"/>
      <c r="JJ248" s="255"/>
      <c r="JK248" s="255"/>
      <c r="JL248" s="255"/>
      <c r="JM248" s="255"/>
      <c r="JN248" s="255"/>
      <c r="JO248" s="255"/>
      <c r="JP248" s="255"/>
      <c r="JQ248" s="255"/>
      <c r="JR248" s="255"/>
      <c r="JS248" s="255"/>
      <c r="JT248" s="255"/>
      <c r="JU248" s="255"/>
      <c r="JV248" s="255"/>
      <c r="JW248" s="255"/>
      <c r="JX248" s="255"/>
      <c r="JY248" s="255"/>
      <c r="JZ248" s="255"/>
      <c r="KA248" s="255"/>
      <c r="KB248" s="191"/>
    </row>
    <row r="249" spans="2:288" ht="15" customHeight="1" x14ac:dyDescent="0.35">
      <c r="B249" s="146" t="str">
        <f t="shared" si="22"/>
        <v>Desk 33</v>
      </c>
      <c r="C249" s="148" t="str">
        <v/>
      </c>
      <c r="D249" s="148" t="str">
        <v/>
      </c>
      <c r="E249" s="148" t="str">
        <v/>
      </c>
      <c r="F249" s="148" t="str">
        <v/>
      </c>
      <c r="G249" s="268" t="str">
        <v/>
      </c>
      <c r="H249" s="255"/>
      <c r="I249" s="255"/>
      <c r="J249" s="255"/>
      <c r="K249" s="255"/>
      <c r="L249" s="255"/>
      <c r="M249" s="255"/>
      <c r="N249" s="255"/>
      <c r="O249" s="255"/>
      <c r="P249" s="255"/>
      <c r="Q249" s="255"/>
      <c r="R249" s="255"/>
      <c r="S249" s="255"/>
      <c r="T249" s="255"/>
      <c r="U249" s="255"/>
      <c r="V249" s="255"/>
      <c r="W249" s="255"/>
      <c r="X249" s="255"/>
      <c r="Y249" s="255"/>
      <c r="Z249" s="255"/>
      <c r="AA249" s="255"/>
      <c r="AB249" s="255"/>
      <c r="AC249" s="255"/>
      <c r="AD249" s="255"/>
      <c r="AE249" s="255"/>
      <c r="AF249" s="255"/>
      <c r="AG249" s="255"/>
      <c r="AH249" s="255"/>
      <c r="AI249" s="255"/>
      <c r="AJ249" s="255"/>
      <c r="AK249" s="255"/>
      <c r="AL249" s="255"/>
      <c r="AM249" s="255"/>
      <c r="AN249" s="255"/>
      <c r="AO249" s="255"/>
      <c r="AP249" s="255"/>
      <c r="AQ249" s="255"/>
      <c r="AR249" s="255"/>
      <c r="AS249" s="255"/>
      <c r="AT249" s="255"/>
      <c r="AU249" s="255"/>
      <c r="AV249" s="255"/>
      <c r="AW249" s="255"/>
      <c r="AX249" s="255"/>
      <c r="AY249" s="255"/>
      <c r="AZ249" s="255"/>
      <c r="BA249" s="255"/>
      <c r="BB249" s="255"/>
      <c r="BC249" s="255"/>
      <c r="BD249" s="255"/>
      <c r="BE249" s="255"/>
      <c r="BF249" s="255"/>
      <c r="BG249" s="255"/>
      <c r="BH249" s="255"/>
      <c r="BI249" s="255"/>
      <c r="BJ249" s="255"/>
      <c r="BK249" s="255"/>
      <c r="BL249" s="255"/>
      <c r="BM249" s="255"/>
      <c r="BN249" s="255"/>
      <c r="BO249" s="255"/>
      <c r="BP249" s="255"/>
      <c r="BQ249" s="255"/>
      <c r="BR249" s="255"/>
      <c r="BS249" s="255"/>
      <c r="BT249" s="255"/>
      <c r="BU249" s="255"/>
      <c r="BV249" s="255"/>
      <c r="BW249" s="255"/>
      <c r="BX249" s="255"/>
      <c r="BY249" s="255"/>
      <c r="BZ249" s="255"/>
      <c r="CA249" s="255"/>
      <c r="CB249" s="255"/>
      <c r="CC249" s="255"/>
      <c r="CD249" s="255"/>
      <c r="CE249" s="255"/>
      <c r="CF249" s="255"/>
      <c r="CG249" s="255"/>
      <c r="CH249" s="255"/>
      <c r="CI249" s="255"/>
      <c r="CJ249" s="255"/>
      <c r="CK249" s="255"/>
      <c r="CL249" s="255"/>
      <c r="CM249" s="255"/>
      <c r="CN249" s="255"/>
      <c r="CO249" s="255"/>
      <c r="CP249" s="255"/>
      <c r="CQ249" s="255"/>
      <c r="CR249" s="255"/>
      <c r="CS249" s="255"/>
      <c r="CT249" s="255"/>
      <c r="CU249" s="255"/>
      <c r="CV249" s="255"/>
      <c r="CW249" s="255"/>
      <c r="CX249" s="255"/>
      <c r="CY249" s="255"/>
      <c r="CZ249" s="255"/>
      <c r="DA249" s="255"/>
      <c r="DB249" s="255"/>
      <c r="DC249" s="255"/>
      <c r="DD249" s="255"/>
      <c r="DE249" s="255"/>
      <c r="DF249" s="255"/>
      <c r="DG249" s="255"/>
      <c r="DH249" s="255"/>
      <c r="DI249" s="255"/>
      <c r="DJ249" s="255"/>
      <c r="DK249" s="255"/>
      <c r="DL249" s="255"/>
      <c r="DM249" s="255"/>
      <c r="DN249" s="255"/>
      <c r="DO249" s="255"/>
      <c r="DP249" s="255"/>
      <c r="DQ249" s="255"/>
      <c r="DR249" s="255"/>
      <c r="DS249" s="255"/>
      <c r="DT249" s="255"/>
      <c r="DU249" s="255"/>
      <c r="DV249" s="255"/>
      <c r="DW249" s="191"/>
      <c r="DX249" s="255"/>
      <c r="DY249" s="255"/>
      <c r="DZ249" s="255"/>
      <c r="EA249" s="255"/>
      <c r="EB249" s="255"/>
      <c r="EC249" s="255"/>
      <c r="ED249" s="255"/>
      <c r="EE249" s="255"/>
      <c r="EF249" s="255"/>
      <c r="EG249" s="255"/>
      <c r="EH249" s="255"/>
      <c r="EI249" s="255"/>
      <c r="EJ249" s="255"/>
      <c r="EK249" s="255"/>
      <c r="EL249" s="255"/>
      <c r="EM249" s="255"/>
      <c r="EN249" s="255"/>
      <c r="EO249" s="255"/>
      <c r="EP249" s="255"/>
      <c r="EQ249" s="255"/>
      <c r="ER249" s="191"/>
      <c r="ES249" s="255"/>
      <c r="ET249" s="255"/>
      <c r="EU249" s="255"/>
      <c r="EV249" s="255"/>
      <c r="EW249" s="255"/>
      <c r="EX249" s="255"/>
      <c r="EY249" s="255"/>
      <c r="EZ249" s="255"/>
      <c r="FA249" s="255"/>
      <c r="FB249" s="255"/>
      <c r="FC249" s="255"/>
      <c r="FD249" s="255"/>
      <c r="FE249" s="255"/>
      <c r="FF249" s="255"/>
      <c r="FG249" s="255"/>
      <c r="FH249" s="255"/>
      <c r="FI249" s="255"/>
      <c r="FJ249" s="255"/>
      <c r="FK249" s="255"/>
      <c r="FL249" s="255"/>
      <c r="FM249" s="255"/>
      <c r="FN249" s="255"/>
      <c r="FO249" s="255"/>
      <c r="FP249" s="255"/>
      <c r="FQ249" s="255"/>
      <c r="FR249" s="255"/>
      <c r="FS249" s="255"/>
      <c r="FT249" s="255"/>
      <c r="FU249" s="255"/>
      <c r="FV249" s="255"/>
      <c r="FW249" s="255"/>
      <c r="FX249" s="255"/>
      <c r="FY249" s="255"/>
      <c r="FZ249" s="255"/>
      <c r="GA249" s="255"/>
      <c r="GB249" s="255"/>
      <c r="GC249" s="255"/>
      <c r="GD249" s="255"/>
      <c r="GE249" s="255"/>
      <c r="GF249" s="255"/>
      <c r="GG249" s="255"/>
      <c r="GH249" s="255"/>
      <c r="GI249" s="255"/>
      <c r="GJ249" s="255"/>
      <c r="GK249" s="255"/>
      <c r="GL249" s="255"/>
      <c r="GM249" s="255"/>
      <c r="GN249" s="255"/>
      <c r="GO249" s="255"/>
      <c r="GP249" s="255"/>
      <c r="GQ249" s="255"/>
      <c r="GR249" s="255"/>
      <c r="GS249" s="255"/>
      <c r="GT249" s="255"/>
      <c r="GU249" s="255"/>
      <c r="GV249" s="255"/>
      <c r="GW249" s="255"/>
      <c r="GX249" s="255"/>
      <c r="GY249" s="255"/>
      <c r="GZ249" s="255"/>
      <c r="HA249" s="255"/>
      <c r="HB249" s="255"/>
      <c r="HC249" s="255"/>
      <c r="HD249" s="255"/>
      <c r="HE249" s="255"/>
      <c r="HF249" s="255"/>
      <c r="HG249" s="255"/>
      <c r="HH249" s="255"/>
      <c r="HI249" s="255"/>
      <c r="HJ249" s="255"/>
      <c r="HK249" s="255"/>
      <c r="HL249" s="255"/>
      <c r="HM249" s="255"/>
      <c r="HN249" s="255"/>
      <c r="HO249" s="255"/>
      <c r="HP249" s="255"/>
      <c r="HQ249" s="255"/>
      <c r="HR249" s="255"/>
      <c r="HS249" s="255"/>
      <c r="HT249" s="255"/>
      <c r="HU249" s="255"/>
      <c r="HV249" s="255"/>
      <c r="HW249" s="255"/>
      <c r="HX249" s="255"/>
      <c r="HY249" s="255"/>
      <c r="HZ249" s="255"/>
      <c r="IA249" s="255"/>
      <c r="IB249" s="255"/>
      <c r="IC249" s="255"/>
      <c r="ID249" s="255"/>
      <c r="IE249" s="255"/>
      <c r="IF249" s="255"/>
      <c r="IG249" s="255"/>
      <c r="IH249" s="255"/>
      <c r="II249" s="255"/>
      <c r="IJ249" s="255"/>
      <c r="IK249" s="255"/>
      <c r="IL249" s="255"/>
      <c r="IM249" s="255"/>
      <c r="IN249" s="255"/>
      <c r="IO249" s="255"/>
      <c r="IP249" s="255"/>
      <c r="IQ249" s="255"/>
      <c r="IR249" s="255"/>
      <c r="IS249" s="255"/>
      <c r="IT249" s="255"/>
      <c r="IU249" s="255"/>
      <c r="IV249" s="255"/>
      <c r="IW249" s="255"/>
      <c r="IX249" s="255"/>
      <c r="IY249" s="255"/>
      <c r="IZ249" s="255"/>
      <c r="JA249" s="255"/>
      <c r="JB249" s="255"/>
      <c r="JC249" s="255"/>
      <c r="JD249" s="255"/>
      <c r="JE249" s="255"/>
      <c r="JF249" s="255"/>
      <c r="JG249" s="191"/>
      <c r="JH249" s="255"/>
      <c r="JI249" s="255"/>
      <c r="JJ249" s="255"/>
      <c r="JK249" s="255"/>
      <c r="JL249" s="255"/>
      <c r="JM249" s="255"/>
      <c r="JN249" s="255"/>
      <c r="JO249" s="255"/>
      <c r="JP249" s="255"/>
      <c r="JQ249" s="255"/>
      <c r="JR249" s="255"/>
      <c r="JS249" s="255"/>
      <c r="JT249" s="255"/>
      <c r="JU249" s="255"/>
      <c r="JV249" s="255"/>
      <c r="JW249" s="255"/>
      <c r="JX249" s="255"/>
      <c r="JY249" s="255"/>
      <c r="JZ249" s="255"/>
      <c r="KA249" s="255"/>
      <c r="KB249" s="191"/>
    </row>
    <row r="250" spans="2:288" ht="15" customHeight="1" x14ac:dyDescent="0.35">
      <c r="B250" s="146" t="str">
        <f t="shared" si="22"/>
        <v>Desk 34</v>
      </c>
      <c r="C250" s="148" t="str">
        <v/>
      </c>
      <c r="D250" s="148" t="str">
        <v/>
      </c>
      <c r="E250" s="148" t="str">
        <v/>
      </c>
      <c r="F250" s="148" t="str">
        <v/>
      </c>
      <c r="G250" s="268" t="str">
        <v/>
      </c>
      <c r="H250" s="255"/>
      <c r="I250" s="255"/>
      <c r="J250" s="255"/>
      <c r="K250" s="255"/>
      <c r="L250" s="255"/>
      <c r="M250" s="255"/>
      <c r="N250" s="255"/>
      <c r="O250" s="255"/>
      <c r="P250" s="255"/>
      <c r="Q250" s="255"/>
      <c r="R250" s="255"/>
      <c r="S250" s="255"/>
      <c r="T250" s="255"/>
      <c r="U250" s="255"/>
      <c r="V250" s="255"/>
      <c r="W250" s="255"/>
      <c r="X250" s="255"/>
      <c r="Y250" s="255"/>
      <c r="Z250" s="255"/>
      <c r="AA250" s="255"/>
      <c r="AB250" s="255"/>
      <c r="AC250" s="255"/>
      <c r="AD250" s="255"/>
      <c r="AE250" s="255"/>
      <c r="AF250" s="255"/>
      <c r="AG250" s="255"/>
      <c r="AH250" s="255"/>
      <c r="AI250" s="255"/>
      <c r="AJ250" s="255"/>
      <c r="AK250" s="255"/>
      <c r="AL250" s="255"/>
      <c r="AM250" s="255"/>
      <c r="AN250" s="255"/>
      <c r="AO250" s="255"/>
      <c r="AP250" s="255"/>
      <c r="AQ250" s="255"/>
      <c r="AR250" s="255"/>
      <c r="AS250" s="255"/>
      <c r="AT250" s="255"/>
      <c r="AU250" s="255"/>
      <c r="AV250" s="255"/>
      <c r="AW250" s="255"/>
      <c r="AX250" s="255"/>
      <c r="AY250" s="255"/>
      <c r="AZ250" s="255"/>
      <c r="BA250" s="255"/>
      <c r="BB250" s="255"/>
      <c r="BC250" s="255"/>
      <c r="BD250" s="255"/>
      <c r="BE250" s="255"/>
      <c r="BF250" s="255"/>
      <c r="BG250" s="255"/>
      <c r="BH250" s="255"/>
      <c r="BI250" s="255"/>
      <c r="BJ250" s="255"/>
      <c r="BK250" s="255"/>
      <c r="BL250" s="255"/>
      <c r="BM250" s="255"/>
      <c r="BN250" s="255"/>
      <c r="BO250" s="255"/>
      <c r="BP250" s="255"/>
      <c r="BQ250" s="255"/>
      <c r="BR250" s="255"/>
      <c r="BS250" s="255"/>
      <c r="BT250" s="255"/>
      <c r="BU250" s="255"/>
      <c r="BV250" s="255"/>
      <c r="BW250" s="255"/>
      <c r="BX250" s="255"/>
      <c r="BY250" s="255"/>
      <c r="BZ250" s="255"/>
      <c r="CA250" s="255"/>
      <c r="CB250" s="255"/>
      <c r="CC250" s="255"/>
      <c r="CD250" s="255"/>
      <c r="CE250" s="255"/>
      <c r="CF250" s="255"/>
      <c r="CG250" s="255"/>
      <c r="CH250" s="255"/>
      <c r="CI250" s="255"/>
      <c r="CJ250" s="255"/>
      <c r="CK250" s="255"/>
      <c r="CL250" s="255"/>
      <c r="CM250" s="255"/>
      <c r="CN250" s="255"/>
      <c r="CO250" s="255"/>
      <c r="CP250" s="255"/>
      <c r="CQ250" s="255"/>
      <c r="CR250" s="255"/>
      <c r="CS250" s="255"/>
      <c r="CT250" s="255"/>
      <c r="CU250" s="255"/>
      <c r="CV250" s="255"/>
      <c r="CW250" s="255"/>
      <c r="CX250" s="255"/>
      <c r="CY250" s="255"/>
      <c r="CZ250" s="255"/>
      <c r="DA250" s="255"/>
      <c r="DB250" s="255"/>
      <c r="DC250" s="255"/>
      <c r="DD250" s="255"/>
      <c r="DE250" s="255"/>
      <c r="DF250" s="255"/>
      <c r="DG250" s="255"/>
      <c r="DH250" s="255"/>
      <c r="DI250" s="255"/>
      <c r="DJ250" s="255"/>
      <c r="DK250" s="255"/>
      <c r="DL250" s="255"/>
      <c r="DM250" s="255"/>
      <c r="DN250" s="255"/>
      <c r="DO250" s="255"/>
      <c r="DP250" s="255"/>
      <c r="DQ250" s="255"/>
      <c r="DR250" s="255"/>
      <c r="DS250" s="255"/>
      <c r="DT250" s="255"/>
      <c r="DU250" s="255"/>
      <c r="DV250" s="255"/>
      <c r="DW250" s="191"/>
      <c r="DX250" s="255"/>
      <c r="DY250" s="255"/>
      <c r="DZ250" s="255"/>
      <c r="EA250" s="255"/>
      <c r="EB250" s="255"/>
      <c r="EC250" s="255"/>
      <c r="ED250" s="255"/>
      <c r="EE250" s="255"/>
      <c r="EF250" s="255"/>
      <c r="EG250" s="255"/>
      <c r="EH250" s="255"/>
      <c r="EI250" s="255"/>
      <c r="EJ250" s="255"/>
      <c r="EK250" s="255"/>
      <c r="EL250" s="255"/>
      <c r="EM250" s="255"/>
      <c r="EN250" s="255"/>
      <c r="EO250" s="255"/>
      <c r="EP250" s="255"/>
      <c r="EQ250" s="255"/>
      <c r="ER250" s="191"/>
      <c r="ES250" s="255"/>
      <c r="ET250" s="255"/>
      <c r="EU250" s="255"/>
      <c r="EV250" s="255"/>
      <c r="EW250" s="255"/>
      <c r="EX250" s="255"/>
      <c r="EY250" s="255"/>
      <c r="EZ250" s="255"/>
      <c r="FA250" s="255"/>
      <c r="FB250" s="255"/>
      <c r="FC250" s="255"/>
      <c r="FD250" s="255"/>
      <c r="FE250" s="255"/>
      <c r="FF250" s="255"/>
      <c r="FG250" s="255"/>
      <c r="FH250" s="255"/>
      <c r="FI250" s="255"/>
      <c r="FJ250" s="255"/>
      <c r="FK250" s="255"/>
      <c r="FL250" s="255"/>
      <c r="FM250" s="255"/>
      <c r="FN250" s="255"/>
      <c r="FO250" s="255"/>
      <c r="FP250" s="255"/>
      <c r="FQ250" s="255"/>
      <c r="FR250" s="255"/>
      <c r="FS250" s="255"/>
      <c r="FT250" s="255"/>
      <c r="FU250" s="255"/>
      <c r="FV250" s="255"/>
      <c r="FW250" s="255"/>
      <c r="FX250" s="255"/>
      <c r="FY250" s="255"/>
      <c r="FZ250" s="255"/>
      <c r="GA250" s="255"/>
      <c r="GB250" s="255"/>
      <c r="GC250" s="255"/>
      <c r="GD250" s="255"/>
      <c r="GE250" s="255"/>
      <c r="GF250" s="255"/>
      <c r="GG250" s="255"/>
      <c r="GH250" s="255"/>
      <c r="GI250" s="255"/>
      <c r="GJ250" s="255"/>
      <c r="GK250" s="255"/>
      <c r="GL250" s="255"/>
      <c r="GM250" s="255"/>
      <c r="GN250" s="255"/>
      <c r="GO250" s="255"/>
      <c r="GP250" s="255"/>
      <c r="GQ250" s="255"/>
      <c r="GR250" s="255"/>
      <c r="GS250" s="255"/>
      <c r="GT250" s="255"/>
      <c r="GU250" s="255"/>
      <c r="GV250" s="255"/>
      <c r="GW250" s="255"/>
      <c r="GX250" s="255"/>
      <c r="GY250" s="255"/>
      <c r="GZ250" s="255"/>
      <c r="HA250" s="255"/>
      <c r="HB250" s="255"/>
      <c r="HC250" s="255"/>
      <c r="HD250" s="255"/>
      <c r="HE250" s="255"/>
      <c r="HF250" s="255"/>
      <c r="HG250" s="255"/>
      <c r="HH250" s="255"/>
      <c r="HI250" s="255"/>
      <c r="HJ250" s="255"/>
      <c r="HK250" s="255"/>
      <c r="HL250" s="255"/>
      <c r="HM250" s="255"/>
      <c r="HN250" s="255"/>
      <c r="HO250" s="255"/>
      <c r="HP250" s="255"/>
      <c r="HQ250" s="255"/>
      <c r="HR250" s="255"/>
      <c r="HS250" s="255"/>
      <c r="HT250" s="255"/>
      <c r="HU250" s="255"/>
      <c r="HV250" s="255"/>
      <c r="HW250" s="255"/>
      <c r="HX250" s="255"/>
      <c r="HY250" s="255"/>
      <c r="HZ250" s="255"/>
      <c r="IA250" s="255"/>
      <c r="IB250" s="255"/>
      <c r="IC250" s="255"/>
      <c r="ID250" s="255"/>
      <c r="IE250" s="255"/>
      <c r="IF250" s="255"/>
      <c r="IG250" s="255"/>
      <c r="IH250" s="255"/>
      <c r="II250" s="255"/>
      <c r="IJ250" s="255"/>
      <c r="IK250" s="255"/>
      <c r="IL250" s="255"/>
      <c r="IM250" s="255"/>
      <c r="IN250" s="255"/>
      <c r="IO250" s="255"/>
      <c r="IP250" s="255"/>
      <c r="IQ250" s="255"/>
      <c r="IR250" s="255"/>
      <c r="IS250" s="255"/>
      <c r="IT250" s="255"/>
      <c r="IU250" s="255"/>
      <c r="IV250" s="255"/>
      <c r="IW250" s="255"/>
      <c r="IX250" s="255"/>
      <c r="IY250" s="255"/>
      <c r="IZ250" s="255"/>
      <c r="JA250" s="255"/>
      <c r="JB250" s="255"/>
      <c r="JC250" s="255"/>
      <c r="JD250" s="255"/>
      <c r="JE250" s="255"/>
      <c r="JF250" s="255"/>
      <c r="JG250" s="191"/>
      <c r="JH250" s="255"/>
      <c r="JI250" s="255"/>
      <c r="JJ250" s="255"/>
      <c r="JK250" s="255"/>
      <c r="JL250" s="255"/>
      <c r="JM250" s="255"/>
      <c r="JN250" s="255"/>
      <c r="JO250" s="255"/>
      <c r="JP250" s="255"/>
      <c r="JQ250" s="255"/>
      <c r="JR250" s="255"/>
      <c r="JS250" s="255"/>
      <c r="JT250" s="255"/>
      <c r="JU250" s="255"/>
      <c r="JV250" s="255"/>
      <c r="JW250" s="255"/>
      <c r="JX250" s="255"/>
      <c r="JY250" s="255"/>
      <c r="JZ250" s="255"/>
      <c r="KA250" s="255"/>
      <c r="KB250" s="191"/>
    </row>
    <row r="251" spans="2:288" ht="15" customHeight="1" x14ac:dyDescent="0.35">
      <c r="B251" s="146" t="str">
        <f t="shared" si="22"/>
        <v>Desk 35</v>
      </c>
      <c r="C251" s="148" t="str">
        <v/>
      </c>
      <c r="D251" s="148" t="str">
        <v/>
      </c>
      <c r="E251" s="148" t="str">
        <v/>
      </c>
      <c r="F251" s="148" t="str">
        <v/>
      </c>
      <c r="G251" s="268" t="str">
        <v/>
      </c>
      <c r="H251" s="255"/>
      <c r="I251" s="255"/>
      <c r="J251" s="255"/>
      <c r="K251" s="255"/>
      <c r="L251" s="255"/>
      <c r="M251" s="255"/>
      <c r="N251" s="255"/>
      <c r="O251" s="255"/>
      <c r="P251" s="255"/>
      <c r="Q251" s="255"/>
      <c r="R251" s="255"/>
      <c r="S251" s="255"/>
      <c r="T251" s="255"/>
      <c r="U251" s="255"/>
      <c r="V251" s="255"/>
      <c r="W251" s="255"/>
      <c r="X251" s="255"/>
      <c r="Y251" s="255"/>
      <c r="Z251" s="255"/>
      <c r="AA251" s="255"/>
      <c r="AB251" s="255"/>
      <c r="AC251" s="255"/>
      <c r="AD251" s="255"/>
      <c r="AE251" s="255"/>
      <c r="AF251" s="255"/>
      <c r="AG251" s="255"/>
      <c r="AH251" s="255"/>
      <c r="AI251" s="255"/>
      <c r="AJ251" s="255"/>
      <c r="AK251" s="255"/>
      <c r="AL251" s="255"/>
      <c r="AM251" s="255"/>
      <c r="AN251" s="255"/>
      <c r="AO251" s="255"/>
      <c r="AP251" s="255"/>
      <c r="AQ251" s="255"/>
      <c r="AR251" s="255"/>
      <c r="AS251" s="255"/>
      <c r="AT251" s="255"/>
      <c r="AU251" s="255"/>
      <c r="AV251" s="255"/>
      <c r="AW251" s="255"/>
      <c r="AX251" s="255"/>
      <c r="AY251" s="255"/>
      <c r="AZ251" s="255"/>
      <c r="BA251" s="255"/>
      <c r="BB251" s="255"/>
      <c r="BC251" s="255"/>
      <c r="BD251" s="255"/>
      <c r="BE251" s="255"/>
      <c r="BF251" s="255"/>
      <c r="BG251" s="255"/>
      <c r="BH251" s="255"/>
      <c r="BI251" s="255"/>
      <c r="BJ251" s="255"/>
      <c r="BK251" s="255"/>
      <c r="BL251" s="255"/>
      <c r="BM251" s="255"/>
      <c r="BN251" s="255"/>
      <c r="BO251" s="255"/>
      <c r="BP251" s="255"/>
      <c r="BQ251" s="255"/>
      <c r="BR251" s="255"/>
      <c r="BS251" s="255"/>
      <c r="BT251" s="255"/>
      <c r="BU251" s="255"/>
      <c r="BV251" s="255"/>
      <c r="BW251" s="255"/>
      <c r="BX251" s="255"/>
      <c r="BY251" s="255"/>
      <c r="BZ251" s="255"/>
      <c r="CA251" s="255"/>
      <c r="CB251" s="255"/>
      <c r="CC251" s="255"/>
      <c r="CD251" s="255"/>
      <c r="CE251" s="255"/>
      <c r="CF251" s="255"/>
      <c r="CG251" s="255"/>
      <c r="CH251" s="255"/>
      <c r="CI251" s="255"/>
      <c r="CJ251" s="255"/>
      <c r="CK251" s="255"/>
      <c r="CL251" s="255"/>
      <c r="CM251" s="255"/>
      <c r="CN251" s="255"/>
      <c r="CO251" s="255"/>
      <c r="CP251" s="255"/>
      <c r="CQ251" s="255"/>
      <c r="CR251" s="255"/>
      <c r="CS251" s="255"/>
      <c r="CT251" s="255"/>
      <c r="CU251" s="255"/>
      <c r="CV251" s="255"/>
      <c r="CW251" s="255"/>
      <c r="CX251" s="255"/>
      <c r="CY251" s="255"/>
      <c r="CZ251" s="255"/>
      <c r="DA251" s="255"/>
      <c r="DB251" s="255"/>
      <c r="DC251" s="255"/>
      <c r="DD251" s="255"/>
      <c r="DE251" s="255"/>
      <c r="DF251" s="255"/>
      <c r="DG251" s="255"/>
      <c r="DH251" s="255"/>
      <c r="DI251" s="255"/>
      <c r="DJ251" s="255"/>
      <c r="DK251" s="255"/>
      <c r="DL251" s="255"/>
      <c r="DM251" s="255"/>
      <c r="DN251" s="255"/>
      <c r="DO251" s="255"/>
      <c r="DP251" s="255"/>
      <c r="DQ251" s="255"/>
      <c r="DR251" s="255"/>
      <c r="DS251" s="255"/>
      <c r="DT251" s="255"/>
      <c r="DU251" s="255"/>
      <c r="DV251" s="255"/>
      <c r="DW251" s="191"/>
      <c r="DX251" s="255"/>
      <c r="DY251" s="255"/>
      <c r="DZ251" s="255"/>
      <c r="EA251" s="255"/>
      <c r="EB251" s="255"/>
      <c r="EC251" s="255"/>
      <c r="ED251" s="255"/>
      <c r="EE251" s="255"/>
      <c r="EF251" s="255"/>
      <c r="EG251" s="255"/>
      <c r="EH251" s="255"/>
      <c r="EI251" s="255"/>
      <c r="EJ251" s="255"/>
      <c r="EK251" s="255"/>
      <c r="EL251" s="255"/>
      <c r="EM251" s="255"/>
      <c r="EN251" s="255"/>
      <c r="EO251" s="255"/>
      <c r="EP251" s="255"/>
      <c r="EQ251" s="255"/>
      <c r="ER251" s="191"/>
      <c r="ES251" s="255"/>
      <c r="ET251" s="255"/>
      <c r="EU251" s="255"/>
      <c r="EV251" s="255"/>
      <c r="EW251" s="255"/>
      <c r="EX251" s="255"/>
      <c r="EY251" s="255"/>
      <c r="EZ251" s="255"/>
      <c r="FA251" s="255"/>
      <c r="FB251" s="255"/>
      <c r="FC251" s="255"/>
      <c r="FD251" s="255"/>
      <c r="FE251" s="255"/>
      <c r="FF251" s="255"/>
      <c r="FG251" s="255"/>
      <c r="FH251" s="255"/>
      <c r="FI251" s="255"/>
      <c r="FJ251" s="255"/>
      <c r="FK251" s="255"/>
      <c r="FL251" s="255"/>
      <c r="FM251" s="255"/>
      <c r="FN251" s="255"/>
      <c r="FO251" s="255"/>
      <c r="FP251" s="255"/>
      <c r="FQ251" s="255"/>
      <c r="FR251" s="255"/>
      <c r="FS251" s="255"/>
      <c r="FT251" s="255"/>
      <c r="FU251" s="255"/>
      <c r="FV251" s="255"/>
      <c r="FW251" s="255"/>
      <c r="FX251" s="255"/>
      <c r="FY251" s="255"/>
      <c r="FZ251" s="255"/>
      <c r="GA251" s="255"/>
      <c r="GB251" s="255"/>
      <c r="GC251" s="255"/>
      <c r="GD251" s="255"/>
      <c r="GE251" s="255"/>
      <c r="GF251" s="255"/>
      <c r="GG251" s="255"/>
      <c r="GH251" s="255"/>
      <c r="GI251" s="255"/>
      <c r="GJ251" s="255"/>
      <c r="GK251" s="255"/>
      <c r="GL251" s="255"/>
      <c r="GM251" s="255"/>
      <c r="GN251" s="255"/>
      <c r="GO251" s="255"/>
      <c r="GP251" s="255"/>
      <c r="GQ251" s="255"/>
      <c r="GR251" s="255"/>
      <c r="GS251" s="255"/>
      <c r="GT251" s="255"/>
      <c r="GU251" s="255"/>
      <c r="GV251" s="255"/>
      <c r="GW251" s="255"/>
      <c r="GX251" s="255"/>
      <c r="GY251" s="255"/>
      <c r="GZ251" s="255"/>
      <c r="HA251" s="255"/>
      <c r="HB251" s="255"/>
      <c r="HC251" s="255"/>
      <c r="HD251" s="255"/>
      <c r="HE251" s="255"/>
      <c r="HF251" s="255"/>
      <c r="HG251" s="255"/>
      <c r="HH251" s="255"/>
      <c r="HI251" s="255"/>
      <c r="HJ251" s="255"/>
      <c r="HK251" s="255"/>
      <c r="HL251" s="255"/>
      <c r="HM251" s="255"/>
      <c r="HN251" s="255"/>
      <c r="HO251" s="255"/>
      <c r="HP251" s="255"/>
      <c r="HQ251" s="255"/>
      <c r="HR251" s="255"/>
      <c r="HS251" s="255"/>
      <c r="HT251" s="255"/>
      <c r="HU251" s="255"/>
      <c r="HV251" s="255"/>
      <c r="HW251" s="255"/>
      <c r="HX251" s="255"/>
      <c r="HY251" s="255"/>
      <c r="HZ251" s="255"/>
      <c r="IA251" s="255"/>
      <c r="IB251" s="255"/>
      <c r="IC251" s="255"/>
      <c r="ID251" s="255"/>
      <c r="IE251" s="255"/>
      <c r="IF251" s="255"/>
      <c r="IG251" s="255"/>
      <c r="IH251" s="255"/>
      <c r="II251" s="255"/>
      <c r="IJ251" s="255"/>
      <c r="IK251" s="255"/>
      <c r="IL251" s="255"/>
      <c r="IM251" s="255"/>
      <c r="IN251" s="255"/>
      <c r="IO251" s="255"/>
      <c r="IP251" s="255"/>
      <c r="IQ251" s="255"/>
      <c r="IR251" s="255"/>
      <c r="IS251" s="255"/>
      <c r="IT251" s="255"/>
      <c r="IU251" s="255"/>
      <c r="IV251" s="255"/>
      <c r="IW251" s="255"/>
      <c r="IX251" s="255"/>
      <c r="IY251" s="255"/>
      <c r="IZ251" s="255"/>
      <c r="JA251" s="255"/>
      <c r="JB251" s="255"/>
      <c r="JC251" s="255"/>
      <c r="JD251" s="255"/>
      <c r="JE251" s="255"/>
      <c r="JF251" s="255"/>
      <c r="JG251" s="191"/>
      <c r="JH251" s="255"/>
      <c r="JI251" s="255"/>
      <c r="JJ251" s="255"/>
      <c r="JK251" s="255"/>
      <c r="JL251" s="255"/>
      <c r="JM251" s="255"/>
      <c r="JN251" s="255"/>
      <c r="JO251" s="255"/>
      <c r="JP251" s="255"/>
      <c r="JQ251" s="255"/>
      <c r="JR251" s="255"/>
      <c r="JS251" s="255"/>
      <c r="JT251" s="255"/>
      <c r="JU251" s="255"/>
      <c r="JV251" s="255"/>
      <c r="JW251" s="255"/>
      <c r="JX251" s="255"/>
      <c r="JY251" s="255"/>
      <c r="JZ251" s="255"/>
      <c r="KA251" s="255"/>
      <c r="KB251" s="191"/>
    </row>
    <row r="252" spans="2:288" ht="15" customHeight="1" x14ac:dyDescent="0.35">
      <c r="B252" s="146" t="str">
        <f t="shared" si="22"/>
        <v>Desk 36</v>
      </c>
      <c r="C252" s="148" t="str">
        <v/>
      </c>
      <c r="D252" s="148" t="str">
        <v/>
      </c>
      <c r="E252" s="148" t="str">
        <v/>
      </c>
      <c r="F252" s="148" t="str">
        <v/>
      </c>
      <c r="G252" s="268" t="str">
        <v/>
      </c>
      <c r="H252" s="255"/>
      <c r="I252" s="255"/>
      <c r="J252" s="255"/>
      <c r="K252" s="255"/>
      <c r="L252" s="255"/>
      <c r="M252" s="255"/>
      <c r="N252" s="255"/>
      <c r="O252" s="255"/>
      <c r="P252" s="255"/>
      <c r="Q252" s="255"/>
      <c r="R252" s="255"/>
      <c r="S252" s="255"/>
      <c r="T252" s="255"/>
      <c r="U252" s="255"/>
      <c r="V252" s="255"/>
      <c r="W252" s="255"/>
      <c r="X252" s="255"/>
      <c r="Y252" s="255"/>
      <c r="Z252" s="255"/>
      <c r="AA252" s="255"/>
      <c r="AB252" s="255"/>
      <c r="AC252" s="255"/>
      <c r="AD252" s="255"/>
      <c r="AE252" s="255"/>
      <c r="AF252" s="255"/>
      <c r="AG252" s="255"/>
      <c r="AH252" s="255"/>
      <c r="AI252" s="255"/>
      <c r="AJ252" s="255"/>
      <c r="AK252" s="255"/>
      <c r="AL252" s="255"/>
      <c r="AM252" s="255"/>
      <c r="AN252" s="255"/>
      <c r="AO252" s="255"/>
      <c r="AP252" s="255"/>
      <c r="AQ252" s="255"/>
      <c r="AR252" s="255"/>
      <c r="AS252" s="255"/>
      <c r="AT252" s="255"/>
      <c r="AU252" s="255"/>
      <c r="AV252" s="255"/>
      <c r="AW252" s="255"/>
      <c r="AX252" s="255"/>
      <c r="AY252" s="255"/>
      <c r="AZ252" s="255"/>
      <c r="BA252" s="255"/>
      <c r="BB252" s="255"/>
      <c r="BC252" s="255"/>
      <c r="BD252" s="255"/>
      <c r="BE252" s="255"/>
      <c r="BF252" s="255"/>
      <c r="BG252" s="255"/>
      <c r="BH252" s="255"/>
      <c r="BI252" s="255"/>
      <c r="BJ252" s="255"/>
      <c r="BK252" s="255"/>
      <c r="BL252" s="255"/>
      <c r="BM252" s="255"/>
      <c r="BN252" s="255"/>
      <c r="BO252" s="255"/>
      <c r="BP252" s="255"/>
      <c r="BQ252" s="255"/>
      <c r="BR252" s="255"/>
      <c r="BS252" s="255"/>
      <c r="BT252" s="255"/>
      <c r="BU252" s="255"/>
      <c r="BV252" s="255"/>
      <c r="BW252" s="255"/>
      <c r="BX252" s="255"/>
      <c r="BY252" s="255"/>
      <c r="BZ252" s="255"/>
      <c r="CA252" s="255"/>
      <c r="CB252" s="255"/>
      <c r="CC252" s="255"/>
      <c r="CD252" s="255"/>
      <c r="CE252" s="255"/>
      <c r="CF252" s="255"/>
      <c r="CG252" s="255"/>
      <c r="CH252" s="255"/>
      <c r="CI252" s="255"/>
      <c r="CJ252" s="255"/>
      <c r="CK252" s="255"/>
      <c r="CL252" s="255"/>
      <c r="CM252" s="255"/>
      <c r="CN252" s="255"/>
      <c r="CO252" s="255"/>
      <c r="CP252" s="255"/>
      <c r="CQ252" s="255"/>
      <c r="CR252" s="255"/>
      <c r="CS252" s="255"/>
      <c r="CT252" s="255"/>
      <c r="CU252" s="255"/>
      <c r="CV252" s="255"/>
      <c r="CW252" s="255"/>
      <c r="CX252" s="255"/>
      <c r="CY252" s="255"/>
      <c r="CZ252" s="255"/>
      <c r="DA252" s="255"/>
      <c r="DB252" s="255"/>
      <c r="DC252" s="255"/>
      <c r="DD252" s="255"/>
      <c r="DE252" s="255"/>
      <c r="DF252" s="255"/>
      <c r="DG252" s="255"/>
      <c r="DH252" s="255"/>
      <c r="DI252" s="255"/>
      <c r="DJ252" s="255"/>
      <c r="DK252" s="255"/>
      <c r="DL252" s="255"/>
      <c r="DM252" s="255"/>
      <c r="DN252" s="255"/>
      <c r="DO252" s="255"/>
      <c r="DP252" s="255"/>
      <c r="DQ252" s="255"/>
      <c r="DR252" s="255"/>
      <c r="DS252" s="255"/>
      <c r="DT252" s="255"/>
      <c r="DU252" s="255"/>
      <c r="DV252" s="255"/>
      <c r="DW252" s="191"/>
      <c r="DX252" s="255"/>
      <c r="DY252" s="255"/>
      <c r="DZ252" s="255"/>
      <c r="EA252" s="255"/>
      <c r="EB252" s="255"/>
      <c r="EC252" s="255"/>
      <c r="ED252" s="255"/>
      <c r="EE252" s="255"/>
      <c r="EF252" s="255"/>
      <c r="EG252" s="255"/>
      <c r="EH252" s="255"/>
      <c r="EI252" s="255"/>
      <c r="EJ252" s="255"/>
      <c r="EK252" s="255"/>
      <c r="EL252" s="255"/>
      <c r="EM252" s="255"/>
      <c r="EN252" s="255"/>
      <c r="EO252" s="255"/>
      <c r="EP252" s="255"/>
      <c r="EQ252" s="255"/>
      <c r="ER252" s="191"/>
      <c r="ES252" s="255"/>
      <c r="ET252" s="255"/>
      <c r="EU252" s="255"/>
      <c r="EV252" s="255"/>
      <c r="EW252" s="255"/>
      <c r="EX252" s="255"/>
      <c r="EY252" s="255"/>
      <c r="EZ252" s="255"/>
      <c r="FA252" s="255"/>
      <c r="FB252" s="255"/>
      <c r="FC252" s="255"/>
      <c r="FD252" s="255"/>
      <c r="FE252" s="255"/>
      <c r="FF252" s="255"/>
      <c r="FG252" s="255"/>
      <c r="FH252" s="255"/>
      <c r="FI252" s="255"/>
      <c r="FJ252" s="255"/>
      <c r="FK252" s="255"/>
      <c r="FL252" s="255"/>
      <c r="FM252" s="255"/>
      <c r="FN252" s="255"/>
      <c r="FO252" s="255"/>
      <c r="FP252" s="255"/>
      <c r="FQ252" s="255"/>
      <c r="FR252" s="255"/>
      <c r="FS252" s="255"/>
      <c r="FT252" s="255"/>
      <c r="FU252" s="255"/>
      <c r="FV252" s="255"/>
      <c r="FW252" s="255"/>
      <c r="FX252" s="255"/>
      <c r="FY252" s="255"/>
      <c r="FZ252" s="255"/>
      <c r="GA252" s="255"/>
      <c r="GB252" s="255"/>
      <c r="GC252" s="255"/>
      <c r="GD252" s="255"/>
      <c r="GE252" s="255"/>
      <c r="GF252" s="255"/>
      <c r="GG252" s="255"/>
      <c r="GH252" s="255"/>
      <c r="GI252" s="255"/>
      <c r="GJ252" s="255"/>
      <c r="GK252" s="255"/>
      <c r="GL252" s="255"/>
      <c r="GM252" s="255"/>
      <c r="GN252" s="255"/>
      <c r="GO252" s="255"/>
      <c r="GP252" s="255"/>
      <c r="GQ252" s="255"/>
      <c r="GR252" s="255"/>
      <c r="GS252" s="255"/>
      <c r="GT252" s="255"/>
      <c r="GU252" s="255"/>
      <c r="GV252" s="255"/>
      <c r="GW252" s="255"/>
      <c r="GX252" s="255"/>
      <c r="GY252" s="255"/>
      <c r="GZ252" s="255"/>
      <c r="HA252" s="255"/>
      <c r="HB252" s="255"/>
      <c r="HC252" s="255"/>
      <c r="HD252" s="255"/>
      <c r="HE252" s="255"/>
      <c r="HF252" s="255"/>
      <c r="HG252" s="255"/>
      <c r="HH252" s="255"/>
      <c r="HI252" s="255"/>
      <c r="HJ252" s="255"/>
      <c r="HK252" s="255"/>
      <c r="HL252" s="255"/>
      <c r="HM252" s="255"/>
      <c r="HN252" s="255"/>
      <c r="HO252" s="255"/>
      <c r="HP252" s="255"/>
      <c r="HQ252" s="255"/>
      <c r="HR252" s="255"/>
      <c r="HS252" s="255"/>
      <c r="HT252" s="255"/>
      <c r="HU252" s="255"/>
      <c r="HV252" s="255"/>
      <c r="HW252" s="255"/>
      <c r="HX252" s="255"/>
      <c r="HY252" s="255"/>
      <c r="HZ252" s="255"/>
      <c r="IA252" s="255"/>
      <c r="IB252" s="255"/>
      <c r="IC252" s="255"/>
      <c r="ID252" s="255"/>
      <c r="IE252" s="255"/>
      <c r="IF252" s="255"/>
      <c r="IG252" s="255"/>
      <c r="IH252" s="255"/>
      <c r="II252" s="255"/>
      <c r="IJ252" s="255"/>
      <c r="IK252" s="255"/>
      <c r="IL252" s="255"/>
      <c r="IM252" s="255"/>
      <c r="IN252" s="255"/>
      <c r="IO252" s="255"/>
      <c r="IP252" s="255"/>
      <c r="IQ252" s="255"/>
      <c r="IR252" s="255"/>
      <c r="IS252" s="255"/>
      <c r="IT252" s="255"/>
      <c r="IU252" s="255"/>
      <c r="IV252" s="255"/>
      <c r="IW252" s="255"/>
      <c r="IX252" s="255"/>
      <c r="IY252" s="255"/>
      <c r="IZ252" s="255"/>
      <c r="JA252" s="255"/>
      <c r="JB252" s="255"/>
      <c r="JC252" s="255"/>
      <c r="JD252" s="255"/>
      <c r="JE252" s="255"/>
      <c r="JF252" s="255"/>
      <c r="JG252" s="191"/>
      <c r="JH252" s="255"/>
      <c r="JI252" s="255"/>
      <c r="JJ252" s="255"/>
      <c r="JK252" s="255"/>
      <c r="JL252" s="255"/>
      <c r="JM252" s="255"/>
      <c r="JN252" s="255"/>
      <c r="JO252" s="255"/>
      <c r="JP252" s="255"/>
      <c r="JQ252" s="255"/>
      <c r="JR252" s="255"/>
      <c r="JS252" s="255"/>
      <c r="JT252" s="255"/>
      <c r="JU252" s="255"/>
      <c r="JV252" s="255"/>
      <c r="JW252" s="255"/>
      <c r="JX252" s="255"/>
      <c r="JY252" s="255"/>
      <c r="JZ252" s="255"/>
      <c r="KA252" s="255"/>
      <c r="KB252" s="191"/>
    </row>
    <row r="253" spans="2:288" ht="15" customHeight="1" x14ac:dyDescent="0.35">
      <c r="B253" s="146" t="str">
        <f t="shared" si="22"/>
        <v>Desk 37</v>
      </c>
      <c r="C253" s="148" t="str">
        <v/>
      </c>
      <c r="D253" s="148" t="str">
        <v/>
      </c>
      <c r="E253" s="148" t="str">
        <v/>
      </c>
      <c r="F253" s="148" t="str">
        <v/>
      </c>
      <c r="G253" s="268" t="str">
        <v/>
      </c>
      <c r="H253" s="255"/>
      <c r="I253" s="255"/>
      <c r="J253" s="255"/>
      <c r="K253" s="255"/>
      <c r="L253" s="255"/>
      <c r="M253" s="255"/>
      <c r="N253" s="255"/>
      <c r="O253" s="255"/>
      <c r="P253" s="255"/>
      <c r="Q253" s="255"/>
      <c r="R253" s="255"/>
      <c r="S253" s="255"/>
      <c r="T253" s="255"/>
      <c r="U253" s="255"/>
      <c r="V253" s="255"/>
      <c r="W253" s="255"/>
      <c r="X253" s="255"/>
      <c r="Y253" s="255"/>
      <c r="Z253" s="255"/>
      <c r="AA253" s="255"/>
      <c r="AB253" s="255"/>
      <c r="AC253" s="255"/>
      <c r="AD253" s="255"/>
      <c r="AE253" s="255"/>
      <c r="AF253" s="255"/>
      <c r="AG253" s="255"/>
      <c r="AH253" s="255"/>
      <c r="AI253" s="255"/>
      <c r="AJ253" s="255"/>
      <c r="AK253" s="255"/>
      <c r="AL253" s="255"/>
      <c r="AM253" s="255"/>
      <c r="AN253" s="255"/>
      <c r="AO253" s="255"/>
      <c r="AP253" s="255"/>
      <c r="AQ253" s="255"/>
      <c r="AR253" s="255"/>
      <c r="AS253" s="255"/>
      <c r="AT253" s="255"/>
      <c r="AU253" s="255"/>
      <c r="AV253" s="255"/>
      <c r="AW253" s="255"/>
      <c r="AX253" s="255"/>
      <c r="AY253" s="255"/>
      <c r="AZ253" s="255"/>
      <c r="BA253" s="255"/>
      <c r="BB253" s="255"/>
      <c r="BC253" s="255"/>
      <c r="BD253" s="255"/>
      <c r="BE253" s="255"/>
      <c r="BF253" s="255"/>
      <c r="BG253" s="255"/>
      <c r="BH253" s="255"/>
      <c r="BI253" s="255"/>
      <c r="BJ253" s="255"/>
      <c r="BK253" s="255"/>
      <c r="BL253" s="255"/>
      <c r="BM253" s="255"/>
      <c r="BN253" s="255"/>
      <c r="BO253" s="255"/>
      <c r="BP253" s="255"/>
      <c r="BQ253" s="255"/>
      <c r="BR253" s="255"/>
      <c r="BS253" s="255"/>
      <c r="BT253" s="255"/>
      <c r="BU253" s="255"/>
      <c r="BV253" s="255"/>
      <c r="BW253" s="255"/>
      <c r="BX253" s="255"/>
      <c r="BY253" s="255"/>
      <c r="BZ253" s="255"/>
      <c r="CA253" s="255"/>
      <c r="CB253" s="255"/>
      <c r="CC253" s="255"/>
      <c r="CD253" s="255"/>
      <c r="CE253" s="255"/>
      <c r="CF253" s="255"/>
      <c r="CG253" s="255"/>
      <c r="CH253" s="255"/>
      <c r="CI253" s="255"/>
      <c r="CJ253" s="255"/>
      <c r="CK253" s="255"/>
      <c r="CL253" s="255"/>
      <c r="CM253" s="255"/>
      <c r="CN253" s="255"/>
      <c r="CO253" s="255"/>
      <c r="CP253" s="255"/>
      <c r="CQ253" s="255"/>
      <c r="CR253" s="255"/>
      <c r="CS253" s="255"/>
      <c r="CT253" s="255"/>
      <c r="CU253" s="255"/>
      <c r="CV253" s="255"/>
      <c r="CW253" s="255"/>
      <c r="CX253" s="255"/>
      <c r="CY253" s="255"/>
      <c r="CZ253" s="255"/>
      <c r="DA253" s="255"/>
      <c r="DB253" s="255"/>
      <c r="DC253" s="255"/>
      <c r="DD253" s="255"/>
      <c r="DE253" s="255"/>
      <c r="DF253" s="255"/>
      <c r="DG253" s="255"/>
      <c r="DH253" s="255"/>
      <c r="DI253" s="255"/>
      <c r="DJ253" s="255"/>
      <c r="DK253" s="255"/>
      <c r="DL253" s="255"/>
      <c r="DM253" s="255"/>
      <c r="DN253" s="255"/>
      <c r="DO253" s="255"/>
      <c r="DP253" s="255"/>
      <c r="DQ253" s="255"/>
      <c r="DR253" s="255"/>
      <c r="DS253" s="255"/>
      <c r="DT253" s="255"/>
      <c r="DU253" s="255"/>
      <c r="DV253" s="255"/>
      <c r="DW253" s="191"/>
      <c r="DX253" s="255"/>
      <c r="DY253" s="255"/>
      <c r="DZ253" s="255"/>
      <c r="EA253" s="255"/>
      <c r="EB253" s="255"/>
      <c r="EC253" s="255"/>
      <c r="ED253" s="255"/>
      <c r="EE253" s="255"/>
      <c r="EF253" s="255"/>
      <c r="EG253" s="255"/>
      <c r="EH253" s="255"/>
      <c r="EI253" s="255"/>
      <c r="EJ253" s="255"/>
      <c r="EK253" s="255"/>
      <c r="EL253" s="255"/>
      <c r="EM253" s="255"/>
      <c r="EN253" s="255"/>
      <c r="EO253" s="255"/>
      <c r="EP253" s="255"/>
      <c r="EQ253" s="255"/>
      <c r="ER253" s="191"/>
      <c r="ES253" s="255"/>
      <c r="ET253" s="255"/>
      <c r="EU253" s="255"/>
      <c r="EV253" s="255"/>
      <c r="EW253" s="255"/>
      <c r="EX253" s="255"/>
      <c r="EY253" s="255"/>
      <c r="EZ253" s="255"/>
      <c r="FA253" s="255"/>
      <c r="FB253" s="255"/>
      <c r="FC253" s="255"/>
      <c r="FD253" s="255"/>
      <c r="FE253" s="255"/>
      <c r="FF253" s="255"/>
      <c r="FG253" s="255"/>
      <c r="FH253" s="255"/>
      <c r="FI253" s="255"/>
      <c r="FJ253" s="255"/>
      <c r="FK253" s="255"/>
      <c r="FL253" s="255"/>
      <c r="FM253" s="255"/>
      <c r="FN253" s="255"/>
      <c r="FO253" s="255"/>
      <c r="FP253" s="255"/>
      <c r="FQ253" s="255"/>
      <c r="FR253" s="255"/>
      <c r="FS253" s="255"/>
      <c r="FT253" s="255"/>
      <c r="FU253" s="255"/>
      <c r="FV253" s="255"/>
      <c r="FW253" s="255"/>
      <c r="FX253" s="255"/>
      <c r="FY253" s="255"/>
      <c r="FZ253" s="255"/>
      <c r="GA253" s="255"/>
      <c r="GB253" s="255"/>
      <c r="GC253" s="255"/>
      <c r="GD253" s="255"/>
      <c r="GE253" s="255"/>
      <c r="GF253" s="255"/>
      <c r="GG253" s="255"/>
      <c r="GH253" s="255"/>
      <c r="GI253" s="255"/>
      <c r="GJ253" s="255"/>
      <c r="GK253" s="255"/>
      <c r="GL253" s="255"/>
      <c r="GM253" s="255"/>
      <c r="GN253" s="255"/>
      <c r="GO253" s="255"/>
      <c r="GP253" s="255"/>
      <c r="GQ253" s="255"/>
      <c r="GR253" s="255"/>
      <c r="GS253" s="255"/>
      <c r="GT253" s="255"/>
      <c r="GU253" s="255"/>
      <c r="GV253" s="255"/>
      <c r="GW253" s="255"/>
      <c r="GX253" s="255"/>
      <c r="GY253" s="255"/>
      <c r="GZ253" s="255"/>
      <c r="HA253" s="255"/>
      <c r="HB253" s="255"/>
      <c r="HC253" s="255"/>
      <c r="HD253" s="255"/>
      <c r="HE253" s="255"/>
      <c r="HF253" s="255"/>
      <c r="HG253" s="255"/>
      <c r="HH253" s="255"/>
      <c r="HI253" s="255"/>
      <c r="HJ253" s="255"/>
      <c r="HK253" s="255"/>
      <c r="HL253" s="255"/>
      <c r="HM253" s="255"/>
      <c r="HN253" s="255"/>
      <c r="HO253" s="255"/>
      <c r="HP253" s="255"/>
      <c r="HQ253" s="255"/>
      <c r="HR253" s="255"/>
      <c r="HS253" s="255"/>
      <c r="HT253" s="255"/>
      <c r="HU253" s="255"/>
      <c r="HV253" s="255"/>
      <c r="HW253" s="255"/>
      <c r="HX253" s="255"/>
      <c r="HY253" s="255"/>
      <c r="HZ253" s="255"/>
      <c r="IA253" s="255"/>
      <c r="IB253" s="255"/>
      <c r="IC253" s="255"/>
      <c r="ID253" s="255"/>
      <c r="IE253" s="255"/>
      <c r="IF253" s="255"/>
      <c r="IG253" s="255"/>
      <c r="IH253" s="255"/>
      <c r="II253" s="255"/>
      <c r="IJ253" s="255"/>
      <c r="IK253" s="255"/>
      <c r="IL253" s="255"/>
      <c r="IM253" s="255"/>
      <c r="IN253" s="255"/>
      <c r="IO253" s="255"/>
      <c r="IP253" s="255"/>
      <c r="IQ253" s="255"/>
      <c r="IR253" s="255"/>
      <c r="IS253" s="255"/>
      <c r="IT253" s="255"/>
      <c r="IU253" s="255"/>
      <c r="IV253" s="255"/>
      <c r="IW253" s="255"/>
      <c r="IX253" s="255"/>
      <c r="IY253" s="255"/>
      <c r="IZ253" s="255"/>
      <c r="JA253" s="255"/>
      <c r="JB253" s="255"/>
      <c r="JC253" s="255"/>
      <c r="JD253" s="255"/>
      <c r="JE253" s="255"/>
      <c r="JF253" s="255"/>
      <c r="JG253" s="191"/>
      <c r="JH253" s="255"/>
      <c r="JI253" s="255"/>
      <c r="JJ253" s="255"/>
      <c r="JK253" s="255"/>
      <c r="JL253" s="255"/>
      <c r="JM253" s="255"/>
      <c r="JN253" s="255"/>
      <c r="JO253" s="255"/>
      <c r="JP253" s="255"/>
      <c r="JQ253" s="255"/>
      <c r="JR253" s="255"/>
      <c r="JS253" s="255"/>
      <c r="JT253" s="255"/>
      <c r="JU253" s="255"/>
      <c r="JV253" s="255"/>
      <c r="JW253" s="255"/>
      <c r="JX253" s="255"/>
      <c r="JY253" s="255"/>
      <c r="JZ253" s="255"/>
      <c r="KA253" s="255"/>
      <c r="KB253" s="191"/>
    </row>
    <row r="254" spans="2:288" ht="15" customHeight="1" x14ac:dyDescent="0.35">
      <c r="B254" s="146" t="str">
        <f t="shared" si="22"/>
        <v>Desk 38</v>
      </c>
      <c r="C254" s="148" t="str">
        <v/>
      </c>
      <c r="D254" s="148" t="str">
        <v/>
      </c>
      <c r="E254" s="148" t="str">
        <v/>
      </c>
      <c r="F254" s="148" t="str">
        <v/>
      </c>
      <c r="G254" s="268" t="str">
        <v/>
      </c>
      <c r="H254" s="255"/>
      <c r="I254" s="255"/>
      <c r="J254" s="255"/>
      <c r="K254" s="255"/>
      <c r="L254" s="255"/>
      <c r="M254" s="255"/>
      <c r="N254" s="255"/>
      <c r="O254" s="255"/>
      <c r="P254" s="255"/>
      <c r="Q254" s="255"/>
      <c r="R254" s="255"/>
      <c r="S254" s="255"/>
      <c r="T254" s="255"/>
      <c r="U254" s="255"/>
      <c r="V254" s="255"/>
      <c r="W254" s="255"/>
      <c r="X254" s="255"/>
      <c r="Y254" s="255"/>
      <c r="Z254" s="255"/>
      <c r="AA254" s="255"/>
      <c r="AB254" s="255"/>
      <c r="AC254" s="255"/>
      <c r="AD254" s="255"/>
      <c r="AE254" s="255"/>
      <c r="AF254" s="255"/>
      <c r="AG254" s="255"/>
      <c r="AH254" s="255"/>
      <c r="AI254" s="255"/>
      <c r="AJ254" s="255"/>
      <c r="AK254" s="255"/>
      <c r="AL254" s="255"/>
      <c r="AM254" s="255"/>
      <c r="AN254" s="255"/>
      <c r="AO254" s="255"/>
      <c r="AP254" s="255"/>
      <c r="AQ254" s="255"/>
      <c r="AR254" s="255"/>
      <c r="AS254" s="255"/>
      <c r="AT254" s="255"/>
      <c r="AU254" s="255"/>
      <c r="AV254" s="255"/>
      <c r="AW254" s="255"/>
      <c r="AX254" s="255"/>
      <c r="AY254" s="255"/>
      <c r="AZ254" s="255"/>
      <c r="BA254" s="255"/>
      <c r="BB254" s="255"/>
      <c r="BC254" s="255"/>
      <c r="BD254" s="255"/>
      <c r="BE254" s="255"/>
      <c r="BF254" s="255"/>
      <c r="BG254" s="255"/>
      <c r="BH254" s="255"/>
      <c r="BI254" s="255"/>
      <c r="BJ254" s="255"/>
      <c r="BK254" s="255"/>
      <c r="BL254" s="255"/>
      <c r="BM254" s="255"/>
      <c r="BN254" s="255"/>
      <c r="BO254" s="255"/>
      <c r="BP254" s="255"/>
      <c r="BQ254" s="255"/>
      <c r="BR254" s="255"/>
      <c r="BS254" s="255"/>
      <c r="BT254" s="255"/>
      <c r="BU254" s="255"/>
      <c r="BV254" s="255"/>
      <c r="BW254" s="255"/>
      <c r="BX254" s="255"/>
      <c r="BY254" s="255"/>
      <c r="BZ254" s="255"/>
      <c r="CA254" s="255"/>
      <c r="CB254" s="255"/>
      <c r="CC254" s="255"/>
      <c r="CD254" s="255"/>
      <c r="CE254" s="255"/>
      <c r="CF254" s="255"/>
      <c r="CG254" s="255"/>
      <c r="CH254" s="255"/>
      <c r="CI254" s="255"/>
      <c r="CJ254" s="255"/>
      <c r="CK254" s="255"/>
      <c r="CL254" s="255"/>
      <c r="CM254" s="255"/>
      <c r="CN254" s="255"/>
      <c r="CO254" s="255"/>
      <c r="CP254" s="255"/>
      <c r="CQ254" s="255"/>
      <c r="CR254" s="255"/>
      <c r="CS254" s="255"/>
      <c r="CT254" s="255"/>
      <c r="CU254" s="255"/>
      <c r="CV254" s="255"/>
      <c r="CW254" s="255"/>
      <c r="CX254" s="255"/>
      <c r="CY254" s="255"/>
      <c r="CZ254" s="255"/>
      <c r="DA254" s="255"/>
      <c r="DB254" s="255"/>
      <c r="DC254" s="255"/>
      <c r="DD254" s="255"/>
      <c r="DE254" s="255"/>
      <c r="DF254" s="255"/>
      <c r="DG254" s="255"/>
      <c r="DH254" s="255"/>
      <c r="DI254" s="255"/>
      <c r="DJ254" s="255"/>
      <c r="DK254" s="255"/>
      <c r="DL254" s="255"/>
      <c r="DM254" s="255"/>
      <c r="DN254" s="255"/>
      <c r="DO254" s="255"/>
      <c r="DP254" s="255"/>
      <c r="DQ254" s="255"/>
      <c r="DR254" s="255"/>
      <c r="DS254" s="255"/>
      <c r="DT254" s="255"/>
      <c r="DU254" s="255"/>
      <c r="DV254" s="255"/>
      <c r="DW254" s="191"/>
      <c r="DX254" s="255"/>
      <c r="DY254" s="255"/>
      <c r="DZ254" s="255"/>
      <c r="EA254" s="255"/>
      <c r="EB254" s="255"/>
      <c r="EC254" s="255"/>
      <c r="ED254" s="255"/>
      <c r="EE254" s="255"/>
      <c r="EF254" s="255"/>
      <c r="EG254" s="255"/>
      <c r="EH254" s="255"/>
      <c r="EI254" s="255"/>
      <c r="EJ254" s="255"/>
      <c r="EK254" s="255"/>
      <c r="EL254" s="255"/>
      <c r="EM254" s="255"/>
      <c r="EN254" s="255"/>
      <c r="EO254" s="255"/>
      <c r="EP254" s="255"/>
      <c r="EQ254" s="255"/>
      <c r="ER254" s="191"/>
      <c r="ES254" s="255"/>
      <c r="ET254" s="255"/>
      <c r="EU254" s="255"/>
      <c r="EV254" s="255"/>
      <c r="EW254" s="255"/>
      <c r="EX254" s="255"/>
      <c r="EY254" s="255"/>
      <c r="EZ254" s="255"/>
      <c r="FA254" s="255"/>
      <c r="FB254" s="255"/>
      <c r="FC254" s="255"/>
      <c r="FD254" s="255"/>
      <c r="FE254" s="255"/>
      <c r="FF254" s="255"/>
      <c r="FG254" s="255"/>
      <c r="FH254" s="255"/>
      <c r="FI254" s="255"/>
      <c r="FJ254" s="255"/>
      <c r="FK254" s="255"/>
      <c r="FL254" s="255"/>
      <c r="FM254" s="255"/>
      <c r="FN254" s="255"/>
      <c r="FO254" s="255"/>
      <c r="FP254" s="255"/>
      <c r="FQ254" s="255"/>
      <c r="FR254" s="255"/>
      <c r="FS254" s="255"/>
      <c r="FT254" s="255"/>
      <c r="FU254" s="255"/>
      <c r="FV254" s="255"/>
      <c r="FW254" s="255"/>
      <c r="FX254" s="255"/>
      <c r="FY254" s="255"/>
      <c r="FZ254" s="255"/>
      <c r="GA254" s="255"/>
      <c r="GB254" s="255"/>
      <c r="GC254" s="255"/>
      <c r="GD254" s="255"/>
      <c r="GE254" s="255"/>
      <c r="GF254" s="255"/>
      <c r="GG254" s="255"/>
      <c r="GH254" s="255"/>
      <c r="GI254" s="255"/>
      <c r="GJ254" s="255"/>
      <c r="GK254" s="255"/>
      <c r="GL254" s="255"/>
      <c r="GM254" s="255"/>
      <c r="GN254" s="255"/>
      <c r="GO254" s="255"/>
      <c r="GP254" s="255"/>
      <c r="GQ254" s="255"/>
      <c r="GR254" s="255"/>
      <c r="GS254" s="255"/>
      <c r="GT254" s="255"/>
      <c r="GU254" s="255"/>
      <c r="GV254" s="255"/>
      <c r="GW254" s="255"/>
      <c r="GX254" s="255"/>
      <c r="GY254" s="255"/>
      <c r="GZ254" s="255"/>
      <c r="HA254" s="255"/>
      <c r="HB254" s="255"/>
      <c r="HC254" s="255"/>
      <c r="HD254" s="255"/>
      <c r="HE254" s="255"/>
      <c r="HF254" s="255"/>
      <c r="HG254" s="255"/>
      <c r="HH254" s="255"/>
      <c r="HI254" s="255"/>
      <c r="HJ254" s="255"/>
      <c r="HK254" s="255"/>
      <c r="HL254" s="255"/>
      <c r="HM254" s="255"/>
      <c r="HN254" s="255"/>
      <c r="HO254" s="255"/>
      <c r="HP254" s="255"/>
      <c r="HQ254" s="255"/>
      <c r="HR254" s="255"/>
      <c r="HS254" s="255"/>
      <c r="HT254" s="255"/>
      <c r="HU254" s="255"/>
      <c r="HV254" s="255"/>
      <c r="HW254" s="255"/>
      <c r="HX254" s="255"/>
      <c r="HY254" s="255"/>
      <c r="HZ254" s="255"/>
      <c r="IA254" s="255"/>
      <c r="IB254" s="255"/>
      <c r="IC254" s="255"/>
      <c r="ID254" s="255"/>
      <c r="IE254" s="255"/>
      <c r="IF254" s="255"/>
      <c r="IG254" s="255"/>
      <c r="IH254" s="255"/>
      <c r="II254" s="255"/>
      <c r="IJ254" s="255"/>
      <c r="IK254" s="255"/>
      <c r="IL254" s="255"/>
      <c r="IM254" s="255"/>
      <c r="IN254" s="255"/>
      <c r="IO254" s="255"/>
      <c r="IP254" s="255"/>
      <c r="IQ254" s="255"/>
      <c r="IR254" s="255"/>
      <c r="IS254" s="255"/>
      <c r="IT254" s="255"/>
      <c r="IU254" s="255"/>
      <c r="IV254" s="255"/>
      <c r="IW254" s="255"/>
      <c r="IX254" s="255"/>
      <c r="IY254" s="255"/>
      <c r="IZ254" s="255"/>
      <c r="JA254" s="255"/>
      <c r="JB254" s="255"/>
      <c r="JC254" s="255"/>
      <c r="JD254" s="255"/>
      <c r="JE254" s="255"/>
      <c r="JF254" s="255"/>
      <c r="JG254" s="191"/>
      <c r="JH254" s="255"/>
      <c r="JI254" s="255"/>
      <c r="JJ254" s="255"/>
      <c r="JK254" s="255"/>
      <c r="JL254" s="255"/>
      <c r="JM254" s="255"/>
      <c r="JN254" s="255"/>
      <c r="JO254" s="255"/>
      <c r="JP254" s="255"/>
      <c r="JQ254" s="255"/>
      <c r="JR254" s="255"/>
      <c r="JS254" s="255"/>
      <c r="JT254" s="255"/>
      <c r="JU254" s="255"/>
      <c r="JV254" s="255"/>
      <c r="JW254" s="255"/>
      <c r="JX254" s="255"/>
      <c r="JY254" s="255"/>
      <c r="JZ254" s="255"/>
      <c r="KA254" s="255"/>
      <c r="KB254" s="191"/>
    </row>
    <row r="255" spans="2:288" ht="15" customHeight="1" x14ac:dyDescent="0.35">
      <c r="B255" s="146" t="str">
        <f t="shared" si="22"/>
        <v>Desk 39</v>
      </c>
      <c r="C255" s="148" t="str">
        <v/>
      </c>
      <c r="D255" s="148" t="str">
        <v/>
      </c>
      <c r="E255" s="148" t="str">
        <v/>
      </c>
      <c r="F255" s="148" t="str">
        <v/>
      </c>
      <c r="G255" s="268" t="str">
        <v/>
      </c>
      <c r="H255" s="255"/>
      <c r="I255" s="255"/>
      <c r="J255" s="255"/>
      <c r="K255" s="255"/>
      <c r="L255" s="255"/>
      <c r="M255" s="255"/>
      <c r="N255" s="255"/>
      <c r="O255" s="255"/>
      <c r="P255" s="255"/>
      <c r="Q255" s="255"/>
      <c r="R255" s="255"/>
      <c r="S255" s="255"/>
      <c r="T255" s="255"/>
      <c r="U255" s="255"/>
      <c r="V255" s="255"/>
      <c r="W255" s="255"/>
      <c r="X255" s="255"/>
      <c r="Y255" s="255"/>
      <c r="Z255" s="255"/>
      <c r="AA255" s="255"/>
      <c r="AB255" s="255"/>
      <c r="AC255" s="255"/>
      <c r="AD255" s="255"/>
      <c r="AE255" s="255"/>
      <c r="AF255" s="255"/>
      <c r="AG255" s="255"/>
      <c r="AH255" s="255"/>
      <c r="AI255" s="255"/>
      <c r="AJ255" s="255"/>
      <c r="AK255" s="255"/>
      <c r="AL255" s="255"/>
      <c r="AM255" s="255"/>
      <c r="AN255" s="255"/>
      <c r="AO255" s="255"/>
      <c r="AP255" s="255"/>
      <c r="AQ255" s="255"/>
      <c r="AR255" s="255"/>
      <c r="AS255" s="255"/>
      <c r="AT255" s="255"/>
      <c r="AU255" s="255"/>
      <c r="AV255" s="255"/>
      <c r="AW255" s="255"/>
      <c r="AX255" s="255"/>
      <c r="AY255" s="255"/>
      <c r="AZ255" s="255"/>
      <c r="BA255" s="255"/>
      <c r="BB255" s="255"/>
      <c r="BC255" s="255"/>
      <c r="BD255" s="255"/>
      <c r="BE255" s="255"/>
      <c r="BF255" s="255"/>
      <c r="BG255" s="255"/>
      <c r="BH255" s="255"/>
      <c r="BI255" s="255"/>
      <c r="BJ255" s="255"/>
      <c r="BK255" s="255"/>
      <c r="BL255" s="255"/>
      <c r="BM255" s="255"/>
      <c r="BN255" s="255"/>
      <c r="BO255" s="255"/>
      <c r="BP255" s="255"/>
      <c r="BQ255" s="255"/>
      <c r="BR255" s="255"/>
      <c r="BS255" s="255"/>
      <c r="BT255" s="255"/>
      <c r="BU255" s="255"/>
      <c r="BV255" s="255"/>
      <c r="BW255" s="255"/>
      <c r="BX255" s="255"/>
      <c r="BY255" s="255"/>
      <c r="BZ255" s="255"/>
      <c r="CA255" s="255"/>
      <c r="CB255" s="255"/>
      <c r="CC255" s="255"/>
      <c r="CD255" s="255"/>
      <c r="CE255" s="255"/>
      <c r="CF255" s="255"/>
      <c r="CG255" s="255"/>
      <c r="CH255" s="255"/>
      <c r="CI255" s="255"/>
      <c r="CJ255" s="255"/>
      <c r="CK255" s="255"/>
      <c r="CL255" s="255"/>
      <c r="CM255" s="255"/>
      <c r="CN255" s="255"/>
      <c r="CO255" s="255"/>
      <c r="CP255" s="255"/>
      <c r="CQ255" s="255"/>
      <c r="CR255" s="255"/>
      <c r="CS255" s="255"/>
      <c r="CT255" s="255"/>
      <c r="CU255" s="255"/>
      <c r="CV255" s="255"/>
      <c r="CW255" s="255"/>
      <c r="CX255" s="255"/>
      <c r="CY255" s="255"/>
      <c r="CZ255" s="255"/>
      <c r="DA255" s="255"/>
      <c r="DB255" s="255"/>
      <c r="DC255" s="255"/>
      <c r="DD255" s="255"/>
      <c r="DE255" s="255"/>
      <c r="DF255" s="255"/>
      <c r="DG255" s="255"/>
      <c r="DH255" s="255"/>
      <c r="DI255" s="255"/>
      <c r="DJ255" s="255"/>
      <c r="DK255" s="255"/>
      <c r="DL255" s="255"/>
      <c r="DM255" s="255"/>
      <c r="DN255" s="255"/>
      <c r="DO255" s="255"/>
      <c r="DP255" s="255"/>
      <c r="DQ255" s="255"/>
      <c r="DR255" s="255"/>
      <c r="DS255" s="255"/>
      <c r="DT255" s="255"/>
      <c r="DU255" s="255"/>
      <c r="DV255" s="255"/>
      <c r="DW255" s="191"/>
      <c r="DX255" s="255"/>
      <c r="DY255" s="255"/>
      <c r="DZ255" s="255"/>
      <c r="EA255" s="255"/>
      <c r="EB255" s="255"/>
      <c r="EC255" s="255"/>
      <c r="ED255" s="255"/>
      <c r="EE255" s="255"/>
      <c r="EF255" s="255"/>
      <c r="EG255" s="255"/>
      <c r="EH255" s="255"/>
      <c r="EI255" s="255"/>
      <c r="EJ255" s="255"/>
      <c r="EK255" s="255"/>
      <c r="EL255" s="255"/>
      <c r="EM255" s="255"/>
      <c r="EN255" s="255"/>
      <c r="EO255" s="255"/>
      <c r="EP255" s="255"/>
      <c r="EQ255" s="255"/>
      <c r="ER255" s="191"/>
      <c r="ES255" s="255"/>
      <c r="ET255" s="255"/>
      <c r="EU255" s="255"/>
      <c r="EV255" s="255"/>
      <c r="EW255" s="255"/>
      <c r="EX255" s="255"/>
      <c r="EY255" s="255"/>
      <c r="EZ255" s="255"/>
      <c r="FA255" s="255"/>
      <c r="FB255" s="255"/>
      <c r="FC255" s="255"/>
      <c r="FD255" s="255"/>
      <c r="FE255" s="255"/>
      <c r="FF255" s="255"/>
      <c r="FG255" s="255"/>
      <c r="FH255" s="255"/>
      <c r="FI255" s="255"/>
      <c r="FJ255" s="255"/>
      <c r="FK255" s="255"/>
      <c r="FL255" s="255"/>
      <c r="FM255" s="255"/>
      <c r="FN255" s="255"/>
      <c r="FO255" s="255"/>
      <c r="FP255" s="255"/>
      <c r="FQ255" s="255"/>
      <c r="FR255" s="255"/>
      <c r="FS255" s="255"/>
      <c r="FT255" s="255"/>
      <c r="FU255" s="255"/>
      <c r="FV255" s="255"/>
      <c r="FW255" s="255"/>
      <c r="FX255" s="255"/>
      <c r="FY255" s="255"/>
      <c r="FZ255" s="255"/>
      <c r="GA255" s="255"/>
      <c r="GB255" s="255"/>
      <c r="GC255" s="255"/>
      <c r="GD255" s="255"/>
      <c r="GE255" s="255"/>
      <c r="GF255" s="255"/>
      <c r="GG255" s="255"/>
      <c r="GH255" s="255"/>
      <c r="GI255" s="255"/>
      <c r="GJ255" s="255"/>
      <c r="GK255" s="255"/>
      <c r="GL255" s="255"/>
      <c r="GM255" s="255"/>
      <c r="GN255" s="255"/>
      <c r="GO255" s="255"/>
      <c r="GP255" s="255"/>
      <c r="GQ255" s="255"/>
      <c r="GR255" s="255"/>
      <c r="GS255" s="255"/>
      <c r="GT255" s="255"/>
      <c r="GU255" s="255"/>
      <c r="GV255" s="255"/>
      <c r="GW255" s="255"/>
      <c r="GX255" s="255"/>
      <c r="GY255" s="255"/>
      <c r="GZ255" s="255"/>
      <c r="HA255" s="255"/>
      <c r="HB255" s="255"/>
      <c r="HC255" s="255"/>
      <c r="HD255" s="255"/>
      <c r="HE255" s="255"/>
      <c r="HF255" s="255"/>
      <c r="HG255" s="255"/>
      <c r="HH255" s="255"/>
      <c r="HI255" s="255"/>
      <c r="HJ255" s="255"/>
      <c r="HK255" s="255"/>
      <c r="HL255" s="255"/>
      <c r="HM255" s="255"/>
      <c r="HN255" s="255"/>
      <c r="HO255" s="255"/>
      <c r="HP255" s="255"/>
      <c r="HQ255" s="255"/>
      <c r="HR255" s="255"/>
      <c r="HS255" s="255"/>
      <c r="HT255" s="255"/>
      <c r="HU255" s="255"/>
      <c r="HV255" s="255"/>
      <c r="HW255" s="255"/>
      <c r="HX255" s="255"/>
      <c r="HY255" s="255"/>
      <c r="HZ255" s="255"/>
      <c r="IA255" s="255"/>
      <c r="IB255" s="255"/>
      <c r="IC255" s="255"/>
      <c r="ID255" s="255"/>
      <c r="IE255" s="255"/>
      <c r="IF255" s="255"/>
      <c r="IG255" s="255"/>
      <c r="IH255" s="255"/>
      <c r="II255" s="255"/>
      <c r="IJ255" s="255"/>
      <c r="IK255" s="255"/>
      <c r="IL255" s="255"/>
      <c r="IM255" s="255"/>
      <c r="IN255" s="255"/>
      <c r="IO255" s="255"/>
      <c r="IP255" s="255"/>
      <c r="IQ255" s="255"/>
      <c r="IR255" s="255"/>
      <c r="IS255" s="255"/>
      <c r="IT255" s="255"/>
      <c r="IU255" s="255"/>
      <c r="IV255" s="255"/>
      <c r="IW255" s="255"/>
      <c r="IX255" s="255"/>
      <c r="IY255" s="255"/>
      <c r="IZ255" s="255"/>
      <c r="JA255" s="255"/>
      <c r="JB255" s="255"/>
      <c r="JC255" s="255"/>
      <c r="JD255" s="255"/>
      <c r="JE255" s="255"/>
      <c r="JF255" s="255"/>
      <c r="JG255" s="191"/>
      <c r="JH255" s="255"/>
      <c r="JI255" s="255"/>
      <c r="JJ255" s="255"/>
      <c r="JK255" s="255"/>
      <c r="JL255" s="255"/>
      <c r="JM255" s="255"/>
      <c r="JN255" s="255"/>
      <c r="JO255" s="255"/>
      <c r="JP255" s="255"/>
      <c r="JQ255" s="255"/>
      <c r="JR255" s="255"/>
      <c r="JS255" s="255"/>
      <c r="JT255" s="255"/>
      <c r="JU255" s="255"/>
      <c r="JV255" s="255"/>
      <c r="JW255" s="255"/>
      <c r="JX255" s="255"/>
      <c r="JY255" s="255"/>
      <c r="JZ255" s="255"/>
      <c r="KA255" s="255"/>
      <c r="KB255" s="191"/>
    </row>
    <row r="256" spans="2:288" ht="15" customHeight="1" x14ac:dyDescent="0.35">
      <c r="B256" s="146" t="str">
        <f t="shared" si="22"/>
        <v>Desk 40</v>
      </c>
      <c r="C256" s="148" t="str">
        <v/>
      </c>
      <c r="D256" s="148" t="str">
        <v/>
      </c>
      <c r="E256" s="148" t="str">
        <v/>
      </c>
      <c r="F256" s="148" t="str">
        <v/>
      </c>
      <c r="G256" s="268" t="str">
        <v/>
      </c>
      <c r="H256" s="255"/>
      <c r="I256" s="255"/>
      <c r="J256" s="255"/>
      <c r="K256" s="255"/>
      <c r="L256" s="255"/>
      <c r="M256" s="255"/>
      <c r="N256" s="255"/>
      <c r="O256" s="255"/>
      <c r="P256" s="255"/>
      <c r="Q256" s="255"/>
      <c r="R256" s="255"/>
      <c r="S256" s="255"/>
      <c r="T256" s="255"/>
      <c r="U256" s="255"/>
      <c r="V256" s="255"/>
      <c r="W256" s="255"/>
      <c r="X256" s="255"/>
      <c r="Y256" s="255"/>
      <c r="Z256" s="255"/>
      <c r="AA256" s="255"/>
      <c r="AB256" s="255"/>
      <c r="AC256" s="255"/>
      <c r="AD256" s="255"/>
      <c r="AE256" s="255"/>
      <c r="AF256" s="255"/>
      <c r="AG256" s="255"/>
      <c r="AH256" s="255"/>
      <c r="AI256" s="255"/>
      <c r="AJ256" s="255"/>
      <c r="AK256" s="255"/>
      <c r="AL256" s="255"/>
      <c r="AM256" s="255"/>
      <c r="AN256" s="255"/>
      <c r="AO256" s="255"/>
      <c r="AP256" s="255"/>
      <c r="AQ256" s="255"/>
      <c r="AR256" s="255"/>
      <c r="AS256" s="255"/>
      <c r="AT256" s="255"/>
      <c r="AU256" s="255"/>
      <c r="AV256" s="255"/>
      <c r="AW256" s="255"/>
      <c r="AX256" s="255"/>
      <c r="AY256" s="255"/>
      <c r="AZ256" s="255"/>
      <c r="BA256" s="255"/>
      <c r="BB256" s="255"/>
      <c r="BC256" s="255"/>
      <c r="BD256" s="255"/>
      <c r="BE256" s="255"/>
      <c r="BF256" s="255"/>
      <c r="BG256" s="255"/>
      <c r="BH256" s="255"/>
      <c r="BI256" s="255"/>
      <c r="BJ256" s="255"/>
      <c r="BK256" s="255"/>
      <c r="BL256" s="255"/>
      <c r="BM256" s="255"/>
      <c r="BN256" s="255"/>
      <c r="BO256" s="255"/>
      <c r="BP256" s="255"/>
      <c r="BQ256" s="255"/>
      <c r="BR256" s="255"/>
      <c r="BS256" s="255"/>
      <c r="BT256" s="255"/>
      <c r="BU256" s="255"/>
      <c r="BV256" s="255"/>
      <c r="BW256" s="255"/>
      <c r="BX256" s="255"/>
      <c r="BY256" s="255"/>
      <c r="BZ256" s="255"/>
      <c r="CA256" s="255"/>
      <c r="CB256" s="255"/>
      <c r="CC256" s="255"/>
      <c r="CD256" s="255"/>
      <c r="CE256" s="255"/>
      <c r="CF256" s="255"/>
      <c r="CG256" s="255"/>
      <c r="CH256" s="255"/>
      <c r="CI256" s="255"/>
      <c r="CJ256" s="255"/>
      <c r="CK256" s="255"/>
      <c r="CL256" s="255"/>
      <c r="CM256" s="255"/>
      <c r="CN256" s="255"/>
      <c r="CO256" s="255"/>
      <c r="CP256" s="255"/>
      <c r="CQ256" s="255"/>
      <c r="CR256" s="255"/>
      <c r="CS256" s="255"/>
      <c r="CT256" s="255"/>
      <c r="CU256" s="255"/>
      <c r="CV256" s="255"/>
      <c r="CW256" s="255"/>
      <c r="CX256" s="255"/>
      <c r="CY256" s="255"/>
      <c r="CZ256" s="255"/>
      <c r="DA256" s="255"/>
      <c r="DB256" s="255"/>
      <c r="DC256" s="255"/>
      <c r="DD256" s="255"/>
      <c r="DE256" s="255"/>
      <c r="DF256" s="255"/>
      <c r="DG256" s="255"/>
      <c r="DH256" s="255"/>
      <c r="DI256" s="255"/>
      <c r="DJ256" s="255"/>
      <c r="DK256" s="255"/>
      <c r="DL256" s="255"/>
      <c r="DM256" s="255"/>
      <c r="DN256" s="255"/>
      <c r="DO256" s="255"/>
      <c r="DP256" s="255"/>
      <c r="DQ256" s="255"/>
      <c r="DR256" s="255"/>
      <c r="DS256" s="255"/>
      <c r="DT256" s="255"/>
      <c r="DU256" s="255"/>
      <c r="DV256" s="255"/>
      <c r="DW256" s="191"/>
      <c r="DX256" s="255"/>
      <c r="DY256" s="255"/>
      <c r="DZ256" s="255"/>
      <c r="EA256" s="255"/>
      <c r="EB256" s="255"/>
      <c r="EC256" s="255"/>
      <c r="ED256" s="255"/>
      <c r="EE256" s="255"/>
      <c r="EF256" s="255"/>
      <c r="EG256" s="255"/>
      <c r="EH256" s="255"/>
      <c r="EI256" s="255"/>
      <c r="EJ256" s="255"/>
      <c r="EK256" s="255"/>
      <c r="EL256" s="255"/>
      <c r="EM256" s="255"/>
      <c r="EN256" s="255"/>
      <c r="EO256" s="255"/>
      <c r="EP256" s="255"/>
      <c r="EQ256" s="255"/>
      <c r="ER256" s="191"/>
      <c r="ES256" s="255"/>
      <c r="ET256" s="255"/>
      <c r="EU256" s="255"/>
      <c r="EV256" s="255"/>
      <c r="EW256" s="255"/>
      <c r="EX256" s="255"/>
      <c r="EY256" s="255"/>
      <c r="EZ256" s="255"/>
      <c r="FA256" s="255"/>
      <c r="FB256" s="255"/>
      <c r="FC256" s="255"/>
      <c r="FD256" s="255"/>
      <c r="FE256" s="255"/>
      <c r="FF256" s="255"/>
      <c r="FG256" s="255"/>
      <c r="FH256" s="255"/>
      <c r="FI256" s="255"/>
      <c r="FJ256" s="255"/>
      <c r="FK256" s="255"/>
      <c r="FL256" s="255"/>
      <c r="FM256" s="255"/>
      <c r="FN256" s="255"/>
      <c r="FO256" s="255"/>
      <c r="FP256" s="255"/>
      <c r="FQ256" s="255"/>
      <c r="FR256" s="255"/>
      <c r="FS256" s="255"/>
      <c r="FT256" s="255"/>
      <c r="FU256" s="255"/>
      <c r="FV256" s="255"/>
      <c r="FW256" s="255"/>
      <c r="FX256" s="255"/>
      <c r="FY256" s="255"/>
      <c r="FZ256" s="255"/>
      <c r="GA256" s="255"/>
      <c r="GB256" s="255"/>
      <c r="GC256" s="255"/>
      <c r="GD256" s="255"/>
      <c r="GE256" s="255"/>
      <c r="GF256" s="255"/>
      <c r="GG256" s="255"/>
      <c r="GH256" s="255"/>
      <c r="GI256" s="255"/>
      <c r="GJ256" s="255"/>
      <c r="GK256" s="255"/>
      <c r="GL256" s="255"/>
      <c r="GM256" s="255"/>
      <c r="GN256" s="255"/>
      <c r="GO256" s="255"/>
      <c r="GP256" s="255"/>
      <c r="GQ256" s="255"/>
      <c r="GR256" s="255"/>
      <c r="GS256" s="255"/>
      <c r="GT256" s="255"/>
      <c r="GU256" s="255"/>
      <c r="GV256" s="255"/>
      <c r="GW256" s="255"/>
      <c r="GX256" s="255"/>
      <c r="GY256" s="255"/>
      <c r="GZ256" s="255"/>
      <c r="HA256" s="255"/>
      <c r="HB256" s="255"/>
      <c r="HC256" s="255"/>
      <c r="HD256" s="255"/>
      <c r="HE256" s="255"/>
      <c r="HF256" s="255"/>
      <c r="HG256" s="255"/>
      <c r="HH256" s="255"/>
      <c r="HI256" s="255"/>
      <c r="HJ256" s="255"/>
      <c r="HK256" s="255"/>
      <c r="HL256" s="255"/>
      <c r="HM256" s="255"/>
      <c r="HN256" s="255"/>
      <c r="HO256" s="255"/>
      <c r="HP256" s="255"/>
      <c r="HQ256" s="255"/>
      <c r="HR256" s="255"/>
      <c r="HS256" s="255"/>
      <c r="HT256" s="255"/>
      <c r="HU256" s="255"/>
      <c r="HV256" s="255"/>
      <c r="HW256" s="255"/>
      <c r="HX256" s="255"/>
      <c r="HY256" s="255"/>
      <c r="HZ256" s="255"/>
      <c r="IA256" s="255"/>
      <c r="IB256" s="255"/>
      <c r="IC256" s="255"/>
      <c r="ID256" s="255"/>
      <c r="IE256" s="255"/>
      <c r="IF256" s="255"/>
      <c r="IG256" s="255"/>
      <c r="IH256" s="255"/>
      <c r="II256" s="255"/>
      <c r="IJ256" s="255"/>
      <c r="IK256" s="255"/>
      <c r="IL256" s="255"/>
      <c r="IM256" s="255"/>
      <c r="IN256" s="255"/>
      <c r="IO256" s="255"/>
      <c r="IP256" s="255"/>
      <c r="IQ256" s="255"/>
      <c r="IR256" s="255"/>
      <c r="IS256" s="255"/>
      <c r="IT256" s="255"/>
      <c r="IU256" s="255"/>
      <c r="IV256" s="255"/>
      <c r="IW256" s="255"/>
      <c r="IX256" s="255"/>
      <c r="IY256" s="255"/>
      <c r="IZ256" s="255"/>
      <c r="JA256" s="255"/>
      <c r="JB256" s="255"/>
      <c r="JC256" s="255"/>
      <c r="JD256" s="255"/>
      <c r="JE256" s="255"/>
      <c r="JF256" s="255"/>
      <c r="JG256" s="191"/>
      <c r="JH256" s="255"/>
      <c r="JI256" s="255"/>
      <c r="JJ256" s="255"/>
      <c r="JK256" s="255"/>
      <c r="JL256" s="255"/>
      <c r="JM256" s="255"/>
      <c r="JN256" s="255"/>
      <c r="JO256" s="255"/>
      <c r="JP256" s="255"/>
      <c r="JQ256" s="255"/>
      <c r="JR256" s="255"/>
      <c r="JS256" s="255"/>
      <c r="JT256" s="255"/>
      <c r="JU256" s="255"/>
      <c r="JV256" s="255"/>
      <c r="JW256" s="255"/>
      <c r="JX256" s="255"/>
      <c r="JY256" s="255"/>
      <c r="JZ256" s="255"/>
      <c r="KA256" s="255"/>
      <c r="KB256" s="191"/>
    </row>
    <row r="257" spans="2:288" ht="15" customHeight="1" x14ac:dyDescent="0.35">
      <c r="B257" s="146" t="str">
        <f t="shared" si="22"/>
        <v>Desk 41</v>
      </c>
      <c r="C257" s="148" t="str">
        <v/>
      </c>
      <c r="D257" s="148" t="str">
        <v/>
      </c>
      <c r="E257" s="148" t="str">
        <v/>
      </c>
      <c r="F257" s="148" t="str">
        <v/>
      </c>
      <c r="G257" s="268" t="str">
        <v/>
      </c>
      <c r="H257" s="255"/>
      <c r="I257" s="255"/>
      <c r="J257" s="255"/>
      <c r="K257" s="255"/>
      <c r="L257" s="255"/>
      <c r="M257" s="255"/>
      <c r="N257" s="255"/>
      <c r="O257" s="255"/>
      <c r="P257" s="255"/>
      <c r="Q257" s="255"/>
      <c r="R257" s="255"/>
      <c r="S257" s="255"/>
      <c r="T257" s="255"/>
      <c r="U257" s="255"/>
      <c r="V257" s="255"/>
      <c r="W257" s="255"/>
      <c r="X257" s="255"/>
      <c r="Y257" s="255"/>
      <c r="Z257" s="255"/>
      <c r="AA257" s="255"/>
      <c r="AB257" s="255"/>
      <c r="AC257" s="255"/>
      <c r="AD257" s="255"/>
      <c r="AE257" s="255"/>
      <c r="AF257" s="255"/>
      <c r="AG257" s="255"/>
      <c r="AH257" s="255"/>
      <c r="AI257" s="255"/>
      <c r="AJ257" s="255"/>
      <c r="AK257" s="255"/>
      <c r="AL257" s="255"/>
      <c r="AM257" s="255"/>
      <c r="AN257" s="255"/>
      <c r="AO257" s="255"/>
      <c r="AP257" s="255"/>
      <c r="AQ257" s="255"/>
      <c r="AR257" s="255"/>
      <c r="AS257" s="255"/>
      <c r="AT257" s="255"/>
      <c r="AU257" s="255"/>
      <c r="AV257" s="255"/>
      <c r="AW257" s="255"/>
      <c r="AX257" s="255"/>
      <c r="AY257" s="255"/>
      <c r="AZ257" s="255"/>
      <c r="BA257" s="255"/>
      <c r="BB257" s="255"/>
      <c r="BC257" s="255"/>
      <c r="BD257" s="255"/>
      <c r="BE257" s="255"/>
      <c r="BF257" s="255"/>
      <c r="BG257" s="255"/>
      <c r="BH257" s="255"/>
      <c r="BI257" s="255"/>
      <c r="BJ257" s="255"/>
      <c r="BK257" s="255"/>
      <c r="BL257" s="255"/>
      <c r="BM257" s="255"/>
      <c r="BN257" s="255"/>
      <c r="BO257" s="255"/>
      <c r="BP257" s="255"/>
      <c r="BQ257" s="255"/>
      <c r="BR257" s="255"/>
      <c r="BS257" s="255"/>
      <c r="BT257" s="255"/>
      <c r="BU257" s="255"/>
      <c r="BV257" s="255"/>
      <c r="BW257" s="255"/>
      <c r="BX257" s="255"/>
      <c r="BY257" s="255"/>
      <c r="BZ257" s="255"/>
      <c r="CA257" s="255"/>
      <c r="CB257" s="255"/>
      <c r="CC257" s="255"/>
      <c r="CD257" s="255"/>
      <c r="CE257" s="255"/>
      <c r="CF257" s="255"/>
      <c r="CG257" s="255"/>
      <c r="CH257" s="255"/>
      <c r="CI257" s="255"/>
      <c r="CJ257" s="255"/>
      <c r="CK257" s="255"/>
      <c r="CL257" s="255"/>
      <c r="CM257" s="255"/>
      <c r="CN257" s="255"/>
      <c r="CO257" s="255"/>
      <c r="CP257" s="255"/>
      <c r="CQ257" s="255"/>
      <c r="CR257" s="255"/>
      <c r="CS257" s="255"/>
      <c r="CT257" s="255"/>
      <c r="CU257" s="255"/>
      <c r="CV257" s="255"/>
      <c r="CW257" s="255"/>
      <c r="CX257" s="255"/>
      <c r="CY257" s="255"/>
      <c r="CZ257" s="255"/>
      <c r="DA257" s="255"/>
      <c r="DB257" s="255"/>
      <c r="DC257" s="255"/>
      <c r="DD257" s="255"/>
      <c r="DE257" s="255"/>
      <c r="DF257" s="255"/>
      <c r="DG257" s="255"/>
      <c r="DH257" s="255"/>
      <c r="DI257" s="255"/>
      <c r="DJ257" s="255"/>
      <c r="DK257" s="255"/>
      <c r="DL257" s="255"/>
      <c r="DM257" s="255"/>
      <c r="DN257" s="255"/>
      <c r="DO257" s="255"/>
      <c r="DP257" s="255"/>
      <c r="DQ257" s="255"/>
      <c r="DR257" s="255"/>
      <c r="DS257" s="255"/>
      <c r="DT257" s="255"/>
      <c r="DU257" s="255"/>
      <c r="DV257" s="255"/>
      <c r="DW257" s="191"/>
      <c r="DX257" s="255"/>
      <c r="DY257" s="255"/>
      <c r="DZ257" s="255"/>
      <c r="EA257" s="255"/>
      <c r="EB257" s="255"/>
      <c r="EC257" s="255"/>
      <c r="ED257" s="255"/>
      <c r="EE257" s="255"/>
      <c r="EF257" s="255"/>
      <c r="EG257" s="255"/>
      <c r="EH257" s="255"/>
      <c r="EI257" s="255"/>
      <c r="EJ257" s="255"/>
      <c r="EK257" s="255"/>
      <c r="EL257" s="255"/>
      <c r="EM257" s="255"/>
      <c r="EN257" s="255"/>
      <c r="EO257" s="255"/>
      <c r="EP257" s="255"/>
      <c r="EQ257" s="255"/>
      <c r="ER257" s="191"/>
      <c r="ES257" s="255"/>
      <c r="ET257" s="255"/>
      <c r="EU257" s="255"/>
      <c r="EV257" s="255"/>
      <c r="EW257" s="255"/>
      <c r="EX257" s="255"/>
      <c r="EY257" s="255"/>
      <c r="EZ257" s="255"/>
      <c r="FA257" s="255"/>
      <c r="FB257" s="255"/>
      <c r="FC257" s="255"/>
      <c r="FD257" s="255"/>
      <c r="FE257" s="255"/>
      <c r="FF257" s="255"/>
      <c r="FG257" s="255"/>
      <c r="FH257" s="255"/>
      <c r="FI257" s="255"/>
      <c r="FJ257" s="255"/>
      <c r="FK257" s="255"/>
      <c r="FL257" s="255"/>
      <c r="FM257" s="255"/>
      <c r="FN257" s="255"/>
      <c r="FO257" s="255"/>
      <c r="FP257" s="255"/>
      <c r="FQ257" s="255"/>
      <c r="FR257" s="255"/>
      <c r="FS257" s="255"/>
      <c r="FT257" s="255"/>
      <c r="FU257" s="255"/>
      <c r="FV257" s="255"/>
      <c r="FW257" s="255"/>
      <c r="FX257" s="255"/>
      <c r="FY257" s="255"/>
      <c r="FZ257" s="255"/>
      <c r="GA257" s="255"/>
      <c r="GB257" s="255"/>
      <c r="GC257" s="255"/>
      <c r="GD257" s="255"/>
      <c r="GE257" s="255"/>
      <c r="GF257" s="255"/>
      <c r="GG257" s="255"/>
      <c r="GH257" s="255"/>
      <c r="GI257" s="255"/>
      <c r="GJ257" s="255"/>
      <c r="GK257" s="255"/>
      <c r="GL257" s="255"/>
      <c r="GM257" s="255"/>
      <c r="GN257" s="255"/>
      <c r="GO257" s="255"/>
      <c r="GP257" s="255"/>
      <c r="GQ257" s="255"/>
      <c r="GR257" s="255"/>
      <c r="GS257" s="255"/>
      <c r="GT257" s="255"/>
      <c r="GU257" s="255"/>
      <c r="GV257" s="255"/>
      <c r="GW257" s="255"/>
      <c r="GX257" s="255"/>
      <c r="GY257" s="255"/>
      <c r="GZ257" s="255"/>
      <c r="HA257" s="255"/>
      <c r="HB257" s="255"/>
      <c r="HC257" s="255"/>
      <c r="HD257" s="255"/>
      <c r="HE257" s="255"/>
      <c r="HF257" s="255"/>
      <c r="HG257" s="255"/>
      <c r="HH257" s="255"/>
      <c r="HI257" s="255"/>
      <c r="HJ257" s="255"/>
      <c r="HK257" s="255"/>
      <c r="HL257" s="255"/>
      <c r="HM257" s="255"/>
      <c r="HN257" s="255"/>
      <c r="HO257" s="255"/>
      <c r="HP257" s="255"/>
      <c r="HQ257" s="255"/>
      <c r="HR257" s="255"/>
      <c r="HS257" s="255"/>
      <c r="HT257" s="255"/>
      <c r="HU257" s="255"/>
      <c r="HV257" s="255"/>
      <c r="HW257" s="255"/>
      <c r="HX257" s="255"/>
      <c r="HY257" s="255"/>
      <c r="HZ257" s="255"/>
      <c r="IA257" s="255"/>
      <c r="IB257" s="255"/>
      <c r="IC257" s="255"/>
      <c r="ID257" s="255"/>
      <c r="IE257" s="255"/>
      <c r="IF257" s="255"/>
      <c r="IG257" s="255"/>
      <c r="IH257" s="255"/>
      <c r="II257" s="255"/>
      <c r="IJ257" s="255"/>
      <c r="IK257" s="255"/>
      <c r="IL257" s="255"/>
      <c r="IM257" s="255"/>
      <c r="IN257" s="255"/>
      <c r="IO257" s="255"/>
      <c r="IP257" s="255"/>
      <c r="IQ257" s="255"/>
      <c r="IR257" s="255"/>
      <c r="IS257" s="255"/>
      <c r="IT257" s="255"/>
      <c r="IU257" s="255"/>
      <c r="IV257" s="255"/>
      <c r="IW257" s="255"/>
      <c r="IX257" s="255"/>
      <c r="IY257" s="255"/>
      <c r="IZ257" s="255"/>
      <c r="JA257" s="255"/>
      <c r="JB257" s="255"/>
      <c r="JC257" s="255"/>
      <c r="JD257" s="255"/>
      <c r="JE257" s="255"/>
      <c r="JF257" s="255"/>
      <c r="JG257" s="191"/>
      <c r="JH257" s="255"/>
      <c r="JI257" s="255"/>
      <c r="JJ257" s="255"/>
      <c r="JK257" s="255"/>
      <c r="JL257" s="255"/>
      <c r="JM257" s="255"/>
      <c r="JN257" s="255"/>
      <c r="JO257" s="255"/>
      <c r="JP257" s="255"/>
      <c r="JQ257" s="255"/>
      <c r="JR257" s="255"/>
      <c r="JS257" s="255"/>
      <c r="JT257" s="255"/>
      <c r="JU257" s="255"/>
      <c r="JV257" s="255"/>
      <c r="JW257" s="255"/>
      <c r="JX257" s="255"/>
      <c r="JY257" s="255"/>
      <c r="JZ257" s="255"/>
      <c r="KA257" s="255"/>
      <c r="KB257" s="191"/>
    </row>
    <row r="258" spans="2:288" ht="15" customHeight="1" x14ac:dyDescent="0.35">
      <c r="B258" s="146" t="str">
        <f t="shared" si="22"/>
        <v>Desk 42</v>
      </c>
      <c r="C258" s="148" t="str">
        <v/>
      </c>
      <c r="D258" s="148" t="str">
        <v/>
      </c>
      <c r="E258" s="148" t="str">
        <v/>
      </c>
      <c r="F258" s="148" t="str">
        <v/>
      </c>
      <c r="G258" s="268" t="str">
        <v/>
      </c>
      <c r="H258" s="255"/>
      <c r="I258" s="255"/>
      <c r="J258" s="255"/>
      <c r="K258" s="255"/>
      <c r="L258" s="255"/>
      <c r="M258" s="255"/>
      <c r="N258" s="255"/>
      <c r="O258" s="255"/>
      <c r="P258" s="255"/>
      <c r="Q258" s="255"/>
      <c r="R258" s="255"/>
      <c r="S258" s="255"/>
      <c r="T258" s="255"/>
      <c r="U258" s="255"/>
      <c r="V258" s="255"/>
      <c r="W258" s="255"/>
      <c r="X258" s="255"/>
      <c r="Y258" s="255"/>
      <c r="Z258" s="255"/>
      <c r="AA258" s="255"/>
      <c r="AB258" s="255"/>
      <c r="AC258" s="255"/>
      <c r="AD258" s="255"/>
      <c r="AE258" s="255"/>
      <c r="AF258" s="255"/>
      <c r="AG258" s="255"/>
      <c r="AH258" s="255"/>
      <c r="AI258" s="255"/>
      <c r="AJ258" s="255"/>
      <c r="AK258" s="255"/>
      <c r="AL258" s="255"/>
      <c r="AM258" s="255"/>
      <c r="AN258" s="255"/>
      <c r="AO258" s="255"/>
      <c r="AP258" s="255"/>
      <c r="AQ258" s="255"/>
      <c r="AR258" s="255"/>
      <c r="AS258" s="255"/>
      <c r="AT258" s="255"/>
      <c r="AU258" s="255"/>
      <c r="AV258" s="255"/>
      <c r="AW258" s="255"/>
      <c r="AX258" s="255"/>
      <c r="AY258" s="255"/>
      <c r="AZ258" s="255"/>
      <c r="BA258" s="255"/>
      <c r="BB258" s="255"/>
      <c r="BC258" s="255"/>
      <c r="BD258" s="255"/>
      <c r="BE258" s="255"/>
      <c r="BF258" s="255"/>
      <c r="BG258" s="255"/>
      <c r="BH258" s="255"/>
      <c r="BI258" s="255"/>
      <c r="BJ258" s="255"/>
      <c r="BK258" s="255"/>
      <c r="BL258" s="255"/>
      <c r="BM258" s="255"/>
      <c r="BN258" s="255"/>
      <c r="BO258" s="255"/>
      <c r="BP258" s="255"/>
      <c r="BQ258" s="255"/>
      <c r="BR258" s="255"/>
      <c r="BS258" s="255"/>
      <c r="BT258" s="255"/>
      <c r="BU258" s="255"/>
      <c r="BV258" s="255"/>
      <c r="BW258" s="255"/>
      <c r="BX258" s="255"/>
      <c r="BY258" s="255"/>
      <c r="BZ258" s="255"/>
      <c r="CA258" s="255"/>
      <c r="CB258" s="255"/>
      <c r="CC258" s="255"/>
      <c r="CD258" s="255"/>
      <c r="CE258" s="255"/>
      <c r="CF258" s="255"/>
      <c r="CG258" s="255"/>
      <c r="CH258" s="255"/>
      <c r="CI258" s="255"/>
      <c r="CJ258" s="255"/>
      <c r="CK258" s="255"/>
      <c r="CL258" s="255"/>
      <c r="CM258" s="255"/>
      <c r="CN258" s="255"/>
      <c r="CO258" s="255"/>
      <c r="CP258" s="255"/>
      <c r="CQ258" s="255"/>
      <c r="CR258" s="255"/>
      <c r="CS258" s="255"/>
      <c r="CT258" s="255"/>
      <c r="CU258" s="255"/>
      <c r="CV258" s="255"/>
      <c r="CW258" s="255"/>
      <c r="CX258" s="255"/>
      <c r="CY258" s="255"/>
      <c r="CZ258" s="255"/>
      <c r="DA258" s="255"/>
      <c r="DB258" s="255"/>
      <c r="DC258" s="255"/>
      <c r="DD258" s="255"/>
      <c r="DE258" s="255"/>
      <c r="DF258" s="255"/>
      <c r="DG258" s="255"/>
      <c r="DH258" s="255"/>
      <c r="DI258" s="255"/>
      <c r="DJ258" s="255"/>
      <c r="DK258" s="255"/>
      <c r="DL258" s="255"/>
      <c r="DM258" s="255"/>
      <c r="DN258" s="255"/>
      <c r="DO258" s="255"/>
      <c r="DP258" s="255"/>
      <c r="DQ258" s="255"/>
      <c r="DR258" s="255"/>
      <c r="DS258" s="255"/>
      <c r="DT258" s="255"/>
      <c r="DU258" s="255"/>
      <c r="DV258" s="255"/>
      <c r="DW258" s="191"/>
      <c r="DX258" s="255"/>
      <c r="DY258" s="255"/>
      <c r="DZ258" s="255"/>
      <c r="EA258" s="255"/>
      <c r="EB258" s="255"/>
      <c r="EC258" s="255"/>
      <c r="ED258" s="255"/>
      <c r="EE258" s="255"/>
      <c r="EF258" s="255"/>
      <c r="EG258" s="255"/>
      <c r="EH258" s="255"/>
      <c r="EI258" s="255"/>
      <c r="EJ258" s="255"/>
      <c r="EK258" s="255"/>
      <c r="EL258" s="255"/>
      <c r="EM258" s="255"/>
      <c r="EN258" s="255"/>
      <c r="EO258" s="255"/>
      <c r="EP258" s="255"/>
      <c r="EQ258" s="255"/>
      <c r="ER258" s="191"/>
      <c r="ES258" s="255"/>
      <c r="ET258" s="255"/>
      <c r="EU258" s="255"/>
      <c r="EV258" s="255"/>
      <c r="EW258" s="255"/>
      <c r="EX258" s="255"/>
      <c r="EY258" s="255"/>
      <c r="EZ258" s="255"/>
      <c r="FA258" s="255"/>
      <c r="FB258" s="255"/>
      <c r="FC258" s="255"/>
      <c r="FD258" s="255"/>
      <c r="FE258" s="255"/>
      <c r="FF258" s="255"/>
      <c r="FG258" s="255"/>
      <c r="FH258" s="255"/>
      <c r="FI258" s="255"/>
      <c r="FJ258" s="255"/>
      <c r="FK258" s="255"/>
      <c r="FL258" s="255"/>
      <c r="FM258" s="255"/>
      <c r="FN258" s="255"/>
      <c r="FO258" s="255"/>
      <c r="FP258" s="255"/>
      <c r="FQ258" s="255"/>
      <c r="FR258" s="255"/>
      <c r="FS258" s="255"/>
      <c r="FT258" s="255"/>
      <c r="FU258" s="255"/>
      <c r="FV258" s="255"/>
      <c r="FW258" s="255"/>
      <c r="FX258" s="255"/>
      <c r="FY258" s="255"/>
      <c r="FZ258" s="255"/>
      <c r="GA258" s="255"/>
      <c r="GB258" s="255"/>
      <c r="GC258" s="255"/>
      <c r="GD258" s="255"/>
      <c r="GE258" s="255"/>
      <c r="GF258" s="255"/>
      <c r="GG258" s="255"/>
      <c r="GH258" s="255"/>
      <c r="GI258" s="255"/>
      <c r="GJ258" s="255"/>
      <c r="GK258" s="255"/>
      <c r="GL258" s="255"/>
      <c r="GM258" s="255"/>
      <c r="GN258" s="255"/>
      <c r="GO258" s="255"/>
      <c r="GP258" s="255"/>
      <c r="GQ258" s="255"/>
      <c r="GR258" s="255"/>
      <c r="GS258" s="255"/>
      <c r="GT258" s="255"/>
      <c r="GU258" s="255"/>
      <c r="GV258" s="255"/>
      <c r="GW258" s="255"/>
      <c r="GX258" s="255"/>
      <c r="GY258" s="255"/>
      <c r="GZ258" s="255"/>
      <c r="HA258" s="255"/>
      <c r="HB258" s="255"/>
      <c r="HC258" s="255"/>
      <c r="HD258" s="255"/>
      <c r="HE258" s="255"/>
      <c r="HF258" s="255"/>
      <c r="HG258" s="255"/>
      <c r="HH258" s="255"/>
      <c r="HI258" s="255"/>
      <c r="HJ258" s="255"/>
      <c r="HK258" s="255"/>
      <c r="HL258" s="255"/>
      <c r="HM258" s="255"/>
      <c r="HN258" s="255"/>
      <c r="HO258" s="255"/>
      <c r="HP258" s="255"/>
      <c r="HQ258" s="255"/>
      <c r="HR258" s="255"/>
      <c r="HS258" s="255"/>
      <c r="HT258" s="255"/>
      <c r="HU258" s="255"/>
      <c r="HV258" s="255"/>
      <c r="HW258" s="255"/>
      <c r="HX258" s="255"/>
      <c r="HY258" s="255"/>
      <c r="HZ258" s="255"/>
      <c r="IA258" s="255"/>
      <c r="IB258" s="255"/>
      <c r="IC258" s="255"/>
      <c r="ID258" s="255"/>
      <c r="IE258" s="255"/>
      <c r="IF258" s="255"/>
      <c r="IG258" s="255"/>
      <c r="IH258" s="255"/>
      <c r="II258" s="255"/>
      <c r="IJ258" s="255"/>
      <c r="IK258" s="255"/>
      <c r="IL258" s="255"/>
      <c r="IM258" s="255"/>
      <c r="IN258" s="255"/>
      <c r="IO258" s="255"/>
      <c r="IP258" s="255"/>
      <c r="IQ258" s="255"/>
      <c r="IR258" s="255"/>
      <c r="IS258" s="255"/>
      <c r="IT258" s="255"/>
      <c r="IU258" s="255"/>
      <c r="IV258" s="255"/>
      <c r="IW258" s="255"/>
      <c r="IX258" s="255"/>
      <c r="IY258" s="255"/>
      <c r="IZ258" s="255"/>
      <c r="JA258" s="255"/>
      <c r="JB258" s="255"/>
      <c r="JC258" s="255"/>
      <c r="JD258" s="255"/>
      <c r="JE258" s="255"/>
      <c r="JF258" s="255"/>
      <c r="JG258" s="191"/>
      <c r="JH258" s="255"/>
      <c r="JI258" s="255"/>
      <c r="JJ258" s="255"/>
      <c r="JK258" s="255"/>
      <c r="JL258" s="255"/>
      <c r="JM258" s="255"/>
      <c r="JN258" s="255"/>
      <c r="JO258" s="255"/>
      <c r="JP258" s="255"/>
      <c r="JQ258" s="255"/>
      <c r="JR258" s="255"/>
      <c r="JS258" s="255"/>
      <c r="JT258" s="255"/>
      <c r="JU258" s="255"/>
      <c r="JV258" s="255"/>
      <c r="JW258" s="255"/>
      <c r="JX258" s="255"/>
      <c r="JY258" s="255"/>
      <c r="JZ258" s="255"/>
      <c r="KA258" s="255"/>
      <c r="KB258" s="191"/>
    </row>
    <row r="259" spans="2:288" ht="15" customHeight="1" x14ac:dyDescent="0.35">
      <c r="B259" s="146" t="str">
        <f t="shared" si="22"/>
        <v>Desk 43</v>
      </c>
      <c r="C259" s="148" t="str">
        <v/>
      </c>
      <c r="D259" s="148" t="str">
        <v/>
      </c>
      <c r="E259" s="148" t="str">
        <v/>
      </c>
      <c r="F259" s="148" t="str">
        <v/>
      </c>
      <c r="G259" s="268" t="str">
        <v/>
      </c>
      <c r="H259" s="255"/>
      <c r="I259" s="255"/>
      <c r="J259" s="255"/>
      <c r="K259" s="255"/>
      <c r="L259" s="255"/>
      <c r="M259" s="255"/>
      <c r="N259" s="255"/>
      <c r="O259" s="255"/>
      <c r="P259" s="255"/>
      <c r="Q259" s="255"/>
      <c r="R259" s="255"/>
      <c r="S259" s="255"/>
      <c r="T259" s="255"/>
      <c r="U259" s="255"/>
      <c r="V259" s="255"/>
      <c r="W259" s="255"/>
      <c r="X259" s="255"/>
      <c r="Y259" s="255"/>
      <c r="Z259" s="255"/>
      <c r="AA259" s="255"/>
      <c r="AB259" s="255"/>
      <c r="AC259" s="255"/>
      <c r="AD259" s="255"/>
      <c r="AE259" s="255"/>
      <c r="AF259" s="255"/>
      <c r="AG259" s="255"/>
      <c r="AH259" s="255"/>
      <c r="AI259" s="255"/>
      <c r="AJ259" s="255"/>
      <c r="AK259" s="255"/>
      <c r="AL259" s="255"/>
      <c r="AM259" s="255"/>
      <c r="AN259" s="255"/>
      <c r="AO259" s="255"/>
      <c r="AP259" s="255"/>
      <c r="AQ259" s="255"/>
      <c r="AR259" s="255"/>
      <c r="AS259" s="255"/>
      <c r="AT259" s="255"/>
      <c r="AU259" s="255"/>
      <c r="AV259" s="255"/>
      <c r="AW259" s="255"/>
      <c r="AX259" s="255"/>
      <c r="AY259" s="255"/>
      <c r="AZ259" s="255"/>
      <c r="BA259" s="255"/>
      <c r="BB259" s="255"/>
      <c r="BC259" s="255"/>
      <c r="BD259" s="255"/>
      <c r="BE259" s="255"/>
      <c r="BF259" s="255"/>
      <c r="BG259" s="255"/>
      <c r="BH259" s="255"/>
      <c r="BI259" s="255"/>
      <c r="BJ259" s="255"/>
      <c r="BK259" s="255"/>
      <c r="BL259" s="255"/>
      <c r="BM259" s="255"/>
      <c r="BN259" s="255"/>
      <c r="BO259" s="255"/>
      <c r="BP259" s="255"/>
      <c r="BQ259" s="255"/>
      <c r="BR259" s="255"/>
      <c r="BS259" s="255"/>
      <c r="BT259" s="255"/>
      <c r="BU259" s="255"/>
      <c r="BV259" s="255"/>
      <c r="BW259" s="255"/>
      <c r="BX259" s="255"/>
      <c r="BY259" s="255"/>
      <c r="BZ259" s="255"/>
      <c r="CA259" s="255"/>
      <c r="CB259" s="255"/>
      <c r="CC259" s="255"/>
      <c r="CD259" s="255"/>
      <c r="CE259" s="255"/>
      <c r="CF259" s="255"/>
      <c r="CG259" s="255"/>
      <c r="CH259" s="255"/>
      <c r="CI259" s="255"/>
      <c r="CJ259" s="255"/>
      <c r="CK259" s="255"/>
      <c r="CL259" s="255"/>
      <c r="CM259" s="255"/>
      <c r="CN259" s="255"/>
      <c r="CO259" s="255"/>
      <c r="CP259" s="255"/>
      <c r="CQ259" s="255"/>
      <c r="CR259" s="255"/>
      <c r="CS259" s="255"/>
      <c r="CT259" s="255"/>
      <c r="CU259" s="255"/>
      <c r="CV259" s="255"/>
      <c r="CW259" s="255"/>
      <c r="CX259" s="255"/>
      <c r="CY259" s="255"/>
      <c r="CZ259" s="255"/>
      <c r="DA259" s="255"/>
      <c r="DB259" s="255"/>
      <c r="DC259" s="255"/>
      <c r="DD259" s="255"/>
      <c r="DE259" s="255"/>
      <c r="DF259" s="255"/>
      <c r="DG259" s="255"/>
      <c r="DH259" s="255"/>
      <c r="DI259" s="255"/>
      <c r="DJ259" s="255"/>
      <c r="DK259" s="255"/>
      <c r="DL259" s="255"/>
      <c r="DM259" s="255"/>
      <c r="DN259" s="255"/>
      <c r="DO259" s="255"/>
      <c r="DP259" s="255"/>
      <c r="DQ259" s="255"/>
      <c r="DR259" s="255"/>
      <c r="DS259" s="255"/>
      <c r="DT259" s="255"/>
      <c r="DU259" s="255"/>
      <c r="DV259" s="255"/>
      <c r="DW259" s="191"/>
      <c r="DX259" s="255"/>
      <c r="DY259" s="255"/>
      <c r="DZ259" s="255"/>
      <c r="EA259" s="255"/>
      <c r="EB259" s="255"/>
      <c r="EC259" s="255"/>
      <c r="ED259" s="255"/>
      <c r="EE259" s="255"/>
      <c r="EF259" s="255"/>
      <c r="EG259" s="255"/>
      <c r="EH259" s="255"/>
      <c r="EI259" s="255"/>
      <c r="EJ259" s="255"/>
      <c r="EK259" s="255"/>
      <c r="EL259" s="255"/>
      <c r="EM259" s="255"/>
      <c r="EN259" s="255"/>
      <c r="EO259" s="255"/>
      <c r="EP259" s="255"/>
      <c r="EQ259" s="255"/>
      <c r="ER259" s="191"/>
      <c r="ES259" s="255"/>
      <c r="ET259" s="255"/>
      <c r="EU259" s="255"/>
      <c r="EV259" s="255"/>
      <c r="EW259" s="255"/>
      <c r="EX259" s="255"/>
      <c r="EY259" s="255"/>
      <c r="EZ259" s="255"/>
      <c r="FA259" s="255"/>
      <c r="FB259" s="255"/>
      <c r="FC259" s="255"/>
      <c r="FD259" s="255"/>
      <c r="FE259" s="255"/>
      <c r="FF259" s="255"/>
      <c r="FG259" s="255"/>
      <c r="FH259" s="255"/>
      <c r="FI259" s="255"/>
      <c r="FJ259" s="255"/>
      <c r="FK259" s="255"/>
      <c r="FL259" s="255"/>
      <c r="FM259" s="255"/>
      <c r="FN259" s="255"/>
      <c r="FO259" s="255"/>
      <c r="FP259" s="255"/>
      <c r="FQ259" s="255"/>
      <c r="FR259" s="255"/>
      <c r="FS259" s="255"/>
      <c r="FT259" s="255"/>
      <c r="FU259" s="255"/>
      <c r="FV259" s="255"/>
      <c r="FW259" s="255"/>
      <c r="FX259" s="255"/>
      <c r="FY259" s="255"/>
      <c r="FZ259" s="255"/>
      <c r="GA259" s="255"/>
      <c r="GB259" s="255"/>
      <c r="GC259" s="255"/>
      <c r="GD259" s="255"/>
      <c r="GE259" s="255"/>
      <c r="GF259" s="255"/>
      <c r="GG259" s="255"/>
      <c r="GH259" s="255"/>
      <c r="GI259" s="255"/>
      <c r="GJ259" s="255"/>
      <c r="GK259" s="255"/>
      <c r="GL259" s="255"/>
      <c r="GM259" s="255"/>
      <c r="GN259" s="255"/>
      <c r="GO259" s="255"/>
      <c r="GP259" s="255"/>
      <c r="GQ259" s="255"/>
      <c r="GR259" s="255"/>
      <c r="GS259" s="255"/>
      <c r="GT259" s="255"/>
      <c r="GU259" s="255"/>
      <c r="GV259" s="255"/>
      <c r="GW259" s="255"/>
      <c r="GX259" s="255"/>
      <c r="GY259" s="255"/>
      <c r="GZ259" s="255"/>
      <c r="HA259" s="255"/>
      <c r="HB259" s="255"/>
      <c r="HC259" s="255"/>
      <c r="HD259" s="255"/>
      <c r="HE259" s="255"/>
      <c r="HF259" s="255"/>
      <c r="HG259" s="255"/>
      <c r="HH259" s="255"/>
      <c r="HI259" s="255"/>
      <c r="HJ259" s="255"/>
      <c r="HK259" s="255"/>
      <c r="HL259" s="255"/>
      <c r="HM259" s="255"/>
      <c r="HN259" s="255"/>
      <c r="HO259" s="255"/>
      <c r="HP259" s="255"/>
      <c r="HQ259" s="255"/>
      <c r="HR259" s="255"/>
      <c r="HS259" s="255"/>
      <c r="HT259" s="255"/>
      <c r="HU259" s="255"/>
      <c r="HV259" s="255"/>
      <c r="HW259" s="255"/>
      <c r="HX259" s="255"/>
      <c r="HY259" s="255"/>
      <c r="HZ259" s="255"/>
      <c r="IA259" s="255"/>
      <c r="IB259" s="255"/>
      <c r="IC259" s="255"/>
      <c r="ID259" s="255"/>
      <c r="IE259" s="255"/>
      <c r="IF259" s="255"/>
      <c r="IG259" s="255"/>
      <c r="IH259" s="255"/>
      <c r="II259" s="255"/>
      <c r="IJ259" s="255"/>
      <c r="IK259" s="255"/>
      <c r="IL259" s="255"/>
      <c r="IM259" s="255"/>
      <c r="IN259" s="255"/>
      <c r="IO259" s="255"/>
      <c r="IP259" s="255"/>
      <c r="IQ259" s="255"/>
      <c r="IR259" s="255"/>
      <c r="IS259" s="255"/>
      <c r="IT259" s="255"/>
      <c r="IU259" s="255"/>
      <c r="IV259" s="255"/>
      <c r="IW259" s="255"/>
      <c r="IX259" s="255"/>
      <c r="IY259" s="255"/>
      <c r="IZ259" s="255"/>
      <c r="JA259" s="255"/>
      <c r="JB259" s="255"/>
      <c r="JC259" s="255"/>
      <c r="JD259" s="255"/>
      <c r="JE259" s="255"/>
      <c r="JF259" s="255"/>
      <c r="JG259" s="191"/>
      <c r="JH259" s="255"/>
      <c r="JI259" s="255"/>
      <c r="JJ259" s="255"/>
      <c r="JK259" s="255"/>
      <c r="JL259" s="255"/>
      <c r="JM259" s="255"/>
      <c r="JN259" s="255"/>
      <c r="JO259" s="255"/>
      <c r="JP259" s="255"/>
      <c r="JQ259" s="255"/>
      <c r="JR259" s="255"/>
      <c r="JS259" s="255"/>
      <c r="JT259" s="255"/>
      <c r="JU259" s="255"/>
      <c r="JV259" s="255"/>
      <c r="JW259" s="255"/>
      <c r="JX259" s="255"/>
      <c r="JY259" s="255"/>
      <c r="JZ259" s="255"/>
      <c r="KA259" s="255"/>
      <c r="KB259" s="191"/>
    </row>
    <row r="260" spans="2:288" ht="15" customHeight="1" x14ac:dyDescent="0.35">
      <c r="B260" s="146" t="str">
        <f t="shared" si="22"/>
        <v>Desk 44</v>
      </c>
      <c r="C260" s="148" t="str">
        <v/>
      </c>
      <c r="D260" s="148" t="str">
        <v/>
      </c>
      <c r="E260" s="148" t="str">
        <v/>
      </c>
      <c r="F260" s="148" t="str">
        <v/>
      </c>
      <c r="G260" s="268" t="str">
        <v/>
      </c>
      <c r="H260" s="255"/>
      <c r="I260" s="255"/>
      <c r="J260" s="255"/>
      <c r="K260" s="255"/>
      <c r="L260" s="255"/>
      <c r="M260" s="255"/>
      <c r="N260" s="255"/>
      <c r="O260" s="255"/>
      <c r="P260" s="255"/>
      <c r="Q260" s="255"/>
      <c r="R260" s="255"/>
      <c r="S260" s="255"/>
      <c r="T260" s="255"/>
      <c r="U260" s="255"/>
      <c r="V260" s="255"/>
      <c r="W260" s="255"/>
      <c r="X260" s="255"/>
      <c r="Y260" s="255"/>
      <c r="Z260" s="255"/>
      <c r="AA260" s="255"/>
      <c r="AB260" s="255"/>
      <c r="AC260" s="255"/>
      <c r="AD260" s="255"/>
      <c r="AE260" s="255"/>
      <c r="AF260" s="255"/>
      <c r="AG260" s="255"/>
      <c r="AH260" s="255"/>
      <c r="AI260" s="255"/>
      <c r="AJ260" s="255"/>
      <c r="AK260" s="255"/>
      <c r="AL260" s="255"/>
      <c r="AM260" s="255"/>
      <c r="AN260" s="255"/>
      <c r="AO260" s="255"/>
      <c r="AP260" s="255"/>
      <c r="AQ260" s="255"/>
      <c r="AR260" s="255"/>
      <c r="AS260" s="255"/>
      <c r="AT260" s="255"/>
      <c r="AU260" s="255"/>
      <c r="AV260" s="255"/>
      <c r="AW260" s="255"/>
      <c r="AX260" s="255"/>
      <c r="AY260" s="255"/>
      <c r="AZ260" s="255"/>
      <c r="BA260" s="255"/>
      <c r="BB260" s="255"/>
      <c r="BC260" s="255"/>
      <c r="BD260" s="255"/>
      <c r="BE260" s="255"/>
      <c r="BF260" s="255"/>
      <c r="BG260" s="255"/>
      <c r="BH260" s="255"/>
      <c r="BI260" s="255"/>
      <c r="BJ260" s="255"/>
      <c r="BK260" s="255"/>
      <c r="BL260" s="255"/>
      <c r="BM260" s="255"/>
      <c r="BN260" s="255"/>
      <c r="BO260" s="255"/>
      <c r="BP260" s="255"/>
      <c r="BQ260" s="255"/>
      <c r="BR260" s="255"/>
      <c r="BS260" s="255"/>
      <c r="BT260" s="255"/>
      <c r="BU260" s="255"/>
      <c r="BV260" s="255"/>
      <c r="BW260" s="255"/>
      <c r="BX260" s="255"/>
      <c r="BY260" s="255"/>
      <c r="BZ260" s="255"/>
      <c r="CA260" s="255"/>
      <c r="CB260" s="255"/>
      <c r="CC260" s="255"/>
      <c r="CD260" s="255"/>
      <c r="CE260" s="255"/>
      <c r="CF260" s="255"/>
      <c r="CG260" s="255"/>
      <c r="CH260" s="255"/>
      <c r="CI260" s="255"/>
      <c r="CJ260" s="255"/>
      <c r="CK260" s="255"/>
      <c r="CL260" s="255"/>
      <c r="CM260" s="255"/>
      <c r="CN260" s="255"/>
      <c r="CO260" s="255"/>
      <c r="CP260" s="255"/>
      <c r="CQ260" s="255"/>
      <c r="CR260" s="255"/>
      <c r="CS260" s="255"/>
      <c r="CT260" s="255"/>
      <c r="CU260" s="255"/>
      <c r="CV260" s="255"/>
      <c r="CW260" s="255"/>
      <c r="CX260" s="255"/>
      <c r="CY260" s="255"/>
      <c r="CZ260" s="255"/>
      <c r="DA260" s="255"/>
      <c r="DB260" s="255"/>
      <c r="DC260" s="255"/>
      <c r="DD260" s="255"/>
      <c r="DE260" s="255"/>
      <c r="DF260" s="255"/>
      <c r="DG260" s="255"/>
      <c r="DH260" s="255"/>
      <c r="DI260" s="255"/>
      <c r="DJ260" s="255"/>
      <c r="DK260" s="255"/>
      <c r="DL260" s="255"/>
      <c r="DM260" s="255"/>
      <c r="DN260" s="255"/>
      <c r="DO260" s="255"/>
      <c r="DP260" s="255"/>
      <c r="DQ260" s="255"/>
      <c r="DR260" s="255"/>
      <c r="DS260" s="255"/>
      <c r="DT260" s="255"/>
      <c r="DU260" s="255"/>
      <c r="DV260" s="255"/>
      <c r="DW260" s="191"/>
      <c r="DX260" s="255"/>
      <c r="DY260" s="255"/>
      <c r="DZ260" s="255"/>
      <c r="EA260" s="255"/>
      <c r="EB260" s="255"/>
      <c r="EC260" s="255"/>
      <c r="ED260" s="255"/>
      <c r="EE260" s="255"/>
      <c r="EF260" s="255"/>
      <c r="EG260" s="255"/>
      <c r="EH260" s="255"/>
      <c r="EI260" s="255"/>
      <c r="EJ260" s="255"/>
      <c r="EK260" s="255"/>
      <c r="EL260" s="255"/>
      <c r="EM260" s="255"/>
      <c r="EN260" s="255"/>
      <c r="EO260" s="255"/>
      <c r="EP260" s="255"/>
      <c r="EQ260" s="255"/>
      <c r="ER260" s="191"/>
      <c r="ES260" s="255"/>
      <c r="ET260" s="255"/>
      <c r="EU260" s="255"/>
      <c r="EV260" s="255"/>
      <c r="EW260" s="255"/>
      <c r="EX260" s="255"/>
      <c r="EY260" s="255"/>
      <c r="EZ260" s="255"/>
      <c r="FA260" s="255"/>
      <c r="FB260" s="255"/>
      <c r="FC260" s="255"/>
      <c r="FD260" s="255"/>
      <c r="FE260" s="255"/>
      <c r="FF260" s="255"/>
      <c r="FG260" s="255"/>
      <c r="FH260" s="255"/>
      <c r="FI260" s="255"/>
      <c r="FJ260" s="255"/>
      <c r="FK260" s="255"/>
      <c r="FL260" s="255"/>
      <c r="FM260" s="255"/>
      <c r="FN260" s="255"/>
      <c r="FO260" s="255"/>
      <c r="FP260" s="255"/>
      <c r="FQ260" s="255"/>
      <c r="FR260" s="255"/>
      <c r="FS260" s="255"/>
      <c r="FT260" s="255"/>
      <c r="FU260" s="255"/>
      <c r="FV260" s="255"/>
      <c r="FW260" s="255"/>
      <c r="FX260" s="255"/>
      <c r="FY260" s="255"/>
      <c r="FZ260" s="255"/>
      <c r="GA260" s="255"/>
      <c r="GB260" s="255"/>
      <c r="GC260" s="255"/>
      <c r="GD260" s="255"/>
      <c r="GE260" s="255"/>
      <c r="GF260" s="255"/>
      <c r="GG260" s="255"/>
      <c r="GH260" s="255"/>
      <c r="GI260" s="255"/>
      <c r="GJ260" s="255"/>
      <c r="GK260" s="255"/>
      <c r="GL260" s="255"/>
      <c r="GM260" s="255"/>
      <c r="GN260" s="255"/>
      <c r="GO260" s="255"/>
      <c r="GP260" s="255"/>
      <c r="GQ260" s="255"/>
      <c r="GR260" s="255"/>
      <c r="GS260" s="255"/>
      <c r="GT260" s="255"/>
      <c r="GU260" s="255"/>
      <c r="GV260" s="255"/>
      <c r="GW260" s="255"/>
      <c r="GX260" s="255"/>
      <c r="GY260" s="255"/>
      <c r="GZ260" s="255"/>
      <c r="HA260" s="255"/>
      <c r="HB260" s="255"/>
      <c r="HC260" s="255"/>
      <c r="HD260" s="255"/>
      <c r="HE260" s="255"/>
      <c r="HF260" s="255"/>
      <c r="HG260" s="255"/>
      <c r="HH260" s="255"/>
      <c r="HI260" s="255"/>
      <c r="HJ260" s="255"/>
      <c r="HK260" s="255"/>
      <c r="HL260" s="255"/>
      <c r="HM260" s="255"/>
      <c r="HN260" s="255"/>
      <c r="HO260" s="255"/>
      <c r="HP260" s="255"/>
      <c r="HQ260" s="255"/>
      <c r="HR260" s="255"/>
      <c r="HS260" s="255"/>
      <c r="HT260" s="255"/>
      <c r="HU260" s="255"/>
      <c r="HV260" s="255"/>
      <c r="HW260" s="255"/>
      <c r="HX260" s="255"/>
      <c r="HY260" s="255"/>
      <c r="HZ260" s="255"/>
      <c r="IA260" s="255"/>
      <c r="IB260" s="255"/>
      <c r="IC260" s="255"/>
      <c r="ID260" s="255"/>
      <c r="IE260" s="255"/>
      <c r="IF260" s="255"/>
      <c r="IG260" s="255"/>
      <c r="IH260" s="255"/>
      <c r="II260" s="255"/>
      <c r="IJ260" s="255"/>
      <c r="IK260" s="255"/>
      <c r="IL260" s="255"/>
      <c r="IM260" s="255"/>
      <c r="IN260" s="255"/>
      <c r="IO260" s="255"/>
      <c r="IP260" s="255"/>
      <c r="IQ260" s="255"/>
      <c r="IR260" s="255"/>
      <c r="IS260" s="255"/>
      <c r="IT260" s="255"/>
      <c r="IU260" s="255"/>
      <c r="IV260" s="255"/>
      <c r="IW260" s="255"/>
      <c r="IX260" s="255"/>
      <c r="IY260" s="255"/>
      <c r="IZ260" s="255"/>
      <c r="JA260" s="255"/>
      <c r="JB260" s="255"/>
      <c r="JC260" s="255"/>
      <c r="JD260" s="255"/>
      <c r="JE260" s="255"/>
      <c r="JF260" s="255"/>
      <c r="JG260" s="191"/>
      <c r="JH260" s="255"/>
      <c r="JI260" s="255"/>
      <c r="JJ260" s="255"/>
      <c r="JK260" s="255"/>
      <c r="JL260" s="255"/>
      <c r="JM260" s="255"/>
      <c r="JN260" s="255"/>
      <c r="JO260" s="255"/>
      <c r="JP260" s="255"/>
      <c r="JQ260" s="255"/>
      <c r="JR260" s="255"/>
      <c r="JS260" s="255"/>
      <c r="JT260" s="255"/>
      <c r="JU260" s="255"/>
      <c r="JV260" s="255"/>
      <c r="JW260" s="255"/>
      <c r="JX260" s="255"/>
      <c r="JY260" s="255"/>
      <c r="JZ260" s="255"/>
      <c r="KA260" s="255"/>
      <c r="KB260" s="191"/>
    </row>
    <row r="261" spans="2:288" ht="15" customHeight="1" x14ac:dyDescent="0.35">
      <c r="B261" s="146" t="str">
        <f t="shared" si="22"/>
        <v>Desk 45</v>
      </c>
      <c r="C261" s="148" t="str">
        <v/>
      </c>
      <c r="D261" s="148" t="str">
        <v/>
      </c>
      <c r="E261" s="148" t="str">
        <v/>
      </c>
      <c r="F261" s="148" t="str">
        <v/>
      </c>
      <c r="G261" s="268" t="str">
        <v/>
      </c>
      <c r="H261" s="255"/>
      <c r="I261" s="255"/>
      <c r="J261" s="255"/>
      <c r="K261" s="255"/>
      <c r="L261" s="255"/>
      <c r="M261" s="255"/>
      <c r="N261" s="255"/>
      <c r="O261" s="255"/>
      <c r="P261" s="255"/>
      <c r="Q261" s="255"/>
      <c r="R261" s="255"/>
      <c r="S261" s="255"/>
      <c r="T261" s="255"/>
      <c r="U261" s="255"/>
      <c r="V261" s="255"/>
      <c r="W261" s="255"/>
      <c r="X261" s="255"/>
      <c r="Y261" s="255"/>
      <c r="Z261" s="255"/>
      <c r="AA261" s="255"/>
      <c r="AB261" s="255"/>
      <c r="AC261" s="255"/>
      <c r="AD261" s="255"/>
      <c r="AE261" s="255"/>
      <c r="AF261" s="255"/>
      <c r="AG261" s="255"/>
      <c r="AH261" s="255"/>
      <c r="AI261" s="255"/>
      <c r="AJ261" s="255"/>
      <c r="AK261" s="255"/>
      <c r="AL261" s="255"/>
      <c r="AM261" s="255"/>
      <c r="AN261" s="255"/>
      <c r="AO261" s="255"/>
      <c r="AP261" s="255"/>
      <c r="AQ261" s="255"/>
      <c r="AR261" s="255"/>
      <c r="AS261" s="255"/>
      <c r="AT261" s="255"/>
      <c r="AU261" s="255"/>
      <c r="AV261" s="255"/>
      <c r="AW261" s="255"/>
      <c r="AX261" s="255"/>
      <c r="AY261" s="255"/>
      <c r="AZ261" s="255"/>
      <c r="BA261" s="255"/>
      <c r="BB261" s="255"/>
      <c r="BC261" s="255"/>
      <c r="BD261" s="255"/>
      <c r="BE261" s="255"/>
      <c r="BF261" s="255"/>
      <c r="BG261" s="255"/>
      <c r="BH261" s="255"/>
      <c r="BI261" s="255"/>
      <c r="BJ261" s="255"/>
      <c r="BK261" s="255"/>
      <c r="BL261" s="255"/>
      <c r="BM261" s="255"/>
      <c r="BN261" s="255"/>
      <c r="BO261" s="255"/>
      <c r="BP261" s="255"/>
      <c r="BQ261" s="255"/>
      <c r="BR261" s="255"/>
      <c r="BS261" s="255"/>
      <c r="BT261" s="255"/>
      <c r="BU261" s="255"/>
      <c r="BV261" s="255"/>
      <c r="BW261" s="255"/>
      <c r="BX261" s="255"/>
      <c r="BY261" s="255"/>
      <c r="BZ261" s="255"/>
      <c r="CA261" s="255"/>
      <c r="CB261" s="255"/>
      <c r="CC261" s="255"/>
      <c r="CD261" s="255"/>
      <c r="CE261" s="255"/>
      <c r="CF261" s="255"/>
      <c r="CG261" s="255"/>
      <c r="CH261" s="255"/>
      <c r="CI261" s="255"/>
      <c r="CJ261" s="255"/>
      <c r="CK261" s="255"/>
      <c r="CL261" s="255"/>
      <c r="CM261" s="255"/>
      <c r="CN261" s="255"/>
      <c r="CO261" s="255"/>
      <c r="CP261" s="255"/>
      <c r="CQ261" s="255"/>
      <c r="CR261" s="255"/>
      <c r="CS261" s="255"/>
      <c r="CT261" s="255"/>
      <c r="CU261" s="255"/>
      <c r="CV261" s="255"/>
      <c r="CW261" s="255"/>
      <c r="CX261" s="255"/>
      <c r="CY261" s="255"/>
      <c r="CZ261" s="255"/>
      <c r="DA261" s="255"/>
      <c r="DB261" s="255"/>
      <c r="DC261" s="255"/>
      <c r="DD261" s="255"/>
      <c r="DE261" s="255"/>
      <c r="DF261" s="255"/>
      <c r="DG261" s="255"/>
      <c r="DH261" s="255"/>
      <c r="DI261" s="255"/>
      <c r="DJ261" s="255"/>
      <c r="DK261" s="255"/>
      <c r="DL261" s="255"/>
      <c r="DM261" s="255"/>
      <c r="DN261" s="255"/>
      <c r="DO261" s="255"/>
      <c r="DP261" s="255"/>
      <c r="DQ261" s="255"/>
      <c r="DR261" s="255"/>
      <c r="DS261" s="255"/>
      <c r="DT261" s="255"/>
      <c r="DU261" s="255"/>
      <c r="DV261" s="255"/>
      <c r="DW261" s="191"/>
      <c r="DX261" s="255"/>
      <c r="DY261" s="255"/>
      <c r="DZ261" s="255"/>
      <c r="EA261" s="255"/>
      <c r="EB261" s="255"/>
      <c r="EC261" s="255"/>
      <c r="ED261" s="255"/>
      <c r="EE261" s="255"/>
      <c r="EF261" s="255"/>
      <c r="EG261" s="255"/>
      <c r="EH261" s="255"/>
      <c r="EI261" s="255"/>
      <c r="EJ261" s="255"/>
      <c r="EK261" s="255"/>
      <c r="EL261" s="255"/>
      <c r="EM261" s="255"/>
      <c r="EN261" s="255"/>
      <c r="EO261" s="255"/>
      <c r="EP261" s="255"/>
      <c r="EQ261" s="255"/>
      <c r="ER261" s="191"/>
      <c r="ES261" s="255"/>
      <c r="ET261" s="255"/>
      <c r="EU261" s="255"/>
      <c r="EV261" s="255"/>
      <c r="EW261" s="255"/>
      <c r="EX261" s="255"/>
      <c r="EY261" s="255"/>
      <c r="EZ261" s="255"/>
      <c r="FA261" s="255"/>
      <c r="FB261" s="255"/>
      <c r="FC261" s="255"/>
      <c r="FD261" s="255"/>
      <c r="FE261" s="255"/>
      <c r="FF261" s="255"/>
      <c r="FG261" s="255"/>
      <c r="FH261" s="255"/>
      <c r="FI261" s="255"/>
      <c r="FJ261" s="255"/>
      <c r="FK261" s="255"/>
      <c r="FL261" s="255"/>
      <c r="FM261" s="255"/>
      <c r="FN261" s="255"/>
      <c r="FO261" s="255"/>
      <c r="FP261" s="255"/>
      <c r="FQ261" s="255"/>
      <c r="FR261" s="255"/>
      <c r="FS261" s="255"/>
      <c r="FT261" s="255"/>
      <c r="FU261" s="255"/>
      <c r="FV261" s="255"/>
      <c r="FW261" s="255"/>
      <c r="FX261" s="255"/>
      <c r="FY261" s="255"/>
      <c r="FZ261" s="255"/>
      <c r="GA261" s="255"/>
      <c r="GB261" s="255"/>
      <c r="GC261" s="255"/>
      <c r="GD261" s="255"/>
      <c r="GE261" s="255"/>
      <c r="GF261" s="255"/>
      <c r="GG261" s="255"/>
      <c r="GH261" s="255"/>
      <c r="GI261" s="255"/>
      <c r="GJ261" s="255"/>
      <c r="GK261" s="255"/>
      <c r="GL261" s="255"/>
      <c r="GM261" s="255"/>
      <c r="GN261" s="255"/>
      <c r="GO261" s="255"/>
      <c r="GP261" s="255"/>
      <c r="GQ261" s="255"/>
      <c r="GR261" s="255"/>
      <c r="GS261" s="255"/>
      <c r="GT261" s="255"/>
      <c r="GU261" s="255"/>
      <c r="GV261" s="255"/>
      <c r="GW261" s="255"/>
      <c r="GX261" s="255"/>
      <c r="GY261" s="255"/>
      <c r="GZ261" s="255"/>
      <c r="HA261" s="255"/>
      <c r="HB261" s="255"/>
      <c r="HC261" s="255"/>
      <c r="HD261" s="255"/>
      <c r="HE261" s="255"/>
      <c r="HF261" s="255"/>
      <c r="HG261" s="255"/>
      <c r="HH261" s="255"/>
      <c r="HI261" s="255"/>
      <c r="HJ261" s="255"/>
      <c r="HK261" s="255"/>
      <c r="HL261" s="255"/>
      <c r="HM261" s="255"/>
      <c r="HN261" s="255"/>
      <c r="HO261" s="255"/>
      <c r="HP261" s="255"/>
      <c r="HQ261" s="255"/>
      <c r="HR261" s="255"/>
      <c r="HS261" s="255"/>
      <c r="HT261" s="255"/>
      <c r="HU261" s="255"/>
      <c r="HV261" s="255"/>
      <c r="HW261" s="255"/>
      <c r="HX261" s="255"/>
      <c r="HY261" s="255"/>
      <c r="HZ261" s="255"/>
      <c r="IA261" s="255"/>
      <c r="IB261" s="255"/>
      <c r="IC261" s="255"/>
      <c r="ID261" s="255"/>
      <c r="IE261" s="255"/>
      <c r="IF261" s="255"/>
      <c r="IG261" s="255"/>
      <c r="IH261" s="255"/>
      <c r="II261" s="255"/>
      <c r="IJ261" s="255"/>
      <c r="IK261" s="255"/>
      <c r="IL261" s="255"/>
      <c r="IM261" s="255"/>
      <c r="IN261" s="255"/>
      <c r="IO261" s="255"/>
      <c r="IP261" s="255"/>
      <c r="IQ261" s="255"/>
      <c r="IR261" s="255"/>
      <c r="IS261" s="255"/>
      <c r="IT261" s="255"/>
      <c r="IU261" s="255"/>
      <c r="IV261" s="255"/>
      <c r="IW261" s="255"/>
      <c r="IX261" s="255"/>
      <c r="IY261" s="255"/>
      <c r="IZ261" s="255"/>
      <c r="JA261" s="255"/>
      <c r="JB261" s="255"/>
      <c r="JC261" s="255"/>
      <c r="JD261" s="255"/>
      <c r="JE261" s="255"/>
      <c r="JF261" s="255"/>
      <c r="JG261" s="191"/>
      <c r="JH261" s="255"/>
      <c r="JI261" s="255"/>
      <c r="JJ261" s="255"/>
      <c r="JK261" s="255"/>
      <c r="JL261" s="255"/>
      <c r="JM261" s="255"/>
      <c r="JN261" s="255"/>
      <c r="JO261" s="255"/>
      <c r="JP261" s="255"/>
      <c r="JQ261" s="255"/>
      <c r="JR261" s="255"/>
      <c r="JS261" s="255"/>
      <c r="JT261" s="255"/>
      <c r="JU261" s="255"/>
      <c r="JV261" s="255"/>
      <c r="JW261" s="255"/>
      <c r="JX261" s="255"/>
      <c r="JY261" s="255"/>
      <c r="JZ261" s="255"/>
      <c r="KA261" s="255"/>
      <c r="KB261" s="191"/>
    </row>
    <row r="262" spans="2:288" ht="15" customHeight="1" x14ac:dyDescent="0.35">
      <c r="B262" s="146" t="str">
        <f t="shared" si="22"/>
        <v>Desk 46</v>
      </c>
      <c r="C262" s="148" t="str">
        <v/>
      </c>
      <c r="D262" s="148" t="str">
        <v/>
      </c>
      <c r="E262" s="148" t="str">
        <v/>
      </c>
      <c r="F262" s="148" t="str">
        <v/>
      </c>
      <c r="G262" s="268" t="str">
        <v/>
      </c>
      <c r="H262" s="255"/>
      <c r="I262" s="255"/>
      <c r="J262" s="255"/>
      <c r="K262" s="255"/>
      <c r="L262" s="255"/>
      <c r="M262" s="255"/>
      <c r="N262" s="255"/>
      <c r="O262" s="255"/>
      <c r="P262" s="255"/>
      <c r="Q262" s="255"/>
      <c r="R262" s="255"/>
      <c r="S262" s="255"/>
      <c r="T262" s="255"/>
      <c r="U262" s="255"/>
      <c r="V262" s="255"/>
      <c r="W262" s="255"/>
      <c r="X262" s="255"/>
      <c r="Y262" s="255"/>
      <c r="Z262" s="255"/>
      <c r="AA262" s="255"/>
      <c r="AB262" s="255"/>
      <c r="AC262" s="255"/>
      <c r="AD262" s="255"/>
      <c r="AE262" s="255"/>
      <c r="AF262" s="255"/>
      <c r="AG262" s="255"/>
      <c r="AH262" s="255"/>
      <c r="AI262" s="255"/>
      <c r="AJ262" s="255"/>
      <c r="AK262" s="255"/>
      <c r="AL262" s="255"/>
      <c r="AM262" s="255"/>
      <c r="AN262" s="255"/>
      <c r="AO262" s="255"/>
      <c r="AP262" s="255"/>
      <c r="AQ262" s="255"/>
      <c r="AR262" s="255"/>
      <c r="AS262" s="255"/>
      <c r="AT262" s="255"/>
      <c r="AU262" s="255"/>
      <c r="AV262" s="255"/>
      <c r="AW262" s="255"/>
      <c r="AX262" s="255"/>
      <c r="AY262" s="255"/>
      <c r="AZ262" s="255"/>
      <c r="BA262" s="255"/>
      <c r="BB262" s="255"/>
      <c r="BC262" s="255"/>
      <c r="BD262" s="255"/>
      <c r="BE262" s="255"/>
      <c r="BF262" s="255"/>
      <c r="BG262" s="255"/>
      <c r="BH262" s="255"/>
      <c r="BI262" s="255"/>
      <c r="BJ262" s="255"/>
      <c r="BK262" s="255"/>
      <c r="BL262" s="255"/>
      <c r="BM262" s="255"/>
      <c r="BN262" s="255"/>
      <c r="BO262" s="255"/>
      <c r="BP262" s="255"/>
      <c r="BQ262" s="255"/>
      <c r="BR262" s="255"/>
      <c r="BS262" s="255"/>
      <c r="BT262" s="255"/>
      <c r="BU262" s="255"/>
      <c r="BV262" s="255"/>
      <c r="BW262" s="255"/>
      <c r="BX262" s="255"/>
      <c r="BY262" s="255"/>
      <c r="BZ262" s="255"/>
      <c r="CA262" s="255"/>
      <c r="CB262" s="255"/>
      <c r="CC262" s="255"/>
      <c r="CD262" s="255"/>
      <c r="CE262" s="255"/>
      <c r="CF262" s="255"/>
      <c r="CG262" s="255"/>
      <c r="CH262" s="255"/>
      <c r="CI262" s="255"/>
      <c r="CJ262" s="255"/>
      <c r="CK262" s="255"/>
      <c r="CL262" s="255"/>
      <c r="CM262" s="255"/>
      <c r="CN262" s="255"/>
      <c r="CO262" s="255"/>
      <c r="CP262" s="255"/>
      <c r="CQ262" s="255"/>
      <c r="CR262" s="255"/>
      <c r="CS262" s="255"/>
      <c r="CT262" s="255"/>
      <c r="CU262" s="255"/>
      <c r="CV262" s="255"/>
      <c r="CW262" s="255"/>
      <c r="CX262" s="255"/>
      <c r="CY262" s="255"/>
      <c r="CZ262" s="255"/>
      <c r="DA262" s="255"/>
      <c r="DB262" s="255"/>
      <c r="DC262" s="255"/>
      <c r="DD262" s="255"/>
      <c r="DE262" s="255"/>
      <c r="DF262" s="255"/>
      <c r="DG262" s="255"/>
      <c r="DH262" s="255"/>
      <c r="DI262" s="255"/>
      <c r="DJ262" s="255"/>
      <c r="DK262" s="255"/>
      <c r="DL262" s="255"/>
      <c r="DM262" s="255"/>
      <c r="DN262" s="255"/>
      <c r="DO262" s="255"/>
      <c r="DP262" s="255"/>
      <c r="DQ262" s="255"/>
      <c r="DR262" s="255"/>
      <c r="DS262" s="255"/>
      <c r="DT262" s="255"/>
      <c r="DU262" s="255"/>
      <c r="DV262" s="255"/>
      <c r="DW262" s="191"/>
      <c r="DX262" s="255"/>
      <c r="DY262" s="255"/>
      <c r="DZ262" s="255"/>
      <c r="EA262" s="255"/>
      <c r="EB262" s="255"/>
      <c r="EC262" s="255"/>
      <c r="ED262" s="255"/>
      <c r="EE262" s="255"/>
      <c r="EF262" s="255"/>
      <c r="EG262" s="255"/>
      <c r="EH262" s="255"/>
      <c r="EI262" s="255"/>
      <c r="EJ262" s="255"/>
      <c r="EK262" s="255"/>
      <c r="EL262" s="255"/>
      <c r="EM262" s="255"/>
      <c r="EN262" s="255"/>
      <c r="EO262" s="255"/>
      <c r="EP262" s="255"/>
      <c r="EQ262" s="255"/>
      <c r="ER262" s="191"/>
      <c r="ES262" s="255"/>
      <c r="ET262" s="255"/>
      <c r="EU262" s="255"/>
      <c r="EV262" s="255"/>
      <c r="EW262" s="255"/>
      <c r="EX262" s="255"/>
      <c r="EY262" s="255"/>
      <c r="EZ262" s="255"/>
      <c r="FA262" s="255"/>
      <c r="FB262" s="255"/>
      <c r="FC262" s="255"/>
      <c r="FD262" s="255"/>
      <c r="FE262" s="255"/>
      <c r="FF262" s="255"/>
      <c r="FG262" s="255"/>
      <c r="FH262" s="255"/>
      <c r="FI262" s="255"/>
      <c r="FJ262" s="255"/>
      <c r="FK262" s="255"/>
      <c r="FL262" s="255"/>
      <c r="FM262" s="255"/>
      <c r="FN262" s="255"/>
      <c r="FO262" s="255"/>
      <c r="FP262" s="255"/>
      <c r="FQ262" s="255"/>
      <c r="FR262" s="255"/>
      <c r="FS262" s="255"/>
      <c r="FT262" s="255"/>
      <c r="FU262" s="255"/>
      <c r="FV262" s="255"/>
      <c r="FW262" s="255"/>
      <c r="FX262" s="255"/>
      <c r="FY262" s="255"/>
      <c r="FZ262" s="255"/>
      <c r="GA262" s="255"/>
      <c r="GB262" s="255"/>
      <c r="GC262" s="255"/>
      <c r="GD262" s="255"/>
      <c r="GE262" s="255"/>
      <c r="GF262" s="255"/>
      <c r="GG262" s="255"/>
      <c r="GH262" s="255"/>
      <c r="GI262" s="255"/>
      <c r="GJ262" s="255"/>
      <c r="GK262" s="255"/>
      <c r="GL262" s="255"/>
      <c r="GM262" s="255"/>
      <c r="GN262" s="255"/>
      <c r="GO262" s="255"/>
      <c r="GP262" s="255"/>
      <c r="GQ262" s="255"/>
      <c r="GR262" s="255"/>
      <c r="GS262" s="255"/>
      <c r="GT262" s="255"/>
      <c r="GU262" s="255"/>
      <c r="GV262" s="255"/>
      <c r="GW262" s="255"/>
      <c r="GX262" s="255"/>
      <c r="GY262" s="255"/>
      <c r="GZ262" s="255"/>
      <c r="HA262" s="255"/>
      <c r="HB262" s="255"/>
      <c r="HC262" s="255"/>
      <c r="HD262" s="255"/>
      <c r="HE262" s="255"/>
      <c r="HF262" s="255"/>
      <c r="HG262" s="255"/>
      <c r="HH262" s="255"/>
      <c r="HI262" s="255"/>
      <c r="HJ262" s="255"/>
      <c r="HK262" s="255"/>
      <c r="HL262" s="255"/>
      <c r="HM262" s="255"/>
      <c r="HN262" s="255"/>
      <c r="HO262" s="255"/>
      <c r="HP262" s="255"/>
      <c r="HQ262" s="255"/>
      <c r="HR262" s="255"/>
      <c r="HS262" s="255"/>
      <c r="HT262" s="255"/>
      <c r="HU262" s="255"/>
      <c r="HV262" s="255"/>
      <c r="HW262" s="255"/>
      <c r="HX262" s="255"/>
      <c r="HY262" s="255"/>
      <c r="HZ262" s="255"/>
      <c r="IA262" s="255"/>
      <c r="IB262" s="255"/>
      <c r="IC262" s="255"/>
      <c r="ID262" s="255"/>
      <c r="IE262" s="255"/>
      <c r="IF262" s="255"/>
      <c r="IG262" s="255"/>
      <c r="IH262" s="255"/>
      <c r="II262" s="255"/>
      <c r="IJ262" s="255"/>
      <c r="IK262" s="255"/>
      <c r="IL262" s="255"/>
      <c r="IM262" s="255"/>
      <c r="IN262" s="255"/>
      <c r="IO262" s="255"/>
      <c r="IP262" s="255"/>
      <c r="IQ262" s="255"/>
      <c r="IR262" s="255"/>
      <c r="IS262" s="255"/>
      <c r="IT262" s="255"/>
      <c r="IU262" s="255"/>
      <c r="IV262" s="255"/>
      <c r="IW262" s="255"/>
      <c r="IX262" s="255"/>
      <c r="IY262" s="255"/>
      <c r="IZ262" s="255"/>
      <c r="JA262" s="255"/>
      <c r="JB262" s="255"/>
      <c r="JC262" s="255"/>
      <c r="JD262" s="255"/>
      <c r="JE262" s="255"/>
      <c r="JF262" s="255"/>
      <c r="JG262" s="191"/>
      <c r="JH262" s="255"/>
      <c r="JI262" s="255"/>
      <c r="JJ262" s="255"/>
      <c r="JK262" s="255"/>
      <c r="JL262" s="255"/>
      <c r="JM262" s="255"/>
      <c r="JN262" s="255"/>
      <c r="JO262" s="255"/>
      <c r="JP262" s="255"/>
      <c r="JQ262" s="255"/>
      <c r="JR262" s="255"/>
      <c r="JS262" s="255"/>
      <c r="JT262" s="255"/>
      <c r="JU262" s="255"/>
      <c r="JV262" s="255"/>
      <c r="JW262" s="255"/>
      <c r="JX262" s="255"/>
      <c r="JY262" s="255"/>
      <c r="JZ262" s="255"/>
      <c r="KA262" s="255"/>
      <c r="KB262" s="191"/>
    </row>
    <row r="263" spans="2:288" ht="15" customHeight="1" x14ac:dyDescent="0.35">
      <c r="B263" s="146" t="str">
        <f t="shared" si="22"/>
        <v>Desk 47</v>
      </c>
      <c r="C263" s="148" t="str">
        <v/>
      </c>
      <c r="D263" s="148" t="str">
        <v/>
      </c>
      <c r="E263" s="148" t="str">
        <v/>
      </c>
      <c r="F263" s="148" t="str">
        <v/>
      </c>
      <c r="G263" s="268" t="str">
        <v/>
      </c>
      <c r="H263" s="255"/>
      <c r="I263" s="255"/>
      <c r="J263" s="255"/>
      <c r="K263" s="255"/>
      <c r="L263" s="255"/>
      <c r="M263" s="255"/>
      <c r="N263" s="255"/>
      <c r="O263" s="255"/>
      <c r="P263" s="255"/>
      <c r="Q263" s="255"/>
      <c r="R263" s="255"/>
      <c r="S263" s="255"/>
      <c r="T263" s="255"/>
      <c r="U263" s="255"/>
      <c r="V263" s="255"/>
      <c r="W263" s="255"/>
      <c r="X263" s="255"/>
      <c r="Y263" s="255"/>
      <c r="Z263" s="255"/>
      <c r="AA263" s="255"/>
      <c r="AB263" s="255"/>
      <c r="AC263" s="255"/>
      <c r="AD263" s="255"/>
      <c r="AE263" s="255"/>
      <c r="AF263" s="255"/>
      <c r="AG263" s="255"/>
      <c r="AH263" s="255"/>
      <c r="AI263" s="255"/>
      <c r="AJ263" s="255"/>
      <c r="AK263" s="255"/>
      <c r="AL263" s="255"/>
      <c r="AM263" s="255"/>
      <c r="AN263" s="255"/>
      <c r="AO263" s="255"/>
      <c r="AP263" s="255"/>
      <c r="AQ263" s="255"/>
      <c r="AR263" s="255"/>
      <c r="AS263" s="255"/>
      <c r="AT263" s="255"/>
      <c r="AU263" s="255"/>
      <c r="AV263" s="255"/>
      <c r="AW263" s="255"/>
      <c r="AX263" s="255"/>
      <c r="AY263" s="255"/>
      <c r="AZ263" s="255"/>
      <c r="BA263" s="255"/>
      <c r="BB263" s="255"/>
      <c r="BC263" s="255"/>
      <c r="BD263" s="255"/>
      <c r="BE263" s="255"/>
      <c r="BF263" s="255"/>
      <c r="BG263" s="255"/>
      <c r="BH263" s="255"/>
      <c r="BI263" s="255"/>
      <c r="BJ263" s="255"/>
      <c r="BK263" s="255"/>
      <c r="BL263" s="255"/>
      <c r="BM263" s="255"/>
      <c r="BN263" s="255"/>
      <c r="BO263" s="255"/>
      <c r="BP263" s="255"/>
      <c r="BQ263" s="255"/>
      <c r="BR263" s="255"/>
      <c r="BS263" s="255"/>
      <c r="BT263" s="255"/>
      <c r="BU263" s="255"/>
      <c r="BV263" s="255"/>
      <c r="BW263" s="255"/>
      <c r="BX263" s="255"/>
      <c r="BY263" s="255"/>
      <c r="BZ263" s="255"/>
      <c r="CA263" s="255"/>
      <c r="CB263" s="255"/>
      <c r="CC263" s="255"/>
      <c r="CD263" s="255"/>
      <c r="CE263" s="255"/>
      <c r="CF263" s="255"/>
      <c r="CG263" s="255"/>
      <c r="CH263" s="255"/>
      <c r="CI263" s="255"/>
      <c r="CJ263" s="255"/>
      <c r="CK263" s="255"/>
      <c r="CL263" s="255"/>
      <c r="CM263" s="255"/>
      <c r="CN263" s="255"/>
      <c r="CO263" s="255"/>
      <c r="CP263" s="255"/>
      <c r="CQ263" s="255"/>
      <c r="CR263" s="255"/>
      <c r="CS263" s="255"/>
      <c r="CT263" s="255"/>
      <c r="CU263" s="255"/>
      <c r="CV263" s="255"/>
      <c r="CW263" s="255"/>
      <c r="CX263" s="255"/>
      <c r="CY263" s="255"/>
      <c r="CZ263" s="255"/>
      <c r="DA263" s="255"/>
      <c r="DB263" s="255"/>
      <c r="DC263" s="255"/>
      <c r="DD263" s="255"/>
      <c r="DE263" s="255"/>
      <c r="DF263" s="255"/>
      <c r="DG263" s="255"/>
      <c r="DH263" s="255"/>
      <c r="DI263" s="255"/>
      <c r="DJ263" s="255"/>
      <c r="DK263" s="255"/>
      <c r="DL263" s="255"/>
      <c r="DM263" s="255"/>
      <c r="DN263" s="255"/>
      <c r="DO263" s="255"/>
      <c r="DP263" s="255"/>
      <c r="DQ263" s="255"/>
      <c r="DR263" s="255"/>
      <c r="DS263" s="255"/>
      <c r="DT263" s="255"/>
      <c r="DU263" s="255"/>
      <c r="DV263" s="255"/>
      <c r="DW263" s="191"/>
      <c r="DX263" s="255"/>
      <c r="DY263" s="255"/>
      <c r="DZ263" s="255"/>
      <c r="EA263" s="255"/>
      <c r="EB263" s="255"/>
      <c r="EC263" s="255"/>
      <c r="ED263" s="255"/>
      <c r="EE263" s="255"/>
      <c r="EF263" s="255"/>
      <c r="EG263" s="255"/>
      <c r="EH263" s="255"/>
      <c r="EI263" s="255"/>
      <c r="EJ263" s="255"/>
      <c r="EK263" s="255"/>
      <c r="EL263" s="255"/>
      <c r="EM263" s="255"/>
      <c r="EN263" s="255"/>
      <c r="EO263" s="255"/>
      <c r="EP263" s="255"/>
      <c r="EQ263" s="255"/>
      <c r="ER263" s="191"/>
      <c r="ES263" s="255"/>
      <c r="ET263" s="255"/>
      <c r="EU263" s="255"/>
      <c r="EV263" s="255"/>
      <c r="EW263" s="255"/>
      <c r="EX263" s="255"/>
      <c r="EY263" s="255"/>
      <c r="EZ263" s="255"/>
      <c r="FA263" s="255"/>
      <c r="FB263" s="255"/>
      <c r="FC263" s="255"/>
      <c r="FD263" s="255"/>
      <c r="FE263" s="255"/>
      <c r="FF263" s="255"/>
      <c r="FG263" s="255"/>
      <c r="FH263" s="255"/>
      <c r="FI263" s="255"/>
      <c r="FJ263" s="255"/>
      <c r="FK263" s="255"/>
      <c r="FL263" s="255"/>
      <c r="FM263" s="255"/>
      <c r="FN263" s="255"/>
      <c r="FO263" s="255"/>
      <c r="FP263" s="255"/>
      <c r="FQ263" s="255"/>
      <c r="FR263" s="255"/>
      <c r="FS263" s="255"/>
      <c r="FT263" s="255"/>
      <c r="FU263" s="255"/>
      <c r="FV263" s="255"/>
      <c r="FW263" s="255"/>
      <c r="FX263" s="255"/>
      <c r="FY263" s="255"/>
      <c r="FZ263" s="255"/>
      <c r="GA263" s="255"/>
      <c r="GB263" s="255"/>
      <c r="GC263" s="255"/>
      <c r="GD263" s="255"/>
      <c r="GE263" s="255"/>
      <c r="GF263" s="255"/>
      <c r="GG263" s="255"/>
      <c r="GH263" s="255"/>
      <c r="GI263" s="255"/>
      <c r="GJ263" s="255"/>
      <c r="GK263" s="255"/>
      <c r="GL263" s="255"/>
      <c r="GM263" s="255"/>
      <c r="GN263" s="255"/>
      <c r="GO263" s="255"/>
      <c r="GP263" s="255"/>
      <c r="GQ263" s="255"/>
      <c r="GR263" s="255"/>
      <c r="GS263" s="255"/>
      <c r="GT263" s="255"/>
      <c r="GU263" s="255"/>
      <c r="GV263" s="255"/>
      <c r="GW263" s="255"/>
      <c r="GX263" s="255"/>
      <c r="GY263" s="255"/>
      <c r="GZ263" s="255"/>
      <c r="HA263" s="255"/>
      <c r="HB263" s="255"/>
      <c r="HC263" s="255"/>
      <c r="HD263" s="255"/>
      <c r="HE263" s="255"/>
      <c r="HF263" s="255"/>
      <c r="HG263" s="255"/>
      <c r="HH263" s="255"/>
      <c r="HI263" s="255"/>
      <c r="HJ263" s="255"/>
      <c r="HK263" s="255"/>
      <c r="HL263" s="255"/>
      <c r="HM263" s="255"/>
      <c r="HN263" s="255"/>
      <c r="HO263" s="255"/>
      <c r="HP263" s="255"/>
      <c r="HQ263" s="255"/>
      <c r="HR263" s="255"/>
      <c r="HS263" s="255"/>
      <c r="HT263" s="255"/>
      <c r="HU263" s="255"/>
      <c r="HV263" s="255"/>
      <c r="HW263" s="255"/>
      <c r="HX263" s="255"/>
      <c r="HY263" s="255"/>
      <c r="HZ263" s="255"/>
      <c r="IA263" s="255"/>
      <c r="IB263" s="255"/>
      <c r="IC263" s="255"/>
      <c r="ID263" s="255"/>
      <c r="IE263" s="255"/>
      <c r="IF263" s="255"/>
      <c r="IG263" s="255"/>
      <c r="IH263" s="255"/>
      <c r="II263" s="255"/>
      <c r="IJ263" s="255"/>
      <c r="IK263" s="255"/>
      <c r="IL263" s="255"/>
      <c r="IM263" s="255"/>
      <c r="IN263" s="255"/>
      <c r="IO263" s="255"/>
      <c r="IP263" s="255"/>
      <c r="IQ263" s="255"/>
      <c r="IR263" s="255"/>
      <c r="IS263" s="255"/>
      <c r="IT263" s="255"/>
      <c r="IU263" s="255"/>
      <c r="IV263" s="255"/>
      <c r="IW263" s="255"/>
      <c r="IX263" s="255"/>
      <c r="IY263" s="255"/>
      <c r="IZ263" s="255"/>
      <c r="JA263" s="255"/>
      <c r="JB263" s="255"/>
      <c r="JC263" s="255"/>
      <c r="JD263" s="255"/>
      <c r="JE263" s="255"/>
      <c r="JF263" s="255"/>
      <c r="JG263" s="191"/>
      <c r="JH263" s="255"/>
      <c r="JI263" s="255"/>
      <c r="JJ263" s="255"/>
      <c r="JK263" s="255"/>
      <c r="JL263" s="255"/>
      <c r="JM263" s="255"/>
      <c r="JN263" s="255"/>
      <c r="JO263" s="255"/>
      <c r="JP263" s="255"/>
      <c r="JQ263" s="255"/>
      <c r="JR263" s="255"/>
      <c r="JS263" s="255"/>
      <c r="JT263" s="255"/>
      <c r="JU263" s="255"/>
      <c r="JV263" s="255"/>
      <c r="JW263" s="255"/>
      <c r="JX263" s="255"/>
      <c r="JY263" s="255"/>
      <c r="JZ263" s="255"/>
      <c r="KA263" s="255"/>
      <c r="KB263" s="191"/>
    </row>
    <row r="264" spans="2:288" ht="15" customHeight="1" x14ac:dyDescent="0.35">
      <c r="B264" s="146" t="str">
        <f t="shared" si="22"/>
        <v>Desk 48</v>
      </c>
      <c r="C264" s="148" t="str">
        <v/>
      </c>
      <c r="D264" s="148" t="str">
        <v/>
      </c>
      <c r="E264" s="148" t="str">
        <v/>
      </c>
      <c r="F264" s="148" t="str">
        <v/>
      </c>
      <c r="G264" s="268" t="str">
        <v/>
      </c>
      <c r="H264" s="255"/>
      <c r="I264" s="255"/>
      <c r="J264" s="255"/>
      <c r="K264" s="255"/>
      <c r="L264" s="255"/>
      <c r="M264" s="255"/>
      <c r="N264" s="255"/>
      <c r="O264" s="255"/>
      <c r="P264" s="255"/>
      <c r="Q264" s="255"/>
      <c r="R264" s="255"/>
      <c r="S264" s="255"/>
      <c r="T264" s="255"/>
      <c r="U264" s="255"/>
      <c r="V264" s="255"/>
      <c r="W264" s="255"/>
      <c r="X264" s="255"/>
      <c r="Y264" s="255"/>
      <c r="Z264" s="255"/>
      <c r="AA264" s="255"/>
      <c r="AB264" s="255"/>
      <c r="AC264" s="255"/>
      <c r="AD264" s="255"/>
      <c r="AE264" s="255"/>
      <c r="AF264" s="255"/>
      <c r="AG264" s="255"/>
      <c r="AH264" s="255"/>
      <c r="AI264" s="255"/>
      <c r="AJ264" s="255"/>
      <c r="AK264" s="255"/>
      <c r="AL264" s="255"/>
      <c r="AM264" s="255"/>
      <c r="AN264" s="255"/>
      <c r="AO264" s="255"/>
      <c r="AP264" s="255"/>
      <c r="AQ264" s="255"/>
      <c r="AR264" s="255"/>
      <c r="AS264" s="255"/>
      <c r="AT264" s="255"/>
      <c r="AU264" s="255"/>
      <c r="AV264" s="255"/>
      <c r="AW264" s="255"/>
      <c r="AX264" s="255"/>
      <c r="AY264" s="255"/>
      <c r="AZ264" s="255"/>
      <c r="BA264" s="255"/>
      <c r="BB264" s="255"/>
      <c r="BC264" s="255"/>
      <c r="BD264" s="255"/>
      <c r="BE264" s="255"/>
      <c r="BF264" s="255"/>
      <c r="BG264" s="255"/>
      <c r="BH264" s="255"/>
      <c r="BI264" s="255"/>
      <c r="BJ264" s="255"/>
      <c r="BK264" s="255"/>
      <c r="BL264" s="255"/>
      <c r="BM264" s="255"/>
      <c r="BN264" s="255"/>
      <c r="BO264" s="255"/>
      <c r="BP264" s="255"/>
      <c r="BQ264" s="255"/>
      <c r="BR264" s="255"/>
      <c r="BS264" s="255"/>
      <c r="BT264" s="255"/>
      <c r="BU264" s="255"/>
      <c r="BV264" s="255"/>
      <c r="BW264" s="255"/>
      <c r="BX264" s="255"/>
      <c r="BY264" s="255"/>
      <c r="BZ264" s="255"/>
      <c r="CA264" s="255"/>
      <c r="CB264" s="255"/>
      <c r="CC264" s="255"/>
      <c r="CD264" s="255"/>
      <c r="CE264" s="255"/>
      <c r="CF264" s="255"/>
      <c r="CG264" s="255"/>
      <c r="CH264" s="255"/>
      <c r="CI264" s="255"/>
      <c r="CJ264" s="255"/>
      <c r="CK264" s="255"/>
      <c r="CL264" s="255"/>
      <c r="CM264" s="255"/>
      <c r="CN264" s="255"/>
      <c r="CO264" s="255"/>
      <c r="CP264" s="255"/>
      <c r="CQ264" s="255"/>
      <c r="CR264" s="255"/>
      <c r="CS264" s="255"/>
      <c r="CT264" s="255"/>
      <c r="CU264" s="255"/>
      <c r="CV264" s="255"/>
      <c r="CW264" s="255"/>
      <c r="CX264" s="255"/>
      <c r="CY264" s="255"/>
      <c r="CZ264" s="255"/>
      <c r="DA264" s="255"/>
      <c r="DB264" s="255"/>
      <c r="DC264" s="255"/>
      <c r="DD264" s="255"/>
      <c r="DE264" s="255"/>
      <c r="DF264" s="255"/>
      <c r="DG264" s="255"/>
      <c r="DH264" s="255"/>
      <c r="DI264" s="255"/>
      <c r="DJ264" s="255"/>
      <c r="DK264" s="255"/>
      <c r="DL264" s="255"/>
      <c r="DM264" s="255"/>
      <c r="DN264" s="255"/>
      <c r="DO264" s="255"/>
      <c r="DP264" s="255"/>
      <c r="DQ264" s="255"/>
      <c r="DR264" s="255"/>
      <c r="DS264" s="255"/>
      <c r="DT264" s="255"/>
      <c r="DU264" s="255"/>
      <c r="DV264" s="255"/>
      <c r="DW264" s="191"/>
      <c r="DX264" s="255"/>
      <c r="DY264" s="255"/>
      <c r="DZ264" s="255"/>
      <c r="EA264" s="255"/>
      <c r="EB264" s="255"/>
      <c r="EC264" s="255"/>
      <c r="ED264" s="255"/>
      <c r="EE264" s="255"/>
      <c r="EF264" s="255"/>
      <c r="EG264" s="255"/>
      <c r="EH264" s="255"/>
      <c r="EI264" s="255"/>
      <c r="EJ264" s="255"/>
      <c r="EK264" s="255"/>
      <c r="EL264" s="255"/>
      <c r="EM264" s="255"/>
      <c r="EN264" s="255"/>
      <c r="EO264" s="255"/>
      <c r="EP264" s="255"/>
      <c r="EQ264" s="255"/>
      <c r="ER264" s="191"/>
      <c r="ES264" s="255"/>
      <c r="ET264" s="255"/>
      <c r="EU264" s="255"/>
      <c r="EV264" s="255"/>
      <c r="EW264" s="255"/>
      <c r="EX264" s="255"/>
      <c r="EY264" s="255"/>
      <c r="EZ264" s="255"/>
      <c r="FA264" s="255"/>
      <c r="FB264" s="255"/>
      <c r="FC264" s="255"/>
      <c r="FD264" s="255"/>
      <c r="FE264" s="255"/>
      <c r="FF264" s="255"/>
      <c r="FG264" s="255"/>
      <c r="FH264" s="255"/>
      <c r="FI264" s="255"/>
      <c r="FJ264" s="255"/>
      <c r="FK264" s="255"/>
      <c r="FL264" s="255"/>
      <c r="FM264" s="255"/>
      <c r="FN264" s="255"/>
      <c r="FO264" s="255"/>
      <c r="FP264" s="255"/>
      <c r="FQ264" s="255"/>
      <c r="FR264" s="255"/>
      <c r="FS264" s="255"/>
      <c r="FT264" s="255"/>
      <c r="FU264" s="255"/>
      <c r="FV264" s="255"/>
      <c r="FW264" s="255"/>
      <c r="FX264" s="255"/>
      <c r="FY264" s="255"/>
      <c r="FZ264" s="255"/>
      <c r="GA264" s="255"/>
      <c r="GB264" s="255"/>
      <c r="GC264" s="255"/>
      <c r="GD264" s="255"/>
      <c r="GE264" s="255"/>
      <c r="GF264" s="255"/>
      <c r="GG264" s="255"/>
      <c r="GH264" s="255"/>
      <c r="GI264" s="255"/>
      <c r="GJ264" s="255"/>
      <c r="GK264" s="255"/>
      <c r="GL264" s="255"/>
      <c r="GM264" s="255"/>
      <c r="GN264" s="255"/>
      <c r="GO264" s="255"/>
      <c r="GP264" s="255"/>
      <c r="GQ264" s="255"/>
      <c r="GR264" s="255"/>
      <c r="GS264" s="255"/>
      <c r="GT264" s="255"/>
      <c r="GU264" s="255"/>
      <c r="GV264" s="255"/>
      <c r="GW264" s="255"/>
      <c r="GX264" s="255"/>
      <c r="GY264" s="255"/>
      <c r="GZ264" s="255"/>
      <c r="HA264" s="255"/>
      <c r="HB264" s="255"/>
      <c r="HC264" s="255"/>
      <c r="HD264" s="255"/>
      <c r="HE264" s="255"/>
      <c r="HF264" s="255"/>
      <c r="HG264" s="255"/>
      <c r="HH264" s="255"/>
      <c r="HI264" s="255"/>
      <c r="HJ264" s="255"/>
      <c r="HK264" s="255"/>
      <c r="HL264" s="255"/>
      <c r="HM264" s="255"/>
      <c r="HN264" s="255"/>
      <c r="HO264" s="255"/>
      <c r="HP264" s="255"/>
      <c r="HQ264" s="255"/>
      <c r="HR264" s="255"/>
      <c r="HS264" s="255"/>
      <c r="HT264" s="255"/>
      <c r="HU264" s="255"/>
      <c r="HV264" s="255"/>
      <c r="HW264" s="255"/>
      <c r="HX264" s="255"/>
      <c r="HY264" s="255"/>
      <c r="HZ264" s="255"/>
      <c r="IA264" s="255"/>
      <c r="IB264" s="255"/>
      <c r="IC264" s="255"/>
      <c r="ID264" s="255"/>
      <c r="IE264" s="255"/>
      <c r="IF264" s="255"/>
      <c r="IG264" s="255"/>
      <c r="IH264" s="255"/>
      <c r="II264" s="255"/>
      <c r="IJ264" s="255"/>
      <c r="IK264" s="255"/>
      <c r="IL264" s="255"/>
      <c r="IM264" s="255"/>
      <c r="IN264" s="255"/>
      <c r="IO264" s="255"/>
      <c r="IP264" s="255"/>
      <c r="IQ264" s="255"/>
      <c r="IR264" s="255"/>
      <c r="IS264" s="255"/>
      <c r="IT264" s="255"/>
      <c r="IU264" s="255"/>
      <c r="IV264" s="255"/>
      <c r="IW264" s="255"/>
      <c r="IX264" s="255"/>
      <c r="IY264" s="255"/>
      <c r="IZ264" s="255"/>
      <c r="JA264" s="255"/>
      <c r="JB264" s="255"/>
      <c r="JC264" s="255"/>
      <c r="JD264" s="255"/>
      <c r="JE264" s="255"/>
      <c r="JF264" s="255"/>
      <c r="JG264" s="191"/>
      <c r="JH264" s="255"/>
      <c r="JI264" s="255"/>
      <c r="JJ264" s="255"/>
      <c r="JK264" s="255"/>
      <c r="JL264" s="255"/>
      <c r="JM264" s="255"/>
      <c r="JN264" s="255"/>
      <c r="JO264" s="255"/>
      <c r="JP264" s="255"/>
      <c r="JQ264" s="255"/>
      <c r="JR264" s="255"/>
      <c r="JS264" s="255"/>
      <c r="JT264" s="255"/>
      <c r="JU264" s="255"/>
      <c r="JV264" s="255"/>
      <c r="JW264" s="255"/>
      <c r="JX264" s="255"/>
      <c r="JY264" s="255"/>
      <c r="JZ264" s="255"/>
      <c r="KA264" s="255"/>
      <c r="KB264" s="191"/>
    </row>
    <row r="265" spans="2:288" ht="15" customHeight="1" x14ac:dyDescent="0.35">
      <c r="B265" s="146" t="str">
        <f t="shared" si="22"/>
        <v>Desk 49</v>
      </c>
      <c r="C265" s="148" t="str">
        <v/>
      </c>
      <c r="D265" s="148" t="str">
        <v/>
      </c>
      <c r="E265" s="148" t="str">
        <v/>
      </c>
      <c r="F265" s="148" t="str">
        <v/>
      </c>
      <c r="G265" s="268" t="str">
        <v/>
      </c>
      <c r="H265" s="255"/>
      <c r="I265" s="255"/>
      <c r="J265" s="255"/>
      <c r="K265" s="255"/>
      <c r="L265" s="255"/>
      <c r="M265" s="255"/>
      <c r="N265" s="255"/>
      <c r="O265" s="255"/>
      <c r="P265" s="255"/>
      <c r="Q265" s="255"/>
      <c r="R265" s="255"/>
      <c r="S265" s="255"/>
      <c r="T265" s="255"/>
      <c r="U265" s="255"/>
      <c r="V265" s="255"/>
      <c r="W265" s="255"/>
      <c r="X265" s="255"/>
      <c r="Y265" s="255"/>
      <c r="Z265" s="255"/>
      <c r="AA265" s="255"/>
      <c r="AB265" s="255"/>
      <c r="AC265" s="255"/>
      <c r="AD265" s="255"/>
      <c r="AE265" s="255"/>
      <c r="AF265" s="255"/>
      <c r="AG265" s="255"/>
      <c r="AH265" s="255"/>
      <c r="AI265" s="255"/>
      <c r="AJ265" s="255"/>
      <c r="AK265" s="255"/>
      <c r="AL265" s="255"/>
      <c r="AM265" s="255"/>
      <c r="AN265" s="255"/>
      <c r="AO265" s="255"/>
      <c r="AP265" s="255"/>
      <c r="AQ265" s="255"/>
      <c r="AR265" s="255"/>
      <c r="AS265" s="255"/>
      <c r="AT265" s="255"/>
      <c r="AU265" s="255"/>
      <c r="AV265" s="255"/>
      <c r="AW265" s="255"/>
      <c r="AX265" s="255"/>
      <c r="AY265" s="255"/>
      <c r="AZ265" s="255"/>
      <c r="BA265" s="255"/>
      <c r="BB265" s="255"/>
      <c r="BC265" s="255"/>
      <c r="BD265" s="255"/>
      <c r="BE265" s="255"/>
      <c r="BF265" s="255"/>
      <c r="BG265" s="255"/>
      <c r="BH265" s="255"/>
      <c r="BI265" s="255"/>
      <c r="BJ265" s="255"/>
      <c r="BK265" s="255"/>
      <c r="BL265" s="255"/>
      <c r="BM265" s="255"/>
      <c r="BN265" s="255"/>
      <c r="BO265" s="255"/>
      <c r="BP265" s="255"/>
      <c r="BQ265" s="255"/>
      <c r="BR265" s="255"/>
      <c r="BS265" s="255"/>
      <c r="BT265" s="255"/>
      <c r="BU265" s="255"/>
      <c r="BV265" s="255"/>
      <c r="BW265" s="255"/>
      <c r="BX265" s="255"/>
      <c r="BY265" s="255"/>
      <c r="BZ265" s="255"/>
      <c r="CA265" s="255"/>
      <c r="CB265" s="255"/>
      <c r="CC265" s="255"/>
      <c r="CD265" s="255"/>
      <c r="CE265" s="255"/>
      <c r="CF265" s="255"/>
      <c r="CG265" s="255"/>
      <c r="CH265" s="255"/>
      <c r="CI265" s="255"/>
      <c r="CJ265" s="255"/>
      <c r="CK265" s="255"/>
      <c r="CL265" s="255"/>
      <c r="CM265" s="255"/>
      <c r="CN265" s="255"/>
      <c r="CO265" s="255"/>
      <c r="CP265" s="255"/>
      <c r="CQ265" s="255"/>
      <c r="CR265" s="255"/>
      <c r="CS265" s="255"/>
      <c r="CT265" s="255"/>
      <c r="CU265" s="255"/>
      <c r="CV265" s="255"/>
      <c r="CW265" s="255"/>
      <c r="CX265" s="255"/>
      <c r="CY265" s="255"/>
      <c r="CZ265" s="255"/>
      <c r="DA265" s="255"/>
      <c r="DB265" s="255"/>
      <c r="DC265" s="255"/>
      <c r="DD265" s="255"/>
      <c r="DE265" s="255"/>
      <c r="DF265" s="255"/>
      <c r="DG265" s="255"/>
      <c r="DH265" s="255"/>
      <c r="DI265" s="255"/>
      <c r="DJ265" s="255"/>
      <c r="DK265" s="255"/>
      <c r="DL265" s="255"/>
      <c r="DM265" s="255"/>
      <c r="DN265" s="255"/>
      <c r="DO265" s="255"/>
      <c r="DP265" s="255"/>
      <c r="DQ265" s="255"/>
      <c r="DR265" s="255"/>
      <c r="DS265" s="255"/>
      <c r="DT265" s="255"/>
      <c r="DU265" s="255"/>
      <c r="DV265" s="255"/>
      <c r="DW265" s="191"/>
      <c r="DX265" s="255"/>
      <c r="DY265" s="255"/>
      <c r="DZ265" s="255"/>
      <c r="EA265" s="255"/>
      <c r="EB265" s="255"/>
      <c r="EC265" s="255"/>
      <c r="ED265" s="255"/>
      <c r="EE265" s="255"/>
      <c r="EF265" s="255"/>
      <c r="EG265" s="255"/>
      <c r="EH265" s="255"/>
      <c r="EI265" s="255"/>
      <c r="EJ265" s="255"/>
      <c r="EK265" s="255"/>
      <c r="EL265" s="255"/>
      <c r="EM265" s="255"/>
      <c r="EN265" s="255"/>
      <c r="EO265" s="255"/>
      <c r="EP265" s="255"/>
      <c r="EQ265" s="255"/>
      <c r="ER265" s="191"/>
      <c r="ES265" s="255"/>
      <c r="ET265" s="255"/>
      <c r="EU265" s="255"/>
      <c r="EV265" s="255"/>
      <c r="EW265" s="255"/>
      <c r="EX265" s="255"/>
      <c r="EY265" s="255"/>
      <c r="EZ265" s="255"/>
      <c r="FA265" s="255"/>
      <c r="FB265" s="255"/>
      <c r="FC265" s="255"/>
      <c r="FD265" s="255"/>
      <c r="FE265" s="255"/>
      <c r="FF265" s="255"/>
      <c r="FG265" s="255"/>
      <c r="FH265" s="255"/>
      <c r="FI265" s="255"/>
      <c r="FJ265" s="255"/>
      <c r="FK265" s="255"/>
      <c r="FL265" s="255"/>
      <c r="FM265" s="255"/>
      <c r="FN265" s="255"/>
      <c r="FO265" s="255"/>
      <c r="FP265" s="255"/>
      <c r="FQ265" s="255"/>
      <c r="FR265" s="255"/>
      <c r="FS265" s="255"/>
      <c r="FT265" s="255"/>
      <c r="FU265" s="255"/>
      <c r="FV265" s="255"/>
      <c r="FW265" s="255"/>
      <c r="FX265" s="255"/>
      <c r="FY265" s="255"/>
      <c r="FZ265" s="255"/>
      <c r="GA265" s="255"/>
      <c r="GB265" s="255"/>
      <c r="GC265" s="255"/>
      <c r="GD265" s="255"/>
      <c r="GE265" s="255"/>
      <c r="GF265" s="255"/>
      <c r="GG265" s="255"/>
      <c r="GH265" s="255"/>
      <c r="GI265" s="255"/>
      <c r="GJ265" s="255"/>
      <c r="GK265" s="255"/>
      <c r="GL265" s="255"/>
      <c r="GM265" s="255"/>
      <c r="GN265" s="255"/>
      <c r="GO265" s="255"/>
      <c r="GP265" s="255"/>
      <c r="GQ265" s="255"/>
      <c r="GR265" s="255"/>
      <c r="GS265" s="255"/>
      <c r="GT265" s="255"/>
      <c r="GU265" s="255"/>
      <c r="GV265" s="255"/>
      <c r="GW265" s="255"/>
      <c r="GX265" s="255"/>
      <c r="GY265" s="255"/>
      <c r="GZ265" s="255"/>
      <c r="HA265" s="255"/>
      <c r="HB265" s="255"/>
      <c r="HC265" s="255"/>
      <c r="HD265" s="255"/>
      <c r="HE265" s="255"/>
      <c r="HF265" s="255"/>
      <c r="HG265" s="255"/>
      <c r="HH265" s="255"/>
      <c r="HI265" s="255"/>
      <c r="HJ265" s="255"/>
      <c r="HK265" s="255"/>
      <c r="HL265" s="255"/>
      <c r="HM265" s="255"/>
      <c r="HN265" s="255"/>
      <c r="HO265" s="255"/>
      <c r="HP265" s="255"/>
      <c r="HQ265" s="255"/>
      <c r="HR265" s="255"/>
      <c r="HS265" s="255"/>
      <c r="HT265" s="255"/>
      <c r="HU265" s="255"/>
      <c r="HV265" s="255"/>
      <c r="HW265" s="255"/>
      <c r="HX265" s="255"/>
      <c r="HY265" s="255"/>
      <c r="HZ265" s="255"/>
      <c r="IA265" s="255"/>
      <c r="IB265" s="255"/>
      <c r="IC265" s="255"/>
      <c r="ID265" s="255"/>
      <c r="IE265" s="255"/>
      <c r="IF265" s="255"/>
      <c r="IG265" s="255"/>
      <c r="IH265" s="255"/>
      <c r="II265" s="255"/>
      <c r="IJ265" s="255"/>
      <c r="IK265" s="255"/>
      <c r="IL265" s="255"/>
      <c r="IM265" s="255"/>
      <c r="IN265" s="255"/>
      <c r="IO265" s="255"/>
      <c r="IP265" s="255"/>
      <c r="IQ265" s="255"/>
      <c r="IR265" s="255"/>
      <c r="IS265" s="255"/>
      <c r="IT265" s="255"/>
      <c r="IU265" s="255"/>
      <c r="IV265" s="255"/>
      <c r="IW265" s="255"/>
      <c r="IX265" s="255"/>
      <c r="IY265" s="255"/>
      <c r="IZ265" s="255"/>
      <c r="JA265" s="255"/>
      <c r="JB265" s="255"/>
      <c r="JC265" s="255"/>
      <c r="JD265" s="255"/>
      <c r="JE265" s="255"/>
      <c r="JF265" s="255"/>
      <c r="JG265" s="191"/>
      <c r="JH265" s="255"/>
      <c r="JI265" s="255"/>
      <c r="JJ265" s="255"/>
      <c r="JK265" s="255"/>
      <c r="JL265" s="255"/>
      <c r="JM265" s="255"/>
      <c r="JN265" s="255"/>
      <c r="JO265" s="255"/>
      <c r="JP265" s="255"/>
      <c r="JQ265" s="255"/>
      <c r="JR265" s="255"/>
      <c r="JS265" s="255"/>
      <c r="JT265" s="255"/>
      <c r="JU265" s="255"/>
      <c r="JV265" s="255"/>
      <c r="JW265" s="255"/>
      <c r="JX265" s="255"/>
      <c r="JY265" s="255"/>
      <c r="JZ265" s="255"/>
      <c r="KA265" s="255"/>
      <c r="KB265" s="191"/>
    </row>
    <row r="266" spans="2:288" ht="15" customHeight="1" x14ac:dyDescent="0.35">
      <c r="B266" s="146" t="str">
        <f t="shared" si="22"/>
        <v>Desk 50</v>
      </c>
      <c r="C266" s="148" t="str">
        <v/>
      </c>
      <c r="D266" s="148" t="str">
        <v/>
      </c>
      <c r="E266" s="148" t="str">
        <v/>
      </c>
      <c r="F266" s="148" t="str">
        <v/>
      </c>
      <c r="G266" s="268" t="str">
        <v/>
      </c>
      <c r="H266" s="255"/>
      <c r="I266" s="255"/>
      <c r="J266" s="255"/>
      <c r="K266" s="255"/>
      <c r="L266" s="255"/>
      <c r="M266" s="255"/>
      <c r="N266" s="255"/>
      <c r="O266" s="255"/>
      <c r="P266" s="255"/>
      <c r="Q266" s="255"/>
      <c r="R266" s="255"/>
      <c r="S266" s="255"/>
      <c r="T266" s="255"/>
      <c r="U266" s="255"/>
      <c r="V266" s="255"/>
      <c r="W266" s="255"/>
      <c r="X266" s="255"/>
      <c r="Y266" s="255"/>
      <c r="Z266" s="255"/>
      <c r="AA266" s="255"/>
      <c r="AB266" s="255"/>
      <c r="AC266" s="255"/>
      <c r="AD266" s="255"/>
      <c r="AE266" s="255"/>
      <c r="AF266" s="255"/>
      <c r="AG266" s="255"/>
      <c r="AH266" s="255"/>
      <c r="AI266" s="255"/>
      <c r="AJ266" s="255"/>
      <c r="AK266" s="255"/>
      <c r="AL266" s="255"/>
      <c r="AM266" s="255"/>
      <c r="AN266" s="255"/>
      <c r="AO266" s="255"/>
      <c r="AP266" s="255"/>
      <c r="AQ266" s="255"/>
      <c r="AR266" s="255"/>
      <c r="AS266" s="255"/>
      <c r="AT266" s="255"/>
      <c r="AU266" s="255"/>
      <c r="AV266" s="255"/>
      <c r="AW266" s="255"/>
      <c r="AX266" s="255"/>
      <c r="AY266" s="255"/>
      <c r="AZ266" s="255"/>
      <c r="BA266" s="255"/>
      <c r="BB266" s="255"/>
      <c r="BC266" s="255"/>
      <c r="BD266" s="255"/>
      <c r="BE266" s="255"/>
      <c r="BF266" s="255"/>
      <c r="BG266" s="255"/>
      <c r="BH266" s="255"/>
      <c r="BI266" s="255"/>
      <c r="BJ266" s="255"/>
      <c r="BK266" s="255"/>
      <c r="BL266" s="255"/>
      <c r="BM266" s="255"/>
      <c r="BN266" s="255"/>
      <c r="BO266" s="255"/>
      <c r="BP266" s="255"/>
      <c r="BQ266" s="255"/>
      <c r="BR266" s="255"/>
      <c r="BS266" s="255"/>
      <c r="BT266" s="255"/>
      <c r="BU266" s="255"/>
      <c r="BV266" s="255"/>
      <c r="BW266" s="255"/>
      <c r="BX266" s="255"/>
      <c r="BY266" s="255"/>
      <c r="BZ266" s="255"/>
      <c r="CA266" s="255"/>
      <c r="CB266" s="255"/>
      <c r="CC266" s="255"/>
      <c r="CD266" s="255"/>
      <c r="CE266" s="255"/>
      <c r="CF266" s="255"/>
      <c r="CG266" s="255"/>
      <c r="CH266" s="255"/>
      <c r="CI266" s="255"/>
      <c r="CJ266" s="255"/>
      <c r="CK266" s="255"/>
      <c r="CL266" s="255"/>
      <c r="CM266" s="255"/>
      <c r="CN266" s="255"/>
      <c r="CO266" s="255"/>
      <c r="CP266" s="255"/>
      <c r="CQ266" s="255"/>
      <c r="CR266" s="255"/>
      <c r="CS266" s="255"/>
      <c r="CT266" s="255"/>
      <c r="CU266" s="255"/>
      <c r="CV266" s="255"/>
      <c r="CW266" s="255"/>
      <c r="CX266" s="255"/>
      <c r="CY266" s="255"/>
      <c r="CZ266" s="255"/>
      <c r="DA266" s="255"/>
      <c r="DB266" s="255"/>
      <c r="DC266" s="255"/>
      <c r="DD266" s="255"/>
      <c r="DE266" s="255"/>
      <c r="DF266" s="255"/>
      <c r="DG266" s="255"/>
      <c r="DH266" s="255"/>
      <c r="DI266" s="255"/>
      <c r="DJ266" s="255"/>
      <c r="DK266" s="255"/>
      <c r="DL266" s="255"/>
      <c r="DM266" s="255"/>
      <c r="DN266" s="255"/>
      <c r="DO266" s="255"/>
      <c r="DP266" s="255"/>
      <c r="DQ266" s="255"/>
      <c r="DR266" s="255"/>
      <c r="DS266" s="255"/>
      <c r="DT266" s="255"/>
      <c r="DU266" s="255"/>
      <c r="DV266" s="255"/>
      <c r="DW266" s="191"/>
      <c r="DX266" s="255"/>
      <c r="DY266" s="255"/>
      <c r="DZ266" s="255"/>
      <c r="EA266" s="255"/>
      <c r="EB266" s="255"/>
      <c r="EC266" s="255"/>
      <c r="ED266" s="255"/>
      <c r="EE266" s="255"/>
      <c r="EF266" s="255"/>
      <c r="EG266" s="255"/>
      <c r="EH266" s="255"/>
      <c r="EI266" s="255"/>
      <c r="EJ266" s="255"/>
      <c r="EK266" s="255"/>
      <c r="EL266" s="255"/>
      <c r="EM266" s="255"/>
      <c r="EN266" s="255"/>
      <c r="EO266" s="255"/>
      <c r="EP266" s="255"/>
      <c r="EQ266" s="255"/>
      <c r="ER266" s="191"/>
      <c r="ES266" s="255"/>
      <c r="ET266" s="255"/>
      <c r="EU266" s="255"/>
      <c r="EV266" s="255"/>
      <c r="EW266" s="255"/>
      <c r="EX266" s="255"/>
      <c r="EY266" s="255"/>
      <c r="EZ266" s="255"/>
      <c r="FA266" s="255"/>
      <c r="FB266" s="255"/>
      <c r="FC266" s="255"/>
      <c r="FD266" s="255"/>
      <c r="FE266" s="255"/>
      <c r="FF266" s="255"/>
      <c r="FG266" s="255"/>
      <c r="FH266" s="255"/>
      <c r="FI266" s="255"/>
      <c r="FJ266" s="255"/>
      <c r="FK266" s="255"/>
      <c r="FL266" s="255"/>
      <c r="FM266" s="255"/>
      <c r="FN266" s="255"/>
      <c r="FO266" s="255"/>
      <c r="FP266" s="255"/>
      <c r="FQ266" s="255"/>
      <c r="FR266" s="255"/>
      <c r="FS266" s="255"/>
      <c r="FT266" s="255"/>
      <c r="FU266" s="255"/>
      <c r="FV266" s="255"/>
      <c r="FW266" s="255"/>
      <c r="FX266" s="255"/>
      <c r="FY266" s="255"/>
      <c r="FZ266" s="255"/>
      <c r="GA266" s="255"/>
      <c r="GB266" s="255"/>
      <c r="GC266" s="255"/>
      <c r="GD266" s="255"/>
      <c r="GE266" s="255"/>
      <c r="GF266" s="255"/>
      <c r="GG266" s="255"/>
      <c r="GH266" s="255"/>
      <c r="GI266" s="255"/>
      <c r="GJ266" s="255"/>
      <c r="GK266" s="255"/>
      <c r="GL266" s="255"/>
      <c r="GM266" s="255"/>
      <c r="GN266" s="255"/>
      <c r="GO266" s="255"/>
      <c r="GP266" s="255"/>
      <c r="GQ266" s="255"/>
      <c r="GR266" s="255"/>
      <c r="GS266" s="255"/>
      <c r="GT266" s="255"/>
      <c r="GU266" s="255"/>
      <c r="GV266" s="255"/>
      <c r="GW266" s="255"/>
      <c r="GX266" s="255"/>
      <c r="GY266" s="255"/>
      <c r="GZ266" s="255"/>
      <c r="HA266" s="255"/>
      <c r="HB266" s="255"/>
      <c r="HC266" s="255"/>
      <c r="HD266" s="255"/>
      <c r="HE266" s="255"/>
      <c r="HF266" s="255"/>
      <c r="HG266" s="255"/>
      <c r="HH266" s="255"/>
      <c r="HI266" s="255"/>
      <c r="HJ266" s="255"/>
      <c r="HK266" s="255"/>
      <c r="HL266" s="255"/>
      <c r="HM266" s="255"/>
      <c r="HN266" s="255"/>
      <c r="HO266" s="255"/>
      <c r="HP266" s="255"/>
      <c r="HQ266" s="255"/>
      <c r="HR266" s="255"/>
      <c r="HS266" s="255"/>
      <c r="HT266" s="255"/>
      <c r="HU266" s="255"/>
      <c r="HV266" s="255"/>
      <c r="HW266" s="255"/>
      <c r="HX266" s="255"/>
      <c r="HY266" s="255"/>
      <c r="HZ266" s="255"/>
      <c r="IA266" s="255"/>
      <c r="IB266" s="255"/>
      <c r="IC266" s="255"/>
      <c r="ID266" s="255"/>
      <c r="IE266" s="255"/>
      <c r="IF266" s="255"/>
      <c r="IG266" s="255"/>
      <c r="IH266" s="255"/>
      <c r="II266" s="255"/>
      <c r="IJ266" s="255"/>
      <c r="IK266" s="255"/>
      <c r="IL266" s="255"/>
      <c r="IM266" s="255"/>
      <c r="IN266" s="255"/>
      <c r="IO266" s="255"/>
      <c r="IP266" s="255"/>
      <c r="IQ266" s="255"/>
      <c r="IR266" s="255"/>
      <c r="IS266" s="255"/>
      <c r="IT266" s="255"/>
      <c r="IU266" s="255"/>
      <c r="IV266" s="255"/>
      <c r="IW266" s="255"/>
      <c r="IX266" s="255"/>
      <c r="IY266" s="255"/>
      <c r="IZ266" s="255"/>
      <c r="JA266" s="255"/>
      <c r="JB266" s="255"/>
      <c r="JC266" s="255"/>
      <c r="JD266" s="255"/>
      <c r="JE266" s="255"/>
      <c r="JF266" s="255"/>
      <c r="JG266" s="191"/>
      <c r="JH266" s="255"/>
      <c r="JI266" s="255"/>
      <c r="JJ266" s="255"/>
      <c r="JK266" s="255"/>
      <c r="JL266" s="255"/>
      <c r="JM266" s="255"/>
      <c r="JN266" s="255"/>
      <c r="JO266" s="255"/>
      <c r="JP266" s="255"/>
      <c r="JQ266" s="255"/>
      <c r="JR266" s="255"/>
      <c r="JS266" s="255"/>
      <c r="JT266" s="255"/>
      <c r="JU266" s="255"/>
      <c r="JV266" s="255"/>
      <c r="JW266" s="255"/>
      <c r="JX266" s="255"/>
      <c r="JY266" s="255"/>
      <c r="JZ266" s="255"/>
      <c r="KA266" s="255"/>
      <c r="KB266" s="191"/>
    </row>
    <row r="267" spans="2:288" ht="15" customHeight="1" x14ac:dyDescent="0.35">
      <c r="B267" s="146" t="str">
        <f t="shared" si="22"/>
        <v>Desk 51</v>
      </c>
      <c r="C267" s="148" t="str">
        <v/>
      </c>
      <c r="D267" s="148" t="str">
        <v/>
      </c>
      <c r="E267" s="148" t="str">
        <v/>
      </c>
      <c r="F267" s="148" t="str">
        <v/>
      </c>
      <c r="G267" s="268" t="str">
        <v/>
      </c>
      <c r="H267" s="255"/>
      <c r="I267" s="255"/>
      <c r="J267" s="255"/>
      <c r="K267" s="255"/>
      <c r="L267" s="255"/>
      <c r="M267" s="255"/>
      <c r="N267" s="255"/>
      <c r="O267" s="255"/>
      <c r="P267" s="255"/>
      <c r="Q267" s="255"/>
      <c r="R267" s="255"/>
      <c r="S267" s="255"/>
      <c r="T267" s="255"/>
      <c r="U267" s="255"/>
      <c r="V267" s="255"/>
      <c r="W267" s="255"/>
      <c r="X267" s="255"/>
      <c r="Y267" s="255"/>
      <c r="Z267" s="255"/>
      <c r="AA267" s="255"/>
      <c r="AB267" s="255"/>
      <c r="AC267" s="255"/>
      <c r="AD267" s="255"/>
      <c r="AE267" s="255"/>
      <c r="AF267" s="255"/>
      <c r="AG267" s="255"/>
      <c r="AH267" s="255"/>
      <c r="AI267" s="255"/>
      <c r="AJ267" s="255"/>
      <c r="AK267" s="255"/>
      <c r="AL267" s="255"/>
      <c r="AM267" s="255"/>
      <c r="AN267" s="255"/>
      <c r="AO267" s="255"/>
      <c r="AP267" s="255"/>
      <c r="AQ267" s="255"/>
      <c r="AR267" s="255"/>
      <c r="AS267" s="255"/>
      <c r="AT267" s="255"/>
      <c r="AU267" s="255"/>
      <c r="AV267" s="255"/>
      <c r="AW267" s="255"/>
      <c r="AX267" s="255"/>
      <c r="AY267" s="255"/>
      <c r="AZ267" s="255"/>
      <c r="BA267" s="255"/>
      <c r="BB267" s="255"/>
      <c r="BC267" s="255"/>
      <c r="BD267" s="255"/>
      <c r="BE267" s="255"/>
      <c r="BF267" s="255"/>
      <c r="BG267" s="255"/>
      <c r="BH267" s="255"/>
      <c r="BI267" s="255"/>
      <c r="BJ267" s="255"/>
      <c r="BK267" s="255"/>
      <c r="BL267" s="255"/>
      <c r="BM267" s="255"/>
      <c r="BN267" s="255"/>
      <c r="BO267" s="255"/>
      <c r="BP267" s="255"/>
      <c r="BQ267" s="255"/>
      <c r="BR267" s="255"/>
      <c r="BS267" s="255"/>
      <c r="BT267" s="255"/>
      <c r="BU267" s="255"/>
      <c r="BV267" s="255"/>
      <c r="BW267" s="255"/>
      <c r="BX267" s="255"/>
      <c r="BY267" s="255"/>
      <c r="BZ267" s="255"/>
      <c r="CA267" s="255"/>
      <c r="CB267" s="255"/>
      <c r="CC267" s="255"/>
      <c r="CD267" s="255"/>
      <c r="CE267" s="255"/>
      <c r="CF267" s="255"/>
      <c r="CG267" s="255"/>
      <c r="CH267" s="255"/>
      <c r="CI267" s="255"/>
      <c r="CJ267" s="255"/>
      <c r="CK267" s="255"/>
      <c r="CL267" s="255"/>
      <c r="CM267" s="255"/>
      <c r="CN267" s="255"/>
      <c r="CO267" s="255"/>
      <c r="CP267" s="255"/>
      <c r="CQ267" s="255"/>
      <c r="CR267" s="255"/>
      <c r="CS267" s="255"/>
      <c r="CT267" s="255"/>
      <c r="CU267" s="255"/>
      <c r="CV267" s="255"/>
      <c r="CW267" s="255"/>
      <c r="CX267" s="255"/>
      <c r="CY267" s="255"/>
      <c r="CZ267" s="255"/>
      <c r="DA267" s="255"/>
      <c r="DB267" s="255"/>
      <c r="DC267" s="255"/>
      <c r="DD267" s="255"/>
      <c r="DE267" s="255"/>
      <c r="DF267" s="255"/>
      <c r="DG267" s="255"/>
      <c r="DH267" s="255"/>
      <c r="DI267" s="255"/>
      <c r="DJ267" s="255"/>
      <c r="DK267" s="255"/>
      <c r="DL267" s="255"/>
      <c r="DM267" s="255"/>
      <c r="DN267" s="255"/>
      <c r="DO267" s="255"/>
      <c r="DP267" s="255"/>
      <c r="DQ267" s="255"/>
      <c r="DR267" s="255"/>
      <c r="DS267" s="255"/>
      <c r="DT267" s="255"/>
      <c r="DU267" s="255"/>
      <c r="DV267" s="255"/>
      <c r="DW267" s="191"/>
      <c r="DX267" s="255"/>
      <c r="DY267" s="255"/>
      <c r="DZ267" s="255"/>
      <c r="EA267" s="255"/>
      <c r="EB267" s="255"/>
      <c r="EC267" s="255"/>
      <c r="ED267" s="255"/>
      <c r="EE267" s="255"/>
      <c r="EF267" s="255"/>
      <c r="EG267" s="255"/>
      <c r="EH267" s="255"/>
      <c r="EI267" s="255"/>
      <c r="EJ267" s="255"/>
      <c r="EK267" s="255"/>
      <c r="EL267" s="255"/>
      <c r="EM267" s="255"/>
      <c r="EN267" s="255"/>
      <c r="EO267" s="255"/>
      <c r="EP267" s="255"/>
      <c r="EQ267" s="255"/>
      <c r="ER267" s="191"/>
      <c r="ES267" s="255"/>
      <c r="ET267" s="255"/>
      <c r="EU267" s="255"/>
      <c r="EV267" s="255"/>
      <c r="EW267" s="255"/>
      <c r="EX267" s="255"/>
      <c r="EY267" s="255"/>
      <c r="EZ267" s="255"/>
      <c r="FA267" s="255"/>
      <c r="FB267" s="255"/>
      <c r="FC267" s="255"/>
      <c r="FD267" s="255"/>
      <c r="FE267" s="255"/>
      <c r="FF267" s="255"/>
      <c r="FG267" s="255"/>
      <c r="FH267" s="255"/>
      <c r="FI267" s="255"/>
      <c r="FJ267" s="255"/>
      <c r="FK267" s="255"/>
      <c r="FL267" s="255"/>
      <c r="FM267" s="255"/>
      <c r="FN267" s="255"/>
      <c r="FO267" s="255"/>
      <c r="FP267" s="255"/>
      <c r="FQ267" s="255"/>
      <c r="FR267" s="255"/>
      <c r="FS267" s="255"/>
      <c r="FT267" s="255"/>
      <c r="FU267" s="255"/>
      <c r="FV267" s="255"/>
      <c r="FW267" s="255"/>
      <c r="FX267" s="255"/>
      <c r="FY267" s="255"/>
      <c r="FZ267" s="255"/>
      <c r="GA267" s="255"/>
      <c r="GB267" s="255"/>
      <c r="GC267" s="255"/>
      <c r="GD267" s="255"/>
      <c r="GE267" s="255"/>
      <c r="GF267" s="255"/>
      <c r="GG267" s="255"/>
      <c r="GH267" s="255"/>
      <c r="GI267" s="255"/>
      <c r="GJ267" s="255"/>
      <c r="GK267" s="255"/>
      <c r="GL267" s="255"/>
      <c r="GM267" s="255"/>
      <c r="GN267" s="255"/>
      <c r="GO267" s="255"/>
      <c r="GP267" s="255"/>
      <c r="GQ267" s="255"/>
      <c r="GR267" s="255"/>
      <c r="GS267" s="255"/>
      <c r="GT267" s="255"/>
      <c r="GU267" s="255"/>
      <c r="GV267" s="255"/>
      <c r="GW267" s="255"/>
      <c r="GX267" s="255"/>
      <c r="GY267" s="255"/>
      <c r="GZ267" s="255"/>
      <c r="HA267" s="255"/>
      <c r="HB267" s="255"/>
      <c r="HC267" s="255"/>
      <c r="HD267" s="255"/>
      <c r="HE267" s="255"/>
      <c r="HF267" s="255"/>
      <c r="HG267" s="255"/>
      <c r="HH267" s="255"/>
      <c r="HI267" s="255"/>
      <c r="HJ267" s="255"/>
      <c r="HK267" s="255"/>
      <c r="HL267" s="255"/>
      <c r="HM267" s="255"/>
      <c r="HN267" s="255"/>
      <c r="HO267" s="255"/>
      <c r="HP267" s="255"/>
      <c r="HQ267" s="255"/>
      <c r="HR267" s="255"/>
      <c r="HS267" s="255"/>
      <c r="HT267" s="255"/>
      <c r="HU267" s="255"/>
      <c r="HV267" s="255"/>
      <c r="HW267" s="255"/>
      <c r="HX267" s="255"/>
      <c r="HY267" s="255"/>
      <c r="HZ267" s="255"/>
      <c r="IA267" s="255"/>
      <c r="IB267" s="255"/>
      <c r="IC267" s="255"/>
      <c r="ID267" s="255"/>
      <c r="IE267" s="255"/>
      <c r="IF267" s="255"/>
      <c r="IG267" s="255"/>
      <c r="IH267" s="255"/>
      <c r="II267" s="255"/>
      <c r="IJ267" s="255"/>
      <c r="IK267" s="255"/>
      <c r="IL267" s="255"/>
      <c r="IM267" s="255"/>
      <c r="IN267" s="255"/>
      <c r="IO267" s="255"/>
      <c r="IP267" s="255"/>
      <c r="IQ267" s="255"/>
      <c r="IR267" s="255"/>
      <c r="IS267" s="255"/>
      <c r="IT267" s="255"/>
      <c r="IU267" s="255"/>
      <c r="IV267" s="255"/>
      <c r="IW267" s="255"/>
      <c r="IX267" s="255"/>
      <c r="IY267" s="255"/>
      <c r="IZ267" s="255"/>
      <c r="JA267" s="255"/>
      <c r="JB267" s="255"/>
      <c r="JC267" s="255"/>
      <c r="JD267" s="255"/>
      <c r="JE267" s="255"/>
      <c r="JF267" s="255"/>
      <c r="JG267" s="191"/>
      <c r="JH267" s="255"/>
      <c r="JI267" s="255"/>
      <c r="JJ267" s="255"/>
      <c r="JK267" s="255"/>
      <c r="JL267" s="255"/>
      <c r="JM267" s="255"/>
      <c r="JN267" s="255"/>
      <c r="JO267" s="255"/>
      <c r="JP267" s="255"/>
      <c r="JQ267" s="255"/>
      <c r="JR267" s="255"/>
      <c r="JS267" s="255"/>
      <c r="JT267" s="255"/>
      <c r="JU267" s="255"/>
      <c r="JV267" s="255"/>
      <c r="JW267" s="255"/>
      <c r="JX267" s="255"/>
      <c r="JY267" s="255"/>
      <c r="JZ267" s="255"/>
      <c r="KA267" s="255"/>
      <c r="KB267" s="191"/>
    </row>
    <row r="268" spans="2:288" ht="15" customHeight="1" x14ac:dyDescent="0.35">
      <c r="B268" s="146" t="str">
        <f t="shared" si="22"/>
        <v>Desk 52</v>
      </c>
      <c r="C268" s="148" t="str">
        <v/>
      </c>
      <c r="D268" s="148" t="str">
        <v/>
      </c>
      <c r="E268" s="148" t="str">
        <v/>
      </c>
      <c r="F268" s="148" t="str">
        <v/>
      </c>
      <c r="G268" s="268" t="str">
        <v/>
      </c>
      <c r="H268" s="255"/>
      <c r="I268" s="255"/>
      <c r="J268" s="255"/>
      <c r="K268" s="255"/>
      <c r="L268" s="255"/>
      <c r="M268" s="255"/>
      <c r="N268" s="255"/>
      <c r="O268" s="255"/>
      <c r="P268" s="255"/>
      <c r="Q268" s="255"/>
      <c r="R268" s="255"/>
      <c r="S268" s="255"/>
      <c r="T268" s="255"/>
      <c r="U268" s="255"/>
      <c r="V268" s="255"/>
      <c r="W268" s="255"/>
      <c r="X268" s="255"/>
      <c r="Y268" s="255"/>
      <c r="Z268" s="255"/>
      <c r="AA268" s="255"/>
      <c r="AB268" s="255"/>
      <c r="AC268" s="255"/>
      <c r="AD268" s="255"/>
      <c r="AE268" s="255"/>
      <c r="AF268" s="255"/>
      <c r="AG268" s="255"/>
      <c r="AH268" s="255"/>
      <c r="AI268" s="255"/>
      <c r="AJ268" s="255"/>
      <c r="AK268" s="255"/>
      <c r="AL268" s="255"/>
      <c r="AM268" s="255"/>
      <c r="AN268" s="255"/>
      <c r="AO268" s="255"/>
      <c r="AP268" s="255"/>
      <c r="AQ268" s="255"/>
      <c r="AR268" s="255"/>
      <c r="AS268" s="255"/>
      <c r="AT268" s="255"/>
      <c r="AU268" s="255"/>
      <c r="AV268" s="255"/>
      <c r="AW268" s="255"/>
      <c r="AX268" s="255"/>
      <c r="AY268" s="255"/>
      <c r="AZ268" s="255"/>
      <c r="BA268" s="255"/>
      <c r="BB268" s="255"/>
      <c r="BC268" s="255"/>
      <c r="BD268" s="255"/>
      <c r="BE268" s="255"/>
      <c r="BF268" s="255"/>
      <c r="BG268" s="255"/>
      <c r="BH268" s="255"/>
      <c r="BI268" s="255"/>
      <c r="BJ268" s="255"/>
      <c r="BK268" s="255"/>
      <c r="BL268" s="255"/>
      <c r="BM268" s="255"/>
      <c r="BN268" s="255"/>
      <c r="BO268" s="255"/>
      <c r="BP268" s="255"/>
      <c r="BQ268" s="255"/>
      <c r="BR268" s="255"/>
      <c r="BS268" s="255"/>
      <c r="BT268" s="255"/>
      <c r="BU268" s="255"/>
      <c r="BV268" s="255"/>
      <c r="BW268" s="255"/>
      <c r="BX268" s="255"/>
      <c r="BY268" s="255"/>
      <c r="BZ268" s="255"/>
      <c r="CA268" s="255"/>
      <c r="CB268" s="255"/>
      <c r="CC268" s="255"/>
      <c r="CD268" s="255"/>
      <c r="CE268" s="255"/>
      <c r="CF268" s="255"/>
      <c r="CG268" s="255"/>
      <c r="CH268" s="255"/>
      <c r="CI268" s="255"/>
      <c r="CJ268" s="255"/>
      <c r="CK268" s="255"/>
      <c r="CL268" s="255"/>
      <c r="CM268" s="255"/>
      <c r="CN268" s="255"/>
      <c r="CO268" s="255"/>
      <c r="CP268" s="255"/>
      <c r="CQ268" s="255"/>
      <c r="CR268" s="255"/>
      <c r="CS268" s="255"/>
      <c r="CT268" s="255"/>
      <c r="CU268" s="255"/>
      <c r="CV268" s="255"/>
      <c r="CW268" s="255"/>
      <c r="CX268" s="255"/>
      <c r="CY268" s="255"/>
      <c r="CZ268" s="255"/>
      <c r="DA268" s="255"/>
      <c r="DB268" s="255"/>
      <c r="DC268" s="255"/>
      <c r="DD268" s="255"/>
      <c r="DE268" s="255"/>
      <c r="DF268" s="255"/>
      <c r="DG268" s="255"/>
      <c r="DH268" s="255"/>
      <c r="DI268" s="255"/>
      <c r="DJ268" s="255"/>
      <c r="DK268" s="255"/>
      <c r="DL268" s="255"/>
      <c r="DM268" s="255"/>
      <c r="DN268" s="255"/>
      <c r="DO268" s="255"/>
      <c r="DP268" s="255"/>
      <c r="DQ268" s="255"/>
      <c r="DR268" s="255"/>
      <c r="DS268" s="255"/>
      <c r="DT268" s="255"/>
      <c r="DU268" s="255"/>
      <c r="DV268" s="255"/>
      <c r="DW268" s="191"/>
      <c r="DX268" s="255"/>
      <c r="DY268" s="255"/>
      <c r="DZ268" s="255"/>
      <c r="EA268" s="255"/>
      <c r="EB268" s="255"/>
      <c r="EC268" s="255"/>
      <c r="ED268" s="255"/>
      <c r="EE268" s="255"/>
      <c r="EF268" s="255"/>
      <c r="EG268" s="255"/>
      <c r="EH268" s="255"/>
      <c r="EI268" s="255"/>
      <c r="EJ268" s="255"/>
      <c r="EK268" s="255"/>
      <c r="EL268" s="255"/>
      <c r="EM268" s="255"/>
      <c r="EN268" s="255"/>
      <c r="EO268" s="255"/>
      <c r="EP268" s="255"/>
      <c r="EQ268" s="255"/>
      <c r="ER268" s="191"/>
      <c r="ES268" s="255"/>
      <c r="ET268" s="255"/>
      <c r="EU268" s="255"/>
      <c r="EV268" s="255"/>
      <c r="EW268" s="255"/>
      <c r="EX268" s="255"/>
      <c r="EY268" s="255"/>
      <c r="EZ268" s="255"/>
      <c r="FA268" s="255"/>
      <c r="FB268" s="255"/>
      <c r="FC268" s="255"/>
      <c r="FD268" s="255"/>
      <c r="FE268" s="255"/>
      <c r="FF268" s="255"/>
      <c r="FG268" s="255"/>
      <c r="FH268" s="255"/>
      <c r="FI268" s="255"/>
      <c r="FJ268" s="255"/>
      <c r="FK268" s="255"/>
      <c r="FL268" s="255"/>
      <c r="FM268" s="255"/>
      <c r="FN268" s="255"/>
      <c r="FO268" s="255"/>
      <c r="FP268" s="255"/>
      <c r="FQ268" s="255"/>
      <c r="FR268" s="255"/>
      <c r="FS268" s="255"/>
      <c r="FT268" s="255"/>
      <c r="FU268" s="255"/>
      <c r="FV268" s="255"/>
      <c r="FW268" s="255"/>
      <c r="FX268" s="255"/>
      <c r="FY268" s="255"/>
      <c r="FZ268" s="255"/>
      <c r="GA268" s="255"/>
      <c r="GB268" s="255"/>
      <c r="GC268" s="255"/>
      <c r="GD268" s="255"/>
      <c r="GE268" s="255"/>
      <c r="GF268" s="255"/>
      <c r="GG268" s="255"/>
      <c r="GH268" s="255"/>
      <c r="GI268" s="255"/>
      <c r="GJ268" s="255"/>
      <c r="GK268" s="255"/>
      <c r="GL268" s="255"/>
      <c r="GM268" s="255"/>
      <c r="GN268" s="255"/>
      <c r="GO268" s="255"/>
      <c r="GP268" s="255"/>
      <c r="GQ268" s="255"/>
      <c r="GR268" s="255"/>
      <c r="GS268" s="255"/>
      <c r="GT268" s="255"/>
      <c r="GU268" s="255"/>
      <c r="GV268" s="255"/>
      <c r="GW268" s="255"/>
      <c r="GX268" s="255"/>
      <c r="GY268" s="255"/>
      <c r="GZ268" s="255"/>
      <c r="HA268" s="255"/>
      <c r="HB268" s="255"/>
      <c r="HC268" s="255"/>
      <c r="HD268" s="255"/>
      <c r="HE268" s="255"/>
      <c r="HF268" s="255"/>
      <c r="HG268" s="255"/>
      <c r="HH268" s="255"/>
      <c r="HI268" s="255"/>
      <c r="HJ268" s="255"/>
      <c r="HK268" s="255"/>
      <c r="HL268" s="255"/>
      <c r="HM268" s="255"/>
      <c r="HN268" s="255"/>
      <c r="HO268" s="255"/>
      <c r="HP268" s="255"/>
      <c r="HQ268" s="255"/>
      <c r="HR268" s="255"/>
      <c r="HS268" s="255"/>
      <c r="HT268" s="255"/>
      <c r="HU268" s="255"/>
      <c r="HV268" s="255"/>
      <c r="HW268" s="255"/>
      <c r="HX268" s="255"/>
      <c r="HY268" s="255"/>
      <c r="HZ268" s="255"/>
      <c r="IA268" s="255"/>
      <c r="IB268" s="255"/>
      <c r="IC268" s="255"/>
      <c r="ID268" s="255"/>
      <c r="IE268" s="255"/>
      <c r="IF268" s="255"/>
      <c r="IG268" s="255"/>
      <c r="IH268" s="255"/>
      <c r="II268" s="255"/>
      <c r="IJ268" s="255"/>
      <c r="IK268" s="255"/>
      <c r="IL268" s="255"/>
      <c r="IM268" s="255"/>
      <c r="IN268" s="255"/>
      <c r="IO268" s="255"/>
      <c r="IP268" s="255"/>
      <c r="IQ268" s="255"/>
      <c r="IR268" s="255"/>
      <c r="IS268" s="255"/>
      <c r="IT268" s="255"/>
      <c r="IU268" s="255"/>
      <c r="IV268" s="255"/>
      <c r="IW268" s="255"/>
      <c r="IX268" s="255"/>
      <c r="IY268" s="255"/>
      <c r="IZ268" s="255"/>
      <c r="JA268" s="255"/>
      <c r="JB268" s="255"/>
      <c r="JC268" s="255"/>
      <c r="JD268" s="255"/>
      <c r="JE268" s="255"/>
      <c r="JF268" s="255"/>
      <c r="JG268" s="191"/>
      <c r="JH268" s="255"/>
      <c r="JI268" s="255"/>
      <c r="JJ268" s="255"/>
      <c r="JK268" s="255"/>
      <c r="JL268" s="255"/>
      <c r="JM268" s="255"/>
      <c r="JN268" s="255"/>
      <c r="JO268" s="255"/>
      <c r="JP268" s="255"/>
      <c r="JQ268" s="255"/>
      <c r="JR268" s="255"/>
      <c r="JS268" s="255"/>
      <c r="JT268" s="255"/>
      <c r="JU268" s="255"/>
      <c r="JV268" s="255"/>
      <c r="JW268" s="255"/>
      <c r="JX268" s="255"/>
      <c r="JY268" s="255"/>
      <c r="JZ268" s="255"/>
      <c r="KA268" s="255"/>
      <c r="KB268" s="191"/>
    </row>
    <row r="269" spans="2:288" ht="15" customHeight="1" x14ac:dyDescent="0.35">
      <c r="B269" s="146" t="str">
        <f t="shared" si="22"/>
        <v>Desk 53</v>
      </c>
      <c r="C269" s="148" t="str">
        <v/>
      </c>
      <c r="D269" s="148" t="str">
        <v/>
      </c>
      <c r="E269" s="148" t="str">
        <v/>
      </c>
      <c r="F269" s="148" t="str">
        <v/>
      </c>
      <c r="G269" s="268" t="str">
        <v/>
      </c>
      <c r="H269" s="255"/>
      <c r="I269" s="255"/>
      <c r="J269" s="255"/>
      <c r="K269" s="255"/>
      <c r="L269" s="255"/>
      <c r="M269" s="255"/>
      <c r="N269" s="255"/>
      <c r="O269" s="255"/>
      <c r="P269" s="255"/>
      <c r="Q269" s="255"/>
      <c r="R269" s="255"/>
      <c r="S269" s="255"/>
      <c r="T269" s="255"/>
      <c r="U269" s="255"/>
      <c r="V269" s="255"/>
      <c r="W269" s="255"/>
      <c r="X269" s="255"/>
      <c r="Y269" s="255"/>
      <c r="Z269" s="255"/>
      <c r="AA269" s="255"/>
      <c r="AB269" s="255"/>
      <c r="AC269" s="255"/>
      <c r="AD269" s="255"/>
      <c r="AE269" s="255"/>
      <c r="AF269" s="255"/>
      <c r="AG269" s="255"/>
      <c r="AH269" s="255"/>
      <c r="AI269" s="255"/>
      <c r="AJ269" s="255"/>
      <c r="AK269" s="255"/>
      <c r="AL269" s="255"/>
      <c r="AM269" s="255"/>
      <c r="AN269" s="255"/>
      <c r="AO269" s="255"/>
      <c r="AP269" s="255"/>
      <c r="AQ269" s="255"/>
      <c r="AR269" s="255"/>
      <c r="AS269" s="255"/>
      <c r="AT269" s="255"/>
      <c r="AU269" s="255"/>
      <c r="AV269" s="255"/>
      <c r="AW269" s="255"/>
      <c r="AX269" s="255"/>
      <c r="AY269" s="255"/>
      <c r="AZ269" s="255"/>
      <c r="BA269" s="255"/>
      <c r="BB269" s="255"/>
      <c r="BC269" s="255"/>
      <c r="BD269" s="255"/>
      <c r="BE269" s="255"/>
      <c r="BF269" s="255"/>
      <c r="BG269" s="255"/>
      <c r="BH269" s="255"/>
      <c r="BI269" s="255"/>
      <c r="BJ269" s="255"/>
      <c r="BK269" s="255"/>
      <c r="BL269" s="255"/>
      <c r="BM269" s="255"/>
      <c r="BN269" s="255"/>
      <c r="BO269" s="255"/>
      <c r="BP269" s="255"/>
      <c r="BQ269" s="255"/>
      <c r="BR269" s="255"/>
      <c r="BS269" s="255"/>
      <c r="BT269" s="255"/>
      <c r="BU269" s="255"/>
      <c r="BV269" s="255"/>
      <c r="BW269" s="255"/>
      <c r="BX269" s="255"/>
      <c r="BY269" s="255"/>
      <c r="BZ269" s="255"/>
      <c r="CA269" s="255"/>
      <c r="CB269" s="255"/>
      <c r="CC269" s="255"/>
      <c r="CD269" s="255"/>
      <c r="CE269" s="255"/>
      <c r="CF269" s="255"/>
      <c r="CG269" s="255"/>
      <c r="CH269" s="255"/>
      <c r="CI269" s="255"/>
      <c r="CJ269" s="255"/>
      <c r="CK269" s="255"/>
      <c r="CL269" s="255"/>
      <c r="CM269" s="255"/>
      <c r="CN269" s="255"/>
      <c r="CO269" s="255"/>
      <c r="CP269" s="255"/>
      <c r="CQ269" s="255"/>
      <c r="CR269" s="255"/>
      <c r="CS269" s="255"/>
      <c r="CT269" s="255"/>
      <c r="CU269" s="255"/>
      <c r="CV269" s="255"/>
      <c r="CW269" s="255"/>
      <c r="CX269" s="255"/>
      <c r="CY269" s="255"/>
      <c r="CZ269" s="255"/>
      <c r="DA269" s="255"/>
      <c r="DB269" s="255"/>
      <c r="DC269" s="255"/>
      <c r="DD269" s="255"/>
      <c r="DE269" s="255"/>
      <c r="DF269" s="255"/>
      <c r="DG269" s="255"/>
      <c r="DH269" s="255"/>
      <c r="DI269" s="255"/>
      <c r="DJ269" s="255"/>
      <c r="DK269" s="255"/>
      <c r="DL269" s="255"/>
      <c r="DM269" s="255"/>
      <c r="DN269" s="255"/>
      <c r="DO269" s="255"/>
      <c r="DP269" s="255"/>
      <c r="DQ269" s="255"/>
      <c r="DR269" s="255"/>
      <c r="DS269" s="255"/>
      <c r="DT269" s="255"/>
      <c r="DU269" s="255"/>
      <c r="DV269" s="255"/>
      <c r="DW269" s="191"/>
      <c r="DX269" s="255"/>
      <c r="DY269" s="255"/>
      <c r="DZ269" s="255"/>
      <c r="EA269" s="255"/>
      <c r="EB269" s="255"/>
      <c r="EC269" s="255"/>
      <c r="ED269" s="255"/>
      <c r="EE269" s="255"/>
      <c r="EF269" s="255"/>
      <c r="EG269" s="255"/>
      <c r="EH269" s="255"/>
      <c r="EI269" s="255"/>
      <c r="EJ269" s="255"/>
      <c r="EK269" s="255"/>
      <c r="EL269" s="255"/>
      <c r="EM269" s="255"/>
      <c r="EN269" s="255"/>
      <c r="EO269" s="255"/>
      <c r="EP269" s="255"/>
      <c r="EQ269" s="255"/>
      <c r="ER269" s="191"/>
      <c r="ES269" s="255"/>
      <c r="ET269" s="255"/>
      <c r="EU269" s="255"/>
      <c r="EV269" s="255"/>
      <c r="EW269" s="255"/>
      <c r="EX269" s="255"/>
      <c r="EY269" s="255"/>
      <c r="EZ269" s="255"/>
      <c r="FA269" s="255"/>
      <c r="FB269" s="255"/>
      <c r="FC269" s="255"/>
      <c r="FD269" s="255"/>
      <c r="FE269" s="255"/>
      <c r="FF269" s="255"/>
      <c r="FG269" s="255"/>
      <c r="FH269" s="255"/>
      <c r="FI269" s="255"/>
      <c r="FJ269" s="255"/>
      <c r="FK269" s="255"/>
      <c r="FL269" s="255"/>
      <c r="FM269" s="255"/>
      <c r="FN269" s="255"/>
      <c r="FO269" s="255"/>
      <c r="FP269" s="255"/>
      <c r="FQ269" s="255"/>
      <c r="FR269" s="255"/>
      <c r="FS269" s="255"/>
      <c r="FT269" s="255"/>
      <c r="FU269" s="255"/>
      <c r="FV269" s="255"/>
      <c r="FW269" s="255"/>
      <c r="FX269" s="255"/>
      <c r="FY269" s="255"/>
      <c r="FZ269" s="255"/>
      <c r="GA269" s="255"/>
      <c r="GB269" s="255"/>
      <c r="GC269" s="255"/>
      <c r="GD269" s="255"/>
      <c r="GE269" s="255"/>
      <c r="GF269" s="255"/>
      <c r="GG269" s="255"/>
      <c r="GH269" s="255"/>
      <c r="GI269" s="255"/>
      <c r="GJ269" s="255"/>
      <c r="GK269" s="255"/>
      <c r="GL269" s="255"/>
      <c r="GM269" s="255"/>
      <c r="GN269" s="255"/>
      <c r="GO269" s="255"/>
      <c r="GP269" s="255"/>
      <c r="GQ269" s="255"/>
      <c r="GR269" s="255"/>
      <c r="GS269" s="255"/>
      <c r="GT269" s="255"/>
      <c r="GU269" s="255"/>
      <c r="GV269" s="255"/>
      <c r="GW269" s="255"/>
      <c r="GX269" s="255"/>
      <c r="GY269" s="255"/>
      <c r="GZ269" s="255"/>
      <c r="HA269" s="255"/>
      <c r="HB269" s="255"/>
      <c r="HC269" s="255"/>
      <c r="HD269" s="255"/>
      <c r="HE269" s="255"/>
      <c r="HF269" s="255"/>
      <c r="HG269" s="255"/>
      <c r="HH269" s="255"/>
      <c r="HI269" s="255"/>
      <c r="HJ269" s="255"/>
      <c r="HK269" s="255"/>
      <c r="HL269" s="255"/>
      <c r="HM269" s="255"/>
      <c r="HN269" s="255"/>
      <c r="HO269" s="255"/>
      <c r="HP269" s="255"/>
      <c r="HQ269" s="255"/>
      <c r="HR269" s="255"/>
      <c r="HS269" s="255"/>
      <c r="HT269" s="255"/>
      <c r="HU269" s="255"/>
      <c r="HV269" s="255"/>
      <c r="HW269" s="255"/>
      <c r="HX269" s="255"/>
      <c r="HY269" s="255"/>
      <c r="HZ269" s="255"/>
      <c r="IA269" s="255"/>
      <c r="IB269" s="255"/>
      <c r="IC269" s="255"/>
      <c r="ID269" s="255"/>
      <c r="IE269" s="255"/>
      <c r="IF269" s="255"/>
      <c r="IG269" s="255"/>
      <c r="IH269" s="255"/>
      <c r="II269" s="255"/>
      <c r="IJ269" s="255"/>
      <c r="IK269" s="255"/>
      <c r="IL269" s="255"/>
      <c r="IM269" s="255"/>
      <c r="IN269" s="255"/>
      <c r="IO269" s="255"/>
      <c r="IP269" s="255"/>
      <c r="IQ269" s="255"/>
      <c r="IR269" s="255"/>
      <c r="IS269" s="255"/>
      <c r="IT269" s="255"/>
      <c r="IU269" s="255"/>
      <c r="IV269" s="255"/>
      <c r="IW269" s="255"/>
      <c r="IX269" s="255"/>
      <c r="IY269" s="255"/>
      <c r="IZ269" s="255"/>
      <c r="JA269" s="255"/>
      <c r="JB269" s="255"/>
      <c r="JC269" s="255"/>
      <c r="JD269" s="255"/>
      <c r="JE269" s="255"/>
      <c r="JF269" s="255"/>
      <c r="JG269" s="191"/>
      <c r="JH269" s="255"/>
      <c r="JI269" s="255"/>
      <c r="JJ269" s="255"/>
      <c r="JK269" s="255"/>
      <c r="JL269" s="255"/>
      <c r="JM269" s="255"/>
      <c r="JN269" s="255"/>
      <c r="JO269" s="255"/>
      <c r="JP269" s="255"/>
      <c r="JQ269" s="255"/>
      <c r="JR269" s="255"/>
      <c r="JS269" s="255"/>
      <c r="JT269" s="255"/>
      <c r="JU269" s="255"/>
      <c r="JV269" s="255"/>
      <c r="JW269" s="255"/>
      <c r="JX269" s="255"/>
      <c r="JY269" s="255"/>
      <c r="JZ269" s="255"/>
      <c r="KA269" s="255"/>
      <c r="KB269" s="191"/>
    </row>
    <row r="270" spans="2:288" ht="15" customHeight="1" x14ac:dyDescent="0.35">
      <c r="B270" s="146" t="str">
        <f t="shared" si="22"/>
        <v>Desk 54</v>
      </c>
      <c r="C270" s="148" t="str">
        <v/>
      </c>
      <c r="D270" s="148" t="str">
        <v/>
      </c>
      <c r="E270" s="148" t="str">
        <v/>
      </c>
      <c r="F270" s="148" t="str">
        <v/>
      </c>
      <c r="G270" s="268" t="str">
        <v/>
      </c>
      <c r="H270" s="255"/>
      <c r="I270" s="255"/>
      <c r="J270" s="255"/>
      <c r="K270" s="255"/>
      <c r="L270" s="255"/>
      <c r="M270" s="255"/>
      <c r="N270" s="255"/>
      <c r="O270" s="255"/>
      <c r="P270" s="255"/>
      <c r="Q270" s="255"/>
      <c r="R270" s="255"/>
      <c r="S270" s="255"/>
      <c r="T270" s="255"/>
      <c r="U270" s="255"/>
      <c r="V270" s="255"/>
      <c r="W270" s="255"/>
      <c r="X270" s="255"/>
      <c r="Y270" s="255"/>
      <c r="Z270" s="255"/>
      <c r="AA270" s="255"/>
      <c r="AB270" s="255"/>
      <c r="AC270" s="255"/>
      <c r="AD270" s="255"/>
      <c r="AE270" s="255"/>
      <c r="AF270" s="255"/>
      <c r="AG270" s="255"/>
      <c r="AH270" s="255"/>
      <c r="AI270" s="255"/>
      <c r="AJ270" s="255"/>
      <c r="AK270" s="255"/>
      <c r="AL270" s="255"/>
      <c r="AM270" s="255"/>
      <c r="AN270" s="255"/>
      <c r="AO270" s="255"/>
      <c r="AP270" s="255"/>
      <c r="AQ270" s="255"/>
      <c r="AR270" s="255"/>
      <c r="AS270" s="255"/>
      <c r="AT270" s="255"/>
      <c r="AU270" s="255"/>
      <c r="AV270" s="255"/>
      <c r="AW270" s="255"/>
      <c r="AX270" s="255"/>
      <c r="AY270" s="255"/>
      <c r="AZ270" s="255"/>
      <c r="BA270" s="255"/>
      <c r="BB270" s="255"/>
      <c r="BC270" s="255"/>
      <c r="BD270" s="255"/>
      <c r="BE270" s="255"/>
      <c r="BF270" s="255"/>
      <c r="BG270" s="255"/>
      <c r="BH270" s="255"/>
      <c r="BI270" s="255"/>
      <c r="BJ270" s="255"/>
      <c r="BK270" s="255"/>
      <c r="BL270" s="255"/>
      <c r="BM270" s="255"/>
      <c r="BN270" s="255"/>
      <c r="BO270" s="255"/>
      <c r="BP270" s="255"/>
      <c r="BQ270" s="255"/>
      <c r="BR270" s="255"/>
      <c r="BS270" s="255"/>
      <c r="BT270" s="255"/>
      <c r="BU270" s="255"/>
      <c r="BV270" s="255"/>
      <c r="BW270" s="255"/>
      <c r="BX270" s="255"/>
      <c r="BY270" s="255"/>
      <c r="BZ270" s="255"/>
      <c r="CA270" s="255"/>
      <c r="CB270" s="255"/>
      <c r="CC270" s="255"/>
      <c r="CD270" s="255"/>
      <c r="CE270" s="255"/>
      <c r="CF270" s="255"/>
      <c r="CG270" s="255"/>
      <c r="CH270" s="255"/>
      <c r="CI270" s="255"/>
      <c r="CJ270" s="255"/>
      <c r="CK270" s="255"/>
      <c r="CL270" s="255"/>
      <c r="CM270" s="255"/>
      <c r="CN270" s="255"/>
      <c r="CO270" s="255"/>
      <c r="CP270" s="255"/>
      <c r="CQ270" s="255"/>
      <c r="CR270" s="255"/>
      <c r="CS270" s="255"/>
      <c r="CT270" s="255"/>
      <c r="CU270" s="255"/>
      <c r="CV270" s="255"/>
      <c r="CW270" s="255"/>
      <c r="CX270" s="255"/>
      <c r="CY270" s="255"/>
      <c r="CZ270" s="255"/>
      <c r="DA270" s="255"/>
      <c r="DB270" s="255"/>
      <c r="DC270" s="255"/>
      <c r="DD270" s="255"/>
      <c r="DE270" s="255"/>
      <c r="DF270" s="255"/>
      <c r="DG270" s="255"/>
      <c r="DH270" s="255"/>
      <c r="DI270" s="255"/>
      <c r="DJ270" s="255"/>
      <c r="DK270" s="255"/>
      <c r="DL270" s="255"/>
      <c r="DM270" s="255"/>
      <c r="DN270" s="255"/>
      <c r="DO270" s="255"/>
      <c r="DP270" s="255"/>
      <c r="DQ270" s="255"/>
      <c r="DR270" s="255"/>
      <c r="DS270" s="255"/>
      <c r="DT270" s="255"/>
      <c r="DU270" s="255"/>
      <c r="DV270" s="255"/>
      <c r="DW270" s="191"/>
      <c r="DX270" s="255"/>
      <c r="DY270" s="255"/>
      <c r="DZ270" s="255"/>
      <c r="EA270" s="255"/>
      <c r="EB270" s="255"/>
      <c r="EC270" s="255"/>
      <c r="ED270" s="255"/>
      <c r="EE270" s="255"/>
      <c r="EF270" s="255"/>
      <c r="EG270" s="255"/>
      <c r="EH270" s="255"/>
      <c r="EI270" s="255"/>
      <c r="EJ270" s="255"/>
      <c r="EK270" s="255"/>
      <c r="EL270" s="255"/>
      <c r="EM270" s="255"/>
      <c r="EN270" s="255"/>
      <c r="EO270" s="255"/>
      <c r="EP270" s="255"/>
      <c r="EQ270" s="255"/>
      <c r="ER270" s="191"/>
      <c r="ES270" s="255"/>
      <c r="ET270" s="255"/>
      <c r="EU270" s="255"/>
      <c r="EV270" s="255"/>
      <c r="EW270" s="255"/>
      <c r="EX270" s="255"/>
      <c r="EY270" s="255"/>
      <c r="EZ270" s="255"/>
      <c r="FA270" s="255"/>
      <c r="FB270" s="255"/>
      <c r="FC270" s="255"/>
      <c r="FD270" s="255"/>
      <c r="FE270" s="255"/>
      <c r="FF270" s="255"/>
      <c r="FG270" s="255"/>
      <c r="FH270" s="255"/>
      <c r="FI270" s="255"/>
      <c r="FJ270" s="255"/>
      <c r="FK270" s="255"/>
      <c r="FL270" s="255"/>
      <c r="FM270" s="255"/>
      <c r="FN270" s="255"/>
      <c r="FO270" s="255"/>
      <c r="FP270" s="255"/>
      <c r="FQ270" s="255"/>
      <c r="FR270" s="255"/>
      <c r="FS270" s="255"/>
      <c r="FT270" s="255"/>
      <c r="FU270" s="255"/>
      <c r="FV270" s="255"/>
      <c r="FW270" s="255"/>
      <c r="FX270" s="255"/>
      <c r="FY270" s="255"/>
      <c r="FZ270" s="255"/>
      <c r="GA270" s="255"/>
      <c r="GB270" s="255"/>
      <c r="GC270" s="255"/>
      <c r="GD270" s="255"/>
      <c r="GE270" s="255"/>
      <c r="GF270" s="255"/>
      <c r="GG270" s="255"/>
      <c r="GH270" s="255"/>
      <c r="GI270" s="255"/>
      <c r="GJ270" s="255"/>
      <c r="GK270" s="255"/>
      <c r="GL270" s="255"/>
      <c r="GM270" s="255"/>
      <c r="GN270" s="255"/>
      <c r="GO270" s="255"/>
      <c r="GP270" s="255"/>
      <c r="GQ270" s="255"/>
      <c r="GR270" s="255"/>
      <c r="GS270" s="255"/>
      <c r="GT270" s="255"/>
      <c r="GU270" s="255"/>
      <c r="GV270" s="255"/>
      <c r="GW270" s="255"/>
      <c r="GX270" s="255"/>
      <c r="GY270" s="255"/>
      <c r="GZ270" s="255"/>
      <c r="HA270" s="255"/>
      <c r="HB270" s="255"/>
      <c r="HC270" s="255"/>
      <c r="HD270" s="255"/>
      <c r="HE270" s="255"/>
      <c r="HF270" s="255"/>
      <c r="HG270" s="255"/>
      <c r="HH270" s="255"/>
      <c r="HI270" s="255"/>
      <c r="HJ270" s="255"/>
      <c r="HK270" s="255"/>
      <c r="HL270" s="255"/>
      <c r="HM270" s="255"/>
      <c r="HN270" s="255"/>
      <c r="HO270" s="255"/>
      <c r="HP270" s="255"/>
      <c r="HQ270" s="255"/>
      <c r="HR270" s="255"/>
      <c r="HS270" s="255"/>
      <c r="HT270" s="255"/>
      <c r="HU270" s="255"/>
      <c r="HV270" s="255"/>
      <c r="HW270" s="255"/>
      <c r="HX270" s="255"/>
      <c r="HY270" s="255"/>
      <c r="HZ270" s="255"/>
      <c r="IA270" s="255"/>
      <c r="IB270" s="255"/>
      <c r="IC270" s="255"/>
      <c r="ID270" s="255"/>
      <c r="IE270" s="255"/>
      <c r="IF270" s="255"/>
      <c r="IG270" s="255"/>
      <c r="IH270" s="255"/>
      <c r="II270" s="255"/>
      <c r="IJ270" s="255"/>
      <c r="IK270" s="255"/>
      <c r="IL270" s="255"/>
      <c r="IM270" s="255"/>
      <c r="IN270" s="255"/>
      <c r="IO270" s="255"/>
      <c r="IP270" s="255"/>
      <c r="IQ270" s="255"/>
      <c r="IR270" s="255"/>
      <c r="IS270" s="255"/>
      <c r="IT270" s="255"/>
      <c r="IU270" s="255"/>
      <c r="IV270" s="255"/>
      <c r="IW270" s="255"/>
      <c r="IX270" s="255"/>
      <c r="IY270" s="255"/>
      <c r="IZ270" s="255"/>
      <c r="JA270" s="255"/>
      <c r="JB270" s="255"/>
      <c r="JC270" s="255"/>
      <c r="JD270" s="255"/>
      <c r="JE270" s="255"/>
      <c r="JF270" s="255"/>
      <c r="JG270" s="191"/>
      <c r="JH270" s="255"/>
      <c r="JI270" s="255"/>
      <c r="JJ270" s="255"/>
      <c r="JK270" s="255"/>
      <c r="JL270" s="255"/>
      <c r="JM270" s="255"/>
      <c r="JN270" s="255"/>
      <c r="JO270" s="255"/>
      <c r="JP270" s="255"/>
      <c r="JQ270" s="255"/>
      <c r="JR270" s="255"/>
      <c r="JS270" s="255"/>
      <c r="JT270" s="255"/>
      <c r="JU270" s="255"/>
      <c r="JV270" s="255"/>
      <c r="JW270" s="255"/>
      <c r="JX270" s="255"/>
      <c r="JY270" s="255"/>
      <c r="JZ270" s="255"/>
      <c r="KA270" s="255"/>
      <c r="KB270" s="191"/>
    </row>
    <row r="271" spans="2:288" ht="15" customHeight="1" x14ac:dyDescent="0.35">
      <c r="B271" s="146" t="str">
        <f t="shared" si="22"/>
        <v>Desk 55</v>
      </c>
      <c r="C271" s="148" t="str">
        <v/>
      </c>
      <c r="D271" s="148" t="str">
        <v/>
      </c>
      <c r="E271" s="148" t="str">
        <v/>
      </c>
      <c r="F271" s="148" t="str">
        <v/>
      </c>
      <c r="G271" s="268" t="str">
        <v/>
      </c>
      <c r="H271" s="255"/>
      <c r="I271" s="255"/>
      <c r="J271" s="255"/>
      <c r="K271" s="255"/>
      <c r="L271" s="255"/>
      <c r="M271" s="255"/>
      <c r="N271" s="255"/>
      <c r="O271" s="255"/>
      <c r="P271" s="255"/>
      <c r="Q271" s="255"/>
      <c r="R271" s="255"/>
      <c r="S271" s="255"/>
      <c r="T271" s="255"/>
      <c r="U271" s="255"/>
      <c r="V271" s="255"/>
      <c r="W271" s="255"/>
      <c r="X271" s="255"/>
      <c r="Y271" s="255"/>
      <c r="Z271" s="255"/>
      <c r="AA271" s="255"/>
      <c r="AB271" s="255"/>
      <c r="AC271" s="255"/>
      <c r="AD271" s="255"/>
      <c r="AE271" s="255"/>
      <c r="AF271" s="255"/>
      <c r="AG271" s="255"/>
      <c r="AH271" s="255"/>
      <c r="AI271" s="255"/>
      <c r="AJ271" s="255"/>
      <c r="AK271" s="255"/>
      <c r="AL271" s="255"/>
      <c r="AM271" s="255"/>
      <c r="AN271" s="255"/>
      <c r="AO271" s="255"/>
      <c r="AP271" s="255"/>
      <c r="AQ271" s="255"/>
      <c r="AR271" s="255"/>
      <c r="AS271" s="255"/>
      <c r="AT271" s="255"/>
      <c r="AU271" s="255"/>
      <c r="AV271" s="255"/>
      <c r="AW271" s="255"/>
      <c r="AX271" s="255"/>
      <c r="AY271" s="255"/>
      <c r="AZ271" s="255"/>
      <c r="BA271" s="255"/>
      <c r="BB271" s="255"/>
      <c r="BC271" s="255"/>
      <c r="BD271" s="255"/>
      <c r="BE271" s="255"/>
      <c r="BF271" s="255"/>
      <c r="BG271" s="255"/>
      <c r="BH271" s="255"/>
      <c r="BI271" s="255"/>
      <c r="BJ271" s="255"/>
      <c r="BK271" s="255"/>
      <c r="BL271" s="255"/>
      <c r="BM271" s="255"/>
      <c r="BN271" s="255"/>
      <c r="BO271" s="255"/>
      <c r="BP271" s="255"/>
      <c r="BQ271" s="255"/>
      <c r="BR271" s="255"/>
      <c r="BS271" s="255"/>
      <c r="BT271" s="255"/>
      <c r="BU271" s="255"/>
      <c r="BV271" s="255"/>
      <c r="BW271" s="255"/>
      <c r="BX271" s="255"/>
      <c r="BY271" s="255"/>
      <c r="BZ271" s="255"/>
      <c r="CA271" s="255"/>
      <c r="CB271" s="255"/>
      <c r="CC271" s="255"/>
      <c r="CD271" s="255"/>
      <c r="CE271" s="255"/>
      <c r="CF271" s="255"/>
      <c r="CG271" s="255"/>
      <c r="CH271" s="255"/>
      <c r="CI271" s="255"/>
      <c r="CJ271" s="255"/>
      <c r="CK271" s="255"/>
      <c r="CL271" s="255"/>
      <c r="CM271" s="255"/>
      <c r="CN271" s="255"/>
      <c r="CO271" s="255"/>
      <c r="CP271" s="255"/>
      <c r="CQ271" s="255"/>
      <c r="CR271" s="255"/>
      <c r="CS271" s="255"/>
      <c r="CT271" s="255"/>
      <c r="CU271" s="255"/>
      <c r="CV271" s="255"/>
      <c r="CW271" s="255"/>
      <c r="CX271" s="255"/>
      <c r="CY271" s="255"/>
      <c r="CZ271" s="255"/>
      <c r="DA271" s="255"/>
      <c r="DB271" s="255"/>
      <c r="DC271" s="255"/>
      <c r="DD271" s="255"/>
      <c r="DE271" s="255"/>
      <c r="DF271" s="255"/>
      <c r="DG271" s="255"/>
      <c r="DH271" s="255"/>
      <c r="DI271" s="255"/>
      <c r="DJ271" s="255"/>
      <c r="DK271" s="255"/>
      <c r="DL271" s="255"/>
      <c r="DM271" s="255"/>
      <c r="DN271" s="255"/>
      <c r="DO271" s="255"/>
      <c r="DP271" s="255"/>
      <c r="DQ271" s="255"/>
      <c r="DR271" s="255"/>
      <c r="DS271" s="255"/>
      <c r="DT271" s="255"/>
      <c r="DU271" s="255"/>
      <c r="DV271" s="255"/>
      <c r="DW271" s="191"/>
      <c r="DX271" s="255"/>
      <c r="DY271" s="255"/>
      <c r="DZ271" s="255"/>
      <c r="EA271" s="255"/>
      <c r="EB271" s="255"/>
      <c r="EC271" s="255"/>
      <c r="ED271" s="255"/>
      <c r="EE271" s="255"/>
      <c r="EF271" s="255"/>
      <c r="EG271" s="255"/>
      <c r="EH271" s="255"/>
      <c r="EI271" s="255"/>
      <c r="EJ271" s="255"/>
      <c r="EK271" s="255"/>
      <c r="EL271" s="255"/>
      <c r="EM271" s="255"/>
      <c r="EN271" s="255"/>
      <c r="EO271" s="255"/>
      <c r="EP271" s="255"/>
      <c r="EQ271" s="255"/>
      <c r="ER271" s="191"/>
      <c r="ES271" s="255"/>
      <c r="ET271" s="255"/>
      <c r="EU271" s="255"/>
      <c r="EV271" s="255"/>
      <c r="EW271" s="255"/>
      <c r="EX271" s="255"/>
      <c r="EY271" s="255"/>
      <c r="EZ271" s="255"/>
      <c r="FA271" s="255"/>
      <c r="FB271" s="255"/>
      <c r="FC271" s="255"/>
      <c r="FD271" s="255"/>
      <c r="FE271" s="255"/>
      <c r="FF271" s="255"/>
      <c r="FG271" s="255"/>
      <c r="FH271" s="255"/>
      <c r="FI271" s="255"/>
      <c r="FJ271" s="255"/>
      <c r="FK271" s="255"/>
      <c r="FL271" s="255"/>
      <c r="FM271" s="255"/>
      <c r="FN271" s="255"/>
      <c r="FO271" s="255"/>
      <c r="FP271" s="255"/>
      <c r="FQ271" s="255"/>
      <c r="FR271" s="255"/>
      <c r="FS271" s="255"/>
      <c r="FT271" s="255"/>
      <c r="FU271" s="255"/>
      <c r="FV271" s="255"/>
      <c r="FW271" s="255"/>
      <c r="FX271" s="255"/>
      <c r="FY271" s="255"/>
      <c r="FZ271" s="255"/>
      <c r="GA271" s="255"/>
      <c r="GB271" s="255"/>
      <c r="GC271" s="255"/>
      <c r="GD271" s="255"/>
      <c r="GE271" s="255"/>
      <c r="GF271" s="255"/>
      <c r="GG271" s="255"/>
      <c r="GH271" s="255"/>
      <c r="GI271" s="255"/>
      <c r="GJ271" s="255"/>
      <c r="GK271" s="255"/>
      <c r="GL271" s="255"/>
      <c r="GM271" s="255"/>
      <c r="GN271" s="255"/>
      <c r="GO271" s="255"/>
      <c r="GP271" s="255"/>
      <c r="GQ271" s="255"/>
      <c r="GR271" s="255"/>
      <c r="GS271" s="255"/>
      <c r="GT271" s="255"/>
      <c r="GU271" s="255"/>
      <c r="GV271" s="255"/>
      <c r="GW271" s="255"/>
      <c r="GX271" s="255"/>
      <c r="GY271" s="255"/>
      <c r="GZ271" s="255"/>
      <c r="HA271" s="255"/>
      <c r="HB271" s="255"/>
      <c r="HC271" s="255"/>
      <c r="HD271" s="255"/>
      <c r="HE271" s="255"/>
      <c r="HF271" s="255"/>
      <c r="HG271" s="255"/>
      <c r="HH271" s="255"/>
      <c r="HI271" s="255"/>
      <c r="HJ271" s="255"/>
      <c r="HK271" s="255"/>
      <c r="HL271" s="255"/>
      <c r="HM271" s="255"/>
      <c r="HN271" s="255"/>
      <c r="HO271" s="255"/>
      <c r="HP271" s="255"/>
      <c r="HQ271" s="255"/>
      <c r="HR271" s="255"/>
      <c r="HS271" s="255"/>
      <c r="HT271" s="255"/>
      <c r="HU271" s="255"/>
      <c r="HV271" s="255"/>
      <c r="HW271" s="255"/>
      <c r="HX271" s="255"/>
      <c r="HY271" s="255"/>
      <c r="HZ271" s="255"/>
      <c r="IA271" s="255"/>
      <c r="IB271" s="255"/>
      <c r="IC271" s="255"/>
      <c r="ID271" s="255"/>
      <c r="IE271" s="255"/>
      <c r="IF271" s="255"/>
      <c r="IG271" s="255"/>
      <c r="IH271" s="255"/>
      <c r="II271" s="255"/>
      <c r="IJ271" s="255"/>
      <c r="IK271" s="255"/>
      <c r="IL271" s="255"/>
      <c r="IM271" s="255"/>
      <c r="IN271" s="255"/>
      <c r="IO271" s="255"/>
      <c r="IP271" s="255"/>
      <c r="IQ271" s="255"/>
      <c r="IR271" s="255"/>
      <c r="IS271" s="255"/>
      <c r="IT271" s="255"/>
      <c r="IU271" s="255"/>
      <c r="IV271" s="255"/>
      <c r="IW271" s="255"/>
      <c r="IX271" s="255"/>
      <c r="IY271" s="255"/>
      <c r="IZ271" s="255"/>
      <c r="JA271" s="255"/>
      <c r="JB271" s="255"/>
      <c r="JC271" s="255"/>
      <c r="JD271" s="255"/>
      <c r="JE271" s="255"/>
      <c r="JF271" s="255"/>
      <c r="JG271" s="191"/>
      <c r="JH271" s="255"/>
      <c r="JI271" s="255"/>
      <c r="JJ271" s="255"/>
      <c r="JK271" s="255"/>
      <c r="JL271" s="255"/>
      <c r="JM271" s="255"/>
      <c r="JN271" s="255"/>
      <c r="JO271" s="255"/>
      <c r="JP271" s="255"/>
      <c r="JQ271" s="255"/>
      <c r="JR271" s="255"/>
      <c r="JS271" s="255"/>
      <c r="JT271" s="255"/>
      <c r="JU271" s="255"/>
      <c r="JV271" s="255"/>
      <c r="JW271" s="255"/>
      <c r="JX271" s="255"/>
      <c r="JY271" s="255"/>
      <c r="JZ271" s="255"/>
      <c r="KA271" s="255"/>
      <c r="KB271" s="191"/>
    </row>
    <row r="272" spans="2:288" ht="15" customHeight="1" x14ac:dyDescent="0.35">
      <c r="B272" s="146" t="str">
        <f t="shared" si="22"/>
        <v>Desk 56</v>
      </c>
      <c r="C272" s="148" t="str">
        <v/>
      </c>
      <c r="D272" s="148" t="str">
        <v/>
      </c>
      <c r="E272" s="148" t="str">
        <v/>
      </c>
      <c r="F272" s="148" t="str">
        <v/>
      </c>
      <c r="G272" s="268" t="str">
        <v/>
      </c>
      <c r="H272" s="255"/>
      <c r="I272" s="255"/>
      <c r="J272" s="255"/>
      <c r="K272" s="255"/>
      <c r="L272" s="255"/>
      <c r="M272" s="255"/>
      <c r="N272" s="255"/>
      <c r="O272" s="255"/>
      <c r="P272" s="255"/>
      <c r="Q272" s="255"/>
      <c r="R272" s="255"/>
      <c r="S272" s="255"/>
      <c r="T272" s="255"/>
      <c r="U272" s="255"/>
      <c r="V272" s="255"/>
      <c r="W272" s="255"/>
      <c r="X272" s="255"/>
      <c r="Y272" s="255"/>
      <c r="Z272" s="255"/>
      <c r="AA272" s="255"/>
      <c r="AB272" s="255"/>
      <c r="AC272" s="255"/>
      <c r="AD272" s="255"/>
      <c r="AE272" s="255"/>
      <c r="AF272" s="255"/>
      <c r="AG272" s="255"/>
      <c r="AH272" s="255"/>
      <c r="AI272" s="255"/>
      <c r="AJ272" s="255"/>
      <c r="AK272" s="255"/>
      <c r="AL272" s="255"/>
      <c r="AM272" s="255"/>
      <c r="AN272" s="255"/>
      <c r="AO272" s="255"/>
      <c r="AP272" s="255"/>
      <c r="AQ272" s="255"/>
      <c r="AR272" s="255"/>
      <c r="AS272" s="255"/>
      <c r="AT272" s="255"/>
      <c r="AU272" s="255"/>
      <c r="AV272" s="255"/>
      <c r="AW272" s="255"/>
      <c r="AX272" s="255"/>
      <c r="AY272" s="255"/>
      <c r="AZ272" s="255"/>
      <c r="BA272" s="255"/>
      <c r="BB272" s="255"/>
      <c r="BC272" s="255"/>
      <c r="BD272" s="255"/>
      <c r="BE272" s="255"/>
      <c r="BF272" s="255"/>
      <c r="BG272" s="255"/>
      <c r="BH272" s="255"/>
      <c r="BI272" s="255"/>
      <c r="BJ272" s="255"/>
      <c r="BK272" s="255"/>
      <c r="BL272" s="255"/>
      <c r="BM272" s="255"/>
      <c r="BN272" s="255"/>
      <c r="BO272" s="255"/>
      <c r="BP272" s="255"/>
      <c r="BQ272" s="255"/>
      <c r="BR272" s="255"/>
      <c r="BS272" s="255"/>
      <c r="BT272" s="255"/>
      <c r="BU272" s="255"/>
      <c r="BV272" s="255"/>
      <c r="BW272" s="255"/>
      <c r="BX272" s="255"/>
      <c r="BY272" s="255"/>
      <c r="BZ272" s="255"/>
      <c r="CA272" s="255"/>
      <c r="CB272" s="255"/>
      <c r="CC272" s="255"/>
      <c r="CD272" s="255"/>
      <c r="CE272" s="255"/>
      <c r="CF272" s="255"/>
      <c r="CG272" s="255"/>
      <c r="CH272" s="255"/>
      <c r="CI272" s="255"/>
      <c r="CJ272" s="255"/>
      <c r="CK272" s="255"/>
      <c r="CL272" s="255"/>
      <c r="CM272" s="255"/>
      <c r="CN272" s="255"/>
      <c r="CO272" s="255"/>
      <c r="CP272" s="255"/>
      <c r="CQ272" s="255"/>
      <c r="CR272" s="255"/>
      <c r="CS272" s="255"/>
      <c r="CT272" s="255"/>
      <c r="CU272" s="255"/>
      <c r="CV272" s="255"/>
      <c r="CW272" s="255"/>
      <c r="CX272" s="255"/>
      <c r="CY272" s="255"/>
      <c r="CZ272" s="255"/>
      <c r="DA272" s="255"/>
      <c r="DB272" s="255"/>
      <c r="DC272" s="255"/>
      <c r="DD272" s="255"/>
      <c r="DE272" s="255"/>
      <c r="DF272" s="255"/>
      <c r="DG272" s="255"/>
      <c r="DH272" s="255"/>
      <c r="DI272" s="255"/>
      <c r="DJ272" s="255"/>
      <c r="DK272" s="255"/>
      <c r="DL272" s="255"/>
      <c r="DM272" s="255"/>
      <c r="DN272" s="255"/>
      <c r="DO272" s="255"/>
      <c r="DP272" s="255"/>
      <c r="DQ272" s="255"/>
      <c r="DR272" s="255"/>
      <c r="DS272" s="255"/>
      <c r="DT272" s="255"/>
      <c r="DU272" s="255"/>
      <c r="DV272" s="255"/>
      <c r="DW272" s="191"/>
      <c r="DX272" s="255"/>
      <c r="DY272" s="255"/>
      <c r="DZ272" s="255"/>
      <c r="EA272" s="255"/>
      <c r="EB272" s="255"/>
      <c r="EC272" s="255"/>
      <c r="ED272" s="255"/>
      <c r="EE272" s="255"/>
      <c r="EF272" s="255"/>
      <c r="EG272" s="255"/>
      <c r="EH272" s="255"/>
      <c r="EI272" s="255"/>
      <c r="EJ272" s="255"/>
      <c r="EK272" s="255"/>
      <c r="EL272" s="255"/>
      <c r="EM272" s="255"/>
      <c r="EN272" s="255"/>
      <c r="EO272" s="255"/>
      <c r="EP272" s="255"/>
      <c r="EQ272" s="255"/>
      <c r="ER272" s="191"/>
      <c r="ES272" s="255"/>
      <c r="ET272" s="255"/>
      <c r="EU272" s="255"/>
      <c r="EV272" s="255"/>
      <c r="EW272" s="255"/>
      <c r="EX272" s="255"/>
      <c r="EY272" s="255"/>
      <c r="EZ272" s="255"/>
      <c r="FA272" s="255"/>
      <c r="FB272" s="255"/>
      <c r="FC272" s="255"/>
      <c r="FD272" s="255"/>
      <c r="FE272" s="255"/>
      <c r="FF272" s="255"/>
      <c r="FG272" s="255"/>
      <c r="FH272" s="255"/>
      <c r="FI272" s="255"/>
      <c r="FJ272" s="255"/>
      <c r="FK272" s="255"/>
      <c r="FL272" s="255"/>
      <c r="FM272" s="255"/>
      <c r="FN272" s="255"/>
      <c r="FO272" s="255"/>
      <c r="FP272" s="255"/>
      <c r="FQ272" s="255"/>
      <c r="FR272" s="255"/>
      <c r="FS272" s="255"/>
      <c r="FT272" s="255"/>
      <c r="FU272" s="255"/>
      <c r="FV272" s="255"/>
      <c r="FW272" s="255"/>
      <c r="FX272" s="255"/>
      <c r="FY272" s="255"/>
      <c r="FZ272" s="255"/>
      <c r="GA272" s="255"/>
      <c r="GB272" s="255"/>
      <c r="GC272" s="255"/>
      <c r="GD272" s="255"/>
      <c r="GE272" s="255"/>
      <c r="GF272" s="255"/>
      <c r="GG272" s="255"/>
      <c r="GH272" s="255"/>
      <c r="GI272" s="255"/>
      <c r="GJ272" s="255"/>
      <c r="GK272" s="255"/>
      <c r="GL272" s="255"/>
      <c r="GM272" s="255"/>
      <c r="GN272" s="255"/>
      <c r="GO272" s="255"/>
      <c r="GP272" s="255"/>
      <c r="GQ272" s="255"/>
      <c r="GR272" s="255"/>
      <c r="GS272" s="255"/>
      <c r="GT272" s="255"/>
      <c r="GU272" s="255"/>
      <c r="GV272" s="255"/>
      <c r="GW272" s="255"/>
      <c r="GX272" s="255"/>
      <c r="GY272" s="255"/>
      <c r="GZ272" s="255"/>
      <c r="HA272" s="255"/>
      <c r="HB272" s="255"/>
      <c r="HC272" s="255"/>
      <c r="HD272" s="255"/>
      <c r="HE272" s="255"/>
      <c r="HF272" s="255"/>
      <c r="HG272" s="255"/>
      <c r="HH272" s="255"/>
      <c r="HI272" s="255"/>
      <c r="HJ272" s="255"/>
      <c r="HK272" s="255"/>
      <c r="HL272" s="255"/>
      <c r="HM272" s="255"/>
      <c r="HN272" s="255"/>
      <c r="HO272" s="255"/>
      <c r="HP272" s="255"/>
      <c r="HQ272" s="255"/>
      <c r="HR272" s="255"/>
      <c r="HS272" s="255"/>
      <c r="HT272" s="255"/>
      <c r="HU272" s="255"/>
      <c r="HV272" s="255"/>
      <c r="HW272" s="255"/>
      <c r="HX272" s="255"/>
      <c r="HY272" s="255"/>
      <c r="HZ272" s="255"/>
      <c r="IA272" s="255"/>
      <c r="IB272" s="255"/>
      <c r="IC272" s="255"/>
      <c r="ID272" s="255"/>
      <c r="IE272" s="255"/>
      <c r="IF272" s="255"/>
      <c r="IG272" s="255"/>
      <c r="IH272" s="255"/>
      <c r="II272" s="255"/>
      <c r="IJ272" s="255"/>
      <c r="IK272" s="255"/>
      <c r="IL272" s="255"/>
      <c r="IM272" s="255"/>
      <c r="IN272" s="255"/>
      <c r="IO272" s="255"/>
      <c r="IP272" s="255"/>
      <c r="IQ272" s="255"/>
      <c r="IR272" s="255"/>
      <c r="IS272" s="255"/>
      <c r="IT272" s="255"/>
      <c r="IU272" s="255"/>
      <c r="IV272" s="255"/>
      <c r="IW272" s="255"/>
      <c r="IX272" s="255"/>
      <c r="IY272" s="255"/>
      <c r="IZ272" s="255"/>
      <c r="JA272" s="255"/>
      <c r="JB272" s="255"/>
      <c r="JC272" s="255"/>
      <c r="JD272" s="255"/>
      <c r="JE272" s="255"/>
      <c r="JF272" s="255"/>
      <c r="JG272" s="191"/>
      <c r="JH272" s="255"/>
      <c r="JI272" s="255"/>
      <c r="JJ272" s="255"/>
      <c r="JK272" s="255"/>
      <c r="JL272" s="255"/>
      <c r="JM272" s="255"/>
      <c r="JN272" s="255"/>
      <c r="JO272" s="255"/>
      <c r="JP272" s="255"/>
      <c r="JQ272" s="255"/>
      <c r="JR272" s="255"/>
      <c r="JS272" s="255"/>
      <c r="JT272" s="255"/>
      <c r="JU272" s="255"/>
      <c r="JV272" s="255"/>
      <c r="JW272" s="255"/>
      <c r="JX272" s="255"/>
      <c r="JY272" s="255"/>
      <c r="JZ272" s="255"/>
      <c r="KA272" s="255"/>
      <c r="KB272" s="191"/>
    </row>
    <row r="273" spans="2:288" ht="15" customHeight="1" x14ac:dyDescent="0.35">
      <c r="B273" s="146" t="str">
        <f t="shared" si="22"/>
        <v>Desk 57</v>
      </c>
      <c r="C273" s="148" t="str">
        <v/>
      </c>
      <c r="D273" s="148" t="str">
        <v/>
      </c>
      <c r="E273" s="148" t="str">
        <v/>
      </c>
      <c r="F273" s="148" t="str">
        <v/>
      </c>
      <c r="G273" s="268" t="str">
        <v/>
      </c>
      <c r="H273" s="255"/>
      <c r="I273" s="255"/>
      <c r="J273" s="255"/>
      <c r="K273" s="255"/>
      <c r="L273" s="255"/>
      <c r="M273" s="255"/>
      <c r="N273" s="255"/>
      <c r="O273" s="255"/>
      <c r="P273" s="255"/>
      <c r="Q273" s="255"/>
      <c r="R273" s="255"/>
      <c r="S273" s="255"/>
      <c r="T273" s="255"/>
      <c r="U273" s="255"/>
      <c r="V273" s="255"/>
      <c r="W273" s="255"/>
      <c r="X273" s="255"/>
      <c r="Y273" s="255"/>
      <c r="Z273" s="255"/>
      <c r="AA273" s="255"/>
      <c r="AB273" s="255"/>
      <c r="AC273" s="255"/>
      <c r="AD273" s="255"/>
      <c r="AE273" s="255"/>
      <c r="AF273" s="255"/>
      <c r="AG273" s="255"/>
      <c r="AH273" s="255"/>
      <c r="AI273" s="255"/>
      <c r="AJ273" s="255"/>
      <c r="AK273" s="255"/>
      <c r="AL273" s="255"/>
      <c r="AM273" s="255"/>
      <c r="AN273" s="255"/>
      <c r="AO273" s="255"/>
      <c r="AP273" s="255"/>
      <c r="AQ273" s="255"/>
      <c r="AR273" s="255"/>
      <c r="AS273" s="255"/>
      <c r="AT273" s="255"/>
      <c r="AU273" s="255"/>
      <c r="AV273" s="255"/>
      <c r="AW273" s="255"/>
      <c r="AX273" s="255"/>
      <c r="AY273" s="255"/>
      <c r="AZ273" s="255"/>
      <c r="BA273" s="255"/>
      <c r="BB273" s="255"/>
      <c r="BC273" s="255"/>
      <c r="BD273" s="255"/>
      <c r="BE273" s="255"/>
      <c r="BF273" s="255"/>
      <c r="BG273" s="255"/>
      <c r="BH273" s="255"/>
      <c r="BI273" s="255"/>
      <c r="BJ273" s="255"/>
      <c r="BK273" s="255"/>
      <c r="BL273" s="255"/>
      <c r="BM273" s="255"/>
      <c r="BN273" s="255"/>
      <c r="BO273" s="255"/>
      <c r="BP273" s="255"/>
      <c r="BQ273" s="255"/>
      <c r="BR273" s="255"/>
      <c r="BS273" s="255"/>
      <c r="BT273" s="255"/>
      <c r="BU273" s="255"/>
      <c r="BV273" s="255"/>
      <c r="BW273" s="255"/>
      <c r="BX273" s="255"/>
      <c r="BY273" s="255"/>
      <c r="BZ273" s="255"/>
      <c r="CA273" s="255"/>
      <c r="CB273" s="255"/>
      <c r="CC273" s="255"/>
      <c r="CD273" s="255"/>
      <c r="CE273" s="255"/>
      <c r="CF273" s="255"/>
      <c r="CG273" s="255"/>
      <c r="CH273" s="255"/>
      <c r="CI273" s="255"/>
      <c r="CJ273" s="255"/>
      <c r="CK273" s="255"/>
      <c r="CL273" s="255"/>
      <c r="CM273" s="255"/>
      <c r="CN273" s="255"/>
      <c r="CO273" s="255"/>
      <c r="CP273" s="255"/>
      <c r="CQ273" s="255"/>
      <c r="CR273" s="255"/>
      <c r="CS273" s="255"/>
      <c r="CT273" s="255"/>
      <c r="CU273" s="255"/>
      <c r="CV273" s="255"/>
      <c r="CW273" s="255"/>
      <c r="CX273" s="255"/>
      <c r="CY273" s="255"/>
      <c r="CZ273" s="255"/>
      <c r="DA273" s="255"/>
      <c r="DB273" s="255"/>
      <c r="DC273" s="255"/>
      <c r="DD273" s="255"/>
      <c r="DE273" s="255"/>
      <c r="DF273" s="255"/>
      <c r="DG273" s="255"/>
      <c r="DH273" s="255"/>
      <c r="DI273" s="255"/>
      <c r="DJ273" s="255"/>
      <c r="DK273" s="255"/>
      <c r="DL273" s="255"/>
      <c r="DM273" s="255"/>
      <c r="DN273" s="255"/>
      <c r="DO273" s="255"/>
      <c r="DP273" s="255"/>
      <c r="DQ273" s="255"/>
      <c r="DR273" s="255"/>
      <c r="DS273" s="255"/>
      <c r="DT273" s="255"/>
      <c r="DU273" s="255"/>
      <c r="DV273" s="255"/>
      <c r="DW273" s="191"/>
      <c r="DX273" s="255"/>
      <c r="DY273" s="255"/>
      <c r="DZ273" s="255"/>
      <c r="EA273" s="255"/>
      <c r="EB273" s="255"/>
      <c r="EC273" s="255"/>
      <c r="ED273" s="255"/>
      <c r="EE273" s="255"/>
      <c r="EF273" s="255"/>
      <c r="EG273" s="255"/>
      <c r="EH273" s="255"/>
      <c r="EI273" s="255"/>
      <c r="EJ273" s="255"/>
      <c r="EK273" s="255"/>
      <c r="EL273" s="255"/>
      <c r="EM273" s="255"/>
      <c r="EN273" s="255"/>
      <c r="EO273" s="255"/>
      <c r="EP273" s="255"/>
      <c r="EQ273" s="255"/>
      <c r="ER273" s="191"/>
      <c r="ES273" s="255"/>
      <c r="ET273" s="255"/>
      <c r="EU273" s="255"/>
      <c r="EV273" s="255"/>
      <c r="EW273" s="255"/>
      <c r="EX273" s="255"/>
      <c r="EY273" s="255"/>
      <c r="EZ273" s="255"/>
      <c r="FA273" s="255"/>
      <c r="FB273" s="255"/>
      <c r="FC273" s="255"/>
      <c r="FD273" s="255"/>
      <c r="FE273" s="255"/>
      <c r="FF273" s="255"/>
      <c r="FG273" s="255"/>
      <c r="FH273" s="255"/>
      <c r="FI273" s="255"/>
      <c r="FJ273" s="255"/>
      <c r="FK273" s="255"/>
      <c r="FL273" s="255"/>
      <c r="FM273" s="255"/>
      <c r="FN273" s="255"/>
      <c r="FO273" s="255"/>
      <c r="FP273" s="255"/>
      <c r="FQ273" s="255"/>
      <c r="FR273" s="255"/>
      <c r="FS273" s="255"/>
      <c r="FT273" s="255"/>
      <c r="FU273" s="255"/>
      <c r="FV273" s="255"/>
      <c r="FW273" s="255"/>
      <c r="FX273" s="255"/>
      <c r="FY273" s="255"/>
      <c r="FZ273" s="255"/>
      <c r="GA273" s="255"/>
      <c r="GB273" s="255"/>
      <c r="GC273" s="255"/>
      <c r="GD273" s="255"/>
      <c r="GE273" s="255"/>
      <c r="GF273" s="255"/>
      <c r="GG273" s="255"/>
      <c r="GH273" s="255"/>
      <c r="GI273" s="255"/>
      <c r="GJ273" s="255"/>
      <c r="GK273" s="255"/>
      <c r="GL273" s="255"/>
      <c r="GM273" s="255"/>
      <c r="GN273" s="255"/>
      <c r="GO273" s="255"/>
      <c r="GP273" s="255"/>
      <c r="GQ273" s="255"/>
      <c r="GR273" s="255"/>
      <c r="GS273" s="255"/>
      <c r="GT273" s="255"/>
      <c r="GU273" s="255"/>
      <c r="GV273" s="255"/>
      <c r="GW273" s="255"/>
      <c r="GX273" s="255"/>
      <c r="GY273" s="255"/>
      <c r="GZ273" s="255"/>
      <c r="HA273" s="255"/>
      <c r="HB273" s="255"/>
      <c r="HC273" s="255"/>
      <c r="HD273" s="255"/>
      <c r="HE273" s="255"/>
      <c r="HF273" s="255"/>
      <c r="HG273" s="255"/>
      <c r="HH273" s="255"/>
      <c r="HI273" s="255"/>
      <c r="HJ273" s="255"/>
      <c r="HK273" s="255"/>
      <c r="HL273" s="255"/>
      <c r="HM273" s="255"/>
      <c r="HN273" s="255"/>
      <c r="HO273" s="255"/>
      <c r="HP273" s="255"/>
      <c r="HQ273" s="255"/>
      <c r="HR273" s="255"/>
      <c r="HS273" s="255"/>
      <c r="HT273" s="255"/>
      <c r="HU273" s="255"/>
      <c r="HV273" s="255"/>
      <c r="HW273" s="255"/>
      <c r="HX273" s="255"/>
      <c r="HY273" s="255"/>
      <c r="HZ273" s="255"/>
      <c r="IA273" s="255"/>
      <c r="IB273" s="255"/>
      <c r="IC273" s="255"/>
      <c r="ID273" s="255"/>
      <c r="IE273" s="255"/>
      <c r="IF273" s="255"/>
      <c r="IG273" s="255"/>
      <c r="IH273" s="255"/>
      <c r="II273" s="255"/>
      <c r="IJ273" s="255"/>
      <c r="IK273" s="255"/>
      <c r="IL273" s="255"/>
      <c r="IM273" s="255"/>
      <c r="IN273" s="255"/>
      <c r="IO273" s="255"/>
      <c r="IP273" s="255"/>
      <c r="IQ273" s="255"/>
      <c r="IR273" s="255"/>
      <c r="IS273" s="255"/>
      <c r="IT273" s="255"/>
      <c r="IU273" s="255"/>
      <c r="IV273" s="255"/>
      <c r="IW273" s="255"/>
      <c r="IX273" s="255"/>
      <c r="IY273" s="255"/>
      <c r="IZ273" s="255"/>
      <c r="JA273" s="255"/>
      <c r="JB273" s="255"/>
      <c r="JC273" s="255"/>
      <c r="JD273" s="255"/>
      <c r="JE273" s="255"/>
      <c r="JF273" s="255"/>
      <c r="JG273" s="191"/>
      <c r="JH273" s="255"/>
      <c r="JI273" s="255"/>
      <c r="JJ273" s="255"/>
      <c r="JK273" s="255"/>
      <c r="JL273" s="255"/>
      <c r="JM273" s="255"/>
      <c r="JN273" s="255"/>
      <c r="JO273" s="255"/>
      <c r="JP273" s="255"/>
      <c r="JQ273" s="255"/>
      <c r="JR273" s="255"/>
      <c r="JS273" s="255"/>
      <c r="JT273" s="255"/>
      <c r="JU273" s="255"/>
      <c r="JV273" s="255"/>
      <c r="JW273" s="255"/>
      <c r="JX273" s="255"/>
      <c r="JY273" s="255"/>
      <c r="JZ273" s="255"/>
      <c r="KA273" s="255"/>
      <c r="KB273" s="191"/>
    </row>
    <row r="274" spans="2:288" ht="15" customHeight="1" x14ac:dyDescent="0.35">
      <c r="B274" s="146" t="str">
        <f t="shared" si="22"/>
        <v>Desk 58</v>
      </c>
      <c r="C274" s="148" t="str">
        <v/>
      </c>
      <c r="D274" s="148" t="str">
        <v/>
      </c>
      <c r="E274" s="148" t="str">
        <v/>
      </c>
      <c r="F274" s="148" t="str">
        <v/>
      </c>
      <c r="G274" s="268" t="str">
        <v/>
      </c>
      <c r="H274" s="255"/>
      <c r="I274" s="255"/>
      <c r="J274" s="255"/>
      <c r="K274" s="255"/>
      <c r="L274" s="255"/>
      <c r="M274" s="255"/>
      <c r="N274" s="255"/>
      <c r="O274" s="255"/>
      <c r="P274" s="255"/>
      <c r="Q274" s="255"/>
      <c r="R274" s="255"/>
      <c r="S274" s="255"/>
      <c r="T274" s="255"/>
      <c r="U274" s="255"/>
      <c r="V274" s="255"/>
      <c r="W274" s="255"/>
      <c r="X274" s="255"/>
      <c r="Y274" s="255"/>
      <c r="Z274" s="255"/>
      <c r="AA274" s="255"/>
      <c r="AB274" s="255"/>
      <c r="AC274" s="255"/>
      <c r="AD274" s="255"/>
      <c r="AE274" s="255"/>
      <c r="AF274" s="255"/>
      <c r="AG274" s="255"/>
      <c r="AH274" s="255"/>
      <c r="AI274" s="255"/>
      <c r="AJ274" s="255"/>
      <c r="AK274" s="255"/>
      <c r="AL274" s="255"/>
      <c r="AM274" s="255"/>
      <c r="AN274" s="255"/>
      <c r="AO274" s="255"/>
      <c r="AP274" s="255"/>
      <c r="AQ274" s="255"/>
      <c r="AR274" s="255"/>
      <c r="AS274" s="255"/>
      <c r="AT274" s="255"/>
      <c r="AU274" s="255"/>
      <c r="AV274" s="255"/>
      <c r="AW274" s="255"/>
      <c r="AX274" s="255"/>
      <c r="AY274" s="255"/>
      <c r="AZ274" s="255"/>
      <c r="BA274" s="255"/>
      <c r="BB274" s="255"/>
      <c r="BC274" s="255"/>
      <c r="BD274" s="255"/>
      <c r="BE274" s="255"/>
      <c r="BF274" s="255"/>
      <c r="BG274" s="255"/>
      <c r="BH274" s="255"/>
      <c r="BI274" s="255"/>
      <c r="BJ274" s="255"/>
      <c r="BK274" s="255"/>
      <c r="BL274" s="255"/>
      <c r="BM274" s="255"/>
      <c r="BN274" s="255"/>
      <c r="BO274" s="255"/>
      <c r="BP274" s="255"/>
      <c r="BQ274" s="255"/>
      <c r="BR274" s="255"/>
      <c r="BS274" s="255"/>
      <c r="BT274" s="255"/>
      <c r="BU274" s="255"/>
      <c r="BV274" s="255"/>
      <c r="BW274" s="255"/>
      <c r="BX274" s="255"/>
      <c r="BY274" s="255"/>
      <c r="BZ274" s="255"/>
      <c r="CA274" s="255"/>
      <c r="CB274" s="255"/>
      <c r="CC274" s="255"/>
      <c r="CD274" s="255"/>
      <c r="CE274" s="255"/>
      <c r="CF274" s="255"/>
      <c r="CG274" s="255"/>
      <c r="CH274" s="255"/>
      <c r="CI274" s="255"/>
      <c r="CJ274" s="255"/>
      <c r="CK274" s="255"/>
      <c r="CL274" s="255"/>
      <c r="CM274" s="255"/>
      <c r="CN274" s="255"/>
      <c r="CO274" s="255"/>
      <c r="CP274" s="255"/>
      <c r="CQ274" s="255"/>
      <c r="CR274" s="255"/>
      <c r="CS274" s="255"/>
      <c r="CT274" s="255"/>
      <c r="CU274" s="255"/>
      <c r="CV274" s="255"/>
      <c r="CW274" s="255"/>
      <c r="CX274" s="255"/>
      <c r="CY274" s="255"/>
      <c r="CZ274" s="255"/>
      <c r="DA274" s="255"/>
      <c r="DB274" s="255"/>
      <c r="DC274" s="255"/>
      <c r="DD274" s="255"/>
      <c r="DE274" s="255"/>
      <c r="DF274" s="255"/>
      <c r="DG274" s="255"/>
      <c r="DH274" s="255"/>
      <c r="DI274" s="255"/>
      <c r="DJ274" s="255"/>
      <c r="DK274" s="255"/>
      <c r="DL274" s="255"/>
      <c r="DM274" s="255"/>
      <c r="DN274" s="255"/>
      <c r="DO274" s="255"/>
      <c r="DP274" s="255"/>
      <c r="DQ274" s="255"/>
      <c r="DR274" s="255"/>
      <c r="DS274" s="255"/>
      <c r="DT274" s="255"/>
      <c r="DU274" s="255"/>
      <c r="DV274" s="255"/>
      <c r="DW274" s="191"/>
      <c r="DX274" s="255"/>
      <c r="DY274" s="255"/>
      <c r="DZ274" s="255"/>
      <c r="EA274" s="255"/>
      <c r="EB274" s="255"/>
      <c r="EC274" s="255"/>
      <c r="ED274" s="255"/>
      <c r="EE274" s="255"/>
      <c r="EF274" s="255"/>
      <c r="EG274" s="255"/>
      <c r="EH274" s="255"/>
      <c r="EI274" s="255"/>
      <c r="EJ274" s="255"/>
      <c r="EK274" s="255"/>
      <c r="EL274" s="255"/>
      <c r="EM274" s="255"/>
      <c r="EN274" s="255"/>
      <c r="EO274" s="255"/>
      <c r="EP274" s="255"/>
      <c r="EQ274" s="255"/>
      <c r="ER274" s="191"/>
      <c r="ES274" s="255"/>
      <c r="ET274" s="255"/>
      <c r="EU274" s="255"/>
      <c r="EV274" s="255"/>
      <c r="EW274" s="255"/>
      <c r="EX274" s="255"/>
      <c r="EY274" s="255"/>
      <c r="EZ274" s="255"/>
      <c r="FA274" s="255"/>
      <c r="FB274" s="255"/>
      <c r="FC274" s="255"/>
      <c r="FD274" s="255"/>
      <c r="FE274" s="255"/>
      <c r="FF274" s="255"/>
      <c r="FG274" s="255"/>
      <c r="FH274" s="255"/>
      <c r="FI274" s="255"/>
      <c r="FJ274" s="255"/>
      <c r="FK274" s="255"/>
      <c r="FL274" s="255"/>
      <c r="FM274" s="255"/>
      <c r="FN274" s="255"/>
      <c r="FO274" s="255"/>
      <c r="FP274" s="255"/>
      <c r="FQ274" s="255"/>
      <c r="FR274" s="255"/>
      <c r="FS274" s="255"/>
      <c r="FT274" s="255"/>
      <c r="FU274" s="255"/>
      <c r="FV274" s="255"/>
      <c r="FW274" s="255"/>
      <c r="FX274" s="255"/>
      <c r="FY274" s="255"/>
      <c r="FZ274" s="255"/>
      <c r="GA274" s="255"/>
      <c r="GB274" s="255"/>
      <c r="GC274" s="255"/>
      <c r="GD274" s="255"/>
      <c r="GE274" s="255"/>
      <c r="GF274" s="255"/>
      <c r="GG274" s="255"/>
      <c r="GH274" s="255"/>
      <c r="GI274" s="255"/>
      <c r="GJ274" s="255"/>
      <c r="GK274" s="255"/>
      <c r="GL274" s="255"/>
      <c r="GM274" s="255"/>
      <c r="GN274" s="255"/>
      <c r="GO274" s="255"/>
      <c r="GP274" s="255"/>
      <c r="GQ274" s="255"/>
      <c r="GR274" s="255"/>
      <c r="GS274" s="255"/>
      <c r="GT274" s="255"/>
      <c r="GU274" s="255"/>
      <c r="GV274" s="255"/>
      <c r="GW274" s="255"/>
      <c r="GX274" s="255"/>
      <c r="GY274" s="255"/>
      <c r="GZ274" s="255"/>
      <c r="HA274" s="255"/>
      <c r="HB274" s="255"/>
      <c r="HC274" s="255"/>
      <c r="HD274" s="255"/>
      <c r="HE274" s="255"/>
      <c r="HF274" s="255"/>
      <c r="HG274" s="255"/>
      <c r="HH274" s="255"/>
      <c r="HI274" s="255"/>
      <c r="HJ274" s="255"/>
      <c r="HK274" s="255"/>
      <c r="HL274" s="255"/>
      <c r="HM274" s="255"/>
      <c r="HN274" s="255"/>
      <c r="HO274" s="255"/>
      <c r="HP274" s="255"/>
      <c r="HQ274" s="255"/>
      <c r="HR274" s="255"/>
      <c r="HS274" s="255"/>
      <c r="HT274" s="255"/>
      <c r="HU274" s="255"/>
      <c r="HV274" s="255"/>
      <c r="HW274" s="255"/>
      <c r="HX274" s="255"/>
      <c r="HY274" s="255"/>
      <c r="HZ274" s="255"/>
      <c r="IA274" s="255"/>
      <c r="IB274" s="255"/>
      <c r="IC274" s="255"/>
      <c r="ID274" s="255"/>
      <c r="IE274" s="255"/>
      <c r="IF274" s="255"/>
      <c r="IG274" s="255"/>
      <c r="IH274" s="255"/>
      <c r="II274" s="255"/>
      <c r="IJ274" s="255"/>
      <c r="IK274" s="255"/>
      <c r="IL274" s="255"/>
      <c r="IM274" s="255"/>
      <c r="IN274" s="255"/>
      <c r="IO274" s="255"/>
      <c r="IP274" s="255"/>
      <c r="IQ274" s="255"/>
      <c r="IR274" s="255"/>
      <c r="IS274" s="255"/>
      <c r="IT274" s="255"/>
      <c r="IU274" s="255"/>
      <c r="IV274" s="255"/>
      <c r="IW274" s="255"/>
      <c r="IX274" s="255"/>
      <c r="IY274" s="255"/>
      <c r="IZ274" s="255"/>
      <c r="JA274" s="255"/>
      <c r="JB274" s="255"/>
      <c r="JC274" s="255"/>
      <c r="JD274" s="255"/>
      <c r="JE274" s="255"/>
      <c r="JF274" s="255"/>
      <c r="JG274" s="191"/>
      <c r="JH274" s="255"/>
      <c r="JI274" s="255"/>
      <c r="JJ274" s="255"/>
      <c r="JK274" s="255"/>
      <c r="JL274" s="255"/>
      <c r="JM274" s="255"/>
      <c r="JN274" s="255"/>
      <c r="JO274" s="255"/>
      <c r="JP274" s="255"/>
      <c r="JQ274" s="255"/>
      <c r="JR274" s="255"/>
      <c r="JS274" s="255"/>
      <c r="JT274" s="255"/>
      <c r="JU274" s="255"/>
      <c r="JV274" s="255"/>
      <c r="JW274" s="255"/>
      <c r="JX274" s="255"/>
      <c r="JY274" s="255"/>
      <c r="JZ274" s="255"/>
      <c r="KA274" s="255"/>
      <c r="KB274" s="191"/>
    </row>
    <row r="275" spans="2:288" ht="15" customHeight="1" x14ac:dyDescent="0.35">
      <c r="B275" s="146" t="str">
        <f t="shared" si="22"/>
        <v>Desk 59</v>
      </c>
      <c r="C275" s="148" t="str">
        <v/>
      </c>
      <c r="D275" s="148" t="str">
        <v/>
      </c>
      <c r="E275" s="148" t="str">
        <v/>
      </c>
      <c r="F275" s="148" t="str">
        <v/>
      </c>
      <c r="G275" s="268" t="str">
        <v/>
      </c>
      <c r="H275" s="255"/>
      <c r="I275" s="255"/>
      <c r="J275" s="255"/>
      <c r="K275" s="255"/>
      <c r="L275" s="255"/>
      <c r="M275" s="255"/>
      <c r="N275" s="255"/>
      <c r="O275" s="255"/>
      <c r="P275" s="255"/>
      <c r="Q275" s="255"/>
      <c r="R275" s="255"/>
      <c r="S275" s="255"/>
      <c r="T275" s="255"/>
      <c r="U275" s="255"/>
      <c r="V275" s="255"/>
      <c r="W275" s="255"/>
      <c r="X275" s="255"/>
      <c r="Y275" s="255"/>
      <c r="Z275" s="255"/>
      <c r="AA275" s="255"/>
      <c r="AB275" s="255"/>
      <c r="AC275" s="255"/>
      <c r="AD275" s="255"/>
      <c r="AE275" s="255"/>
      <c r="AF275" s="255"/>
      <c r="AG275" s="255"/>
      <c r="AH275" s="255"/>
      <c r="AI275" s="255"/>
      <c r="AJ275" s="255"/>
      <c r="AK275" s="255"/>
      <c r="AL275" s="255"/>
      <c r="AM275" s="255"/>
      <c r="AN275" s="255"/>
      <c r="AO275" s="255"/>
      <c r="AP275" s="255"/>
      <c r="AQ275" s="255"/>
      <c r="AR275" s="255"/>
      <c r="AS275" s="255"/>
      <c r="AT275" s="255"/>
      <c r="AU275" s="255"/>
      <c r="AV275" s="255"/>
      <c r="AW275" s="255"/>
      <c r="AX275" s="255"/>
      <c r="AY275" s="255"/>
      <c r="AZ275" s="255"/>
      <c r="BA275" s="255"/>
      <c r="BB275" s="255"/>
      <c r="BC275" s="255"/>
      <c r="BD275" s="255"/>
      <c r="BE275" s="255"/>
      <c r="BF275" s="255"/>
      <c r="BG275" s="255"/>
      <c r="BH275" s="255"/>
      <c r="BI275" s="255"/>
      <c r="BJ275" s="255"/>
      <c r="BK275" s="255"/>
      <c r="BL275" s="255"/>
      <c r="BM275" s="255"/>
      <c r="BN275" s="255"/>
      <c r="BO275" s="255"/>
      <c r="BP275" s="255"/>
      <c r="BQ275" s="255"/>
      <c r="BR275" s="255"/>
      <c r="BS275" s="255"/>
      <c r="BT275" s="255"/>
      <c r="BU275" s="255"/>
      <c r="BV275" s="255"/>
      <c r="BW275" s="255"/>
      <c r="BX275" s="255"/>
      <c r="BY275" s="255"/>
      <c r="BZ275" s="255"/>
      <c r="CA275" s="255"/>
      <c r="CB275" s="255"/>
      <c r="CC275" s="255"/>
      <c r="CD275" s="255"/>
      <c r="CE275" s="255"/>
      <c r="CF275" s="255"/>
      <c r="CG275" s="255"/>
      <c r="CH275" s="255"/>
      <c r="CI275" s="255"/>
      <c r="CJ275" s="255"/>
      <c r="CK275" s="255"/>
      <c r="CL275" s="255"/>
      <c r="CM275" s="255"/>
      <c r="CN275" s="255"/>
      <c r="CO275" s="255"/>
      <c r="CP275" s="255"/>
      <c r="CQ275" s="255"/>
      <c r="CR275" s="255"/>
      <c r="CS275" s="255"/>
      <c r="CT275" s="255"/>
      <c r="CU275" s="255"/>
      <c r="CV275" s="255"/>
      <c r="CW275" s="255"/>
      <c r="CX275" s="255"/>
      <c r="CY275" s="255"/>
      <c r="CZ275" s="255"/>
      <c r="DA275" s="255"/>
      <c r="DB275" s="255"/>
      <c r="DC275" s="255"/>
      <c r="DD275" s="255"/>
      <c r="DE275" s="255"/>
      <c r="DF275" s="255"/>
      <c r="DG275" s="255"/>
      <c r="DH275" s="255"/>
      <c r="DI275" s="255"/>
      <c r="DJ275" s="255"/>
      <c r="DK275" s="255"/>
      <c r="DL275" s="255"/>
      <c r="DM275" s="255"/>
      <c r="DN275" s="255"/>
      <c r="DO275" s="255"/>
      <c r="DP275" s="255"/>
      <c r="DQ275" s="255"/>
      <c r="DR275" s="255"/>
      <c r="DS275" s="255"/>
      <c r="DT275" s="255"/>
      <c r="DU275" s="255"/>
      <c r="DV275" s="255"/>
      <c r="DW275" s="191"/>
      <c r="DX275" s="255"/>
      <c r="DY275" s="255"/>
      <c r="DZ275" s="255"/>
      <c r="EA275" s="255"/>
      <c r="EB275" s="255"/>
      <c r="EC275" s="255"/>
      <c r="ED275" s="255"/>
      <c r="EE275" s="255"/>
      <c r="EF275" s="255"/>
      <c r="EG275" s="255"/>
      <c r="EH275" s="255"/>
      <c r="EI275" s="255"/>
      <c r="EJ275" s="255"/>
      <c r="EK275" s="255"/>
      <c r="EL275" s="255"/>
      <c r="EM275" s="255"/>
      <c r="EN275" s="255"/>
      <c r="EO275" s="255"/>
      <c r="EP275" s="255"/>
      <c r="EQ275" s="255"/>
      <c r="ER275" s="191"/>
      <c r="ES275" s="255"/>
      <c r="ET275" s="255"/>
      <c r="EU275" s="255"/>
      <c r="EV275" s="255"/>
      <c r="EW275" s="255"/>
      <c r="EX275" s="255"/>
      <c r="EY275" s="255"/>
      <c r="EZ275" s="255"/>
      <c r="FA275" s="255"/>
      <c r="FB275" s="255"/>
      <c r="FC275" s="255"/>
      <c r="FD275" s="255"/>
      <c r="FE275" s="255"/>
      <c r="FF275" s="255"/>
      <c r="FG275" s="255"/>
      <c r="FH275" s="255"/>
      <c r="FI275" s="255"/>
      <c r="FJ275" s="255"/>
      <c r="FK275" s="255"/>
      <c r="FL275" s="255"/>
      <c r="FM275" s="255"/>
      <c r="FN275" s="255"/>
      <c r="FO275" s="255"/>
      <c r="FP275" s="255"/>
      <c r="FQ275" s="255"/>
      <c r="FR275" s="255"/>
      <c r="FS275" s="255"/>
      <c r="FT275" s="255"/>
      <c r="FU275" s="255"/>
      <c r="FV275" s="255"/>
      <c r="FW275" s="255"/>
      <c r="FX275" s="255"/>
      <c r="FY275" s="255"/>
      <c r="FZ275" s="255"/>
      <c r="GA275" s="255"/>
      <c r="GB275" s="255"/>
      <c r="GC275" s="255"/>
      <c r="GD275" s="255"/>
      <c r="GE275" s="255"/>
      <c r="GF275" s="255"/>
      <c r="GG275" s="255"/>
      <c r="GH275" s="255"/>
      <c r="GI275" s="255"/>
      <c r="GJ275" s="255"/>
      <c r="GK275" s="255"/>
      <c r="GL275" s="255"/>
      <c r="GM275" s="255"/>
      <c r="GN275" s="255"/>
      <c r="GO275" s="255"/>
      <c r="GP275" s="255"/>
      <c r="GQ275" s="255"/>
      <c r="GR275" s="255"/>
      <c r="GS275" s="255"/>
      <c r="GT275" s="255"/>
      <c r="GU275" s="255"/>
      <c r="GV275" s="255"/>
      <c r="GW275" s="255"/>
      <c r="GX275" s="255"/>
      <c r="GY275" s="255"/>
      <c r="GZ275" s="255"/>
      <c r="HA275" s="255"/>
      <c r="HB275" s="255"/>
      <c r="HC275" s="255"/>
      <c r="HD275" s="255"/>
      <c r="HE275" s="255"/>
      <c r="HF275" s="255"/>
      <c r="HG275" s="255"/>
      <c r="HH275" s="255"/>
      <c r="HI275" s="255"/>
      <c r="HJ275" s="255"/>
      <c r="HK275" s="255"/>
      <c r="HL275" s="255"/>
      <c r="HM275" s="255"/>
      <c r="HN275" s="255"/>
      <c r="HO275" s="255"/>
      <c r="HP275" s="255"/>
      <c r="HQ275" s="255"/>
      <c r="HR275" s="255"/>
      <c r="HS275" s="255"/>
      <c r="HT275" s="255"/>
      <c r="HU275" s="255"/>
      <c r="HV275" s="255"/>
      <c r="HW275" s="255"/>
      <c r="HX275" s="255"/>
      <c r="HY275" s="255"/>
      <c r="HZ275" s="255"/>
      <c r="IA275" s="255"/>
      <c r="IB275" s="255"/>
      <c r="IC275" s="255"/>
      <c r="ID275" s="255"/>
      <c r="IE275" s="255"/>
      <c r="IF275" s="255"/>
      <c r="IG275" s="255"/>
      <c r="IH275" s="255"/>
      <c r="II275" s="255"/>
      <c r="IJ275" s="255"/>
      <c r="IK275" s="255"/>
      <c r="IL275" s="255"/>
      <c r="IM275" s="255"/>
      <c r="IN275" s="255"/>
      <c r="IO275" s="255"/>
      <c r="IP275" s="255"/>
      <c r="IQ275" s="255"/>
      <c r="IR275" s="255"/>
      <c r="IS275" s="255"/>
      <c r="IT275" s="255"/>
      <c r="IU275" s="255"/>
      <c r="IV275" s="255"/>
      <c r="IW275" s="255"/>
      <c r="IX275" s="255"/>
      <c r="IY275" s="255"/>
      <c r="IZ275" s="255"/>
      <c r="JA275" s="255"/>
      <c r="JB275" s="255"/>
      <c r="JC275" s="255"/>
      <c r="JD275" s="255"/>
      <c r="JE275" s="255"/>
      <c r="JF275" s="255"/>
      <c r="JG275" s="191"/>
      <c r="JH275" s="255"/>
      <c r="JI275" s="255"/>
      <c r="JJ275" s="255"/>
      <c r="JK275" s="255"/>
      <c r="JL275" s="255"/>
      <c r="JM275" s="255"/>
      <c r="JN275" s="255"/>
      <c r="JO275" s="255"/>
      <c r="JP275" s="255"/>
      <c r="JQ275" s="255"/>
      <c r="JR275" s="255"/>
      <c r="JS275" s="255"/>
      <c r="JT275" s="255"/>
      <c r="JU275" s="255"/>
      <c r="JV275" s="255"/>
      <c r="JW275" s="255"/>
      <c r="JX275" s="255"/>
      <c r="JY275" s="255"/>
      <c r="JZ275" s="255"/>
      <c r="KA275" s="255"/>
      <c r="KB275" s="191"/>
    </row>
    <row r="276" spans="2:288" ht="15" customHeight="1" x14ac:dyDescent="0.35">
      <c r="B276" s="146" t="str">
        <f t="shared" si="22"/>
        <v>Desk 60</v>
      </c>
      <c r="C276" s="148" t="str">
        <v/>
      </c>
      <c r="D276" s="148" t="str">
        <v/>
      </c>
      <c r="E276" s="148" t="str">
        <v/>
      </c>
      <c r="F276" s="148" t="str">
        <v/>
      </c>
      <c r="G276" s="268" t="str">
        <v/>
      </c>
      <c r="H276" s="255"/>
      <c r="I276" s="255"/>
      <c r="J276" s="255"/>
      <c r="K276" s="255"/>
      <c r="L276" s="255"/>
      <c r="M276" s="255"/>
      <c r="N276" s="255"/>
      <c r="O276" s="255"/>
      <c r="P276" s="255"/>
      <c r="Q276" s="255"/>
      <c r="R276" s="255"/>
      <c r="S276" s="255"/>
      <c r="T276" s="255"/>
      <c r="U276" s="255"/>
      <c r="V276" s="255"/>
      <c r="W276" s="255"/>
      <c r="X276" s="255"/>
      <c r="Y276" s="255"/>
      <c r="Z276" s="255"/>
      <c r="AA276" s="255"/>
      <c r="AB276" s="255"/>
      <c r="AC276" s="255"/>
      <c r="AD276" s="255"/>
      <c r="AE276" s="255"/>
      <c r="AF276" s="255"/>
      <c r="AG276" s="255"/>
      <c r="AH276" s="255"/>
      <c r="AI276" s="255"/>
      <c r="AJ276" s="255"/>
      <c r="AK276" s="255"/>
      <c r="AL276" s="255"/>
      <c r="AM276" s="255"/>
      <c r="AN276" s="255"/>
      <c r="AO276" s="255"/>
      <c r="AP276" s="255"/>
      <c r="AQ276" s="255"/>
      <c r="AR276" s="255"/>
      <c r="AS276" s="255"/>
      <c r="AT276" s="255"/>
      <c r="AU276" s="255"/>
      <c r="AV276" s="255"/>
      <c r="AW276" s="255"/>
      <c r="AX276" s="255"/>
      <c r="AY276" s="255"/>
      <c r="AZ276" s="255"/>
      <c r="BA276" s="255"/>
      <c r="BB276" s="255"/>
      <c r="BC276" s="255"/>
      <c r="BD276" s="255"/>
      <c r="BE276" s="255"/>
      <c r="BF276" s="255"/>
      <c r="BG276" s="255"/>
      <c r="BH276" s="255"/>
      <c r="BI276" s="255"/>
      <c r="BJ276" s="255"/>
      <c r="BK276" s="255"/>
      <c r="BL276" s="255"/>
      <c r="BM276" s="255"/>
      <c r="BN276" s="255"/>
      <c r="BO276" s="255"/>
      <c r="BP276" s="255"/>
      <c r="BQ276" s="255"/>
      <c r="BR276" s="255"/>
      <c r="BS276" s="255"/>
      <c r="BT276" s="255"/>
      <c r="BU276" s="255"/>
      <c r="BV276" s="255"/>
      <c r="BW276" s="255"/>
      <c r="BX276" s="255"/>
      <c r="BY276" s="255"/>
      <c r="BZ276" s="255"/>
      <c r="CA276" s="255"/>
      <c r="CB276" s="255"/>
      <c r="CC276" s="255"/>
      <c r="CD276" s="255"/>
      <c r="CE276" s="255"/>
      <c r="CF276" s="255"/>
      <c r="CG276" s="255"/>
      <c r="CH276" s="255"/>
      <c r="CI276" s="255"/>
      <c r="CJ276" s="255"/>
      <c r="CK276" s="255"/>
      <c r="CL276" s="255"/>
      <c r="CM276" s="255"/>
      <c r="CN276" s="255"/>
      <c r="CO276" s="255"/>
      <c r="CP276" s="255"/>
      <c r="CQ276" s="255"/>
      <c r="CR276" s="255"/>
      <c r="CS276" s="255"/>
      <c r="CT276" s="255"/>
      <c r="CU276" s="255"/>
      <c r="CV276" s="255"/>
      <c r="CW276" s="255"/>
      <c r="CX276" s="255"/>
      <c r="CY276" s="255"/>
      <c r="CZ276" s="255"/>
      <c r="DA276" s="255"/>
      <c r="DB276" s="255"/>
      <c r="DC276" s="255"/>
      <c r="DD276" s="255"/>
      <c r="DE276" s="255"/>
      <c r="DF276" s="255"/>
      <c r="DG276" s="255"/>
      <c r="DH276" s="255"/>
      <c r="DI276" s="255"/>
      <c r="DJ276" s="255"/>
      <c r="DK276" s="255"/>
      <c r="DL276" s="255"/>
      <c r="DM276" s="255"/>
      <c r="DN276" s="255"/>
      <c r="DO276" s="255"/>
      <c r="DP276" s="255"/>
      <c r="DQ276" s="255"/>
      <c r="DR276" s="255"/>
      <c r="DS276" s="255"/>
      <c r="DT276" s="255"/>
      <c r="DU276" s="255"/>
      <c r="DV276" s="255"/>
      <c r="DW276" s="191"/>
      <c r="DX276" s="255"/>
      <c r="DY276" s="255"/>
      <c r="DZ276" s="255"/>
      <c r="EA276" s="255"/>
      <c r="EB276" s="255"/>
      <c r="EC276" s="255"/>
      <c r="ED276" s="255"/>
      <c r="EE276" s="255"/>
      <c r="EF276" s="255"/>
      <c r="EG276" s="255"/>
      <c r="EH276" s="255"/>
      <c r="EI276" s="255"/>
      <c r="EJ276" s="255"/>
      <c r="EK276" s="255"/>
      <c r="EL276" s="255"/>
      <c r="EM276" s="255"/>
      <c r="EN276" s="255"/>
      <c r="EO276" s="255"/>
      <c r="EP276" s="255"/>
      <c r="EQ276" s="255"/>
      <c r="ER276" s="191"/>
      <c r="ES276" s="255"/>
      <c r="ET276" s="255"/>
      <c r="EU276" s="255"/>
      <c r="EV276" s="255"/>
      <c r="EW276" s="255"/>
      <c r="EX276" s="255"/>
      <c r="EY276" s="255"/>
      <c r="EZ276" s="255"/>
      <c r="FA276" s="255"/>
      <c r="FB276" s="255"/>
      <c r="FC276" s="255"/>
      <c r="FD276" s="255"/>
      <c r="FE276" s="255"/>
      <c r="FF276" s="255"/>
      <c r="FG276" s="255"/>
      <c r="FH276" s="255"/>
      <c r="FI276" s="255"/>
      <c r="FJ276" s="255"/>
      <c r="FK276" s="255"/>
      <c r="FL276" s="255"/>
      <c r="FM276" s="255"/>
      <c r="FN276" s="255"/>
      <c r="FO276" s="255"/>
      <c r="FP276" s="255"/>
      <c r="FQ276" s="255"/>
      <c r="FR276" s="255"/>
      <c r="FS276" s="255"/>
      <c r="FT276" s="255"/>
      <c r="FU276" s="255"/>
      <c r="FV276" s="255"/>
      <c r="FW276" s="255"/>
      <c r="FX276" s="255"/>
      <c r="FY276" s="255"/>
      <c r="FZ276" s="255"/>
      <c r="GA276" s="255"/>
      <c r="GB276" s="255"/>
      <c r="GC276" s="255"/>
      <c r="GD276" s="255"/>
      <c r="GE276" s="255"/>
      <c r="GF276" s="255"/>
      <c r="GG276" s="255"/>
      <c r="GH276" s="255"/>
      <c r="GI276" s="255"/>
      <c r="GJ276" s="255"/>
      <c r="GK276" s="255"/>
      <c r="GL276" s="255"/>
      <c r="GM276" s="255"/>
      <c r="GN276" s="255"/>
      <c r="GO276" s="255"/>
      <c r="GP276" s="255"/>
      <c r="GQ276" s="255"/>
      <c r="GR276" s="255"/>
      <c r="GS276" s="255"/>
      <c r="GT276" s="255"/>
      <c r="GU276" s="255"/>
      <c r="GV276" s="255"/>
      <c r="GW276" s="255"/>
      <c r="GX276" s="255"/>
      <c r="GY276" s="255"/>
      <c r="GZ276" s="255"/>
      <c r="HA276" s="255"/>
      <c r="HB276" s="255"/>
      <c r="HC276" s="255"/>
      <c r="HD276" s="255"/>
      <c r="HE276" s="255"/>
      <c r="HF276" s="255"/>
      <c r="HG276" s="255"/>
      <c r="HH276" s="255"/>
      <c r="HI276" s="255"/>
      <c r="HJ276" s="255"/>
      <c r="HK276" s="255"/>
      <c r="HL276" s="255"/>
      <c r="HM276" s="255"/>
      <c r="HN276" s="255"/>
      <c r="HO276" s="255"/>
      <c r="HP276" s="255"/>
      <c r="HQ276" s="255"/>
      <c r="HR276" s="255"/>
      <c r="HS276" s="255"/>
      <c r="HT276" s="255"/>
      <c r="HU276" s="255"/>
      <c r="HV276" s="255"/>
      <c r="HW276" s="255"/>
      <c r="HX276" s="255"/>
      <c r="HY276" s="255"/>
      <c r="HZ276" s="255"/>
      <c r="IA276" s="255"/>
      <c r="IB276" s="255"/>
      <c r="IC276" s="255"/>
      <c r="ID276" s="255"/>
      <c r="IE276" s="255"/>
      <c r="IF276" s="255"/>
      <c r="IG276" s="255"/>
      <c r="IH276" s="255"/>
      <c r="II276" s="255"/>
      <c r="IJ276" s="255"/>
      <c r="IK276" s="255"/>
      <c r="IL276" s="255"/>
      <c r="IM276" s="255"/>
      <c r="IN276" s="255"/>
      <c r="IO276" s="255"/>
      <c r="IP276" s="255"/>
      <c r="IQ276" s="255"/>
      <c r="IR276" s="255"/>
      <c r="IS276" s="255"/>
      <c r="IT276" s="255"/>
      <c r="IU276" s="255"/>
      <c r="IV276" s="255"/>
      <c r="IW276" s="255"/>
      <c r="IX276" s="255"/>
      <c r="IY276" s="255"/>
      <c r="IZ276" s="255"/>
      <c r="JA276" s="255"/>
      <c r="JB276" s="255"/>
      <c r="JC276" s="255"/>
      <c r="JD276" s="255"/>
      <c r="JE276" s="255"/>
      <c r="JF276" s="255"/>
      <c r="JG276" s="191"/>
      <c r="JH276" s="255"/>
      <c r="JI276" s="255"/>
      <c r="JJ276" s="255"/>
      <c r="JK276" s="255"/>
      <c r="JL276" s="255"/>
      <c r="JM276" s="255"/>
      <c r="JN276" s="255"/>
      <c r="JO276" s="255"/>
      <c r="JP276" s="255"/>
      <c r="JQ276" s="255"/>
      <c r="JR276" s="255"/>
      <c r="JS276" s="255"/>
      <c r="JT276" s="255"/>
      <c r="JU276" s="255"/>
      <c r="JV276" s="255"/>
      <c r="JW276" s="255"/>
      <c r="JX276" s="255"/>
      <c r="JY276" s="255"/>
      <c r="JZ276" s="255"/>
      <c r="KA276" s="255"/>
      <c r="KB276" s="191"/>
    </row>
    <row r="277" spans="2:288" ht="15" customHeight="1" x14ac:dyDescent="0.35">
      <c r="B277" s="146" t="str">
        <f t="shared" si="22"/>
        <v>Desk 61</v>
      </c>
      <c r="C277" s="148" t="str">
        <v/>
      </c>
      <c r="D277" s="148" t="str">
        <v/>
      </c>
      <c r="E277" s="148" t="str">
        <v/>
      </c>
      <c r="F277" s="148" t="str">
        <v/>
      </c>
      <c r="G277" s="268" t="str">
        <v/>
      </c>
      <c r="H277" s="255"/>
      <c r="I277" s="255"/>
      <c r="J277" s="255"/>
      <c r="K277" s="255"/>
      <c r="L277" s="255"/>
      <c r="M277" s="255"/>
      <c r="N277" s="255"/>
      <c r="O277" s="255"/>
      <c r="P277" s="255"/>
      <c r="Q277" s="255"/>
      <c r="R277" s="255"/>
      <c r="S277" s="255"/>
      <c r="T277" s="255"/>
      <c r="U277" s="255"/>
      <c r="V277" s="255"/>
      <c r="W277" s="255"/>
      <c r="X277" s="255"/>
      <c r="Y277" s="255"/>
      <c r="Z277" s="255"/>
      <c r="AA277" s="255"/>
      <c r="AB277" s="255"/>
      <c r="AC277" s="255"/>
      <c r="AD277" s="255"/>
      <c r="AE277" s="255"/>
      <c r="AF277" s="255"/>
      <c r="AG277" s="255"/>
      <c r="AH277" s="255"/>
      <c r="AI277" s="255"/>
      <c r="AJ277" s="255"/>
      <c r="AK277" s="255"/>
      <c r="AL277" s="255"/>
      <c r="AM277" s="255"/>
      <c r="AN277" s="255"/>
      <c r="AO277" s="255"/>
      <c r="AP277" s="255"/>
      <c r="AQ277" s="255"/>
      <c r="AR277" s="255"/>
      <c r="AS277" s="255"/>
      <c r="AT277" s="255"/>
      <c r="AU277" s="255"/>
      <c r="AV277" s="255"/>
      <c r="AW277" s="255"/>
      <c r="AX277" s="255"/>
      <c r="AY277" s="255"/>
      <c r="AZ277" s="255"/>
      <c r="BA277" s="255"/>
      <c r="BB277" s="255"/>
      <c r="BC277" s="255"/>
      <c r="BD277" s="255"/>
      <c r="BE277" s="255"/>
      <c r="BF277" s="255"/>
      <c r="BG277" s="255"/>
      <c r="BH277" s="255"/>
      <c r="BI277" s="255"/>
      <c r="BJ277" s="255"/>
      <c r="BK277" s="255"/>
      <c r="BL277" s="255"/>
      <c r="BM277" s="255"/>
      <c r="BN277" s="255"/>
      <c r="BO277" s="255"/>
      <c r="BP277" s="255"/>
      <c r="BQ277" s="255"/>
      <c r="BR277" s="255"/>
      <c r="BS277" s="255"/>
      <c r="BT277" s="255"/>
      <c r="BU277" s="255"/>
      <c r="BV277" s="255"/>
      <c r="BW277" s="255"/>
      <c r="BX277" s="255"/>
      <c r="BY277" s="255"/>
      <c r="BZ277" s="255"/>
      <c r="CA277" s="255"/>
      <c r="CB277" s="255"/>
      <c r="CC277" s="255"/>
      <c r="CD277" s="255"/>
      <c r="CE277" s="255"/>
      <c r="CF277" s="255"/>
      <c r="CG277" s="255"/>
      <c r="CH277" s="255"/>
      <c r="CI277" s="255"/>
      <c r="CJ277" s="255"/>
      <c r="CK277" s="255"/>
      <c r="CL277" s="255"/>
      <c r="CM277" s="255"/>
      <c r="CN277" s="255"/>
      <c r="CO277" s="255"/>
      <c r="CP277" s="255"/>
      <c r="CQ277" s="255"/>
      <c r="CR277" s="255"/>
      <c r="CS277" s="255"/>
      <c r="CT277" s="255"/>
      <c r="CU277" s="255"/>
      <c r="CV277" s="255"/>
      <c r="CW277" s="255"/>
      <c r="CX277" s="255"/>
      <c r="CY277" s="255"/>
      <c r="CZ277" s="255"/>
      <c r="DA277" s="255"/>
      <c r="DB277" s="255"/>
      <c r="DC277" s="255"/>
      <c r="DD277" s="255"/>
      <c r="DE277" s="255"/>
      <c r="DF277" s="255"/>
      <c r="DG277" s="255"/>
      <c r="DH277" s="255"/>
      <c r="DI277" s="255"/>
      <c r="DJ277" s="255"/>
      <c r="DK277" s="255"/>
      <c r="DL277" s="255"/>
      <c r="DM277" s="255"/>
      <c r="DN277" s="255"/>
      <c r="DO277" s="255"/>
      <c r="DP277" s="255"/>
      <c r="DQ277" s="255"/>
      <c r="DR277" s="255"/>
      <c r="DS277" s="255"/>
      <c r="DT277" s="255"/>
      <c r="DU277" s="255"/>
      <c r="DV277" s="255"/>
      <c r="DW277" s="191"/>
      <c r="DX277" s="255"/>
      <c r="DY277" s="255"/>
      <c r="DZ277" s="255"/>
      <c r="EA277" s="255"/>
      <c r="EB277" s="255"/>
      <c r="EC277" s="255"/>
      <c r="ED277" s="255"/>
      <c r="EE277" s="255"/>
      <c r="EF277" s="255"/>
      <c r="EG277" s="255"/>
      <c r="EH277" s="255"/>
      <c r="EI277" s="255"/>
      <c r="EJ277" s="255"/>
      <c r="EK277" s="255"/>
      <c r="EL277" s="255"/>
      <c r="EM277" s="255"/>
      <c r="EN277" s="255"/>
      <c r="EO277" s="255"/>
      <c r="EP277" s="255"/>
      <c r="EQ277" s="255"/>
      <c r="ER277" s="191"/>
      <c r="ES277" s="255"/>
      <c r="ET277" s="255"/>
      <c r="EU277" s="255"/>
      <c r="EV277" s="255"/>
      <c r="EW277" s="255"/>
      <c r="EX277" s="255"/>
      <c r="EY277" s="255"/>
      <c r="EZ277" s="255"/>
      <c r="FA277" s="255"/>
      <c r="FB277" s="255"/>
      <c r="FC277" s="255"/>
      <c r="FD277" s="255"/>
      <c r="FE277" s="255"/>
      <c r="FF277" s="255"/>
      <c r="FG277" s="255"/>
      <c r="FH277" s="255"/>
      <c r="FI277" s="255"/>
      <c r="FJ277" s="255"/>
      <c r="FK277" s="255"/>
      <c r="FL277" s="255"/>
      <c r="FM277" s="255"/>
      <c r="FN277" s="255"/>
      <c r="FO277" s="255"/>
      <c r="FP277" s="255"/>
      <c r="FQ277" s="255"/>
      <c r="FR277" s="255"/>
      <c r="FS277" s="255"/>
      <c r="FT277" s="255"/>
      <c r="FU277" s="255"/>
      <c r="FV277" s="255"/>
      <c r="FW277" s="255"/>
      <c r="FX277" s="255"/>
      <c r="FY277" s="255"/>
      <c r="FZ277" s="255"/>
      <c r="GA277" s="255"/>
      <c r="GB277" s="255"/>
      <c r="GC277" s="255"/>
      <c r="GD277" s="255"/>
      <c r="GE277" s="255"/>
      <c r="GF277" s="255"/>
      <c r="GG277" s="255"/>
      <c r="GH277" s="255"/>
      <c r="GI277" s="255"/>
      <c r="GJ277" s="255"/>
      <c r="GK277" s="255"/>
      <c r="GL277" s="255"/>
      <c r="GM277" s="255"/>
      <c r="GN277" s="255"/>
      <c r="GO277" s="255"/>
      <c r="GP277" s="255"/>
      <c r="GQ277" s="255"/>
      <c r="GR277" s="255"/>
      <c r="GS277" s="255"/>
      <c r="GT277" s="255"/>
      <c r="GU277" s="255"/>
      <c r="GV277" s="255"/>
      <c r="GW277" s="255"/>
      <c r="GX277" s="255"/>
      <c r="GY277" s="255"/>
      <c r="GZ277" s="255"/>
      <c r="HA277" s="255"/>
      <c r="HB277" s="255"/>
      <c r="HC277" s="255"/>
      <c r="HD277" s="255"/>
      <c r="HE277" s="255"/>
      <c r="HF277" s="255"/>
      <c r="HG277" s="255"/>
      <c r="HH277" s="255"/>
      <c r="HI277" s="255"/>
      <c r="HJ277" s="255"/>
      <c r="HK277" s="255"/>
      <c r="HL277" s="255"/>
      <c r="HM277" s="255"/>
      <c r="HN277" s="255"/>
      <c r="HO277" s="255"/>
      <c r="HP277" s="255"/>
      <c r="HQ277" s="255"/>
      <c r="HR277" s="255"/>
      <c r="HS277" s="255"/>
      <c r="HT277" s="255"/>
      <c r="HU277" s="255"/>
      <c r="HV277" s="255"/>
      <c r="HW277" s="255"/>
      <c r="HX277" s="255"/>
      <c r="HY277" s="255"/>
      <c r="HZ277" s="255"/>
      <c r="IA277" s="255"/>
      <c r="IB277" s="255"/>
      <c r="IC277" s="255"/>
      <c r="ID277" s="255"/>
      <c r="IE277" s="255"/>
      <c r="IF277" s="255"/>
      <c r="IG277" s="255"/>
      <c r="IH277" s="255"/>
      <c r="II277" s="255"/>
      <c r="IJ277" s="255"/>
      <c r="IK277" s="255"/>
      <c r="IL277" s="255"/>
      <c r="IM277" s="255"/>
      <c r="IN277" s="255"/>
      <c r="IO277" s="255"/>
      <c r="IP277" s="255"/>
      <c r="IQ277" s="255"/>
      <c r="IR277" s="255"/>
      <c r="IS277" s="255"/>
      <c r="IT277" s="255"/>
      <c r="IU277" s="255"/>
      <c r="IV277" s="255"/>
      <c r="IW277" s="255"/>
      <c r="IX277" s="255"/>
      <c r="IY277" s="255"/>
      <c r="IZ277" s="255"/>
      <c r="JA277" s="255"/>
      <c r="JB277" s="255"/>
      <c r="JC277" s="255"/>
      <c r="JD277" s="255"/>
      <c r="JE277" s="255"/>
      <c r="JF277" s="255"/>
      <c r="JG277" s="191"/>
      <c r="JH277" s="255"/>
      <c r="JI277" s="255"/>
      <c r="JJ277" s="255"/>
      <c r="JK277" s="255"/>
      <c r="JL277" s="255"/>
      <c r="JM277" s="255"/>
      <c r="JN277" s="255"/>
      <c r="JO277" s="255"/>
      <c r="JP277" s="255"/>
      <c r="JQ277" s="255"/>
      <c r="JR277" s="255"/>
      <c r="JS277" s="255"/>
      <c r="JT277" s="255"/>
      <c r="JU277" s="255"/>
      <c r="JV277" s="255"/>
      <c r="JW277" s="255"/>
      <c r="JX277" s="255"/>
      <c r="JY277" s="255"/>
      <c r="JZ277" s="255"/>
      <c r="KA277" s="255"/>
      <c r="KB277" s="191"/>
    </row>
    <row r="278" spans="2:288" ht="15" customHeight="1" x14ac:dyDescent="0.35">
      <c r="B278" s="146" t="str">
        <f t="shared" si="22"/>
        <v>Desk 62</v>
      </c>
      <c r="C278" s="148" t="str">
        <v/>
      </c>
      <c r="D278" s="148" t="str">
        <v/>
      </c>
      <c r="E278" s="148" t="str">
        <v/>
      </c>
      <c r="F278" s="148" t="str">
        <v/>
      </c>
      <c r="G278" s="268" t="str">
        <v/>
      </c>
      <c r="H278" s="255"/>
      <c r="I278" s="255"/>
      <c r="J278" s="255"/>
      <c r="K278" s="255"/>
      <c r="L278" s="255"/>
      <c r="M278" s="255"/>
      <c r="N278" s="255"/>
      <c r="O278" s="255"/>
      <c r="P278" s="255"/>
      <c r="Q278" s="255"/>
      <c r="R278" s="255"/>
      <c r="S278" s="255"/>
      <c r="T278" s="255"/>
      <c r="U278" s="255"/>
      <c r="V278" s="255"/>
      <c r="W278" s="255"/>
      <c r="X278" s="255"/>
      <c r="Y278" s="255"/>
      <c r="Z278" s="255"/>
      <c r="AA278" s="255"/>
      <c r="AB278" s="255"/>
      <c r="AC278" s="255"/>
      <c r="AD278" s="255"/>
      <c r="AE278" s="255"/>
      <c r="AF278" s="255"/>
      <c r="AG278" s="255"/>
      <c r="AH278" s="255"/>
      <c r="AI278" s="255"/>
      <c r="AJ278" s="255"/>
      <c r="AK278" s="255"/>
      <c r="AL278" s="255"/>
      <c r="AM278" s="255"/>
      <c r="AN278" s="255"/>
      <c r="AO278" s="255"/>
      <c r="AP278" s="255"/>
      <c r="AQ278" s="255"/>
      <c r="AR278" s="255"/>
      <c r="AS278" s="255"/>
      <c r="AT278" s="255"/>
      <c r="AU278" s="255"/>
      <c r="AV278" s="255"/>
      <c r="AW278" s="255"/>
      <c r="AX278" s="255"/>
      <c r="AY278" s="255"/>
      <c r="AZ278" s="255"/>
      <c r="BA278" s="255"/>
      <c r="BB278" s="255"/>
      <c r="BC278" s="255"/>
      <c r="BD278" s="255"/>
      <c r="BE278" s="255"/>
      <c r="BF278" s="255"/>
      <c r="BG278" s="255"/>
      <c r="BH278" s="255"/>
      <c r="BI278" s="255"/>
      <c r="BJ278" s="255"/>
      <c r="BK278" s="255"/>
      <c r="BL278" s="255"/>
      <c r="BM278" s="255"/>
      <c r="BN278" s="255"/>
      <c r="BO278" s="255"/>
      <c r="BP278" s="255"/>
      <c r="BQ278" s="255"/>
      <c r="BR278" s="255"/>
      <c r="BS278" s="255"/>
      <c r="BT278" s="255"/>
      <c r="BU278" s="255"/>
      <c r="BV278" s="255"/>
      <c r="BW278" s="255"/>
      <c r="BX278" s="255"/>
      <c r="BY278" s="255"/>
      <c r="BZ278" s="255"/>
      <c r="CA278" s="255"/>
      <c r="CB278" s="255"/>
      <c r="CC278" s="255"/>
      <c r="CD278" s="255"/>
      <c r="CE278" s="255"/>
      <c r="CF278" s="255"/>
      <c r="CG278" s="255"/>
      <c r="CH278" s="255"/>
      <c r="CI278" s="255"/>
      <c r="CJ278" s="255"/>
      <c r="CK278" s="255"/>
      <c r="CL278" s="255"/>
      <c r="CM278" s="255"/>
      <c r="CN278" s="255"/>
      <c r="CO278" s="255"/>
      <c r="CP278" s="255"/>
      <c r="CQ278" s="255"/>
      <c r="CR278" s="255"/>
      <c r="CS278" s="255"/>
      <c r="CT278" s="255"/>
      <c r="CU278" s="255"/>
      <c r="CV278" s="255"/>
      <c r="CW278" s="255"/>
      <c r="CX278" s="255"/>
      <c r="CY278" s="255"/>
      <c r="CZ278" s="255"/>
      <c r="DA278" s="255"/>
      <c r="DB278" s="255"/>
      <c r="DC278" s="255"/>
      <c r="DD278" s="255"/>
      <c r="DE278" s="255"/>
      <c r="DF278" s="255"/>
      <c r="DG278" s="255"/>
      <c r="DH278" s="255"/>
      <c r="DI278" s="255"/>
      <c r="DJ278" s="255"/>
      <c r="DK278" s="255"/>
      <c r="DL278" s="255"/>
      <c r="DM278" s="255"/>
      <c r="DN278" s="255"/>
      <c r="DO278" s="255"/>
      <c r="DP278" s="255"/>
      <c r="DQ278" s="255"/>
      <c r="DR278" s="255"/>
      <c r="DS278" s="255"/>
      <c r="DT278" s="255"/>
      <c r="DU278" s="255"/>
      <c r="DV278" s="255"/>
      <c r="DW278" s="191"/>
      <c r="DX278" s="255"/>
      <c r="DY278" s="255"/>
      <c r="DZ278" s="255"/>
      <c r="EA278" s="255"/>
      <c r="EB278" s="255"/>
      <c r="EC278" s="255"/>
      <c r="ED278" s="255"/>
      <c r="EE278" s="255"/>
      <c r="EF278" s="255"/>
      <c r="EG278" s="255"/>
      <c r="EH278" s="255"/>
      <c r="EI278" s="255"/>
      <c r="EJ278" s="255"/>
      <c r="EK278" s="255"/>
      <c r="EL278" s="255"/>
      <c r="EM278" s="255"/>
      <c r="EN278" s="255"/>
      <c r="EO278" s="255"/>
      <c r="EP278" s="255"/>
      <c r="EQ278" s="255"/>
      <c r="ER278" s="191"/>
      <c r="ES278" s="255"/>
      <c r="ET278" s="255"/>
      <c r="EU278" s="255"/>
      <c r="EV278" s="255"/>
      <c r="EW278" s="255"/>
      <c r="EX278" s="255"/>
      <c r="EY278" s="255"/>
      <c r="EZ278" s="255"/>
      <c r="FA278" s="255"/>
      <c r="FB278" s="255"/>
      <c r="FC278" s="255"/>
      <c r="FD278" s="255"/>
      <c r="FE278" s="255"/>
      <c r="FF278" s="255"/>
      <c r="FG278" s="255"/>
      <c r="FH278" s="255"/>
      <c r="FI278" s="255"/>
      <c r="FJ278" s="255"/>
      <c r="FK278" s="255"/>
      <c r="FL278" s="255"/>
      <c r="FM278" s="255"/>
      <c r="FN278" s="255"/>
      <c r="FO278" s="255"/>
      <c r="FP278" s="255"/>
      <c r="FQ278" s="255"/>
      <c r="FR278" s="255"/>
      <c r="FS278" s="255"/>
      <c r="FT278" s="255"/>
      <c r="FU278" s="255"/>
      <c r="FV278" s="255"/>
      <c r="FW278" s="255"/>
      <c r="FX278" s="255"/>
      <c r="FY278" s="255"/>
      <c r="FZ278" s="255"/>
      <c r="GA278" s="255"/>
      <c r="GB278" s="255"/>
      <c r="GC278" s="255"/>
      <c r="GD278" s="255"/>
      <c r="GE278" s="255"/>
      <c r="GF278" s="255"/>
      <c r="GG278" s="255"/>
      <c r="GH278" s="255"/>
      <c r="GI278" s="255"/>
      <c r="GJ278" s="255"/>
      <c r="GK278" s="255"/>
      <c r="GL278" s="255"/>
      <c r="GM278" s="255"/>
      <c r="GN278" s="255"/>
      <c r="GO278" s="255"/>
      <c r="GP278" s="255"/>
      <c r="GQ278" s="255"/>
      <c r="GR278" s="255"/>
      <c r="GS278" s="255"/>
      <c r="GT278" s="255"/>
      <c r="GU278" s="255"/>
      <c r="GV278" s="255"/>
      <c r="GW278" s="255"/>
      <c r="GX278" s="255"/>
      <c r="GY278" s="255"/>
      <c r="GZ278" s="255"/>
      <c r="HA278" s="255"/>
      <c r="HB278" s="255"/>
      <c r="HC278" s="255"/>
      <c r="HD278" s="255"/>
      <c r="HE278" s="255"/>
      <c r="HF278" s="255"/>
      <c r="HG278" s="255"/>
      <c r="HH278" s="255"/>
      <c r="HI278" s="255"/>
      <c r="HJ278" s="255"/>
      <c r="HK278" s="255"/>
      <c r="HL278" s="255"/>
      <c r="HM278" s="255"/>
      <c r="HN278" s="255"/>
      <c r="HO278" s="255"/>
      <c r="HP278" s="255"/>
      <c r="HQ278" s="255"/>
      <c r="HR278" s="255"/>
      <c r="HS278" s="255"/>
      <c r="HT278" s="255"/>
      <c r="HU278" s="255"/>
      <c r="HV278" s="255"/>
      <c r="HW278" s="255"/>
      <c r="HX278" s="255"/>
      <c r="HY278" s="255"/>
      <c r="HZ278" s="255"/>
      <c r="IA278" s="255"/>
      <c r="IB278" s="255"/>
      <c r="IC278" s="255"/>
      <c r="ID278" s="255"/>
      <c r="IE278" s="255"/>
      <c r="IF278" s="255"/>
      <c r="IG278" s="255"/>
      <c r="IH278" s="255"/>
      <c r="II278" s="255"/>
      <c r="IJ278" s="255"/>
      <c r="IK278" s="255"/>
      <c r="IL278" s="255"/>
      <c r="IM278" s="255"/>
      <c r="IN278" s="255"/>
      <c r="IO278" s="255"/>
      <c r="IP278" s="255"/>
      <c r="IQ278" s="255"/>
      <c r="IR278" s="255"/>
      <c r="IS278" s="255"/>
      <c r="IT278" s="255"/>
      <c r="IU278" s="255"/>
      <c r="IV278" s="255"/>
      <c r="IW278" s="255"/>
      <c r="IX278" s="255"/>
      <c r="IY278" s="255"/>
      <c r="IZ278" s="255"/>
      <c r="JA278" s="255"/>
      <c r="JB278" s="255"/>
      <c r="JC278" s="255"/>
      <c r="JD278" s="255"/>
      <c r="JE278" s="255"/>
      <c r="JF278" s="255"/>
      <c r="JG278" s="191"/>
      <c r="JH278" s="255"/>
      <c r="JI278" s="255"/>
      <c r="JJ278" s="255"/>
      <c r="JK278" s="255"/>
      <c r="JL278" s="255"/>
      <c r="JM278" s="255"/>
      <c r="JN278" s="255"/>
      <c r="JO278" s="255"/>
      <c r="JP278" s="255"/>
      <c r="JQ278" s="255"/>
      <c r="JR278" s="255"/>
      <c r="JS278" s="255"/>
      <c r="JT278" s="255"/>
      <c r="JU278" s="255"/>
      <c r="JV278" s="255"/>
      <c r="JW278" s="255"/>
      <c r="JX278" s="255"/>
      <c r="JY278" s="255"/>
      <c r="JZ278" s="255"/>
      <c r="KA278" s="255"/>
      <c r="KB278" s="191"/>
    </row>
    <row r="279" spans="2:288" ht="15" customHeight="1" x14ac:dyDescent="0.35">
      <c r="B279" s="146" t="str">
        <f t="shared" si="22"/>
        <v>Desk 63</v>
      </c>
      <c r="C279" s="148" t="str">
        <v/>
      </c>
      <c r="D279" s="148" t="str">
        <v/>
      </c>
      <c r="E279" s="148" t="str">
        <v/>
      </c>
      <c r="F279" s="148" t="str">
        <v/>
      </c>
      <c r="G279" s="268" t="str">
        <v/>
      </c>
      <c r="H279" s="255"/>
      <c r="I279" s="255"/>
      <c r="J279" s="255"/>
      <c r="K279" s="255"/>
      <c r="L279" s="255"/>
      <c r="M279" s="255"/>
      <c r="N279" s="255"/>
      <c r="O279" s="255"/>
      <c r="P279" s="255"/>
      <c r="Q279" s="255"/>
      <c r="R279" s="255"/>
      <c r="S279" s="255"/>
      <c r="T279" s="255"/>
      <c r="U279" s="255"/>
      <c r="V279" s="255"/>
      <c r="W279" s="255"/>
      <c r="X279" s="255"/>
      <c r="Y279" s="255"/>
      <c r="Z279" s="255"/>
      <c r="AA279" s="255"/>
      <c r="AB279" s="255"/>
      <c r="AC279" s="255"/>
      <c r="AD279" s="255"/>
      <c r="AE279" s="255"/>
      <c r="AF279" s="255"/>
      <c r="AG279" s="255"/>
      <c r="AH279" s="255"/>
      <c r="AI279" s="255"/>
      <c r="AJ279" s="255"/>
      <c r="AK279" s="255"/>
      <c r="AL279" s="255"/>
      <c r="AM279" s="255"/>
      <c r="AN279" s="255"/>
      <c r="AO279" s="255"/>
      <c r="AP279" s="255"/>
      <c r="AQ279" s="255"/>
      <c r="AR279" s="255"/>
      <c r="AS279" s="255"/>
      <c r="AT279" s="255"/>
      <c r="AU279" s="255"/>
      <c r="AV279" s="255"/>
      <c r="AW279" s="255"/>
      <c r="AX279" s="255"/>
      <c r="AY279" s="255"/>
      <c r="AZ279" s="255"/>
      <c r="BA279" s="255"/>
      <c r="BB279" s="255"/>
      <c r="BC279" s="255"/>
      <c r="BD279" s="255"/>
      <c r="BE279" s="255"/>
      <c r="BF279" s="255"/>
      <c r="BG279" s="255"/>
      <c r="BH279" s="255"/>
      <c r="BI279" s="255"/>
      <c r="BJ279" s="255"/>
      <c r="BK279" s="255"/>
      <c r="BL279" s="255"/>
      <c r="BM279" s="255"/>
      <c r="BN279" s="255"/>
      <c r="BO279" s="255"/>
      <c r="BP279" s="255"/>
      <c r="BQ279" s="255"/>
      <c r="BR279" s="255"/>
      <c r="BS279" s="255"/>
      <c r="BT279" s="255"/>
      <c r="BU279" s="255"/>
      <c r="BV279" s="255"/>
      <c r="BW279" s="255"/>
      <c r="BX279" s="255"/>
      <c r="BY279" s="255"/>
      <c r="BZ279" s="255"/>
      <c r="CA279" s="255"/>
      <c r="CB279" s="255"/>
      <c r="CC279" s="255"/>
      <c r="CD279" s="255"/>
      <c r="CE279" s="255"/>
      <c r="CF279" s="255"/>
      <c r="CG279" s="255"/>
      <c r="CH279" s="255"/>
      <c r="CI279" s="255"/>
      <c r="CJ279" s="255"/>
      <c r="CK279" s="255"/>
      <c r="CL279" s="255"/>
      <c r="CM279" s="255"/>
      <c r="CN279" s="255"/>
      <c r="CO279" s="255"/>
      <c r="CP279" s="255"/>
      <c r="CQ279" s="255"/>
      <c r="CR279" s="255"/>
      <c r="CS279" s="255"/>
      <c r="CT279" s="255"/>
      <c r="CU279" s="255"/>
      <c r="CV279" s="255"/>
      <c r="CW279" s="255"/>
      <c r="CX279" s="255"/>
      <c r="CY279" s="255"/>
      <c r="CZ279" s="255"/>
      <c r="DA279" s="255"/>
      <c r="DB279" s="255"/>
      <c r="DC279" s="255"/>
      <c r="DD279" s="255"/>
      <c r="DE279" s="255"/>
      <c r="DF279" s="255"/>
      <c r="DG279" s="255"/>
      <c r="DH279" s="255"/>
      <c r="DI279" s="255"/>
      <c r="DJ279" s="255"/>
      <c r="DK279" s="255"/>
      <c r="DL279" s="255"/>
      <c r="DM279" s="255"/>
      <c r="DN279" s="255"/>
      <c r="DO279" s="255"/>
      <c r="DP279" s="255"/>
      <c r="DQ279" s="255"/>
      <c r="DR279" s="255"/>
      <c r="DS279" s="255"/>
      <c r="DT279" s="255"/>
      <c r="DU279" s="255"/>
      <c r="DV279" s="255"/>
      <c r="DW279" s="191"/>
      <c r="DX279" s="255"/>
      <c r="DY279" s="255"/>
      <c r="DZ279" s="255"/>
      <c r="EA279" s="255"/>
      <c r="EB279" s="255"/>
      <c r="EC279" s="255"/>
      <c r="ED279" s="255"/>
      <c r="EE279" s="255"/>
      <c r="EF279" s="255"/>
      <c r="EG279" s="255"/>
      <c r="EH279" s="255"/>
      <c r="EI279" s="255"/>
      <c r="EJ279" s="255"/>
      <c r="EK279" s="255"/>
      <c r="EL279" s="255"/>
      <c r="EM279" s="255"/>
      <c r="EN279" s="255"/>
      <c r="EO279" s="255"/>
      <c r="EP279" s="255"/>
      <c r="EQ279" s="255"/>
      <c r="ER279" s="191"/>
      <c r="ES279" s="255"/>
      <c r="ET279" s="255"/>
      <c r="EU279" s="255"/>
      <c r="EV279" s="255"/>
      <c r="EW279" s="255"/>
      <c r="EX279" s="255"/>
      <c r="EY279" s="255"/>
      <c r="EZ279" s="255"/>
      <c r="FA279" s="255"/>
      <c r="FB279" s="255"/>
      <c r="FC279" s="255"/>
      <c r="FD279" s="255"/>
      <c r="FE279" s="255"/>
      <c r="FF279" s="255"/>
      <c r="FG279" s="255"/>
      <c r="FH279" s="255"/>
      <c r="FI279" s="255"/>
      <c r="FJ279" s="255"/>
      <c r="FK279" s="255"/>
      <c r="FL279" s="255"/>
      <c r="FM279" s="255"/>
      <c r="FN279" s="255"/>
      <c r="FO279" s="255"/>
      <c r="FP279" s="255"/>
      <c r="FQ279" s="255"/>
      <c r="FR279" s="255"/>
      <c r="FS279" s="255"/>
      <c r="FT279" s="255"/>
      <c r="FU279" s="255"/>
      <c r="FV279" s="255"/>
      <c r="FW279" s="255"/>
      <c r="FX279" s="255"/>
      <c r="FY279" s="255"/>
      <c r="FZ279" s="255"/>
      <c r="GA279" s="255"/>
      <c r="GB279" s="255"/>
      <c r="GC279" s="255"/>
      <c r="GD279" s="255"/>
      <c r="GE279" s="255"/>
      <c r="GF279" s="255"/>
      <c r="GG279" s="255"/>
      <c r="GH279" s="255"/>
      <c r="GI279" s="255"/>
      <c r="GJ279" s="255"/>
      <c r="GK279" s="255"/>
      <c r="GL279" s="255"/>
      <c r="GM279" s="255"/>
      <c r="GN279" s="255"/>
      <c r="GO279" s="255"/>
      <c r="GP279" s="255"/>
      <c r="GQ279" s="255"/>
      <c r="GR279" s="255"/>
      <c r="GS279" s="255"/>
      <c r="GT279" s="255"/>
      <c r="GU279" s="255"/>
      <c r="GV279" s="255"/>
      <c r="GW279" s="255"/>
      <c r="GX279" s="255"/>
      <c r="GY279" s="255"/>
      <c r="GZ279" s="255"/>
      <c r="HA279" s="255"/>
      <c r="HB279" s="255"/>
      <c r="HC279" s="255"/>
      <c r="HD279" s="255"/>
      <c r="HE279" s="255"/>
      <c r="HF279" s="255"/>
      <c r="HG279" s="255"/>
      <c r="HH279" s="255"/>
      <c r="HI279" s="255"/>
      <c r="HJ279" s="255"/>
      <c r="HK279" s="255"/>
      <c r="HL279" s="255"/>
      <c r="HM279" s="255"/>
      <c r="HN279" s="255"/>
      <c r="HO279" s="255"/>
      <c r="HP279" s="255"/>
      <c r="HQ279" s="255"/>
      <c r="HR279" s="255"/>
      <c r="HS279" s="255"/>
      <c r="HT279" s="255"/>
      <c r="HU279" s="255"/>
      <c r="HV279" s="255"/>
      <c r="HW279" s="255"/>
      <c r="HX279" s="255"/>
      <c r="HY279" s="255"/>
      <c r="HZ279" s="255"/>
      <c r="IA279" s="255"/>
      <c r="IB279" s="255"/>
      <c r="IC279" s="255"/>
      <c r="ID279" s="255"/>
      <c r="IE279" s="255"/>
      <c r="IF279" s="255"/>
      <c r="IG279" s="255"/>
      <c r="IH279" s="255"/>
      <c r="II279" s="255"/>
      <c r="IJ279" s="255"/>
      <c r="IK279" s="255"/>
      <c r="IL279" s="255"/>
      <c r="IM279" s="255"/>
      <c r="IN279" s="255"/>
      <c r="IO279" s="255"/>
      <c r="IP279" s="255"/>
      <c r="IQ279" s="255"/>
      <c r="IR279" s="255"/>
      <c r="IS279" s="255"/>
      <c r="IT279" s="255"/>
      <c r="IU279" s="255"/>
      <c r="IV279" s="255"/>
      <c r="IW279" s="255"/>
      <c r="IX279" s="255"/>
      <c r="IY279" s="255"/>
      <c r="IZ279" s="255"/>
      <c r="JA279" s="255"/>
      <c r="JB279" s="255"/>
      <c r="JC279" s="255"/>
      <c r="JD279" s="255"/>
      <c r="JE279" s="255"/>
      <c r="JF279" s="255"/>
      <c r="JG279" s="191"/>
      <c r="JH279" s="255"/>
      <c r="JI279" s="255"/>
      <c r="JJ279" s="255"/>
      <c r="JK279" s="255"/>
      <c r="JL279" s="255"/>
      <c r="JM279" s="255"/>
      <c r="JN279" s="255"/>
      <c r="JO279" s="255"/>
      <c r="JP279" s="255"/>
      <c r="JQ279" s="255"/>
      <c r="JR279" s="255"/>
      <c r="JS279" s="255"/>
      <c r="JT279" s="255"/>
      <c r="JU279" s="255"/>
      <c r="JV279" s="255"/>
      <c r="JW279" s="255"/>
      <c r="JX279" s="255"/>
      <c r="JY279" s="255"/>
      <c r="JZ279" s="255"/>
      <c r="KA279" s="255"/>
      <c r="KB279" s="191"/>
    </row>
    <row r="280" spans="2:288" ht="15" customHeight="1" x14ac:dyDescent="0.35">
      <c r="B280" s="146" t="str">
        <f t="shared" si="22"/>
        <v>Desk 64</v>
      </c>
      <c r="C280" s="148" t="str">
        <v/>
      </c>
      <c r="D280" s="148" t="str">
        <v/>
      </c>
      <c r="E280" s="148" t="str">
        <v/>
      </c>
      <c r="F280" s="148" t="str">
        <v/>
      </c>
      <c r="G280" s="268" t="str">
        <v/>
      </c>
      <c r="H280" s="255"/>
      <c r="I280" s="255"/>
      <c r="J280" s="255"/>
      <c r="K280" s="255"/>
      <c r="L280" s="255"/>
      <c r="M280" s="255"/>
      <c r="N280" s="255"/>
      <c r="O280" s="255"/>
      <c r="P280" s="255"/>
      <c r="Q280" s="255"/>
      <c r="R280" s="255"/>
      <c r="S280" s="255"/>
      <c r="T280" s="255"/>
      <c r="U280" s="255"/>
      <c r="V280" s="255"/>
      <c r="W280" s="255"/>
      <c r="X280" s="255"/>
      <c r="Y280" s="255"/>
      <c r="Z280" s="255"/>
      <c r="AA280" s="255"/>
      <c r="AB280" s="255"/>
      <c r="AC280" s="255"/>
      <c r="AD280" s="255"/>
      <c r="AE280" s="255"/>
      <c r="AF280" s="255"/>
      <c r="AG280" s="255"/>
      <c r="AH280" s="255"/>
      <c r="AI280" s="255"/>
      <c r="AJ280" s="255"/>
      <c r="AK280" s="255"/>
      <c r="AL280" s="255"/>
      <c r="AM280" s="255"/>
      <c r="AN280" s="255"/>
      <c r="AO280" s="255"/>
      <c r="AP280" s="255"/>
      <c r="AQ280" s="255"/>
      <c r="AR280" s="255"/>
      <c r="AS280" s="255"/>
      <c r="AT280" s="255"/>
      <c r="AU280" s="255"/>
      <c r="AV280" s="255"/>
      <c r="AW280" s="255"/>
      <c r="AX280" s="255"/>
      <c r="AY280" s="255"/>
      <c r="AZ280" s="255"/>
      <c r="BA280" s="255"/>
      <c r="BB280" s="255"/>
      <c r="BC280" s="255"/>
      <c r="BD280" s="255"/>
      <c r="BE280" s="255"/>
      <c r="BF280" s="255"/>
      <c r="BG280" s="255"/>
      <c r="BH280" s="255"/>
      <c r="BI280" s="255"/>
      <c r="BJ280" s="255"/>
      <c r="BK280" s="255"/>
      <c r="BL280" s="255"/>
      <c r="BM280" s="255"/>
      <c r="BN280" s="255"/>
      <c r="BO280" s="255"/>
      <c r="BP280" s="255"/>
      <c r="BQ280" s="255"/>
      <c r="BR280" s="255"/>
      <c r="BS280" s="255"/>
      <c r="BT280" s="255"/>
      <c r="BU280" s="255"/>
      <c r="BV280" s="255"/>
      <c r="BW280" s="255"/>
      <c r="BX280" s="255"/>
      <c r="BY280" s="255"/>
      <c r="BZ280" s="255"/>
      <c r="CA280" s="255"/>
      <c r="CB280" s="255"/>
      <c r="CC280" s="255"/>
      <c r="CD280" s="255"/>
      <c r="CE280" s="255"/>
      <c r="CF280" s="255"/>
      <c r="CG280" s="255"/>
      <c r="CH280" s="255"/>
      <c r="CI280" s="255"/>
      <c r="CJ280" s="255"/>
      <c r="CK280" s="255"/>
      <c r="CL280" s="255"/>
      <c r="CM280" s="255"/>
      <c r="CN280" s="255"/>
      <c r="CO280" s="255"/>
      <c r="CP280" s="255"/>
      <c r="CQ280" s="255"/>
      <c r="CR280" s="255"/>
      <c r="CS280" s="255"/>
      <c r="CT280" s="255"/>
      <c r="CU280" s="255"/>
      <c r="CV280" s="255"/>
      <c r="CW280" s="255"/>
      <c r="CX280" s="255"/>
      <c r="CY280" s="255"/>
      <c r="CZ280" s="255"/>
      <c r="DA280" s="255"/>
      <c r="DB280" s="255"/>
      <c r="DC280" s="255"/>
      <c r="DD280" s="255"/>
      <c r="DE280" s="255"/>
      <c r="DF280" s="255"/>
      <c r="DG280" s="255"/>
      <c r="DH280" s="255"/>
      <c r="DI280" s="255"/>
      <c r="DJ280" s="255"/>
      <c r="DK280" s="255"/>
      <c r="DL280" s="255"/>
      <c r="DM280" s="255"/>
      <c r="DN280" s="255"/>
      <c r="DO280" s="255"/>
      <c r="DP280" s="255"/>
      <c r="DQ280" s="255"/>
      <c r="DR280" s="255"/>
      <c r="DS280" s="255"/>
      <c r="DT280" s="255"/>
      <c r="DU280" s="255"/>
      <c r="DV280" s="255"/>
      <c r="DW280" s="191"/>
      <c r="DX280" s="255"/>
      <c r="DY280" s="255"/>
      <c r="DZ280" s="255"/>
      <c r="EA280" s="255"/>
      <c r="EB280" s="255"/>
      <c r="EC280" s="255"/>
      <c r="ED280" s="255"/>
      <c r="EE280" s="255"/>
      <c r="EF280" s="255"/>
      <c r="EG280" s="255"/>
      <c r="EH280" s="255"/>
      <c r="EI280" s="255"/>
      <c r="EJ280" s="255"/>
      <c r="EK280" s="255"/>
      <c r="EL280" s="255"/>
      <c r="EM280" s="255"/>
      <c r="EN280" s="255"/>
      <c r="EO280" s="255"/>
      <c r="EP280" s="255"/>
      <c r="EQ280" s="255"/>
      <c r="ER280" s="191"/>
      <c r="ES280" s="255"/>
      <c r="ET280" s="255"/>
      <c r="EU280" s="255"/>
      <c r="EV280" s="255"/>
      <c r="EW280" s="255"/>
      <c r="EX280" s="255"/>
      <c r="EY280" s="255"/>
      <c r="EZ280" s="255"/>
      <c r="FA280" s="255"/>
      <c r="FB280" s="255"/>
      <c r="FC280" s="255"/>
      <c r="FD280" s="255"/>
      <c r="FE280" s="255"/>
      <c r="FF280" s="255"/>
      <c r="FG280" s="255"/>
      <c r="FH280" s="255"/>
      <c r="FI280" s="255"/>
      <c r="FJ280" s="255"/>
      <c r="FK280" s="255"/>
      <c r="FL280" s="255"/>
      <c r="FM280" s="255"/>
      <c r="FN280" s="255"/>
      <c r="FO280" s="255"/>
      <c r="FP280" s="255"/>
      <c r="FQ280" s="255"/>
      <c r="FR280" s="255"/>
      <c r="FS280" s="255"/>
      <c r="FT280" s="255"/>
      <c r="FU280" s="255"/>
      <c r="FV280" s="255"/>
      <c r="FW280" s="255"/>
      <c r="FX280" s="255"/>
      <c r="FY280" s="255"/>
      <c r="FZ280" s="255"/>
      <c r="GA280" s="255"/>
      <c r="GB280" s="255"/>
      <c r="GC280" s="255"/>
      <c r="GD280" s="255"/>
      <c r="GE280" s="255"/>
      <c r="GF280" s="255"/>
      <c r="GG280" s="255"/>
      <c r="GH280" s="255"/>
      <c r="GI280" s="255"/>
      <c r="GJ280" s="255"/>
      <c r="GK280" s="255"/>
      <c r="GL280" s="255"/>
      <c r="GM280" s="255"/>
      <c r="GN280" s="255"/>
      <c r="GO280" s="255"/>
      <c r="GP280" s="255"/>
      <c r="GQ280" s="255"/>
      <c r="GR280" s="255"/>
      <c r="GS280" s="255"/>
      <c r="GT280" s="255"/>
      <c r="GU280" s="255"/>
      <c r="GV280" s="255"/>
      <c r="GW280" s="255"/>
      <c r="GX280" s="255"/>
      <c r="GY280" s="255"/>
      <c r="GZ280" s="255"/>
      <c r="HA280" s="255"/>
      <c r="HB280" s="255"/>
      <c r="HC280" s="255"/>
      <c r="HD280" s="255"/>
      <c r="HE280" s="255"/>
      <c r="HF280" s="255"/>
      <c r="HG280" s="255"/>
      <c r="HH280" s="255"/>
      <c r="HI280" s="255"/>
      <c r="HJ280" s="255"/>
      <c r="HK280" s="255"/>
      <c r="HL280" s="255"/>
      <c r="HM280" s="255"/>
      <c r="HN280" s="255"/>
      <c r="HO280" s="255"/>
      <c r="HP280" s="255"/>
      <c r="HQ280" s="255"/>
      <c r="HR280" s="255"/>
      <c r="HS280" s="255"/>
      <c r="HT280" s="255"/>
      <c r="HU280" s="255"/>
      <c r="HV280" s="255"/>
      <c r="HW280" s="255"/>
      <c r="HX280" s="255"/>
      <c r="HY280" s="255"/>
      <c r="HZ280" s="255"/>
      <c r="IA280" s="255"/>
      <c r="IB280" s="255"/>
      <c r="IC280" s="255"/>
      <c r="ID280" s="255"/>
      <c r="IE280" s="255"/>
      <c r="IF280" s="255"/>
      <c r="IG280" s="255"/>
      <c r="IH280" s="255"/>
      <c r="II280" s="255"/>
      <c r="IJ280" s="255"/>
      <c r="IK280" s="255"/>
      <c r="IL280" s="255"/>
      <c r="IM280" s="255"/>
      <c r="IN280" s="255"/>
      <c r="IO280" s="255"/>
      <c r="IP280" s="255"/>
      <c r="IQ280" s="255"/>
      <c r="IR280" s="255"/>
      <c r="IS280" s="255"/>
      <c r="IT280" s="255"/>
      <c r="IU280" s="255"/>
      <c r="IV280" s="255"/>
      <c r="IW280" s="255"/>
      <c r="IX280" s="255"/>
      <c r="IY280" s="255"/>
      <c r="IZ280" s="255"/>
      <c r="JA280" s="255"/>
      <c r="JB280" s="255"/>
      <c r="JC280" s="255"/>
      <c r="JD280" s="255"/>
      <c r="JE280" s="255"/>
      <c r="JF280" s="255"/>
      <c r="JG280" s="191"/>
      <c r="JH280" s="255"/>
      <c r="JI280" s="255"/>
      <c r="JJ280" s="255"/>
      <c r="JK280" s="255"/>
      <c r="JL280" s="255"/>
      <c r="JM280" s="255"/>
      <c r="JN280" s="255"/>
      <c r="JO280" s="255"/>
      <c r="JP280" s="255"/>
      <c r="JQ280" s="255"/>
      <c r="JR280" s="255"/>
      <c r="JS280" s="255"/>
      <c r="JT280" s="255"/>
      <c r="JU280" s="255"/>
      <c r="JV280" s="255"/>
      <c r="JW280" s="255"/>
      <c r="JX280" s="255"/>
      <c r="JY280" s="255"/>
      <c r="JZ280" s="255"/>
      <c r="KA280" s="255"/>
      <c r="KB280" s="191"/>
    </row>
    <row r="281" spans="2:288" ht="15" customHeight="1" x14ac:dyDescent="0.35">
      <c r="B281" s="146" t="str">
        <f t="shared" ref="B281:B316" si="23">B75</f>
        <v>Desk 65</v>
      </c>
      <c r="C281" s="148" t="str">
        <v/>
      </c>
      <c r="D281" s="148" t="str">
        <v/>
      </c>
      <c r="E281" s="148" t="str">
        <v/>
      </c>
      <c r="F281" s="148" t="str">
        <v/>
      </c>
      <c r="G281" s="268" t="str">
        <v/>
      </c>
      <c r="H281" s="255"/>
      <c r="I281" s="255"/>
      <c r="J281" s="255"/>
      <c r="K281" s="255"/>
      <c r="L281" s="255"/>
      <c r="M281" s="255"/>
      <c r="N281" s="255"/>
      <c r="O281" s="255"/>
      <c r="P281" s="255"/>
      <c r="Q281" s="255"/>
      <c r="R281" s="255"/>
      <c r="S281" s="255"/>
      <c r="T281" s="255"/>
      <c r="U281" s="255"/>
      <c r="V281" s="255"/>
      <c r="W281" s="255"/>
      <c r="X281" s="255"/>
      <c r="Y281" s="255"/>
      <c r="Z281" s="255"/>
      <c r="AA281" s="255"/>
      <c r="AB281" s="255"/>
      <c r="AC281" s="255"/>
      <c r="AD281" s="255"/>
      <c r="AE281" s="255"/>
      <c r="AF281" s="255"/>
      <c r="AG281" s="255"/>
      <c r="AH281" s="255"/>
      <c r="AI281" s="255"/>
      <c r="AJ281" s="255"/>
      <c r="AK281" s="255"/>
      <c r="AL281" s="255"/>
      <c r="AM281" s="255"/>
      <c r="AN281" s="255"/>
      <c r="AO281" s="255"/>
      <c r="AP281" s="255"/>
      <c r="AQ281" s="255"/>
      <c r="AR281" s="255"/>
      <c r="AS281" s="255"/>
      <c r="AT281" s="255"/>
      <c r="AU281" s="255"/>
      <c r="AV281" s="255"/>
      <c r="AW281" s="255"/>
      <c r="AX281" s="255"/>
      <c r="AY281" s="255"/>
      <c r="AZ281" s="255"/>
      <c r="BA281" s="255"/>
      <c r="BB281" s="255"/>
      <c r="BC281" s="255"/>
      <c r="BD281" s="255"/>
      <c r="BE281" s="255"/>
      <c r="BF281" s="255"/>
      <c r="BG281" s="255"/>
      <c r="BH281" s="255"/>
      <c r="BI281" s="255"/>
      <c r="BJ281" s="255"/>
      <c r="BK281" s="255"/>
      <c r="BL281" s="255"/>
      <c r="BM281" s="255"/>
      <c r="BN281" s="255"/>
      <c r="BO281" s="255"/>
      <c r="BP281" s="255"/>
      <c r="BQ281" s="255"/>
      <c r="BR281" s="255"/>
      <c r="BS281" s="255"/>
      <c r="BT281" s="255"/>
      <c r="BU281" s="255"/>
      <c r="BV281" s="255"/>
      <c r="BW281" s="255"/>
      <c r="BX281" s="255"/>
      <c r="BY281" s="255"/>
      <c r="BZ281" s="255"/>
      <c r="CA281" s="255"/>
      <c r="CB281" s="255"/>
      <c r="CC281" s="255"/>
      <c r="CD281" s="255"/>
      <c r="CE281" s="255"/>
      <c r="CF281" s="255"/>
      <c r="CG281" s="255"/>
      <c r="CH281" s="255"/>
      <c r="CI281" s="255"/>
      <c r="CJ281" s="255"/>
      <c r="CK281" s="255"/>
      <c r="CL281" s="255"/>
      <c r="CM281" s="255"/>
      <c r="CN281" s="255"/>
      <c r="CO281" s="255"/>
      <c r="CP281" s="255"/>
      <c r="CQ281" s="255"/>
      <c r="CR281" s="255"/>
      <c r="CS281" s="255"/>
      <c r="CT281" s="255"/>
      <c r="CU281" s="255"/>
      <c r="CV281" s="255"/>
      <c r="CW281" s="255"/>
      <c r="CX281" s="255"/>
      <c r="CY281" s="255"/>
      <c r="CZ281" s="255"/>
      <c r="DA281" s="255"/>
      <c r="DB281" s="255"/>
      <c r="DC281" s="255"/>
      <c r="DD281" s="255"/>
      <c r="DE281" s="255"/>
      <c r="DF281" s="255"/>
      <c r="DG281" s="255"/>
      <c r="DH281" s="255"/>
      <c r="DI281" s="255"/>
      <c r="DJ281" s="255"/>
      <c r="DK281" s="255"/>
      <c r="DL281" s="255"/>
      <c r="DM281" s="255"/>
      <c r="DN281" s="255"/>
      <c r="DO281" s="255"/>
      <c r="DP281" s="255"/>
      <c r="DQ281" s="255"/>
      <c r="DR281" s="255"/>
      <c r="DS281" s="255"/>
      <c r="DT281" s="255"/>
      <c r="DU281" s="255"/>
      <c r="DV281" s="255"/>
      <c r="DW281" s="191"/>
      <c r="DX281" s="255"/>
      <c r="DY281" s="255"/>
      <c r="DZ281" s="255"/>
      <c r="EA281" s="255"/>
      <c r="EB281" s="255"/>
      <c r="EC281" s="255"/>
      <c r="ED281" s="255"/>
      <c r="EE281" s="255"/>
      <c r="EF281" s="255"/>
      <c r="EG281" s="255"/>
      <c r="EH281" s="255"/>
      <c r="EI281" s="255"/>
      <c r="EJ281" s="255"/>
      <c r="EK281" s="255"/>
      <c r="EL281" s="255"/>
      <c r="EM281" s="255"/>
      <c r="EN281" s="255"/>
      <c r="EO281" s="255"/>
      <c r="EP281" s="255"/>
      <c r="EQ281" s="255"/>
      <c r="ER281" s="191"/>
      <c r="ES281" s="255"/>
      <c r="ET281" s="255"/>
      <c r="EU281" s="255"/>
      <c r="EV281" s="255"/>
      <c r="EW281" s="255"/>
      <c r="EX281" s="255"/>
      <c r="EY281" s="255"/>
      <c r="EZ281" s="255"/>
      <c r="FA281" s="255"/>
      <c r="FB281" s="255"/>
      <c r="FC281" s="255"/>
      <c r="FD281" s="255"/>
      <c r="FE281" s="255"/>
      <c r="FF281" s="255"/>
      <c r="FG281" s="255"/>
      <c r="FH281" s="255"/>
      <c r="FI281" s="255"/>
      <c r="FJ281" s="255"/>
      <c r="FK281" s="255"/>
      <c r="FL281" s="255"/>
      <c r="FM281" s="255"/>
      <c r="FN281" s="255"/>
      <c r="FO281" s="255"/>
      <c r="FP281" s="255"/>
      <c r="FQ281" s="255"/>
      <c r="FR281" s="255"/>
      <c r="FS281" s="255"/>
      <c r="FT281" s="255"/>
      <c r="FU281" s="255"/>
      <c r="FV281" s="255"/>
      <c r="FW281" s="255"/>
      <c r="FX281" s="255"/>
      <c r="FY281" s="255"/>
      <c r="FZ281" s="255"/>
      <c r="GA281" s="255"/>
      <c r="GB281" s="255"/>
      <c r="GC281" s="255"/>
      <c r="GD281" s="255"/>
      <c r="GE281" s="255"/>
      <c r="GF281" s="255"/>
      <c r="GG281" s="255"/>
      <c r="GH281" s="255"/>
      <c r="GI281" s="255"/>
      <c r="GJ281" s="255"/>
      <c r="GK281" s="255"/>
      <c r="GL281" s="255"/>
      <c r="GM281" s="255"/>
      <c r="GN281" s="255"/>
      <c r="GO281" s="255"/>
      <c r="GP281" s="255"/>
      <c r="GQ281" s="255"/>
      <c r="GR281" s="255"/>
      <c r="GS281" s="255"/>
      <c r="GT281" s="255"/>
      <c r="GU281" s="255"/>
      <c r="GV281" s="255"/>
      <c r="GW281" s="255"/>
      <c r="GX281" s="255"/>
      <c r="GY281" s="255"/>
      <c r="GZ281" s="255"/>
      <c r="HA281" s="255"/>
      <c r="HB281" s="255"/>
      <c r="HC281" s="255"/>
      <c r="HD281" s="255"/>
      <c r="HE281" s="255"/>
      <c r="HF281" s="255"/>
      <c r="HG281" s="255"/>
      <c r="HH281" s="255"/>
      <c r="HI281" s="255"/>
      <c r="HJ281" s="255"/>
      <c r="HK281" s="255"/>
      <c r="HL281" s="255"/>
      <c r="HM281" s="255"/>
      <c r="HN281" s="255"/>
      <c r="HO281" s="255"/>
      <c r="HP281" s="255"/>
      <c r="HQ281" s="255"/>
      <c r="HR281" s="255"/>
      <c r="HS281" s="255"/>
      <c r="HT281" s="255"/>
      <c r="HU281" s="255"/>
      <c r="HV281" s="255"/>
      <c r="HW281" s="255"/>
      <c r="HX281" s="255"/>
      <c r="HY281" s="255"/>
      <c r="HZ281" s="255"/>
      <c r="IA281" s="255"/>
      <c r="IB281" s="255"/>
      <c r="IC281" s="255"/>
      <c r="ID281" s="255"/>
      <c r="IE281" s="255"/>
      <c r="IF281" s="255"/>
      <c r="IG281" s="255"/>
      <c r="IH281" s="255"/>
      <c r="II281" s="255"/>
      <c r="IJ281" s="255"/>
      <c r="IK281" s="255"/>
      <c r="IL281" s="255"/>
      <c r="IM281" s="255"/>
      <c r="IN281" s="255"/>
      <c r="IO281" s="255"/>
      <c r="IP281" s="255"/>
      <c r="IQ281" s="255"/>
      <c r="IR281" s="255"/>
      <c r="IS281" s="255"/>
      <c r="IT281" s="255"/>
      <c r="IU281" s="255"/>
      <c r="IV281" s="255"/>
      <c r="IW281" s="255"/>
      <c r="IX281" s="255"/>
      <c r="IY281" s="255"/>
      <c r="IZ281" s="255"/>
      <c r="JA281" s="255"/>
      <c r="JB281" s="255"/>
      <c r="JC281" s="255"/>
      <c r="JD281" s="255"/>
      <c r="JE281" s="255"/>
      <c r="JF281" s="255"/>
      <c r="JG281" s="191"/>
      <c r="JH281" s="255"/>
      <c r="JI281" s="255"/>
      <c r="JJ281" s="255"/>
      <c r="JK281" s="255"/>
      <c r="JL281" s="255"/>
      <c r="JM281" s="255"/>
      <c r="JN281" s="255"/>
      <c r="JO281" s="255"/>
      <c r="JP281" s="255"/>
      <c r="JQ281" s="255"/>
      <c r="JR281" s="255"/>
      <c r="JS281" s="255"/>
      <c r="JT281" s="255"/>
      <c r="JU281" s="255"/>
      <c r="JV281" s="255"/>
      <c r="JW281" s="255"/>
      <c r="JX281" s="255"/>
      <c r="JY281" s="255"/>
      <c r="JZ281" s="255"/>
      <c r="KA281" s="255"/>
      <c r="KB281" s="191"/>
    </row>
    <row r="282" spans="2:288" ht="15" customHeight="1" x14ac:dyDescent="0.35">
      <c r="B282" s="146" t="str">
        <f t="shared" si="23"/>
        <v>Desk 66</v>
      </c>
      <c r="C282" s="148" t="str">
        <v/>
      </c>
      <c r="D282" s="148" t="str">
        <v/>
      </c>
      <c r="E282" s="148" t="str">
        <v/>
      </c>
      <c r="F282" s="148" t="str">
        <v/>
      </c>
      <c r="G282" s="268" t="str">
        <v/>
      </c>
      <c r="H282" s="255"/>
      <c r="I282" s="255"/>
      <c r="J282" s="255"/>
      <c r="K282" s="255"/>
      <c r="L282" s="255"/>
      <c r="M282" s="255"/>
      <c r="N282" s="255"/>
      <c r="O282" s="255"/>
      <c r="P282" s="255"/>
      <c r="Q282" s="255"/>
      <c r="R282" s="255"/>
      <c r="S282" s="255"/>
      <c r="T282" s="255"/>
      <c r="U282" s="255"/>
      <c r="V282" s="255"/>
      <c r="W282" s="255"/>
      <c r="X282" s="255"/>
      <c r="Y282" s="255"/>
      <c r="Z282" s="255"/>
      <c r="AA282" s="255"/>
      <c r="AB282" s="255"/>
      <c r="AC282" s="255"/>
      <c r="AD282" s="255"/>
      <c r="AE282" s="255"/>
      <c r="AF282" s="255"/>
      <c r="AG282" s="255"/>
      <c r="AH282" s="255"/>
      <c r="AI282" s="255"/>
      <c r="AJ282" s="255"/>
      <c r="AK282" s="255"/>
      <c r="AL282" s="255"/>
      <c r="AM282" s="255"/>
      <c r="AN282" s="255"/>
      <c r="AO282" s="255"/>
      <c r="AP282" s="255"/>
      <c r="AQ282" s="255"/>
      <c r="AR282" s="255"/>
      <c r="AS282" s="255"/>
      <c r="AT282" s="255"/>
      <c r="AU282" s="255"/>
      <c r="AV282" s="255"/>
      <c r="AW282" s="255"/>
      <c r="AX282" s="255"/>
      <c r="AY282" s="255"/>
      <c r="AZ282" s="255"/>
      <c r="BA282" s="255"/>
      <c r="BB282" s="255"/>
      <c r="BC282" s="255"/>
      <c r="BD282" s="255"/>
      <c r="BE282" s="255"/>
      <c r="BF282" s="255"/>
      <c r="BG282" s="255"/>
      <c r="BH282" s="255"/>
      <c r="BI282" s="255"/>
      <c r="BJ282" s="255"/>
      <c r="BK282" s="255"/>
      <c r="BL282" s="255"/>
      <c r="BM282" s="255"/>
      <c r="BN282" s="255"/>
      <c r="BO282" s="255"/>
      <c r="BP282" s="255"/>
      <c r="BQ282" s="255"/>
      <c r="BR282" s="255"/>
      <c r="BS282" s="255"/>
      <c r="BT282" s="255"/>
      <c r="BU282" s="255"/>
      <c r="BV282" s="255"/>
      <c r="BW282" s="255"/>
      <c r="BX282" s="255"/>
      <c r="BY282" s="255"/>
      <c r="BZ282" s="255"/>
      <c r="CA282" s="255"/>
      <c r="CB282" s="255"/>
      <c r="CC282" s="255"/>
      <c r="CD282" s="255"/>
      <c r="CE282" s="255"/>
      <c r="CF282" s="255"/>
      <c r="CG282" s="255"/>
      <c r="CH282" s="255"/>
      <c r="CI282" s="255"/>
      <c r="CJ282" s="255"/>
      <c r="CK282" s="255"/>
      <c r="CL282" s="255"/>
      <c r="CM282" s="255"/>
      <c r="CN282" s="255"/>
      <c r="CO282" s="255"/>
      <c r="CP282" s="255"/>
      <c r="CQ282" s="255"/>
      <c r="CR282" s="255"/>
      <c r="CS282" s="255"/>
      <c r="CT282" s="255"/>
      <c r="CU282" s="255"/>
      <c r="CV282" s="255"/>
      <c r="CW282" s="255"/>
      <c r="CX282" s="255"/>
      <c r="CY282" s="255"/>
      <c r="CZ282" s="255"/>
      <c r="DA282" s="255"/>
      <c r="DB282" s="255"/>
      <c r="DC282" s="255"/>
      <c r="DD282" s="255"/>
      <c r="DE282" s="255"/>
      <c r="DF282" s="255"/>
      <c r="DG282" s="255"/>
      <c r="DH282" s="255"/>
      <c r="DI282" s="255"/>
      <c r="DJ282" s="255"/>
      <c r="DK282" s="255"/>
      <c r="DL282" s="255"/>
      <c r="DM282" s="255"/>
      <c r="DN282" s="255"/>
      <c r="DO282" s="255"/>
      <c r="DP282" s="255"/>
      <c r="DQ282" s="255"/>
      <c r="DR282" s="255"/>
      <c r="DS282" s="255"/>
      <c r="DT282" s="255"/>
      <c r="DU282" s="255"/>
      <c r="DV282" s="255"/>
      <c r="DW282" s="191"/>
      <c r="DX282" s="255"/>
      <c r="DY282" s="255"/>
      <c r="DZ282" s="255"/>
      <c r="EA282" s="255"/>
      <c r="EB282" s="255"/>
      <c r="EC282" s="255"/>
      <c r="ED282" s="255"/>
      <c r="EE282" s="255"/>
      <c r="EF282" s="255"/>
      <c r="EG282" s="255"/>
      <c r="EH282" s="255"/>
      <c r="EI282" s="255"/>
      <c r="EJ282" s="255"/>
      <c r="EK282" s="255"/>
      <c r="EL282" s="255"/>
      <c r="EM282" s="255"/>
      <c r="EN282" s="255"/>
      <c r="EO282" s="255"/>
      <c r="EP282" s="255"/>
      <c r="EQ282" s="255"/>
      <c r="ER282" s="191"/>
      <c r="ES282" s="255"/>
      <c r="ET282" s="255"/>
      <c r="EU282" s="255"/>
      <c r="EV282" s="255"/>
      <c r="EW282" s="255"/>
      <c r="EX282" s="255"/>
      <c r="EY282" s="255"/>
      <c r="EZ282" s="255"/>
      <c r="FA282" s="255"/>
      <c r="FB282" s="255"/>
      <c r="FC282" s="255"/>
      <c r="FD282" s="255"/>
      <c r="FE282" s="255"/>
      <c r="FF282" s="255"/>
      <c r="FG282" s="255"/>
      <c r="FH282" s="255"/>
      <c r="FI282" s="255"/>
      <c r="FJ282" s="255"/>
      <c r="FK282" s="255"/>
      <c r="FL282" s="255"/>
      <c r="FM282" s="255"/>
      <c r="FN282" s="255"/>
      <c r="FO282" s="255"/>
      <c r="FP282" s="255"/>
      <c r="FQ282" s="255"/>
      <c r="FR282" s="255"/>
      <c r="FS282" s="255"/>
      <c r="FT282" s="255"/>
      <c r="FU282" s="255"/>
      <c r="FV282" s="255"/>
      <c r="FW282" s="255"/>
      <c r="FX282" s="255"/>
      <c r="FY282" s="255"/>
      <c r="FZ282" s="255"/>
      <c r="GA282" s="255"/>
      <c r="GB282" s="255"/>
      <c r="GC282" s="255"/>
      <c r="GD282" s="255"/>
      <c r="GE282" s="255"/>
      <c r="GF282" s="255"/>
      <c r="GG282" s="255"/>
      <c r="GH282" s="255"/>
      <c r="GI282" s="255"/>
      <c r="GJ282" s="255"/>
      <c r="GK282" s="255"/>
      <c r="GL282" s="255"/>
      <c r="GM282" s="255"/>
      <c r="GN282" s="255"/>
      <c r="GO282" s="255"/>
      <c r="GP282" s="255"/>
      <c r="GQ282" s="255"/>
      <c r="GR282" s="255"/>
      <c r="GS282" s="255"/>
      <c r="GT282" s="255"/>
      <c r="GU282" s="255"/>
      <c r="GV282" s="255"/>
      <c r="GW282" s="255"/>
      <c r="GX282" s="255"/>
      <c r="GY282" s="255"/>
      <c r="GZ282" s="255"/>
      <c r="HA282" s="255"/>
      <c r="HB282" s="255"/>
      <c r="HC282" s="255"/>
      <c r="HD282" s="255"/>
      <c r="HE282" s="255"/>
      <c r="HF282" s="255"/>
      <c r="HG282" s="255"/>
      <c r="HH282" s="255"/>
      <c r="HI282" s="255"/>
      <c r="HJ282" s="255"/>
      <c r="HK282" s="255"/>
      <c r="HL282" s="255"/>
      <c r="HM282" s="255"/>
      <c r="HN282" s="255"/>
      <c r="HO282" s="255"/>
      <c r="HP282" s="255"/>
      <c r="HQ282" s="255"/>
      <c r="HR282" s="255"/>
      <c r="HS282" s="255"/>
      <c r="HT282" s="255"/>
      <c r="HU282" s="255"/>
      <c r="HV282" s="255"/>
      <c r="HW282" s="255"/>
      <c r="HX282" s="255"/>
      <c r="HY282" s="255"/>
      <c r="HZ282" s="255"/>
      <c r="IA282" s="255"/>
      <c r="IB282" s="255"/>
      <c r="IC282" s="255"/>
      <c r="ID282" s="255"/>
      <c r="IE282" s="255"/>
      <c r="IF282" s="255"/>
      <c r="IG282" s="255"/>
      <c r="IH282" s="255"/>
      <c r="II282" s="255"/>
      <c r="IJ282" s="255"/>
      <c r="IK282" s="255"/>
      <c r="IL282" s="255"/>
      <c r="IM282" s="255"/>
      <c r="IN282" s="255"/>
      <c r="IO282" s="255"/>
      <c r="IP282" s="255"/>
      <c r="IQ282" s="255"/>
      <c r="IR282" s="255"/>
      <c r="IS282" s="255"/>
      <c r="IT282" s="255"/>
      <c r="IU282" s="255"/>
      <c r="IV282" s="255"/>
      <c r="IW282" s="255"/>
      <c r="IX282" s="255"/>
      <c r="IY282" s="255"/>
      <c r="IZ282" s="255"/>
      <c r="JA282" s="255"/>
      <c r="JB282" s="255"/>
      <c r="JC282" s="255"/>
      <c r="JD282" s="255"/>
      <c r="JE282" s="255"/>
      <c r="JF282" s="255"/>
      <c r="JG282" s="191"/>
      <c r="JH282" s="255"/>
      <c r="JI282" s="255"/>
      <c r="JJ282" s="255"/>
      <c r="JK282" s="255"/>
      <c r="JL282" s="255"/>
      <c r="JM282" s="255"/>
      <c r="JN282" s="255"/>
      <c r="JO282" s="255"/>
      <c r="JP282" s="255"/>
      <c r="JQ282" s="255"/>
      <c r="JR282" s="255"/>
      <c r="JS282" s="255"/>
      <c r="JT282" s="255"/>
      <c r="JU282" s="255"/>
      <c r="JV282" s="255"/>
      <c r="JW282" s="255"/>
      <c r="JX282" s="255"/>
      <c r="JY282" s="255"/>
      <c r="JZ282" s="255"/>
      <c r="KA282" s="255"/>
      <c r="KB282" s="191"/>
    </row>
    <row r="283" spans="2:288" ht="15" customHeight="1" x14ac:dyDescent="0.35">
      <c r="B283" s="146" t="str">
        <f t="shared" si="23"/>
        <v>Desk 67</v>
      </c>
      <c r="C283" s="148" t="str">
        <v/>
      </c>
      <c r="D283" s="148" t="str">
        <v/>
      </c>
      <c r="E283" s="148" t="str">
        <v/>
      </c>
      <c r="F283" s="148" t="str">
        <v/>
      </c>
      <c r="G283" s="268" t="str">
        <v/>
      </c>
      <c r="H283" s="255"/>
      <c r="I283" s="255"/>
      <c r="J283" s="255"/>
      <c r="K283" s="255"/>
      <c r="L283" s="255"/>
      <c r="M283" s="255"/>
      <c r="N283" s="255"/>
      <c r="O283" s="255"/>
      <c r="P283" s="255"/>
      <c r="Q283" s="255"/>
      <c r="R283" s="255"/>
      <c r="S283" s="255"/>
      <c r="T283" s="255"/>
      <c r="U283" s="255"/>
      <c r="V283" s="255"/>
      <c r="W283" s="255"/>
      <c r="X283" s="255"/>
      <c r="Y283" s="255"/>
      <c r="Z283" s="255"/>
      <c r="AA283" s="255"/>
      <c r="AB283" s="255"/>
      <c r="AC283" s="255"/>
      <c r="AD283" s="255"/>
      <c r="AE283" s="255"/>
      <c r="AF283" s="255"/>
      <c r="AG283" s="255"/>
      <c r="AH283" s="255"/>
      <c r="AI283" s="255"/>
      <c r="AJ283" s="255"/>
      <c r="AK283" s="255"/>
      <c r="AL283" s="255"/>
      <c r="AM283" s="255"/>
      <c r="AN283" s="255"/>
      <c r="AO283" s="255"/>
      <c r="AP283" s="255"/>
      <c r="AQ283" s="255"/>
      <c r="AR283" s="255"/>
      <c r="AS283" s="255"/>
      <c r="AT283" s="255"/>
      <c r="AU283" s="255"/>
      <c r="AV283" s="255"/>
      <c r="AW283" s="255"/>
      <c r="AX283" s="255"/>
      <c r="AY283" s="255"/>
      <c r="AZ283" s="255"/>
      <c r="BA283" s="255"/>
      <c r="BB283" s="255"/>
      <c r="BC283" s="255"/>
      <c r="BD283" s="255"/>
      <c r="BE283" s="255"/>
      <c r="BF283" s="255"/>
      <c r="BG283" s="255"/>
      <c r="BH283" s="255"/>
      <c r="BI283" s="255"/>
      <c r="BJ283" s="255"/>
      <c r="BK283" s="255"/>
      <c r="BL283" s="255"/>
      <c r="BM283" s="255"/>
      <c r="BN283" s="255"/>
      <c r="BO283" s="255"/>
      <c r="BP283" s="255"/>
      <c r="BQ283" s="255"/>
      <c r="BR283" s="255"/>
      <c r="BS283" s="255"/>
      <c r="BT283" s="255"/>
      <c r="BU283" s="255"/>
      <c r="BV283" s="255"/>
      <c r="BW283" s="255"/>
      <c r="BX283" s="255"/>
      <c r="BY283" s="255"/>
      <c r="BZ283" s="255"/>
      <c r="CA283" s="255"/>
      <c r="CB283" s="255"/>
      <c r="CC283" s="255"/>
      <c r="CD283" s="255"/>
      <c r="CE283" s="255"/>
      <c r="CF283" s="255"/>
      <c r="CG283" s="255"/>
      <c r="CH283" s="255"/>
      <c r="CI283" s="255"/>
      <c r="CJ283" s="255"/>
      <c r="CK283" s="255"/>
      <c r="CL283" s="255"/>
      <c r="CM283" s="255"/>
      <c r="CN283" s="255"/>
      <c r="CO283" s="255"/>
      <c r="CP283" s="255"/>
      <c r="CQ283" s="255"/>
      <c r="CR283" s="255"/>
      <c r="CS283" s="255"/>
      <c r="CT283" s="255"/>
      <c r="CU283" s="255"/>
      <c r="CV283" s="255"/>
      <c r="CW283" s="255"/>
      <c r="CX283" s="255"/>
      <c r="CY283" s="255"/>
      <c r="CZ283" s="255"/>
      <c r="DA283" s="255"/>
      <c r="DB283" s="255"/>
      <c r="DC283" s="255"/>
      <c r="DD283" s="255"/>
      <c r="DE283" s="255"/>
      <c r="DF283" s="255"/>
      <c r="DG283" s="255"/>
      <c r="DH283" s="255"/>
      <c r="DI283" s="255"/>
      <c r="DJ283" s="255"/>
      <c r="DK283" s="255"/>
      <c r="DL283" s="255"/>
      <c r="DM283" s="255"/>
      <c r="DN283" s="255"/>
      <c r="DO283" s="255"/>
      <c r="DP283" s="255"/>
      <c r="DQ283" s="255"/>
      <c r="DR283" s="255"/>
      <c r="DS283" s="255"/>
      <c r="DT283" s="255"/>
      <c r="DU283" s="255"/>
      <c r="DV283" s="255"/>
      <c r="DW283" s="191"/>
      <c r="DX283" s="255"/>
      <c r="DY283" s="255"/>
      <c r="DZ283" s="255"/>
      <c r="EA283" s="255"/>
      <c r="EB283" s="255"/>
      <c r="EC283" s="255"/>
      <c r="ED283" s="255"/>
      <c r="EE283" s="255"/>
      <c r="EF283" s="255"/>
      <c r="EG283" s="255"/>
      <c r="EH283" s="255"/>
      <c r="EI283" s="255"/>
      <c r="EJ283" s="255"/>
      <c r="EK283" s="255"/>
      <c r="EL283" s="255"/>
      <c r="EM283" s="255"/>
      <c r="EN283" s="255"/>
      <c r="EO283" s="255"/>
      <c r="EP283" s="255"/>
      <c r="EQ283" s="255"/>
      <c r="ER283" s="191"/>
      <c r="ES283" s="255"/>
      <c r="ET283" s="255"/>
      <c r="EU283" s="255"/>
      <c r="EV283" s="255"/>
      <c r="EW283" s="255"/>
      <c r="EX283" s="255"/>
      <c r="EY283" s="255"/>
      <c r="EZ283" s="255"/>
      <c r="FA283" s="255"/>
      <c r="FB283" s="255"/>
      <c r="FC283" s="255"/>
      <c r="FD283" s="255"/>
      <c r="FE283" s="255"/>
      <c r="FF283" s="255"/>
      <c r="FG283" s="255"/>
      <c r="FH283" s="255"/>
      <c r="FI283" s="255"/>
      <c r="FJ283" s="255"/>
      <c r="FK283" s="255"/>
      <c r="FL283" s="255"/>
      <c r="FM283" s="255"/>
      <c r="FN283" s="255"/>
      <c r="FO283" s="255"/>
      <c r="FP283" s="255"/>
      <c r="FQ283" s="255"/>
      <c r="FR283" s="255"/>
      <c r="FS283" s="255"/>
      <c r="FT283" s="255"/>
      <c r="FU283" s="255"/>
      <c r="FV283" s="255"/>
      <c r="FW283" s="255"/>
      <c r="FX283" s="255"/>
      <c r="FY283" s="255"/>
      <c r="FZ283" s="255"/>
      <c r="GA283" s="255"/>
      <c r="GB283" s="255"/>
      <c r="GC283" s="255"/>
      <c r="GD283" s="255"/>
      <c r="GE283" s="255"/>
      <c r="GF283" s="255"/>
      <c r="GG283" s="255"/>
      <c r="GH283" s="255"/>
      <c r="GI283" s="255"/>
      <c r="GJ283" s="255"/>
      <c r="GK283" s="255"/>
      <c r="GL283" s="255"/>
      <c r="GM283" s="255"/>
      <c r="GN283" s="255"/>
      <c r="GO283" s="255"/>
      <c r="GP283" s="255"/>
      <c r="GQ283" s="255"/>
      <c r="GR283" s="255"/>
      <c r="GS283" s="255"/>
      <c r="GT283" s="255"/>
      <c r="GU283" s="255"/>
      <c r="GV283" s="255"/>
      <c r="GW283" s="255"/>
      <c r="GX283" s="255"/>
      <c r="GY283" s="255"/>
      <c r="GZ283" s="255"/>
      <c r="HA283" s="255"/>
      <c r="HB283" s="255"/>
      <c r="HC283" s="255"/>
      <c r="HD283" s="255"/>
      <c r="HE283" s="255"/>
      <c r="HF283" s="255"/>
      <c r="HG283" s="255"/>
      <c r="HH283" s="255"/>
      <c r="HI283" s="255"/>
      <c r="HJ283" s="255"/>
      <c r="HK283" s="255"/>
      <c r="HL283" s="255"/>
      <c r="HM283" s="255"/>
      <c r="HN283" s="255"/>
      <c r="HO283" s="255"/>
      <c r="HP283" s="255"/>
      <c r="HQ283" s="255"/>
      <c r="HR283" s="255"/>
      <c r="HS283" s="255"/>
      <c r="HT283" s="255"/>
      <c r="HU283" s="255"/>
      <c r="HV283" s="255"/>
      <c r="HW283" s="255"/>
      <c r="HX283" s="255"/>
      <c r="HY283" s="255"/>
      <c r="HZ283" s="255"/>
      <c r="IA283" s="255"/>
      <c r="IB283" s="255"/>
      <c r="IC283" s="255"/>
      <c r="ID283" s="255"/>
      <c r="IE283" s="255"/>
      <c r="IF283" s="255"/>
      <c r="IG283" s="255"/>
      <c r="IH283" s="255"/>
      <c r="II283" s="255"/>
      <c r="IJ283" s="255"/>
      <c r="IK283" s="255"/>
      <c r="IL283" s="255"/>
      <c r="IM283" s="255"/>
      <c r="IN283" s="255"/>
      <c r="IO283" s="255"/>
      <c r="IP283" s="255"/>
      <c r="IQ283" s="255"/>
      <c r="IR283" s="255"/>
      <c r="IS283" s="255"/>
      <c r="IT283" s="255"/>
      <c r="IU283" s="255"/>
      <c r="IV283" s="255"/>
      <c r="IW283" s="255"/>
      <c r="IX283" s="255"/>
      <c r="IY283" s="255"/>
      <c r="IZ283" s="255"/>
      <c r="JA283" s="255"/>
      <c r="JB283" s="255"/>
      <c r="JC283" s="255"/>
      <c r="JD283" s="255"/>
      <c r="JE283" s="255"/>
      <c r="JF283" s="255"/>
      <c r="JG283" s="191"/>
      <c r="JH283" s="255"/>
      <c r="JI283" s="255"/>
      <c r="JJ283" s="255"/>
      <c r="JK283" s="255"/>
      <c r="JL283" s="255"/>
      <c r="JM283" s="255"/>
      <c r="JN283" s="255"/>
      <c r="JO283" s="255"/>
      <c r="JP283" s="255"/>
      <c r="JQ283" s="255"/>
      <c r="JR283" s="255"/>
      <c r="JS283" s="255"/>
      <c r="JT283" s="255"/>
      <c r="JU283" s="255"/>
      <c r="JV283" s="255"/>
      <c r="JW283" s="255"/>
      <c r="JX283" s="255"/>
      <c r="JY283" s="255"/>
      <c r="JZ283" s="255"/>
      <c r="KA283" s="255"/>
      <c r="KB283" s="191"/>
    </row>
    <row r="284" spans="2:288" ht="15" customHeight="1" x14ac:dyDescent="0.35">
      <c r="B284" s="146" t="str">
        <f t="shared" si="23"/>
        <v>Desk 68</v>
      </c>
      <c r="C284" s="148" t="str">
        <v/>
      </c>
      <c r="D284" s="148" t="str">
        <v/>
      </c>
      <c r="E284" s="148" t="str">
        <v/>
      </c>
      <c r="F284" s="148" t="str">
        <v/>
      </c>
      <c r="G284" s="268" t="str">
        <v/>
      </c>
      <c r="H284" s="255"/>
      <c r="I284" s="255"/>
      <c r="J284" s="255"/>
      <c r="K284" s="255"/>
      <c r="L284" s="255"/>
      <c r="M284" s="255"/>
      <c r="N284" s="255"/>
      <c r="O284" s="255"/>
      <c r="P284" s="255"/>
      <c r="Q284" s="255"/>
      <c r="R284" s="255"/>
      <c r="S284" s="255"/>
      <c r="T284" s="255"/>
      <c r="U284" s="255"/>
      <c r="V284" s="255"/>
      <c r="W284" s="255"/>
      <c r="X284" s="255"/>
      <c r="Y284" s="255"/>
      <c r="Z284" s="255"/>
      <c r="AA284" s="255"/>
      <c r="AB284" s="255"/>
      <c r="AC284" s="255"/>
      <c r="AD284" s="255"/>
      <c r="AE284" s="255"/>
      <c r="AF284" s="255"/>
      <c r="AG284" s="255"/>
      <c r="AH284" s="255"/>
      <c r="AI284" s="255"/>
      <c r="AJ284" s="255"/>
      <c r="AK284" s="255"/>
      <c r="AL284" s="255"/>
      <c r="AM284" s="255"/>
      <c r="AN284" s="255"/>
      <c r="AO284" s="255"/>
      <c r="AP284" s="255"/>
      <c r="AQ284" s="255"/>
      <c r="AR284" s="255"/>
      <c r="AS284" s="255"/>
      <c r="AT284" s="255"/>
      <c r="AU284" s="255"/>
      <c r="AV284" s="255"/>
      <c r="AW284" s="255"/>
      <c r="AX284" s="255"/>
      <c r="AY284" s="255"/>
      <c r="AZ284" s="255"/>
      <c r="BA284" s="255"/>
      <c r="BB284" s="255"/>
      <c r="BC284" s="255"/>
      <c r="BD284" s="255"/>
      <c r="BE284" s="255"/>
      <c r="BF284" s="255"/>
      <c r="BG284" s="255"/>
      <c r="BH284" s="255"/>
      <c r="BI284" s="255"/>
      <c r="BJ284" s="255"/>
      <c r="BK284" s="255"/>
      <c r="BL284" s="255"/>
      <c r="BM284" s="255"/>
      <c r="BN284" s="255"/>
      <c r="BO284" s="255"/>
      <c r="BP284" s="255"/>
      <c r="BQ284" s="255"/>
      <c r="BR284" s="255"/>
      <c r="BS284" s="255"/>
      <c r="BT284" s="255"/>
      <c r="BU284" s="255"/>
      <c r="BV284" s="255"/>
      <c r="BW284" s="255"/>
      <c r="BX284" s="255"/>
      <c r="BY284" s="255"/>
      <c r="BZ284" s="255"/>
      <c r="CA284" s="255"/>
      <c r="CB284" s="255"/>
      <c r="CC284" s="255"/>
      <c r="CD284" s="255"/>
      <c r="CE284" s="255"/>
      <c r="CF284" s="255"/>
      <c r="CG284" s="255"/>
      <c r="CH284" s="255"/>
      <c r="CI284" s="255"/>
      <c r="CJ284" s="255"/>
      <c r="CK284" s="255"/>
      <c r="CL284" s="255"/>
      <c r="CM284" s="255"/>
      <c r="CN284" s="255"/>
      <c r="CO284" s="255"/>
      <c r="CP284" s="255"/>
      <c r="CQ284" s="255"/>
      <c r="CR284" s="255"/>
      <c r="CS284" s="255"/>
      <c r="CT284" s="255"/>
      <c r="CU284" s="255"/>
      <c r="CV284" s="255"/>
      <c r="CW284" s="255"/>
      <c r="CX284" s="255"/>
      <c r="CY284" s="255"/>
      <c r="CZ284" s="255"/>
      <c r="DA284" s="255"/>
      <c r="DB284" s="255"/>
      <c r="DC284" s="255"/>
      <c r="DD284" s="255"/>
      <c r="DE284" s="255"/>
      <c r="DF284" s="255"/>
      <c r="DG284" s="255"/>
      <c r="DH284" s="255"/>
      <c r="DI284" s="255"/>
      <c r="DJ284" s="255"/>
      <c r="DK284" s="255"/>
      <c r="DL284" s="255"/>
      <c r="DM284" s="255"/>
      <c r="DN284" s="255"/>
      <c r="DO284" s="255"/>
      <c r="DP284" s="255"/>
      <c r="DQ284" s="255"/>
      <c r="DR284" s="255"/>
      <c r="DS284" s="255"/>
      <c r="DT284" s="255"/>
      <c r="DU284" s="255"/>
      <c r="DV284" s="255"/>
      <c r="DW284" s="191"/>
      <c r="DX284" s="255"/>
      <c r="DY284" s="255"/>
      <c r="DZ284" s="255"/>
      <c r="EA284" s="255"/>
      <c r="EB284" s="255"/>
      <c r="EC284" s="255"/>
      <c r="ED284" s="255"/>
      <c r="EE284" s="255"/>
      <c r="EF284" s="255"/>
      <c r="EG284" s="255"/>
      <c r="EH284" s="255"/>
      <c r="EI284" s="255"/>
      <c r="EJ284" s="255"/>
      <c r="EK284" s="255"/>
      <c r="EL284" s="255"/>
      <c r="EM284" s="255"/>
      <c r="EN284" s="255"/>
      <c r="EO284" s="255"/>
      <c r="EP284" s="255"/>
      <c r="EQ284" s="255"/>
      <c r="ER284" s="191"/>
      <c r="ES284" s="255"/>
      <c r="ET284" s="255"/>
      <c r="EU284" s="255"/>
      <c r="EV284" s="255"/>
      <c r="EW284" s="255"/>
      <c r="EX284" s="255"/>
      <c r="EY284" s="255"/>
      <c r="EZ284" s="255"/>
      <c r="FA284" s="255"/>
      <c r="FB284" s="255"/>
      <c r="FC284" s="255"/>
      <c r="FD284" s="255"/>
      <c r="FE284" s="255"/>
      <c r="FF284" s="255"/>
      <c r="FG284" s="255"/>
      <c r="FH284" s="255"/>
      <c r="FI284" s="255"/>
      <c r="FJ284" s="255"/>
      <c r="FK284" s="255"/>
      <c r="FL284" s="255"/>
      <c r="FM284" s="255"/>
      <c r="FN284" s="255"/>
      <c r="FO284" s="255"/>
      <c r="FP284" s="255"/>
      <c r="FQ284" s="255"/>
      <c r="FR284" s="255"/>
      <c r="FS284" s="255"/>
      <c r="FT284" s="255"/>
      <c r="FU284" s="255"/>
      <c r="FV284" s="255"/>
      <c r="FW284" s="255"/>
      <c r="FX284" s="255"/>
      <c r="FY284" s="255"/>
      <c r="FZ284" s="255"/>
      <c r="GA284" s="255"/>
      <c r="GB284" s="255"/>
      <c r="GC284" s="255"/>
      <c r="GD284" s="255"/>
      <c r="GE284" s="255"/>
      <c r="GF284" s="255"/>
      <c r="GG284" s="255"/>
      <c r="GH284" s="255"/>
      <c r="GI284" s="255"/>
      <c r="GJ284" s="255"/>
      <c r="GK284" s="255"/>
      <c r="GL284" s="255"/>
      <c r="GM284" s="255"/>
      <c r="GN284" s="255"/>
      <c r="GO284" s="255"/>
      <c r="GP284" s="255"/>
      <c r="GQ284" s="255"/>
      <c r="GR284" s="255"/>
      <c r="GS284" s="255"/>
      <c r="GT284" s="255"/>
      <c r="GU284" s="255"/>
      <c r="GV284" s="255"/>
      <c r="GW284" s="255"/>
      <c r="GX284" s="255"/>
      <c r="GY284" s="255"/>
      <c r="GZ284" s="255"/>
      <c r="HA284" s="255"/>
      <c r="HB284" s="255"/>
      <c r="HC284" s="255"/>
      <c r="HD284" s="255"/>
      <c r="HE284" s="255"/>
      <c r="HF284" s="255"/>
      <c r="HG284" s="255"/>
      <c r="HH284" s="255"/>
      <c r="HI284" s="255"/>
      <c r="HJ284" s="255"/>
      <c r="HK284" s="255"/>
      <c r="HL284" s="255"/>
      <c r="HM284" s="255"/>
      <c r="HN284" s="255"/>
      <c r="HO284" s="255"/>
      <c r="HP284" s="255"/>
      <c r="HQ284" s="255"/>
      <c r="HR284" s="255"/>
      <c r="HS284" s="255"/>
      <c r="HT284" s="255"/>
      <c r="HU284" s="255"/>
      <c r="HV284" s="255"/>
      <c r="HW284" s="255"/>
      <c r="HX284" s="255"/>
      <c r="HY284" s="255"/>
      <c r="HZ284" s="255"/>
      <c r="IA284" s="255"/>
      <c r="IB284" s="255"/>
      <c r="IC284" s="255"/>
      <c r="ID284" s="255"/>
      <c r="IE284" s="255"/>
      <c r="IF284" s="255"/>
      <c r="IG284" s="255"/>
      <c r="IH284" s="255"/>
      <c r="II284" s="255"/>
      <c r="IJ284" s="255"/>
      <c r="IK284" s="255"/>
      <c r="IL284" s="255"/>
      <c r="IM284" s="255"/>
      <c r="IN284" s="255"/>
      <c r="IO284" s="255"/>
      <c r="IP284" s="255"/>
      <c r="IQ284" s="255"/>
      <c r="IR284" s="255"/>
      <c r="IS284" s="255"/>
      <c r="IT284" s="255"/>
      <c r="IU284" s="255"/>
      <c r="IV284" s="255"/>
      <c r="IW284" s="255"/>
      <c r="IX284" s="255"/>
      <c r="IY284" s="255"/>
      <c r="IZ284" s="255"/>
      <c r="JA284" s="255"/>
      <c r="JB284" s="255"/>
      <c r="JC284" s="255"/>
      <c r="JD284" s="255"/>
      <c r="JE284" s="255"/>
      <c r="JF284" s="255"/>
      <c r="JG284" s="191"/>
      <c r="JH284" s="255"/>
      <c r="JI284" s="255"/>
      <c r="JJ284" s="255"/>
      <c r="JK284" s="255"/>
      <c r="JL284" s="255"/>
      <c r="JM284" s="255"/>
      <c r="JN284" s="255"/>
      <c r="JO284" s="255"/>
      <c r="JP284" s="255"/>
      <c r="JQ284" s="255"/>
      <c r="JR284" s="255"/>
      <c r="JS284" s="255"/>
      <c r="JT284" s="255"/>
      <c r="JU284" s="255"/>
      <c r="JV284" s="255"/>
      <c r="JW284" s="255"/>
      <c r="JX284" s="255"/>
      <c r="JY284" s="255"/>
      <c r="JZ284" s="255"/>
      <c r="KA284" s="255"/>
      <c r="KB284" s="191"/>
    </row>
    <row r="285" spans="2:288" ht="15" customHeight="1" x14ac:dyDescent="0.35">
      <c r="B285" s="146" t="str">
        <f t="shared" si="23"/>
        <v>Desk 69</v>
      </c>
      <c r="C285" s="148" t="str">
        <v/>
      </c>
      <c r="D285" s="148" t="str">
        <v/>
      </c>
      <c r="E285" s="148" t="str">
        <v/>
      </c>
      <c r="F285" s="148" t="str">
        <v/>
      </c>
      <c r="G285" s="268" t="str">
        <v/>
      </c>
      <c r="H285" s="255"/>
      <c r="I285" s="255"/>
      <c r="J285" s="255"/>
      <c r="K285" s="255"/>
      <c r="L285" s="255"/>
      <c r="M285" s="255"/>
      <c r="N285" s="255"/>
      <c r="O285" s="255"/>
      <c r="P285" s="255"/>
      <c r="Q285" s="255"/>
      <c r="R285" s="255"/>
      <c r="S285" s="255"/>
      <c r="T285" s="255"/>
      <c r="U285" s="255"/>
      <c r="V285" s="255"/>
      <c r="W285" s="255"/>
      <c r="X285" s="255"/>
      <c r="Y285" s="255"/>
      <c r="Z285" s="255"/>
      <c r="AA285" s="255"/>
      <c r="AB285" s="255"/>
      <c r="AC285" s="255"/>
      <c r="AD285" s="255"/>
      <c r="AE285" s="255"/>
      <c r="AF285" s="255"/>
      <c r="AG285" s="255"/>
      <c r="AH285" s="255"/>
      <c r="AI285" s="255"/>
      <c r="AJ285" s="255"/>
      <c r="AK285" s="255"/>
      <c r="AL285" s="255"/>
      <c r="AM285" s="255"/>
      <c r="AN285" s="255"/>
      <c r="AO285" s="255"/>
      <c r="AP285" s="255"/>
      <c r="AQ285" s="255"/>
      <c r="AR285" s="255"/>
      <c r="AS285" s="255"/>
      <c r="AT285" s="255"/>
      <c r="AU285" s="255"/>
      <c r="AV285" s="255"/>
      <c r="AW285" s="255"/>
      <c r="AX285" s="255"/>
      <c r="AY285" s="255"/>
      <c r="AZ285" s="255"/>
      <c r="BA285" s="255"/>
      <c r="BB285" s="255"/>
      <c r="BC285" s="255"/>
      <c r="BD285" s="255"/>
      <c r="BE285" s="255"/>
      <c r="BF285" s="255"/>
      <c r="BG285" s="255"/>
      <c r="BH285" s="255"/>
      <c r="BI285" s="255"/>
      <c r="BJ285" s="255"/>
      <c r="BK285" s="255"/>
      <c r="BL285" s="255"/>
      <c r="BM285" s="255"/>
      <c r="BN285" s="255"/>
      <c r="BO285" s="255"/>
      <c r="BP285" s="255"/>
      <c r="BQ285" s="255"/>
      <c r="BR285" s="255"/>
      <c r="BS285" s="255"/>
      <c r="BT285" s="255"/>
      <c r="BU285" s="255"/>
      <c r="BV285" s="255"/>
      <c r="BW285" s="255"/>
      <c r="BX285" s="255"/>
      <c r="BY285" s="255"/>
      <c r="BZ285" s="255"/>
      <c r="CA285" s="255"/>
      <c r="CB285" s="255"/>
      <c r="CC285" s="255"/>
      <c r="CD285" s="255"/>
      <c r="CE285" s="255"/>
      <c r="CF285" s="255"/>
      <c r="CG285" s="255"/>
      <c r="CH285" s="255"/>
      <c r="CI285" s="255"/>
      <c r="CJ285" s="255"/>
      <c r="CK285" s="255"/>
      <c r="CL285" s="255"/>
      <c r="CM285" s="255"/>
      <c r="CN285" s="255"/>
      <c r="CO285" s="255"/>
      <c r="CP285" s="255"/>
      <c r="CQ285" s="255"/>
      <c r="CR285" s="255"/>
      <c r="CS285" s="255"/>
      <c r="CT285" s="255"/>
      <c r="CU285" s="255"/>
      <c r="CV285" s="255"/>
      <c r="CW285" s="255"/>
      <c r="CX285" s="255"/>
      <c r="CY285" s="255"/>
      <c r="CZ285" s="255"/>
      <c r="DA285" s="255"/>
      <c r="DB285" s="255"/>
      <c r="DC285" s="255"/>
      <c r="DD285" s="255"/>
      <c r="DE285" s="255"/>
      <c r="DF285" s="255"/>
      <c r="DG285" s="255"/>
      <c r="DH285" s="255"/>
      <c r="DI285" s="255"/>
      <c r="DJ285" s="255"/>
      <c r="DK285" s="255"/>
      <c r="DL285" s="255"/>
      <c r="DM285" s="255"/>
      <c r="DN285" s="255"/>
      <c r="DO285" s="255"/>
      <c r="DP285" s="255"/>
      <c r="DQ285" s="255"/>
      <c r="DR285" s="255"/>
      <c r="DS285" s="255"/>
      <c r="DT285" s="255"/>
      <c r="DU285" s="255"/>
      <c r="DV285" s="255"/>
      <c r="DW285" s="191"/>
      <c r="DX285" s="255"/>
      <c r="DY285" s="255"/>
      <c r="DZ285" s="255"/>
      <c r="EA285" s="255"/>
      <c r="EB285" s="255"/>
      <c r="EC285" s="255"/>
      <c r="ED285" s="255"/>
      <c r="EE285" s="255"/>
      <c r="EF285" s="255"/>
      <c r="EG285" s="255"/>
      <c r="EH285" s="255"/>
      <c r="EI285" s="255"/>
      <c r="EJ285" s="255"/>
      <c r="EK285" s="255"/>
      <c r="EL285" s="255"/>
      <c r="EM285" s="255"/>
      <c r="EN285" s="255"/>
      <c r="EO285" s="255"/>
      <c r="EP285" s="255"/>
      <c r="EQ285" s="255"/>
      <c r="ER285" s="191"/>
      <c r="ES285" s="255"/>
      <c r="ET285" s="255"/>
      <c r="EU285" s="255"/>
      <c r="EV285" s="255"/>
      <c r="EW285" s="255"/>
      <c r="EX285" s="255"/>
      <c r="EY285" s="255"/>
      <c r="EZ285" s="255"/>
      <c r="FA285" s="255"/>
      <c r="FB285" s="255"/>
      <c r="FC285" s="255"/>
      <c r="FD285" s="255"/>
      <c r="FE285" s="255"/>
      <c r="FF285" s="255"/>
      <c r="FG285" s="255"/>
      <c r="FH285" s="255"/>
      <c r="FI285" s="255"/>
      <c r="FJ285" s="255"/>
      <c r="FK285" s="255"/>
      <c r="FL285" s="255"/>
      <c r="FM285" s="255"/>
      <c r="FN285" s="255"/>
      <c r="FO285" s="255"/>
      <c r="FP285" s="255"/>
      <c r="FQ285" s="255"/>
      <c r="FR285" s="255"/>
      <c r="FS285" s="255"/>
      <c r="FT285" s="255"/>
      <c r="FU285" s="255"/>
      <c r="FV285" s="255"/>
      <c r="FW285" s="255"/>
      <c r="FX285" s="255"/>
      <c r="FY285" s="255"/>
      <c r="FZ285" s="255"/>
      <c r="GA285" s="255"/>
      <c r="GB285" s="255"/>
      <c r="GC285" s="255"/>
      <c r="GD285" s="255"/>
      <c r="GE285" s="255"/>
      <c r="GF285" s="255"/>
      <c r="GG285" s="255"/>
      <c r="GH285" s="255"/>
      <c r="GI285" s="255"/>
      <c r="GJ285" s="255"/>
      <c r="GK285" s="255"/>
      <c r="GL285" s="255"/>
      <c r="GM285" s="255"/>
      <c r="GN285" s="255"/>
      <c r="GO285" s="255"/>
      <c r="GP285" s="255"/>
      <c r="GQ285" s="255"/>
      <c r="GR285" s="255"/>
      <c r="GS285" s="255"/>
      <c r="GT285" s="255"/>
      <c r="GU285" s="255"/>
      <c r="GV285" s="255"/>
      <c r="GW285" s="255"/>
      <c r="GX285" s="255"/>
      <c r="GY285" s="255"/>
      <c r="GZ285" s="255"/>
      <c r="HA285" s="255"/>
      <c r="HB285" s="255"/>
      <c r="HC285" s="255"/>
      <c r="HD285" s="255"/>
      <c r="HE285" s="255"/>
      <c r="HF285" s="255"/>
      <c r="HG285" s="255"/>
      <c r="HH285" s="255"/>
      <c r="HI285" s="255"/>
      <c r="HJ285" s="255"/>
      <c r="HK285" s="255"/>
      <c r="HL285" s="255"/>
      <c r="HM285" s="255"/>
      <c r="HN285" s="255"/>
      <c r="HO285" s="255"/>
      <c r="HP285" s="255"/>
      <c r="HQ285" s="255"/>
      <c r="HR285" s="255"/>
      <c r="HS285" s="255"/>
      <c r="HT285" s="255"/>
      <c r="HU285" s="255"/>
      <c r="HV285" s="255"/>
      <c r="HW285" s="255"/>
      <c r="HX285" s="255"/>
      <c r="HY285" s="255"/>
      <c r="HZ285" s="255"/>
      <c r="IA285" s="255"/>
      <c r="IB285" s="255"/>
      <c r="IC285" s="255"/>
      <c r="ID285" s="255"/>
      <c r="IE285" s="255"/>
      <c r="IF285" s="255"/>
      <c r="IG285" s="255"/>
      <c r="IH285" s="255"/>
      <c r="II285" s="255"/>
      <c r="IJ285" s="255"/>
      <c r="IK285" s="255"/>
      <c r="IL285" s="255"/>
      <c r="IM285" s="255"/>
      <c r="IN285" s="255"/>
      <c r="IO285" s="255"/>
      <c r="IP285" s="255"/>
      <c r="IQ285" s="255"/>
      <c r="IR285" s="255"/>
      <c r="IS285" s="255"/>
      <c r="IT285" s="255"/>
      <c r="IU285" s="255"/>
      <c r="IV285" s="255"/>
      <c r="IW285" s="255"/>
      <c r="IX285" s="255"/>
      <c r="IY285" s="255"/>
      <c r="IZ285" s="255"/>
      <c r="JA285" s="255"/>
      <c r="JB285" s="255"/>
      <c r="JC285" s="255"/>
      <c r="JD285" s="255"/>
      <c r="JE285" s="255"/>
      <c r="JF285" s="255"/>
      <c r="JG285" s="191"/>
      <c r="JH285" s="255"/>
      <c r="JI285" s="255"/>
      <c r="JJ285" s="255"/>
      <c r="JK285" s="255"/>
      <c r="JL285" s="255"/>
      <c r="JM285" s="255"/>
      <c r="JN285" s="255"/>
      <c r="JO285" s="255"/>
      <c r="JP285" s="255"/>
      <c r="JQ285" s="255"/>
      <c r="JR285" s="255"/>
      <c r="JS285" s="255"/>
      <c r="JT285" s="255"/>
      <c r="JU285" s="255"/>
      <c r="JV285" s="255"/>
      <c r="JW285" s="255"/>
      <c r="JX285" s="255"/>
      <c r="JY285" s="255"/>
      <c r="JZ285" s="255"/>
      <c r="KA285" s="255"/>
      <c r="KB285" s="191"/>
    </row>
    <row r="286" spans="2:288" ht="15" customHeight="1" x14ac:dyDescent="0.35">
      <c r="B286" s="146" t="str">
        <f t="shared" si="23"/>
        <v>Desk 70</v>
      </c>
      <c r="C286" s="148" t="str">
        <v/>
      </c>
      <c r="D286" s="148" t="str">
        <v/>
      </c>
      <c r="E286" s="148" t="str">
        <v/>
      </c>
      <c r="F286" s="148" t="str">
        <v/>
      </c>
      <c r="G286" s="268" t="str">
        <v/>
      </c>
      <c r="H286" s="255"/>
      <c r="I286" s="255"/>
      <c r="J286" s="255"/>
      <c r="K286" s="255"/>
      <c r="L286" s="255"/>
      <c r="M286" s="255"/>
      <c r="N286" s="255"/>
      <c r="O286" s="255"/>
      <c r="P286" s="255"/>
      <c r="Q286" s="255"/>
      <c r="R286" s="255"/>
      <c r="S286" s="255"/>
      <c r="T286" s="255"/>
      <c r="U286" s="255"/>
      <c r="V286" s="255"/>
      <c r="W286" s="255"/>
      <c r="X286" s="255"/>
      <c r="Y286" s="255"/>
      <c r="Z286" s="255"/>
      <c r="AA286" s="255"/>
      <c r="AB286" s="255"/>
      <c r="AC286" s="255"/>
      <c r="AD286" s="255"/>
      <c r="AE286" s="255"/>
      <c r="AF286" s="255"/>
      <c r="AG286" s="255"/>
      <c r="AH286" s="255"/>
      <c r="AI286" s="255"/>
      <c r="AJ286" s="255"/>
      <c r="AK286" s="255"/>
      <c r="AL286" s="255"/>
      <c r="AM286" s="255"/>
      <c r="AN286" s="255"/>
      <c r="AO286" s="255"/>
      <c r="AP286" s="255"/>
      <c r="AQ286" s="255"/>
      <c r="AR286" s="255"/>
      <c r="AS286" s="255"/>
      <c r="AT286" s="255"/>
      <c r="AU286" s="255"/>
      <c r="AV286" s="255"/>
      <c r="AW286" s="255"/>
      <c r="AX286" s="255"/>
      <c r="AY286" s="255"/>
      <c r="AZ286" s="255"/>
      <c r="BA286" s="255"/>
      <c r="BB286" s="255"/>
      <c r="BC286" s="255"/>
      <c r="BD286" s="255"/>
      <c r="BE286" s="255"/>
      <c r="BF286" s="255"/>
      <c r="BG286" s="255"/>
      <c r="BH286" s="255"/>
      <c r="BI286" s="255"/>
      <c r="BJ286" s="255"/>
      <c r="BK286" s="255"/>
      <c r="BL286" s="255"/>
      <c r="BM286" s="255"/>
      <c r="BN286" s="255"/>
      <c r="BO286" s="255"/>
      <c r="BP286" s="255"/>
      <c r="BQ286" s="255"/>
      <c r="BR286" s="255"/>
      <c r="BS286" s="255"/>
      <c r="BT286" s="255"/>
      <c r="BU286" s="255"/>
      <c r="BV286" s="255"/>
      <c r="BW286" s="255"/>
      <c r="BX286" s="255"/>
      <c r="BY286" s="255"/>
      <c r="BZ286" s="255"/>
      <c r="CA286" s="255"/>
      <c r="CB286" s="255"/>
      <c r="CC286" s="255"/>
      <c r="CD286" s="255"/>
      <c r="CE286" s="255"/>
      <c r="CF286" s="255"/>
      <c r="CG286" s="255"/>
      <c r="CH286" s="255"/>
      <c r="CI286" s="255"/>
      <c r="CJ286" s="255"/>
      <c r="CK286" s="255"/>
      <c r="CL286" s="255"/>
      <c r="CM286" s="255"/>
      <c r="CN286" s="255"/>
      <c r="CO286" s="255"/>
      <c r="CP286" s="255"/>
      <c r="CQ286" s="255"/>
      <c r="CR286" s="255"/>
      <c r="CS286" s="255"/>
      <c r="CT286" s="255"/>
      <c r="CU286" s="255"/>
      <c r="CV286" s="255"/>
      <c r="CW286" s="255"/>
      <c r="CX286" s="255"/>
      <c r="CY286" s="255"/>
      <c r="CZ286" s="255"/>
      <c r="DA286" s="255"/>
      <c r="DB286" s="255"/>
      <c r="DC286" s="255"/>
      <c r="DD286" s="255"/>
      <c r="DE286" s="255"/>
      <c r="DF286" s="255"/>
      <c r="DG286" s="255"/>
      <c r="DH286" s="255"/>
      <c r="DI286" s="255"/>
      <c r="DJ286" s="255"/>
      <c r="DK286" s="255"/>
      <c r="DL286" s="255"/>
      <c r="DM286" s="255"/>
      <c r="DN286" s="255"/>
      <c r="DO286" s="255"/>
      <c r="DP286" s="255"/>
      <c r="DQ286" s="255"/>
      <c r="DR286" s="255"/>
      <c r="DS286" s="255"/>
      <c r="DT286" s="255"/>
      <c r="DU286" s="255"/>
      <c r="DV286" s="255"/>
      <c r="DW286" s="191"/>
      <c r="DX286" s="255"/>
      <c r="DY286" s="255"/>
      <c r="DZ286" s="255"/>
      <c r="EA286" s="255"/>
      <c r="EB286" s="255"/>
      <c r="EC286" s="255"/>
      <c r="ED286" s="255"/>
      <c r="EE286" s="255"/>
      <c r="EF286" s="255"/>
      <c r="EG286" s="255"/>
      <c r="EH286" s="255"/>
      <c r="EI286" s="255"/>
      <c r="EJ286" s="255"/>
      <c r="EK286" s="255"/>
      <c r="EL286" s="255"/>
      <c r="EM286" s="255"/>
      <c r="EN286" s="255"/>
      <c r="EO286" s="255"/>
      <c r="EP286" s="255"/>
      <c r="EQ286" s="255"/>
      <c r="ER286" s="191"/>
      <c r="ES286" s="255"/>
      <c r="ET286" s="255"/>
      <c r="EU286" s="255"/>
      <c r="EV286" s="255"/>
      <c r="EW286" s="255"/>
      <c r="EX286" s="255"/>
      <c r="EY286" s="255"/>
      <c r="EZ286" s="255"/>
      <c r="FA286" s="255"/>
      <c r="FB286" s="255"/>
      <c r="FC286" s="255"/>
      <c r="FD286" s="255"/>
      <c r="FE286" s="255"/>
      <c r="FF286" s="255"/>
      <c r="FG286" s="255"/>
      <c r="FH286" s="255"/>
      <c r="FI286" s="255"/>
      <c r="FJ286" s="255"/>
      <c r="FK286" s="255"/>
      <c r="FL286" s="255"/>
      <c r="FM286" s="255"/>
      <c r="FN286" s="255"/>
      <c r="FO286" s="255"/>
      <c r="FP286" s="255"/>
      <c r="FQ286" s="255"/>
      <c r="FR286" s="255"/>
      <c r="FS286" s="255"/>
      <c r="FT286" s="255"/>
      <c r="FU286" s="255"/>
      <c r="FV286" s="255"/>
      <c r="FW286" s="255"/>
      <c r="FX286" s="255"/>
      <c r="FY286" s="255"/>
      <c r="FZ286" s="255"/>
      <c r="GA286" s="255"/>
      <c r="GB286" s="255"/>
      <c r="GC286" s="255"/>
      <c r="GD286" s="255"/>
      <c r="GE286" s="255"/>
      <c r="GF286" s="255"/>
      <c r="GG286" s="255"/>
      <c r="GH286" s="255"/>
      <c r="GI286" s="255"/>
      <c r="GJ286" s="255"/>
      <c r="GK286" s="255"/>
      <c r="GL286" s="255"/>
      <c r="GM286" s="255"/>
      <c r="GN286" s="255"/>
      <c r="GO286" s="255"/>
      <c r="GP286" s="255"/>
      <c r="GQ286" s="255"/>
      <c r="GR286" s="255"/>
      <c r="GS286" s="255"/>
      <c r="GT286" s="255"/>
      <c r="GU286" s="255"/>
      <c r="GV286" s="255"/>
      <c r="GW286" s="255"/>
      <c r="GX286" s="255"/>
      <c r="GY286" s="255"/>
      <c r="GZ286" s="255"/>
      <c r="HA286" s="255"/>
      <c r="HB286" s="255"/>
      <c r="HC286" s="255"/>
      <c r="HD286" s="255"/>
      <c r="HE286" s="255"/>
      <c r="HF286" s="255"/>
      <c r="HG286" s="255"/>
      <c r="HH286" s="255"/>
      <c r="HI286" s="255"/>
      <c r="HJ286" s="255"/>
      <c r="HK286" s="255"/>
      <c r="HL286" s="255"/>
      <c r="HM286" s="255"/>
      <c r="HN286" s="255"/>
      <c r="HO286" s="255"/>
      <c r="HP286" s="255"/>
      <c r="HQ286" s="255"/>
      <c r="HR286" s="255"/>
      <c r="HS286" s="255"/>
      <c r="HT286" s="255"/>
      <c r="HU286" s="255"/>
      <c r="HV286" s="255"/>
      <c r="HW286" s="255"/>
      <c r="HX286" s="255"/>
      <c r="HY286" s="255"/>
      <c r="HZ286" s="255"/>
      <c r="IA286" s="255"/>
      <c r="IB286" s="255"/>
      <c r="IC286" s="255"/>
      <c r="ID286" s="255"/>
      <c r="IE286" s="255"/>
      <c r="IF286" s="255"/>
      <c r="IG286" s="255"/>
      <c r="IH286" s="255"/>
      <c r="II286" s="255"/>
      <c r="IJ286" s="255"/>
      <c r="IK286" s="255"/>
      <c r="IL286" s="255"/>
      <c r="IM286" s="255"/>
      <c r="IN286" s="255"/>
      <c r="IO286" s="255"/>
      <c r="IP286" s="255"/>
      <c r="IQ286" s="255"/>
      <c r="IR286" s="255"/>
      <c r="IS286" s="255"/>
      <c r="IT286" s="255"/>
      <c r="IU286" s="255"/>
      <c r="IV286" s="255"/>
      <c r="IW286" s="255"/>
      <c r="IX286" s="255"/>
      <c r="IY286" s="255"/>
      <c r="IZ286" s="255"/>
      <c r="JA286" s="255"/>
      <c r="JB286" s="255"/>
      <c r="JC286" s="255"/>
      <c r="JD286" s="255"/>
      <c r="JE286" s="255"/>
      <c r="JF286" s="255"/>
      <c r="JG286" s="191"/>
      <c r="JH286" s="255"/>
      <c r="JI286" s="255"/>
      <c r="JJ286" s="255"/>
      <c r="JK286" s="255"/>
      <c r="JL286" s="255"/>
      <c r="JM286" s="255"/>
      <c r="JN286" s="255"/>
      <c r="JO286" s="255"/>
      <c r="JP286" s="255"/>
      <c r="JQ286" s="255"/>
      <c r="JR286" s="255"/>
      <c r="JS286" s="255"/>
      <c r="JT286" s="255"/>
      <c r="JU286" s="255"/>
      <c r="JV286" s="255"/>
      <c r="JW286" s="255"/>
      <c r="JX286" s="255"/>
      <c r="JY286" s="255"/>
      <c r="JZ286" s="255"/>
      <c r="KA286" s="255"/>
      <c r="KB286" s="191"/>
    </row>
    <row r="287" spans="2:288" ht="15" customHeight="1" x14ac:dyDescent="0.35">
      <c r="B287" s="146" t="str">
        <f t="shared" si="23"/>
        <v>Desk 71</v>
      </c>
      <c r="C287" s="148" t="str">
        <v/>
      </c>
      <c r="D287" s="148" t="str">
        <v/>
      </c>
      <c r="E287" s="148" t="str">
        <v/>
      </c>
      <c r="F287" s="148" t="str">
        <v/>
      </c>
      <c r="G287" s="268" t="str">
        <v/>
      </c>
      <c r="H287" s="255"/>
      <c r="I287" s="255"/>
      <c r="J287" s="255"/>
      <c r="K287" s="255"/>
      <c r="L287" s="255"/>
      <c r="M287" s="255"/>
      <c r="N287" s="255"/>
      <c r="O287" s="255"/>
      <c r="P287" s="255"/>
      <c r="Q287" s="255"/>
      <c r="R287" s="255"/>
      <c r="S287" s="255"/>
      <c r="T287" s="255"/>
      <c r="U287" s="255"/>
      <c r="V287" s="255"/>
      <c r="W287" s="255"/>
      <c r="X287" s="255"/>
      <c r="Y287" s="255"/>
      <c r="Z287" s="255"/>
      <c r="AA287" s="255"/>
      <c r="AB287" s="255"/>
      <c r="AC287" s="255"/>
      <c r="AD287" s="255"/>
      <c r="AE287" s="255"/>
      <c r="AF287" s="255"/>
      <c r="AG287" s="255"/>
      <c r="AH287" s="255"/>
      <c r="AI287" s="255"/>
      <c r="AJ287" s="255"/>
      <c r="AK287" s="255"/>
      <c r="AL287" s="255"/>
      <c r="AM287" s="255"/>
      <c r="AN287" s="255"/>
      <c r="AO287" s="255"/>
      <c r="AP287" s="255"/>
      <c r="AQ287" s="255"/>
      <c r="AR287" s="255"/>
      <c r="AS287" s="255"/>
      <c r="AT287" s="255"/>
      <c r="AU287" s="255"/>
      <c r="AV287" s="255"/>
      <c r="AW287" s="255"/>
      <c r="AX287" s="255"/>
      <c r="AY287" s="255"/>
      <c r="AZ287" s="255"/>
      <c r="BA287" s="255"/>
      <c r="BB287" s="255"/>
      <c r="BC287" s="255"/>
      <c r="BD287" s="255"/>
      <c r="BE287" s="255"/>
      <c r="BF287" s="255"/>
      <c r="BG287" s="255"/>
      <c r="BH287" s="255"/>
      <c r="BI287" s="255"/>
      <c r="BJ287" s="255"/>
      <c r="BK287" s="255"/>
      <c r="BL287" s="255"/>
      <c r="BM287" s="255"/>
      <c r="BN287" s="255"/>
      <c r="BO287" s="255"/>
      <c r="BP287" s="255"/>
      <c r="BQ287" s="255"/>
      <c r="BR287" s="255"/>
      <c r="BS287" s="255"/>
      <c r="BT287" s="255"/>
      <c r="BU287" s="255"/>
      <c r="BV287" s="255"/>
      <c r="BW287" s="255"/>
      <c r="BX287" s="255"/>
      <c r="BY287" s="255"/>
      <c r="BZ287" s="255"/>
      <c r="CA287" s="255"/>
      <c r="CB287" s="255"/>
      <c r="CC287" s="255"/>
      <c r="CD287" s="255"/>
      <c r="CE287" s="255"/>
      <c r="CF287" s="255"/>
      <c r="CG287" s="255"/>
      <c r="CH287" s="255"/>
      <c r="CI287" s="255"/>
      <c r="CJ287" s="255"/>
      <c r="CK287" s="255"/>
      <c r="CL287" s="255"/>
      <c r="CM287" s="255"/>
      <c r="CN287" s="255"/>
      <c r="CO287" s="255"/>
      <c r="CP287" s="255"/>
      <c r="CQ287" s="255"/>
      <c r="CR287" s="255"/>
      <c r="CS287" s="255"/>
      <c r="CT287" s="255"/>
      <c r="CU287" s="255"/>
      <c r="CV287" s="255"/>
      <c r="CW287" s="255"/>
      <c r="CX287" s="255"/>
      <c r="CY287" s="255"/>
      <c r="CZ287" s="255"/>
      <c r="DA287" s="255"/>
      <c r="DB287" s="255"/>
      <c r="DC287" s="255"/>
      <c r="DD287" s="255"/>
      <c r="DE287" s="255"/>
      <c r="DF287" s="255"/>
      <c r="DG287" s="255"/>
      <c r="DH287" s="255"/>
      <c r="DI287" s="255"/>
      <c r="DJ287" s="255"/>
      <c r="DK287" s="255"/>
      <c r="DL287" s="255"/>
      <c r="DM287" s="255"/>
      <c r="DN287" s="255"/>
      <c r="DO287" s="255"/>
      <c r="DP287" s="255"/>
      <c r="DQ287" s="255"/>
      <c r="DR287" s="255"/>
      <c r="DS287" s="255"/>
      <c r="DT287" s="255"/>
      <c r="DU287" s="255"/>
      <c r="DV287" s="255"/>
      <c r="DW287" s="191"/>
      <c r="DX287" s="255"/>
      <c r="DY287" s="255"/>
      <c r="DZ287" s="255"/>
      <c r="EA287" s="255"/>
      <c r="EB287" s="255"/>
      <c r="EC287" s="255"/>
      <c r="ED287" s="255"/>
      <c r="EE287" s="255"/>
      <c r="EF287" s="255"/>
      <c r="EG287" s="255"/>
      <c r="EH287" s="255"/>
      <c r="EI287" s="255"/>
      <c r="EJ287" s="255"/>
      <c r="EK287" s="255"/>
      <c r="EL287" s="255"/>
      <c r="EM287" s="255"/>
      <c r="EN287" s="255"/>
      <c r="EO287" s="255"/>
      <c r="EP287" s="255"/>
      <c r="EQ287" s="255"/>
      <c r="ER287" s="191"/>
      <c r="ES287" s="255"/>
      <c r="ET287" s="255"/>
      <c r="EU287" s="255"/>
      <c r="EV287" s="255"/>
      <c r="EW287" s="255"/>
      <c r="EX287" s="255"/>
      <c r="EY287" s="255"/>
      <c r="EZ287" s="255"/>
      <c r="FA287" s="255"/>
      <c r="FB287" s="255"/>
      <c r="FC287" s="255"/>
      <c r="FD287" s="255"/>
      <c r="FE287" s="255"/>
      <c r="FF287" s="255"/>
      <c r="FG287" s="255"/>
      <c r="FH287" s="255"/>
      <c r="FI287" s="255"/>
      <c r="FJ287" s="255"/>
      <c r="FK287" s="255"/>
      <c r="FL287" s="255"/>
      <c r="FM287" s="255"/>
      <c r="FN287" s="255"/>
      <c r="FO287" s="255"/>
      <c r="FP287" s="255"/>
      <c r="FQ287" s="255"/>
      <c r="FR287" s="255"/>
      <c r="FS287" s="255"/>
      <c r="FT287" s="255"/>
      <c r="FU287" s="255"/>
      <c r="FV287" s="255"/>
      <c r="FW287" s="255"/>
      <c r="FX287" s="255"/>
      <c r="FY287" s="255"/>
      <c r="FZ287" s="255"/>
      <c r="GA287" s="255"/>
      <c r="GB287" s="255"/>
      <c r="GC287" s="255"/>
      <c r="GD287" s="255"/>
      <c r="GE287" s="255"/>
      <c r="GF287" s="255"/>
      <c r="GG287" s="255"/>
      <c r="GH287" s="255"/>
      <c r="GI287" s="255"/>
      <c r="GJ287" s="255"/>
      <c r="GK287" s="255"/>
      <c r="GL287" s="255"/>
      <c r="GM287" s="255"/>
      <c r="GN287" s="255"/>
      <c r="GO287" s="255"/>
      <c r="GP287" s="255"/>
      <c r="GQ287" s="255"/>
      <c r="GR287" s="255"/>
      <c r="GS287" s="255"/>
      <c r="GT287" s="255"/>
      <c r="GU287" s="255"/>
      <c r="GV287" s="255"/>
      <c r="GW287" s="255"/>
      <c r="GX287" s="255"/>
      <c r="GY287" s="255"/>
      <c r="GZ287" s="255"/>
      <c r="HA287" s="255"/>
      <c r="HB287" s="255"/>
      <c r="HC287" s="255"/>
      <c r="HD287" s="255"/>
      <c r="HE287" s="255"/>
      <c r="HF287" s="255"/>
      <c r="HG287" s="255"/>
      <c r="HH287" s="255"/>
      <c r="HI287" s="255"/>
      <c r="HJ287" s="255"/>
      <c r="HK287" s="255"/>
      <c r="HL287" s="255"/>
      <c r="HM287" s="255"/>
      <c r="HN287" s="255"/>
      <c r="HO287" s="255"/>
      <c r="HP287" s="255"/>
      <c r="HQ287" s="255"/>
      <c r="HR287" s="255"/>
      <c r="HS287" s="255"/>
      <c r="HT287" s="255"/>
      <c r="HU287" s="255"/>
      <c r="HV287" s="255"/>
      <c r="HW287" s="255"/>
      <c r="HX287" s="255"/>
      <c r="HY287" s="255"/>
      <c r="HZ287" s="255"/>
      <c r="IA287" s="255"/>
      <c r="IB287" s="255"/>
      <c r="IC287" s="255"/>
      <c r="ID287" s="255"/>
      <c r="IE287" s="255"/>
      <c r="IF287" s="255"/>
      <c r="IG287" s="255"/>
      <c r="IH287" s="255"/>
      <c r="II287" s="255"/>
      <c r="IJ287" s="255"/>
      <c r="IK287" s="255"/>
      <c r="IL287" s="255"/>
      <c r="IM287" s="255"/>
      <c r="IN287" s="255"/>
      <c r="IO287" s="255"/>
      <c r="IP287" s="255"/>
      <c r="IQ287" s="255"/>
      <c r="IR287" s="255"/>
      <c r="IS287" s="255"/>
      <c r="IT287" s="255"/>
      <c r="IU287" s="255"/>
      <c r="IV287" s="255"/>
      <c r="IW287" s="255"/>
      <c r="IX287" s="255"/>
      <c r="IY287" s="255"/>
      <c r="IZ287" s="255"/>
      <c r="JA287" s="255"/>
      <c r="JB287" s="255"/>
      <c r="JC287" s="255"/>
      <c r="JD287" s="255"/>
      <c r="JE287" s="255"/>
      <c r="JF287" s="255"/>
      <c r="JG287" s="191"/>
      <c r="JH287" s="255"/>
      <c r="JI287" s="255"/>
      <c r="JJ287" s="255"/>
      <c r="JK287" s="255"/>
      <c r="JL287" s="255"/>
      <c r="JM287" s="255"/>
      <c r="JN287" s="255"/>
      <c r="JO287" s="255"/>
      <c r="JP287" s="255"/>
      <c r="JQ287" s="255"/>
      <c r="JR287" s="255"/>
      <c r="JS287" s="255"/>
      <c r="JT287" s="255"/>
      <c r="JU287" s="255"/>
      <c r="JV287" s="255"/>
      <c r="JW287" s="255"/>
      <c r="JX287" s="255"/>
      <c r="JY287" s="255"/>
      <c r="JZ287" s="255"/>
      <c r="KA287" s="255"/>
      <c r="KB287" s="191"/>
    </row>
    <row r="288" spans="2:288" ht="15" customHeight="1" x14ac:dyDescent="0.35">
      <c r="B288" s="146" t="str">
        <f t="shared" si="23"/>
        <v>Desk 72</v>
      </c>
      <c r="C288" s="148" t="str">
        <v/>
      </c>
      <c r="D288" s="148" t="str">
        <v/>
      </c>
      <c r="E288" s="148" t="str">
        <v/>
      </c>
      <c r="F288" s="148" t="str">
        <v/>
      </c>
      <c r="G288" s="268" t="str">
        <v/>
      </c>
      <c r="H288" s="255"/>
      <c r="I288" s="255"/>
      <c r="J288" s="255"/>
      <c r="K288" s="255"/>
      <c r="L288" s="255"/>
      <c r="M288" s="255"/>
      <c r="N288" s="255"/>
      <c r="O288" s="255"/>
      <c r="P288" s="255"/>
      <c r="Q288" s="255"/>
      <c r="R288" s="255"/>
      <c r="S288" s="255"/>
      <c r="T288" s="255"/>
      <c r="U288" s="255"/>
      <c r="V288" s="255"/>
      <c r="W288" s="255"/>
      <c r="X288" s="255"/>
      <c r="Y288" s="255"/>
      <c r="Z288" s="255"/>
      <c r="AA288" s="255"/>
      <c r="AB288" s="255"/>
      <c r="AC288" s="255"/>
      <c r="AD288" s="255"/>
      <c r="AE288" s="255"/>
      <c r="AF288" s="255"/>
      <c r="AG288" s="255"/>
      <c r="AH288" s="255"/>
      <c r="AI288" s="255"/>
      <c r="AJ288" s="255"/>
      <c r="AK288" s="255"/>
      <c r="AL288" s="255"/>
      <c r="AM288" s="255"/>
      <c r="AN288" s="255"/>
      <c r="AO288" s="255"/>
      <c r="AP288" s="255"/>
      <c r="AQ288" s="255"/>
      <c r="AR288" s="255"/>
      <c r="AS288" s="255"/>
      <c r="AT288" s="255"/>
      <c r="AU288" s="255"/>
      <c r="AV288" s="255"/>
      <c r="AW288" s="255"/>
      <c r="AX288" s="255"/>
      <c r="AY288" s="255"/>
      <c r="AZ288" s="255"/>
      <c r="BA288" s="255"/>
      <c r="BB288" s="255"/>
      <c r="BC288" s="255"/>
      <c r="BD288" s="255"/>
      <c r="BE288" s="255"/>
      <c r="BF288" s="255"/>
      <c r="BG288" s="255"/>
      <c r="BH288" s="255"/>
      <c r="BI288" s="255"/>
      <c r="BJ288" s="255"/>
      <c r="BK288" s="255"/>
      <c r="BL288" s="255"/>
      <c r="BM288" s="255"/>
      <c r="BN288" s="255"/>
      <c r="BO288" s="255"/>
      <c r="BP288" s="255"/>
      <c r="BQ288" s="255"/>
      <c r="BR288" s="255"/>
      <c r="BS288" s="255"/>
      <c r="BT288" s="255"/>
      <c r="BU288" s="255"/>
      <c r="BV288" s="255"/>
      <c r="BW288" s="255"/>
      <c r="BX288" s="255"/>
      <c r="BY288" s="255"/>
      <c r="BZ288" s="255"/>
      <c r="CA288" s="255"/>
      <c r="CB288" s="255"/>
      <c r="CC288" s="255"/>
      <c r="CD288" s="255"/>
      <c r="CE288" s="255"/>
      <c r="CF288" s="255"/>
      <c r="CG288" s="255"/>
      <c r="CH288" s="255"/>
      <c r="CI288" s="255"/>
      <c r="CJ288" s="255"/>
      <c r="CK288" s="255"/>
      <c r="CL288" s="255"/>
      <c r="CM288" s="255"/>
      <c r="CN288" s="255"/>
      <c r="CO288" s="255"/>
      <c r="CP288" s="255"/>
      <c r="CQ288" s="255"/>
      <c r="CR288" s="255"/>
      <c r="CS288" s="255"/>
      <c r="CT288" s="255"/>
      <c r="CU288" s="255"/>
      <c r="CV288" s="255"/>
      <c r="CW288" s="255"/>
      <c r="CX288" s="255"/>
      <c r="CY288" s="255"/>
      <c r="CZ288" s="255"/>
      <c r="DA288" s="255"/>
      <c r="DB288" s="255"/>
      <c r="DC288" s="255"/>
      <c r="DD288" s="255"/>
      <c r="DE288" s="255"/>
      <c r="DF288" s="255"/>
      <c r="DG288" s="255"/>
      <c r="DH288" s="255"/>
      <c r="DI288" s="255"/>
      <c r="DJ288" s="255"/>
      <c r="DK288" s="255"/>
      <c r="DL288" s="255"/>
      <c r="DM288" s="255"/>
      <c r="DN288" s="255"/>
      <c r="DO288" s="255"/>
      <c r="DP288" s="255"/>
      <c r="DQ288" s="255"/>
      <c r="DR288" s="255"/>
      <c r="DS288" s="255"/>
      <c r="DT288" s="255"/>
      <c r="DU288" s="255"/>
      <c r="DV288" s="255"/>
      <c r="DW288" s="191"/>
      <c r="DX288" s="255"/>
      <c r="DY288" s="255"/>
      <c r="DZ288" s="255"/>
      <c r="EA288" s="255"/>
      <c r="EB288" s="255"/>
      <c r="EC288" s="255"/>
      <c r="ED288" s="255"/>
      <c r="EE288" s="255"/>
      <c r="EF288" s="255"/>
      <c r="EG288" s="255"/>
      <c r="EH288" s="255"/>
      <c r="EI288" s="255"/>
      <c r="EJ288" s="255"/>
      <c r="EK288" s="255"/>
      <c r="EL288" s="255"/>
      <c r="EM288" s="255"/>
      <c r="EN288" s="255"/>
      <c r="EO288" s="255"/>
      <c r="EP288" s="255"/>
      <c r="EQ288" s="255"/>
      <c r="ER288" s="191"/>
      <c r="ES288" s="255"/>
      <c r="ET288" s="255"/>
      <c r="EU288" s="255"/>
      <c r="EV288" s="255"/>
      <c r="EW288" s="255"/>
      <c r="EX288" s="255"/>
      <c r="EY288" s="255"/>
      <c r="EZ288" s="255"/>
      <c r="FA288" s="255"/>
      <c r="FB288" s="255"/>
      <c r="FC288" s="255"/>
      <c r="FD288" s="255"/>
      <c r="FE288" s="255"/>
      <c r="FF288" s="255"/>
      <c r="FG288" s="255"/>
      <c r="FH288" s="255"/>
      <c r="FI288" s="255"/>
      <c r="FJ288" s="255"/>
      <c r="FK288" s="255"/>
      <c r="FL288" s="255"/>
      <c r="FM288" s="255"/>
      <c r="FN288" s="255"/>
      <c r="FO288" s="255"/>
      <c r="FP288" s="255"/>
      <c r="FQ288" s="255"/>
      <c r="FR288" s="255"/>
      <c r="FS288" s="255"/>
      <c r="FT288" s="255"/>
      <c r="FU288" s="255"/>
      <c r="FV288" s="255"/>
      <c r="FW288" s="255"/>
      <c r="FX288" s="255"/>
      <c r="FY288" s="255"/>
      <c r="FZ288" s="255"/>
      <c r="GA288" s="255"/>
      <c r="GB288" s="255"/>
      <c r="GC288" s="255"/>
      <c r="GD288" s="255"/>
      <c r="GE288" s="255"/>
      <c r="GF288" s="255"/>
      <c r="GG288" s="255"/>
      <c r="GH288" s="255"/>
      <c r="GI288" s="255"/>
      <c r="GJ288" s="255"/>
      <c r="GK288" s="255"/>
      <c r="GL288" s="255"/>
      <c r="GM288" s="255"/>
      <c r="GN288" s="255"/>
      <c r="GO288" s="255"/>
      <c r="GP288" s="255"/>
      <c r="GQ288" s="255"/>
      <c r="GR288" s="255"/>
      <c r="GS288" s="255"/>
      <c r="GT288" s="255"/>
      <c r="GU288" s="255"/>
      <c r="GV288" s="255"/>
      <c r="GW288" s="255"/>
      <c r="GX288" s="255"/>
      <c r="GY288" s="255"/>
      <c r="GZ288" s="255"/>
      <c r="HA288" s="255"/>
      <c r="HB288" s="255"/>
      <c r="HC288" s="255"/>
      <c r="HD288" s="255"/>
      <c r="HE288" s="255"/>
      <c r="HF288" s="255"/>
      <c r="HG288" s="255"/>
      <c r="HH288" s="255"/>
      <c r="HI288" s="255"/>
      <c r="HJ288" s="255"/>
      <c r="HK288" s="255"/>
      <c r="HL288" s="255"/>
      <c r="HM288" s="255"/>
      <c r="HN288" s="255"/>
      <c r="HO288" s="255"/>
      <c r="HP288" s="255"/>
      <c r="HQ288" s="255"/>
      <c r="HR288" s="255"/>
      <c r="HS288" s="255"/>
      <c r="HT288" s="255"/>
      <c r="HU288" s="255"/>
      <c r="HV288" s="255"/>
      <c r="HW288" s="255"/>
      <c r="HX288" s="255"/>
      <c r="HY288" s="255"/>
      <c r="HZ288" s="255"/>
      <c r="IA288" s="255"/>
      <c r="IB288" s="255"/>
      <c r="IC288" s="255"/>
      <c r="ID288" s="255"/>
      <c r="IE288" s="255"/>
      <c r="IF288" s="255"/>
      <c r="IG288" s="255"/>
      <c r="IH288" s="255"/>
      <c r="II288" s="255"/>
      <c r="IJ288" s="255"/>
      <c r="IK288" s="255"/>
      <c r="IL288" s="255"/>
      <c r="IM288" s="255"/>
      <c r="IN288" s="255"/>
      <c r="IO288" s="255"/>
      <c r="IP288" s="255"/>
      <c r="IQ288" s="255"/>
      <c r="IR288" s="255"/>
      <c r="IS288" s="255"/>
      <c r="IT288" s="255"/>
      <c r="IU288" s="255"/>
      <c r="IV288" s="255"/>
      <c r="IW288" s="255"/>
      <c r="IX288" s="255"/>
      <c r="IY288" s="255"/>
      <c r="IZ288" s="255"/>
      <c r="JA288" s="255"/>
      <c r="JB288" s="255"/>
      <c r="JC288" s="255"/>
      <c r="JD288" s="255"/>
      <c r="JE288" s="255"/>
      <c r="JF288" s="255"/>
      <c r="JG288" s="191"/>
      <c r="JH288" s="255"/>
      <c r="JI288" s="255"/>
      <c r="JJ288" s="255"/>
      <c r="JK288" s="255"/>
      <c r="JL288" s="255"/>
      <c r="JM288" s="255"/>
      <c r="JN288" s="255"/>
      <c r="JO288" s="255"/>
      <c r="JP288" s="255"/>
      <c r="JQ288" s="255"/>
      <c r="JR288" s="255"/>
      <c r="JS288" s="255"/>
      <c r="JT288" s="255"/>
      <c r="JU288" s="255"/>
      <c r="JV288" s="255"/>
      <c r="JW288" s="255"/>
      <c r="JX288" s="255"/>
      <c r="JY288" s="255"/>
      <c r="JZ288" s="255"/>
      <c r="KA288" s="255"/>
      <c r="KB288" s="191"/>
    </row>
    <row r="289" spans="2:288" ht="15" customHeight="1" x14ac:dyDescent="0.35">
      <c r="B289" s="146" t="str">
        <f t="shared" si="23"/>
        <v>Desk 73</v>
      </c>
      <c r="C289" s="148" t="str">
        <v/>
      </c>
      <c r="D289" s="148" t="str">
        <v/>
      </c>
      <c r="E289" s="148" t="str">
        <v/>
      </c>
      <c r="F289" s="148" t="str">
        <v/>
      </c>
      <c r="G289" s="268" t="str">
        <v/>
      </c>
      <c r="H289" s="255"/>
      <c r="I289" s="255"/>
      <c r="J289" s="255"/>
      <c r="K289" s="255"/>
      <c r="L289" s="255"/>
      <c r="M289" s="255"/>
      <c r="N289" s="255"/>
      <c r="O289" s="255"/>
      <c r="P289" s="255"/>
      <c r="Q289" s="255"/>
      <c r="R289" s="255"/>
      <c r="S289" s="255"/>
      <c r="T289" s="255"/>
      <c r="U289" s="255"/>
      <c r="V289" s="255"/>
      <c r="W289" s="255"/>
      <c r="X289" s="255"/>
      <c r="Y289" s="255"/>
      <c r="Z289" s="255"/>
      <c r="AA289" s="255"/>
      <c r="AB289" s="255"/>
      <c r="AC289" s="255"/>
      <c r="AD289" s="255"/>
      <c r="AE289" s="255"/>
      <c r="AF289" s="255"/>
      <c r="AG289" s="255"/>
      <c r="AH289" s="255"/>
      <c r="AI289" s="255"/>
      <c r="AJ289" s="255"/>
      <c r="AK289" s="255"/>
      <c r="AL289" s="255"/>
      <c r="AM289" s="255"/>
      <c r="AN289" s="255"/>
      <c r="AO289" s="255"/>
      <c r="AP289" s="255"/>
      <c r="AQ289" s="255"/>
      <c r="AR289" s="255"/>
      <c r="AS289" s="255"/>
      <c r="AT289" s="255"/>
      <c r="AU289" s="255"/>
      <c r="AV289" s="255"/>
      <c r="AW289" s="255"/>
      <c r="AX289" s="255"/>
      <c r="AY289" s="255"/>
      <c r="AZ289" s="255"/>
      <c r="BA289" s="255"/>
      <c r="BB289" s="255"/>
      <c r="BC289" s="255"/>
      <c r="BD289" s="255"/>
      <c r="BE289" s="255"/>
      <c r="BF289" s="255"/>
      <c r="BG289" s="255"/>
      <c r="BH289" s="255"/>
      <c r="BI289" s="255"/>
      <c r="BJ289" s="255"/>
      <c r="BK289" s="255"/>
      <c r="BL289" s="255"/>
      <c r="BM289" s="255"/>
      <c r="BN289" s="255"/>
      <c r="BO289" s="255"/>
      <c r="BP289" s="255"/>
      <c r="BQ289" s="255"/>
      <c r="BR289" s="255"/>
      <c r="BS289" s="255"/>
      <c r="BT289" s="255"/>
      <c r="BU289" s="255"/>
      <c r="BV289" s="255"/>
      <c r="BW289" s="255"/>
      <c r="BX289" s="255"/>
      <c r="BY289" s="255"/>
      <c r="BZ289" s="255"/>
      <c r="CA289" s="255"/>
      <c r="CB289" s="255"/>
      <c r="CC289" s="255"/>
      <c r="CD289" s="255"/>
      <c r="CE289" s="255"/>
      <c r="CF289" s="255"/>
      <c r="CG289" s="255"/>
      <c r="CH289" s="255"/>
      <c r="CI289" s="255"/>
      <c r="CJ289" s="255"/>
      <c r="CK289" s="255"/>
      <c r="CL289" s="255"/>
      <c r="CM289" s="255"/>
      <c r="CN289" s="255"/>
      <c r="CO289" s="255"/>
      <c r="CP289" s="255"/>
      <c r="CQ289" s="255"/>
      <c r="CR289" s="255"/>
      <c r="CS289" s="255"/>
      <c r="CT289" s="255"/>
      <c r="CU289" s="255"/>
      <c r="CV289" s="255"/>
      <c r="CW289" s="255"/>
      <c r="CX289" s="255"/>
      <c r="CY289" s="255"/>
      <c r="CZ289" s="255"/>
      <c r="DA289" s="255"/>
      <c r="DB289" s="255"/>
      <c r="DC289" s="255"/>
      <c r="DD289" s="255"/>
      <c r="DE289" s="255"/>
      <c r="DF289" s="255"/>
      <c r="DG289" s="255"/>
      <c r="DH289" s="255"/>
      <c r="DI289" s="255"/>
      <c r="DJ289" s="255"/>
      <c r="DK289" s="255"/>
      <c r="DL289" s="255"/>
      <c r="DM289" s="255"/>
      <c r="DN289" s="255"/>
      <c r="DO289" s="255"/>
      <c r="DP289" s="255"/>
      <c r="DQ289" s="255"/>
      <c r="DR289" s="255"/>
      <c r="DS289" s="255"/>
      <c r="DT289" s="255"/>
      <c r="DU289" s="255"/>
      <c r="DV289" s="255"/>
      <c r="DW289" s="191"/>
      <c r="DX289" s="255"/>
      <c r="DY289" s="255"/>
      <c r="DZ289" s="255"/>
      <c r="EA289" s="255"/>
      <c r="EB289" s="255"/>
      <c r="EC289" s="255"/>
      <c r="ED289" s="255"/>
      <c r="EE289" s="255"/>
      <c r="EF289" s="255"/>
      <c r="EG289" s="255"/>
      <c r="EH289" s="255"/>
      <c r="EI289" s="255"/>
      <c r="EJ289" s="255"/>
      <c r="EK289" s="255"/>
      <c r="EL289" s="255"/>
      <c r="EM289" s="255"/>
      <c r="EN289" s="255"/>
      <c r="EO289" s="255"/>
      <c r="EP289" s="255"/>
      <c r="EQ289" s="255"/>
      <c r="ER289" s="191"/>
      <c r="ES289" s="255"/>
      <c r="ET289" s="255"/>
      <c r="EU289" s="255"/>
      <c r="EV289" s="255"/>
      <c r="EW289" s="255"/>
      <c r="EX289" s="255"/>
      <c r="EY289" s="255"/>
      <c r="EZ289" s="255"/>
      <c r="FA289" s="255"/>
      <c r="FB289" s="255"/>
      <c r="FC289" s="255"/>
      <c r="FD289" s="255"/>
      <c r="FE289" s="255"/>
      <c r="FF289" s="255"/>
      <c r="FG289" s="255"/>
      <c r="FH289" s="255"/>
      <c r="FI289" s="255"/>
      <c r="FJ289" s="255"/>
      <c r="FK289" s="255"/>
      <c r="FL289" s="255"/>
      <c r="FM289" s="255"/>
      <c r="FN289" s="255"/>
      <c r="FO289" s="255"/>
      <c r="FP289" s="255"/>
      <c r="FQ289" s="255"/>
      <c r="FR289" s="255"/>
      <c r="FS289" s="255"/>
      <c r="FT289" s="255"/>
      <c r="FU289" s="255"/>
      <c r="FV289" s="255"/>
      <c r="FW289" s="255"/>
      <c r="FX289" s="255"/>
      <c r="FY289" s="255"/>
      <c r="FZ289" s="255"/>
      <c r="GA289" s="255"/>
      <c r="GB289" s="255"/>
      <c r="GC289" s="255"/>
      <c r="GD289" s="255"/>
      <c r="GE289" s="255"/>
      <c r="GF289" s="255"/>
      <c r="GG289" s="255"/>
      <c r="GH289" s="255"/>
      <c r="GI289" s="255"/>
      <c r="GJ289" s="255"/>
      <c r="GK289" s="255"/>
      <c r="GL289" s="255"/>
      <c r="GM289" s="255"/>
      <c r="GN289" s="255"/>
      <c r="GO289" s="255"/>
      <c r="GP289" s="255"/>
      <c r="GQ289" s="255"/>
      <c r="GR289" s="255"/>
      <c r="GS289" s="255"/>
      <c r="GT289" s="255"/>
      <c r="GU289" s="255"/>
      <c r="GV289" s="255"/>
      <c r="GW289" s="255"/>
      <c r="GX289" s="255"/>
      <c r="GY289" s="255"/>
      <c r="GZ289" s="255"/>
      <c r="HA289" s="255"/>
      <c r="HB289" s="255"/>
      <c r="HC289" s="255"/>
      <c r="HD289" s="255"/>
      <c r="HE289" s="255"/>
      <c r="HF289" s="255"/>
      <c r="HG289" s="255"/>
      <c r="HH289" s="255"/>
      <c r="HI289" s="255"/>
      <c r="HJ289" s="255"/>
      <c r="HK289" s="255"/>
      <c r="HL289" s="255"/>
      <c r="HM289" s="255"/>
      <c r="HN289" s="255"/>
      <c r="HO289" s="255"/>
      <c r="HP289" s="255"/>
      <c r="HQ289" s="255"/>
      <c r="HR289" s="255"/>
      <c r="HS289" s="255"/>
      <c r="HT289" s="255"/>
      <c r="HU289" s="255"/>
      <c r="HV289" s="255"/>
      <c r="HW289" s="255"/>
      <c r="HX289" s="255"/>
      <c r="HY289" s="255"/>
      <c r="HZ289" s="255"/>
      <c r="IA289" s="255"/>
      <c r="IB289" s="255"/>
      <c r="IC289" s="255"/>
      <c r="ID289" s="255"/>
      <c r="IE289" s="255"/>
      <c r="IF289" s="255"/>
      <c r="IG289" s="255"/>
      <c r="IH289" s="255"/>
      <c r="II289" s="255"/>
      <c r="IJ289" s="255"/>
      <c r="IK289" s="255"/>
      <c r="IL289" s="255"/>
      <c r="IM289" s="255"/>
      <c r="IN289" s="255"/>
      <c r="IO289" s="255"/>
      <c r="IP289" s="255"/>
      <c r="IQ289" s="255"/>
      <c r="IR289" s="255"/>
      <c r="IS289" s="255"/>
      <c r="IT289" s="255"/>
      <c r="IU289" s="255"/>
      <c r="IV289" s="255"/>
      <c r="IW289" s="255"/>
      <c r="IX289" s="255"/>
      <c r="IY289" s="255"/>
      <c r="IZ289" s="255"/>
      <c r="JA289" s="255"/>
      <c r="JB289" s="255"/>
      <c r="JC289" s="255"/>
      <c r="JD289" s="255"/>
      <c r="JE289" s="255"/>
      <c r="JF289" s="255"/>
      <c r="JG289" s="191"/>
      <c r="JH289" s="255"/>
      <c r="JI289" s="255"/>
      <c r="JJ289" s="255"/>
      <c r="JK289" s="255"/>
      <c r="JL289" s="255"/>
      <c r="JM289" s="255"/>
      <c r="JN289" s="255"/>
      <c r="JO289" s="255"/>
      <c r="JP289" s="255"/>
      <c r="JQ289" s="255"/>
      <c r="JR289" s="255"/>
      <c r="JS289" s="255"/>
      <c r="JT289" s="255"/>
      <c r="JU289" s="255"/>
      <c r="JV289" s="255"/>
      <c r="JW289" s="255"/>
      <c r="JX289" s="255"/>
      <c r="JY289" s="255"/>
      <c r="JZ289" s="255"/>
      <c r="KA289" s="255"/>
      <c r="KB289" s="191"/>
    </row>
    <row r="290" spans="2:288" ht="15" customHeight="1" x14ac:dyDescent="0.35">
      <c r="B290" s="146" t="str">
        <f t="shared" si="23"/>
        <v>Desk 74</v>
      </c>
      <c r="C290" s="148" t="str">
        <v/>
      </c>
      <c r="D290" s="148" t="str">
        <v/>
      </c>
      <c r="E290" s="148" t="str">
        <v/>
      </c>
      <c r="F290" s="148" t="str">
        <v/>
      </c>
      <c r="G290" s="268" t="str">
        <v/>
      </c>
      <c r="H290" s="255"/>
      <c r="I290" s="255"/>
      <c r="J290" s="255"/>
      <c r="K290" s="255"/>
      <c r="L290" s="255"/>
      <c r="M290" s="255"/>
      <c r="N290" s="255"/>
      <c r="O290" s="255"/>
      <c r="P290" s="255"/>
      <c r="Q290" s="255"/>
      <c r="R290" s="255"/>
      <c r="S290" s="255"/>
      <c r="T290" s="255"/>
      <c r="U290" s="255"/>
      <c r="V290" s="255"/>
      <c r="W290" s="255"/>
      <c r="X290" s="255"/>
      <c r="Y290" s="255"/>
      <c r="Z290" s="255"/>
      <c r="AA290" s="255"/>
      <c r="AB290" s="255"/>
      <c r="AC290" s="255"/>
      <c r="AD290" s="255"/>
      <c r="AE290" s="255"/>
      <c r="AF290" s="255"/>
      <c r="AG290" s="255"/>
      <c r="AH290" s="255"/>
      <c r="AI290" s="255"/>
      <c r="AJ290" s="255"/>
      <c r="AK290" s="255"/>
      <c r="AL290" s="255"/>
      <c r="AM290" s="255"/>
      <c r="AN290" s="255"/>
      <c r="AO290" s="255"/>
      <c r="AP290" s="255"/>
      <c r="AQ290" s="255"/>
      <c r="AR290" s="255"/>
      <c r="AS290" s="255"/>
      <c r="AT290" s="255"/>
      <c r="AU290" s="255"/>
      <c r="AV290" s="255"/>
      <c r="AW290" s="255"/>
      <c r="AX290" s="255"/>
      <c r="AY290" s="255"/>
      <c r="AZ290" s="255"/>
      <c r="BA290" s="255"/>
      <c r="BB290" s="255"/>
      <c r="BC290" s="255"/>
      <c r="BD290" s="255"/>
      <c r="BE290" s="255"/>
      <c r="BF290" s="255"/>
      <c r="BG290" s="255"/>
      <c r="BH290" s="255"/>
      <c r="BI290" s="255"/>
      <c r="BJ290" s="255"/>
      <c r="BK290" s="255"/>
      <c r="BL290" s="255"/>
      <c r="BM290" s="255"/>
      <c r="BN290" s="255"/>
      <c r="BO290" s="255"/>
      <c r="BP290" s="255"/>
      <c r="BQ290" s="255"/>
      <c r="BR290" s="255"/>
      <c r="BS290" s="255"/>
      <c r="BT290" s="255"/>
      <c r="BU290" s="255"/>
      <c r="BV290" s="255"/>
      <c r="BW290" s="255"/>
      <c r="BX290" s="255"/>
      <c r="BY290" s="255"/>
      <c r="BZ290" s="255"/>
      <c r="CA290" s="255"/>
      <c r="CB290" s="255"/>
      <c r="CC290" s="255"/>
      <c r="CD290" s="255"/>
      <c r="CE290" s="255"/>
      <c r="CF290" s="255"/>
      <c r="CG290" s="255"/>
      <c r="CH290" s="255"/>
      <c r="CI290" s="255"/>
      <c r="CJ290" s="255"/>
      <c r="CK290" s="255"/>
      <c r="CL290" s="255"/>
      <c r="CM290" s="255"/>
      <c r="CN290" s="255"/>
      <c r="CO290" s="255"/>
      <c r="CP290" s="255"/>
      <c r="CQ290" s="255"/>
      <c r="CR290" s="255"/>
      <c r="CS290" s="255"/>
      <c r="CT290" s="255"/>
      <c r="CU290" s="255"/>
      <c r="CV290" s="255"/>
      <c r="CW290" s="255"/>
      <c r="CX290" s="255"/>
      <c r="CY290" s="255"/>
      <c r="CZ290" s="255"/>
      <c r="DA290" s="255"/>
      <c r="DB290" s="255"/>
      <c r="DC290" s="255"/>
      <c r="DD290" s="255"/>
      <c r="DE290" s="255"/>
      <c r="DF290" s="255"/>
      <c r="DG290" s="255"/>
      <c r="DH290" s="255"/>
      <c r="DI290" s="255"/>
      <c r="DJ290" s="255"/>
      <c r="DK290" s="255"/>
      <c r="DL290" s="255"/>
      <c r="DM290" s="255"/>
      <c r="DN290" s="255"/>
      <c r="DO290" s="255"/>
      <c r="DP290" s="255"/>
      <c r="DQ290" s="255"/>
      <c r="DR290" s="255"/>
      <c r="DS290" s="255"/>
      <c r="DT290" s="255"/>
      <c r="DU290" s="255"/>
      <c r="DV290" s="255"/>
      <c r="DW290" s="191"/>
      <c r="DX290" s="255"/>
      <c r="DY290" s="255"/>
      <c r="DZ290" s="255"/>
      <c r="EA290" s="255"/>
      <c r="EB290" s="255"/>
      <c r="EC290" s="255"/>
      <c r="ED290" s="255"/>
      <c r="EE290" s="255"/>
      <c r="EF290" s="255"/>
      <c r="EG290" s="255"/>
      <c r="EH290" s="255"/>
      <c r="EI290" s="255"/>
      <c r="EJ290" s="255"/>
      <c r="EK290" s="255"/>
      <c r="EL290" s="255"/>
      <c r="EM290" s="255"/>
      <c r="EN290" s="255"/>
      <c r="EO290" s="255"/>
      <c r="EP290" s="255"/>
      <c r="EQ290" s="255"/>
      <c r="ER290" s="191"/>
      <c r="ES290" s="255"/>
      <c r="ET290" s="255"/>
      <c r="EU290" s="255"/>
      <c r="EV290" s="255"/>
      <c r="EW290" s="255"/>
      <c r="EX290" s="255"/>
      <c r="EY290" s="255"/>
      <c r="EZ290" s="255"/>
      <c r="FA290" s="255"/>
      <c r="FB290" s="255"/>
      <c r="FC290" s="255"/>
      <c r="FD290" s="255"/>
      <c r="FE290" s="255"/>
      <c r="FF290" s="255"/>
      <c r="FG290" s="255"/>
      <c r="FH290" s="255"/>
      <c r="FI290" s="255"/>
      <c r="FJ290" s="255"/>
      <c r="FK290" s="255"/>
      <c r="FL290" s="255"/>
      <c r="FM290" s="255"/>
      <c r="FN290" s="255"/>
      <c r="FO290" s="255"/>
      <c r="FP290" s="255"/>
      <c r="FQ290" s="255"/>
      <c r="FR290" s="255"/>
      <c r="FS290" s="255"/>
      <c r="FT290" s="255"/>
      <c r="FU290" s="255"/>
      <c r="FV290" s="255"/>
      <c r="FW290" s="255"/>
      <c r="FX290" s="255"/>
      <c r="FY290" s="255"/>
      <c r="FZ290" s="255"/>
      <c r="GA290" s="255"/>
      <c r="GB290" s="255"/>
      <c r="GC290" s="255"/>
      <c r="GD290" s="255"/>
      <c r="GE290" s="255"/>
      <c r="GF290" s="255"/>
      <c r="GG290" s="255"/>
      <c r="GH290" s="255"/>
      <c r="GI290" s="255"/>
      <c r="GJ290" s="255"/>
      <c r="GK290" s="255"/>
      <c r="GL290" s="255"/>
      <c r="GM290" s="255"/>
      <c r="GN290" s="255"/>
      <c r="GO290" s="255"/>
      <c r="GP290" s="255"/>
      <c r="GQ290" s="255"/>
      <c r="GR290" s="255"/>
      <c r="GS290" s="255"/>
      <c r="GT290" s="255"/>
      <c r="GU290" s="255"/>
      <c r="GV290" s="255"/>
      <c r="GW290" s="255"/>
      <c r="GX290" s="255"/>
      <c r="GY290" s="255"/>
      <c r="GZ290" s="255"/>
      <c r="HA290" s="255"/>
      <c r="HB290" s="255"/>
      <c r="HC290" s="255"/>
      <c r="HD290" s="255"/>
      <c r="HE290" s="255"/>
      <c r="HF290" s="255"/>
      <c r="HG290" s="255"/>
      <c r="HH290" s="255"/>
      <c r="HI290" s="255"/>
      <c r="HJ290" s="255"/>
      <c r="HK290" s="255"/>
      <c r="HL290" s="255"/>
      <c r="HM290" s="255"/>
      <c r="HN290" s="255"/>
      <c r="HO290" s="255"/>
      <c r="HP290" s="255"/>
      <c r="HQ290" s="255"/>
      <c r="HR290" s="255"/>
      <c r="HS290" s="255"/>
      <c r="HT290" s="255"/>
      <c r="HU290" s="255"/>
      <c r="HV290" s="255"/>
      <c r="HW290" s="255"/>
      <c r="HX290" s="255"/>
      <c r="HY290" s="255"/>
      <c r="HZ290" s="255"/>
      <c r="IA290" s="255"/>
      <c r="IB290" s="255"/>
      <c r="IC290" s="255"/>
      <c r="ID290" s="255"/>
      <c r="IE290" s="255"/>
      <c r="IF290" s="255"/>
      <c r="IG290" s="255"/>
      <c r="IH290" s="255"/>
      <c r="II290" s="255"/>
      <c r="IJ290" s="255"/>
      <c r="IK290" s="255"/>
      <c r="IL290" s="255"/>
      <c r="IM290" s="255"/>
      <c r="IN290" s="255"/>
      <c r="IO290" s="255"/>
      <c r="IP290" s="255"/>
      <c r="IQ290" s="255"/>
      <c r="IR290" s="255"/>
      <c r="IS290" s="255"/>
      <c r="IT290" s="255"/>
      <c r="IU290" s="255"/>
      <c r="IV290" s="255"/>
      <c r="IW290" s="255"/>
      <c r="IX290" s="255"/>
      <c r="IY290" s="255"/>
      <c r="IZ290" s="255"/>
      <c r="JA290" s="255"/>
      <c r="JB290" s="255"/>
      <c r="JC290" s="255"/>
      <c r="JD290" s="255"/>
      <c r="JE290" s="255"/>
      <c r="JF290" s="255"/>
      <c r="JG290" s="191"/>
      <c r="JH290" s="255"/>
      <c r="JI290" s="255"/>
      <c r="JJ290" s="255"/>
      <c r="JK290" s="255"/>
      <c r="JL290" s="255"/>
      <c r="JM290" s="255"/>
      <c r="JN290" s="255"/>
      <c r="JO290" s="255"/>
      <c r="JP290" s="255"/>
      <c r="JQ290" s="255"/>
      <c r="JR290" s="255"/>
      <c r="JS290" s="255"/>
      <c r="JT290" s="255"/>
      <c r="JU290" s="255"/>
      <c r="JV290" s="255"/>
      <c r="JW290" s="255"/>
      <c r="JX290" s="255"/>
      <c r="JY290" s="255"/>
      <c r="JZ290" s="255"/>
      <c r="KA290" s="255"/>
      <c r="KB290" s="191"/>
    </row>
    <row r="291" spans="2:288" ht="15" customHeight="1" x14ac:dyDescent="0.35">
      <c r="B291" s="146" t="str">
        <f t="shared" si="23"/>
        <v>Desk 75</v>
      </c>
      <c r="C291" s="148" t="str">
        <v/>
      </c>
      <c r="D291" s="148" t="str">
        <v/>
      </c>
      <c r="E291" s="148" t="str">
        <v/>
      </c>
      <c r="F291" s="148" t="str">
        <v/>
      </c>
      <c r="G291" s="268" t="str">
        <v/>
      </c>
      <c r="H291" s="255"/>
      <c r="I291" s="255"/>
      <c r="J291" s="255"/>
      <c r="K291" s="255"/>
      <c r="L291" s="255"/>
      <c r="M291" s="255"/>
      <c r="N291" s="255"/>
      <c r="O291" s="255"/>
      <c r="P291" s="255"/>
      <c r="Q291" s="255"/>
      <c r="R291" s="255"/>
      <c r="S291" s="255"/>
      <c r="T291" s="255"/>
      <c r="U291" s="255"/>
      <c r="V291" s="255"/>
      <c r="W291" s="255"/>
      <c r="X291" s="255"/>
      <c r="Y291" s="255"/>
      <c r="Z291" s="255"/>
      <c r="AA291" s="255"/>
      <c r="AB291" s="255"/>
      <c r="AC291" s="255"/>
      <c r="AD291" s="255"/>
      <c r="AE291" s="255"/>
      <c r="AF291" s="255"/>
      <c r="AG291" s="255"/>
      <c r="AH291" s="255"/>
      <c r="AI291" s="255"/>
      <c r="AJ291" s="255"/>
      <c r="AK291" s="255"/>
      <c r="AL291" s="255"/>
      <c r="AM291" s="255"/>
      <c r="AN291" s="255"/>
      <c r="AO291" s="255"/>
      <c r="AP291" s="255"/>
      <c r="AQ291" s="255"/>
      <c r="AR291" s="255"/>
      <c r="AS291" s="255"/>
      <c r="AT291" s="255"/>
      <c r="AU291" s="255"/>
      <c r="AV291" s="255"/>
      <c r="AW291" s="255"/>
      <c r="AX291" s="255"/>
      <c r="AY291" s="255"/>
      <c r="AZ291" s="255"/>
      <c r="BA291" s="255"/>
      <c r="BB291" s="255"/>
      <c r="BC291" s="255"/>
      <c r="BD291" s="255"/>
      <c r="BE291" s="255"/>
      <c r="BF291" s="255"/>
      <c r="BG291" s="255"/>
      <c r="BH291" s="255"/>
      <c r="BI291" s="255"/>
      <c r="BJ291" s="255"/>
      <c r="BK291" s="255"/>
      <c r="BL291" s="255"/>
      <c r="BM291" s="255"/>
      <c r="BN291" s="255"/>
      <c r="BO291" s="255"/>
      <c r="BP291" s="255"/>
      <c r="BQ291" s="255"/>
      <c r="BR291" s="255"/>
      <c r="BS291" s="255"/>
      <c r="BT291" s="255"/>
      <c r="BU291" s="255"/>
      <c r="BV291" s="255"/>
      <c r="BW291" s="255"/>
      <c r="BX291" s="255"/>
      <c r="BY291" s="255"/>
      <c r="BZ291" s="255"/>
      <c r="CA291" s="255"/>
      <c r="CB291" s="255"/>
      <c r="CC291" s="255"/>
      <c r="CD291" s="255"/>
      <c r="CE291" s="255"/>
      <c r="CF291" s="255"/>
      <c r="CG291" s="255"/>
      <c r="CH291" s="255"/>
      <c r="CI291" s="255"/>
      <c r="CJ291" s="255"/>
      <c r="CK291" s="255"/>
      <c r="CL291" s="255"/>
      <c r="CM291" s="255"/>
      <c r="CN291" s="255"/>
      <c r="CO291" s="255"/>
      <c r="CP291" s="255"/>
      <c r="CQ291" s="255"/>
      <c r="CR291" s="255"/>
      <c r="CS291" s="255"/>
      <c r="CT291" s="255"/>
      <c r="CU291" s="255"/>
      <c r="CV291" s="255"/>
      <c r="CW291" s="255"/>
      <c r="CX291" s="255"/>
      <c r="CY291" s="255"/>
      <c r="CZ291" s="255"/>
      <c r="DA291" s="255"/>
      <c r="DB291" s="255"/>
      <c r="DC291" s="255"/>
      <c r="DD291" s="255"/>
      <c r="DE291" s="255"/>
      <c r="DF291" s="255"/>
      <c r="DG291" s="255"/>
      <c r="DH291" s="255"/>
      <c r="DI291" s="255"/>
      <c r="DJ291" s="255"/>
      <c r="DK291" s="255"/>
      <c r="DL291" s="255"/>
      <c r="DM291" s="255"/>
      <c r="DN291" s="255"/>
      <c r="DO291" s="255"/>
      <c r="DP291" s="255"/>
      <c r="DQ291" s="255"/>
      <c r="DR291" s="255"/>
      <c r="DS291" s="255"/>
      <c r="DT291" s="255"/>
      <c r="DU291" s="255"/>
      <c r="DV291" s="255"/>
      <c r="DW291" s="191"/>
      <c r="DX291" s="255"/>
      <c r="DY291" s="255"/>
      <c r="DZ291" s="255"/>
      <c r="EA291" s="255"/>
      <c r="EB291" s="255"/>
      <c r="EC291" s="255"/>
      <c r="ED291" s="255"/>
      <c r="EE291" s="255"/>
      <c r="EF291" s="255"/>
      <c r="EG291" s="255"/>
      <c r="EH291" s="255"/>
      <c r="EI291" s="255"/>
      <c r="EJ291" s="255"/>
      <c r="EK291" s="255"/>
      <c r="EL291" s="255"/>
      <c r="EM291" s="255"/>
      <c r="EN291" s="255"/>
      <c r="EO291" s="255"/>
      <c r="EP291" s="255"/>
      <c r="EQ291" s="255"/>
      <c r="ER291" s="191"/>
      <c r="ES291" s="255"/>
      <c r="ET291" s="255"/>
      <c r="EU291" s="255"/>
      <c r="EV291" s="255"/>
      <c r="EW291" s="255"/>
      <c r="EX291" s="255"/>
      <c r="EY291" s="255"/>
      <c r="EZ291" s="255"/>
      <c r="FA291" s="255"/>
      <c r="FB291" s="255"/>
      <c r="FC291" s="255"/>
      <c r="FD291" s="255"/>
      <c r="FE291" s="255"/>
      <c r="FF291" s="255"/>
      <c r="FG291" s="255"/>
      <c r="FH291" s="255"/>
      <c r="FI291" s="255"/>
      <c r="FJ291" s="255"/>
      <c r="FK291" s="255"/>
      <c r="FL291" s="255"/>
      <c r="FM291" s="255"/>
      <c r="FN291" s="255"/>
      <c r="FO291" s="255"/>
      <c r="FP291" s="255"/>
      <c r="FQ291" s="255"/>
      <c r="FR291" s="255"/>
      <c r="FS291" s="255"/>
      <c r="FT291" s="255"/>
      <c r="FU291" s="255"/>
      <c r="FV291" s="255"/>
      <c r="FW291" s="255"/>
      <c r="FX291" s="255"/>
      <c r="FY291" s="255"/>
      <c r="FZ291" s="255"/>
      <c r="GA291" s="255"/>
      <c r="GB291" s="255"/>
      <c r="GC291" s="255"/>
      <c r="GD291" s="255"/>
      <c r="GE291" s="255"/>
      <c r="GF291" s="255"/>
      <c r="GG291" s="255"/>
      <c r="GH291" s="255"/>
      <c r="GI291" s="255"/>
      <c r="GJ291" s="255"/>
      <c r="GK291" s="255"/>
      <c r="GL291" s="255"/>
      <c r="GM291" s="255"/>
      <c r="GN291" s="255"/>
      <c r="GO291" s="255"/>
      <c r="GP291" s="255"/>
      <c r="GQ291" s="255"/>
      <c r="GR291" s="255"/>
      <c r="GS291" s="255"/>
      <c r="GT291" s="255"/>
      <c r="GU291" s="255"/>
      <c r="GV291" s="255"/>
      <c r="GW291" s="255"/>
      <c r="GX291" s="255"/>
      <c r="GY291" s="255"/>
      <c r="GZ291" s="255"/>
      <c r="HA291" s="255"/>
      <c r="HB291" s="255"/>
      <c r="HC291" s="255"/>
      <c r="HD291" s="255"/>
      <c r="HE291" s="255"/>
      <c r="HF291" s="255"/>
      <c r="HG291" s="255"/>
      <c r="HH291" s="255"/>
      <c r="HI291" s="255"/>
      <c r="HJ291" s="255"/>
      <c r="HK291" s="255"/>
      <c r="HL291" s="255"/>
      <c r="HM291" s="255"/>
      <c r="HN291" s="255"/>
      <c r="HO291" s="255"/>
      <c r="HP291" s="255"/>
      <c r="HQ291" s="255"/>
      <c r="HR291" s="255"/>
      <c r="HS291" s="255"/>
      <c r="HT291" s="255"/>
      <c r="HU291" s="255"/>
      <c r="HV291" s="255"/>
      <c r="HW291" s="255"/>
      <c r="HX291" s="255"/>
      <c r="HY291" s="255"/>
      <c r="HZ291" s="255"/>
      <c r="IA291" s="255"/>
      <c r="IB291" s="255"/>
      <c r="IC291" s="255"/>
      <c r="ID291" s="255"/>
      <c r="IE291" s="255"/>
      <c r="IF291" s="255"/>
      <c r="IG291" s="255"/>
      <c r="IH291" s="255"/>
      <c r="II291" s="255"/>
      <c r="IJ291" s="255"/>
      <c r="IK291" s="255"/>
      <c r="IL291" s="255"/>
      <c r="IM291" s="255"/>
      <c r="IN291" s="255"/>
      <c r="IO291" s="255"/>
      <c r="IP291" s="255"/>
      <c r="IQ291" s="255"/>
      <c r="IR291" s="255"/>
      <c r="IS291" s="255"/>
      <c r="IT291" s="255"/>
      <c r="IU291" s="255"/>
      <c r="IV291" s="255"/>
      <c r="IW291" s="255"/>
      <c r="IX291" s="255"/>
      <c r="IY291" s="255"/>
      <c r="IZ291" s="255"/>
      <c r="JA291" s="255"/>
      <c r="JB291" s="255"/>
      <c r="JC291" s="255"/>
      <c r="JD291" s="255"/>
      <c r="JE291" s="255"/>
      <c r="JF291" s="255"/>
      <c r="JG291" s="191"/>
      <c r="JH291" s="255"/>
      <c r="JI291" s="255"/>
      <c r="JJ291" s="255"/>
      <c r="JK291" s="255"/>
      <c r="JL291" s="255"/>
      <c r="JM291" s="255"/>
      <c r="JN291" s="255"/>
      <c r="JO291" s="255"/>
      <c r="JP291" s="255"/>
      <c r="JQ291" s="255"/>
      <c r="JR291" s="255"/>
      <c r="JS291" s="255"/>
      <c r="JT291" s="255"/>
      <c r="JU291" s="255"/>
      <c r="JV291" s="255"/>
      <c r="JW291" s="255"/>
      <c r="JX291" s="255"/>
      <c r="JY291" s="255"/>
      <c r="JZ291" s="255"/>
      <c r="KA291" s="255"/>
      <c r="KB291" s="191"/>
    </row>
    <row r="292" spans="2:288" ht="15" customHeight="1" x14ac:dyDescent="0.35">
      <c r="B292" s="146" t="str">
        <f t="shared" si="23"/>
        <v>Desk 76</v>
      </c>
      <c r="C292" s="148" t="str">
        <v/>
      </c>
      <c r="D292" s="148" t="str">
        <v/>
      </c>
      <c r="E292" s="148" t="str">
        <v/>
      </c>
      <c r="F292" s="148" t="str">
        <v/>
      </c>
      <c r="G292" s="268" t="str">
        <v/>
      </c>
      <c r="H292" s="255"/>
      <c r="I292" s="255"/>
      <c r="J292" s="255"/>
      <c r="K292" s="255"/>
      <c r="L292" s="255"/>
      <c r="M292" s="255"/>
      <c r="N292" s="255"/>
      <c r="O292" s="255"/>
      <c r="P292" s="255"/>
      <c r="Q292" s="255"/>
      <c r="R292" s="255"/>
      <c r="S292" s="255"/>
      <c r="T292" s="255"/>
      <c r="U292" s="255"/>
      <c r="V292" s="255"/>
      <c r="W292" s="255"/>
      <c r="X292" s="255"/>
      <c r="Y292" s="255"/>
      <c r="Z292" s="255"/>
      <c r="AA292" s="255"/>
      <c r="AB292" s="255"/>
      <c r="AC292" s="255"/>
      <c r="AD292" s="255"/>
      <c r="AE292" s="255"/>
      <c r="AF292" s="255"/>
      <c r="AG292" s="255"/>
      <c r="AH292" s="255"/>
      <c r="AI292" s="255"/>
      <c r="AJ292" s="255"/>
      <c r="AK292" s="255"/>
      <c r="AL292" s="255"/>
      <c r="AM292" s="255"/>
      <c r="AN292" s="255"/>
      <c r="AO292" s="255"/>
      <c r="AP292" s="255"/>
      <c r="AQ292" s="255"/>
      <c r="AR292" s="255"/>
      <c r="AS292" s="255"/>
      <c r="AT292" s="255"/>
      <c r="AU292" s="255"/>
      <c r="AV292" s="255"/>
      <c r="AW292" s="255"/>
      <c r="AX292" s="255"/>
      <c r="AY292" s="255"/>
      <c r="AZ292" s="255"/>
      <c r="BA292" s="255"/>
      <c r="BB292" s="255"/>
      <c r="BC292" s="255"/>
      <c r="BD292" s="255"/>
      <c r="BE292" s="255"/>
      <c r="BF292" s="255"/>
      <c r="BG292" s="255"/>
      <c r="BH292" s="255"/>
      <c r="BI292" s="255"/>
      <c r="BJ292" s="255"/>
      <c r="BK292" s="255"/>
      <c r="BL292" s="255"/>
      <c r="BM292" s="255"/>
      <c r="BN292" s="255"/>
      <c r="BO292" s="255"/>
      <c r="BP292" s="255"/>
      <c r="BQ292" s="255"/>
      <c r="BR292" s="255"/>
      <c r="BS292" s="255"/>
      <c r="BT292" s="255"/>
      <c r="BU292" s="255"/>
      <c r="BV292" s="255"/>
      <c r="BW292" s="255"/>
      <c r="BX292" s="255"/>
      <c r="BY292" s="255"/>
      <c r="BZ292" s="255"/>
      <c r="CA292" s="255"/>
      <c r="CB292" s="255"/>
      <c r="CC292" s="255"/>
      <c r="CD292" s="255"/>
      <c r="CE292" s="255"/>
      <c r="CF292" s="255"/>
      <c r="CG292" s="255"/>
      <c r="CH292" s="255"/>
      <c r="CI292" s="255"/>
      <c r="CJ292" s="255"/>
      <c r="CK292" s="255"/>
      <c r="CL292" s="255"/>
      <c r="CM292" s="255"/>
      <c r="CN292" s="255"/>
      <c r="CO292" s="255"/>
      <c r="CP292" s="255"/>
      <c r="CQ292" s="255"/>
      <c r="CR292" s="255"/>
      <c r="CS292" s="255"/>
      <c r="CT292" s="255"/>
      <c r="CU292" s="255"/>
      <c r="CV292" s="255"/>
      <c r="CW292" s="255"/>
      <c r="CX292" s="255"/>
      <c r="CY292" s="255"/>
      <c r="CZ292" s="255"/>
      <c r="DA292" s="255"/>
      <c r="DB292" s="255"/>
      <c r="DC292" s="255"/>
      <c r="DD292" s="255"/>
      <c r="DE292" s="255"/>
      <c r="DF292" s="255"/>
      <c r="DG292" s="255"/>
      <c r="DH292" s="255"/>
      <c r="DI292" s="255"/>
      <c r="DJ292" s="255"/>
      <c r="DK292" s="255"/>
      <c r="DL292" s="255"/>
      <c r="DM292" s="255"/>
      <c r="DN292" s="255"/>
      <c r="DO292" s="255"/>
      <c r="DP292" s="255"/>
      <c r="DQ292" s="255"/>
      <c r="DR292" s="255"/>
      <c r="DS292" s="255"/>
      <c r="DT292" s="255"/>
      <c r="DU292" s="255"/>
      <c r="DV292" s="255"/>
      <c r="DW292" s="191"/>
      <c r="DX292" s="255"/>
      <c r="DY292" s="255"/>
      <c r="DZ292" s="255"/>
      <c r="EA292" s="255"/>
      <c r="EB292" s="255"/>
      <c r="EC292" s="255"/>
      <c r="ED292" s="255"/>
      <c r="EE292" s="255"/>
      <c r="EF292" s="255"/>
      <c r="EG292" s="255"/>
      <c r="EH292" s="255"/>
      <c r="EI292" s="255"/>
      <c r="EJ292" s="255"/>
      <c r="EK292" s="255"/>
      <c r="EL292" s="255"/>
      <c r="EM292" s="255"/>
      <c r="EN292" s="255"/>
      <c r="EO292" s="255"/>
      <c r="EP292" s="255"/>
      <c r="EQ292" s="255"/>
      <c r="ER292" s="191"/>
      <c r="ES292" s="255"/>
      <c r="ET292" s="255"/>
      <c r="EU292" s="255"/>
      <c r="EV292" s="255"/>
      <c r="EW292" s="255"/>
      <c r="EX292" s="255"/>
      <c r="EY292" s="255"/>
      <c r="EZ292" s="255"/>
      <c r="FA292" s="255"/>
      <c r="FB292" s="255"/>
      <c r="FC292" s="255"/>
      <c r="FD292" s="255"/>
      <c r="FE292" s="255"/>
      <c r="FF292" s="255"/>
      <c r="FG292" s="255"/>
      <c r="FH292" s="255"/>
      <c r="FI292" s="255"/>
      <c r="FJ292" s="255"/>
      <c r="FK292" s="255"/>
      <c r="FL292" s="255"/>
      <c r="FM292" s="255"/>
      <c r="FN292" s="255"/>
      <c r="FO292" s="255"/>
      <c r="FP292" s="255"/>
      <c r="FQ292" s="255"/>
      <c r="FR292" s="255"/>
      <c r="FS292" s="255"/>
      <c r="FT292" s="255"/>
      <c r="FU292" s="255"/>
      <c r="FV292" s="255"/>
      <c r="FW292" s="255"/>
      <c r="FX292" s="255"/>
      <c r="FY292" s="255"/>
      <c r="FZ292" s="255"/>
      <c r="GA292" s="255"/>
      <c r="GB292" s="255"/>
      <c r="GC292" s="255"/>
      <c r="GD292" s="255"/>
      <c r="GE292" s="255"/>
      <c r="GF292" s="255"/>
      <c r="GG292" s="255"/>
      <c r="GH292" s="255"/>
      <c r="GI292" s="255"/>
      <c r="GJ292" s="255"/>
      <c r="GK292" s="255"/>
      <c r="GL292" s="255"/>
      <c r="GM292" s="255"/>
      <c r="GN292" s="255"/>
      <c r="GO292" s="255"/>
      <c r="GP292" s="255"/>
      <c r="GQ292" s="255"/>
      <c r="GR292" s="255"/>
      <c r="GS292" s="255"/>
      <c r="GT292" s="255"/>
      <c r="GU292" s="255"/>
      <c r="GV292" s="255"/>
      <c r="GW292" s="255"/>
      <c r="GX292" s="255"/>
      <c r="GY292" s="255"/>
      <c r="GZ292" s="255"/>
      <c r="HA292" s="255"/>
      <c r="HB292" s="255"/>
      <c r="HC292" s="255"/>
      <c r="HD292" s="255"/>
      <c r="HE292" s="255"/>
      <c r="HF292" s="255"/>
      <c r="HG292" s="255"/>
      <c r="HH292" s="255"/>
      <c r="HI292" s="255"/>
      <c r="HJ292" s="255"/>
      <c r="HK292" s="255"/>
      <c r="HL292" s="255"/>
      <c r="HM292" s="255"/>
      <c r="HN292" s="255"/>
      <c r="HO292" s="255"/>
      <c r="HP292" s="255"/>
      <c r="HQ292" s="255"/>
      <c r="HR292" s="255"/>
      <c r="HS292" s="255"/>
      <c r="HT292" s="255"/>
      <c r="HU292" s="255"/>
      <c r="HV292" s="255"/>
      <c r="HW292" s="255"/>
      <c r="HX292" s="255"/>
      <c r="HY292" s="255"/>
      <c r="HZ292" s="255"/>
      <c r="IA292" s="255"/>
      <c r="IB292" s="255"/>
      <c r="IC292" s="255"/>
      <c r="ID292" s="255"/>
      <c r="IE292" s="255"/>
      <c r="IF292" s="255"/>
      <c r="IG292" s="255"/>
      <c r="IH292" s="255"/>
      <c r="II292" s="255"/>
      <c r="IJ292" s="255"/>
      <c r="IK292" s="255"/>
      <c r="IL292" s="255"/>
      <c r="IM292" s="255"/>
      <c r="IN292" s="255"/>
      <c r="IO292" s="255"/>
      <c r="IP292" s="255"/>
      <c r="IQ292" s="255"/>
      <c r="IR292" s="255"/>
      <c r="IS292" s="255"/>
      <c r="IT292" s="255"/>
      <c r="IU292" s="255"/>
      <c r="IV292" s="255"/>
      <c r="IW292" s="255"/>
      <c r="IX292" s="255"/>
      <c r="IY292" s="255"/>
      <c r="IZ292" s="255"/>
      <c r="JA292" s="255"/>
      <c r="JB292" s="255"/>
      <c r="JC292" s="255"/>
      <c r="JD292" s="255"/>
      <c r="JE292" s="255"/>
      <c r="JF292" s="255"/>
      <c r="JG292" s="191"/>
      <c r="JH292" s="255"/>
      <c r="JI292" s="255"/>
      <c r="JJ292" s="255"/>
      <c r="JK292" s="255"/>
      <c r="JL292" s="255"/>
      <c r="JM292" s="255"/>
      <c r="JN292" s="255"/>
      <c r="JO292" s="255"/>
      <c r="JP292" s="255"/>
      <c r="JQ292" s="255"/>
      <c r="JR292" s="255"/>
      <c r="JS292" s="255"/>
      <c r="JT292" s="255"/>
      <c r="JU292" s="255"/>
      <c r="JV292" s="255"/>
      <c r="JW292" s="255"/>
      <c r="JX292" s="255"/>
      <c r="JY292" s="255"/>
      <c r="JZ292" s="255"/>
      <c r="KA292" s="255"/>
      <c r="KB292" s="191"/>
    </row>
    <row r="293" spans="2:288" ht="15" customHeight="1" x14ac:dyDescent="0.35">
      <c r="B293" s="146" t="str">
        <f t="shared" si="23"/>
        <v>Desk 77</v>
      </c>
      <c r="C293" s="148" t="str">
        <v/>
      </c>
      <c r="D293" s="148" t="str">
        <v/>
      </c>
      <c r="E293" s="148" t="str">
        <v/>
      </c>
      <c r="F293" s="148" t="str">
        <v/>
      </c>
      <c r="G293" s="268" t="str">
        <v/>
      </c>
      <c r="H293" s="255"/>
      <c r="I293" s="255"/>
      <c r="J293" s="255"/>
      <c r="K293" s="255"/>
      <c r="L293" s="255"/>
      <c r="M293" s="255"/>
      <c r="N293" s="255"/>
      <c r="O293" s="255"/>
      <c r="P293" s="255"/>
      <c r="Q293" s="255"/>
      <c r="R293" s="255"/>
      <c r="S293" s="255"/>
      <c r="T293" s="255"/>
      <c r="U293" s="255"/>
      <c r="V293" s="255"/>
      <c r="W293" s="255"/>
      <c r="X293" s="255"/>
      <c r="Y293" s="255"/>
      <c r="Z293" s="255"/>
      <c r="AA293" s="255"/>
      <c r="AB293" s="255"/>
      <c r="AC293" s="255"/>
      <c r="AD293" s="255"/>
      <c r="AE293" s="255"/>
      <c r="AF293" s="255"/>
      <c r="AG293" s="255"/>
      <c r="AH293" s="255"/>
      <c r="AI293" s="255"/>
      <c r="AJ293" s="255"/>
      <c r="AK293" s="255"/>
      <c r="AL293" s="255"/>
      <c r="AM293" s="255"/>
      <c r="AN293" s="255"/>
      <c r="AO293" s="255"/>
      <c r="AP293" s="255"/>
      <c r="AQ293" s="255"/>
      <c r="AR293" s="255"/>
      <c r="AS293" s="255"/>
      <c r="AT293" s="255"/>
      <c r="AU293" s="255"/>
      <c r="AV293" s="255"/>
      <c r="AW293" s="255"/>
      <c r="AX293" s="255"/>
      <c r="AY293" s="255"/>
      <c r="AZ293" s="255"/>
      <c r="BA293" s="255"/>
      <c r="BB293" s="255"/>
      <c r="BC293" s="255"/>
      <c r="BD293" s="255"/>
      <c r="BE293" s="255"/>
      <c r="BF293" s="255"/>
      <c r="BG293" s="255"/>
      <c r="BH293" s="255"/>
      <c r="BI293" s="255"/>
      <c r="BJ293" s="255"/>
      <c r="BK293" s="255"/>
      <c r="BL293" s="255"/>
      <c r="BM293" s="255"/>
      <c r="BN293" s="255"/>
      <c r="BO293" s="255"/>
      <c r="BP293" s="255"/>
      <c r="BQ293" s="255"/>
      <c r="BR293" s="255"/>
      <c r="BS293" s="255"/>
      <c r="BT293" s="255"/>
      <c r="BU293" s="255"/>
      <c r="BV293" s="255"/>
      <c r="BW293" s="255"/>
      <c r="BX293" s="255"/>
      <c r="BY293" s="255"/>
      <c r="BZ293" s="255"/>
      <c r="CA293" s="255"/>
      <c r="CB293" s="255"/>
      <c r="CC293" s="255"/>
      <c r="CD293" s="255"/>
      <c r="CE293" s="255"/>
      <c r="CF293" s="255"/>
      <c r="CG293" s="255"/>
      <c r="CH293" s="255"/>
      <c r="CI293" s="255"/>
      <c r="CJ293" s="255"/>
      <c r="CK293" s="255"/>
      <c r="CL293" s="255"/>
      <c r="CM293" s="255"/>
      <c r="CN293" s="255"/>
      <c r="CO293" s="255"/>
      <c r="CP293" s="255"/>
      <c r="CQ293" s="255"/>
      <c r="CR293" s="255"/>
      <c r="CS293" s="255"/>
      <c r="CT293" s="255"/>
      <c r="CU293" s="255"/>
      <c r="CV293" s="255"/>
      <c r="CW293" s="255"/>
      <c r="CX293" s="255"/>
      <c r="CY293" s="255"/>
      <c r="CZ293" s="255"/>
      <c r="DA293" s="255"/>
      <c r="DB293" s="255"/>
      <c r="DC293" s="255"/>
      <c r="DD293" s="255"/>
      <c r="DE293" s="255"/>
      <c r="DF293" s="255"/>
      <c r="DG293" s="255"/>
      <c r="DH293" s="255"/>
      <c r="DI293" s="255"/>
      <c r="DJ293" s="255"/>
      <c r="DK293" s="255"/>
      <c r="DL293" s="255"/>
      <c r="DM293" s="255"/>
      <c r="DN293" s="255"/>
      <c r="DO293" s="255"/>
      <c r="DP293" s="255"/>
      <c r="DQ293" s="255"/>
      <c r="DR293" s="255"/>
      <c r="DS293" s="255"/>
      <c r="DT293" s="255"/>
      <c r="DU293" s="255"/>
      <c r="DV293" s="255"/>
      <c r="DW293" s="191"/>
      <c r="DX293" s="255"/>
      <c r="DY293" s="255"/>
      <c r="DZ293" s="255"/>
      <c r="EA293" s="255"/>
      <c r="EB293" s="255"/>
      <c r="EC293" s="255"/>
      <c r="ED293" s="255"/>
      <c r="EE293" s="255"/>
      <c r="EF293" s="255"/>
      <c r="EG293" s="255"/>
      <c r="EH293" s="255"/>
      <c r="EI293" s="255"/>
      <c r="EJ293" s="255"/>
      <c r="EK293" s="255"/>
      <c r="EL293" s="255"/>
      <c r="EM293" s="255"/>
      <c r="EN293" s="255"/>
      <c r="EO293" s="255"/>
      <c r="EP293" s="255"/>
      <c r="EQ293" s="255"/>
      <c r="ER293" s="191"/>
      <c r="ES293" s="255"/>
      <c r="ET293" s="255"/>
      <c r="EU293" s="255"/>
      <c r="EV293" s="255"/>
      <c r="EW293" s="255"/>
      <c r="EX293" s="255"/>
      <c r="EY293" s="255"/>
      <c r="EZ293" s="255"/>
      <c r="FA293" s="255"/>
      <c r="FB293" s="255"/>
      <c r="FC293" s="255"/>
      <c r="FD293" s="255"/>
      <c r="FE293" s="255"/>
      <c r="FF293" s="255"/>
      <c r="FG293" s="255"/>
      <c r="FH293" s="255"/>
      <c r="FI293" s="255"/>
      <c r="FJ293" s="255"/>
      <c r="FK293" s="255"/>
      <c r="FL293" s="255"/>
      <c r="FM293" s="255"/>
      <c r="FN293" s="255"/>
      <c r="FO293" s="255"/>
      <c r="FP293" s="255"/>
      <c r="FQ293" s="255"/>
      <c r="FR293" s="255"/>
      <c r="FS293" s="255"/>
      <c r="FT293" s="255"/>
      <c r="FU293" s="255"/>
      <c r="FV293" s="255"/>
      <c r="FW293" s="255"/>
      <c r="FX293" s="255"/>
      <c r="FY293" s="255"/>
      <c r="FZ293" s="255"/>
      <c r="GA293" s="255"/>
      <c r="GB293" s="255"/>
      <c r="GC293" s="255"/>
      <c r="GD293" s="255"/>
      <c r="GE293" s="255"/>
      <c r="GF293" s="255"/>
      <c r="GG293" s="255"/>
      <c r="GH293" s="255"/>
      <c r="GI293" s="255"/>
      <c r="GJ293" s="255"/>
      <c r="GK293" s="255"/>
      <c r="GL293" s="255"/>
      <c r="GM293" s="255"/>
      <c r="GN293" s="255"/>
      <c r="GO293" s="255"/>
      <c r="GP293" s="255"/>
      <c r="GQ293" s="255"/>
      <c r="GR293" s="255"/>
      <c r="GS293" s="255"/>
      <c r="GT293" s="255"/>
      <c r="GU293" s="255"/>
      <c r="GV293" s="255"/>
      <c r="GW293" s="255"/>
      <c r="GX293" s="255"/>
      <c r="GY293" s="255"/>
      <c r="GZ293" s="255"/>
      <c r="HA293" s="255"/>
      <c r="HB293" s="255"/>
      <c r="HC293" s="255"/>
      <c r="HD293" s="255"/>
      <c r="HE293" s="255"/>
      <c r="HF293" s="255"/>
      <c r="HG293" s="255"/>
      <c r="HH293" s="255"/>
      <c r="HI293" s="255"/>
      <c r="HJ293" s="255"/>
      <c r="HK293" s="255"/>
      <c r="HL293" s="255"/>
      <c r="HM293" s="255"/>
      <c r="HN293" s="255"/>
      <c r="HO293" s="255"/>
      <c r="HP293" s="255"/>
      <c r="HQ293" s="255"/>
      <c r="HR293" s="255"/>
      <c r="HS293" s="255"/>
      <c r="HT293" s="255"/>
      <c r="HU293" s="255"/>
      <c r="HV293" s="255"/>
      <c r="HW293" s="255"/>
      <c r="HX293" s="255"/>
      <c r="HY293" s="255"/>
      <c r="HZ293" s="255"/>
      <c r="IA293" s="255"/>
      <c r="IB293" s="255"/>
      <c r="IC293" s="255"/>
      <c r="ID293" s="255"/>
      <c r="IE293" s="255"/>
      <c r="IF293" s="255"/>
      <c r="IG293" s="255"/>
      <c r="IH293" s="255"/>
      <c r="II293" s="255"/>
      <c r="IJ293" s="255"/>
      <c r="IK293" s="255"/>
      <c r="IL293" s="255"/>
      <c r="IM293" s="255"/>
      <c r="IN293" s="255"/>
      <c r="IO293" s="255"/>
      <c r="IP293" s="255"/>
      <c r="IQ293" s="255"/>
      <c r="IR293" s="255"/>
      <c r="IS293" s="255"/>
      <c r="IT293" s="255"/>
      <c r="IU293" s="255"/>
      <c r="IV293" s="255"/>
      <c r="IW293" s="255"/>
      <c r="IX293" s="255"/>
      <c r="IY293" s="255"/>
      <c r="IZ293" s="255"/>
      <c r="JA293" s="255"/>
      <c r="JB293" s="255"/>
      <c r="JC293" s="255"/>
      <c r="JD293" s="255"/>
      <c r="JE293" s="255"/>
      <c r="JF293" s="255"/>
      <c r="JG293" s="191"/>
      <c r="JH293" s="255"/>
      <c r="JI293" s="255"/>
      <c r="JJ293" s="255"/>
      <c r="JK293" s="255"/>
      <c r="JL293" s="255"/>
      <c r="JM293" s="255"/>
      <c r="JN293" s="255"/>
      <c r="JO293" s="255"/>
      <c r="JP293" s="255"/>
      <c r="JQ293" s="255"/>
      <c r="JR293" s="255"/>
      <c r="JS293" s="255"/>
      <c r="JT293" s="255"/>
      <c r="JU293" s="255"/>
      <c r="JV293" s="255"/>
      <c r="JW293" s="255"/>
      <c r="JX293" s="255"/>
      <c r="JY293" s="255"/>
      <c r="JZ293" s="255"/>
      <c r="KA293" s="255"/>
      <c r="KB293" s="191"/>
    </row>
    <row r="294" spans="2:288" ht="15" customHeight="1" x14ac:dyDescent="0.35">
      <c r="B294" s="146" t="str">
        <f t="shared" si="23"/>
        <v>Desk 78</v>
      </c>
      <c r="C294" s="148" t="str">
        <v/>
      </c>
      <c r="D294" s="148" t="str">
        <v/>
      </c>
      <c r="E294" s="148" t="str">
        <v/>
      </c>
      <c r="F294" s="148" t="str">
        <v/>
      </c>
      <c r="G294" s="268" t="str">
        <v/>
      </c>
      <c r="H294" s="255"/>
      <c r="I294" s="255"/>
      <c r="J294" s="255"/>
      <c r="K294" s="255"/>
      <c r="L294" s="255"/>
      <c r="M294" s="255"/>
      <c r="N294" s="255"/>
      <c r="O294" s="255"/>
      <c r="P294" s="255"/>
      <c r="Q294" s="255"/>
      <c r="R294" s="255"/>
      <c r="S294" s="255"/>
      <c r="T294" s="255"/>
      <c r="U294" s="255"/>
      <c r="V294" s="255"/>
      <c r="W294" s="255"/>
      <c r="X294" s="255"/>
      <c r="Y294" s="255"/>
      <c r="Z294" s="255"/>
      <c r="AA294" s="255"/>
      <c r="AB294" s="255"/>
      <c r="AC294" s="255"/>
      <c r="AD294" s="255"/>
      <c r="AE294" s="255"/>
      <c r="AF294" s="255"/>
      <c r="AG294" s="255"/>
      <c r="AH294" s="255"/>
      <c r="AI294" s="255"/>
      <c r="AJ294" s="255"/>
      <c r="AK294" s="255"/>
      <c r="AL294" s="255"/>
      <c r="AM294" s="255"/>
      <c r="AN294" s="255"/>
      <c r="AO294" s="255"/>
      <c r="AP294" s="255"/>
      <c r="AQ294" s="255"/>
      <c r="AR294" s="255"/>
      <c r="AS294" s="255"/>
      <c r="AT294" s="255"/>
      <c r="AU294" s="255"/>
      <c r="AV294" s="255"/>
      <c r="AW294" s="255"/>
      <c r="AX294" s="255"/>
      <c r="AY294" s="255"/>
      <c r="AZ294" s="255"/>
      <c r="BA294" s="255"/>
      <c r="BB294" s="255"/>
      <c r="BC294" s="255"/>
      <c r="BD294" s="255"/>
      <c r="BE294" s="255"/>
      <c r="BF294" s="255"/>
      <c r="BG294" s="255"/>
      <c r="BH294" s="255"/>
      <c r="BI294" s="255"/>
      <c r="BJ294" s="255"/>
      <c r="BK294" s="255"/>
      <c r="BL294" s="255"/>
      <c r="BM294" s="255"/>
      <c r="BN294" s="255"/>
      <c r="BO294" s="255"/>
      <c r="BP294" s="255"/>
      <c r="BQ294" s="255"/>
      <c r="BR294" s="255"/>
      <c r="BS294" s="255"/>
      <c r="BT294" s="255"/>
      <c r="BU294" s="255"/>
      <c r="BV294" s="255"/>
      <c r="BW294" s="255"/>
      <c r="BX294" s="255"/>
      <c r="BY294" s="255"/>
      <c r="BZ294" s="255"/>
      <c r="CA294" s="255"/>
      <c r="CB294" s="255"/>
      <c r="CC294" s="255"/>
      <c r="CD294" s="255"/>
      <c r="CE294" s="255"/>
      <c r="CF294" s="255"/>
      <c r="CG294" s="255"/>
      <c r="CH294" s="255"/>
      <c r="CI294" s="255"/>
      <c r="CJ294" s="255"/>
      <c r="CK294" s="255"/>
      <c r="CL294" s="255"/>
      <c r="CM294" s="255"/>
      <c r="CN294" s="255"/>
      <c r="CO294" s="255"/>
      <c r="CP294" s="255"/>
      <c r="CQ294" s="255"/>
      <c r="CR294" s="255"/>
      <c r="CS294" s="255"/>
      <c r="CT294" s="255"/>
      <c r="CU294" s="255"/>
      <c r="CV294" s="255"/>
      <c r="CW294" s="255"/>
      <c r="CX294" s="255"/>
      <c r="CY294" s="255"/>
      <c r="CZ294" s="255"/>
      <c r="DA294" s="255"/>
      <c r="DB294" s="255"/>
      <c r="DC294" s="255"/>
      <c r="DD294" s="255"/>
      <c r="DE294" s="255"/>
      <c r="DF294" s="255"/>
      <c r="DG294" s="255"/>
      <c r="DH294" s="255"/>
      <c r="DI294" s="255"/>
      <c r="DJ294" s="255"/>
      <c r="DK294" s="255"/>
      <c r="DL294" s="255"/>
      <c r="DM294" s="255"/>
      <c r="DN294" s="255"/>
      <c r="DO294" s="255"/>
      <c r="DP294" s="255"/>
      <c r="DQ294" s="255"/>
      <c r="DR294" s="255"/>
      <c r="DS294" s="255"/>
      <c r="DT294" s="255"/>
      <c r="DU294" s="255"/>
      <c r="DV294" s="255"/>
      <c r="DW294" s="191"/>
      <c r="DX294" s="255"/>
      <c r="DY294" s="255"/>
      <c r="DZ294" s="255"/>
      <c r="EA294" s="255"/>
      <c r="EB294" s="255"/>
      <c r="EC294" s="255"/>
      <c r="ED294" s="255"/>
      <c r="EE294" s="255"/>
      <c r="EF294" s="255"/>
      <c r="EG294" s="255"/>
      <c r="EH294" s="255"/>
      <c r="EI294" s="255"/>
      <c r="EJ294" s="255"/>
      <c r="EK294" s="255"/>
      <c r="EL294" s="255"/>
      <c r="EM294" s="255"/>
      <c r="EN294" s="255"/>
      <c r="EO294" s="255"/>
      <c r="EP294" s="255"/>
      <c r="EQ294" s="255"/>
      <c r="ER294" s="191"/>
      <c r="ES294" s="255"/>
      <c r="ET294" s="255"/>
      <c r="EU294" s="255"/>
      <c r="EV294" s="255"/>
      <c r="EW294" s="255"/>
      <c r="EX294" s="255"/>
      <c r="EY294" s="255"/>
      <c r="EZ294" s="255"/>
      <c r="FA294" s="255"/>
      <c r="FB294" s="255"/>
      <c r="FC294" s="255"/>
      <c r="FD294" s="255"/>
      <c r="FE294" s="255"/>
      <c r="FF294" s="255"/>
      <c r="FG294" s="255"/>
      <c r="FH294" s="255"/>
      <c r="FI294" s="255"/>
      <c r="FJ294" s="255"/>
      <c r="FK294" s="255"/>
      <c r="FL294" s="255"/>
      <c r="FM294" s="255"/>
      <c r="FN294" s="255"/>
      <c r="FO294" s="255"/>
      <c r="FP294" s="255"/>
      <c r="FQ294" s="255"/>
      <c r="FR294" s="255"/>
      <c r="FS294" s="255"/>
      <c r="FT294" s="255"/>
      <c r="FU294" s="255"/>
      <c r="FV294" s="255"/>
      <c r="FW294" s="255"/>
      <c r="FX294" s="255"/>
      <c r="FY294" s="255"/>
      <c r="FZ294" s="255"/>
      <c r="GA294" s="255"/>
      <c r="GB294" s="255"/>
      <c r="GC294" s="255"/>
      <c r="GD294" s="255"/>
      <c r="GE294" s="255"/>
      <c r="GF294" s="255"/>
      <c r="GG294" s="255"/>
      <c r="GH294" s="255"/>
      <c r="GI294" s="255"/>
      <c r="GJ294" s="255"/>
      <c r="GK294" s="255"/>
      <c r="GL294" s="255"/>
      <c r="GM294" s="255"/>
      <c r="GN294" s="255"/>
      <c r="GO294" s="255"/>
      <c r="GP294" s="255"/>
      <c r="GQ294" s="255"/>
      <c r="GR294" s="255"/>
      <c r="GS294" s="255"/>
      <c r="GT294" s="255"/>
      <c r="GU294" s="255"/>
      <c r="GV294" s="255"/>
      <c r="GW294" s="255"/>
      <c r="GX294" s="255"/>
      <c r="GY294" s="255"/>
      <c r="GZ294" s="255"/>
      <c r="HA294" s="255"/>
      <c r="HB294" s="255"/>
      <c r="HC294" s="255"/>
      <c r="HD294" s="255"/>
      <c r="HE294" s="255"/>
      <c r="HF294" s="255"/>
      <c r="HG294" s="255"/>
      <c r="HH294" s="255"/>
      <c r="HI294" s="255"/>
      <c r="HJ294" s="255"/>
      <c r="HK294" s="255"/>
      <c r="HL294" s="255"/>
      <c r="HM294" s="255"/>
      <c r="HN294" s="255"/>
      <c r="HO294" s="255"/>
      <c r="HP294" s="255"/>
      <c r="HQ294" s="255"/>
      <c r="HR294" s="255"/>
      <c r="HS294" s="255"/>
      <c r="HT294" s="255"/>
      <c r="HU294" s="255"/>
      <c r="HV294" s="255"/>
      <c r="HW294" s="255"/>
      <c r="HX294" s="255"/>
      <c r="HY294" s="255"/>
      <c r="HZ294" s="255"/>
      <c r="IA294" s="255"/>
      <c r="IB294" s="255"/>
      <c r="IC294" s="255"/>
      <c r="ID294" s="255"/>
      <c r="IE294" s="255"/>
      <c r="IF294" s="255"/>
      <c r="IG294" s="255"/>
      <c r="IH294" s="255"/>
      <c r="II294" s="255"/>
      <c r="IJ294" s="255"/>
      <c r="IK294" s="255"/>
      <c r="IL294" s="255"/>
      <c r="IM294" s="255"/>
      <c r="IN294" s="255"/>
      <c r="IO294" s="255"/>
      <c r="IP294" s="255"/>
      <c r="IQ294" s="255"/>
      <c r="IR294" s="255"/>
      <c r="IS294" s="255"/>
      <c r="IT294" s="255"/>
      <c r="IU294" s="255"/>
      <c r="IV294" s="255"/>
      <c r="IW294" s="255"/>
      <c r="IX294" s="255"/>
      <c r="IY294" s="255"/>
      <c r="IZ294" s="255"/>
      <c r="JA294" s="255"/>
      <c r="JB294" s="255"/>
      <c r="JC294" s="255"/>
      <c r="JD294" s="255"/>
      <c r="JE294" s="255"/>
      <c r="JF294" s="255"/>
      <c r="JG294" s="191"/>
      <c r="JH294" s="255"/>
      <c r="JI294" s="255"/>
      <c r="JJ294" s="255"/>
      <c r="JK294" s="255"/>
      <c r="JL294" s="255"/>
      <c r="JM294" s="255"/>
      <c r="JN294" s="255"/>
      <c r="JO294" s="255"/>
      <c r="JP294" s="255"/>
      <c r="JQ294" s="255"/>
      <c r="JR294" s="255"/>
      <c r="JS294" s="255"/>
      <c r="JT294" s="255"/>
      <c r="JU294" s="255"/>
      <c r="JV294" s="255"/>
      <c r="JW294" s="255"/>
      <c r="JX294" s="255"/>
      <c r="JY294" s="255"/>
      <c r="JZ294" s="255"/>
      <c r="KA294" s="255"/>
      <c r="KB294" s="191"/>
    </row>
    <row r="295" spans="2:288" ht="15" customHeight="1" x14ac:dyDescent="0.35">
      <c r="B295" s="146" t="str">
        <f t="shared" si="23"/>
        <v>Desk 79</v>
      </c>
      <c r="C295" s="148" t="str">
        <v/>
      </c>
      <c r="D295" s="148" t="str">
        <v/>
      </c>
      <c r="E295" s="148" t="str">
        <v/>
      </c>
      <c r="F295" s="148" t="str">
        <v/>
      </c>
      <c r="G295" s="268" t="str">
        <v/>
      </c>
      <c r="H295" s="255"/>
      <c r="I295" s="255"/>
      <c r="J295" s="255"/>
      <c r="K295" s="255"/>
      <c r="L295" s="255"/>
      <c r="M295" s="255"/>
      <c r="N295" s="255"/>
      <c r="O295" s="255"/>
      <c r="P295" s="255"/>
      <c r="Q295" s="255"/>
      <c r="R295" s="255"/>
      <c r="S295" s="255"/>
      <c r="T295" s="255"/>
      <c r="U295" s="255"/>
      <c r="V295" s="255"/>
      <c r="W295" s="255"/>
      <c r="X295" s="255"/>
      <c r="Y295" s="255"/>
      <c r="Z295" s="255"/>
      <c r="AA295" s="255"/>
      <c r="AB295" s="255"/>
      <c r="AC295" s="255"/>
      <c r="AD295" s="255"/>
      <c r="AE295" s="255"/>
      <c r="AF295" s="255"/>
      <c r="AG295" s="255"/>
      <c r="AH295" s="255"/>
      <c r="AI295" s="255"/>
      <c r="AJ295" s="255"/>
      <c r="AK295" s="255"/>
      <c r="AL295" s="255"/>
      <c r="AM295" s="255"/>
      <c r="AN295" s="255"/>
      <c r="AO295" s="255"/>
      <c r="AP295" s="255"/>
      <c r="AQ295" s="255"/>
      <c r="AR295" s="255"/>
      <c r="AS295" s="255"/>
      <c r="AT295" s="255"/>
      <c r="AU295" s="255"/>
      <c r="AV295" s="255"/>
      <c r="AW295" s="255"/>
      <c r="AX295" s="255"/>
      <c r="AY295" s="255"/>
      <c r="AZ295" s="255"/>
      <c r="BA295" s="255"/>
      <c r="BB295" s="255"/>
      <c r="BC295" s="255"/>
      <c r="BD295" s="255"/>
      <c r="BE295" s="255"/>
      <c r="BF295" s="255"/>
      <c r="BG295" s="255"/>
      <c r="BH295" s="255"/>
      <c r="BI295" s="255"/>
      <c r="BJ295" s="255"/>
      <c r="BK295" s="255"/>
      <c r="BL295" s="255"/>
      <c r="BM295" s="255"/>
      <c r="BN295" s="255"/>
      <c r="BO295" s="255"/>
      <c r="BP295" s="255"/>
      <c r="BQ295" s="255"/>
      <c r="BR295" s="255"/>
      <c r="BS295" s="255"/>
      <c r="BT295" s="255"/>
      <c r="BU295" s="255"/>
      <c r="BV295" s="255"/>
      <c r="BW295" s="255"/>
      <c r="BX295" s="255"/>
      <c r="BY295" s="255"/>
      <c r="BZ295" s="255"/>
      <c r="CA295" s="255"/>
      <c r="CB295" s="255"/>
      <c r="CC295" s="255"/>
      <c r="CD295" s="255"/>
      <c r="CE295" s="255"/>
      <c r="CF295" s="255"/>
      <c r="CG295" s="255"/>
      <c r="CH295" s="255"/>
      <c r="CI295" s="255"/>
      <c r="CJ295" s="255"/>
      <c r="CK295" s="255"/>
      <c r="CL295" s="255"/>
      <c r="CM295" s="255"/>
      <c r="CN295" s="255"/>
      <c r="CO295" s="255"/>
      <c r="CP295" s="255"/>
      <c r="CQ295" s="255"/>
      <c r="CR295" s="255"/>
      <c r="CS295" s="255"/>
      <c r="CT295" s="255"/>
      <c r="CU295" s="255"/>
      <c r="CV295" s="255"/>
      <c r="CW295" s="255"/>
      <c r="CX295" s="255"/>
      <c r="CY295" s="255"/>
      <c r="CZ295" s="255"/>
      <c r="DA295" s="255"/>
      <c r="DB295" s="255"/>
      <c r="DC295" s="255"/>
      <c r="DD295" s="255"/>
      <c r="DE295" s="255"/>
      <c r="DF295" s="255"/>
      <c r="DG295" s="255"/>
      <c r="DH295" s="255"/>
      <c r="DI295" s="255"/>
      <c r="DJ295" s="255"/>
      <c r="DK295" s="255"/>
      <c r="DL295" s="255"/>
      <c r="DM295" s="255"/>
      <c r="DN295" s="255"/>
      <c r="DO295" s="255"/>
      <c r="DP295" s="255"/>
      <c r="DQ295" s="255"/>
      <c r="DR295" s="255"/>
      <c r="DS295" s="255"/>
      <c r="DT295" s="255"/>
      <c r="DU295" s="255"/>
      <c r="DV295" s="255"/>
      <c r="DW295" s="191"/>
      <c r="DX295" s="255"/>
      <c r="DY295" s="255"/>
      <c r="DZ295" s="255"/>
      <c r="EA295" s="255"/>
      <c r="EB295" s="255"/>
      <c r="EC295" s="255"/>
      <c r="ED295" s="255"/>
      <c r="EE295" s="255"/>
      <c r="EF295" s="255"/>
      <c r="EG295" s="255"/>
      <c r="EH295" s="255"/>
      <c r="EI295" s="255"/>
      <c r="EJ295" s="255"/>
      <c r="EK295" s="255"/>
      <c r="EL295" s="255"/>
      <c r="EM295" s="255"/>
      <c r="EN295" s="255"/>
      <c r="EO295" s="255"/>
      <c r="EP295" s="255"/>
      <c r="EQ295" s="255"/>
      <c r="ER295" s="191"/>
      <c r="ES295" s="255"/>
      <c r="ET295" s="255"/>
      <c r="EU295" s="255"/>
      <c r="EV295" s="255"/>
      <c r="EW295" s="255"/>
      <c r="EX295" s="255"/>
      <c r="EY295" s="255"/>
      <c r="EZ295" s="255"/>
      <c r="FA295" s="255"/>
      <c r="FB295" s="255"/>
      <c r="FC295" s="255"/>
      <c r="FD295" s="255"/>
      <c r="FE295" s="255"/>
      <c r="FF295" s="255"/>
      <c r="FG295" s="255"/>
      <c r="FH295" s="255"/>
      <c r="FI295" s="255"/>
      <c r="FJ295" s="255"/>
      <c r="FK295" s="255"/>
      <c r="FL295" s="255"/>
      <c r="FM295" s="255"/>
      <c r="FN295" s="255"/>
      <c r="FO295" s="255"/>
      <c r="FP295" s="255"/>
      <c r="FQ295" s="255"/>
      <c r="FR295" s="255"/>
      <c r="FS295" s="255"/>
      <c r="FT295" s="255"/>
      <c r="FU295" s="255"/>
      <c r="FV295" s="255"/>
      <c r="FW295" s="255"/>
      <c r="FX295" s="255"/>
      <c r="FY295" s="255"/>
      <c r="FZ295" s="255"/>
      <c r="GA295" s="255"/>
      <c r="GB295" s="255"/>
      <c r="GC295" s="255"/>
      <c r="GD295" s="255"/>
      <c r="GE295" s="255"/>
      <c r="GF295" s="255"/>
      <c r="GG295" s="255"/>
      <c r="GH295" s="255"/>
      <c r="GI295" s="255"/>
      <c r="GJ295" s="255"/>
      <c r="GK295" s="255"/>
      <c r="GL295" s="255"/>
      <c r="GM295" s="255"/>
      <c r="GN295" s="255"/>
      <c r="GO295" s="255"/>
      <c r="GP295" s="255"/>
      <c r="GQ295" s="255"/>
      <c r="GR295" s="255"/>
      <c r="GS295" s="255"/>
      <c r="GT295" s="255"/>
      <c r="GU295" s="255"/>
      <c r="GV295" s="255"/>
      <c r="GW295" s="255"/>
      <c r="GX295" s="255"/>
      <c r="GY295" s="255"/>
      <c r="GZ295" s="255"/>
      <c r="HA295" s="255"/>
      <c r="HB295" s="255"/>
      <c r="HC295" s="255"/>
      <c r="HD295" s="255"/>
      <c r="HE295" s="255"/>
      <c r="HF295" s="255"/>
      <c r="HG295" s="255"/>
      <c r="HH295" s="255"/>
      <c r="HI295" s="255"/>
      <c r="HJ295" s="255"/>
      <c r="HK295" s="255"/>
      <c r="HL295" s="255"/>
      <c r="HM295" s="255"/>
      <c r="HN295" s="255"/>
      <c r="HO295" s="255"/>
      <c r="HP295" s="255"/>
      <c r="HQ295" s="255"/>
      <c r="HR295" s="255"/>
      <c r="HS295" s="255"/>
      <c r="HT295" s="255"/>
      <c r="HU295" s="255"/>
      <c r="HV295" s="255"/>
      <c r="HW295" s="255"/>
      <c r="HX295" s="255"/>
      <c r="HY295" s="255"/>
      <c r="HZ295" s="255"/>
      <c r="IA295" s="255"/>
      <c r="IB295" s="255"/>
      <c r="IC295" s="255"/>
      <c r="ID295" s="255"/>
      <c r="IE295" s="255"/>
      <c r="IF295" s="255"/>
      <c r="IG295" s="255"/>
      <c r="IH295" s="255"/>
      <c r="II295" s="255"/>
      <c r="IJ295" s="255"/>
      <c r="IK295" s="255"/>
      <c r="IL295" s="255"/>
      <c r="IM295" s="255"/>
      <c r="IN295" s="255"/>
      <c r="IO295" s="255"/>
      <c r="IP295" s="255"/>
      <c r="IQ295" s="255"/>
      <c r="IR295" s="255"/>
      <c r="IS295" s="255"/>
      <c r="IT295" s="255"/>
      <c r="IU295" s="255"/>
      <c r="IV295" s="255"/>
      <c r="IW295" s="255"/>
      <c r="IX295" s="255"/>
      <c r="IY295" s="255"/>
      <c r="IZ295" s="255"/>
      <c r="JA295" s="255"/>
      <c r="JB295" s="255"/>
      <c r="JC295" s="255"/>
      <c r="JD295" s="255"/>
      <c r="JE295" s="255"/>
      <c r="JF295" s="255"/>
      <c r="JG295" s="191"/>
      <c r="JH295" s="255"/>
      <c r="JI295" s="255"/>
      <c r="JJ295" s="255"/>
      <c r="JK295" s="255"/>
      <c r="JL295" s="255"/>
      <c r="JM295" s="255"/>
      <c r="JN295" s="255"/>
      <c r="JO295" s="255"/>
      <c r="JP295" s="255"/>
      <c r="JQ295" s="255"/>
      <c r="JR295" s="255"/>
      <c r="JS295" s="255"/>
      <c r="JT295" s="255"/>
      <c r="JU295" s="255"/>
      <c r="JV295" s="255"/>
      <c r="JW295" s="255"/>
      <c r="JX295" s="255"/>
      <c r="JY295" s="255"/>
      <c r="JZ295" s="255"/>
      <c r="KA295" s="255"/>
      <c r="KB295" s="191"/>
    </row>
    <row r="296" spans="2:288" ht="15" customHeight="1" x14ac:dyDescent="0.35">
      <c r="B296" s="146" t="str">
        <f t="shared" si="23"/>
        <v>Desk 80</v>
      </c>
      <c r="C296" s="148" t="str">
        <v/>
      </c>
      <c r="D296" s="148" t="str">
        <v/>
      </c>
      <c r="E296" s="148" t="str">
        <v/>
      </c>
      <c r="F296" s="148" t="str">
        <v/>
      </c>
      <c r="G296" s="268" t="str">
        <v/>
      </c>
      <c r="H296" s="255"/>
      <c r="I296" s="255"/>
      <c r="J296" s="255"/>
      <c r="K296" s="255"/>
      <c r="L296" s="255"/>
      <c r="M296" s="255"/>
      <c r="N296" s="255"/>
      <c r="O296" s="255"/>
      <c r="P296" s="255"/>
      <c r="Q296" s="255"/>
      <c r="R296" s="255"/>
      <c r="S296" s="255"/>
      <c r="T296" s="255"/>
      <c r="U296" s="255"/>
      <c r="V296" s="255"/>
      <c r="W296" s="255"/>
      <c r="X296" s="255"/>
      <c r="Y296" s="255"/>
      <c r="Z296" s="255"/>
      <c r="AA296" s="255"/>
      <c r="AB296" s="255"/>
      <c r="AC296" s="255"/>
      <c r="AD296" s="255"/>
      <c r="AE296" s="255"/>
      <c r="AF296" s="255"/>
      <c r="AG296" s="255"/>
      <c r="AH296" s="255"/>
      <c r="AI296" s="255"/>
      <c r="AJ296" s="255"/>
      <c r="AK296" s="255"/>
      <c r="AL296" s="255"/>
      <c r="AM296" s="255"/>
      <c r="AN296" s="255"/>
      <c r="AO296" s="255"/>
      <c r="AP296" s="255"/>
      <c r="AQ296" s="255"/>
      <c r="AR296" s="255"/>
      <c r="AS296" s="255"/>
      <c r="AT296" s="255"/>
      <c r="AU296" s="255"/>
      <c r="AV296" s="255"/>
      <c r="AW296" s="255"/>
      <c r="AX296" s="255"/>
      <c r="AY296" s="255"/>
      <c r="AZ296" s="255"/>
      <c r="BA296" s="255"/>
      <c r="BB296" s="255"/>
      <c r="BC296" s="255"/>
      <c r="BD296" s="255"/>
      <c r="BE296" s="255"/>
      <c r="BF296" s="255"/>
      <c r="BG296" s="255"/>
      <c r="BH296" s="255"/>
      <c r="BI296" s="255"/>
      <c r="BJ296" s="255"/>
      <c r="BK296" s="255"/>
      <c r="BL296" s="255"/>
      <c r="BM296" s="255"/>
      <c r="BN296" s="255"/>
      <c r="BO296" s="255"/>
      <c r="BP296" s="255"/>
      <c r="BQ296" s="255"/>
      <c r="BR296" s="255"/>
      <c r="BS296" s="255"/>
      <c r="BT296" s="255"/>
      <c r="BU296" s="255"/>
      <c r="BV296" s="255"/>
      <c r="BW296" s="255"/>
      <c r="BX296" s="255"/>
      <c r="BY296" s="255"/>
      <c r="BZ296" s="255"/>
      <c r="CA296" s="255"/>
      <c r="CB296" s="255"/>
      <c r="CC296" s="255"/>
      <c r="CD296" s="255"/>
      <c r="CE296" s="255"/>
      <c r="CF296" s="255"/>
      <c r="CG296" s="255"/>
      <c r="CH296" s="255"/>
      <c r="CI296" s="255"/>
      <c r="CJ296" s="255"/>
      <c r="CK296" s="255"/>
      <c r="CL296" s="255"/>
      <c r="CM296" s="255"/>
      <c r="CN296" s="255"/>
      <c r="CO296" s="255"/>
      <c r="CP296" s="255"/>
      <c r="CQ296" s="255"/>
      <c r="CR296" s="255"/>
      <c r="CS296" s="255"/>
      <c r="CT296" s="255"/>
      <c r="CU296" s="255"/>
      <c r="CV296" s="255"/>
      <c r="CW296" s="255"/>
      <c r="CX296" s="255"/>
      <c r="CY296" s="255"/>
      <c r="CZ296" s="255"/>
      <c r="DA296" s="255"/>
      <c r="DB296" s="255"/>
      <c r="DC296" s="255"/>
      <c r="DD296" s="255"/>
      <c r="DE296" s="255"/>
      <c r="DF296" s="255"/>
      <c r="DG296" s="255"/>
      <c r="DH296" s="255"/>
      <c r="DI296" s="255"/>
      <c r="DJ296" s="255"/>
      <c r="DK296" s="255"/>
      <c r="DL296" s="255"/>
      <c r="DM296" s="255"/>
      <c r="DN296" s="255"/>
      <c r="DO296" s="255"/>
      <c r="DP296" s="255"/>
      <c r="DQ296" s="255"/>
      <c r="DR296" s="255"/>
      <c r="DS296" s="255"/>
      <c r="DT296" s="255"/>
      <c r="DU296" s="255"/>
      <c r="DV296" s="255"/>
      <c r="DW296" s="191"/>
      <c r="DX296" s="255"/>
      <c r="DY296" s="255"/>
      <c r="DZ296" s="255"/>
      <c r="EA296" s="255"/>
      <c r="EB296" s="255"/>
      <c r="EC296" s="255"/>
      <c r="ED296" s="255"/>
      <c r="EE296" s="255"/>
      <c r="EF296" s="255"/>
      <c r="EG296" s="255"/>
      <c r="EH296" s="255"/>
      <c r="EI296" s="255"/>
      <c r="EJ296" s="255"/>
      <c r="EK296" s="255"/>
      <c r="EL296" s="255"/>
      <c r="EM296" s="255"/>
      <c r="EN296" s="255"/>
      <c r="EO296" s="255"/>
      <c r="EP296" s="255"/>
      <c r="EQ296" s="255"/>
      <c r="ER296" s="191"/>
      <c r="ES296" s="255"/>
      <c r="ET296" s="255"/>
      <c r="EU296" s="255"/>
      <c r="EV296" s="255"/>
      <c r="EW296" s="255"/>
      <c r="EX296" s="255"/>
      <c r="EY296" s="255"/>
      <c r="EZ296" s="255"/>
      <c r="FA296" s="255"/>
      <c r="FB296" s="255"/>
      <c r="FC296" s="255"/>
      <c r="FD296" s="255"/>
      <c r="FE296" s="255"/>
      <c r="FF296" s="255"/>
      <c r="FG296" s="255"/>
      <c r="FH296" s="255"/>
      <c r="FI296" s="255"/>
      <c r="FJ296" s="255"/>
      <c r="FK296" s="255"/>
      <c r="FL296" s="255"/>
      <c r="FM296" s="255"/>
      <c r="FN296" s="255"/>
      <c r="FO296" s="255"/>
      <c r="FP296" s="255"/>
      <c r="FQ296" s="255"/>
      <c r="FR296" s="255"/>
      <c r="FS296" s="255"/>
      <c r="FT296" s="255"/>
      <c r="FU296" s="255"/>
      <c r="FV296" s="255"/>
      <c r="FW296" s="255"/>
      <c r="FX296" s="255"/>
      <c r="FY296" s="255"/>
      <c r="FZ296" s="255"/>
      <c r="GA296" s="255"/>
      <c r="GB296" s="255"/>
      <c r="GC296" s="255"/>
      <c r="GD296" s="255"/>
      <c r="GE296" s="255"/>
      <c r="GF296" s="255"/>
      <c r="GG296" s="255"/>
      <c r="GH296" s="255"/>
      <c r="GI296" s="255"/>
      <c r="GJ296" s="255"/>
      <c r="GK296" s="255"/>
      <c r="GL296" s="255"/>
      <c r="GM296" s="255"/>
      <c r="GN296" s="255"/>
      <c r="GO296" s="255"/>
      <c r="GP296" s="255"/>
      <c r="GQ296" s="255"/>
      <c r="GR296" s="255"/>
      <c r="GS296" s="255"/>
      <c r="GT296" s="255"/>
      <c r="GU296" s="255"/>
      <c r="GV296" s="255"/>
      <c r="GW296" s="255"/>
      <c r="GX296" s="255"/>
      <c r="GY296" s="255"/>
      <c r="GZ296" s="255"/>
      <c r="HA296" s="255"/>
      <c r="HB296" s="255"/>
      <c r="HC296" s="255"/>
      <c r="HD296" s="255"/>
      <c r="HE296" s="255"/>
      <c r="HF296" s="255"/>
      <c r="HG296" s="255"/>
      <c r="HH296" s="255"/>
      <c r="HI296" s="255"/>
      <c r="HJ296" s="255"/>
      <c r="HK296" s="255"/>
      <c r="HL296" s="255"/>
      <c r="HM296" s="255"/>
      <c r="HN296" s="255"/>
      <c r="HO296" s="255"/>
      <c r="HP296" s="255"/>
      <c r="HQ296" s="255"/>
      <c r="HR296" s="255"/>
      <c r="HS296" s="255"/>
      <c r="HT296" s="255"/>
      <c r="HU296" s="255"/>
      <c r="HV296" s="255"/>
      <c r="HW296" s="255"/>
      <c r="HX296" s="255"/>
      <c r="HY296" s="255"/>
      <c r="HZ296" s="255"/>
      <c r="IA296" s="255"/>
      <c r="IB296" s="255"/>
      <c r="IC296" s="255"/>
      <c r="ID296" s="255"/>
      <c r="IE296" s="255"/>
      <c r="IF296" s="255"/>
      <c r="IG296" s="255"/>
      <c r="IH296" s="255"/>
      <c r="II296" s="255"/>
      <c r="IJ296" s="255"/>
      <c r="IK296" s="255"/>
      <c r="IL296" s="255"/>
      <c r="IM296" s="255"/>
      <c r="IN296" s="255"/>
      <c r="IO296" s="255"/>
      <c r="IP296" s="255"/>
      <c r="IQ296" s="255"/>
      <c r="IR296" s="255"/>
      <c r="IS296" s="255"/>
      <c r="IT296" s="255"/>
      <c r="IU296" s="255"/>
      <c r="IV296" s="255"/>
      <c r="IW296" s="255"/>
      <c r="IX296" s="255"/>
      <c r="IY296" s="255"/>
      <c r="IZ296" s="255"/>
      <c r="JA296" s="255"/>
      <c r="JB296" s="255"/>
      <c r="JC296" s="255"/>
      <c r="JD296" s="255"/>
      <c r="JE296" s="255"/>
      <c r="JF296" s="255"/>
      <c r="JG296" s="191"/>
      <c r="JH296" s="255"/>
      <c r="JI296" s="255"/>
      <c r="JJ296" s="255"/>
      <c r="JK296" s="255"/>
      <c r="JL296" s="255"/>
      <c r="JM296" s="255"/>
      <c r="JN296" s="255"/>
      <c r="JO296" s="255"/>
      <c r="JP296" s="255"/>
      <c r="JQ296" s="255"/>
      <c r="JR296" s="255"/>
      <c r="JS296" s="255"/>
      <c r="JT296" s="255"/>
      <c r="JU296" s="255"/>
      <c r="JV296" s="255"/>
      <c r="JW296" s="255"/>
      <c r="JX296" s="255"/>
      <c r="JY296" s="255"/>
      <c r="JZ296" s="255"/>
      <c r="KA296" s="255"/>
      <c r="KB296" s="191"/>
    </row>
    <row r="297" spans="2:288" ht="15" customHeight="1" x14ac:dyDescent="0.35">
      <c r="B297" s="146" t="str">
        <f t="shared" si="23"/>
        <v>Desk 81</v>
      </c>
      <c r="C297" s="148" t="str">
        <v/>
      </c>
      <c r="D297" s="148" t="str">
        <v/>
      </c>
      <c r="E297" s="148" t="str">
        <v/>
      </c>
      <c r="F297" s="148" t="str">
        <v/>
      </c>
      <c r="G297" s="268" t="str">
        <v/>
      </c>
      <c r="H297" s="255"/>
      <c r="I297" s="255"/>
      <c r="J297" s="255"/>
      <c r="K297" s="255"/>
      <c r="L297" s="255"/>
      <c r="M297" s="255"/>
      <c r="N297" s="255"/>
      <c r="O297" s="255"/>
      <c r="P297" s="255"/>
      <c r="Q297" s="255"/>
      <c r="R297" s="255"/>
      <c r="S297" s="255"/>
      <c r="T297" s="255"/>
      <c r="U297" s="255"/>
      <c r="V297" s="255"/>
      <c r="W297" s="255"/>
      <c r="X297" s="255"/>
      <c r="Y297" s="255"/>
      <c r="Z297" s="255"/>
      <c r="AA297" s="255"/>
      <c r="AB297" s="255"/>
      <c r="AC297" s="255"/>
      <c r="AD297" s="255"/>
      <c r="AE297" s="255"/>
      <c r="AF297" s="255"/>
      <c r="AG297" s="255"/>
      <c r="AH297" s="255"/>
      <c r="AI297" s="255"/>
      <c r="AJ297" s="255"/>
      <c r="AK297" s="255"/>
      <c r="AL297" s="255"/>
      <c r="AM297" s="255"/>
      <c r="AN297" s="255"/>
      <c r="AO297" s="255"/>
      <c r="AP297" s="255"/>
      <c r="AQ297" s="255"/>
      <c r="AR297" s="255"/>
      <c r="AS297" s="255"/>
      <c r="AT297" s="255"/>
      <c r="AU297" s="255"/>
      <c r="AV297" s="255"/>
      <c r="AW297" s="255"/>
      <c r="AX297" s="255"/>
      <c r="AY297" s="255"/>
      <c r="AZ297" s="255"/>
      <c r="BA297" s="255"/>
      <c r="BB297" s="255"/>
      <c r="BC297" s="255"/>
      <c r="BD297" s="255"/>
      <c r="BE297" s="255"/>
      <c r="BF297" s="255"/>
      <c r="BG297" s="255"/>
      <c r="BH297" s="255"/>
      <c r="BI297" s="255"/>
      <c r="BJ297" s="255"/>
      <c r="BK297" s="255"/>
      <c r="BL297" s="255"/>
      <c r="BM297" s="255"/>
      <c r="BN297" s="255"/>
      <c r="BO297" s="255"/>
      <c r="BP297" s="255"/>
      <c r="BQ297" s="255"/>
      <c r="BR297" s="255"/>
      <c r="BS297" s="255"/>
      <c r="BT297" s="255"/>
      <c r="BU297" s="255"/>
      <c r="BV297" s="255"/>
      <c r="BW297" s="255"/>
      <c r="BX297" s="255"/>
      <c r="BY297" s="255"/>
      <c r="BZ297" s="255"/>
      <c r="CA297" s="255"/>
      <c r="CB297" s="255"/>
      <c r="CC297" s="255"/>
      <c r="CD297" s="255"/>
      <c r="CE297" s="255"/>
      <c r="CF297" s="255"/>
      <c r="CG297" s="255"/>
      <c r="CH297" s="255"/>
      <c r="CI297" s="255"/>
      <c r="CJ297" s="255"/>
      <c r="CK297" s="255"/>
      <c r="CL297" s="255"/>
      <c r="CM297" s="255"/>
      <c r="CN297" s="255"/>
      <c r="CO297" s="255"/>
      <c r="CP297" s="255"/>
      <c r="CQ297" s="255"/>
      <c r="CR297" s="255"/>
      <c r="CS297" s="255"/>
      <c r="CT297" s="255"/>
      <c r="CU297" s="255"/>
      <c r="CV297" s="255"/>
      <c r="CW297" s="255"/>
      <c r="CX297" s="255"/>
      <c r="CY297" s="255"/>
      <c r="CZ297" s="255"/>
      <c r="DA297" s="255"/>
      <c r="DB297" s="255"/>
      <c r="DC297" s="255"/>
      <c r="DD297" s="255"/>
      <c r="DE297" s="255"/>
      <c r="DF297" s="255"/>
      <c r="DG297" s="255"/>
      <c r="DH297" s="255"/>
      <c r="DI297" s="255"/>
      <c r="DJ297" s="255"/>
      <c r="DK297" s="255"/>
      <c r="DL297" s="255"/>
      <c r="DM297" s="255"/>
      <c r="DN297" s="255"/>
      <c r="DO297" s="255"/>
      <c r="DP297" s="255"/>
      <c r="DQ297" s="255"/>
      <c r="DR297" s="255"/>
      <c r="DS297" s="255"/>
      <c r="DT297" s="255"/>
      <c r="DU297" s="255"/>
      <c r="DV297" s="255"/>
      <c r="DW297" s="191"/>
      <c r="DX297" s="255"/>
      <c r="DY297" s="255"/>
      <c r="DZ297" s="255"/>
      <c r="EA297" s="255"/>
      <c r="EB297" s="255"/>
      <c r="EC297" s="255"/>
      <c r="ED297" s="255"/>
      <c r="EE297" s="255"/>
      <c r="EF297" s="255"/>
      <c r="EG297" s="255"/>
      <c r="EH297" s="255"/>
      <c r="EI297" s="255"/>
      <c r="EJ297" s="255"/>
      <c r="EK297" s="255"/>
      <c r="EL297" s="255"/>
      <c r="EM297" s="255"/>
      <c r="EN297" s="255"/>
      <c r="EO297" s="255"/>
      <c r="EP297" s="255"/>
      <c r="EQ297" s="255"/>
      <c r="ER297" s="191"/>
      <c r="ES297" s="255"/>
      <c r="ET297" s="255"/>
      <c r="EU297" s="255"/>
      <c r="EV297" s="255"/>
      <c r="EW297" s="255"/>
      <c r="EX297" s="255"/>
      <c r="EY297" s="255"/>
      <c r="EZ297" s="255"/>
      <c r="FA297" s="255"/>
      <c r="FB297" s="255"/>
      <c r="FC297" s="255"/>
      <c r="FD297" s="255"/>
      <c r="FE297" s="255"/>
      <c r="FF297" s="255"/>
      <c r="FG297" s="255"/>
      <c r="FH297" s="255"/>
      <c r="FI297" s="255"/>
      <c r="FJ297" s="255"/>
      <c r="FK297" s="255"/>
      <c r="FL297" s="255"/>
      <c r="FM297" s="255"/>
      <c r="FN297" s="255"/>
      <c r="FO297" s="255"/>
      <c r="FP297" s="255"/>
      <c r="FQ297" s="255"/>
      <c r="FR297" s="255"/>
      <c r="FS297" s="255"/>
      <c r="FT297" s="255"/>
      <c r="FU297" s="255"/>
      <c r="FV297" s="255"/>
      <c r="FW297" s="255"/>
      <c r="FX297" s="255"/>
      <c r="FY297" s="255"/>
      <c r="FZ297" s="255"/>
      <c r="GA297" s="255"/>
      <c r="GB297" s="255"/>
      <c r="GC297" s="255"/>
      <c r="GD297" s="255"/>
      <c r="GE297" s="255"/>
      <c r="GF297" s="255"/>
      <c r="GG297" s="255"/>
      <c r="GH297" s="255"/>
      <c r="GI297" s="255"/>
      <c r="GJ297" s="255"/>
      <c r="GK297" s="255"/>
      <c r="GL297" s="255"/>
      <c r="GM297" s="255"/>
      <c r="GN297" s="255"/>
      <c r="GO297" s="255"/>
      <c r="GP297" s="255"/>
      <c r="GQ297" s="255"/>
      <c r="GR297" s="255"/>
      <c r="GS297" s="255"/>
      <c r="GT297" s="255"/>
      <c r="GU297" s="255"/>
      <c r="GV297" s="255"/>
      <c r="GW297" s="255"/>
      <c r="GX297" s="255"/>
      <c r="GY297" s="255"/>
      <c r="GZ297" s="255"/>
      <c r="HA297" s="255"/>
      <c r="HB297" s="255"/>
      <c r="HC297" s="255"/>
      <c r="HD297" s="255"/>
      <c r="HE297" s="255"/>
      <c r="HF297" s="255"/>
      <c r="HG297" s="255"/>
      <c r="HH297" s="255"/>
      <c r="HI297" s="255"/>
      <c r="HJ297" s="255"/>
      <c r="HK297" s="255"/>
      <c r="HL297" s="255"/>
      <c r="HM297" s="255"/>
      <c r="HN297" s="255"/>
      <c r="HO297" s="255"/>
      <c r="HP297" s="255"/>
      <c r="HQ297" s="255"/>
      <c r="HR297" s="255"/>
      <c r="HS297" s="255"/>
      <c r="HT297" s="255"/>
      <c r="HU297" s="255"/>
      <c r="HV297" s="255"/>
      <c r="HW297" s="255"/>
      <c r="HX297" s="255"/>
      <c r="HY297" s="255"/>
      <c r="HZ297" s="255"/>
      <c r="IA297" s="255"/>
      <c r="IB297" s="255"/>
      <c r="IC297" s="255"/>
      <c r="ID297" s="255"/>
      <c r="IE297" s="255"/>
      <c r="IF297" s="255"/>
      <c r="IG297" s="255"/>
      <c r="IH297" s="255"/>
      <c r="II297" s="255"/>
      <c r="IJ297" s="255"/>
      <c r="IK297" s="255"/>
      <c r="IL297" s="255"/>
      <c r="IM297" s="255"/>
      <c r="IN297" s="255"/>
      <c r="IO297" s="255"/>
      <c r="IP297" s="255"/>
      <c r="IQ297" s="255"/>
      <c r="IR297" s="255"/>
      <c r="IS297" s="255"/>
      <c r="IT297" s="255"/>
      <c r="IU297" s="255"/>
      <c r="IV297" s="255"/>
      <c r="IW297" s="255"/>
      <c r="IX297" s="255"/>
      <c r="IY297" s="255"/>
      <c r="IZ297" s="255"/>
      <c r="JA297" s="255"/>
      <c r="JB297" s="255"/>
      <c r="JC297" s="255"/>
      <c r="JD297" s="255"/>
      <c r="JE297" s="255"/>
      <c r="JF297" s="255"/>
      <c r="JG297" s="191"/>
      <c r="JH297" s="255"/>
      <c r="JI297" s="255"/>
      <c r="JJ297" s="255"/>
      <c r="JK297" s="255"/>
      <c r="JL297" s="255"/>
      <c r="JM297" s="255"/>
      <c r="JN297" s="255"/>
      <c r="JO297" s="255"/>
      <c r="JP297" s="255"/>
      <c r="JQ297" s="255"/>
      <c r="JR297" s="255"/>
      <c r="JS297" s="255"/>
      <c r="JT297" s="255"/>
      <c r="JU297" s="255"/>
      <c r="JV297" s="255"/>
      <c r="JW297" s="255"/>
      <c r="JX297" s="255"/>
      <c r="JY297" s="255"/>
      <c r="JZ297" s="255"/>
      <c r="KA297" s="255"/>
      <c r="KB297" s="191"/>
    </row>
    <row r="298" spans="2:288" ht="15" customHeight="1" x14ac:dyDescent="0.35">
      <c r="B298" s="146" t="str">
        <f t="shared" si="23"/>
        <v>Desk 82</v>
      </c>
      <c r="C298" s="148" t="str">
        <v/>
      </c>
      <c r="D298" s="148" t="str">
        <v/>
      </c>
      <c r="E298" s="148" t="str">
        <v/>
      </c>
      <c r="F298" s="148" t="str">
        <v/>
      </c>
      <c r="G298" s="268" t="str">
        <v/>
      </c>
      <c r="H298" s="255"/>
      <c r="I298" s="255"/>
      <c r="J298" s="255"/>
      <c r="K298" s="255"/>
      <c r="L298" s="255"/>
      <c r="M298" s="255"/>
      <c r="N298" s="255"/>
      <c r="O298" s="255"/>
      <c r="P298" s="255"/>
      <c r="Q298" s="255"/>
      <c r="R298" s="255"/>
      <c r="S298" s="255"/>
      <c r="T298" s="255"/>
      <c r="U298" s="255"/>
      <c r="V298" s="255"/>
      <c r="W298" s="255"/>
      <c r="X298" s="255"/>
      <c r="Y298" s="255"/>
      <c r="Z298" s="255"/>
      <c r="AA298" s="255"/>
      <c r="AB298" s="255"/>
      <c r="AC298" s="255"/>
      <c r="AD298" s="255"/>
      <c r="AE298" s="255"/>
      <c r="AF298" s="255"/>
      <c r="AG298" s="255"/>
      <c r="AH298" s="255"/>
      <c r="AI298" s="255"/>
      <c r="AJ298" s="255"/>
      <c r="AK298" s="255"/>
      <c r="AL298" s="255"/>
      <c r="AM298" s="255"/>
      <c r="AN298" s="255"/>
      <c r="AO298" s="255"/>
      <c r="AP298" s="255"/>
      <c r="AQ298" s="255"/>
      <c r="AR298" s="255"/>
      <c r="AS298" s="255"/>
      <c r="AT298" s="255"/>
      <c r="AU298" s="255"/>
      <c r="AV298" s="255"/>
      <c r="AW298" s="255"/>
      <c r="AX298" s="255"/>
      <c r="AY298" s="255"/>
      <c r="AZ298" s="255"/>
      <c r="BA298" s="255"/>
      <c r="BB298" s="255"/>
      <c r="BC298" s="255"/>
      <c r="BD298" s="255"/>
      <c r="BE298" s="255"/>
      <c r="BF298" s="255"/>
      <c r="BG298" s="255"/>
      <c r="BH298" s="255"/>
      <c r="BI298" s="255"/>
      <c r="BJ298" s="255"/>
      <c r="BK298" s="255"/>
      <c r="BL298" s="255"/>
      <c r="BM298" s="255"/>
      <c r="BN298" s="255"/>
      <c r="BO298" s="255"/>
      <c r="BP298" s="255"/>
      <c r="BQ298" s="255"/>
      <c r="BR298" s="255"/>
      <c r="BS298" s="255"/>
      <c r="BT298" s="255"/>
      <c r="BU298" s="255"/>
      <c r="BV298" s="255"/>
      <c r="BW298" s="255"/>
      <c r="BX298" s="255"/>
      <c r="BY298" s="255"/>
      <c r="BZ298" s="255"/>
      <c r="CA298" s="255"/>
      <c r="CB298" s="255"/>
      <c r="CC298" s="255"/>
      <c r="CD298" s="255"/>
      <c r="CE298" s="255"/>
      <c r="CF298" s="255"/>
      <c r="CG298" s="255"/>
      <c r="CH298" s="255"/>
      <c r="CI298" s="255"/>
      <c r="CJ298" s="255"/>
      <c r="CK298" s="255"/>
      <c r="CL298" s="255"/>
      <c r="CM298" s="255"/>
      <c r="CN298" s="255"/>
      <c r="CO298" s="255"/>
      <c r="CP298" s="255"/>
      <c r="CQ298" s="255"/>
      <c r="CR298" s="255"/>
      <c r="CS298" s="255"/>
      <c r="CT298" s="255"/>
      <c r="CU298" s="255"/>
      <c r="CV298" s="255"/>
      <c r="CW298" s="255"/>
      <c r="CX298" s="255"/>
      <c r="CY298" s="255"/>
      <c r="CZ298" s="255"/>
      <c r="DA298" s="255"/>
      <c r="DB298" s="255"/>
      <c r="DC298" s="255"/>
      <c r="DD298" s="255"/>
      <c r="DE298" s="255"/>
      <c r="DF298" s="255"/>
      <c r="DG298" s="255"/>
      <c r="DH298" s="255"/>
      <c r="DI298" s="255"/>
      <c r="DJ298" s="255"/>
      <c r="DK298" s="255"/>
      <c r="DL298" s="255"/>
      <c r="DM298" s="255"/>
      <c r="DN298" s="255"/>
      <c r="DO298" s="255"/>
      <c r="DP298" s="255"/>
      <c r="DQ298" s="255"/>
      <c r="DR298" s="255"/>
      <c r="DS298" s="255"/>
      <c r="DT298" s="255"/>
      <c r="DU298" s="255"/>
      <c r="DV298" s="255"/>
      <c r="DW298" s="191"/>
      <c r="DX298" s="255"/>
      <c r="DY298" s="255"/>
      <c r="DZ298" s="255"/>
      <c r="EA298" s="255"/>
      <c r="EB298" s="255"/>
      <c r="EC298" s="255"/>
      <c r="ED298" s="255"/>
      <c r="EE298" s="255"/>
      <c r="EF298" s="255"/>
      <c r="EG298" s="255"/>
      <c r="EH298" s="255"/>
      <c r="EI298" s="255"/>
      <c r="EJ298" s="255"/>
      <c r="EK298" s="255"/>
      <c r="EL298" s="255"/>
      <c r="EM298" s="255"/>
      <c r="EN298" s="255"/>
      <c r="EO298" s="255"/>
      <c r="EP298" s="255"/>
      <c r="EQ298" s="255"/>
      <c r="ER298" s="191"/>
      <c r="ES298" s="255"/>
      <c r="ET298" s="255"/>
      <c r="EU298" s="255"/>
      <c r="EV298" s="255"/>
      <c r="EW298" s="255"/>
      <c r="EX298" s="255"/>
      <c r="EY298" s="255"/>
      <c r="EZ298" s="255"/>
      <c r="FA298" s="255"/>
      <c r="FB298" s="255"/>
      <c r="FC298" s="255"/>
      <c r="FD298" s="255"/>
      <c r="FE298" s="255"/>
      <c r="FF298" s="255"/>
      <c r="FG298" s="255"/>
      <c r="FH298" s="255"/>
      <c r="FI298" s="255"/>
      <c r="FJ298" s="255"/>
      <c r="FK298" s="255"/>
      <c r="FL298" s="255"/>
      <c r="FM298" s="255"/>
      <c r="FN298" s="255"/>
      <c r="FO298" s="255"/>
      <c r="FP298" s="255"/>
      <c r="FQ298" s="255"/>
      <c r="FR298" s="255"/>
      <c r="FS298" s="255"/>
      <c r="FT298" s="255"/>
      <c r="FU298" s="255"/>
      <c r="FV298" s="255"/>
      <c r="FW298" s="255"/>
      <c r="FX298" s="255"/>
      <c r="FY298" s="255"/>
      <c r="FZ298" s="255"/>
      <c r="GA298" s="255"/>
      <c r="GB298" s="255"/>
      <c r="GC298" s="255"/>
      <c r="GD298" s="255"/>
      <c r="GE298" s="255"/>
      <c r="GF298" s="255"/>
      <c r="GG298" s="255"/>
      <c r="GH298" s="255"/>
      <c r="GI298" s="255"/>
      <c r="GJ298" s="255"/>
      <c r="GK298" s="255"/>
      <c r="GL298" s="255"/>
      <c r="GM298" s="255"/>
      <c r="GN298" s="255"/>
      <c r="GO298" s="255"/>
      <c r="GP298" s="255"/>
      <c r="GQ298" s="255"/>
      <c r="GR298" s="255"/>
      <c r="GS298" s="255"/>
      <c r="GT298" s="255"/>
      <c r="GU298" s="255"/>
      <c r="GV298" s="255"/>
      <c r="GW298" s="255"/>
      <c r="GX298" s="255"/>
      <c r="GY298" s="255"/>
      <c r="GZ298" s="255"/>
      <c r="HA298" s="255"/>
      <c r="HB298" s="255"/>
      <c r="HC298" s="255"/>
      <c r="HD298" s="255"/>
      <c r="HE298" s="255"/>
      <c r="HF298" s="255"/>
      <c r="HG298" s="255"/>
      <c r="HH298" s="255"/>
      <c r="HI298" s="255"/>
      <c r="HJ298" s="255"/>
      <c r="HK298" s="255"/>
      <c r="HL298" s="255"/>
      <c r="HM298" s="255"/>
      <c r="HN298" s="255"/>
      <c r="HO298" s="255"/>
      <c r="HP298" s="255"/>
      <c r="HQ298" s="255"/>
      <c r="HR298" s="255"/>
      <c r="HS298" s="255"/>
      <c r="HT298" s="255"/>
      <c r="HU298" s="255"/>
      <c r="HV298" s="255"/>
      <c r="HW298" s="255"/>
      <c r="HX298" s="255"/>
      <c r="HY298" s="255"/>
      <c r="HZ298" s="255"/>
      <c r="IA298" s="255"/>
      <c r="IB298" s="255"/>
      <c r="IC298" s="255"/>
      <c r="ID298" s="255"/>
      <c r="IE298" s="255"/>
      <c r="IF298" s="255"/>
      <c r="IG298" s="255"/>
      <c r="IH298" s="255"/>
      <c r="II298" s="255"/>
      <c r="IJ298" s="255"/>
      <c r="IK298" s="255"/>
      <c r="IL298" s="255"/>
      <c r="IM298" s="255"/>
      <c r="IN298" s="255"/>
      <c r="IO298" s="255"/>
      <c r="IP298" s="255"/>
      <c r="IQ298" s="255"/>
      <c r="IR298" s="255"/>
      <c r="IS298" s="255"/>
      <c r="IT298" s="255"/>
      <c r="IU298" s="255"/>
      <c r="IV298" s="255"/>
      <c r="IW298" s="255"/>
      <c r="IX298" s="255"/>
      <c r="IY298" s="255"/>
      <c r="IZ298" s="255"/>
      <c r="JA298" s="255"/>
      <c r="JB298" s="255"/>
      <c r="JC298" s="255"/>
      <c r="JD298" s="255"/>
      <c r="JE298" s="255"/>
      <c r="JF298" s="255"/>
      <c r="JG298" s="191"/>
      <c r="JH298" s="255"/>
      <c r="JI298" s="255"/>
      <c r="JJ298" s="255"/>
      <c r="JK298" s="255"/>
      <c r="JL298" s="255"/>
      <c r="JM298" s="255"/>
      <c r="JN298" s="255"/>
      <c r="JO298" s="255"/>
      <c r="JP298" s="255"/>
      <c r="JQ298" s="255"/>
      <c r="JR298" s="255"/>
      <c r="JS298" s="255"/>
      <c r="JT298" s="255"/>
      <c r="JU298" s="255"/>
      <c r="JV298" s="255"/>
      <c r="JW298" s="255"/>
      <c r="JX298" s="255"/>
      <c r="JY298" s="255"/>
      <c r="JZ298" s="255"/>
      <c r="KA298" s="255"/>
      <c r="KB298" s="191"/>
    </row>
    <row r="299" spans="2:288" ht="15" customHeight="1" x14ac:dyDescent="0.35">
      <c r="B299" s="146" t="str">
        <f t="shared" si="23"/>
        <v>Desk 83</v>
      </c>
      <c r="C299" s="148" t="str">
        <v/>
      </c>
      <c r="D299" s="148" t="str">
        <v/>
      </c>
      <c r="E299" s="148" t="str">
        <v/>
      </c>
      <c r="F299" s="148" t="str">
        <v/>
      </c>
      <c r="G299" s="268" t="str">
        <v/>
      </c>
      <c r="H299" s="255"/>
      <c r="I299" s="255"/>
      <c r="J299" s="255"/>
      <c r="K299" s="255"/>
      <c r="L299" s="255"/>
      <c r="M299" s="255"/>
      <c r="N299" s="255"/>
      <c r="O299" s="255"/>
      <c r="P299" s="255"/>
      <c r="Q299" s="255"/>
      <c r="R299" s="255"/>
      <c r="S299" s="255"/>
      <c r="T299" s="255"/>
      <c r="U299" s="255"/>
      <c r="V299" s="255"/>
      <c r="W299" s="255"/>
      <c r="X299" s="255"/>
      <c r="Y299" s="255"/>
      <c r="Z299" s="255"/>
      <c r="AA299" s="255"/>
      <c r="AB299" s="255"/>
      <c r="AC299" s="255"/>
      <c r="AD299" s="255"/>
      <c r="AE299" s="255"/>
      <c r="AF299" s="255"/>
      <c r="AG299" s="255"/>
      <c r="AH299" s="255"/>
      <c r="AI299" s="255"/>
      <c r="AJ299" s="255"/>
      <c r="AK299" s="255"/>
      <c r="AL299" s="255"/>
      <c r="AM299" s="255"/>
      <c r="AN299" s="255"/>
      <c r="AO299" s="255"/>
      <c r="AP299" s="255"/>
      <c r="AQ299" s="255"/>
      <c r="AR299" s="255"/>
      <c r="AS299" s="255"/>
      <c r="AT299" s="255"/>
      <c r="AU299" s="255"/>
      <c r="AV299" s="255"/>
      <c r="AW299" s="255"/>
      <c r="AX299" s="255"/>
      <c r="AY299" s="255"/>
      <c r="AZ299" s="255"/>
      <c r="BA299" s="255"/>
      <c r="BB299" s="255"/>
      <c r="BC299" s="255"/>
      <c r="BD299" s="255"/>
      <c r="BE299" s="255"/>
      <c r="BF299" s="255"/>
      <c r="BG299" s="255"/>
      <c r="BH299" s="255"/>
      <c r="BI299" s="255"/>
      <c r="BJ299" s="255"/>
      <c r="BK299" s="255"/>
      <c r="BL299" s="255"/>
      <c r="BM299" s="255"/>
      <c r="BN299" s="255"/>
      <c r="BO299" s="255"/>
      <c r="BP299" s="255"/>
      <c r="BQ299" s="255"/>
      <c r="BR299" s="255"/>
      <c r="BS299" s="255"/>
      <c r="BT299" s="255"/>
      <c r="BU299" s="255"/>
      <c r="BV299" s="255"/>
      <c r="BW299" s="255"/>
      <c r="BX299" s="255"/>
      <c r="BY299" s="255"/>
      <c r="BZ299" s="255"/>
      <c r="CA299" s="255"/>
      <c r="CB299" s="255"/>
      <c r="CC299" s="255"/>
      <c r="CD299" s="255"/>
      <c r="CE299" s="255"/>
      <c r="CF299" s="255"/>
      <c r="CG299" s="255"/>
      <c r="CH299" s="255"/>
      <c r="CI299" s="255"/>
      <c r="CJ299" s="255"/>
      <c r="CK299" s="255"/>
      <c r="CL299" s="255"/>
      <c r="CM299" s="255"/>
      <c r="CN299" s="255"/>
      <c r="CO299" s="255"/>
      <c r="CP299" s="255"/>
      <c r="CQ299" s="255"/>
      <c r="CR299" s="255"/>
      <c r="CS299" s="255"/>
      <c r="CT299" s="255"/>
      <c r="CU299" s="255"/>
      <c r="CV299" s="255"/>
      <c r="CW299" s="255"/>
      <c r="CX299" s="255"/>
      <c r="CY299" s="255"/>
      <c r="CZ299" s="255"/>
      <c r="DA299" s="255"/>
      <c r="DB299" s="255"/>
      <c r="DC299" s="255"/>
      <c r="DD299" s="255"/>
      <c r="DE299" s="255"/>
      <c r="DF299" s="255"/>
      <c r="DG299" s="255"/>
      <c r="DH299" s="255"/>
      <c r="DI299" s="255"/>
      <c r="DJ299" s="255"/>
      <c r="DK299" s="255"/>
      <c r="DL299" s="255"/>
      <c r="DM299" s="255"/>
      <c r="DN299" s="255"/>
      <c r="DO299" s="255"/>
      <c r="DP299" s="255"/>
      <c r="DQ299" s="255"/>
      <c r="DR299" s="255"/>
      <c r="DS299" s="255"/>
      <c r="DT299" s="255"/>
      <c r="DU299" s="255"/>
      <c r="DV299" s="255"/>
      <c r="DW299" s="191"/>
      <c r="DX299" s="255"/>
      <c r="DY299" s="255"/>
      <c r="DZ299" s="255"/>
      <c r="EA299" s="255"/>
      <c r="EB299" s="255"/>
      <c r="EC299" s="255"/>
      <c r="ED299" s="255"/>
      <c r="EE299" s="255"/>
      <c r="EF299" s="255"/>
      <c r="EG299" s="255"/>
      <c r="EH299" s="255"/>
      <c r="EI299" s="255"/>
      <c r="EJ299" s="255"/>
      <c r="EK299" s="255"/>
      <c r="EL299" s="255"/>
      <c r="EM299" s="255"/>
      <c r="EN299" s="255"/>
      <c r="EO299" s="255"/>
      <c r="EP299" s="255"/>
      <c r="EQ299" s="255"/>
      <c r="ER299" s="191"/>
      <c r="ES299" s="255"/>
      <c r="ET299" s="255"/>
      <c r="EU299" s="255"/>
      <c r="EV299" s="255"/>
      <c r="EW299" s="255"/>
      <c r="EX299" s="255"/>
      <c r="EY299" s="255"/>
      <c r="EZ299" s="255"/>
      <c r="FA299" s="255"/>
      <c r="FB299" s="255"/>
      <c r="FC299" s="255"/>
      <c r="FD299" s="255"/>
      <c r="FE299" s="255"/>
      <c r="FF299" s="255"/>
      <c r="FG299" s="255"/>
      <c r="FH299" s="255"/>
      <c r="FI299" s="255"/>
      <c r="FJ299" s="255"/>
      <c r="FK299" s="255"/>
      <c r="FL299" s="255"/>
      <c r="FM299" s="255"/>
      <c r="FN299" s="255"/>
      <c r="FO299" s="255"/>
      <c r="FP299" s="255"/>
      <c r="FQ299" s="255"/>
      <c r="FR299" s="255"/>
      <c r="FS299" s="255"/>
      <c r="FT299" s="255"/>
      <c r="FU299" s="255"/>
      <c r="FV299" s="255"/>
      <c r="FW299" s="255"/>
      <c r="FX299" s="255"/>
      <c r="FY299" s="255"/>
      <c r="FZ299" s="255"/>
      <c r="GA299" s="255"/>
      <c r="GB299" s="255"/>
      <c r="GC299" s="255"/>
      <c r="GD299" s="255"/>
      <c r="GE299" s="255"/>
      <c r="GF299" s="255"/>
      <c r="GG299" s="255"/>
      <c r="GH299" s="255"/>
      <c r="GI299" s="255"/>
      <c r="GJ299" s="255"/>
      <c r="GK299" s="255"/>
      <c r="GL299" s="255"/>
      <c r="GM299" s="255"/>
      <c r="GN299" s="255"/>
      <c r="GO299" s="255"/>
      <c r="GP299" s="255"/>
      <c r="GQ299" s="255"/>
      <c r="GR299" s="255"/>
      <c r="GS299" s="255"/>
      <c r="GT299" s="255"/>
      <c r="GU299" s="255"/>
      <c r="GV299" s="255"/>
      <c r="GW299" s="255"/>
      <c r="GX299" s="255"/>
      <c r="GY299" s="255"/>
      <c r="GZ299" s="255"/>
      <c r="HA299" s="255"/>
      <c r="HB299" s="255"/>
      <c r="HC299" s="255"/>
      <c r="HD299" s="255"/>
      <c r="HE299" s="255"/>
      <c r="HF299" s="255"/>
      <c r="HG299" s="255"/>
      <c r="HH299" s="255"/>
      <c r="HI299" s="255"/>
      <c r="HJ299" s="255"/>
      <c r="HK299" s="255"/>
      <c r="HL299" s="255"/>
      <c r="HM299" s="255"/>
      <c r="HN299" s="255"/>
      <c r="HO299" s="255"/>
      <c r="HP299" s="255"/>
      <c r="HQ299" s="255"/>
      <c r="HR299" s="255"/>
      <c r="HS299" s="255"/>
      <c r="HT299" s="255"/>
      <c r="HU299" s="255"/>
      <c r="HV299" s="255"/>
      <c r="HW299" s="255"/>
      <c r="HX299" s="255"/>
      <c r="HY299" s="255"/>
      <c r="HZ299" s="255"/>
      <c r="IA299" s="255"/>
      <c r="IB299" s="255"/>
      <c r="IC299" s="255"/>
      <c r="ID299" s="255"/>
      <c r="IE299" s="255"/>
      <c r="IF299" s="255"/>
      <c r="IG299" s="255"/>
      <c r="IH299" s="255"/>
      <c r="II299" s="255"/>
      <c r="IJ299" s="255"/>
      <c r="IK299" s="255"/>
      <c r="IL299" s="255"/>
      <c r="IM299" s="255"/>
      <c r="IN299" s="255"/>
      <c r="IO299" s="255"/>
      <c r="IP299" s="255"/>
      <c r="IQ299" s="255"/>
      <c r="IR299" s="255"/>
      <c r="IS299" s="255"/>
      <c r="IT299" s="255"/>
      <c r="IU299" s="255"/>
      <c r="IV299" s="255"/>
      <c r="IW299" s="255"/>
      <c r="IX299" s="255"/>
      <c r="IY299" s="255"/>
      <c r="IZ299" s="255"/>
      <c r="JA299" s="255"/>
      <c r="JB299" s="255"/>
      <c r="JC299" s="255"/>
      <c r="JD299" s="255"/>
      <c r="JE299" s="255"/>
      <c r="JF299" s="255"/>
      <c r="JG299" s="191"/>
      <c r="JH299" s="255"/>
      <c r="JI299" s="255"/>
      <c r="JJ299" s="255"/>
      <c r="JK299" s="255"/>
      <c r="JL299" s="255"/>
      <c r="JM299" s="255"/>
      <c r="JN299" s="255"/>
      <c r="JO299" s="255"/>
      <c r="JP299" s="255"/>
      <c r="JQ299" s="255"/>
      <c r="JR299" s="255"/>
      <c r="JS299" s="255"/>
      <c r="JT299" s="255"/>
      <c r="JU299" s="255"/>
      <c r="JV299" s="255"/>
      <c r="JW299" s="255"/>
      <c r="JX299" s="255"/>
      <c r="JY299" s="255"/>
      <c r="JZ299" s="255"/>
      <c r="KA299" s="255"/>
      <c r="KB299" s="191"/>
    </row>
    <row r="300" spans="2:288" ht="15" customHeight="1" x14ac:dyDescent="0.35">
      <c r="B300" s="146" t="str">
        <f t="shared" si="23"/>
        <v>Desk 84</v>
      </c>
      <c r="C300" s="148" t="str">
        <v/>
      </c>
      <c r="D300" s="148" t="str">
        <v/>
      </c>
      <c r="E300" s="148" t="str">
        <v/>
      </c>
      <c r="F300" s="148" t="str">
        <v/>
      </c>
      <c r="G300" s="268" t="str">
        <v/>
      </c>
      <c r="H300" s="255"/>
      <c r="I300" s="255"/>
      <c r="J300" s="255"/>
      <c r="K300" s="255"/>
      <c r="L300" s="255"/>
      <c r="M300" s="255"/>
      <c r="N300" s="255"/>
      <c r="O300" s="255"/>
      <c r="P300" s="255"/>
      <c r="Q300" s="255"/>
      <c r="R300" s="255"/>
      <c r="S300" s="255"/>
      <c r="T300" s="255"/>
      <c r="U300" s="255"/>
      <c r="V300" s="255"/>
      <c r="W300" s="255"/>
      <c r="X300" s="255"/>
      <c r="Y300" s="255"/>
      <c r="Z300" s="255"/>
      <c r="AA300" s="255"/>
      <c r="AB300" s="255"/>
      <c r="AC300" s="255"/>
      <c r="AD300" s="255"/>
      <c r="AE300" s="255"/>
      <c r="AF300" s="255"/>
      <c r="AG300" s="255"/>
      <c r="AH300" s="255"/>
      <c r="AI300" s="255"/>
      <c r="AJ300" s="255"/>
      <c r="AK300" s="255"/>
      <c r="AL300" s="255"/>
      <c r="AM300" s="255"/>
      <c r="AN300" s="255"/>
      <c r="AO300" s="255"/>
      <c r="AP300" s="255"/>
      <c r="AQ300" s="255"/>
      <c r="AR300" s="255"/>
      <c r="AS300" s="255"/>
      <c r="AT300" s="255"/>
      <c r="AU300" s="255"/>
      <c r="AV300" s="255"/>
      <c r="AW300" s="255"/>
      <c r="AX300" s="255"/>
      <c r="AY300" s="255"/>
      <c r="AZ300" s="255"/>
      <c r="BA300" s="255"/>
      <c r="BB300" s="255"/>
      <c r="BC300" s="255"/>
      <c r="BD300" s="255"/>
      <c r="BE300" s="255"/>
      <c r="BF300" s="255"/>
      <c r="BG300" s="255"/>
      <c r="BH300" s="255"/>
      <c r="BI300" s="255"/>
      <c r="BJ300" s="255"/>
      <c r="BK300" s="255"/>
      <c r="BL300" s="255"/>
      <c r="BM300" s="255"/>
      <c r="BN300" s="255"/>
      <c r="BO300" s="255"/>
      <c r="BP300" s="255"/>
      <c r="BQ300" s="255"/>
      <c r="BR300" s="255"/>
      <c r="BS300" s="255"/>
      <c r="BT300" s="255"/>
      <c r="BU300" s="255"/>
      <c r="BV300" s="255"/>
      <c r="BW300" s="255"/>
      <c r="BX300" s="255"/>
      <c r="BY300" s="255"/>
      <c r="BZ300" s="255"/>
      <c r="CA300" s="255"/>
      <c r="CB300" s="255"/>
      <c r="CC300" s="255"/>
      <c r="CD300" s="255"/>
      <c r="CE300" s="255"/>
      <c r="CF300" s="255"/>
      <c r="CG300" s="255"/>
      <c r="CH300" s="255"/>
      <c r="CI300" s="255"/>
      <c r="CJ300" s="255"/>
      <c r="CK300" s="255"/>
      <c r="CL300" s="255"/>
      <c r="CM300" s="255"/>
      <c r="CN300" s="255"/>
      <c r="CO300" s="255"/>
      <c r="CP300" s="255"/>
      <c r="CQ300" s="255"/>
      <c r="CR300" s="255"/>
      <c r="CS300" s="255"/>
      <c r="CT300" s="255"/>
      <c r="CU300" s="255"/>
      <c r="CV300" s="255"/>
      <c r="CW300" s="255"/>
      <c r="CX300" s="255"/>
      <c r="CY300" s="255"/>
      <c r="CZ300" s="255"/>
      <c r="DA300" s="255"/>
      <c r="DB300" s="255"/>
      <c r="DC300" s="255"/>
      <c r="DD300" s="255"/>
      <c r="DE300" s="255"/>
      <c r="DF300" s="255"/>
      <c r="DG300" s="255"/>
      <c r="DH300" s="255"/>
      <c r="DI300" s="255"/>
      <c r="DJ300" s="255"/>
      <c r="DK300" s="255"/>
      <c r="DL300" s="255"/>
      <c r="DM300" s="255"/>
      <c r="DN300" s="255"/>
      <c r="DO300" s="255"/>
      <c r="DP300" s="255"/>
      <c r="DQ300" s="255"/>
      <c r="DR300" s="255"/>
      <c r="DS300" s="255"/>
      <c r="DT300" s="255"/>
      <c r="DU300" s="255"/>
      <c r="DV300" s="255"/>
      <c r="DW300" s="191"/>
      <c r="DX300" s="255"/>
      <c r="DY300" s="255"/>
      <c r="DZ300" s="255"/>
      <c r="EA300" s="255"/>
      <c r="EB300" s="255"/>
      <c r="EC300" s="255"/>
      <c r="ED300" s="255"/>
      <c r="EE300" s="255"/>
      <c r="EF300" s="255"/>
      <c r="EG300" s="255"/>
      <c r="EH300" s="255"/>
      <c r="EI300" s="255"/>
      <c r="EJ300" s="255"/>
      <c r="EK300" s="255"/>
      <c r="EL300" s="255"/>
      <c r="EM300" s="255"/>
      <c r="EN300" s="255"/>
      <c r="EO300" s="255"/>
      <c r="EP300" s="255"/>
      <c r="EQ300" s="255"/>
      <c r="ER300" s="191"/>
      <c r="ES300" s="255"/>
      <c r="ET300" s="255"/>
      <c r="EU300" s="255"/>
      <c r="EV300" s="255"/>
      <c r="EW300" s="255"/>
      <c r="EX300" s="255"/>
      <c r="EY300" s="255"/>
      <c r="EZ300" s="255"/>
      <c r="FA300" s="255"/>
      <c r="FB300" s="255"/>
      <c r="FC300" s="255"/>
      <c r="FD300" s="255"/>
      <c r="FE300" s="255"/>
      <c r="FF300" s="255"/>
      <c r="FG300" s="255"/>
      <c r="FH300" s="255"/>
      <c r="FI300" s="255"/>
      <c r="FJ300" s="255"/>
      <c r="FK300" s="255"/>
      <c r="FL300" s="255"/>
      <c r="FM300" s="255"/>
      <c r="FN300" s="255"/>
      <c r="FO300" s="255"/>
      <c r="FP300" s="255"/>
      <c r="FQ300" s="255"/>
      <c r="FR300" s="255"/>
      <c r="FS300" s="255"/>
      <c r="FT300" s="255"/>
      <c r="FU300" s="255"/>
      <c r="FV300" s="255"/>
      <c r="FW300" s="255"/>
      <c r="FX300" s="255"/>
      <c r="FY300" s="255"/>
      <c r="FZ300" s="255"/>
      <c r="GA300" s="255"/>
      <c r="GB300" s="255"/>
      <c r="GC300" s="255"/>
      <c r="GD300" s="255"/>
      <c r="GE300" s="255"/>
      <c r="GF300" s="255"/>
      <c r="GG300" s="255"/>
      <c r="GH300" s="255"/>
      <c r="GI300" s="255"/>
      <c r="GJ300" s="255"/>
      <c r="GK300" s="255"/>
      <c r="GL300" s="255"/>
      <c r="GM300" s="255"/>
      <c r="GN300" s="255"/>
      <c r="GO300" s="255"/>
      <c r="GP300" s="255"/>
      <c r="GQ300" s="255"/>
      <c r="GR300" s="255"/>
      <c r="GS300" s="255"/>
      <c r="GT300" s="255"/>
      <c r="GU300" s="255"/>
      <c r="GV300" s="255"/>
      <c r="GW300" s="255"/>
      <c r="GX300" s="255"/>
      <c r="GY300" s="255"/>
      <c r="GZ300" s="255"/>
      <c r="HA300" s="255"/>
      <c r="HB300" s="255"/>
      <c r="HC300" s="255"/>
      <c r="HD300" s="255"/>
      <c r="HE300" s="255"/>
      <c r="HF300" s="255"/>
      <c r="HG300" s="255"/>
      <c r="HH300" s="255"/>
      <c r="HI300" s="255"/>
      <c r="HJ300" s="255"/>
      <c r="HK300" s="255"/>
      <c r="HL300" s="255"/>
      <c r="HM300" s="255"/>
      <c r="HN300" s="255"/>
      <c r="HO300" s="255"/>
      <c r="HP300" s="255"/>
      <c r="HQ300" s="255"/>
      <c r="HR300" s="255"/>
      <c r="HS300" s="255"/>
      <c r="HT300" s="255"/>
      <c r="HU300" s="255"/>
      <c r="HV300" s="255"/>
      <c r="HW300" s="255"/>
      <c r="HX300" s="255"/>
      <c r="HY300" s="255"/>
      <c r="HZ300" s="255"/>
      <c r="IA300" s="255"/>
      <c r="IB300" s="255"/>
      <c r="IC300" s="255"/>
      <c r="ID300" s="255"/>
      <c r="IE300" s="255"/>
      <c r="IF300" s="255"/>
      <c r="IG300" s="255"/>
      <c r="IH300" s="255"/>
      <c r="II300" s="255"/>
      <c r="IJ300" s="255"/>
      <c r="IK300" s="255"/>
      <c r="IL300" s="255"/>
      <c r="IM300" s="255"/>
      <c r="IN300" s="255"/>
      <c r="IO300" s="255"/>
      <c r="IP300" s="255"/>
      <c r="IQ300" s="255"/>
      <c r="IR300" s="255"/>
      <c r="IS300" s="255"/>
      <c r="IT300" s="255"/>
      <c r="IU300" s="255"/>
      <c r="IV300" s="255"/>
      <c r="IW300" s="255"/>
      <c r="IX300" s="255"/>
      <c r="IY300" s="255"/>
      <c r="IZ300" s="255"/>
      <c r="JA300" s="255"/>
      <c r="JB300" s="255"/>
      <c r="JC300" s="255"/>
      <c r="JD300" s="255"/>
      <c r="JE300" s="255"/>
      <c r="JF300" s="255"/>
      <c r="JG300" s="191"/>
      <c r="JH300" s="255"/>
      <c r="JI300" s="255"/>
      <c r="JJ300" s="255"/>
      <c r="JK300" s="255"/>
      <c r="JL300" s="255"/>
      <c r="JM300" s="255"/>
      <c r="JN300" s="255"/>
      <c r="JO300" s="255"/>
      <c r="JP300" s="255"/>
      <c r="JQ300" s="255"/>
      <c r="JR300" s="255"/>
      <c r="JS300" s="255"/>
      <c r="JT300" s="255"/>
      <c r="JU300" s="255"/>
      <c r="JV300" s="255"/>
      <c r="JW300" s="255"/>
      <c r="JX300" s="255"/>
      <c r="JY300" s="255"/>
      <c r="JZ300" s="255"/>
      <c r="KA300" s="255"/>
      <c r="KB300" s="191"/>
    </row>
    <row r="301" spans="2:288" ht="15" customHeight="1" x14ac:dyDescent="0.35">
      <c r="B301" s="146" t="str">
        <f t="shared" si="23"/>
        <v>Desk 85</v>
      </c>
      <c r="C301" s="148" t="str">
        <v/>
      </c>
      <c r="D301" s="148" t="str">
        <v/>
      </c>
      <c r="E301" s="148" t="str">
        <v/>
      </c>
      <c r="F301" s="148" t="str">
        <v/>
      </c>
      <c r="G301" s="268" t="str">
        <v/>
      </c>
      <c r="H301" s="255"/>
      <c r="I301" s="255"/>
      <c r="J301" s="255"/>
      <c r="K301" s="255"/>
      <c r="L301" s="255"/>
      <c r="M301" s="255"/>
      <c r="N301" s="255"/>
      <c r="O301" s="255"/>
      <c r="P301" s="255"/>
      <c r="Q301" s="255"/>
      <c r="R301" s="255"/>
      <c r="S301" s="255"/>
      <c r="T301" s="255"/>
      <c r="U301" s="255"/>
      <c r="V301" s="255"/>
      <c r="W301" s="255"/>
      <c r="X301" s="255"/>
      <c r="Y301" s="255"/>
      <c r="Z301" s="255"/>
      <c r="AA301" s="255"/>
      <c r="AB301" s="255"/>
      <c r="AC301" s="255"/>
      <c r="AD301" s="255"/>
      <c r="AE301" s="255"/>
      <c r="AF301" s="255"/>
      <c r="AG301" s="255"/>
      <c r="AH301" s="255"/>
      <c r="AI301" s="255"/>
      <c r="AJ301" s="255"/>
      <c r="AK301" s="255"/>
      <c r="AL301" s="255"/>
      <c r="AM301" s="255"/>
      <c r="AN301" s="255"/>
      <c r="AO301" s="255"/>
      <c r="AP301" s="255"/>
      <c r="AQ301" s="255"/>
      <c r="AR301" s="255"/>
      <c r="AS301" s="255"/>
      <c r="AT301" s="255"/>
      <c r="AU301" s="255"/>
      <c r="AV301" s="255"/>
      <c r="AW301" s="255"/>
      <c r="AX301" s="255"/>
      <c r="AY301" s="255"/>
      <c r="AZ301" s="255"/>
      <c r="BA301" s="255"/>
      <c r="BB301" s="255"/>
      <c r="BC301" s="255"/>
      <c r="BD301" s="255"/>
      <c r="BE301" s="255"/>
      <c r="BF301" s="255"/>
      <c r="BG301" s="255"/>
      <c r="BH301" s="255"/>
      <c r="BI301" s="255"/>
      <c r="BJ301" s="255"/>
      <c r="BK301" s="255"/>
      <c r="BL301" s="255"/>
      <c r="BM301" s="255"/>
      <c r="BN301" s="255"/>
      <c r="BO301" s="255"/>
      <c r="BP301" s="255"/>
      <c r="BQ301" s="255"/>
      <c r="BR301" s="255"/>
      <c r="BS301" s="255"/>
      <c r="BT301" s="255"/>
      <c r="BU301" s="255"/>
      <c r="BV301" s="255"/>
      <c r="BW301" s="255"/>
      <c r="BX301" s="255"/>
      <c r="BY301" s="255"/>
      <c r="BZ301" s="255"/>
      <c r="CA301" s="255"/>
      <c r="CB301" s="255"/>
      <c r="CC301" s="255"/>
      <c r="CD301" s="255"/>
      <c r="CE301" s="255"/>
      <c r="CF301" s="255"/>
      <c r="CG301" s="255"/>
      <c r="CH301" s="255"/>
      <c r="CI301" s="255"/>
      <c r="CJ301" s="255"/>
      <c r="CK301" s="255"/>
      <c r="CL301" s="255"/>
      <c r="CM301" s="255"/>
      <c r="CN301" s="255"/>
      <c r="CO301" s="255"/>
      <c r="CP301" s="255"/>
      <c r="CQ301" s="255"/>
      <c r="CR301" s="255"/>
      <c r="CS301" s="255"/>
      <c r="CT301" s="255"/>
      <c r="CU301" s="255"/>
      <c r="CV301" s="255"/>
      <c r="CW301" s="255"/>
      <c r="CX301" s="255"/>
      <c r="CY301" s="255"/>
      <c r="CZ301" s="255"/>
      <c r="DA301" s="255"/>
      <c r="DB301" s="255"/>
      <c r="DC301" s="255"/>
      <c r="DD301" s="255"/>
      <c r="DE301" s="255"/>
      <c r="DF301" s="255"/>
      <c r="DG301" s="255"/>
      <c r="DH301" s="255"/>
      <c r="DI301" s="255"/>
      <c r="DJ301" s="255"/>
      <c r="DK301" s="255"/>
      <c r="DL301" s="255"/>
      <c r="DM301" s="255"/>
      <c r="DN301" s="255"/>
      <c r="DO301" s="255"/>
      <c r="DP301" s="255"/>
      <c r="DQ301" s="255"/>
      <c r="DR301" s="255"/>
      <c r="DS301" s="255"/>
      <c r="DT301" s="255"/>
      <c r="DU301" s="255"/>
      <c r="DV301" s="255"/>
      <c r="DW301" s="191"/>
      <c r="DX301" s="255"/>
      <c r="DY301" s="255"/>
      <c r="DZ301" s="255"/>
      <c r="EA301" s="255"/>
      <c r="EB301" s="255"/>
      <c r="EC301" s="255"/>
      <c r="ED301" s="255"/>
      <c r="EE301" s="255"/>
      <c r="EF301" s="255"/>
      <c r="EG301" s="255"/>
      <c r="EH301" s="255"/>
      <c r="EI301" s="255"/>
      <c r="EJ301" s="255"/>
      <c r="EK301" s="255"/>
      <c r="EL301" s="255"/>
      <c r="EM301" s="255"/>
      <c r="EN301" s="255"/>
      <c r="EO301" s="255"/>
      <c r="EP301" s="255"/>
      <c r="EQ301" s="255"/>
      <c r="ER301" s="191"/>
      <c r="ES301" s="255"/>
      <c r="ET301" s="255"/>
      <c r="EU301" s="255"/>
      <c r="EV301" s="255"/>
      <c r="EW301" s="255"/>
      <c r="EX301" s="255"/>
      <c r="EY301" s="255"/>
      <c r="EZ301" s="255"/>
      <c r="FA301" s="255"/>
      <c r="FB301" s="255"/>
      <c r="FC301" s="255"/>
      <c r="FD301" s="255"/>
      <c r="FE301" s="255"/>
      <c r="FF301" s="255"/>
      <c r="FG301" s="255"/>
      <c r="FH301" s="255"/>
      <c r="FI301" s="255"/>
      <c r="FJ301" s="255"/>
      <c r="FK301" s="255"/>
      <c r="FL301" s="255"/>
      <c r="FM301" s="255"/>
      <c r="FN301" s="255"/>
      <c r="FO301" s="255"/>
      <c r="FP301" s="255"/>
      <c r="FQ301" s="255"/>
      <c r="FR301" s="255"/>
      <c r="FS301" s="255"/>
      <c r="FT301" s="255"/>
      <c r="FU301" s="255"/>
      <c r="FV301" s="255"/>
      <c r="FW301" s="255"/>
      <c r="FX301" s="255"/>
      <c r="FY301" s="255"/>
      <c r="FZ301" s="255"/>
      <c r="GA301" s="255"/>
      <c r="GB301" s="255"/>
      <c r="GC301" s="255"/>
      <c r="GD301" s="255"/>
      <c r="GE301" s="255"/>
      <c r="GF301" s="255"/>
      <c r="GG301" s="255"/>
      <c r="GH301" s="255"/>
      <c r="GI301" s="255"/>
      <c r="GJ301" s="255"/>
      <c r="GK301" s="255"/>
      <c r="GL301" s="255"/>
      <c r="GM301" s="255"/>
      <c r="GN301" s="255"/>
      <c r="GO301" s="255"/>
      <c r="GP301" s="255"/>
      <c r="GQ301" s="255"/>
      <c r="GR301" s="255"/>
      <c r="GS301" s="255"/>
      <c r="GT301" s="255"/>
      <c r="GU301" s="255"/>
      <c r="GV301" s="255"/>
      <c r="GW301" s="255"/>
      <c r="GX301" s="255"/>
      <c r="GY301" s="255"/>
      <c r="GZ301" s="255"/>
      <c r="HA301" s="255"/>
      <c r="HB301" s="255"/>
      <c r="HC301" s="255"/>
      <c r="HD301" s="255"/>
      <c r="HE301" s="255"/>
      <c r="HF301" s="255"/>
      <c r="HG301" s="255"/>
      <c r="HH301" s="255"/>
      <c r="HI301" s="255"/>
      <c r="HJ301" s="255"/>
      <c r="HK301" s="255"/>
      <c r="HL301" s="255"/>
      <c r="HM301" s="255"/>
      <c r="HN301" s="255"/>
      <c r="HO301" s="255"/>
      <c r="HP301" s="255"/>
      <c r="HQ301" s="255"/>
      <c r="HR301" s="255"/>
      <c r="HS301" s="255"/>
      <c r="HT301" s="255"/>
      <c r="HU301" s="255"/>
      <c r="HV301" s="255"/>
      <c r="HW301" s="255"/>
      <c r="HX301" s="255"/>
      <c r="HY301" s="255"/>
      <c r="HZ301" s="255"/>
      <c r="IA301" s="255"/>
      <c r="IB301" s="255"/>
      <c r="IC301" s="255"/>
      <c r="ID301" s="255"/>
      <c r="IE301" s="255"/>
      <c r="IF301" s="255"/>
      <c r="IG301" s="255"/>
      <c r="IH301" s="255"/>
      <c r="II301" s="255"/>
      <c r="IJ301" s="255"/>
      <c r="IK301" s="255"/>
      <c r="IL301" s="255"/>
      <c r="IM301" s="255"/>
      <c r="IN301" s="255"/>
      <c r="IO301" s="255"/>
      <c r="IP301" s="255"/>
      <c r="IQ301" s="255"/>
      <c r="IR301" s="255"/>
      <c r="IS301" s="255"/>
      <c r="IT301" s="255"/>
      <c r="IU301" s="255"/>
      <c r="IV301" s="255"/>
      <c r="IW301" s="255"/>
      <c r="IX301" s="255"/>
      <c r="IY301" s="255"/>
      <c r="IZ301" s="255"/>
      <c r="JA301" s="255"/>
      <c r="JB301" s="255"/>
      <c r="JC301" s="255"/>
      <c r="JD301" s="255"/>
      <c r="JE301" s="255"/>
      <c r="JF301" s="255"/>
      <c r="JG301" s="191"/>
      <c r="JH301" s="255"/>
      <c r="JI301" s="255"/>
      <c r="JJ301" s="255"/>
      <c r="JK301" s="255"/>
      <c r="JL301" s="255"/>
      <c r="JM301" s="255"/>
      <c r="JN301" s="255"/>
      <c r="JO301" s="255"/>
      <c r="JP301" s="255"/>
      <c r="JQ301" s="255"/>
      <c r="JR301" s="255"/>
      <c r="JS301" s="255"/>
      <c r="JT301" s="255"/>
      <c r="JU301" s="255"/>
      <c r="JV301" s="255"/>
      <c r="JW301" s="255"/>
      <c r="JX301" s="255"/>
      <c r="JY301" s="255"/>
      <c r="JZ301" s="255"/>
      <c r="KA301" s="255"/>
      <c r="KB301" s="191"/>
    </row>
    <row r="302" spans="2:288" ht="15" customHeight="1" x14ac:dyDescent="0.35">
      <c r="B302" s="146" t="str">
        <f t="shared" si="23"/>
        <v>Desk 86</v>
      </c>
      <c r="C302" s="148" t="str">
        <v/>
      </c>
      <c r="D302" s="148" t="str">
        <v/>
      </c>
      <c r="E302" s="148" t="str">
        <v/>
      </c>
      <c r="F302" s="148" t="str">
        <v/>
      </c>
      <c r="G302" s="268" t="str">
        <v/>
      </c>
      <c r="H302" s="255"/>
      <c r="I302" s="255"/>
      <c r="J302" s="255"/>
      <c r="K302" s="255"/>
      <c r="L302" s="255"/>
      <c r="M302" s="255"/>
      <c r="N302" s="255"/>
      <c r="O302" s="255"/>
      <c r="P302" s="255"/>
      <c r="Q302" s="255"/>
      <c r="R302" s="255"/>
      <c r="S302" s="255"/>
      <c r="T302" s="255"/>
      <c r="U302" s="255"/>
      <c r="V302" s="255"/>
      <c r="W302" s="255"/>
      <c r="X302" s="255"/>
      <c r="Y302" s="255"/>
      <c r="Z302" s="255"/>
      <c r="AA302" s="255"/>
      <c r="AB302" s="255"/>
      <c r="AC302" s="255"/>
      <c r="AD302" s="255"/>
      <c r="AE302" s="255"/>
      <c r="AF302" s="255"/>
      <c r="AG302" s="255"/>
      <c r="AH302" s="255"/>
      <c r="AI302" s="255"/>
      <c r="AJ302" s="255"/>
      <c r="AK302" s="255"/>
      <c r="AL302" s="255"/>
      <c r="AM302" s="255"/>
      <c r="AN302" s="255"/>
      <c r="AO302" s="255"/>
      <c r="AP302" s="255"/>
      <c r="AQ302" s="255"/>
      <c r="AR302" s="255"/>
      <c r="AS302" s="255"/>
      <c r="AT302" s="255"/>
      <c r="AU302" s="255"/>
      <c r="AV302" s="255"/>
      <c r="AW302" s="255"/>
      <c r="AX302" s="255"/>
      <c r="AY302" s="255"/>
      <c r="AZ302" s="255"/>
      <c r="BA302" s="255"/>
      <c r="BB302" s="255"/>
      <c r="BC302" s="255"/>
      <c r="BD302" s="255"/>
      <c r="BE302" s="255"/>
      <c r="BF302" s="255"/>
      <c r="BG302" s="255"/>
      <c r="BH302" s="255"/>
      <c r="BI302" s="255"/>
      <c r="BJ302" s="255"/>
      <c r="BK302" s="255"/>
      <c r="BL302" s="255"/>
      <c r="BM302" s="255"/>
      <c r="BN302" s="255"/>
      <c r="BO302" s="255"/>
      <c r="BP302" s="255"/>
      <c r="BQ302" s="255"/>
      <c r="BR302" s="255"/>
      <c r="BS302" s="255"/>
      <c r="BT302" s="255"/>
      <c r="BU302" s="255"/>
      <c r="BV302" s="255"/>
      <c r="BW302" s="255"/>
      <c r="BX302" s="255"/>
      <c r="BY302" s="255"/>
      <c r="BZ302" s="255"/>
      <c r="CA302" s="255"/>
      <c r="CB302" s="255"/>
      <c r="CC302" s="255"/>
      <c r="CD302" s="255"/>
      <c r="CE302" s="255"/>
      <c r="CF302" s="255"/>
      <c r="CG302" s="255"/>
      <c r="CH302" s="255"/>
      <c r="CI302" s="255"/>
      <c r="CJ302" s="255"/>
      <c r="CK302" s="255"/>
      <c r="CL302" s="255"/>
      <c r="CM302" s="255"/>
      <c r="CN302" s="255"/>
      <c r="CO302" s="255"/>
      <c r="CP302" s="255"/>
      <c r="CQ302" s="255"/>
      <c r="CR302" s="255"/>
      <c r="CS302" s="255"/>
      <c r="CT302" s="255"/>
      <c r="CU302" s="255"/>
      <c r="CV302" s="255"/>
      <c r="CW302" s="255"/>
      <c r="CX302" s="255"/>
      <c r="CY302" s="255"/>
      <c r="CZ302" s="255"/>
      <c r="DA302" s="255"/>
      <c r="DB302" s="255"/>
      <c r="DC302" s="255"/>
      <c r="DD302" s="255"/>
      <c r="DE302" s="255"/>
      <c r="DF302" s="255"/>
      <c r="DG302" s="255"/>
      <c r="DH302" s="255"/>
      <c r="DI302" s="255"/>
      <c r="DJ302" s="255"/>
      <c r="DK302" s="255"/>
      <c r="DL302" s="255"/>
      <c r="DM302" s="255"/>
      <c r="DN302" s="255"/>
      <c r="DO302" s="255"/>
      <c r="DP302" s="255"/>
      <c r="DQ302" s="255"/>
      <c r="DR302" s="255"/>
      <c r="DS302" s="255"/>
      <c r="DT302" s="255"/>
      <c r="DU302" s="255"/>
      <c r="DV302" s="255"/>
      <c r="DW302" s="191"/>
      <c r="DX302" s="255"/>
      <c r="DY302" s="255"/>
      <c r="DZ302" s="255"/>
      <c r="EA302" s="255"/>
      <c r="EB302" s="255"/>
      <c r="EC302" s="255"/>
      <c r="ED302" s="255"/>
      <c r="EE302" s="255"/>
      <c r="EF302" s="255"/>
      <c r="EG302" s="255"/>
      <c r="EH302" s="255"/>
      <c r="EI302" s="255"/>
      <c r="EJ302" s="255"/>
      <c r="EK302" s="255"/>
      <c r="EL302" s="255"/>
      <c r="EM302" s="255"/>
      <c r="EN302" s="255"/>
      <c r="EO302" s="255"/>
      <c r="EP302" s="255"/>
      <c r="EQ302" s="255"/>
      <c r="ER302" s="191"/>
      <c r="ES302" s="255"/>
      <c r="ET302" s="255"/>
      <c r="EU302" s="255"/>
      <c r="EV302" s="255"/>
      <c r="EW302" s="255"/>
      <c r="EX302" s="255"/>
      <c r="EY302" s="255"/>
      <c r="EZ302" s="255"/>
      <c r="FA302" s="255"/>
      <c r="FB302" s="255"/>
      <c r="FC302" s="255"/>
      <c r="FD302" s="255"/>
      <c r="FE302" s="255"/>
      <c r="FF302" s="255"/>
      <c r="FG302" s="255"/>
      <c r="FH302" s="255"/>
      <c r="FI302" s="255"/>
      <c r="FJ302" s="255"/>
      <c r="FK302" s="255"/>
      <c r="FL302" s="255"/>
      <c r="FM302" s="255"/>
      <c r="FN302" s="255"/>
      <c r="FO302" s="255"/>
      <c r="FP302" s="255"/>
      <c r="FQ302" s="255"/>
      <c r="FR302" s="255"/>
      <c r="FS302" s="255"/>
      <c r="FT302" s="255"/>
      <c r="FU302" s="255"/>
      <c r="FV302" s="255"/>
      <c r="FW302" s="255"/>
      <c r="FX302" s="255"/>
      <c r="FY302" s="255"/>
      <c r="FZ302" s="255"/>
      <c r="GA302" s="255"/>
      <c r="GB302" s="255"/>
      <c r="GC302" s="255"/>
      <c r="GD302" s="255"/>
      <c r="GE302" s="255"/>
      <c r="GF302" s="255"/>
      <c r="GG302" s="255"/>
      <c r="GH302" s="255"/>
      <c r="GI302" s="255"/>
      <c r="GJ302" s="255"/>
      <c r="GK302" s="255"/>
      <c r="GL302" s="255"/>
      <c r="GM302" s="255"/>
      <c r="GN302" s="255"/>
      <c r="GO302" s="255"/>
      <c r="GP302" s="255"/>
      <c r="GQ302" s="255"/>
      <c r="GR302" s="255"/>
      <c r="GS302" s="255"/>
      <c r="GT302" s="255"/>
      <c r="GU302" s="255"/>
      <c r="GV302" s="255"/>
      <c r="GW302" s="255"/>
      <c r="GX302" s="255"/>
      <c r="GY302" s="255"/>
      <c r="GZ302" s="255"/>
      <c r="HA302" s="255"/>
      <c r="HB302" s="255"/>
      <c r="HC302" s="255"/>
      <c r="HD302" s="255"/>
      <c r="HE302" s="255"/>
      <c r="HF302" s="255"/>
      <c r="HG302" s="255"/>
      <c r="HH302" s="255"/>
      <c r="HI302" s="255"/>
      <c r="HJ302" s="255"/>
      <c r="HK302" s="255"/>
      <c r="HL302" s="255"/>
      <c r="HM302" s="255"/>
      <c r="HN302" s="255"/>
      <c r="HO302" s="255"/>
      <c r="HP302" s="255"/>
      <c r="HQ302" s="255"/>
      <c r="HR302" s="255"/>
      <c r="HS302" s="255"/>
      <c r="HT302" s="255"/>
      <c r="HU302" s="255"/>
      <c r="HV302" s="255"/>
      <c r="HW302" s="255"/>
      <c r="HX302" s="255"/>
      <c r="HY302" s="255"/>
      <c r="HZ302" s="255"/>
      <c r="IA302" s="255"/>
      <c r="IB302" s="255"/>
      <c r="IC302" s="255"/>
      <c r="ID302" s="255"/>
      <c r="IE302" s="255"/>
      <c r="IF302" s="255"/>
      <c r="IG302" s="255"/>
      <c r="IH302" s="255"/>
      <c r="II302" s="255"/>
      <c r="IJ302" s="255"/>
      <c r="IK302" s="255"/>
      <c r="IL302" s="255"/>
      <c r="IM302" s="255"/>
      <c r="IN302" s="255"/>
      <c r="IO302" s="255"/>
      <c r="IP302" s="255"/>
      <c r="IQ302" s="255"/>
      <c r="IR302" s="255"/>
      <c r="IS302" s="255"/>
      <c r="IT302" s="255"/>
      <c r="IU302" s="255"/>
      <c r="IV302" s="255"/>
      <c r="IW302" s="255"/>
      <c r="IX302" s="255"/>
      <c r="IY302" s="255"/>
      <c r="IZ302" s="255"/>
      <c r="JA302" s="255"/>
      <c r="JB302" s="255"/>
      <c r="JC302" s="255"/>
      <c r="JD302" s="255"/>
      <c r="JE302" s="255"/>
      <c r="JF302" s="255"/>
      <c r="JG302" s="191"/>
      <c r="JH302" s="255"/>
      <c r="JI302" s="255"/>
      <c r="JJ302" s="255"/>
      <c r="JK302" s="255"/>
      <c r="JL302" s="255"/>
      <c r="JM302" s="255"/>
      <c r="JN302" s="255"/>
      <c r="JO302" s="255"/>
      <c r="JP302" s="255"/>
      <c r="JQ302" s="255"/>
      <c r="JR302" s="255"/>
      <c r="JS302" s="255"/>
      <c r="JT302" s="255"/>
      <c r="JU302" s="255"/>
      <c r="JV302" s="255"/>
      <c r="JW302" s="255"/>
      <c r="JX302" s="255"/>
      <c r="JY302" s="255"/>
      <c r="JZ302" s="255"/>
      <c r="KA302" s="255"/>
      <c r="KB302" s="191"/>
    </row>
    <row r="303" spans="2:288" ht="15" customHeight="1" x14ac:dyDescent="0.35">
      <c r="B303" s="146" t="str">
        <f t="shared" si="23"/>
        <v>Desk 87</v>
      </c>
      <c r="C303" s="148" t="str">
        <v/>
      </c>
      <c r="D303" s="148" t="str">
        <v/>
      </c>
      <c r="E303" s="148" t="str">
        <v/>
      </c>
      <c r="F303" s="148" t="str">
        <v/>
      </c>
      <c r="G303" s="268" t="str">
        <v/>
      </c>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255"/>
      <c r="AF303" s="255"/>
      <c r="AG303" s="255"/>
      <c r="AH303" s="255"/>
      <c r="AI303" s="255"/>
      <c r="AJ303" s="255"/>
      <c r="AK303" s="255"/>
      <c r="AL303" s="255"/>
      <c r="AM303" s="255"/>
      <c r="AN303" s="255"/>
      <c r="AO303" s="255"/>
      <c r="AP303" s="255"/>
      <c r="AQ303" s="255"/>
      <c r="AR303" s="255"/>
      <c r="AS303" s="255"/>
      <c r="AT303" s="255"/>
      <c r="AU303" s="255"/>
      <c r="AV303" s="255"/>
      <c r="AW303" s="255"/>
      <c r="AX303" s="255"/>
      <c r="AY303" s="255"/>
      <c r="AZ303" s="255"/>
      <c r="BA303" s="255"/>
      <c r="BB303" s="255"/>
      <c r="BC303" s="255"/>
      <c r="BD303" s="255"/>
      <c r="BE303" s="255"/>
      <c r="BF303" s="255"/>
      <c r="BG303" s="255"/>
      <c r="BH303" s="255"/>
      <c r="BI303" s="255"/>
      <c r="BJ303" s="255"/>
      <c r="BK303" s="255"/>
      <c r="BL303" s="255"/>
      <c r="BM303" s="255"/>
      <c r="BN303" s="255"/>
      <c r="BO303" s="255"/>
      <c r="BP303" s="255"/>
      <c r="BQ303" s="255"/>
      <c r="BR303" s="255"/>
      <c r="BS303" s="255"/>
      <c r="BT303" s="255"/>
      <c r="BU303" s="255"/>
      <c r="BV303" s="255"/>
      <c r="BW303" s="255"/>
      <c r="BX303" s="255"/>
      <c r="BY303" s="255"/>
      <c r="BZ303" s="255"/>
      <c r="CA303" s="255"/>
      <c r="CB303" s="255"/>
      <c r="CC303" s="255"/>
      <c r="CD303" s="255"/>
      <c r="CE303" s="255"/>
      <c r="CF303" s="255"/>
      <c r="CG303" s="255"/>
      <c r="CH303" s="255"/>
      <c r="CI303" s="255"/>
      <c r="CJ303" s="255"/>
      <c r="CK303" s="255"/>
      <c r="CL303" s="255"/>
      <c r="CM303" s="255"/>
      <c r="CN303" s="255"/>
      <c r="CO303" s="255"/>
      <c r="CP303" s="255"/>
      <c r="CQ303" s="255"/>
      <c r="CR303" s="255"/>
      <c r="CS303" s="255"/>
      <c r="CT303" s="255"/>
      <c r="CU303" s="255"/>
      <c r="CV303" s="255"/>
      <c r="CW303" s="255"/>
      <c r="CX303" s="255"/>
      <c r="CY303" s="255"/>
      <c r="CZ303" s="255"/>
      <c r="DA303" s="255"/>
      <c r="DB303" s="255"/>
      <c r="DC303" s="255"/>
      <c r="DD303" s="255"/>
      <c r="DE303" s="255"/>
      <c r="DF303" s="255"/>
      <c r="DG303" s="255"/>
      <c r="DH303" s="255"/>
      <c r="DI303" s="255"/>
      <c r="DJ303" s="255"/>
      <c r="DK303" s="255"/>
      <c r="DL303" s="255"/>
      <c r="DM303" s="255"/>
      <c r="DN303" s="255"/>
      <c r="DO303" s="255"/>
      <c r="DP303" s="255"/>
      <c r="DQ303" s="255"/>
      <c r="DR303" s="255"/>
      <c r="DS303" s="255"/>
      <c r="DT303" s="255"/>
      <c r="DU303" s="255"/>
      <c r="DV303" s="255"/>
      <c r="DW303" s="191"/>
      <c r="DX303" s="255"/>
      <c r="DY303" s="255"/>
      <c r="DZ303" s="255"/>
      <c r="EA303" s="255"/>
      <c r="EB303" s="255"/>
      <c r="EC303" s="255"/>
      <c r="ED303" s="255"/>
      <c r="EE303" s="255"/>
      <c r="EF303" s="255"/>
      <c r="EG303" s="255"/>
      <c r="EH303" s="255"/>
      <c r="EI303" s="255"/>
      <c r="EJ303" s="255"/>
      <c r="EK303" s="255"/>
      <c r="EL303" s="255"/>
      <c r="EM303" s="255"/>
      <c r="EN303" s="255"/>
      <c r="EO303" s="255"/>
      <c r="EP303" s="255"/>
      <c r="EQ303" s="255"/>
      <c r="ER303" s="191"/>
      <c r="ES303" s="255"/>
      <c r="ET303" s="255"/>
      <c r="EU303" s="255"/>
      <c r="EV303" s="255"/>
      <c r="EW303" s="255"/>
      <c r="EX303" s="255"/>
      <c r="EY303" s="255"/>
      <c r="EZ303" s="255"/>
      <c r="FA303" s="255"/>
      <c r="FB303" s="255"/>
      <c r="FC303" s="255"/>
      <c r="FD303" s="255"/>
      <c r="FE303" s="255"/>
      <c r="FF303" s="255"/>
      <c r="FG303" s="255"/>
      <c r="FH303" s="255"/>
      <c r="FI303" s="255"/>
      <c r="FJ303" s="255"/>
      <c r="FK303" s="255"/>
      <c r="FL303" s="255"/>
      <c r="FM303" s="255"/>
      <c r="FN303" s="255"/>
      <c r="FO303" s="255"/>
      <c r="FP303" s="255"/>
      <c r="FQ303" s="255"/>
      <c r="FR303" s="255"/>
      <c r="FS303" s="255"/>
      <c r="FT303" s="255"/>
      <c r="FU303" s="255"/>
      <c r="FV303" s="255"/>
      <c r="FW303" s="255"/>
      <c r="FX303" s="255"/>
      <c r="FY303" s="255"/>
      <c r="FZ303" s="255"/>
      <c r="GA303" s="255"/>
      <c r="GB303" s="255"/>
      <c r="GC303" s="255"/>
      <c r="GD303" s="255"/>
      <c r="GE303" s="255"/>
      <c r="GF303" s="255"/>
      <c r="GG303" s="255"/>
      <c r="GH303" s="255"/>
      <c r="GI303" s="255"/>
      <c r="GJ303" s="255"/>
      <c r="GK303" s="255"/>
      <c r="GL303" s="255"/>
      <c r="GM303" s="255"/>
      <c r="GN303" s="255"/>
      <c r="GO303" s="255"/>
      <c r="GP303" s="255"/>
      <c r="GQ303" s="255"/>
      <c r="GR303" s="255"/>
      <c r="GS303" s="255"/>
      <c r="GT303" s="255"/>
      <c r="GU303" s="255"/>
      <c r="GV303" s="255"/>
      <c r="GW303" s="255"/>
      <c r="GX303" s="255"/>
      <c r="GY303" s="255"/>
      <c r="GZ303" s="255"/>
      <c r="HA303" s="255"/>
      <c r="HB303" s="255"/>
      <c r="HC303" s="255"/>
      <c r="HD303" s="255"/>
      <c r="HE303" s="255"/>
      <c r="HF303" s="255"/>
      <c r="HG303" s="255"/>
      <c r="HH303" s="255"/>
      <c r="HI303" s="255"/>
      <c r="HJ303" s="255"/>
      <c r="HK303" s="255"/>
      <c r="HL303" s="255"/>
      <c r="HM303" s="255"/>
      <c r="HN303" s="255"/>
      <c r="HO303" s="255"/>
      <c r="HP303" s="255"/>
      <c r="HQ303" s="255"/>
      <c r="HR303" s="255"/>
      <c r="HS303" s="255"/>
      <c r="HT303" s="255"/>
      <c r="HU303" s="255"/>
      <c r="HV303" s="255"/>
      <c r="HW303" s="255"/>
      <c r="HX303" s="255"/>
      <c r="HY303" s="255"/>
      <c r="HZ303" s="255"/>
      <c r="IA303" s="255"/>
      <c r="IB303" s="255"/>
      <c r="IC303" s="255"/>
      <c r="ID303" s="255"/>
      <c r="IE303" s="255"/>
      <c r="IF303" s="255"/>
      <c r="IG303" s="255"/>
      <c r="IH303" s="255"/>
      <c r="II303" s="255"/>
      <c r="IJ303" s="255"/>
      <c r="IK303" s="255"/>
      <c r="IL303" s="255"/>
      <c r="IM303" s="255"/>
      <c r="IN303" s="255"/>
      <c r="IO303" s="255"/>
      <c r="IP303" s="255"/>
      <c r="IQ303" s="255"/>
      <c r="IR303" s="255"/>
      <c r="IS303" s="255"/>
      <c r="IT303" s="255"/>
      <c r="IU303" s="255"/>
      <c r="IV303" s="255"/>
      <c r="IW303" s="255"/>
      <c r="IX303" s="255"/>
      <c r="IY303" s="255"/>
      <c r="IZ303" s="255"/>
      <c r="JA303" s="255"/>
      <c r="JB303" s="255"/>
      <c r="JC303" s="255"/>
      <c r="JD303" s="255"/>
      <c r="JE303" s="255"/>
      <c r="JF303" s="255"/>
      <c r="JG303" s="191"/>
      <c r="JH303" s="255"/>
      <c r="JI303" s="255"/>
      <c r="JJ303" s="255"/>
      <c r="JK303" s="255"/>
      <c r="JL303" s="255"/>
      <c r="JM303" s="255"/>
      <c r="JN303" s="255"/>
      <c r="JO303" s="255"/>
      <c r="JP303" s="255"/>
      <c r="JQ303" s="255"/>
      <c r="JR303" s="255"/>
      <c r="JS303" s="255"/>
      <c r="JT303" s="255"/>
      <c r="JU303" s="255"/>
      <c r="JV303" s="255"/>
      <c r="JW303" s="255"/>
      <c r="JX303" s="255"/>
      <c r="JY303" s="255"/>
      <c r="JZ303" s="255"/>
      <c r="KA303" s="255"/>
      <c r="KB303" s="191"/>
    </row>
    <row r="304" spans="2:288" ht="15" customHeight="1" x14ac:dyDescent="0.35">
      <c r="B304" s="146" t="str">
        <f t="shared" si="23"/>
        <v>Desk 88</v>
      </c>
      <c r="C304" s="148" t="str">
        <v/>
      </c>
      <c r="D304" s="148" t="str">
        <v/>
      </c>
      <c r="E304" s="148" t="str">
        <v/>
      </c>
      <c r="F304" s="148" t="str">
        <v/>
      </c>
      <c r="G304" s="268" t="str">
        <v/>
      </c>
      <c r="H304" s="255"/>
      <c r="I304" s="255"/>
      <c r="J304" s="255"/>
      <c r="K304" s="255"/>
      <c r="L304" s="255"/>
      <c r="M304" s="255"/>
      <c r="N304" s="255"/>
      <c r="O304" s="255"/>
      <c r="P304" s="255"/>
      <c r="Q304" s="255"/>
      <c r="R304" s="255"/>
      <c r="S304" s="255"/>
      <c r="T304" s="255"/>
      <c r="U304" s="255"/>
      <c r="V304" s="255"/>
      <c r="W304" s="255"/>
      <c r="X304" s="255"/>
      <c r="Y304" s="255"/>
      <c r="Z304" s="255"/>
      <c r="AA304" s="255"/>
      <c r="AB304" s="255"/>
      <c r="AC304" s="255"/>
      <c r="AD304" s="255"/>
      <c r="AE304" s="255"/>
      <c r="AF304" s="255"/>
      <c r="AG304" s="255"/>
      <c r="AH304" s="255"/>
      <c r="AI304" s="255"/>
      <c r="AJ304" s="255"/>
      <c r="AK304" s="255"/>
      <c r="AL304" s="255"/>
      <c r="AM304" s="255"/>
      <c r="AN304" s="255"/>
      <c r="AO304" s="255"/>
      <c r="AP304" s="255"/>
      <c r="AQ304" s="255"/>
      <c r="AR304" s="255"/>
      <c r="AS304" s="255"/>
      <c r="AT304" s="255"/>
      <c r="AU304" s="255"/>
      <c r="AV304" s="255"/>
      <c r="AW304" s="255"/>
      <c r="AX304" s="255"/>
      <c r="AY304" s="255"/>
      <c r="AZ304" s="255"/>
      <c r="BA304" s="255"/>
      <c r="BB304" s="255"/>
      <c r="BC304" s="255"/>
      <c r="BD304" s="255"/>
      <c r="BE304" s="255"/>
      <c r="BF304" s="255"/>
      <c r="BG304" s="255"/>
      <c r="BH304" s="255"/>
      <c r="BI304" s="255"/>
      <c r="BJ304" s="255"/>
      <c r="BK304" s="255"/>
      <c r="BL304" s="255"/>
      <c r="BM304" s="255"/>
      <c r="BN304" s="255"/>
      <c r="BO304" s="255"/>
      <c r="BP304" s="255"/>
      <c r="BQ304" s="255"/>
      <c r="BR304" s="255"/>
      <c r="BS304" s="255"/>
      <c r="BT304" s="255"/>
      <c r="BU304" s="255"/>
      <c r="BV304" s="255"/>
      <c r="BW304" s="255"/>
      <c r="BX304" s="255"/>
      <c r="BY304" s="255"/>
      <c r="BZ304" s="255"/>
      <c r="CA304" s="255"/>
      <c r="CB304" s="255"/>
      <c r="CC304" s="255"/>
      <c r="CD304" s="255"/>
      <c r="CE304" s="255"/>
      <c r="CF304" s="255"/>
      <c r="CG304" s="255"/>
      <c r="CH304" s="255"/>
      <c r="CI304" s="255"/>
      <c r="CJ304" s="255"/>
      <c r="CK304" s="255"/>
      <c r="CL304" s="255"/>
      <c r="CM304" s="255"/>
      <c r="CN304" s="255"/>
      <c r="CO304" s="255"/>
      <c r="CP304" s="255"/>
      <c r="CQ304" s="255"/>
      <c r="CR304" s="255"/>
      <c r="CS304" s="255"/>
      <c r="CT304" s="255"/>
      <c r="CU304" s="255"/>
      <c r="CV304" s="255"/>
      <c r="CW304" s="255"/>
      <c r="CX304" s="255"/>
      <c r="CY304" s="255"/>
      <c r="CZ304" s="255"/>
      <c r="DA304" s="255"/>
      <c r="DB304" s="255"/>
      <c r="DC304" s="255"/>
      <c r="DD304" s="255"/>
      <c r="DE304" s="255"/>
      <c r="DF304" s="255"/>
      <c r="DG304" s="255"/>
      <c r="DH304" s="255"/>
      <c r="DI304" s="255"/>
      <c r="DJ304" s="255"/>
      <c r="DK304" s="255"/>
      <c r="DL304" s="255"/>
      <c r="DM304" s="255"/>
      <c r="DN304" s="255"/>
      <c r="DO304" s="255"/>
      <c r="DP304" s="255"/>
      <c r="DQ304" s="255"/>
      <c r="DR304" s="255"/>
      <c r="DS304" s="255"/>
      <c r="DT304" s="255"/>
      <c r="DU304" s="255"/>
      <c r="DV304" s="255"/>
      <c r="DW304" s="191"/>
      <c r="DX304" s="255"/>
      <c r="DY304" s="255"/>
      <c r="DZ304" s="255"/>
      <c r="EA304" s="255"/>
      <c r="EB304" s="255"/>
      <c r="EC304" s="255"/>
      <c r="ED304" s="255"/>
      <c r="EE304" s="255"/>
      <c r="EF304" s="255"/>
      <c r="EG304" s="255"/>
      <c r="EH304" s="255"/>
      <c r="EI304" s="255"/>
      <c r="EJ304" s="255"/>
      <c r="EK304" s="255"/>
      <c r="EL304" s="255"/>
      <c r="EM304" s="255"/>
      <c r="EN304" s="255"/>
      <c r="EO304" s="255"/>
      <c r="EP304" s="255"/>
      <c r="EQ304" s="255"/>
      <c r="ER304" s="191"/>
      <c r="ES304" s="255"/>
      <c r="ET304" s="255"/>
      <c r="EU304" s="255"/>
      <c r="EV304" s="255"/>
      <c r="EW304" s="255"/>
      <c r="EX304" s="255"/>
      <c r="EY304" s="255"/>
      <c r="EZ304" s="255"/>
      <c r="FA304" s="255"/>
      <c r="FB304" s="255"/>
      <c r="FC304" s="255"/>
      <c r="FD304" s="255"/>
      <c r="FE304" s="255"/>
      <c r="FF304" s="255"/>
      <c r="FG304" s="255"/>
      <c r="FH304" s="255"/>
      <c r="FI304" s="255"/>
      <c r="FJ304" s="255"/>
      <c r="FK304" s="255"/>
      <c r="FL304" s="255"/>
      <c r="FM304" s="255"/>
      <c r="FN304" s="255"/>
      <c r="FO304" s="255"/>
      <c r="FP304" s="255"/>
      <c r="FQ304" s="255"/>
      <c r="FR304" s="255"/>
      <c r="FS304" s="255"/>
      <c r="FT304" s="255"/>
      <c r="FU304" s="255"/>
      <c r="FV304" s="255"/>
      <c r="FW304" s="255"/>
      <c r="FX304" s="255"/>
      <c r="FY304" s="255"/>
      <c r="FZ304" s="255"/>
      <c r="GA304" s="255"/>
      <c r="GB304" s="255"/>
      <c r="GC304" s="255"/>
      <c r="GD304" s="255"/>
      <c r="GE304" s="255"/>
      <c r="GF304" s="255"/>
      <c r="GG304" s="255"/>
      <c r="GH304" s="255"/>
      <c r="GI304" s="255"/>
      <c r="GJ304" s="255"/>
      <c r="GK304" s="255"/>
      <c r="GL304" s="255"/>
      <c r="GM304" s="255"/>
      <c r="GN304" s="255"/>
      <c r="GO304" s="255"/>
      <c r="GP304" s="255"/>
      <c r="GQ304" s="255"/>
      <c r="GR304" s="255"/>
      <c r="GS304" s="255"/>
      <c r="GT304" s="255"/>
      <c r="GU304" s="255"/>
      <c r="GV304" s="255"/>
      <c r="GW304" s="255"/>
      <c r="GX304" s="255"/>
      <c r="GY304" s="255"/>
      <c r="GZ304" s="255"/>
      <c r="HA304" s="255"/>
      <c r="HB304" s="255"/>
      <c r="HC304" s="255"/>
      <c r="HD304" s="255"/>
      <c r="HE304" s="255"/>
      <c r="HF304" s="255"/>
      <c r="HG304" s="255"/>
      <c r="HH304" s="255"/>
      <c r="HI304" s="255"/>
      <c r="HJ304" s="255"/>
      <c r="HK304" s="255"/>
      <c r="HL304" s="255"/>
      <c r="HM304" s="255"/>
      <c r="HN304" s="255"/>
      <c r="HO304" s="255"/>
      <c r="HP304" s="255"/>
      <c r="HQ304" s="255"/>
      <c r="HR304" s="255"/>
      <c r="HS304" s="255"/>
      <c r="HT304" s="255"/>
      <c r="HU304" s="255"/>
      <c r="HV304" s="255"/>
      <c r="HW304" s="255"/>
      <c r="HX304" s="255"/>
      <c r="HY304" s="255"/>
      <c r="HZ304" s="255"/>
      <c r="IA304" s="255"/>
      <c r="IB304" s="255"/>
      <c r="IC304" s="255"/>
      <c r="ID304" s="255"/>
      <c r="IE304" s="255"/>
      <c r="IF304" s="255"/>
      <c r="IG304" s="255"/>
      <c r="IH304" s="255"/>
      <c r="II304" s="255"/>
      <c r="IJ304" s="255"/>
      <c r="IK304" s="255"/>
      <c r="IL304" s="255"/>
      <c r="IM304" s="255"/>
      <c r="IN304" s="255"/>
      <c r="IO304" s="255"/>
      <c r="IP304" s="255"/>
      <c r="IQ304" s="255"/>
      <c r="IR304" s="255"/>
      <c r="IS304" s="255"/>
      <c r="IT304" s="255"/>
      <c r="IU304" s="255"/>
      <c r="IV304" s="255"/>
      <c r="IW304" s="255"/>
      <c r="IX304" s="255"/>
      <c r="IY304" s="255"/>
      <c r="IZ304" s="255"/>
      <c r="JA304" s="255"/>
      <c r="JB304" s="255"/>
      <c r="JC304" s="255"/>
      <c r="JD304" s="255"/>
      <c r="JE304" s="255"/>
      <c r="JF304" s="255"/>
      <c r="JG304" s="191"/>
      <c r="JH304" s="255"/>
      <c r="JI304" s="255"/>
      <c r="JJ304" s="255"/>
      <c r="JK304" s="255"/>
      <c r="JL304" s="255"/>
      <c r="JM304" s="255"/>
      <c r="JN304" s="255"/>
      <c r="JO304" s="255"/>
      <c r="JP304" s="255"/>
      <c r="JQ304" s="255"/>
      <c r="JR304" s="255"/>
      <c r="JS304" s="255"/>
      <c r="JT304" s="255"/>
      <c r="JU304" s="255"/>
      <c r="JV304" s="255"/>
      <c r="JW304" s="255"/>
      <c r="JX304" s="255"/>
      <c r="JY304" s="255"/>
      <c r="JZ304" s="255"/>
      <c r="KA304" s="255"/>
      <c r="KB304" s="191"/>
    </row>
    <row r="305" spans="1:288" ht="15" customHeight="1" x14ac:dyDescent="0.35">
      <c r="B305" s="146" t="str">
        <f t="shared" si="23"/>
        <v>Desk 89</v>
      </c>
      <c r="C305" s="148" t="str">
        <v/>
      </c>
      <c r="D305" s="148" t="str">
        <v/>
      </c>
      <c r="E305" s="148" t="str">
        <v/>
      </c>
      <c r="F305" s="148" t="str">
        <v/>
      </c>
      <c r="G305" s="268" t="str">
        <v/>
      </c>
      <c r="H305" s="255"/>
      <c r="I305" s="255"/>
      <c r="J305" s="255"/>
      <c r="K305" s="255"/>
      <c r="L305" s="255"/>
      <c r="M305" s="255"/>
      <c r="N305" s="255"/>
      <c r="O305" s="255"/>
      <c r="P305" s="255"/>
      <c r="Q305" s="255"/>
      <c r="R305" s="255"/>
      <c r="S305" s="255"/>
      <c r="T305" s="255"/>
      <c r="U305" s="255"/>
      <c r="V305" s="255"/>
      <c r="W305" s="255"/>
      <c r="X305" s="255"/>
      <c r="Y305" s="255"/>
      <c r="Z305" s="255"/>
      <c r="AA305" s="255"/>
      <c r="AB305" s="255"/>
      <c r="AC305" s="255"/>
      <c r="AD305" s="255"/>
      <c r="AE305" s="255"/>
      <c r="AF305" s="255"/>
      <c r="AG305" s="255"/>
      <c r="AH305" s="255"/>
      <c r="AI305" s="255"/>
      <c r="AJ305" s="255"/>
      <c r="AK305" s="255"/>
      <c r="AL305" s="255"/>
      <c r="AM305" s="255"/>
      <c r="AN305" s="255"/>
      <c r="AO305" s="255"/>
      <c r="AP305" s="255"/>
      <c r="AQ305" s="255"/>
      <c r="AR305" s="255"/>
      <c r="AS305" s="255"/>
      <c r="AT305" s="255"/>
      <c r="AU305" s="255"/>
      <c r="AV305" s="255"/>
      <c r="AW305" s="255"/>
      <c r="AX305" s="255"/>
      <c r="AY305" s="255"/>
      <c r="AZ305" s="255"/>
      <c r="BA305" s="255"/>
      <c r="BB305" s="255"/>
      <c r="BC305" s="255"/>
      <c r="BD305" s="255"/>
      <c r="BE305" s="255"/>
      <c r="BF305" s="255"/>
      <c r="BG305" s="255"/>
      <c r="BH305" s="255"/>
      <c r="BI305" s="255"/>
      <c r="BJ305" s="255"/>
      <c r="BK305" s="255"/>
      <c r="BL305" s="255"/>
      <c r="BM305" s="255"/>
      <c r="BN305" s="255"/>
      <c r="BO305" s="255"/>
      <c r="BP305" s="255"/>
      <c r="BQ305" s="255"/>
      <c r="BR305" s="255"/>
      <c r="BS305" s="255"/>
      <c r="BT305" s="255"/>
      <c r="BU305" s="255"/>
      <c r="BV305" s="255"/>
      <c r="BW305" s="255"/>
      <c r="BX305" s="255"/>
      <c r="BY305" s="255"/>
      <c r="BZ305" s="255"/>
      <c r="CA305" s="255"/>
      <c r="CB305" s="255"/>
      <c r="CC305" s="255"/>
      <c r="CD305" s="255"/>
      <c r="CE305" s="255"/>
      <c r="CF305" s="255"/>
      <c r="CG305" s="255"/>
      <c r="CH305" s="255"/>
      <c r="CI305" s="255"/>
      <c r="CJ305" s="255"/>
      <c r="CK305" s="255"/>
      <c r="CL305" s="255"/>
      <c r="CM305" s="255"/>
      <c r="CN305" s="255"/>
      <c r="CO305" s="255"/>
      <c r="CP305" s="255"/>
      <c r="CQ305" s="255"/>
      <c r="CR305" s="255"/>
      <c r="CS305" s="255"/>
      <c r="CT305" s="255"/>
      <c r="CU305" s="255"/>
      <c r="CV305" s="255"/>
      <c r="CW305" s="255"/>
      <c r="CX305" s="255"/>
      <c r="CY305" s="255"/>
      <c r="CZ305" s="255"/>
      <c r="DA305" s="255"/>
      <c r="DB305" s="255"/>
      <c r="DC305" s="255"/>
      <c r="DD305" s="255"/>
      <c r="DE305" s="255"/>
      <c r="DF305" s="255"/>
      <c r="DG305" s="255"/>
      <c r="DH305" s="255"/>
      <c r="DI305" s="255"/>
      <c r="DJ305" s="255"/>
      <c r="DK305" s="255"/>
      <c r="DL305" s="255"/>
      <c r="DM305" s="255"/>
      <c r="DN305" s="255"/>
      <c r="DO305" s="255"/>
      <c r="DP305" s="255"/>
      <c r="DQ305" s="255"/>
      <c r="DR305" s="255"/>
      <c r="DS305" s="255"/>
      <c r="DT305" s="255"/>
      <c r="DU305" s="255"/>
      <c r="DV305" s="255"/>
      <c r="DW305" s="191"/>
      <c r="DX305" s="255"/>
      <c r="DY305" s="255"/>
      <c r="DZ305" s="255"/>
      <c r="EA305" s="255"/>
      <c r="EB305" s="255"/>
      <c r="EC305" s="255"/>
      <c r="ED305" s="255"/>
      <c r="EE305" s="255"/>
      <c r="EF305" s="255"/>
      <c r="EG305" s="255"/>
      <c r="EH305" s="255"/>
      <c r="EI305" s="255"/>
      <c r="EJ305" s="255"/>
      <c r="EK305" s="255"/>
      <c r="EL305" s="255"/>
      <c r="EM305" s="255"/>
      <c r="EN305" s="255"/>
      <c r="EO305" s="255"/>
      <c r="EP305" s="255"/>
      <c r="EQ305" s="255"/>
      <c r="ER305" s="191"/>
      <c r="ES305" s="255"/>
      <c r="ET305" s="255"/>
      <c r="EU305" s="255"/>
      <c r="EV305" s="255"/>
      <c r="EW305" s="255"/>
      <c r="EX305" s="255"/>
      <c r="EY305" s="255"/>
      <c r="EZ305" s="255"/>
      <c r="FA305" s="255"/>
      <c r="FB305" s="255"/>
      <c r="FC305" s="255"/>
      <c r="FD305" s="255"/>
      <c r="FE305" s="255"/>
      <c r="FF305" s="255"/>
      <c r="FG305" s="255"/>
      <c r="FH305" s="255"/>
      <c r="FI305" s="255"/>
      <c r="FJ305" s="255"/>
      <c r="FK305" s="255"/>
      <c r="FL305" s="255"/>
      <c r="FM305" s="255"/>
      <c r="FN305" s="255"/>
      <c r="FO305" s="255"/>
      <c r="FP305" s="255"/>
      <c r="FQ305" s="255"/>
      <c r="FR305" s="255"/>
      <c r="FS305" s="255"/>
      <c r="FT305" s="255"/>
      <c r="FU305" s="255"/>
      <c r="FV305" s="255"/>
      <c r="FW305" s="255"/>
      <c r="FX305" s="255"/>
      <c r="FY305" s="255"/>
      <c r="FZ305" s="255"/>
      <c r="GA305" s="255"/>
      <c r="GB305" s="255"/>
      <c r="GC305" s="255"/>
      <c r="GD305" s="255"/>
      <c r="GE305" s="255"/>
      <c r="GF305" s="255"/>
      <c r="GG305" s="255"/>
      <c r="GH305" s="255"/>
      <c r="GI305" s="255"/>
      <c r="GJ305" s="255"/>
      <c r="GK305" s="255"/>
      <c r="GL305" s="255"/>
      <c r="GM305" s="255"/>
      <c r="GN305" s="255"/>
      <c r="GO305" s="255"/>
      <c r="GP305" s="255"/>
      <c r="GQ305" s="255"/>
      <c r="GR305" s="255"/>
      <c r="GS305" s="255"/>
      <c r="GT305" s="255"/>
      <c r="GU305" s="255"/>
      <c r="GV305" s="255"/>
      <c r="GW305" s="255"/>
      <c r="GX305" s="255"/>
      <c r="GY305" s="255"/>
      <c r="GZ305" s="255"/>
      <c r="HA305" s="255"/>
      <c r="HB305" s="255"/>
      <c r="HC305" s="255"/>
      <c r="HD305" s="255"/>
      <c r="HE305" s="255"/>
      <c r="HF305" s="255"/>
      <c r="HG305" s="255"/>
      <c r="HH305" s="255"/>
      <c r="HI305" s="255"/>
      <c r="HJ305" s="255"/>
      <c r="HK305" s="255"/>
      <c r="HL305" s="255"/>
      <c r="HM305" s="255"/>
      <c r="HN305" s="255"/>
      <c r="HO305" s="255"/>
      <c r="HP305" s="255"/>
      <c r="HQ305" s="255"/>
      <c r="HR305" s="255"/>
      <c r="HS305" s="255"/>
      <c r="HT305" s="255"/>
      <c r="HU305" s="255"/>
      <c r="HV305" s="255"/>
      <c r="HW305" s="255"/>
      <c r="HX305" s="255"/>
      <c r="HY305" s="255"/>
      <c r="HZ305" s="255"/>
      <c r="IA305" s="255"/>
      <c r="IB305" s="255"/>
      <c r="IC305" s="255"/>
      <c r="ID305" s="255"/>
      <c r="IE305" s="255"/>
      <c r="IF305" s="255"/>
      <c r="IG305" s="255"/>
      <c r="IH305" s="255"/>
      <c r="II305" s="255"/>
      <c r="IJ305" s="255"/>
      <c r="IK305" s="255"/>
      <c r="IL305" s="255"/>
      <c r="IM305" s="255"/>
      <c r="IN305" s="255"/>
      <c r="IO305" s="255"/>
      <c r="IP305" s="255"/>
      <c r="IQ305" s="255"/>
      <c r="IR305" s="255"/>
      <c r="IS305" s="255"/>
      <c r="IT305" s="255"/>
      <c r="IU305" s="255"/>
      <c r="IV305" s="255"/>
      <c r="IW305" s="255"/>
      <c r="IX305" s="255"/>
      <c r="IY305" s="255"/>
      <c r="IZ305" s="255"/>
      <c r="JA305" s="255"/>
      <c r="JB305" s="255"/>
      <c r="JC305" s="255"/>
      <c r="JD305" s="255"/>
      <c r="JE305" s="255"/>
      <c r="JF305" s="255"/>
      <c r="JG305" s="191"/>
      <c r="JH305" s="255"/>
      <c r="JI305" s="255"/>
      <c r="JJ305" s="255"/>
      <c r="JK305" s="255"/>
      <c r="JL305" s="255"/>
      <c r="JM305" s="255"/>
      <c r="JN305" s="255"/>
      <c r="JO305" s="255"/>
      <c r="JP305" s="255"/>
      <c r="JQ305" s="255"/>
      <c r="JR305" s="255"/>
      <c r="JS305" s="255"/>
      <c r="JT305" s="255"/>
      <c r="JU305" s="255"/>
      <c r="JV305" s="255"/>
      <c r="JW305" s="255"/>
      <c r="JX305" s="255"/>
      <c r="JY305" s="255"/>
      <c r="JZ305" s="255"/>
      <c r="KA305" s="255"/>
      <c r="KB305" s="191"/>
    </row>
    <row r="306" spans="1:288" ht="15" customHeight="1" x14ac:dyDescent="0.35">
      <c r="B306" s="146" t="str">
        <f t="shared" si="23"/>
        <v>Desk 90</v>
      </c>
      <c r="C306" s="148" t="str">
        <v/>
      </c>
      <c r="D306" s="148" t="str">
        <v/>
      </c>
      <c r="E306" s="148" t="str">
        <v/>
      </c>
      <c r="F306" s="148" t="str">
        <v/>
      </c>
      <c r="G306" s="268" t="str">
        <v/>
      </c>
      <c r="H306" s="255"/>
      <c r="I306" s="255"/>
      <c r="J306" s="255"/>
      <c r="K306" s="255"/>
      <c r="L306" s="255"/>
      <c r="M306" s="255"/>
      <c r="N306" s="255"/>
      <c r="O306" s="255"/>
      <c r="P306" s="255"/>
      <c r="Q306" s="255"/>
      <c r="R306" s="255"/>
      <c r="S306" s="255"/>
      <c r="T306" s="255"/>
      <c r="U306" s="255"/>
      <c r="V306" s="255"/>
      <c r="W306" s="255"/>
      <c r="X306" s="255"/>
      <c r="Y306" s="255"/>
      <c r="Z306" s="255"/>
      <c r="AA306" s="255"/>
      <c r="AB306" s="255"/>
      <c r="AC306" s="255"/>
      <c r="AD306" s="255"/>
      <c r="AE306" s="255"/>
      <c r="AF306" s="255"/>
      <c r="AG306" s="255"/>
      <c r="AH306" s="255"/>
      <c r="AI306" s="255"/>
      <c r="AJ306" s="255"/>
      <c r="AK306" s="255"/>
      <c r="AL306" s="255"/>
      <c r="AM306" s="255"/>
      <c r="AN306" s="255"/>
      <c r="AO306" s="255"/>
      <c r="AP306" s="255"/>
      <c r="AQ306" s="255"/>
      <c r="AR306" s="255"/>
      <c r="AS306" s="255"/>
      <c r="AT306" s="255"/>
      <c r="AU306" s="255"/>
      <c r="AV306" s="255"/>
      <c r="AW306" s="255"/>
      <c r="AX306" s="255"/>
      <c r="AY306" s="255"/>
      <c r="AZ306" s="255"/>
      <c r="BA306" s="255"/>
      <c r="BB306" s="255"/>
      <c r="BC306" s="255"/>
      <c r="BD306" s="255"/>
      <c r="BE306" s="255"/>
      <c r="BF306" s="255"/>
      <c r="BG306" s="255"/>
      <c r="BH306" s="255"/>
      <c r="BI306" s="255"/>
      <c r="BJ306" s="255"/>
      <c r="BK306" s="255"/>
      <c r="BL306" s="255"/>
      <c r="BM306" s="255"/>
      <c r="BN306" s="255"/>
      <c r="BO306" s="255"/>
      <c r="BP306" s="255"/>
      <c r="BQ306" s="255"/>
      <c r="BR306" s="255"/>
      <c r="BS306" s="255"/>
      <c r="BT306" s="255"/>
      <c r="BU306" s="255"/>
      <c r="BV306" s="255"/>
      <c r="BW306" s="255"/>
      <c r="BX306" s="255"/>
      <c r="BY306" s="255"/>
      <c r="BZ306" s="255"/>
      <c r="CA306" s="255"/>
      <c r="CB306" s="255"/>
      <c r="CC306" s="255"/>
      <c r="CD306" s="255"/>
      <c r="CE306" s="255"/>
      <c r="CF306" s="255"/>
      <c r="CG306" s="255"/>
      <c r="CH306" s="255"/>
      <c r="CI306" s="255"/>
      <c r="CJ306" s="255"/>
      <c r="CK306" s="255"/>
      <c r="CL306" s="255"/>
      <c r="CM306" s="255"/>
      <c r="CN306" s="255"/>
      <c r="CO306" s="255"/>
      <c r="CP306" s="255"/>
      <c r="CQ306" s="255"/>
      <c r="CR306" s="255"/>
      <c r="CS306" s="255"/>
      <c r="CT306" s="255"/>
      <c r="CU306" s="255"/>
      <c r="CV306" s="255"/>
      <c r="CW306" s="255"/>
      <c r="CX306" s="255"/>
      <c r="CY306" s="255"/>
      <c r="CZ306" s="255"/>
      <c r="DA306" s="255"/>
      <c r="DB306" s="255"/>
      <c r="DC306" s="255"/>
      <c r="DD306" s="255"/>
      <c r="DE306" s="255"/>
      <c r="DF306" s="255"/>
      <c r="DG306" s="255"/>
      <c r="DH306" s="255"/>
      <c r="DI306" s="255"/>
      <c r="DJ306" s="255"/>
      <c r="DK306" s="255"/>
      <c r="DL306" s="255"/>
      <c r="DM306" s="255"/>
      <c r="DN306" s="255"/>
      <c r="DO306" s="255"/>
      <c r="DP306" s="255"/>
      <c r="DQ306" s="255"/>
      <c r="DR306" s="255"/>
      <c r="DS306" s="255"/>
      <c r="DT306" s="255"/>
      <c r="DU306" s="255"/>
      <c r="DV306" s="255"/>
      <c r="DW306" s="191"/>
      <c r="DX306" s="255"/>
      <c r="DY306" s="255"/>
      <c r="DZ306" s="255"/>
      <c r="EA306" s="255"/>
      <c r="EB306" s="255"/>
      <c r="EC306" s="255"/>
      <c r="ED306" s="255"/>
      <c r="EE306" s="255"/>
      <c r="EF306" s="255"/>
      <c r="EG306" s="255"/>
      <c r="EH306" s="255"/>
      <c r="EI306" s="255"/>
      <c r="EJ306" s="255"/>
      <c r="EK306" s="255"/>
      <c r="EL306" s="255"/>
      <c r="EM306" s="255"/>
      <c r="EN306" s="255"/>
      <c r="EO306" s="255"/>
      <c r="EP306" s="255"/>
      <c r="EQ306" s="255"/>
      <c r="ER306" s="191"/>
      <c r="ES306" s="255"/>
      <c r="ET306" s="255"/>
      <c r="EU306" s="255"/>
      <c r="EV306" s="255"/>
      <c r="EW306" s="255"/>
      <c r="EX306" s="255"/>
      <c r="EY306" s="255"/>
      <c r="EZ306" s="255"/>
      <c r="FA306" s="255"/>
      <c r="FB306" s="255"/>
      <c r="FC306" s="255"/>
      <c r="FD306" s="255"/>
      <c r="FE306" s="255"/>
      <c r="FF306" s="255"/>
      <c r="FG306" s="255"/>
      <c r="FH306" s="255"/>
      <c r="FI306" s="255"/>
      <c r="FJ306" s="255"/>
      <c r="FK306" s="255"/>
      <c r="FL306" s="255"/>
      <c r="FM306" s="255"/>
      <c r="FN306" s="255"/>
      <c r="FO306" s="255"/>
      <c r="FP306" s="255"/>
      <c r="FQ306" s="255"/>
      <c r="FR306" s="255"/>
      <c r="FS306" s="255"/>
      <c r="FT306" s="255"/>
      <c r="FU306" s="255"/>
      <c r="FV306" s="255"/>
      <c r="FW306" s="255"/>
      <c r="FX306" s="255"/>
      <c r="FY306" s="255"/>
      <c r="FZ306" s="255"/>
      <c r="GA306" s="255"/>
      <c r="GB306" s="255"/>
      <c r="GC306" s="255"/>
      <c r="GD306" s="255"/>
      <c r="GE306" s="255"/>
      <c r="GF306" s="255"/>
      <c r="GG306" s="255"/>
      <c r="GH306" s="255"/>
      <c r="GI306" s="255"/>
      <c r="GJ306" s="255"/>
      <c r="GK306" s="255"/>
      <c r="GL306" s="255"/>
      <c r="GM306" s="255"/>
      <c r="GN306" s="255"/>
      <c r="GO306" s="255"/>
      <c r="GP306" s="255"/>
      <c r="GQ306" s="255"/>
      <c r="GR306" s="255"/>
      <c r="GS306" s="255"/>
      <c r="GT306" s="255"/>
      <c r="GU306" s="255"/>
      <c r="GV306" s="255"/>
      <c r="GW306" s="255"/>
      <c r="GX306" s="255"/>
      <c r="GY306" s="255"/>
      <c r="GZ306" s="255"/>
      <c r="HA306" s="255"/>
      <c r="HB306" s="255"/>
      <c r="HC306" s="255"/>
      <c r="HD306" s="255"/>
      <c r="HE306" s="255"/>
      <c r="HF306" s="255"/>
      <c r="HG306" s="255"/>
      <c r="HH306" s="255"/>
      <c r="HI306" s="255"/>
      <c r="HJ306" s="255"/>
      <c r="HK306" s="255"/>
      <c r="HL306" s="255"/>
      <c r="HM306" s="255"/>
      <c r="HN306" s="255"/>
      <c r="HO306" s="255"/>
      <c r="HP306" s="255"/>
      <c r="HQ306" s="255"/>
      <c r="HR306" s="255"/>
      <c r="HS306" s="255"/>
      <c r="HT306" s="255"/>
      <c r="HU306" s="255"/>
      <c r="HV306" s="255"/>
      <c r="HW306" s="255"/>
      <c r="HX306" s="255"/>
      <c r="HY306" s="255"/>
      <c r="HZ306" s="255"/>
      <c r="IA306" s="255"/>
      <c r="IB306" s="255"/>
      <c r="IC306" s="255"/>
      <c r="ID306" s="255"/>
      <c r="IE306" s="255"/>
      <c r="IF306" s="255"/>
      <c r="IG306" s="255"/>
      <c r="IH306" s="255"/>
      <c r="II306" s="255"/>
      <c r="IJ306" s="255"/>
      <c r="IK306" s="255"/>
      <c r="IL306" s="255"/>
      <c r="IM306" s="255"/>
      <c r="IN306" s="255"/>
      <c r="IO306" s="255"/>
      <c r="IP306" s="255"/>
      <c r="IQ306" s="255"/>
      <c r="IR306" s="255"/>
      <c r="IS306" s="255"/>
      <c r="IT306" s="255"/>
      <c r="IU306" s="255"/>
      <c r="IV306" s="255"/>
      <c r="IW306" s="255"/>
      <c r="IX306" s="255"/>
      <c r="IY306" s="255"/>
      <c r="IZ306" s="255"/>
      <c r="JA306" s="255"/>
      <c r="JB306" s="255"/>
      <c r="JC306" s="255"/>
      <c r="JD306" s="255"/>
      <c r="JE306" s="255"/>
      <c r="JF306" s="255"/>
      <c r="JG306" s="191"/>
      <c r="JH306" s="255"/>
      <c r="JI306" s="255"/>
      <c r="JJ306" s="255"/>
      <c r="JK306" s="255"/>
      <c r="JL306" s="255"/>
      <c r="JM306" s="255"/>
      <c r="JN306" s="255"/>
      <c r="JO306" s="255"/>
      <c r="JP306" s="255"/>
      <c r="JQ306" s="255"/>
      <c r="JR306" s="255"/>
      <c r="JS306" s="255"/>
      <c r="JT306" s="255"/>
      <c r="JU306" s="255"/>
      <c r="JV306" s="255"/>
      <c r="JW306" s="255"/>
      <c r="JX306" s="255"/>
      <c r="JY306" s="255"/>
      <c r="JZ306" s="255"/>
      <c r="KA306" s="255"/>
      <c r="KB306" s="191"/>
    </row>
    <row r="307" spans="1:288" ht="15" customHeight="1" x14ac:dyDescent="0.35">
      <c r="B307" s="146" t="str">
        <f t="shared" si="23"/>
        <v>Desk 91</v>
      </c>
      <c r="C307" s="148" t="str">
        <v/>
      </c>
      <c r="D307" s="148" t="str">
        <v/>
      </c>
      <c r="E307" s="148" t="str">
        <v/>
      </c>
      <c r="F307" s="148" t="str">
        <v/>
      </c>
      <c r="G307" s="268" t="str">
        <v/>
      </c>
      <c r="H307" s="255"/>
      <c r="I307" s="255"/>
      <c r="J307" s="255"/>
      <c r="K307" s="255"/>
      <c r="L307" s="255"/>
      <c r="M307" s="255"/>
      <c r="N307" s="255"/>
      <c r="O307" s="255"/>
      <c r="P307" s="255"/>
      <c r="Q307" s="255"/>
      <c r="R307" s="255"/>
      <c r="S307" s="255"/>
      <c r="T307" s="255"/>
      <c r="U307" s="255"/>
      <c r="V307" s="255"/>
      <c r="W307" s="255"/>
      <c r="X307" s="255"/>
      <c r="Y307" s="255"/>
      <c r="Z307" s="255"/>
      <c r="AA307" s="255"/>
      <c r="AB307" s="255"/>
      <c r="AC307" s="255"/>
      <c r="AD307" s="255"/>
      <c r="AE307" s="255"/>
      <c r="AF307" s="255"/>
      <c r="AG307" s="255"/>
      <c r="AH307" s="255"/>
      <c r="AI307" s="255"/>
      <c r="AJ307" s="255"/>
      <c r="AK307" s="255"/>
      <c r="AL307" s="255"/>
      <c r="AM307" s="255"/>
      <c r="AN307" s="255"/>
      <c r="AO307" s="255"/>
      <c r="AP307" s="255"/>
      <c r="AQ307" s="255"/>
      <c r="AR307" s="255"/>
      <c r="AS307" s="255"/>
      <c r="AT307" s="255"/>
      <c r="AU307" s="255"/>
      <c r="AV307" s="255"/>
      <c r="AW307" s="255"/>
      <c r="AX307" s="255"/>
      <c r="AY307" s="255"/>
      <c r="AZ307" s="255"/>
      <c r="BA307" s="255"/>
      <c r="BB307" s="255"/>
      <c r="BC307" s="255"/>
      <c r="BD307" s="255"/>
      <c r="BE307" s="255"/>
      <c r="BF307" s="255"/>
      <c r="BG307" s="255"/>
      <c r="BH307" s="255"/>
      <c r="BI307" s="255"/>
      <c r="BJ307" s="255"/>
      <c r="BK307" s="255"/>
      <c r="BL307" s="255"/>
      <c r="BM307" s="255"/>
      <c r="BN307" s="255"/>
      <c r="BO307" s="255"/>
      <c r="BP307" s="255"/>
      <c r="BQ307" s="255"/>
      <c r="BR307" s="255"/>
      <c r="BS307" s="255"/>
      <c r="BT307" s="255"/>
      <c r="BU307" s="255"/>
      <c r="BV307" s="255"/>
      <c r="BW307" s="255"/>
      <c r="BX307" s="255"/>
      <c r="BY307" s="255"/>
      <c r="BZ307" s="255"/>
      <c r="CA307" s="255"/>
      <c r="CB307" s="255"/>
      <c r="CC307" s="255"/>
      <c r="CD307" s="255"/>
      <c r="CE307" s="255"/>
      <c r="CF307" s="255"/>
      <c r="CG307" s="255"/>
      <c r="CH307" s="255"/>
      <c r="CI307" s="255"/>
      <c r="CJ307" s="255"/>
      <c r="CK307" s="255"/>
      <c r="CL307" s="255"/>
      <c r="CM307" s="255"/>
      <c r="CN307" s="255"/>
      <c r="CO307" s="255"/>
      <c r="CP307" s="255"/>
      <c r="CQ307" s="255"/>
      <c r="CR307" s="255"/>
      <c r="CS307" s="255"/>
      <c r="CT307" s="255"/>
      <c r="CU307" s="255"/>
      <c r="CV307" s="255"/>
      <c r="CW307" s="255"/>
      <c r="CX307" s="255"/>
      <c r="CY307" s="255"/>
      <c r="CZ307" s="255"/>
      <c r="DA307" s="255"/>
      <c r="DB307" s="255"/>
      <c r="DC307" s="255"/>
      <c r="DD307" s="255"/>
      <c r="DE307" s="255"/>
      <c r="DF307" s="255"/>
      <c r="DG307" s="255"/>
      <c r="DH307" s="255"/>
      <c r="DI307" s="255"/>
      <c r="DJ307" s="255"/>
      <c r="DK307" s="255"/>
      <c r="DL307" s="255"/>
      <c r="DM307" s="255"/>
      <c r="DN307" s="255"/>
      <c r="DO307" s="255"/>
      <c r="DP307" s="255"/>
      <c r="DQ307" s="255"/>
      <c r="DR307" s="255"/>
      <c r="DS307" s="255"/>
      <c r="DT307" s="255"/>
      <c r="DU307" s="255"/>
      <c r="DV307" s="255"/>
      <c r="DW307" s="191"/>
      <c r="DX307" s="255"/>
      <c r="DY307" s="255"/>
      <c r="DZ307" s="255"/>
      <c r="EA307" s="255"/>
      <c r="EB307" s="255"/>
      <c r="EC307" s="255"/>
      <c r="ED307" s="255"/>
      <c r="EE307" s="255"/>
      <c r="EF307" s="255"/>
      <c r="EG307" s="255"/>
      <c r="EH307" s="255"/>
      <c r="EI307" s="255"/>
      <c r="EJ307" s="255"/>
      <c r="EK307" s="255"/>
      <c r="EL307" s="255"/>
      <c r="EM307" s="255"/>
      <c r="EN307" s="255"/>
      <c r="EO307" s="255"/>
      <c r="EP307" s="255"/>
      <c r="EQ307" s="255"/>
      <c r="ER307" s="191"/>
      <c r="ES307" s="255"/>
      <c r="ET307" s="255"/>
      <c r="EU307" s="255"/>
      <c r="EV307" s="255"/>
      <c r="EW307" s="255"/>
      <c r="EX307" s="255"/>
      <c r="EY307" s="255"/>
      <c r="EZ307" s="255"/>
      <c r="FA307" s="255"/>
      <c r="FB307" s="255"/>
      <c r="FC307" s="255"/>
      <c r="FD307" s="255"/>
      <c r="FE307" s="255"/>
      <c r="FF307" s="255"/>
      <c r="FG307" s="255"/>
      <c r="FH307" s="255"/>
      <c r="FI307" s="255"/>
      <c r="FJ307" s="255"/>
      <c r="FK307" s="255"/>
      <c r="FL307" s="255"/>
      <c r="FM307" s="255"/>
      <c r="FN307" s="255"/>
      <c r="FO307" s="255"/>
      <c r="FP307" s="255"/>
      <c r="FQ307" s="255"/>
      <c r="FR307" s="255"/>
      <c r="FS307" s="255"/>
      <c r="FT307" s="255"/>
      <c r="FU307" s="255"/>
      <c r="FV307" s="255"/>
      <c r="FW307" s="255"/>
      <c r="FX307" s="255"/>
      <c r="FY307" s="255"/>
      <c r="FZ307" s="255"/>
      <c r="GA307" s="255"/>
      <c r="GB307" s="255"/>
      <c r="GC307" s="255"/>
      <c r="GD307" s="255"/>
      <c r="GE307" s="255"/>
      <c r="GF307" s="255"/>
      <c r="GG307" s="255"/>
      <c r="GH307" s="255"/>
      <c r="GI307" s="255"/>
      <c r="GJ307" s="255"/>
      <c r="GK307" s="255"/>
      <c r="GL307" s="255"/>
      <c r="GM307" s="255"/>
      <c r="GN307" s="255"/>
      <c r="GO307" s="255"/>
      <c r="GP307" s="255"/>
      <c r="GQ307" s="255"/>
      <c r="GR307" s="255"/>
      <c r="GS307" s="255"/>
      <c r="GT307" s="255"/>
      <c r="GU307" s="255"/>
      <c r="GV307" s="255"/>
      <c r="GW307" s="255"/>
      <c r="GX307" s="255"/>
      <c r="GY307" s="255"/>
      <c r="GZ307" s="255"/>
      <c r="HA307" s="255"/>
      <c r="HB307" s="255"/>
      <c r="HC307" s="255"/>
      <c r="HD307" s="255"/>
      <c r="HE307" s="255"/>
      <c r="HF307" s="255"/>
      <c r="HG307" s="255"/>
      <c r="HH307" s="255"/>
      <c r="HI307" s="255"/>
      <c r="HJ307" s="255"/>
      <c r="HK307" s="255"/>
      <c r="HL307" s="255"/>
      <c r="HM307" s="255"/>
      <c r="HN307" s="255"/>
      <c r="HO307" s="255"/>
      <c r="HP307" s="255"/>
      <c r="HQ307" s="255"/>
      <c r="HR307" s="255"/>
      <c r="HS307" s="255"/>
      <c r="HT307" s="255"/>
      <c r="HU307" s="255"/>
      <c r="HV307" s="255"/>
      <c r="HW307" s="255"/>
      <c r="HX307" s="255"/>
      <c r="HY307" s="255"/>
      <c r="HZ307" s="255"/>
      <c r="IA307" s="255"/>
      <c r="IB307" s="255"/>
      <c r="IC307" s="255"/>
      <c r="ID307" s="255"/>
      <c r="IE307" s="255"/>
      <c r="IF307" s="255"/>
      <c r="IG307" s="255"/>
      <c r="IH307" s="255"/>
      <c r="II307" s="255"/>
      <c r="IJ307" s="255"/>
      <c r="IK307" s="255"/>
      <c r="IL307" s="255"/>
      <c r="IM307" s="255"/>
      <c r="IN307" s="255"/>
      <c r="IO307" s="255"/>
      <c r="IP307" s="255"/>
      <c r="IQ307" s="255"/>
      <c r="IR307" s="255"/>
      <c r="IS307" s="255"/>
      <c r="IT307" s="255"/>
      <c r="IU307" s="255"/>
      <c r="IV307" s="255"/>
      <c r="IW307" s="255"/>
      <c r="IX307" s="255"/>
      <c r="IY307" s="255"/>
      <c r="IZ307" s="255"/>
      <c r="JA307" s="255"/>
      <c r="JB307" s="255"/>
      <c r="JC307" s="255"/>
      <c r="JD307" s="255"/>
      <c r="JE307" s="255"/>
      <c r="JF307" s="255"/>
      <c r="JG307" s="191"/>
      <c r="JH307" s="255"/>
      <c r="JI307" s="255"/>
      <c r="JJ307" s="255"/>
      <c r="JK307" s="255"/>
      <c r="JL307" s="255"/>
      <c r="JM307" s="255"/>
      <c r="JN307" s="255"/>
      <c r="JO307" s="255"/>
      <c r="JP307" s="255"/>
      <c r="JQ307" s="255"/>
      <c r="JR307" s="255"/>
      <c r="JS307" s="255"/>
      <c r="JT307" s="255"/>
      <c r="JU307" s="255"/>
      <c r="JV307" s="255"/>
      <c r="JW307" s="255"/>
      <c r="JX307" s="255"/>
      <c r="JY307" s="255"/>
      <c r="JZ307" s="255"/>
      <c r="KA307" s="255"/>
      <c r="KB307" s="191"/>
    </row>
    <row r="308" spans="1:288" ht="15" customHeight="1" x14ac:dyDescent="0.35">
      <c r="B308" s="146" t="str">
        <f t="shared" si="23"/>
        <v>Desk 92</v>
      </c>
      <c r="C308" s="148" t="str">
        <v/>
      </c>
      <c r="D308" s="148" t="str">
        <v/>
      </c>
      <c r="E308" s="148" t="str">
        <v/>
      </c>
      <c r="F308" s="148" t="str">
        <v/>
      </c>
      <c r="G308" s="268" t="str">
        <v/>
      </c>
      <c r="H308" s="255"/>
      <c r="I308" s="255"/>
      <c r="J308" s="255"/>
      <c r="K308" s="255"/>
      <c r="L308" s="255"/>
      <c r="M308" s="255"/>
      <c r="N308" s="255"/>
      <c r="O308" s="255"/>
      <c r="P308" s="255"/>
      <c r="Q308" s="255"/>
      <c r="R308" s="255"/>
      <c r="S308" s="255"/>
      <c r="T308" s="255"/>
      <c r="U308" s="255"/>
      <c r="V308" s="255"/>
      <c r="W308" s="255"/>
      <c r="X308" s="255"/>
      <c r="Y308" s="255"/>
      <c r="Z308" s="255"/>
      <c r="AA308" s="255"/>
      <c r="AB308" s="255"/>
      <c r="AC308" s="255"/>
      <c r="AD308" s="255"/>
      <c r="AE308" s="255"/>
      <c r="AF308" s="255"/>
      <c r="AG308" s="255"/>
      <c r="AH308" s="255"/>
      <c r="AI308" s="255"/>
      <c r="AJ308" s="255"/>
      <c r="AK308" s="255"/>
      <c r="AL308" s="255"/>
      <c r="AM308" s="255"/>
      <c r="AN308" s="255"/>
      <c r="AO308" s="255"/>
      <c r="AP308" s="255"/>
      <c r="AQ308" s="255"/>
      <c r="AR308" s="255"/>
      <c r="AS308" s="255"/>
      <c r="AT308" s="255"/>
      <c r="AU308" s="255"/>
      <c r="AV308" s="255"/>
      <c r="AW308" s="255"/>
      <c r="AX308" s="255"/>
      <c r="AY308" s="255"/>
      <c r="AZ308" s="255"/>
      <c r="BA308" s="255"/>
      <c r="BB308" s="255"/>
      <c r="BC308" s="255"/>
      <c r="BD308" s="255"/>
      <c r="BE308" s="255"/>
      <c r="BF308" s="255"/>
      <c r="BG308" s="255"/>
      <c r="BH308" s="255"/>
      <c r="BI308" s="255"/>
      <c r="BJ308" s="255"/>
      <c r="BK308" s="255"/>
      <c r="BL308" s="255"/>
      <c r="BM308" s="255"/>
      <c r="BN308" s="255"/>
      <c r="BO308" s="255"/>
      <c r="BP308" s="255"/>
      <c r="BQ308" s="255"/>
      <c r="BR308" s="255"/>
      <c r="BS308" s="255"/>
      <c r="BT308" s="255"/>
      <c r="BU308" s="255"/>
      <c r="BV308" s="255"/>
      <c r="BW308" s="255"/>
      <c r="BX308" s="255"/>
      <c r="BY308" s="255"/>
      <c r="BZ308" s="255"/>
      <c r="CA308" s="255"/>
      <c r="CB308" s="255"/>
      <c r="CC308" s="255"/>
      <c r="CD308" s="255"/>
      <c r="CE308" s="255"/>
      <c r="CF308" s="255"/>
      <c r="CG308" s="255"/>
      <c r="CH308" s="255"/>
      <c r="CI308" s="255"/>
      <c r="CJ308" s="255"/>
      <c r="CK308" s="255"/>
      <c r="CL308" s="255"/>
      <c r="CM308" s="255"/>
      <c r="CN308" s="255"/>
      <c r="CO308" s="255"/>
      <c r="CP308" s="255"/>
      <c r="CQ308" s="255"/>
      <c r="CR308" s="255"/>
      <c r="CS308" s="255"/>
      <c r="CT308" s="255"/>
      <c r="CU308" s="255"/>
      <c r="CV308" s="255"/>
      <c r="CW308" s="255"/>
      <c r="CX308" s="255"/>
      <c r="CY308" s="255"/>
      <c r="CZ308" s="255"/>
      <c r="DA308" s="255"/>
      <c r="DB308" s="255"/>
      <c r="DC308" s="255"/>
      <c r="DD308" s="255"/>
      <c r="DE308" s="255"/>
      <c r="DF308" s="255"/>
      <c r="DG308" s="255"/>
      <c r="DH308" s="255"/>
      <c r="DI308" s="255"/>
      <c r="DJ308" s="255"/>
      <c r="DK308" s="255"/>
      <c r="DL308" s="255"/>
      <c r="DM308" s="255"/>
      <c r="DN308" s="255"/>
      <c r="DO308" s="255"/>
      <c r="DP308" s="255"/>
      <c r="DQ308" s="255"/>
      <c r="DR308" s="255"/>
      <c r="DS308" s="255"/>
      <c r="DT308" s="255"/>
      <c r="DU308" s="255"/>
      <c r="DV308" s="255"/>
      <c r="DW308" s="191"/>
      <c r="DX308" s="255"/>
      <c r="DY308" s="255"/>
      <c r="DZ308" s="255"/>
      <c r="EA308" s="255"/>
      <c r="EB308" s="255"/>
      <c r="EC308" s="255"/>
      <c r="ED308" s="255"/>
      <c r="EE308" s="255"/>
      <c r="EF308" s="255"/>
      <c r="EG308" s="255"/>
      <c r="EH308" s="255"/>
      <c r="EI308" s="255"/>
      <c r="EJ308" s="255"/>
      <c r="EK308" s="255"/>
      <c r="EL308" s="255"/>
      <c r="EM308" s="255"/>
      <c r="EN308" s="255"/>
      <c r="EO308" s="255"/>
      <c r="EP308" s="255"/>
      <c r="EQ308" s="255"/>
      <c r="ER308" s="191"/>
      <c r="ES308" s="255"/>
      <c r="ET308" s="255"/>
      <c r="EU308" s="255"/>
      <c r="EV308" s="255"/>
      <c r="EW308" s="255"/>
      <c r="EX308" s="255"/>
      <c r="EY308" s="255"/>
      <c r="EZ308" s="255"/>
      <c r="FA308" s="255"/>
      <c r="FB308" s="255"/>
      <c r="FC308" s="255"/>
      <c r="FD308" s="255"/>
      <c r="FE308" s="255"/>
      <c r="FF308" s="255"/>
      <c r="FG308" s="255"/>
      <c r="FH308" s="255"/>
      <c r="FI308" s="255"/>
      <c r="FJ308" s="255"/>
      <c r="FK308" s="255"/>
      <c r="FL308" s="255"/>
      <c r="FM308" s="255"/>
      <c r="FN308" s="255"/>
      <c r="FO308" s="255"/>
      <c r="FP308" s="255"/>
      <c r="FQ308" s="255"/>
      <c r="FR308" s="255"/>
      <c r="FS308" s="255"/>
      <c r="FT308" s="255"/>
      <c r="FU308" s="255"/>
      <c r="FV308" s="255"/>
      <c r="FW308" s="255"/>
      <c r="FX308" s="255"/>
      <c r="FY308" s="255"/>
      <c r="FZ308" s="255"/>
      <c r="GA308" s="255"/>
      <c r="GB308" s="255"/>
      <c r="GC308" s="255"/>
      <c r="GD308" s="255"/>
      <c r="GE308" s="255"/>
      <c r="GF308" s="255"/>
      <c r="GG308" s="255"/>
      <c r="GH308" s="255"/>
      <c r="GI308" s="255"/>
      <c r="GJ308" s="255"/>
      <c r="GK308" s="255"/>
      <c r="GL308" s="255"/>
      <c r="GM308" s="255"/>
      <c r="GN308" s="255"/>
      <c r="GO308" s="255"/>
      <c r="GP308" s="255"/>
      <c r="GQ308" s="255"/>
      <c r="GR308" s="255"/>
      <c r="GS308" s="255"/>
      <c r="GT308" s="255"/>
      <c r="GU308" s="255"/>
      <c r="GV308" s="255"/>
      <c r="GW308" s="255"/>
      <c r="GX308" s="255"/>
      <c r="GY308" s="255"/>
      <c r="GZ308" s="255"/>
      <c r="HA308" s="255"/>
      <c r="HB308" s="255"/>
      <c r="HC308" s="255"/>
      <c r="HD308" s="255"/>
      <c r="HE308" s="255"/>
      <c r="HF308" s="255"/>
      <c r="HG308" s="255"/>
      <c r="HH308" s="255"/>
      <c r="HI308" s="255"/>
      <c r="HJ308" s="255"/>
      <c r="HK308" s="255"/>
      <c r="HL308" s="255"/>
      <c r="HM308" s="255"/>
      <c r="HN308" s="255"/>
      <c r="HO308" s="255"/>
      <c r="HP308" s="255"/>
      <c r="HQ308" s="255"/>
      <c r="HR308" s="255"/>
      <c r="HS308" s="255"/>
      <c r="HT308" s="255"/>
      <c r="HU308" s="255"/>
      <c r="HV308" s="255"/>
      <c r="HW308" s="255"/>
      <c r="HX308" s="255"/>
      <c r="HY308" s="255"/>
      <c r="HZ308" s="255"/>
      <c r="IA308" s="255"/>
      <c r="IB308" s="255"/>
      <c r="IC308" s="255"/>
      <c r="ID308" s="255"/>
      <c r="IE308" s="255"/>
      <c r="IF308" s="255"/>
      <c r="IG308" s="255"/>
      <c r="IH308" s="255"/>
      <c r="II308" s="255"/>
      <c r="IJ308" s="255"/>
      <c r="IK308" s="255"/>
      <c r="IL308" s="255"/>
      <c r="IM308" s="255"/>
      <c r="IN308" s="255"/>
      <c r="IO308" s="255"/>
      <c r="IP308" s="255"/>
      <c r="IQ308" s="255"/>
      <c r="IR308" s="255"/>
      <c r="IS308" s="255"/>
      <c r="IT308" s="255"/>
      <c r="IU308" s="255"/>
      <c r="IV308" s="255"/>
      <c r="IW308" s="255"/>
      <c r="IX308" s="255"/>
      <c r="IY308" s="255"/>
      <c r="IZ308" s="255"/>
      <c r="JA308" s="255"/>
      <c r="JB308" s="255"/>
      <c r="JC308" s="255"/>
      <c r="JD308" s="255"/>
      <c r="JE308" s="255"/>
      <c r="JF308" s="255"/>
      <c r="JG308" s="191"/>
      <c r="JH308" s="255"/>
      <c r="JI308" s="255"/>
      <c r="JJ308" s="255"/>
      <c r="JK308" s="255"/>
      <c r="JL308" s="255"/>
      <c r="JM308" s="255"/>
      <c r="JN308" s="255"/>
      <c r="JO308" s="255"/>
      <c r="JP308" s="255"/>
      <c r="JQ308" s="255"/>
      <c r="JR308" s="255"/>
      <c r="JS308" s="255"/>
      <c r="JT308" s="255"/>
      <c r="JU308" s="255"/>
      <c r="JV308" s="255"/>
      <c r="JW308" s="255"/>
      <c r="JX308" s="255"/>
      <c r="JY308" s="255"/>
      <c r="JZ308" s="255"/>
      <c r="KA308" s="255"/>
      <c r="KB308" s="191"/>
    </row>
    <row r="309" spans="1:288" ht="15" customHeight="1" x14ac:dyDescent="0.35">
      <c r="B309" s="146" t="str">
        <f t="shared" si="23"/>
        <v>Desk 93</v>
      </c>
      <c r="C309" s="148" t="str">
        <v/>
      </c>
      <c r="D309" s="148" t="str">
        <v/>
      </c>
      <c r="E309" s="148" t="str">
        <v/>
      </c>
      <c r="F309" s="148" t="str">
        <v/>
      </c>
      <c r="G309" s="268" t="str">
        <v/>
      </c>
      <c r="H309" s="255"/>
      <c r="I309" s="255"/>
      <c r="J309" s="255"/>
      <c r="K309" s="255"/>
      <c r="L309" s="255"/>
      <c r="M309" s="255"/>
      <c r="N309" s="255"/>
      <c r="O309" s="255"/>
      <c r="P309" s="255"/>
      <c r="Q309" s="255"/>
      <c r="R309" s="255"/>
      <c r="S309" s="255"/>
      <c r="T309" s="255"/>
      <c r="U309" s="255"/>
      <c r="V309" s="255"/>
      <c r="W309" s="255"/>
      <c r="X309" s="255"/>
      <c r="Y309" s="255"/>
      <c r="Z309" s="255"/>
      <c r="AA309" s="255"/>
      <c r="AB309" s="255"/>
      <c r="AC309" s="255"/>
      <c r="AD309" s="255"/>
      <c r="AE309" s="255"/>
      <c r="AF309" s="255"/>
      <c r="AG309" s="255"/>
      <c r="AH309" s="255"/>
      <c r="AI309" s="255"/>
      <c r="AJ309" s="255"/>
      <c r="AK309" s="255"/>
      <c r="AL309" s="255"/>
      <c r="AM309" s="255"/>
      <c r="AN309" s="255"/>
      <c r="AO309" s="255"/>
      <c r="AP309" s="255"/>
      <c r="AQ309" s="255"/>
      <c r="AR309" s="255"/>
      <c r="AS309" s="255"/>
      <c r="AT309" s="255"/>
      <c r="AU309" s="255"/>
      <c r="AV309" s="255"/>
      <c r="AW309" s="255"/>
      <c r="AX309" s="255"/>
      <c r="AY309" s="255"/>
      <c r="AZ309" s="255"/>
      <c r="BA309" s="255"/>
      <c r="BB309" s="255"/>
      <c r="BC309" s="255"/>
      <c r="BD309" s="255"/>
      <c r="BE309" s="255"/>
      <c r="BF309" s="255"/>
      <c r="BG309" s="255"/>
      <c r="BH309" s="255"/>
      <c r="BI309" s="255"/>
      <c r="BJ309" s="255"/>
      <c r="BK309" s="255"/>
      <c r="BL309" s="255"/>
      <c r="BM309" s="255"/>
      <c r="BN309" s="255"/>
      <c r="BO309" s="255"/>
      <c r="BP309" s="255"/>
      <c r="BQ309" s="255"/>
      <c r="BR309" s="255"/>
      <c r="BS309" s="255"/>
      <c r="BT309" s="255"/>
      <c r="BU309" s="255"/>
      <c r="BV309" s="255"/>
      <c r="BW309" s="255"/>
      <c r="BX309" s="255"/>
      <c r="BY309" s="255"/>
      <c r="BZ309" s="255"/>
      <c r="CA309" s="255"/>
      <c r="CB309" s="255"/>
      <c r="CC309" s="255"/>
      <c r="CD309" s="255"/>
      <c r="CE309" s="255"/>
      <c r="CF309" s="255"/>
      <c r="CG309" s="255"/>
      <c r="CH309" s="255"/>
      <c r="CI309" s="255"/>
      <c r="CJ309" s="255"/>
      <c r="CK309" s="255"/>
      <c r="CL309" s="255"/>
      <c r="CM309" s="255"/>
      <c r="CN309" s="255"/>
      <c r="CO309" s="255"/>
      <c r="CP309" s="255"/>
      <c r="CQ309" s="255"/>
      <c r="CR309" s="255"/>
      <c r="CS309" s="255"/>
      <c r="CT309" s="255"/>
      <c r="CU309" s="255"/>
      <c r="CV309" s="255"/>
      <c r="CW309" s="255"/>
      <c r="CX309" s="255"/>
      <c r="CY309" s="255"/>
      <c r="CZ309" s="255"/>
      <c r="DA309" s="255"/>
      <c r="DB309" s="255"/>
      <c r="DC309" s="255"/>
      <c r="DD309" s="255"/>
      <c r="DE309" s="255"/>
      <c r="DF309" s="255"/>
      <c r="DG309" s="255"/>
      <c r="DH309" s="255"/>
      <c r="DI309" s="255"/>
      <c r="DJ309" s="255"/>
      <c r="DK309" s="255"/>
      <c r="DL309" s="255"/>
      <c r="DM309" s="255"/>
      <c r="DN309" s="255"/>
      <c r="DO309" s="255"/>
      <c r="DP309" s="255"/>
      <c r="DQ309" s="255"/>
      <c r="DR309" s="255"/>
      <c r="DS309" s="255"/>
      <c r="DT309" s="255"/>
      <c r="DU309" s="255"/>
      <c r="DV309" s="255"/>
      <c r="DW309" s="191"/>
      <c r="DX309" s="255"/>
      <c r="DY309" s="255"/>
      <c r="DZ309" s="255"/>
      <c r="EA309" s="255"/>
      <c r="EB309" s="255"/>
      <c r="EC309" s="255"/>
      <c r="ED309" s="255"/>
      <c r="EE309" s="255"/>
      <c r="EF309" s="255"/>
      <c r="EG309" s="255"/>
      <c r="EH309" s="255"/>
      <c r="EI309" s="255"/>
      <c r="EJ309" s="255"/>
      <c r="EK309" s="255"/>
      <c r="EL309" s="255"/>
      <c r="EM309" s="255"/>
      <c r="EN309" s="255"/>
      <c r="EO309" s="255"/>
      <c r="EP309" s="255"/>
      <c r="EQ309" s="255"/>
      <c r="ER309" s="191"/>
      <c r="ES309" s="255"/>
      <c r="ET309" s="255"/>
      <c r="EU309" s="255"/>
      <c r="EV309" s="255"/>
      <c r="EW309" s="255"/>
      <c r="EX309" s="255"/>
      <c r="EY309" s="255"/>
      <c r="EZ309" s="255"/>
      <c r="FA309" s="255"/>
      <c r="FB309" s="255"/>
      <c r="FC309" s="255"/>
      <c r="FD309" s="255"/>
      <c r="FE309" s="255"/>
      <c r="FF309" s="255"/>
      <c r="FG309" s="255"/>
      <c r="FH309" s="255"/>
      <c r="FI309" s="255"/>
      <c r="FJ309" s="255"/>
      <c r="FK309" s="255"/>
      <c r="FL309" s="255"/>
      <c r="FM309" s="255"/>
      <c r="FN309" s="255"/>
      <c r="FO309" s="255"/>
      <c r="FP309" s="255"/>
      <c r="FQ309" s="255"/>
      <c r="FR309" s="255"/>
      <c r="FS309" s="255"/>
      <c r="FT309" s="255"/>
      <c r="FU309" s="255"/>
      <c r="FV309" s="255"/>
      <c r="FW309" s="255"/>
      <c r="FX309" s="255"/>
      <c r="FY309" s="255"/>
      <c r="FZ309" s="255"/>
      <c r="GA309" s="255"/>
      <c r="GB309" s="255"/>
      <c r="GC309" s="255"/>
      <c r="GD309" s="255"/>
      <c r="GE309" s="255"/>
      <c r="GF309" s="255"/>
      <c r="GG309" s="255"/>
      <c r="GH309" s="255"/>
      <c r="GI309" s="255"/>
      <c r="GJ309" s="255"/>
      <c r="GK309" s="255"/>
      <c r="GL309" s="255"/>
      <c r="GM309" s="255"/>
      <c r="GN309" s="255"/>
      <c r="GO309" s="255"/>
      <c r="GP309" s="255"/>
      <c r="GQ309" s="255"/>
      <c r="GR309" s="255"/>
      <c r="GS309" s="255"/>
      <c r="GT309" s="255"/>
      <c r="GU309" s="255"/>
      <c r="GV309" s="255"/>
      <c r="GW309" s="255"/>
      <c r="GX309" s="255"/>
      <c r="GY309" s="255"/>
      <c r="GZ309" s="255"/>
      <c r="HA309" s="255"/>
      <c r="HB309" s="255"/>
      <c r="HC309" s="255"/>
      <c r="HD309" s="255"/>
      <c r="HE309" s="255"/>
      <c r="HF309" s="255"/>
      <c r="HG309" s="255"/>
      <c r="HH309" s="255"/>
      <c r="HI309" s="255"/>
      <c r="HJ309" s="255"/>
      <c r="HK309" s="255"/>
      <c r="HL309" s="255"/>
      <c r="HM309" s="255"/>
      <c r="HN309" s="255"/>
      <c r="HO309" s="255"/>
      <c r="HP309" s="255"/>
      <c r="HQ309" s="255"/>
      <c r="HR309" s="255"/>
      <c r="HS309" s="255"/>
      <c r="HT309" s="255"/>
      <c r="HU309" s="255"/>
      <c r="HV309" s="255"/>
      <c r="HW309" s="255"/>
      <c r="HX309" s="255"/>
      <c r="HY309" s="255"/>
      <c r="HZ309" s="255"/>
      <c r="IA309" s="255"/>
      <c r="IB309" s="255"/>
      <c r="IC309" s="255"/>
      <c r="ID309" s="255"/>
      <c r="IE309" s="255"/>
      <c r="IF309" s="255"/>
      <c r="IG309" s="255"/>
      <c r="IH309" s="255"/>
      <c r="II309" s="255"/>
      <c r="IJ309" s="255"/>
      <c r="IK309" s="255"/>
      <c r="IL309" s="255"/>
      <c r="IM309" s="255"/>
      <c r="IN309" s="255"/>
      <c r="IO309" s="255"/>
      <c r="IP309" s="255"/>
      <c r="IQ309" s="255"/>
      <c r="IR309" s="255"/>
      <c r="IS309" s="255"/>
      <c r="IT309" s="255"/>
      <c r="IU309" s="255"/>
      <c r="IV309" s="255"/>
      <c r="IW309" s="255"/>
      <c r="IX309" s="255"/>
      <c r="IY309" s="255"/>
      <c r="IZ309" s="255"/>
      <c r="JA309" s="255"/>
      <c r="JB309" s="255"/>
      <c r="JC309" s="255"/>
      <c r="JD309" s="255"/>
      <c r="JE309" s="255"/>
      <c r="JF309" s="255"/>
      <c r="JG309" s="191"/>
      <c r="JH309" s="255"/>
      <c r="JI309" s="255"/>
      <c r="JJ309" s="255"/>
      <c r="JK309" s="255"/>
      <c r="JL309" s="255"/>
      <c r="JM309" s="255"/>
      <c r="JN309" s="255"/>
      <c r="JO309" s="255"/>
      <c r="JP309" s="255"/>
      <c r="JQ309" s="255"/>
      <c r="JR309" s="255"/>
      <c r="JS309" s="255"/>
      <c r="JT309" s="255"/>
      <c r="JU309" s="255"/>
      <c r="JV309" s="255"/>
      <c r="JW309" s="255"/>
      <c r="JX309" s="255"/>
      <c r="JY309" s="255"/>
      <c r="JZ309" s="255"/>
      <c r="KA309" s="255"/>
      <c r="KB309" s="191"/>
    </row>
    <row r="310" spans="1:288" ht="15" customHeight="1" x14ac:dyDescent="0.35">
      <c r="B310" s="146" t="str">
        <f t="shared" si="23"/>
        <v>Desk 94</v>
      </c>
      <c r="C310" s="148" t="str">
        <v/>
      </c>
      <c r="D310" s="148" t="str">
        <v/>
      </c>
      <c r="E310" s="148" t="str">
        <v/>
      </c>
      <c r="F310" s="148" t="str">
        <v/>
      </c>
      <c r="G310" s="268" t="str">
        <v/>
      </c>
      <c r="H310" s="255"/>
      <c r="I310" s="255"/>
      <c r="J310" s="255"/>
      <c r="K310" s="255"/>
      <c r="L310" s="255"/>
      <c r="M310" s="255"/>
      <c r="N310" s="255"/>
      <c r="O310" s="255"/>
      <c r="P310" s="255"/>
      <c r="Q310" s="255"/>
      <c r="R310" s="255"/>
      <c r="S310" s="255"/>
      <c r="T310" s="255"/>
      <c r="U310" s="255"/>
      <c r="V310" s="255"/>
      <c r="W310" s="255"/>
      <c r="X310" s="255"/>
      <c r="Y310" s="255"/>
      <c r="Z310" s="255"/>
      <c r="AA310" s="255"/>
      <c r="AB310" s="255"/>
      <c r="AC310" s="255"/>
      <c r="AD310" s="255"/>
      <c r="AE310" s="255"/>
      <c r="AF310" s="255"/>
      <c r="AG310" s="255"/>
      <c r="AH310" s="255"/>
      <c r="AI310" s="255"/>
      <c r="AJ310" s="255"/>
      <c r="AK310" s="255"/>
      <c r="AL310" s="255"/>
      <c r="AM310" s="255"/>
      <c r="AN310" s="255"/>
      <c r="AO310" s="255"/>
      <c r="AP310" s="255"/>
      <c r="AQ310" s="255"/>
      <c r="AR310" s="255"/>
      <c r="AS310" s="255"/>
      <c r="AT310" s="255"/>
      <c r="AU310" s="255"/>
      <c r="AV310" s="255"/>
      <c r="AW310" s="255"/>
      <c r="AX310" s="255"/>
      <c r="AY310" s="255"/>
      <c r="AZ310" s="255"/>
      <c r="BA310" s="255"/>
      <c r="BB310" s="255"/>
      <c r="BC310" s="255"/>
      <c r="BD310" s="255"/>
      <c r="BE310" s="255"/>
      <c r="BF310" s="255"/>
      <c r="BG310" s="255"/>
      <c r="BH310" s="255"/>
      <c r="BI310" s="255"/>
      <c r="BJ310" s="255"/>
      <c r="BK310" s="255"/>
      <c r="BL310" s="255"/>
      <c r="BM310" s="255"/>
      <c r="BN310" s="255"/>
      <c r="BO310" s="255"/>
      <c r="BP310" s="255"/>
      <c r="BQ310" s="255"/>
      <c r="BR310" s="255"/>
      <c r="BS310" s="255"/>
      <c r="BT310" s="255"/>
      <c r="BU310" s="255"/>
      <c r="BV310" s="255"/>
      <c r="BW310" s="255"/>
      <c r="BX310" s="255"/>
      <c r="BY310" s="255"/>
      <c r="BZ310" s="255"/>
      <c r="CA310" s="255"/>
      <c r="CB310" s="255"/>
      <c r="CC310" s="255"/>
      <c r="CD310" s="255"/>
      <c r="CE310" s="255"/>
      <c r="CF310" s="255"/>
      <c r="CG310" s="255"/>
      <c r="CH310" s="255"/>
      <c r="CI310" s="255"/>
      <c r="CJ310" s="255"/>
      <c r="CK310" s="255"/>
      <c r="CL310" s="255"/>
      <c r="CM310" s="255"/>
      <c r="CN310" s="255"/>
      <c r="CO310" s="255"/>
      <c r="CP310" s="255"/>
      <c r="CQ310" s="255"/>
      <c r="CR310" s="255"/>
      <c r="CS310" s="255"/>
      <c r="CT310" s="255"/>
      <c r="CU310" s="255"/>
      <c r="CV310" s="255"/>
      <c r="CW310" s="255"/>
      <c r="CX310" s="255"/>
      <c r="CY310" s="255"/>
      <c r="CZ310" s="255"/>
      <c r="DA310" s="255"/>
      <c r="DB310" s="255"/>
      <c r="DC310" s="255"/>
      <c r="DD310" s="255"/>
      <c r="DE310" s="255"/>
      <c r="DF310" s="255"/>
      <c r="DG310" s="255"/>
      <c r="DH310" s="255"/>
      <c r="DI310" s="255"/>
      <c r="DJ310" s="255"/>
      <c r="DK310" s="255"/>
      <c r="DL310" s="255"/>
      <c r="DM310" s="255"/>
      <c r="DN310" s="255"/>
      <c r="DO310" s="255"/>
      <c r="DP310" s="255"/>
      <c r="DQ310" s="255"/>
      <c r="DR310" s="255"/>
      <c r="DS310" s="255"/>
      <c r="DT310" s="255"/>
      <c r="DU310" s="255"/>
      <c r="DV310" s="255"/>
      <c r="DW310" s="191"/>
      <c r="DX310" s="255"/>
      <c r="DY310" s="255"/>
      <c r="DZ310" s="255"/>
      <c r="EA310" s="255"/>
      <c r="EB310" s="255"/>
      <c r="EC310" s="255"/>
      <c r="ED310" s="255"/>
      <c r="EE310" s="255"/>
      <c r="EF310" s="255"/>
      <c r="EG310" s="255"/>
      <c r="EH310" s="255"/>
      <c r="EI310" s="255"/>
      <c r="EJ310" s="255"/>
      <c r="EK310" s="255"/>
      <c r="EL310" s="255"/>
      <c r="EM310" s="255"/>
      <c r="EN310" s="255"/>
      <c r="EO310" s="255"/>
      <c r="EP310" s="255"/>
      <c r="EQ310" s="255"/>
      <c r="ER310" s="191"/>
      <c r="ES310" s="255"/>
      <c r="ET310" s="255"/>
      <c r="EU310" s="255"/>
      <c r="EV310" s="255"/>
      <c r="EW310" s="255"/>
      <c r="EX310" s="255"/>
      <c r="EY310" s="255"/>
      <c r="EZ310" s="255"/>
      <c r="FA310" s="255"/>
      <c r="FB310" s="255"/>
      <c r="FC310" s="255"/>
      <c r="FD310" s="255"/>
      <c r="FE310" s="255"/>
      <c r="FF310" s="255"/>
      <c r="FG310" s="255"/>
      <c r="FH310" s="255"/>
      <c r="FI310" s="255"/>
      <c r="FJ310" s="255"/>
      <c r="FK310" s="255"/>
      <c r="FL310" s="255"/>
      <c r="FM310" s="255"/>
      <c r="FN310" s="255"/>
      <c r="FO310" s="255"/>
      <c r="FP310" s="255"/>
      <c r="FQ310" s="255"/>
      <c r="FR310" s="255"/>
      <c r="FS310" s="255"/>
      <c r="FT310" s="255"/>
      <c r="FU310" s="255"/>
      <c r="FV310" s="255"/>
      <c r="FW310" s="255"/>
      <c r="FX310" s="255"/>
      <c r="FY310" s="255"/>
      <c r="FZ310" s="255"/>
      <c r="GA310" s="255"/>
      <c r="GB310" s="255"/>
      <c r="GC310" s="255"/>
      <c r="GD310" s="255"/>
      <c r="GE310" s="255"/>
      <c r="GF310" s="255"/>
      <c r="GG310" s="255"/>
      <c r="GH310" s="255"/>
      <c r="GI310" s="255"/>
      <c r="GJ310" s="255"/>
      <c r="GK310" s="255"/>
      <c r="GL310" s="255"/>
      <c r="GM310" s="255"/>
      <c r="GN310" s="255"/>
      <c r="GO310" s="255"/>
      <c r="GP310" s="255"/>
      <c r="GQ310" s="255"/>
      <c r="GR310" s="255"/>
      <c r="GS310" s="255"/>
      <c r="GT310" s="255"/>
      <c r="GU310" s="255"/>
      <c r="GV310" s="255"/>
      <c r="GW310" s="255"/>
      <c r="GX310" s="255"/>
      <c r="GY310" s="255"/>
      <c r="GZ310" s="255"/>
      <c r="HA310" s="255"/>
      <c r="HB310" s="255"/>
      <c r="HC310" s="255"/>
      <c r="HD310" s="255"/>
      <c r="HE310" s="255"/>
      <c r="HF310" s="255"/>
      <c r="HG310" s="255"/>
      <c r="HH310" s="255"/>
      <c r="HI310" s="255"/>
      <c r="HJ310" s="255"/>
      <c r="HK310" s="255"/>
      <c r="HL310" s="255"/>
      <c r="HM310" s="255"/>
      <c r="HN310" s="255"/>
      <c r="HO310" s="255"/>
      <c r="HP310" s="255"/>
      <c r="HQ310" s="255"/>
      <c r="HR310" s="255"/>
      <c r="HS310" s="255"/>
      <c r="HT310" s="255"/>
      <c r="HU310" s="255"/>
      <c r="HV310" s="255"/>
      <c r="HW310" s="255"/>
      <c r="HX310" s="255"/>
      <c r="HY310" s="255"/>
      <c r="HZ310" s="255"/>
      <c r="IA310" s="255"/>
      <c r="IB310" s="255"/>
      <c r="IC310" s="255"/>
      <c r="ID310" s="255"/>
      <c r="IE310" s="255"/>
      <c r="IF310" s="255"/>
      <c r="IG310" s="255"/>
      <c r="IH310" s="255"/>
      <c r="II310" s="255"/>
      <c r="IJ310" s="255"/>
      <c r="IK310" s="255"/>
      <c r="IL310" s="255"/>
      <c r="IM310" s="255"/>
      <c r="IN310" s="255"/>
      <c r="IO310" s="255"/>
      <c r="IP310" s="255"/>
      <c r="IQ310" s="255"/>
      <c r="IR310" s="255"/>
      <c r="IS310" s="255"/>
      <c r="IT310" s="255"/>
      <c r="IU310" s="255"/>
      <c r="IV310" s="255"/>
      <c r="IW310" s="255"/>
      <c r="IX310" s="255"/>
      <c r="IY310" s="255"/>
      <c r="IZ310" s="255"/>
      <c r="JA310" s="255"/>
      <c r="JB310" s="255"/>
      <c r="JC310" s="255"/>
      <c r="JD310" s="255"/>
      <c r="JE310" s="255"/>
      <c r="JF310" s="255"/>
      <c r="JG310" s="191"/>
      <c r="JH310" s="255"/>
      <c r="JI310" s="255"/>
      <c r="JJ310" s="255"/>
      <c r="JK310" s="255"/>
      <c r="JL310" s="255"/>
      <c r="JM310" s="255"/>
      <c r="JN310" s="255"/>
      <c r="JO310" s="255"/>
      <c r="JP310" s="255"/>
      <c r="JQ310" s="255"/>
      <c r="JR310" s="255"/>
      <c r="JS310" s="255"/>
      <c r="JT310" s="255"/>
      <c r="JU310" s="255"/>
      <c r="JV310" s="255"/>
      <c r="JW310" s="255"/>
      <c r="JX310" s="255"/>
      <c r="JY310" s="255"/>
      <c r="JZ310" s="255"/>
      <c r="KA310" s="255"/>
      <c r="KB310" s="191"/>
    </row>
    <row r="311" spans="1:288" ht="15" customHeight="1" x14ac:dyDescent="0.35">
      <c r="B311" s="146" t="str">
        <f t="shared" si="23"/>
        <v>Desk 95</v>
      </c>
      <c r="C311" s="148" t="str">
        <v/>
      </c>
      <c r="D311" s="148" t="str">
        <v/>
      </c>
      <c r="E311" s="148" t="str">
        <v/>
      </c>
      <c r="F311" s="148" t="str">
        <v/>
      </c>
      <c r="G311" s="268" t="str">
        <v/>
      </c>
      <c r="H311" s="255"/>
      <c r="I311" s="255"/>
      <c r="J311" s="255"/>
      <c r="K311" s="255"/>
      <c r="L311" s="255"/>
      <c r="M311" s="255"/>
      <c r="N311" s="255"/>
      <c r="O311" s="255"/>
      <c r="P311" s="255"/>
      <c r="Q311" s="255"/>
      <c r="R311" s="255"/>
      <c r="S311" s="255"/>
      <c r="T311" s="255"/>
      <c r="U311" s="255"/>
      <c r="V311" s="255"/>
      <c r="W311" s="255"/>
      <c r="X311" s="255"/>
      <c r="Y311" s="255"/>
      <c r="Z311" s="255"/>
      <c r="AA311" s="255"/>
      <c r="AB311" s="255"/>
      <c r="AC311" s="255"/>
      <c r="AD311" s="255"/>
      <c r="AE311" s="255"/>
      <c r="AF311" s="255"/>
      <c r="AG311" s="255"/>
      <c r="AH311" s="255"/>
      <c r="AI311" s="255"/>
      <c r="AJ311" s="255"/>
      <c r="AK311" s="255"/>
      <c r="AL311" s="255"/>
      <c r="AM311" s="255"/>
      <c r="AN311" s="255"/>
      <c r="AO311" s="255"/>
      <c r="AP311" s="255"/>
      <c r="AQ311" s="255"/>
      <c r="AR311" s="255"/>
      <c r="AS311" s="255"/>
      <c r="AT311" s="255"/>
      <c r="AU311" s="255"/>
      <c r="AV311" s="255"/>
      <c r="AW311" s="255"/>
      <c r="AX311" s="255"/>
      <c r="AY311" s="255"/>
      <c r="AZ311" s="255"/>
      <c r="BA311" s="255"/>
      <c r="BB311" s="255"/>
      <c r="BC311" s="255"/>
      <c r="BD311" s="255"/>
      <c r="BE311" s="255"/>
      <c r="BF311" s="255"/>
      <c r="BG311" s="255"/>
      <c r="BH311" s="255"/>
      <c r="BI311" s="255"/>
      <c r="BJ311" s="255"/>
      <c r="BK311" s="255"/>
      <c r="BL311" s="255"/>
      <c r="BM311" s="255"/>
      <c r="BN311" s="255"/>
      <c r="BO311" s="255"/>
      <c r="BP311" s="255"/>
      <c r="BQ311" s="255"/>
      <c r="BR311" s="255"/>
      <c r="BS311" s="255"/>
      <c r="BT311" s="255"/>
      <c r="BU311" s="255"/>
      <c r="BV311" s="255"/>
      <c r="BW311" s="255"/>
      <c r="BX311" s="255"/>
      <c r="BY311" s="255"/>
      <c r="BZ311" s="255"/>
      <c r="CA311" s="255"/>
      <c r="CB311" s="255"/>
      <c r="CC311" s="255"/>
      <c r="CD311" s="255"/>
      <c r="CE311" s="255"/>
      <c r="CF311" s="255"/>
      <c r="CG311" s="255"/>
      <c r="CH311" s="255"/>
      <c r="CI311" s="255"/>
      <c r="CJ311" s="255"/>
      <c r="CK311" s="255"/>
      <c r="CL311" s="255"/>
      <c r="CM311" s="255"/>
      <c r="CN311" s="255"/>
      <c r="CO311" s="255"/>
      <c r="CP311" s="255"/>
      <c r="CQ311" s="255"/>
      <c r="CR311" s="255"/>
      <c r="CS311" s="255"/>
      <c r="CT311" s="255"/>
      <c r="CU311" s="255"/>
      <c r="CV311" s="255"/>
      <c r="CW311" s="255"/>
      <c r="CX311" s="255"/>
      <c r="CY311" s="255"/>
      <c r="CZ311" s="255"/>
      <c r="DA311" s="255"/>
      <c r="DB311" s="255"/>
      <c r="DC311" s="255"/>
      <c r="DD311" s="255"/>
      <c r="DE311" s="255"/>
      <c r="DF311" s="255"/>
      <c r="DG311" s="255"/>
      <c r="DH311" s="255"/>
      <c r="DI311" s="255"/>
      <c r="DJ311" s="255"/>
      <c r="DK311" s="255"/>
      <c r="DL311" s="255"/>
      <c r="DM311" s="255"/>
      <c r="DN311" s="255"/>
      <c r="DO311" s="255"/>
      <c r="DP311" s="255"/>
      <c r="DQ311" s="255"/>
      <c r="DR311" s="255"/>
      <c r="DS311" s="255"/>
      <c r="DT311" s="255"/>
      <c r="DU311" s="255"/>
      <c r="DV311" s="255"/>
      <c r="DW311" s="191"/>
      <c r="DX311" s="255"/>
      <c r="DY311" s="255"/>
      <c r="DZ311" s="255"/>
      <c r="EA311" s="255"/>
      <c r="EB311" s="255"/>
      <c r="EC311" s="255"/>
      <c r="ED311" s="255"/>
      <c r="EE311" s="255"/>
      <c r="EF311" s="255"/>
      <c r="EG311" s="255"/>
      <c r="EH311" s="255"/>
      <c r="EI311" s="255"/>
      <c r="EJ311" s="255"/>
      <c r="EK311" s="255"/>
      <c r="EL311" s="255"/>
      <c r="EM311" s="255"/>
      <c r="EN311" s="255"/>
      <c r="EO311" s="255"/>
      <c r="EP311" s="255"/>
      <c r="EQ311" s="255"/>
      <c r="ER311" s="191"/>
      <c r="ES311" s="255"/>
      <c r="ET311" s="255"/>
      <c r="EU311" s="255"/>
      <c r="EV311" s="255"/>
      <c r="EW311" s="255"/>
      <c r="EX311" s="255"/>
      <c r="EY311" s="255"/>
      <c r="EZ311" s="255"/>
      <c r="FA311" s="255"/>
      <c r="FB311" s="255"/>
      <c r="FC311" s="255"/>
      <c r="FD311" s="255"/>
      <c r="FE311" s="255"/>
      <c r="FF311" s="255"/>
      <c r="FG311" s="255"/>
      <c r="FH311" s="255"/>
      <c r="FI311" s="255"/>
      <c r="FJ311" s="255"/>
      <c r="FK311" s="255"/>
      <c r="FL311" s="255"/>
      <c r="FM311" s="255"/>
      <c r="FN311" s="255"/>
      <c r="FO311" s="255"/>
      <c r="FP311" s="255"/>
      <c r="FQ311" s="255"/>
      <c r="FR311" s="255"/>
      <c r="FS311" s="255"/>
      <c r="FT311" s="255"/>
      <c r="FU311" s="255"/>
      <c r="FV311" s="255"/>
      <c r="FW311" s="255"/>
      <c r="FX311" s="255"/>
      <c r="FY311" s="255"/>
      <c r="FZ311" s="255"/>
      <c r="GA311" s="255"/>
      <c r="GB311" s="255"/>
      <c r="GC311" s="255"/>
      <c r="GD311" s="255"/>
      <c r="GE311" s="255"/>
      <c r="GF311" s="255"/>
      <c r="GG311" s="255"/>
      <c r="GH311" s="255"/>
      <c r="GI311" s="255"/>
      <c r="GJ311" s="255"/>
      <c r="GK311" s="255"/>
      <c r="GL311" s="255"/>
      <c r="GM311" s="255"/>
      <c r="GN311" s="255"/>
      <c r="GO311" s="255"/>
      <c r="GP311" s="255"/>
      <c r="GQ311" s="255"/>
      <c r="GR311" s="255"/>
      <c r="GS311" s="255"/>
      <c r="GT311" s="255"/>
      <c r="GU311" s="255"/>
      <c r="GV311" s="255"/>
      <c r="GW311" s="255"/>
      <c r="GX311" s="255"/>
      <c r="GY311" s="255"/>
      <c r="GZ311" s="255"/>
      <c r="HA311" s="255"/>
      <c r="HB311" s="255"/>
      <c r="HC311" s="255"/>
      <c r="HD311" s="255"/>
      <c r="HE311" s="255"/>
      <c r="HF311" s="255"/>
      <c r="HG311" s="255"/>
      <c r="HH311" s="255"/>
      <c r="HI311" s="255"/>
      <c r="HJ311" s="255"/>
      <c r="HK311" s="255"/>
      <c r="HL311" s="255"/>
      <c r="HM311" s="255"/>
      <c r="HN311" s="255"/>
      <c r="HO311" s="255"/>
      <c r="HP311" s="255"/>
      <c r="HQ311" s="255"/>
      <c r="HR311" s="255"/>
      <c r="HS311" s="255"/>
      <c r="HT311" s="255"/>
      <c r="HU311" s="255"/>
      <c r="HV311" s="255"/>
      <c r="HW311" s="255"/>
      <c r="HX311" s="255"/>
      <c r="HY311" s="255"/>
      <c r="HZ311" s="255"/>
      <c r="IA311" s="255"/>
      <c r="IB311" s="255"/>
      <c r="IC311" s="255"/>
      <c r="ID311" s="255"/>
      <c r="IE311" s="255"/>
      <c r="IF311" s="255"/>
      <c r="IG311" s="255"/>
      <c r="IH311" s="255"/>
      <c r="II311" s="255"/>
      <c r="IJ311" s="255"/>
      <c r="IK311" s="255"/>
      <c r="IL311" s="255"/>
      <c r="IM311" s="255"/>
      <c r="IN311" s="255"/>
      <c r="IO311" s="255"/>
      <c r="IP311" s="255"/>
      <c r="IQ311" s="255"/>
      <c r="IR311" s="255"/>
      <c r="IS311" s="255"/>
      <c r="IT311" s="255"/>
      <c r="IU311" s="255"/>
      <c r="IV311" s="255"/>
      <c r="IW311" s="255"/>
      <c r="IX311" s="255"/>
      <c r="IY311" s="255"/>
      <c r="IZ311" s="255"/>
      <c r="JA311" s="255"/>
      <c r="JB311" s="255"/>
      <c r="JC311" s="255"/>
      <c r="JD311" s="255"/>
      <c r="JE311" s="255"/>
      <c r="JF311" s="255"/>
      <c r="JG311" s="191"/>
      <c r="JH311" s="255"/>
      <c r="JI311" s="255"/>
      <c r="JJ311" s="255"/>
      <c r="JK311" s="255"/>
      <c r="JL311" s="255"/>
      <c r="JM311" s="255"/>
      <c r="JN311" s="255"/>
      <c r="JO311" s="255"/>
      <c r="JP311" s="255"/>
      <c r="JQ311" s="255"/>
      <c r="JR311" s="255"/>
      <c r="JS311" s="255"/>
      <c r="JT311" s="255"/>
      <c r="JU311" s="255"/>
      <c r="JV311" s="255"/>
      <c r="JW311" s="255"/>
      <c r="JX311" s="255"/>
      <c r="JY311" s="255"/>
      <c r="JZ311" s="255"/>
      <c r="KA311" s="255"/>
      <c r="KB311" s="191"/>
    </row>
    <row r="312" spans="1:288" ht="15" customHeight="1" x14ac:dyDescent="0.35">
      <c r="B312" s="146" t="str">
        <f t="shared" si="23"/>
        <v>Desk 96</v>
      </c>
      <c r="C312" s="148" t="str">
        <v/>
      </c>
      <c r="D312" s="148" t="str">
        <v/>
      </c>
      <c r="E312" s="148" t="str">
        <v/>
      </c>
      <c r="F312" s="148" t="str">
        <v/>
      </c>
      <c r="G312" s="268" t="str">
        <v/>
      </c>
      <c r="H312" s="255"/>
      <c r="I312" s="255"/>
      <c r="J312" s="255"/>
      <c r="K312" s="255"/>
      <c r="L312" s="255"/>
      <c r="M312" s="255"/>
      <c r="N312" s="255"/>
      <c r="O312" s="255"/>
      <c r="P312" s="255"/>
      <c r="Q312" s="255"/>
      <c r="R312" s="255"/>
      <c r="S312" s="255"/>
      <c r="T312" s="255"/>
      <c r="U312" s="255"/>
      <c r="V312" s="255"/>
      <c r="W312" s="255"/>
      <c r="X312" s="255"/>
      <c r="Y312" s="255"/>
      <c r="Z312" s="255"/>
      <c r="AA312" s="255"/>
      <c r="AB312" s="255"/>
      <c r="AC312" s="255"/>
      <c r="AD312" s="255"/>
      <c r="AE312" s="255"/>
      <c r="AF312" s="255"/>
      <c r="AG312" s="255"/>
      <c r="AH312" s="255"/>
      <c r="AI312" s="255"/>
      <c r="AJ312" s="255"/>
      <c r="AK312" s="255"/>
      <c r="AL312" s="255"/>
      <c r="AM312" s="255"/>
      <c r="AN312" s="255"/>
      <c r="AO312" s="255"/>
      <c r="AP312" s="255"/>
      <c r="AQ312" s="255"/>
      <c r="AR312" s="255"/>
      <c r="AS312" s="255"/>
      <c r="AT312" s="255"/>
      <c r="AU312" s="255"/>
      <c r="AV312" s="255"/>
      <c r="AW312" s="255"/>
      <c r="AX312" s="255"/>
      <c r="AY312" s="255"/>
      <c r="AZ312" s="255"/>
      <c r="BA312" s="255"/>
      <c r="BB312" s="255"/>
      <c r="BC312" s="255"/>
      <c r="BD312" s="255"/>
      <c r="BE312" s="255"/>
      <c r="BF312" s="255"/>
      <c r="BG312" s="255"/>
      <c r="BH312" s="255"/>
      <c r="BI312" s="255"/>
      <c r="BJ312" s="255"/>
      <c r="BK312" s="255"/>
      <c r="BL312" s="255"/>
      <c r="BM312" s="255"/>
      <c r="BN312" s="255"/>
      <c r="BO312" s="255"/>
      <c r="BP312" s="255"/>
      <c r="BQ312" s="255"/>
      <c r="BR312" s="255"/>
      <c r="BS312" s="255"/>
      <c r="BT312" s="255"/>
      <c r="BU312" s="255"/>
      <c r="BV312" s="255"/>
      <c r="BW312" s="255"/>
      <c r="BX312" s="255"/>
      <c r="BY312" s="255"/>
      <c r="BZ312" s="255"/>
      <c r="CA312" s="255"/>
      <c r="CB312" s="255"/>
      <c r="CC312" s="255"/>
      <c r="CD312" s="255"/>
      <c r="CE312" s="255"/>
      <c r="CF312" s="255"/>
      <c r="CG312" s="255"/>
      <c r="CH312" s="255"/>
      <c r="CI312" s="255"/>
      <c r="CJ312" s="255"/>
      <c r="CK312" s="255"/>
      <c r="CL312" s="255"/>
      <c r="CM312" s="255"/>
      <c r="CN312" s="255"/>
      <c r="CO312" s="255"/>
      <c r="CP312" s="255"/>
      <c r="CQ312" s="255"/>
      <c r="CR312" s="255"/>
      <c r="CS312" s="255"/>
      <c r="CT312" s="255"/>
      <c r="CU312" s="255"/>
      <c r="CV312" s="255"/>
      <c r="CW312" s="255"/>
      <c r="CX312" s="255"/>
      <c r="CY312" s="255"/>
      <c r="CZ312" s="255"/>
      <c r="DA312" s="255"/>
      <c r="DB312" s="255"/>
      <c r="DC312" s="255"/>
      <c r="DD312" s="255"/>
      <c r="DE312" s="255"/>
      <c r="DF312" s="255"/>
      <c r="DG312" s="255"/>
      <c r="DH312" s="255"/>
      <c r="DI312" s="255"/>
      <c r="DJ312" s="255"/>
      <c r="DK312" s="255"/>
      <c r="DL312" s="255"/>
      <c r="DM312" s="255"/>
      <c r="DN312" s="255"/>
      <c r="DO312" s="255"/>
      <c r="DP312" s="255"/>
      <c r="DQ312" s="255"/>
      <c r="DR312" s="255"/>
      <c r="DS312" s="255"/>
      <c r="DT312" s="255"/>
      <c r="DU312" s="255"/>
      <c r="DV312" s="255"/>
      <c r="DW312" s="191"/>
      <c r="DX312" s="255"/>
      <c r="DY312" s="255"/>
      <c r="DZ312" s="255"/>
      <c r="EA312" s="255"/>
      <c r="EB312" s="255"/>
      <c r="EC312" s="255"/>
      <c r="ED312" s="255"/>
      <c r="EE312" s="255"/>
      <c r="EF312" s="255"/>
      <c r="EG312" s="255"/>
      <c r="EH312" s="255"/>
      <c r="EI312" s="255"/>
      <c r="EJ312" s="255"/>
      <c r="EK312" s="255"/>
      <c r="EL312" s="255"/>
      <c r="EM312" s="255"/>
      <c r="EN312" s="255"/>
      <c r="EO312" s="255"/>
      <c r="EP312" s="255"/>
      <c r="EQ312" s="255"/>
      <c r="ER312" s="191"/>
      <c r="ES312" s="255"/>
      <c r="ET312" s="255"/>
      <c r="EU312" s="255"/>
      <c r="EV312" s="255"/>
      <c r="EW312" s="255"/>
      <c r="EX312" s="255"/>
      <c r="EY312" s="255"/>
      <c r="EZ312" s="255"/>
      <c r="FA312" s="255"/>
      <c r="FB312" s="255"/>
      <c r="FC312" s="255"/>
      <c r="FD312" s="255"/>
      <c r="FE312" s="255"/>
      <c r="FF312" s="255"/>
      <c r="FG312" s="255"/>
      <c r="FH312" s="255"/>
      <c r="FI312" s="255"/>
      <c r="FJ312" s="255"/>
      <c r="FK312" s="255"/>
      <c r="FL312" s="255"/>
      <c r="FM312" s="255"/>
      <c r="FN312" s="255"/>
      <c r="FO312" s="255"/>
      <c r="FP312" s="255"/>
      <c r="FQ312" s="255"/>
      <c r="FR312" s="255"/>
      <c r="FS312" s="255"/>
      <c r="FT312" s="255"/>
      <c r="FU312" s="255"/>
      <c r="FV312" s="255"/>
      <c r="FW312" s="255"/>
      <c r="FX312" s="255"/>
      <c r="FY312" s="255"/>
      <c r="FZ312" s="255"/>
      <c r="GA312" s="255"/>
      <c r="GB312" s="255"/>
      <c r="GC312" s="255"/>
      <c r="GD312" s="255"/>
      <c r="GE312" s="255"/>
      <c r="GF312" s="255"/>
      <c r="GG312" s="255"/>
      <c r="GH312" s="255"/>
      <c r="GI312" s="255"/>
      <c r="GJ312" s="255"/>
      <c r="GK312" s="255"/>
      <c r="GL312" s="255"/>
      <c r="GM312" s="255"/>
      <c r="GN312" s="255"/>
      <c r="GO312" s="255"/>
      <c r="GP312" s="255"/>
      <c r="GQ312" s="255"/>
      <c r="GR312" s="255"/>
      <c r="GS312" s="255"/>
      <c r="GT312" s="255"/>
      <c r="GU312" s="255"/>
      <c r="GV312" s="255"/>
      <c r="GW312" s="255"/>
      <c r="GX312" s="255"/>
      <c r="GY312" s="255"/>
      <c r="GZ312" s="255"/>
      <c r="HA312" s="255"/>
      <c r="HB312" s="255"/>
      <c r="HC312" s="255"/>
      <c r="HD312" s="255"/>
      <c r="HE312" s="255"/>
      <c r="HF312" s="255"/>
      <c r="HG312" s="255"/>
      <c r="HH312" s="255"/>
      <c r="HI312" s="255"/>
      <c r="HJ312" s="255"/>
      <c r="HK312" s="255"/>
      <c r="HL312" s="255"/>
      <c r="HM312" s="255"/>
      <c r="HN312" s="255"/>
      <c r="HO312" s="255"/>
      <c r="HP312" s="255"/>
      <c r="HQ312" s="255"/>
      <c r="HR312" s="255"/>
      <c r="HS312" s="255"/>
      <c r="HT312" s="255"/>
      <c r="HU312" s="255"/>
      <c r="HV312" s="255"/>
      <c r="HW312" s="255"/>
      <c r="HX312" s="255"/>
      <c r="HY312" s="255"/>
      <c r="HZ312" s="255"/>
      <c r="IA312" s="255"/>
      <c r="IB312" s="255"/>
      <c r="IC312" s="255"/>
      <c r="ID312" s="255"/>
      <c r="IE312" s="255"/>
      <c r="IF312" s="255"/>
      <c r="IG312" s="255"/>
      <c r="IH312" s="255"/>
      <c r="II312" s="255"/>
      <c r="IJ312" s="255"/>
      <c r="IK312" s="255"/>
      <c r="IL312" s="255"/>
      <c r="IM312" s="255"/>
      <c r="IN312" s="255"/>
      <c r="IO312" s="255"/>
      <c r="IP312" s="255"/>
      <c r="IQ312" s="255"/>
      <c r="IR312" s="255"/>
      <c r="IS312" s="255"/>
      <c r="IT312" s="255"/>
      <c r="IU312" s="255"/>
      <c r="IV312" s="255"/>
      <c r="IW312" s="255"/>
      <c r="IX312" s="255"/>
      <c r="IY312" s="255"/>
      <c r="IZ312" s="255"/>
      <c r="JA312" s="255"/>
      <c r="JB312" s="255"/>
      <c r="JC312" s="255"/>
      <c r="JD312" s="255"/>
      <c r="JE312" s="255"/>
      <c r="JF312" s="255"/>
      <c r="JG312" s="191"/>
      <c r="JH312" s="255"/>
      <c r="JI312" s="255"/>
      <c r="JJ312" s="255"/>
      <c r="JK312" s="255"/>
      <c r="JL312" s="255"/>
      <c r="JM312" s="255"/>
      <c r="JN312" s="255"/>
      <c r="JO312" s="255"/>
      <c r="JP312" s="255"/>
      <c r="JQ312" s="255"/>
      <c r="JR312" s="255"/>
      <c r="JS312" s="255"/>
      <c r="JT312" s="255"/>
      <c r="JU312" s="255"/>
      <c r="JV312" s="255"/>
      <c r="JW312" s="255"/>
      <c r="JX312" s="255"/>
      <c r="JY312" s="255"/>
      <c r="JZ312" s="255"/>
      <c r="KA312" s="255"/>
      <c r="KB312" s="191"/>
    </row>
    <row r="313" spans="1:288" ht="15" customHeight="1" x14ac:dyDescent="0.35">
      <c r="B313" s="146" t="str">
        <f t="shared" si="23"/>
        <v>Desk 97</v>
      </c>
      <c r="C313" s="148" t="str">
        <v/>
      </c>
      <c r="D313" s="148" t="str">
        <v/>
      </c>
      <c r="E313" s="148" t="str">
        <v/>
      </c>
      <c r="F313" s="148" t="str">
        <v/>
      </c>
      <c r="G313" s="268" t="str">
        <v/>
      </c>
      <c r="H313" s="255"/>
      <c r="I313" s="255"/>
      <c r="J313" s="255"/>
      <c r="K313" s="255"/>
      <c r="L313" s="255"/>
      <c r="M313" s="255"/>
      <c r="N313" s="255"/>
      <c r="O313" s="255"/>
      <c r="P313" s="255"/>
      <c r="Q313" s="255"/>
      <c r="R313" s="255"/>
      <c r="S313" s="255"/>
      <c r="T313" s="255"/>
      <c r="U313" s="255"/>
      <c r="V313" s="255"/>
      <c r="W313" s="255"/>
      <c r="X313" s="255"/>
      <c r="Y313" s="255"/>
      <c r="Z313" s="255"/>
      <c r="AA313" s="255"/>
      <c r="AB313" s="255"/>
      <c r="AC313" s="255"/>
      <c r="AD313" s="255"/>
      <c r="AE313" s="255"/>
      <c r="AF313" s="255"/>
      <c r="AG313" s="255"/>
      <c r="AH313" s="255"/>
      <c r="AI313" s="255"/>
      <c r="AJ313" s="255"/>
      <c r="AK313" s="255"/>
      <c r="AL313" s="255"/>
      <c r="AM313" s="255"/>
      <c r="AN313" s="255"/>
      <c r="AO313" s="255"/>
      <c r="AP313" s="255"/>
      <c r="AQ313" s="255"/>
      <c r="AR313" s="255"/>
      <c r="AS313" s="255"/>
      <c r="AT313" s="255"/>
      <c r="AU313" s="255"/>
      <c r="AV313" s="255"/>
      <c r="AW313" s="255"/>
      <c r="AX313" s="255"/>
      <c r="AY313" s="255"/>
      <c r="AZ313" s="255"/>
      <c r="BA313" s="255"/>
      <c r="BB313" s="255"/>
      <c r="BC313" s="255"/>
      <c r="BD313" s="255"/>
      <c r="BE313" s="255"/>
      <c r="BF313" s="255"/>
      <c r="BG313" s="255"/>
      <c r="BH313" s="255"/>
      <c r="BI313" s="255"/>
      <c r="BJ313" s="255"/>
      <c r="BK313" s="255"/>
      <c r="BL313" s="255"/>
      <c r="BM313" s="255"/>
      <c r="BN313" s="255"/>
      <c r="BO313" s="255"/>
      <c r="BP313" s="255"/>
      <c r="BQ313" s="255"/>
      <c r="BR313" s="255"/>
      <c r="BS313" s="255"/>
      <c r="BT313" s="255"/>
      <c r="BU313" s="255"/>
      <c r="BV313" s="255"/>
      <c r="BW313" s="255"/>
      <c r="BX313" s="255"/>
      <c r="BY313" s="255"/>
      <c r="BZ313" s="255"/>
      <c r="CA313" s="255"/>
      <c r="CB313" s="255"/>
      <c r="CC313" s="255"/>
      <c r="CD313" s="255"/>
      <c r="CE313" s="255"/>
      <c r="CF313" s="255"/>
      <c r="CG313" s="255"/>
      <c r="CH313" s="255"/>
      <c r="CI313" s="255"/>
      <c r="CJ313" s="255"/>
      <c r="CK313" s="255"/>
      <c r="CL313" s="255"/>
      <c r="CM313" s="255"/>
      <c r="CN313" s="255"/>
      <c r="CO313" s="255"/>
      <c r="CP313" s="255"/>
      <c r="CQ313" s="255"/>
      <c r="CR313" s="255"/>
      <c r="CS313" s="255"/>
      <c r="CT313" s="255"/>
      <c r="CU313" s="255"/>
      <c r="CV313" s="255"/>
      <c r="CW313" s="255"/>
      <c r="CX313" s="255"/>
      <c r="CY313" s="255"/>
      <c r="CZ313" s="255"/>
      <c r="DA313" s="255"/>
      <c r="DB313" s="255"/>
      <c r="DC313" s="255"/>
      <c r="DD313" s="255"/>
      <c r="DE313" s="255"/>
      <c r="DF313" s="255"/>
      <c r="DG313" s="255"/>
      <c r="DH313" s="255"/>
      <c r="DI313" s="255"/>
      <c r="DJ313" s="255"/>
      <c r="DK313" s="255"/>
      <c r="DL313" s="255"/>
      <c r="DM313" s="255"/>
      <c r="DN313" s="255"/>
      <c r="DO313" s="255"/>
      <c r="DP313" s="255"/>
      <c r="DQ313" s="255"/>
      <c r="DR313" s="255"/>
      <c r="DS313" s="255"/>
      <c r="DT313" s="255"/>
      <c r="DU313" s="255"/>
      <c r="DV313" s="255"/>
      <c r="DW313" s="191"/>
      <c r="DX313" s="255"/>
      <c r="DY313" s="255"/>
      <c r="DZ313" s="255"/>
      <c r="EA313" s="255"/>
      <c r="EB313" s="255"/>
      <c r="EC313" s="255"/>
      <c r="ED313" s="255"/>
      <c r="EE313" s="255"/>
      <c r="EF313" s="255"/>
      <c r="EG313" s="255"/>
      <c r="EH313" s="255"/>
      <c r="EI313" s="255"/>
      <c r="EJ313" s="255"/>
      <c r="EK313" s="255"/>
      <c r="EL313" s="255"/>
      <c r="EM313" s="255"/>
      <c r="EN313" s="255"/>
      <c r="EO313" s="255"/>
      <c r="EP313" s="255"/>
      <c r="EQ313" s="255"/>
      <c r="ER313" s="191"/>
      <c r="ES313" s="255"/>
      <c r="ET313" s="255"/>
      <c r="EU313" s="255"/>
      <c r="EV313" s="255"/>
      <c r="EW313" s="255"/>
      <c r="EX313" s="255"/>
      <c r="EY313" s="255"/>
      <c r="EZ313" s="255"/>
      <c r="FA313" s="255"/>
      <c r="FB313" s="255"/>
      <c r="FC313" s="255"/>
      <c r="FD313" s="255"/>
      <c r="FE313" s="255"/>
      <c r="FF313" s="255"/>
      <c r="FG313" s="255"/>
      <c r="FH313" s="255"/>
      <c r="FI313" s="255"/>
      <c r="FJ313" s="255"/>
      <c r="FK313" s="255"/>
      <c r="FL313" s="255"/>
      <c r="FM313" s="255"/>
      <c r="FN313" s="255"/>
      <c r="FO313" s="255"/>
      <c r="FP313" s="255"/>
      <c r="FQ313" s="255"/>
      <c r="FR313" s="255"/>
      <c r="FS313" s="255"/>
      <c r="FT313" s="255"/>
      <c r="FU313" s="255"/>
      <c r="FV313" s="255"/>
      <c r="FW313" s="255"/>
      <c r="FX313" s="255"/>
      <c r="FY313" s="255"/>
      <c r="FZ313" s="255"/>
      <c r="GA313" s="255"/>
      <c r="GB313" s="255"/>
      <c r="GC313" s="255"/>
      <c r="GD313" s="255"/>
      <c r="GE313" s="255"/>
      <c r="GF313" s="255"/>
      <c r="GG313" s="255"/>
      <c r="GH313" s="255"/>
      <c r="GI313" s="255"/>
      <c r="GJ313" s="255"/>
      <c r="GK313" s="255"/>
      <c r="GL313" s="255"/>
      <c r="GM313" s="255"/>
      <c r="GN313" s="255"/>
      <c r="GO313" s="255"/>
      <c r="GP313" s="255"/>
      <c r="GQ313" s="255"/>
      <c r="GR313" s="255"/>
      <c r="GS313" s="255"/>
      <c r="GT313" s="255"/>
      <c r="GU313" s="255"/>
      <c r="GV313" s="255"/>
      <c r="GW313" s="255"/>
      <c r="GX313" s="255"/>
      <c r="GY313" s="255"/>
      <c r="GZ313" s="255"/>
      <c r="HA313" s="255"/>
      <c r="HB313" s="255"/>
      <c r="HC313" s="255"/>
      <c r="HD313" s="255"/>
      <c r="HE313" s="255"/>
      <c r="HF313" s="255"/>
      <c r="HG313" s="255"/>
      <c r="HH313" s="255"/>
      <c r="HI313" s="255"/>
      <c r="HJ313" s="255"/>
      <c r="HK313" s="255"/>
      <c r="HL313" s="255"/>
      <c r="HM313" s="255"/>
      <c r="HN313" s="255"/>
      <c r="HO313" s="255"/>
      <c r="HP313" s="255"/>
      <c r="HQ313" s="255"/>
      <c r="HR313" s="255"/>
      <c r="HS313" s="255"/>
      <c r="HT313" s="255"/>
      <c r="HU313" s="255"/>
      <c r="HV313" s="255"/>
      <c r="HW313" s="255"/>
      <c r="HX313" s="255"/>
      <c r="HY313" s="255"/>
      <c r="HZ313" s="255"/>
      <c r="IA313" s="255"/>
      <c r="IB313" s="255"/>
      <c r="IC313" s="255"/>
      <c r="ID313" s="255"/>
      <c r="IE313" s="255"/>
      <c r="IF313" s="255"/>
      <c r="IG313" s="255"/>
      <c r="IH313" s="255"/>
      <c r="II313" s="255"/>
      <c r="IJ313" s="255"/>
      <c r="IK313" s="255"/>
      <c r="IL313" s="255"/>
      <c r="IM313" s="255"/>
      <c r="IN313" s="255"/>
      <c r="IO313" s="255"/>
      <c r="IP313" s="255"/>
      <c r="IQ313" s="255"/>
      <c r="IR313" s="255"/>
      <c r="IS313" s="255"/>
      <c r="IT313" s="255"/>
      <c r="IU313" s="255"/>
      <c r="IV313" s="255"/>
      <c r="IW313" s="255"/>
      <c r="IX313" s="255"/>
      <c r="IY313" s="255"/>
      <c r="IZ313" s="255"/>
      <c r="JA313" s="255"/>
      <c r="JB313" s="255"/>
      <c r="JC313" s="255"/>
      <c r="JD313" s="255"/>
      <c r="JE313" s="255"/>
      <c r="JF313" s="255"/>
      <c r="JG313" s="191"/>
      <c r="JH313" s="255"/>
      <c r="JI313" s="255"/>
      <c r="JJ313" s="255"/>
      <c r="JK313" s="255"/>
      <c r="JL313" s="255"/>
      <c r="JM313" s="255"/>
      <c r="JN313" s="255"/>
      <c r="JO313" s="255"/>
      <c r="JP313" s="255"/>
      <c r="JQ313" s="255"/>
      <c r="JR313" s="255"/>
      <c r="JS313" s="255"/>
      <c r="JT313" s="255"/>
      <c r="JU313" s="255"/>
      <c r="JV313" s="255"/>
      <c r="JW313" s="255"/>
      <c r="JX313" s="255"/>
      <c r="JY313" s="255"/>
      <c r="JZ313" s="255"/>
      <c r="KA313" s="255"/>
      <c r="KB313" s="191"/>
    </row>
    <row r="314" spans="1:288" ht="15" customHeight="1" x14ac:dyDescent="0.35">
      <c r="B314" s="146" t="str">
        <f t="shared" si="23"/>
        <v>Desk 98</v>
      </c>
      <c r="C314" s="148" t="str">
        <v/>
      </c>
      <c r="D314" s="148" t="str">
        <v/>
      </c>
      <c r="E314" s="148" t="str">
        <v/>
      </c>
      <c r="F314" s="148" t="str">
        <v/>
      </c>
      <c r="G314" s="268" t="str">
        <v/>
      </c>
      <c r="H314" s="255"/>
      <c r="I314" s="255"/>
      <c r="J314" s="255"/>
      <c r="K314" s="255"/>
      <c r="L314" s="255"/>
      <c r="M314" s="255"/>
      <c r="N314" s="255"/>
      <c r="O314" s="255"/>
      <c r="P314" s="255"/>
      <c r="Q314" s="255"/>
      <c r="R314" s="255"/>
      <c r="S314" s="255"/>
      <c r="T314" s="255"/>
      <c r="U314" s="255"/>
      <c r="V314" s="255"/>
      <c r="W314" s="255"/>
      <c r="X314" s="255"/>
      <c r="Y314" s="255"/>
      <c r="Z314" s="255"/>
      <c r="AA314" s="255"/>
      <c r="AB314" s="255"/>
      <c r="AC314" s="255"/>
      <c r="AD314" s="255"/>
      <c r="AE314" s="255"/>
      <c r="AF314" s="255"/>
      <c r="AG314" s="255"/>
      <c r="AH314" s="255"/>
      <c r="AI314" s="255"/>
      <c r="AJ314" s="255"/>
      <c r="AK314" s="255"/>
      <c r="AL314" s="255"/>
      <c r="AM314" s="255"/>
      <c r="AN314" s="255"/>
      <c r="AO314" s="255"/>
      <c r="AP314" s="255"/>
      <c r="AQ314" s="255"/>
      <c r="AR314" s="255"/>
      <c r="AS314" s="255"/>
      <c r="AT314" s="255"/>
      <c r="AU314" s="255"/>
      <c r="AV314" s="255"/>
      <c r="AW314" s="255"/>
      <c r="AX314" s="255"/>
      <c r="AY314" s="255"/>
      <c r="AZ314" s="255"/>
      <c r="BA314" s="255"/>
      <c r="BB314" s="255"/>
      <c r="BC314" s="255"/>
      <c r="BD314" s="255"/>
      <c r="BE314" s="255"/>
      <c r="BF314" s="255"/>
      <c r="BG314" s="255"/>
      <c r="BH314" s="255"/>
      <c r="BI314" s="255"/>
      <c r="BJ314" s="255"/>
      <c r="BK314" s="255"/>
      <c r="BL314" s="255"/>
      <c r="BM314" s="255"/>
      <c r="BN314" s="255"/>
      <c r="BO314" s="255"/>
      <c r="BP314" s="255"/>
      <c r="BQ314" s="255"/>
      <c r="BR314" s="255"/>
      <c r="BS314" s="255"/>
      <c r="BT314" s="255"/>
      <c r="BU314" s="255"/>
      <c r="BV314" s="255"/>
      <c r="BW314" s="255"/>
      <c r="BX314" s="255"/>
      <c r="BY314" s="255"/>
      <c r="BZ314" s="255"/>
      <c r="CA314" s="255"/>
      <c r="CB314" s="255"/>
      <c r="CC314" s="255"/>
      <c r="CD314" s="255"/>
      <c r="CE314" s="255"/>
      <c r="CF314" s="255"/>
      <c r="CG314" s="255"/>
      <c r="CH314" s="255"/>
      <c r="CI314" s="255"/>
      <c r="CJ314" s="255"/>
      <c r="CK314" s="255"/>
      <c r="CL314" s="255"/>
      <c r="CM314" s="255"/>
      <c r="CN314" s="255"/>
      <c r="CO314" s="255"/>
      <c r="CP314" s="255"/>
      <c r="CQ314" s="255"/>
      <c r="CR314" s="255"/>
      <c r="CS314" s="255"/>
      <c r="CT314" s="255"/>
      <c r="CU314" s="255"/>
      <c r="CV314" s="255"/>
      <c r="CW314" s="255"/>
      <c r="CX314" s="255"/>
      <c r="CY314" s="255"/>
      <c r="CZ314" s="255"/>
      <c r="DA314" s="255"/>
      <c r="DB314" s="255"/>
      <c r="DC314" s="255"/>
      <c r="DD314" s="255"/>
      <c r="DE314" s="255"/>
      <c r="DF314" s="255"/>
      <c r="DG314" s="255"/>
      <c r="DH314" s="255"/>
      <c r="DI314" s="255"/>
      <c r="DJ314" s="255"/>
      <c r="DK314" s="255"/>
      <c r="DL314" s="255"/>
      <c r="DM314" s="255"/>
      <c r="DN314" s="255"/>
      <c r="DO314" s="255"/>
      <c r="DP314" s="255"/>
      <c r="DQ314" s="255"/>
      <c r="DR314" s="255"/>
      <c r="DS314" s="255"/>
      <c r="DT314" s="255"/>
      <c r="DU314" s="255"/>
      <c r="DV314" s="255"/>
      <c r="DW314" s="191"/>
      <c r="DX314" s="255"/>
      <c r="DY314" s="255"/>
      <c r="DZ314" s="255"/>
      <c r="EA314" s="255"/>
      <c r="EB314" s="255"/>
      <c r="EC314" s="255"/>
      <c r="ED314" s="255"/>
      <c r="EE314" s="255"/>
      <c r="EF314" s="255"/>
      <c r="EG314" s="255"/>
      <c r="EH314" s="255"/>
      <c r="EI314" s="255"/>
      <c r="EJ314" s="255"/>
      <c r="EK314" s="255"/>
      <c r="EL314" s="255"/>
      <c r="EM314" s="255"/>
      <c r="EN314" s="255"/>
      <c r="EO314" s="255"/>
      <c r="EP314" s="255"/>
      <c r="EQ314" s="255"/>
      <c r="ER314" s="191"/>
      <c r="ES314" s="255"/>
      <c r="ET314" s="255"/>
      <c r="EU314" s="255"/>
      <c r="EV314" s="255"/>
      <c r="EW314" s="255"/>
      <c r="EX314" s="255"/>
      <c r="EY314" s="255"/>
      <c r="EZ314" s="255"/>
      <c r="FA314" s="255"/>
      <c r="FB314" s="255"/>
      <c r="FC314" s="255"/>
      <c r="FD314" s="255"/>
      <c r="FE314" s="255"/>
      <c r="FF314" s="255"/>
      <c r="FG314" s="255"/>
      <c r="FH314" s="255"/>
      <c r="FI314" s="255"/>
      <c r="FJ314" s="255"/>
      <c r="FK314" s="255"/>
      <c r="FL314" s="255"/>
      <c r="FM314" s="255"/>
      <c r="FN314" s="255"/>
      <c r="FO314" s="255"/>
      <c r="FP314" s="255"/>
      <c r="FQ314" s="255"/>
      <c r="FR314" s="255"/>
      <c r="FS314" s="255"/>
      <c r="FT314" s="255"/>
      <c r="FU314" s="255"/>
      <c r="FV314" s="255"/>
      <c r="FW314" s="255"/>
      <c r="FX314" s="255"/>
      <c r="FY314" s="255"/>
      <c r="FZ314" s="255"/>
      <c r="GA314" s="255"/>
      <c r="GB314" s="255"/>
      <c r="GC314" s="255"/>
      <c r="GD314" s="255"/>
      <c r="GE314" s="255"/>
      <c r="GF314" s="255"/>
      <c r="GG314" s="255"/>
      <c r="GH314" s="255"/>
      <c r="GI314" s="255"/>
      <c r="GJ314" s="255"/>
      <c r="GK314" s="255"/>
      <c r="GL314" s="255"/>
      <c r="GM314" s="255"/>
      <c r="GN314" s="255"/>
      <c r="GO314" s="255"/>
      <c r="GP314" s="255"/>
      <c r="GQ314" s="255"/>
      <c r="GR314" s="255"/>
      <c r="GS314" s="255"/>
      <c r="GT314" s="255"/>
      <c r="GU314" s="255"/>
      <c r="GV314" s="255"/>
      <c r="GW314" s="255"/>
      <c r="GX314" s="255"/>
      <c r="GY314" s="255"/>
      <c r="GZ314" s="255"/>
      <c r="HA314" s="255"/>
      <c r="HB314" s="255"/>
      <c r="HC314" s="255"/>
      <c r="HD314" s="255"/>
      <c r="HE314" s="255"/>
      <c r="HF314" s="255"/>
      <c r="HG314" s="255"/>
      <c r="HH314" s="255"/>
      <c r="HI314" s="255"/>
      <c r="HJ314" s="255"/>
      <c r="HK314" s="255"/>
      <c r="HL314" s="255"/>
      <c r="HM314" s="255"/>
      <c r="HN314" s="255"/>
      <c r="HO314" s="255"/>
      <c r="HP314" s="255"/>
      <c r="HQ314" s="255"/>
      <c r="HR314" s="255"/>
      <c r="HS314" s="255"/>
      <c r="HT314" s="255"/>
      <c r="HU314" s="255"/>
      <c r="HV314" s="255"/>
      <c r="HW314" s="255"/>
      <c r="HX314" s="255"/>
      <c r="HY314" s="255"/>
      <c r="HZ314" s="255"/>
      <c r="IA314" s="255"/>
      <c r="IB314" s="255"/>
      <c r="IC314" s="255"/>
      <c r="ID314" s="255"/>
      <c r="IE314" s="255"/>
      <c r="IF314" s="255"/>
      <c r="IG314" s="255"/>
      <c r="IH314" s="255"/>
      <c r="II314" s="255"/>
      <c r="IJ314" s="255"/>
      <c r="IK314" s="255"/>
      <c r="IL314" s="255"/>
      <c r="IM314" s="255"/>
      <c r="IN314" s="255"/>
      <c r="IO314" s="255"/>
      <c r="IP314" s="255"/>
      <c r="IQ314" s="255"/>
      <c r="IR314" s="255"/>
      <c r="IS314" s="255"/>
      <c r="IT314" s="255"/>
      <c r="IU314" s="255"/>
      <c r="IV314" s="255"/>
      <c r="IW314" s="255"/>
      <c r="IX314" s="255"/>
      <c r="IY314" s="255"/>
      <c r="IZ314" s="255"/>
      <c r="JA314" s="255"/>
      <c r="JB314" s="255"/>
      <c r="JC314" s="255"/>
      <c r="JD314" s="255"/>
      <c r="JE314" s="255"/>
      <c r="JF314" s="255"/>
      <c r="JG314" s="191"/>
      <c r="JH314" s="255"/>
      <c r="JI314" s="255"/>
      <c r="JJ314" s="255"/>
      <c r="JK314" s="255"/>
      <c r="JL314" s="255"/>
      <c r="JM314" s="255"/>
      <c r="JN314" s="255"/>
      <c r="JO314" s="255"/>
      <c r="JP314" s="255"/>
      <c r="JQ314" s="255"/>
      <c r="JR314" s="255"/>
      <c r="JS314" s="255"/>
      <c r="JT314" s="255"/>
      <c r="JU314" s="255"/>
      <c r="JV314" s="255"/>
      <c r="JW314" s="255"/>
      <c r="JX314" s="255"/>
      <c r="JY314" s="255"/>
      <c r="JZ314" s="255"/>
      <c r="KA314" s="255"/>
      <c r="KB314" s="191"/>
    </row>
    <row r="315" spans="1:288" ht="15" customHeight="1" x14ac:dyDescent="0.35">
      <c r="B315" s="146" t="str">
        <f t="shared" si="23"/>
        <v>Desk 99</v>
      </c>
      <c r="C315" s="148" t="str">
        <v/>
      </c>
      <c r="D315" s="148" t="str">
        <v/>
      </c>
      <c r="E315" s="148" t="str">
        <v/>
      </c>
      <c r="F315" s="148" t="str">
        <v/>
      </c>
      <c r="G315" s="268" t="str">
        <v/>
      </c>
      <c r="H315" s="255"/>
      <c r="I315" s="255"/>
      <c r="J315" s="255"/>
      <c r="K315" s="255"/>
      <c r="L315" s="255"/>
      <c r="M315" s="255"/>
      <c r="N315" s="255"/>
      <c r="O315" s="255"/>
      <c r="P315" s="255"/>
      <c r="Q315" s="255"/>
      <c r="R315" s="255"/>
      <c r="S315" s="255"/>
      <c r="T315" s="255"/>
      <c r="U315" s="255"/>
      <c r="V315" s="255"/>
      <c r="W315" s="255"/>
      <c r="X315" s="255"/>
      <c r="Y315" s="255"/>
      <c r="Z315" s="255"/>
      <c r="AA315" s="255"/>
      <c r="AB315" s="255"/>
      <c r="AC315" s="255"/>
      <c r="AD315" s="255"/>
      <c r="AE315" s="255"/>
      <c r="AF315" s="255"/>
      <c r="AG315" s="255"/>
      <c r="AH315" s="255"/>
      <c r="AI315" s="255"/>
      <c r="AJ315" s="255"/>
      <c r="AK315" s="255"/>
      <c r="AL315" s="255"/>
      <c r="AM315" s="255"/>
      <c r="AN315" s="255"/>
      <c r="AO315" s="255"/>
      <c r="AP315" s="255"/>
      <c r="AQ315" s="255"/>
      <c r="AR315" s="255"/>
      <c r="AS315" s="255"/>
      <c r="AT315" s="255"/>
      <c r="AU315" s="255"/>
      <c r="AV315" s="255"/>
      <c r="AW315" s="255"/>
      <c r="AX315" s="255"/>
      <c r="AY315" s="255"/>
      <c r="AZ315" s="255"/>
      <c r="BA315" s="255"/>
      <c r="BB315" s="255"/>
      <c r="BC315" s="255"/>
      <c r="BD315" s="255"/>
      <c r="BE315" s="255"/>
      <c r="BF315" s="255"/>
      <c r="BG315" s="255"/>
      <c r="BH315" s="255"/>
      <c r="BI315" s="255"/>
      <c r="BJ315" s="255"/>
      <c r="BK315" s="255"/>
      <c r="BL315" s="255"/>
      <c r="BM315" s="255"/>
      <c r="BN315" s="255"/>
      <c r="BO315" s="255"/>
      <c r="BP315" s="255"/>
      <c r="BQ315" s="255"/>
      <c r="BR315" s="255"/>
      <c r="BS315" s="255"/>
      <c r="BT315" s="255"/>
      <c r="BU315" s="255"/>
      <c r="BV315" s="255"/>
      <c r="BW315" s="255"/>
      <c r="BX315" s="255"/>
      <c r="BY315" s="255"/>
      <c r="BZ315" s="255"/>
      <c r="CA315" s="255"/>
      <c r="CB315" s="255"/>
      <c r="CC315" s="255"/>
      <c r="CD315" s="255"/>
      <c r="CE315" s="255"/>
      <c r="CF315" s="255"/>
      <c r="CG315" s="255"/>
      <c r="CH315" s="255"/>
      <c r="CI315" s="255"/>
      <c r="CJ315" s="255"/>
      <c r="CK315" s="255"/>
      <c r="CL315" s="255"/>
      <c r="CM315" s="255"/>
      <c r="CN315" s="255"/>
      <c r="CO315" s="255"/>
      <c r="CP315" s="255"/>
      <c r="CQ315" s="255"/>
      <c r="CR315" s="255"/>
      <c r="CS315" s="255"/>
      <c r="CT315" s="255"/>
      <c r="CU315" s="255"/>
      <c r="CV315" s="255"/>
      <c r="CW315" s="255"/>
      <c r="CX315" s="255"/>
      <c r="CY315" s="255"/>
      <c r="CZ315" s="255"/>
      <c r="DA315" s="255"/>
      <c r="DB315" s="255"/>
      <c r="DC315" s="255"/>
      <c r="DD315" s="255"/>
      <c r="DE315" s="255"/>
      <c r="DF315" s="255"/>
      <c r="DG315" s="255"/>
      <c r="DH315" s="255"/>
      <c r="DI315" s="255"/>
      <c r="DJ315" s="255"/>
      <c r="DK315" s="255"/>
      <c r="DL315" s="255"/>
      <c r="DM315" s="255"/>
      <c r="DN315" s="255"/>
      <c r="DO315" s="255"/>
      <c r="DP315" s="255"/>
      <c r="DQ315" s="255"/>
      <c r="DR315" s="255"/>
      <c r="DS315" s="255"/>
      <c r="DT315" s="255"/>
      <c r="DU315" s="255"/>
      <c r="DV315" s="255"/>
      <c r="DW315" s="191"/>
      <c r="DX315" s="255"/>
      <c r="DY315" s="255"/>
      <c r="DZ315" s="255"/>
      <c r="EA315" s="255"/>
      <c r="EB315" s="255"/>
      <c r="EC315" s="255"/>
      <c r="ED315" s="255"/>
      <c r="EE315" s="255"/>
      <c r="EF315" s="255"/>
      <c r="EG315" s="255"/>
      <c r="EH315" s="255"/>
      <c r="EI315" s="255"/>
      <c r="EJ315" s="255"/>
      <c r="EK315" s="255"/>
      <c r="EL315" s="255"/>
      <c r="EM315" s="255"/>
      <c r="EN315" s="255"/>
      <c r="EO315" s="255"/>
      <c r="EP315" s="255"/>
      <c r="EQ315" s="255"/>
      <c r="ER315" s="191"/>
      <c r="ES315" s="255"/>
      <c r="ET315" s="255"/>
      <c r="EU315" s="255"/>
      <c r="EV315" s="255"/>
      <c r="EW315" s="255"/>
      <c r="EX315" s="255"/>
      <c r="EY315" s="255"/>
      <c r="EZ315" s="255"/>
      <c r="FA315" s="255"/>
      <c r="FB315" s="255"/>
      <c r="FC315" s="255"/>
      <c r="FD315" s="255"/>
      <c r="FE315" s="255"/>
      <c r="FF315" s="255"/>
      <c r="FG315" s="255"/>
      <c r="FH315" s="255"/>
      <c r="FI315" s="255"/>
      <c r="FJ315" s="255"/>
      <c r="FK315" s="255"/>
      <c r="FL315" s="255"/>
      <c r="FM315" s="255"/>
      <c r="FN315" s="255"/>
      <c r="FO315" s="255"/>
      <c r="FP315" s="255"/>
      <c r="FQ315" s="255"/>
      <c r="FR315" s="255"/>
      <c r="FS315" s="255"/>
      <c r="FT315" s="255"/>
      <c r="FU315" s="255"/>
      <c r="FV315" s="255"/>
      <c r="FW315" s="255"/>
      <c r="FX315" s="255"/>
      <c r="FY315" s="255"/>
      <c r="FZ315" s="255"/>
      <c r="GA315" s="255"/>
      <c r="GB315" s="255"/>
      <c r="GC315" s="255"/>
      <c r="GD315" s="255"/>
      <c r="GE315" s="255"/>
      <c r="GF315" s="255"/>
      <c r="GG315" s="255"/>
      <c r="GH315" s="255"/>
      <c r="GI315" s="255"/>
      <c r="GJ315" s="255"/>
      <c r="GK315" s="255"/>
      <c r="GL315" s="255"/>
      <c r="GM315" s="255"/>
      <c r="GN315" s="255"/>
      <c r="GO315" s="255"/>
      <c r="GP315" s="255"/>
      <c r="GQ315" s="255"/>
      <c r="GR315" s="255"/>
      <c r="GS315" s="255"/>
      <c r="GT315" s="255"/>
      <c r="GU315" s="255"/>
      <c r="GV315" s="255"/>
      <c r="GW315" s="255"/>
      <c r="GX315" s="255"/>
      <c r="GY315" s="255"/>
      <c r="GZ315" s="255"/>
      <c r="HA315" s="255"/>
      <c r="HB315" s="255"/>
      <c r="HC315" s="255"/>
      <c r="HD315" s="255"/>
      <c r="HE315" s="255"/>
      <c r="HF315" s="255"/>
      <c r="HG315" s="255"/>
      <c r="HH315" s="255"/>
      <c r="HI315" s="255"/>
      <c r="HJ315" s="255"/>
      <c r="HK315" s="255"/>
      <c r="HL315" s="255"/>
      <c r="HM315" s="255"/>
      <c r="HN315" s="255"/>
      <c r="HO315" s="255"/>
      <c r="HP315" s="255"/>
      <c r="HQ315" s="255"/>
      <c r="HR315" s="255"/>
      <c r="HS315" s="255"/>
      <c r="HT315" s="255"/>
      <c r="HU315" s="255"/>
      <c r="HV315" s="255"/>
      <c r="HW315" s="255"/>
      <c r="HX315" s="255"/>
      <c r="HY315" s="255"/>
      <c r="HZ315" s="255"/>
      <c r="IA315" s="255"/>
      <c r="IB315" s="255"/>
      <c r="IC315" s="255"/>
      <c r="ID315" s="255"/>
      <c r="IE315" s="255"/>
      <c r="IF315" s="255"/>
      <c r="IG315" s="255"/>
      <c r="IH315" s="255"/>
      <c r="II315" s="255"/>
      <c r="IJ315" s="255"/>
      <c r="IK315" s="255"/>
      <c r="IL315" s="255"/>
      <c r="IM315" s="255"/>
      <c r="IN315" s="255"/>
      <c r="IO315" s="255"/>
      <c r="IP315" s="255"/>
      <c r="IQ315" s="255"/>
      <c r="IR315" s="255"/>
      <c r="IS315" s="255"/>
      <c r="IT315" s="255"/>
      <c r="IU315" s="255"/>
      <c r="IV315" s="255"/>
      <c r="IW315" s="255"/>
      <c r="IX315" s="255"/>
      <c r="IY315" s="255"/>
      <c r="IZ315" s="255"/>
      <c r="JA315" s="255"/>
      <c r="JB315" s="255"/>
      <c r="JC315" s="255"/>
      <c r="JD315" s="255"/>
      <c r="JE315" s="255"/>
      <c r="JF315" s="255"/>
      <c r="JG315" s="191"/>
      <c r="JH315" s="255"/>
      <c r="JI315" s="255"/>
      <c r="JJ315" s="255"/>
      <c r="JK315" s="255"/>
      <c r="JL315" s="255"/>
      <c r="JM315" s="255"/>
      <c r="JN315" s="255"/>
      <c r="JO315" s="255"/>
      <c r="JP315" s="255"/>
      <c r="JQ315" s="255"/>
      <c r="JR315" s="255"/>
      <c r="JS315" s="255"/>
      <c r="JT315" s="255"/>
      <c r="JU315" s="255"/>
      <c r="JV315" s="255"/>
      <c r="JW315" s="255"/>
      <c r="JX315" s="255"/>
      <c r="JY315" s="255"/>
      <c r="JZ315" s="255"/>
      <c r="KA315" s="255"/>
      <c r="KB315" s="191"/>
    </row>
    <row r="316" spans="1:288" ht="15" customHeight="1" x14ac:dyDescent="0.35">
      <c r="B316" s="149" t="str">
        <f t="shared" si="23"/>
        <v>Desk 100</v>
      </c>
      <c r="C316" s="150" t="str">
        <v/>
      </c>
      <c r="D316" s="150" t="str">
        <v/>
      </c>
      <c r="E316" s="150" t="str">
        <v/>
      </c>
      <c r="F316" s="150" t="str">
        <v/>
      </c>
      <c r="G316" s="268" t="str">
        <v/>
      </c>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256"/>
      <c r="AE316" s="256"/>
      <c r="AF316" s="256"/>
      <c r="AG316" s="256"/>
      <c r="AH316" s="256"/>
      <c r="AI316" s="256"/>
      <c r="AJ316" s="256"/>
      <c r="AK316" s="256"/>
      <c r="AL316" s="256"/>
      <c r="AM316" s="256"/>
      <c r="AN316" s="256"/>
      <c r="AO316" s="256"/>
      <c r="AP316" s="256"/>
      <c r="AQ316" s="256"/>
      <c r="AR316" s="256"/>
      <c r="AS316" s="256"/>
      <c r="AT316" s="256"/>
      <c r="AU316" s="256"/>
      <c r="AV316" s="256"/>
      <c r="AW316" s="256"/>
      <c r="AX316" s="256"/>
      <c r="AY316" s="256"/>
      <c r="AZ316" s="256"/>
      <c r="BA316" s="256"/>
      <c r="BB316" s="256"/>
      <c r="BC316" s="256"/>
      <c r="BD316" s="256"/>
      <c r="BE316" s="256"/>
      <c r="BF316" s="256"/>
      <c r="BG316" s="256"/>
      <c r="BH316" s="256"/>
      <c r="BI316" s="256"/>
      <c r="BJ316" s="256"/>
      <c r="BK316" s="256"/>
      <c r="BL316" s="256"/>
      <c r="BM316" s="256"/>
      <c r="BN316" s="256"/>
      <c r="BO316" s="256"/>
      <c r="BP316" s="256"/>
      <c r="BQ316" s="256"/>
      <c r="BR316" s="256"/>
      <c r="BS316" s="256"/>
      <c r="BT316" s="256"/>
      <c r="BU316" s="256"/>
      <c r="BV316" s="256"/>
      <c r="BW316" s="256"/>
      <c r="BX316" s="256"/>
      <c r="BY316" s="256"/>
      <c r="BZ316" s="256"/>
      <c r="CA316" s="256"/>
      <c r="CB316" s="256"/>
      <c r="CC316" s="256"/>
      <c r="CD316" s="256"/>
      <c r="CE316" s="256"/>
      <c r="CF316" s="256"/>
      <c r="CG316" s="256"/>
      <c r="CH316" s="256"/>
      <c r="CI316" s="256"/>
      <c r="CJ316" s="256"/>
      <c r="CK316" s="256"/>
      <c r="CL316" s="256"/>
      <c r="CM316" s="256"/>
      <c r="CN316" s="256"/>
      <c r="CO316" s="256"/>
      <c r="CP316" s="256"/>
      <c r="CQ316" s="256"/>
      <c r="CR316" s="256"/>
      <c r="CS316" s="256"/>
      <c r="CT316" s="256"/>
      <c r="CU316" s="256"/>
      <c r="CV316" s="256"/>
      <c r="CW316" s="256"/>
      <c r="CX316" s="256"/>
      <c r="CY316" s="256"/>
      <c r="CZ316" s="256"/>
      <c r="DA316" s="256"/>
      <c r="DB316" s="256"/>
      <c r="DC316" s="256"/>
      <c r="DD316" s="256"/>
      <c r="DE316" s="256"/>
      <c r="DF316" s="256"/>
      <c r="DG316" s="256"/>
      <c r="DH316" s="256"/>
      <c r="DI316" s="256"/>
      <c r="DJ316" s="256"/>
      <c r="DK316" s="256"/>
      <c r="DL316" s="256"/>
      <c r="DM316" s="256"/>
      <c r="DN316" s="256"/>
      <c r="DO316" s="256"/>
      <c r="DP316" s="256"/>
      <c r="DQ316" s="256"/>
      <c r="DR316" s="256"/>
      <c r="DS316" s="256"/>
      <c r="DT316" s="256"/>
      <c r="DU316" s="256"/>
      <c r="DV316" s="256"/>
      <c r="DW316" s="257"/>
      <c r="DX316" s="256"/>
      <c r="DY316" s="256"/>
      <c r="DZ316" s="256"/>
      <c r="EA316" s="256"/>
      <c r="EB316" s="256"/>
      <c r="EC316" s="256"/>
      <c r="ED316" s="256"/>
      <c r="EE316" s="256"/>
      <c r="EF316" s="256"/>
      <c r="EG316" s="256"/>
      <c r="EH316" s="256"/>
      <c r="EI316" s="256"/>
      <c r="EJ316" s="256"/>
      <c r="EK316" s="256"/>
      <c r="EL316" s="256"/>
      <c r="EM316" s="256"/>
      <c r="EN316" s="256"/>
      <c r="EO316" s="256"/>
      <c r="EP316" s="256"/>
      <c r="EQ316" s="256"/>
      <c r="ER316" s="257"/>
      <c r="ES316" s="256"/>
      <c r="ET316" s="256"/>
      <c r="EU316" s="256"/>
      <c r="EV316" s="256"/>
      <c r="EW316" s="256"/>
      <c r="EX316" s="256"/>
      <c r="EY316" s="256"/>
      <c r="EZ316" s="256"/>
      <c r="FA316" s="256"/>
      <c r="FB316" s="256"/>
      <c r="FC316" s="256"/>
      <c r="FD316" s="256"/>
      <c r="FE316" s="256"/>
      <c r="FF316" s="256"/>
      <c r="FG316" s="256"/>
      <c r="FH316" s="256"/>
      <c r="FI316" s="256"/>
      <c r="FJ316" s="256"/>
      <c r="FK316" s="256"/>
      <c r="FL316" s="256"/>
      <c r="FM316" s="256"/>
      <c r="FN316" s="256"/>
      <c r="FO316" s="256"/>
      <c r="FP316" s="256"/>
      <c r="FQ316" s="256"/>
      <c r="FR316" s="256"/>
      <c r="FS316" s="256"/>
      <c r="FT316" s="256"/>
      <c r="FU316" s="256"/>
      <c r="FV316" s="256"/>
      <c r="FW316" s="256"/>
      <c r="FX316" s="256"/>
      <c r="FY316" s="256"/>
      <c r="FZ316" s="256"/>
      <c r="GA316" s="256"/>
      <c r="GB316" s="256"/>
      <c r="GC316" s="256"/>
      <c r="GD316" s="256"/>
      <c r="GE316" s="256"/>
      <c r="GF316" s="256"/>
      <c r="GG316" s="256"/>
      <c r="GH316" s="256"/>
      <c r="GI316" s="256"/>
      <c r="GJ316" s="256"/>
      <c r="GK316" s="256"/>
      <c r="GL316" s="256"/>
      <c r="GM316" s="256"/>
      <c r="GN316" s="256"/>
      <c r="GO316" s="256"/>
      <c r="GP316" s="256"/>
      <c r="GQ316" s="256"/>
      <c r="GR316" s="256"/>
      <c r="GS316" s="256"/>
      <c r="GT316" s="256"/>
      <c r="GU316" s="256"/>
      <c r="GV316" s="256"/>
      <c r="GW316" s="256"/>
      <c r="GX316" s="256"/>
      <c r="GY316" s="256"/>
      <c r="GZ316" s="256"/>
      <c r="HA316" s="256"/>
      <c r="HB316" s="256"/>
      <c r="HC316" s="256"/>
      <c r="HD316" s="256"/>
      <c r="HE316" s="256"/>
      <c r="HF316" s="256"/>
      <c r="HG316" s="256"/>
      <c r="HH316" s="256"/>
      <c r="HI316" s="256"/>
      <c r="HJ316" s="256"/>
      <c r="HK316" s="256"/>
      <c r="HL316" s="256"/>
      <c r="HM316" s="256"/>
      <c r="HN316" s="256"/>
      <c r="HO316" s="256"/>
      <c r="HP316" s="256"/>
      <c r="HQ316" s="256"/>
      <c r="HR316" s="256"/>
      <c r="HS316" s="256"/>
      <c r="HT316" s="256"/>
      <c r="HU316" s="256"/>
      <c r="HV316" s="256"/>
      <c r="HW316" s="256"/>
      <c r="HX316" s="256"/>
      <c r="HY316" s="256"/>
      <c r="HZ316" s="256"/>
      <c r="IA316" s="256"/>
      <c r="IB316" s="256"/>
      <c r="IC316" s="256"/>
      <c r="ID316" s="256"/>
      <c r="IE316" s="256"/>
      <c r="IF316" s="256"/>
      <c r="IG316" s="256"/>
      <c r="IH316" s="256"/>
      <c r="II316" s="256"/>
      <c r="IJ316" s="256"/>
      <c r="IK316" s="256"/>
      <c r="IL316" s="256"/>
      <c r="IM316" s="256"/>
      <c r="IN316" s="256"/>
      <c r="IO316" s="256"/>
      <c r="IP316" s="256"/>
      <c r="IQ316" s="256"/>
      <c r="IR316" s="256"/>
      <c r="IS316" s="256"/>
      <c r="IT316" s="256"/>
      <c r="IU316" s="256"/>
      <c r="IV316" s="256"/>
      <c r="IW316" s="256"/>
      <c r="IX316" s="256"/>
      <c r="IY316" s="256"/>
      <c r="IZ316" s="256"/>
      <c r="JA316" s="256"/>
      <c r="JB316" s="256"/>
      <c r="JC316" s="256"/>
      <c r="JD316" s="256"/>
      <c r="JE316" s="256"/>
      <c r="JF316" s="256"/>
      <c r="JG316" s="257"/>
      <c r="JH316" s="256"/>
      <c r="JI316" s="256"/>
      <c r="JJ316" s="256"/>
      <c r="JK316" s="256"/>
      <c r="JL316" s="256"/>
      <c r="JM316" s="256"/>
      <c r="JN316" s="256"/>
      <c r="JO316" s="256"/>
      <c r="JP316" s="256"/>
      <c r="JQ316" s="256"/>
      <c r="JR316" s="256"/>
      <c r="JS316" s="256"/>
      <c r="JT316" s="256"/>
      <c r="JU316" s="256"/>
      <c r="JV316" s="256"/>
      <c r="JW316" s="256"/>
      <c r="JX316" s="256"/>
      <c r="JY316" s="256"/>
      <c r="JZ316" s="256"/>
      <c r="KA316" s="256"/>
      <c r="KB316" s="257"/>
    </row>
    <row r="317" spans="1:288" ht="15" customHeight="1" x14ac:dyDescent="0.35">
      <c r="B317" s="282" t="s">
        <v>1605</v>
      </c>
      <c r="C317" s="1102"/>
      <c r="D317" s="1102"/>
      <c r="E317" s="1102"/>
      <c r="F317" s="1102"/>
      <c r="G317" s="1102"/>
      <c r="H317" s="1832"/>
      <c r="I317" s="1832"/>
      <c r="J317" s="1832"/>
      <c r="K317" s="1832"/>
      <c r="L317" s="1832"/>
      <c r="M317" s="1832"/>
      <c r="N317" s="1832"/>
      <c r="O317" s="1832"/>
      <c r="P317" s="1832"/>
      <c r="Q317" s="1832"/>
      <c r="R317" s="1832"/>
      <c r="S317" s="1832"/>
      <c r="T317" s="1832"/>
      <c r="U317" s="1832"/>
      <c r="V317" s="1832"/>
      <c r="W317" s="1832"/>
      <c r="X317" s="1832"/>
      <c r="Y317" s="1832"/>
      <c r="Z317" s="1832"/>
      <c r="AA317" s="1832"/>
      <c r="AB317" s="1832"/>
      <c r="AC317" s="1832"/>
      <c r="AD317" s="1832"/>
      <c r="AE317" s="1832"/>
      <c r="AF317" s="1832"/>
      <c r="AG317" s="1832"/>
      <c r="AH317" s="1832"/>
      <c r="AI317" s="1832"/>
      <c r="AJ317" s="1832"/>
      <c r="AK317" s="1832"/>
      <c r="AL317" s="1832"/>
      <c r="AM317" s="1832"/>
      <c r="AN317" s="1832"/>
      <c r="AO317" s="1832"/>
      <c r="AP317" s="1832"/>
      <c r="AQ317" s="1832"/>
      <c r="AR317" s="1832"/>
      <c r="AS317" s="1832"/>
      <c r="AT317" s="1832"/>
      <c r="AU317" s="1832"/>
      <c r="AV317" s="1832"/>
      <c r="AW317" s="1832"/>
      <c r="AX317" s="1832"/>
      <c r="AY317" s="1832"/>
      <c r="AZ317" s="1832"/>
      <c r="BA317" s="1832"/>
      <c r="BB317" s="1832"/>
      <c r="BC317" s="1832"/>
      <c r="BD317" s="1832"/>
      <c r="BE317" s="1832"/>
      <c r="BF317" s="1832"/>
      <c r="BG317" s="1832"/>
      <c r="BH317" s="1832"/>
      <c r="BI317" s="1832"/>
      <c r="BJ317" s="1832"/>
      <c r="BK317" s="1832"/>
      <c r="BL317" s="1832"/>
      <c r="BM317" s="1832"/>
      <c r="BN317" s="1832"/>
      <c r="BO317" s="1832"/>
      <c r="BP317" s="1832"/>
      <c r="BQ317" s="1832"/>
      <c r="BR317" s="1832"/>
      <c r="BS317" s="1832"/>
      <c r="BT317" s="1832"/>
      <c r="BU317" s="1832"/>
      <c r="BV317" s="1832"/>
      <c r="BW317" s="1832"/>
      <c r="BX317" s="1832"/>
      <c r="BY317" s="1832"/>
      <c r="BZ317" s="1832"/>
      <c r="CA317" s="1832"/>
      <c r="CB317" s="1832"/>
      <c r="CC317" s="1832"/>
      <c r="CD317" s="1832"/>
      <c r="CE317" s="1832"/>
      <c r="CF317" s="1832"/>
      <c r="CG317" s="1832"/>
      <c r="CH317" s="1832"/>
      <c r="CI317" s="1832"/>
      <c r="CJ317" s="1832"/>
      <c r="CK317" s="1832"/>
      <c r="CL317" s="1832"/>
      <c r="CM317" s="1832"/>
      <c r="CN317" s="1832"/>
      <c r="CO317" s="1832"/>
      <c r="CP317" s="1832"/>
      <c r="CQ317" s="1832"/>
      <c r="CR317" s="1832"/>
      <c r="CS317" s="1832"/>
      <c r="CT317" s="1832"/>
      <c r="CU317" s="1832"/>
      <c r="CV317" s="1832"/>
      <c r="CW317" s="1832"/>
      <c r="CX317" s="1832"/>
      <c r="CY317" s="1832"/>
      <c r="CZ317" s="1832"/>
      <c r="DA317" s="1832"/>
      <c r="DB317" s="1832"/>
      <c r="DC317" s="1832"/>
      <c r="DD317" s="1832"/>
      <c r="DE317" s="1832"/>
      <c r="DF317" s="1832"/>
      <c r="DG317" s="1832"/>
      <c r="DH317" s="1832"/>
      <c r="DI317" s="1832"/>
      <c r="DJ317" s="1832"/>
      <c r="DK317" s="1832"/>
      <c r="DL317" s="1832"/>
      <c r="DM317" s="1832"/>
      <c r="DN317" s="1832"/>
      <c r="DO317" s="1832"/>
      <c r="DP317" s="1832"/>
      <c r="DQ317" s="1832"/>
      <c r="DR317" s="1832"/>
      <c r="DS317" s="1832"/>
      <c r="DT317" s="1832"/>
      <c r="DU317" s="1832"/>
      <c r="DV317" s="1832"/>
      <c r="DW317" s="1091"/>
      <c r="DX317" s="1832"/>
      <c r="DY317" s="1832"/>
      <c r="DZ317" s="1832"/>
      <c r="EA317" s="1832"/>
      <c r="EB317" s="1832"/>
      <c r="EC317" s="1832"/>
      <c r="ED317" s="1832"/>
      <c r="EE317" s="1832"/>
      <c r="EF317" s="1832"/>
      <c r="EG317" s="1832"/>
      <c r="EH317" s="1832"/>
      <c r="EI317" s="1832"/>
      <c r="EJ317" s="1832"/>
      <c r="EK317" s="1832"/>
      <c r="EL317" s="1832"/>
      <c r="EM317" s="1832"/>
      <c r="EN317" s="1832"/>
      <c r="EO317" s="1832"/>
      <c r="EP317" s="1832"/>
      <c r="EQ317" s="1832"/>
      <c r="ER317" s="1091"/>
      <c r="ES317" s="1832"/>
      <c r="ET317" s="1832"/>
      <c r="EU317" s="1832"/>
      <c r="EV317" s="1832"/>
      <c r="EW317" s="1832"/>
      <c r="EX317" s="1832"/>
      <c r="EY317" s="1832"/>
      <c r="EZ317" s="1832"/>
      <c r="FA317" s="1832"/>
      <c r="FB317" s="1832"/>
      <c r="FC317" s="1832"/>
      <c r="FD317" s="1832"/>
      <c r="FE317" s="1832"/>
      <c r="FF317" s="1832"/>
      <c r="FG317" s="1832"/>
      <c r="FH317" s="1832"/>
      <c r="FI317" s="1832"/>
      <c r="FJ317" s="1832"/>
      <c r="FK317" s="1832"/>
      <c r="FL317" s="1832"/>
      <c r="FM317" s="1832"/>
      <c r="FN317" s="1832"/>
      <c r="FO317" s="1832"/>
      <c r="FP317" s="1832"/>
      <c r="FQ317" s="1832"/>
      <c r="FR317" s="1832"/>
      <c r="FS317" s="1832"/>
      <c r="FT317" s="1832"/>
      <c r="FU317" s="1832"/>
      <c r="FV317" s="1832"/>
      <c r="FW317" s="1832"/>
      <c r="FX317" s="1832"/>
      <c r="FY317" s="1832"/>
      <c r="FZ317" s="1832"/>
      <c r="GA317" s="1832"/>
      <c r="GB317" s="1832"/>
      <c r="GC317" s="1832"/>
      <c r="GD317" s="1832"/>
      <c r="GE317" s="1832"/>
      <c r="GF317" s="1832"/>
      <c r="GG317" s="1832"/>
      <c r="GH317" s="1832"/>
      <c r="GI317" s="1832"/>
      <c r="GJ317" s="1832"/>
      <c r="GK317" s="1832"/>
      <c r="GL317" s="1832"/>
      <c r="GM317" s="1832"/>
      <c r="GN317" s="1832"/>
      <c r="GO317" s="1832"/>
      <c r="GP317" s="1832"/>
      <c r="GQ317" s="1832"/>
      <c r="GR317" s="1832"/>
      <c r="GS317" s="1832"/>
      <c r="GT317" s="1832"/>
      <c r="GU317" s="1832"/>
      <c r="GV317" s="1832"/>
      <c r="GW317" s="1832"/>
      <c r="GX317" s="1832"/>
      <c r="GY317" s="1832"/>
      <c r="GZ317" s="1832"/>
      <c r="HA317" s="1832"/>
      <c r="HB317" s="1832"/>
      <c r="HC317" s="1832"/>
      <c r="HD317" s="1832"/>
      <c r="HE317" s="1832"/>
      <c r="HF317" s="1832"/>
      <c r="HG317" s="1832"/>
      <c r="HH317" s="1832"/>
      <c r="HI317" s="1832"/>
      <c r="HJ317" s="1832"/>
      <c r="HK317" s="1832"/>
      <c r="HL317" s="1832"/>
      <c r="HM317" s="1832"/>
      <c r="HN317" s="1832"/>
      <c r="HO317" s="1832"/>
      <c r="HP317" s="1832"/>
      <c r="HQ317" s="1832"/>
      <c r="HR317" s="1832"/>
      <c r="HS317" s="1832"/>
      <c r="HT317" s="1832"/>
      <c r="HU317" s="1832"/>
      <c r="HV317" s="1832"/>
      <c r="HW317" s="1832"/>
      <c r="HX317" s="1832"/>
      <c r="HY317" s="1832"/>
      <c r="HZ317" s="1832"/>
      <c r="IA317" s="1832"/>
      <c r="IB317" s="1832"/>
      <c r="IC317" s="1832"/>
      <c r="ID317" s="1832"/>
      <c r="IE317" s="1832"/>
      <c r="IF317" s="1832"/>
      <c r="IG317" s="1832"/>
      <c r="IH317" s="1832"/>
      <c r="II317" s="1832"/>
      <c r="IJ317" s="1832"/>
      <c r="IK317" s="1832"/>
      <c r="IL317" s="1832"/>
      <c r="IM317" s="1832"/>
      <c r="IN317" s="1832"/>
      <c r="IO317" s="1832"/>
      <c r="IP317" s="1832"/>
      <c r="IQ317" s="1832"/>
      <c r="IR317" s="1832"/>
      <c r="IS317" s="1832"/>
      <c r="IT317" s="1832"/>
      <c r="IU317" s="1832"/>
      <c r="IV317" s="1832"/>
      <c r="IW317" s="1832"/>
      <c r="IX317" s="1832"/>
      <c r="IY317" s="1832"/>
      <c r="IZ317" s="1832"/>
      <c r="JA317" s="1832"/>
      <c r="JB317" s="1832"/>
      <c r="JC317" s="1832"/>
      <c r="JD317" s="1832"/>
      <c r="JE317" s="1832"/>
      <c r="JF317" s="1832"/>
      <c r="JG317" s="1091"/>
      <c r="JH317" s="1832"/>
      <c r="JI317" s="1832"/>
      <c r="JJ317" s="1832"/>
      <c r="JK317" s="1832"/>
      <c r="JL317" s="1832"/>
      <c r="JM317" s="1832"/>
      <c r="JN317" s="1832"/>
      <c r="JO317" s="1832"/>
      <c r="JP317" s="1832"/>
      <c r="JQ317" s="1832"/>
      <c r="JR317" s="1832"/>
      <c r="JS317" s="1832"/>
      <c r="JT317" s="1832"/>
      <c r="JU317" s="1832"/>
      <c r="JV317" s="1832"/>
      <c r="JW317" s="1832"/>
      <c r="JX317" s="1832"/>
      <c r="JY317" s="1832"/>
      <c r="JZ317" s="1832"/>
      <c r="KA317" s="1832"/>
      <c r="KB317" s="1091"/>
    </row>
    <row r="318" spans="1:288" ht="60" customHeight="1" x14ac:dyDescent="0.35">
      <c r="A318" s="269" t="s">
        <v>1608</v>
      </c>
      <c r="B318" s="84"/>
      <c r="C318" s="84"/>
      <c r="D318" s="103"/>
      <c r="E318" s="103"/>
      <c r="F318" s="103"/>
      <c r="G318" s="103"/>
    </row>
    <row r="319" spans="1:288" ht="60" customHeight="1" x14ac:dyDescent="0.35">
      <c r="B319" s="1384" t="s">
        <v>1199</v>
      </c>
      <c r="C319" s="750" t="s">
        <v>1200</v>
      </c>
      <c r="D319" s="895" t="s">
        <v>1201</v>
      </c>
      <c r="E319" s="750" t="s">
        <v>1202</v>
      </c>
      <c r="F319" s="750" t="s">
        <v>1203</v>
      </c>
      <c r="G319" s="750" t="s">
        <v>1600</v>
      </c>
      <c r="H319" s="750" t="s">
        <v>1601</v>
      </c>
      <c r="I319" s="750" t="str">
        <f t="shared" ref="I319:BT319" si="24">"T+" &amp; (COLUMN(I319)-COLUMN($H319))</f>
        <v>T+1</v>
      </c>
      <c r="J319" s="750" t="str">
        <f t="shared" si="24"/>
        <v>T+2</v>
      </c>
      <c r="K319" s="750" t="str">
        <f t="shared" si="24"/>
        <v>T+3</v>
      </c>
      <c r="L319" s="750" t="str">
        <f t="shared" si="24"/>
        <v>T+4</v>
      </c>
      <c r="M319" s="750" t="str">
        <f t="shared" si="24"/>
        <v>T+5</v>
      </c>
      <c r="N319" s="750" t="str">
        <f t="shared" si="24"/>
        <v>T+6</v>
      </c>
      <c r="O319" s="750" t="str">
        <f t="shared" si="24"/>
        <v>T+7</v>
      </c>
      <c r="P319" s="750" t="str">
        <f t="shared" si="24"/>
        <v>T+8</v>
      </c>
      <c r="Q319" s="750" t="str">
        <f t="shared" si="24"/>
        <v>T+9</v>
      </c>
      <c r="R319" s="750" t="str">
        <f t="shared" si="24"/>
        <v>T+10</v>
      </c>
      <c r="S319" s="750" t="str">
        <f t="shared" si="24"/>
        <v>T+11</v>
      </c>
      <c r="T319" s="750" t="str">
        <f t="shared" si="24"/>
        <v>T+12</v>
      </c>
      <c r="U319" s="750" t="str">
        <f t="shared" si="24"/>
        <v>T+13</v>
      </c>
      <c r="V319" s="750" t="str">
        <f t="shared" si="24"/>
        <v>T+14</v>
      </c>
      <c r="W319" s="750" t="str">
        <f t="shared" si="24"/>
        <v>T+15</v>
      </c>
      <c r="X319" s="750" t="str">
        <f t="shared" si="24"/>
        <v>T+16</v>
      </c>
      <c r="Y319" s="750" t="str">
        <f t="shared" si="24"/>
        <v>T+17</v>
      </c>
      <c r="Z319" s="750" t="str">
        <f t="shared" si="24"/>
        <v>T+18</v>
      </c>
      <c r="AA319" s="750" t="str">
        <f t="shared" si="24"/>
        <v>T+19</v>
      </c>
      <c r="AB319" s="750" t="str">
        <f t="shared" si="24"/>
        <v>T+20</v>
      </c>
      <c r="AC319" s="750" t="str">
        <f t="shared" si="24"/>
        <v>T+21</v>
      </c>
      <c r="AD319" s="750" t="str">
        <f t="shared" si="24"/>
        <v>T+22</v>
      </c>
      <c r="AE319" s="750" t="str">
        <f t="shared" si="24"/>
        <v>T+23</v>
      </c>
      <c r="AF319" s="750" t="str">
        <f t="shared" si="24"/>
        <v>T+24</v>
      </c>
      <c r="AG319" s="750" t="str">
        <f t="shared" si="24"/>
        <v>T+25</v>
      </c>
      <c r="AH319" s="750" t="str">
        <f t="shared" si="24"/>
        <v>T+26</v>
      </c>
      <c r="AI319" s="750" t="str">
        <f t="shared" si="24"/>
        <v>T+27</v>
      </c>
      <c r="AJ319" s="750" t="str">
        <f t="shared" si="24"/>
        <v>T+28</v>
      </c>
      <c r="AK319" s="750" t="str">
        <f t="shared" si="24"/>
        <v>T+29</v>
      </c>
      <c r="AL319" s="750" t="str">
        <f t="shared" si="24"/>
        <v>T+30</v>
      </c>
      <c r="AM319" s="750" t="str">
        <f t="shared" si="24"/>
        <v>T+31</v>
      </c>
      <c r="AN319" s="750" t="str">
        <f t="shared" si="24"/>
        <v>T+32</v>
      </c>
      <c r="AO319" s="750" t="str">
        <f t="shared" si="24"/>
        <v>T+33</v>
      </c>
      <c r="AP319" s="750" t="str">
        <f t="shared" si="24"/>
        <v>T+34</v>
      </c>
      <c r="AQ319" s="750" t="str">
        <f t="shared" si="24"/>
        <v>T+35</v>
      </c>
      <c r="AR319" s="750" t="str">
        <f t="shared" si="24"/>
        <v>T+36</v>
      </c>
      <c r="AS319" s="750" t="str">
        <f t="shared" si="24"/>
        <v>T+37</v>
      </c>
      <c r="AT319" s="750" t="str">
        <f t="shared" si="24"/>
        <v>T+38</v>
      </c>
      <c r="AU319" s="750" t="str">
        <f t="shared" si="24"/>
        <v>T+39</v>
      </c>
      <c r="AV319" s="750" t="str">
        <f t="shared" si="24"/>
        <v>T+40</v>
      </c>
      <c r="AW319" s="750" t="str">
        <f t="shared" si="24"/>
        <v>T+41</v>
      </c>
      <c r="AX319" s="750" t="str">
        <f t="shared" si="24"/>
        <v>T+42</v>
      </c>
      <c r="AY319" s="750" t="str">
        <f t="shared" si="24"/>
        <v>T+43</v>
      </c>
      <c r="AZ319" s="750" t="str">
        <f t="shared" si="24"/>
        <v>T+44</v>
      </c>
      <c r="BA319" s="750" t="str">
        <f t="shared" si="24"/>
        <v>T+45</v>
      </c>
      <c r="BB319" s="750" t="str">
        <f t="shared" si="24"/>
        <v>T+46</v>
      </c>
      <c r="BC319" s="750" t="str">
        <f t="shared" si="24"/>
        <v>T+47</v>
      </c>
      <c r="BD319" s="750" t="str">
        <f t="shared" si="24"/>
        <v>T+48</v>
      </c>
      <c r="BE319" s="750" t="str">
        <f t="shared" si="24"/>
        <v>T+49</v>
      </c>
      <c r="BF319" s="750" t="str">
        <f t="shared" si="24"/>
        <v>T+50</v>
      </c>
      <c r="BG319" s="750" t="str">
        <f t="shared" si="24"/>
        <v>T+51</v>
      </c>
      <c r="BH319" s="750" t="str">
        <f t="shared" si="24"/>
        <v>T+52</v>
      </c>
      <c r="BI319" s="750" t="str">
        <f t="shared" si="24"/>
        <v>T+53</v>
      </c>
      <c r="BJ319" s="750" t="str">
        <f t="shared" si="24"/>
        <v>T+54</v>
      </c>
      <c r="BK319" s="750" t="str">
        <f t="shared" si="24"/>
        <v>T+55</v>
      </c>
      <c r="BL319" s="750" t="str">
        <f t="shared" si="24"/>
        <v>T+56</v>
      </c>
      <c r="BM319" s="750" t="str">
        <f t="shared" si="24"/>
        <v>T+57</v>
      </c>
      <c r="BN319" s="750" t="str">
        <f t="shared" si="24"/>
        <v>T+58</v>
      </c>
      <c r="BO319" s="750" t="str">
        <f t="shared" si="24"/>
        <v>T+59</v>
      </c>
      <c r="BP319" s="750" t="str">
        <f t="shared" si="24"/>
        <v>T+60</v>
      </c>
      <c r="BQ319" s="750" t="str">
        <f t="shared" si="24"/>
        <v>T+61</v>
      </c>
      <c r="BR319" s="750" t="str">
        <f t="shared" si="24"/>
        <v>T+62</v>
      </c>
      <c r="BS319" s="750" t="str">
        <f t="shared" si="24"/>
        <v>T+63</v>
      </c>
      <c r="BT319" s="750" t="str">
        <f t="shared" si="24"/>
        <v>T+64</v>
      </c>
      <c r="BU319" s="750" t="str">
        <f t="shared" ref="BU319:EF319" si="25">"T+" &amp; (COLUMN(BU319)-COLUMN($H319))</f>
        <v>T+65</v>
      </c>
      <c r="BV319" s="750" t="str">
        <f t="shared" si="25"/>
        <v>T+66</v>
      </c>
      <c r="BW319" s="750" t="str">
        <f t="shared" si="25"/>
        <v>T+67</v>
      </c>
      <c r="BX319" s="750" t="str">
        <f t="shared" si="25"/>
        <v>T+68</v>
      </c>
      <c r="BY319" s="750" t="str">
        <f t="shared" si="25"/>
        <v>T+69</v>
      </c>
      <c r="BZ319" s="750" t="str">
        <f t="shared" si="25"/>
        <v>T+70</v>
      </c>
      <c r="CA319" s="750" t="str">
        <f t="shared" si="25"/>
        <v>T+71</v>
      </c>
      <c r="CB319" s="750" t="str">
        <f t="shared" si="25"/>
        <v>T+72</v>
      </c>
      <c r="CC319" s="750" t="str">
        <f t="shared" si="25"/>
        <v>T+73</v>
      </c>
      <c r="CD319" s="750" t="str">
        <f t="shared" si="25"/>
        <v>T+74</v>
      </c>
      <c r="CE319" s="750" t="str">
        <f t="shared" si="25"/>
        <v>T+75</v>
      </c>
      <c r="CF319" s="750" t="str">
        <f t="shared" si="25"/>
        <v>T+76</v>
      </c>
      <c r="CG319" s="750" t="str">
        <f t="shared" si="25"/>
        <v>T+77</v>
      </c>
      <c r="CH319" s="750" t="str">
        <f t="shared" si="25"/>
        <v>T+78</v>
      </c>
      <c r="CI319" s="750" t="str">
        <f t="shared" si="25"/>
        <v>T+79</v>
      </c>
      <c r="CJ319" s="750" t="str">
        <f t="shared" si="25"/>
        <v>T+80</v>
      </c>
      <c r="CK319" s="750" t="str">
        <f t="shared" si="25"/>
        <v>T+81</v>
      </c>
      <c r="CL319" s="750" t="str">
        <f t="shared" si="25"/>
        <v>T+82</v>
      </c>
      <c r="CM319" s="750" t="str">
        <f t="shared" si="25"/>
        <v>T+83</v>
      </c>
      <c r="CN319" s="750" t="str">
        <f t="shared" si="25"/>
        <v>T+84</v>
      </c>
      <c r="CO319" s="750" t="str">
        <f t="shared" si="25"/>
        <v>T+85</v>
      </c>
      <c r="CP319" s="750" t="str">
        <f t="shared" si="25"/>
        <v>T+86</v>
      </c>
      <c r="CQ319" s="750" t="str">
        <f t="shared" si="25"/>
        <v>T+87</v>
      </c>
      <c r="CR319" s="750" t="str">
        <f t="shared" si="25"/>
        <v>T+88</v>
      </c>
      <c r="CS319" s="750" t="str">
        <f t="shared" si="25"/>
        <v>T+89</v>
      </c>
      <c r="CT319" s="750" t="str">
        <f t="shared" si="25"/>
        <v>T+90</v>
      </c>
      <c r="CU319" s="750" t="str">
        <f t="shared" si="25"/>
        <v>T+91</v>
      </c>
      <c r="CV319" s="750" t="str">
        <f t="shared" si="25"/>
        <v>T+92</v>
      </c>
      <c r="CW319" s="750" t="str">
        <f t="shared" si="25"/>
        <v>T+93</v>
      </c>
      <c r="CX319" s="750" t="str">
        <f t="shared" si="25"/>
        <v>T+94</v>
      </c>
      <c r="CY319" s="750" t="str">
        <f t="shared" si="25"/>
        <v>T+95</v>
      </c>
      <c r="CZ319" s="750" t="str">
        <f t="shared" si="25"/>
        <v>T+96</v>
      </c>
      <c r="DA319" s="750" t="str">
        <f t="shared" si="25"/>
        <v>T+97</v>
      </c>
      <c r="DB319" s="750" t="str">
        <f t="shared" si="25"/>
        <v>T+98</v>
      </c>
      <c r="DC319" s="750" t="str">
        <f t="shared" si="25"/>
        <v>T+99</v>
      </c>
      <c r="DD319" s="750" t="str">
        <f t="shared" si="25"/>
        <v>T+100</v>
      </c>
      <c r="DE319" s="750" t="str">
        <f t="shared" si="25"/>
        <v>T+101</v>
      </c>
      <c r="DF319" s="750" t="str">
        <f t="shared" si="25"/>
        <v>T+102</v>
      </c>
      <c r="DG319" s="750" t="str">
        <f t="shared" si="25"/>
        <v>T+103</v>
      </c>
      <c r="DH319" s="750" t="str">
        <f t="shared" si="25"/>
        <v>T+104</v>
      </c>
      <c r="DI319" s="750" t="str">
        <f t="shared" si="25"/>
        <v>T+105</v>
      </c>
      <c r="DJ319" s="750" t="str">
        <f t="shared" si="25"/>
        <v>T+106</v>
      </c>
      <c r="DK319" s="750" t="str">
        <f t="shared" si="25"/>
        <v>T+107</v>
      </c>
      <c r="DL319" s="750" t="str">
        <f t="shared" si="25"/>
        <v>T+108</v>
      </c>
      <c r="DM319" s="750" t="str">
        <f t="shared" si="25"/>
        <v>T+109</v>
      </c>
      <c r="DN319" s="750" t="str">
        <f t="shared" si="25"/>
        <v>T+110</v>
      </c>
      <c r="DO319" s="750" t="str">
        <f t="shared" si="25"/>
        <v>T+111</v>
      </c>
      <c r="DP319" s="750" t="str">
        <f t="shared" si="25"/>
        <v>T+112</v>
      </c>
      <c r="DQ319" s="750" t="str">
        <f t="shared" si="25"/>
        <v>T+113</v>
      </c>
      <c r="DR319" s="750" t="str">
        <f t="shared" si="25"/>
        <v>T+114</v>
      </c>
      <c r="DS319" s="750" t="str">
        <f t="shared" si="25"/>
        <v>T+115</v>
      </c>
      <c r="DT319" s="750" t="str">
        <f t="shared" si="25"/>
        <v>T+116</v>
      </c>
      <c r="DU319" s="750" t="str">
        <f t="shared" si="25"/>
        <v>T+117</v>
      </c>
      <c r="DV319" s="750" t="str">
        <f t="shared" si="25"/>
        <v>T+118</v>
      </c>
      <c r="DW319" s="750" t="str">
        <f t="shared" si="25"/>
        <v>T+119</v>
      </c>
      <c r="DX319" s="750" t="str">
        <f t="shared" si="25"/>
        <v>T+120</v>
      </c>
      <c r="DY319" s="750" t="str">
        <f t="shared" si="25"/>
        <v>T+121</v>
      </c>
      <c r="DZ319" s="750" t="str">
        <f t="shared" si="25"/>
        <v>T+122</v>
      </c>
      <c r="EA319" s="750" t="str">
        <f t="shared" si="25"/>
        <v>T+123</v>
      </c>
      <c r="EB319" s="750" t="str">
        <f t="shared" si="25"/>
        <v>T+124</v>
      </c>
      <c r="EC319" s="750" t="str">
        <f t="shared" si="25"/>
        <v>T+125</v>
      </c>
      <c r="ED319" s="750" t="str">
        <f t="shared" si="25"/>
        <v>T+126</v>
      </c>
      <c r="EE319" s="750" t="str">
        <f t="shared" si="25"/>
        <v>T+127</v>
      </c>
      <c r="EF319" s="750" t="str">
        <f t="shared" si="25"/>
        <v>T+128</v>
      </c>
      <c r="EG319" s="750" t="str">
        <f t="shared" ref="EG319:GR319" si="26">"T+" &amp; (COLUMN(EG319)-COLUMN($H319))</f>
        <v>T+129</v>
      </c>
      <c r="EH319" s="750" t="str">
        <f t="shared" si="26"/>
        <v>T+130</v>
      </c>
      <c r="EI319" s="750" t="str">
        <f t="shared" si="26"/>
        <v>T+131</v>
      </c>
      <c r="EJ319" s="750" t="str">
        <f t="shared" si="26"/>
        <v>T+132</v>
      </c>
      <c r="EK319" s="750" t="str">
        <f t="shared" si="26"/>
        <v>T+133</v>
      </c>
      <c r="EL319" s="750" t="str">
        <f t="shared" si="26"/>
        <v>T+134</v>
      </c>
      <c r="EM319" s="750" t="str">
        <f t="shared" si="26"/>
        <v>T+135</v>
      </c>
      <c r="EN319" s="750" t="str">
        <f t="shared" si="26"/>
        <v>T+136</v>
      </c>
      <c r="EO319" s="750" t="str">
        <f t="shared" si="26"/>
        <v>T+137</v>
      </c>
      <c r="EP319" s="750" t="str">
        <f t="shared" si="26"/>
        <v>T+138</v>
      </c>
      <c r="EQ319" s="750" t="str">
        <f t="shared" si="26"/>
        <v>T+139</v>
      </c>
      <c r="ER319" s="750" t="str">
        <f t="shared" si="26"/>
        <v>T+140</v>
      </c>
      <c r="ES319" s="750" t="str">
        <f t="shared" si="26"/>
        <v>T+141</v>
      </c>
      <c r="ET319" s="750" t="str">
        <f t="shared" si="26"/>
        <v>T+142</v>
      </c>
      <c r="EU319" s="750" t="str">
        <f t="shared" si="26"/>
        <v>T+143</v>
      </c>
      <c r="EV319" s="750" t="str">
        <f t="shared" si="26"/>
        <v>T+144</v>
      </c>
      <c r="EW319" s="750" t="str">
        <f t="shared" si="26"/>
        <v>T+145</v>
      </c>
      <c r="EX319" s="750" t="str">
        <f t="shared" si="26"/>
        <v>T+146</v>
      </c>
      <c r="EY319" s="750" t="str">
        <f t="shared" si="26"/>
        <v>T+147</v>
      </c>
      <c r="EZ319" s="750" t="str">
        <f t="shared" si="26"/>
        <v>T+148</v>
      </c>
      <c r="FA319" s="750" t="str">
        <f t="shared" si="26"/>
        <v>T+149</v>
      </c>
      <c r="FB319" s="750" t="str">
        <f t="shared" si="26"/>
        <v>T+150</v>
      </c>
      <c r="FC319" s="750" t="str">
        <f t="shared" si="26"/>
        <v>T+151</v>
      </c>
      <c r="FD319" s="750" t="str">
        <f t="shared" si="26"/>
        <v>T+152</v>
      </c>
      <c r="FE319" s="750" t="str">
        <f t="shared" si="26"/>
        <v>T+153</v>
      </c>
      <c r="FF319" s="750" t="str">
        <f t="shared" si="26"/>
        <v>T+154</v>
      </c>
      <c r="FG319" s="750" t="str">
        <f t="shared" si="26"/>
        <v>T+155</v>
      </c>
      <c r="FH319" s="750" t="str">
        <f t="shared" si="26"/>
        <v>T+156</v>
      </c>
      <c r="FI319" s="750" t="str">
        <f t="shared" si="26"/>
        <v>T+157</v>
      </c>
      <c r="FJ319" s="750" t="str">
        <f t="shared" si="26"/>
        <v>T+158</v>
      </c>
      <c r="FK319" s="750" t="str">
        <f t="shared" si="26"/>
        <v>T+159</v>
      </c>
      <c r="FL319" s="750" t="str">
        <f t="shared" si="26"/>
        <v>T+160</v>
      </c>
      <c r="FM319" s="750" t="str">
        <f t="shared" si="26"/>
        <v>T+161</v>
      </c>
      <c r="FN319" s="750" t="str">
        <f t="shared" si="26"/>
        <v>T+162</v>
      </c>
      <c r="FO319" s="750" t="str">
        <f t="shared" si="26"/>
        <v>T+163</v>
      </c>
      <c r="FP319" s="750" t="str">
        <f t="shared" si="26"/>
        <v>T+164</v>
      </c>
      <c r="FQ319" s="750" t="str">
        <f t="shared" si="26"/>
        <v>T+165</v>
      </c>
      <c r="FR319" s="750" t="str">
        <f t="shared" si="26"/>
        <v>T+166</v>
      </c>
      <c r="FS319" s="750" t="str">
        <f t="shared" si="26"/>
        <v>T+167</v>
      </c>
      <c r="FT319" s="750" t="str">
        <f t="shared" si="26"/>
        <v>T+168</v>
      </c>
      <c r="FU319" s="750" t="str">
        <f t="shared" si="26"/>
        <v>T+169</v>
      </c>
      <c r="FV319" s="750" t="str">
        <f t="shared" si="26"/>
        <v>T+170</v>
      </c>
      <c r="FW319" s="750" t="str">
        <f t="shared" si="26"/>
        <v>T+171</v>
      </c>
      <c r="FX319" s="750" t="str">
        <f t="shared" si="26"/>
        <v>T+172</v>
      </c>
      <c r="FY319" s="750" t="str">
        <f t="shared" si="26"/>
        <v>T+173</v>
      </c>
      <c r="FZ319" s="750" t="str">
        <f t="shared" si="26"/>
        <v>T+174</v>
      </c>
      <c r="GA319" s="750" t="str">
        <f t="shared" si="26"/>
        <v>T+175</v>
      </c>
      <c r="GB319" s="750" t="str">
        <f t="shared" si="26"/>
        <v>T+176</v>
      </c>
      <c r="GC319" s="750" t="str">
        <f t="shared" si="26"/>
        <v>T+177</v>
      </c>
      <c r="GD319" s="750" t="str">
        <f t="shared" si="26"/>
        <v>T+178</v>
      </c>
      <c r="GE319" s="750" t="str">
        <f t="shared" si="26"/>
        <v>T+179</v>
      </c>
      <c r="GF319" s="750" t="str">
        <f t="shared" si="26"/>
        <v>T+180</v>
      </c>
      <c r="GG319" s="750" t="str">
        <f t="shared" si="26"/>
        <v>T+181</v>
      </c>
      <c r="GH319" s="750" t="str">
        <f t="shared" si="26"/>
        <v>T+182</v>
      </c>
      <c r="GI319" s="750" t="str">
        <f t="shared" si="26"/>
        <v>T+183</v>
      </c>
      <c r="GJ319" s="750" t="str">
        <f t="shared" si="26"/>
        <v>T+184</v>
      </c>
      <c r="GK319" s="750" t="str">
        <f t="shared" si="26"/>
        <v>T+185</v>
      </c>
      <c r="GL319" s="750" t="str">
        <f t="shared" si="26"/>
        <v>T+186</v>
      </c>
      <c r="GM319" s="750" t="str">
        <f t="shared" si="26"/>
        <v>T+187</v>
      </c>
      <c r="GN319" s="750" t="str">
        <f t="shared" si="26"/>
        <v>T+188</v>
      </c>
      <c r="GO319" s="750" t="str">
        <f t="shared" si="26"/>
        <v>T+189</v>
      </c>
      <c r="GP319" s="750" t="str">
        <f t="shared" si="26"/>
        <v>T+190</v>
      </c>
      <c r="GQ319" s="750" t="str">
        <f t="shared" si="26"/>
        <v>T+191</v>
      </c>
      <c r="GR319" s="750" t="str">
        <f t="shared" si="26"/>
        <v>T+192</v>
      </c>
      <c r="GS319" s="750" t="str">
        <f t="shared" ref="GS319:JD319" si="27">"T+" &amp; (COLUMN(GS319)-COLUMN($H319))</f>
        <v>T+193</v>
      </c>
      <c r="GT319" s="750" t="str">
        <f t="shared" si="27"/>
        <v>T+194</v>
      </c>
      <c r="GU319" s="750" t="str">
        <f t="shared" si="27"/>
        <v>T+195</v>
      </c>
      <c r="GV319" s="750" t="str">
        <f t="shared" si="27"/>
        <v>T+196</v>
      </c>
      <c r="GW319" s="750" t="str">
        <f t="shared" si="27"/>
        <v>T+197</v>
      </c>
      <c r="GX319" s="750" t="str">
        <f t="shared" si="27"/>
        <v>T+198</v>
      </c>
      <c r="GY319" s="750" t="str">
        <f t="shared" si="27"/>
        <v>T+199</v>
      </c>
      <c r="GZ319" s="750" t="str">
        <f t="shared" si="27"/>
        <v>T+200</v>
      </c>
      <c r="HA319" s="750" t="str">
        <f t="shared" si="27"/>
        <v>T+201</v>
      </c>
      <c r="HB319" s="750" t="str">
        <f t="shared" si="27"/>
        <v>T+202</v>
      </c>
      <c r="HC319" s="750" t="str">
        <f t="shared" si="27"/>
        <v>T+203</v>
      </c>
      <c r="HD319" s="750" t="str">
        <f t="shared" si="27"/>
        <v>T+204</v>
      </c>
      <c r="HE319" s="750" t="str">
        <f t="shared" si="27"/>
        <v>T+205</v>
      </c>
      <c r="HF319" s="750" t="str">
        <f t="shared" si="27"/>
        <v>T+206</v>
      </c>
      <c r="HG319" s="750" t="str">
        <f t="shared" si="27"/>
        <v>T+207</v>
      </c>
      <c r="HH319" s="750" t="str">
        <f t="shared" si="27"/>
        <v>T+208</v>
      </c>
      <c r="HI319" s="750" t="str">
        <f t="shared" si="27"/>
        <v>T+209</v>
      </c>
      <c r="HJ319" s="750" t="str">
        <f t="shared" si="27"/>
        <v>T+210</v>
      </c>
      <c r="HK319" s="750" t="str">
        <f t="shared" si="27"/>
        <v>T+211</v>
      </c>
      <c r="HL319" s="750" t="str">
        <f t="shared" si="27"/>
        <v>T+212</v>
      </c>
      <c r="HM319" s="750" t="str">
        <f t="shared" si="27"/>
        <v>T+213</v>
      </c>
      <c r="HN319" s="750" t="str">
        <f t="shared" si="27"/>
        <v>T+214</v>
      </c>
      <c r="HO319" s="750" t="str">
        <f t="shared" si="27"/>
        <v>T+215</v>
      </c>
      <c r="HP319" s="750" t="str">
        <f t="shared" si="27"/>
        <v>T+216</v>
      </c>
      <c r="HQ319" s="750" t="str">
        <f t="shared" si="27"/>
        <v>T+217</v>
      </c>
      <c r="HR319" s="750" t="str">
        <f t="shared" si="27"/>
        <v>T+218</v>
      </c>
      <c r="HS319" s="750" t="str">
        <f t="shared" si="27"/>
        <v>T+219</v>
      </c>
      <c r="HT319" s="750" t="str">
        <f t="shared" si="27"/>
        <v>T+220</v>
      </c>
      <c r="HU319" s="750" t="str">
        <f t="shared" si="27"/>
        <v>T+221</v>
      </c>
      <c r="HV319" s="750" t="str">
        <f t="shared" si="27"/>
        <v>T+222</v>
      </c>
      <c r="HW319" s="750" t="str">
        <f t="shared" si="27"/>
        <v>T+223</v>
      </c>
      <c r="HX319" s="750" t="str">
        <f t="shared" si="27"/>
        <v>T+224</v>
      </c>
      <c r="HY319" s="750" t="str">
        <f t="shared" si="27"/>
        <v>T+225</v>
      </c>
      <c r="HZ319" s="750" t="str">
        <f t="shared" si="27"/>
        <v>T+226</v>
      </c>
      <c r="IA319" s="750" t="str">
        <f t="shared" si="27"/>
        <v>T+227</v>
      </c>
      <c r="IB319" s="750" t="str">
        <f t="shared" si="27"/>
        <v>T+228</v>
      </c>
      <c r="IC319" s="750" t="str">
        <f t="shared" si="27"/>
        <v>T+229</v>
      </c>
      <c r="ID319" s="750" t="str">
        <f t="shared" si="27"/>
        <v>T+230</v>
      </c>
      <c r="IE319" s="750" t="str">
        <f t="shared" si="27"/>
        <v>T+231</v>
      </c>
      <c r="IF319" s="750" t="str">
        <f t="shared" si="27"/>
        <v>T+232</v>
      </c>
      <c r="IG319" s="750" t="str">
        <f t="shared" si="27"/>
        <v>T+233</v>
      </c>
      <c r="IH319" s="750" t="str">
        <f t="shared" si="27"/>
        <v>T+234</v>
      </c>
      <c r="II319" s="750" t="str">
        <f t="shared" si="27"/>
        <v>T+235</v>
      </c>
      <c r="IJ319" s="750" t="str">
        <f t="shared" si="27"/>
        <v>T+236</v>
      </c>
      <c r="IK319" s="750" t="str">
        <f t="shared" si="27"/>
        <v>T+237</v>
      </c>
      <c r="IL319" s="750" t="str">
        <f t="shared" si="27"/>
        <v>T+238</v>
      </c>
      <c r="IM319" s="750" t="str">
        <f t="shared" si="27"/>
        <v>T+239</v>
      </c>
      <c r="IN319" s="750" t="str">
        <f t="shared" si="27"/>
        <v>T+240</v>
      </c>
      <c r="IO319" s="750" t="str">
        <f t="shared" si="27"/>
        <v>T+241</v>
      </c>
      <c r="IP319" s="750" t="str">
        <f t="shared" si="27"/>
        <v>T+242</v>
      </c>
      <c r="IQ319" s="750" t="str">
        <f t="shared" si="27"/>
        <v>T+243</v>
      </c>
      <c r="IR319" s="750" t="str">
        <f t="shared" si="27"/>
        <v>T+244</v>
      </c>
      <c r="IS319" s="750" t="str">
        <f t="shared" si="27"/>
        <v>T+245</v>
      </c>
      <c r="IT319" s="750" t="str">
        <f t="shared" si="27"/>
        <v>T+246</v>
      </c>
      <c r="IU319" s="750" t="str">
        <f t="shared" si="27"/>
        <v>T+247</v>
      </c>
      <c r="IV319" s="750" t="str">
        <f t="shared" si="27"/>
        <v>T+248</v>
      </c>
      <c r="IW319" s="750" t="str">
        <f t="shared" si="27"/>
        <v>T+249</v>
      </c>
      <c r="IX319" s="750" t="str">
        <f t="shared" si="27"/>
        <v>T+250</v>
      </c>
      <c r="IY319" s="750" t="str">
        <f t="shared" si="27"/>
        <v>T+251</v>
      </c>
      <c r="IZ319" s="750" t="str">
        <f t="shared" si="27"/>
        <v>T+252</v>
      </c>
      <c r="JA319" s="750" t="str">
        <f t="shared" si="27"/>
        <v>T+253</v>
      </c>
      <c r="JB319" s="750" t="str">
        <f t="shared" si="27"/>
        <v>T+254</v>
      </c>
      <c r="JC319" s="750" t="str">
        <f t="shared" si="27"/>
        <v>T+255</v>
      </c>
      <c r="JD319" s="750" t="str">
        <f t="shared" si="27"/>
        <v>T+256</v>
      </c>
      <c r="JE319" s="750" t="str">
        <f t="shared" ref="JE319:KB319" si="28">"T+" &amp; (COLUMN(JE319)-COLUMN($H319))</f>
        <v>T+257</v>
      </c>
      <c r="JF319" s="750" t="str">
        <f t="shared" si="28"/>
        <v>T+258</v>
      </c>
      <c r="JG319" s="750" t="str">
        <f t="shared" si="28"/>
        <v>T+259</v>
      </c>
      <c r="JH319" s="750" t="str">
        <f t="shared" si="28"/>
        <v>T+260</v>
      </c>
      <c r="JI319" s="750" t="str">
        <f t="shared" si="28"/>
        <v>T+261</v>
      </c>
      <c r="JJ319" s="750" t="str">
        <f t="shared" si="28"/>
        <v>T+262</v>
      </c>
      <c r="JK319" s="750" t="str">
        <f t="shared" si="28"/>
        <v>T+263</v>
      </c>
      <c r="JL319" s="750" t="str">
        <f t="shared" si="28"/>
        <v>T+264</v>
      </c>
      <c r="JM319" s="750" t="str">
        <f t="shared" si="28"/>
        <v>T+265</v>
      </c>
      <c r="JN319" s="750" t="str">
        <f t="shared" si="28"/>
        <v>T+266</v>
      </c>
      <c r="JO319" s="750" t="str">
        <f t="shared" si="28"/>
        <v>T+267</v>
      </c>
      <c r="JP319" s="750" t="str">
        <f t="shared" si="28"/>
        <v>T+268</v>
      </c>
      <c r="JQ319" s="750" t="str">
        <f t="shared" si="28"/>
        <v>T+269</v>
      </c>
      <c r="JR319" s="750" t="str">
        <f t="shared" si="28"/>
        <v>T+270</v>
      </c>
      <c r="JS319" s="750" t="str">
        <f t="shared" si="28"/>
        <v>T+271</v>
      </c>
      <c r="JT319" s="750" t="str">
        <f t="shared" si="28"/>
        <v>T+272</v>
      </c>
      <c r="JU319" s="750" t="str">
        <f t="shared" si="28"/>
        <v>T+273</v>
      </c>
      <c r="JV319" s="750" t="str">
        <f t="shared" si="28"/>
        <v>T+274</v>
      </c>
      <c r="JW319" s="750" t="str">
        <f t="shared" si="28"/>
        <v>T+275</v>
      </c>
      <c r="JX319" s="750" t="str">
        <f t="shared" si="28"/>
        <v>T+276</v>
      </c>
      <c r="JY319" s="750" t="str">
        <f t="shared" si="28"/>
        <v>T+277</v>
      </c>
      <c r="JZ319" s="750" t="str">
        <f t="shared" si="28"/>
        <v>T+278</v>
      </c>
      <c r="KA319" s="750" t="str">
        <f t="shared" si="28"/>
        <v>T+279</v>
      </c>
      <c r="KB319" s="750" t="str">
        <f t="shared" si="28"/>
        <v>T+280</v>
      </c>
    </row>
    <row r="320" spans="1:288" ht="15" customHeight="1" x14ac:dyDescent="0.35">
      <c r="B320" s="686" t="str">
        <f t="shared" ref="B320:B383" si="29">B11</f>
        <v>Desk 1</v>
      </c>
      <c r="C320" s="1828" t="str">
        <f t="array" ref="C320:D419" xml:space="preserve"> IF(ISBLANK(TB!C$170:'TB'!D$269), "", TB!C$170:'TB'!D$269)</f>
        <v/>
      </c>
      <c r="D320" s="1828" t="str">
        <v/>
      </c>
      <c r="E320" s="1828" t="str">
        <f t="array" ref="E320:E419" xml:space="preserve"> IF(ISBLANK(TB!G$170:'TB'!G$269), "", TB!G$170:'TB'!G$269)</f>
        <v/>
      </c>
      <c r="F320" s="1828" t="str">
        <f t="array" ref="F320:F419" xml:space="preserve"> IF(ISBLANK(TB!I$170:'TB'!I$269), "", TB!I$170:'TB'!I$269)</f>
        <v/>
      </c>
      <c r="G320" s="268" t="str">
        <f t="array" ref="G320:G419" xml:space="preserve"> IF(ISBLANK(TB!J$170:'TB'!J$269), "", TB!J$170:'TB'!J$269)</f>
        <v/>
      </c>
      <c r="H320" s="1087"/>
      <c r="I320" s="1087"/>
      <c r="J320" s="1087"/>
      <c r="K320" s="1087"/>
      <c r="L320" s="1087"/>
      <c r="M320" s="1087"/>
      <c r="N320" s="1087"/>
      <c r="O320" s="1087"/>
      <c r="P320" s="1087"/>
      <c r="Q320" s="1087"/>
      <c r="R320" s="1087"/>
      <c r="S320" s="1087"/>
      <c r="T320" s="1087"/>
      <c r="U320" s="1087"/>
      <c r="V320" s="1087"/>
      <c r="W320" s="1087"/>
      <c r="X320" s="1087"/>
      <c r="Y320" s="1087"/>
      <c r="Z320" s="1087"/>
      <c r="AA320" s="1087"/>
      <c r="AB320" s="1087"/>
      <c r="AC320" s="1087"/>
      <c r="AD320" s="1087"/>
      <c r="AE320" s="1087"/>
      <c r="AF320" s="1087"/>
      <c r="AG320" s="1087"/>
      <c r="AH320" s="1087"/>
      <c r="AI320" s="1087"/>
      <c r="AJ320" s="1087"/>
      <c r="AK320" s="1087"/>
      <c r="AL320" s="1087"/>
      <c r="AM320" s="1087"/>
      <c r="AN320" s="1087"/>
      <c r="AO320" s="1087"/>
      <c r="AP320" s="1087"/>
      <c r="AQ320" s="1087"/>
      <c r="AR320" s="1087"/>
      <c r="AS320" s="1087"/>
      <c r="AT320" s="1087"/>
      <c r="AU320" s="1087"/>
      <c r="AV320" s="1087"/>
      <c r="AW320" s="1087"/>
      <c r="AX320" s="1087"/>
      <c r="AY320" s="1087"/>
      <c r="AZ320" s="1087"/>
      <c r="BA320" s="1087"/>
      <c r="BB320" s="1087"/>
      <c r="BC320" s="1087"/>
      <c r="BD320" s="1087"/>
      <c r="BE320" s="1087"/>
      <c r="BF320" s="1087"/>
      <c r="BG320" s="1087"/>
      <c r="BH320" s="1087"/>
      <c r="BI320" s="1087"/>
      <c r="BJ320" s="1087"/>
      <c r="BK320" s="1087"/>
      <c r="BL320" s="1087"/>
      <c r="BM320" s="1087"/>
      <c r="BN320" s="1087"/>
      <c r="BO320" s="1087"/>
      <c r="BP320" s="1087"/>
      <c r="BQ320" s="1087"/>
      <c r="BR320" s="1087"/>
      <c r="BS320" s="1087"/>
      <c r="BT320" s="1087"/>
      <c r="BU320" s="1087"/>
      <c r="BV320" s="1087"/>
      <c r="BW320" s="1087"/>
      <c r="BX320" s="1087"/>
      <c r="BY320" s="1087"/>
      <c r="BZ320" s="1087"/>
      <c r="CA320" s="1087"/>
      <c r="CB320" s="1087"/>
      <c r="CC320" s="1087"/>
      <c r="CD320" s="1087"/>
      <c r="CE320" s="1087"/>
      <c r="CF320" s="1087"/>
      <c r="CG320" s="1087"/>
      <c r="CH320" s="1087"/>
      <c r="CI320" s="1087"/>
      <c r="CJ320" s="1087"/>
      <c r="CK320" s="1087"/>
      <c r="CL320" s="1087"/>
      <c r="CM320" s="1087"/>
      <c r="CN320" s="1087"/>
      <c r="CO320" s="1087"/>
      <c r="CP320" s="1087"/>
      <c r="CQ320" s="1087"/>
      <c r="CR320" s="1087"/>
      <c r="CS320" s="1087"/>
      <c r="CT320" s="1087"/>
      <c r="CU320" s="1087"/>
      <c r="CV320" s="1087"/>
      <c r="CW320" s="1087"/>
      <c r="CX320" s="1087"/>
      <c r="CY320" s="1087"/>
      <c r="CZ320" s="1087"/>
      <c r="DA320" s="1087"/>
      <c r="DB320" s="1087"/>
      <c r="DC320" s="1087"/>
      <c r="DD320" s="1087"/>
      <c r="DE320" s="1087"/>
      <c r="DF320" s="1087"/>
      <c r="DG320" s="1087"/>
      <c r="DH320" s="1087"/>
      <c r="DI320" s="1087"/>
      <c r="DJ320" s="1087"/>
      <c r="DK320" s="1087"/>
      <c r="DL320" s="1087"/>
      <c r="DM320" s="1087"/>
      <c r="DN320" s="1087"/>
      <c r="DO320" s="1087"/>
      <c r="DP320" s="1087"/>
      <c r="DQ320" s="1087"/>
      <c r="DR320" s="1087"/>
      <c r="DS320" s="1087"/>
      <c r="DT320" s="1087"/>
      <c r="DU320" s="1087"/>
      <c r="DV320" s="1087"/>
      <c r="DW320" s="1087"/>
      <c r="DX320" s="1087"/>
      <c r="DY320" s="1087"/>
      <c r="DZ320" s="1087"/>
      <c r="EA320" s="1087"/>
      <c r="EB320" s="1087"/>
      <c r="EC320" s="1087"/>
      <c r="ED320" s="1087"/>
      <c r="EE320" s="1087"/>
      <c r="EF320" s="1087"/>
      <c r="EG320" s="1087"/>
      <c r="EH320" s="1087"/>
      <c r="EI320" s="1087"/>
      <c r="EJ320" s="1087"/>
      <c r="EK320" s="1087"/>
      <c r="EL320" s="1087"/>
      <c r="EM320" s="1087"/>
      <c r="EN320" s="1087"/>
      <c r="EO320" s="1087"/>
      <c r="EP320" s="1087"/>
      <c r="EQ320" s="1087"/>
      <c r="ER320" s="1087"/>
      <c r="ES320" s="1087"/>
      <c r="ET320" s="1087"/>
      <c r="EU320" s="1087"/>
      <c r="EV320" s="1087"/>
      <c r="EW320" s="1087"/>
      <c r="EX320" s="1087"/>
      <c r="EY320" s="1087"/>
      <c r="EZ320" s="1087"/>
      <c r="FA320" s="1087"/>
      <c r="FB320" s="1087"/>
      <c r="FC320" s="1087"/>
      <c r="FD320" s="1087"/>
      <c r="FE320" s="1087"/>
      <c r="FF320" s="1087"/>
      <c r="FG320" s="1087"/>
      <c r="FH320" s="1087"/>
      <c r="FI320" s="1087"/>
      <c r="FJ320" s="1087"/>
      <c r="FK320" s="1087"/>
      <c r="FL320" s="1087"/>
      <c r="FM320" s="1087"/>
      <c r="FN320" s="1087"/>
      <c r="FO320" s="1087"/>
      <c r="FP320" s="1087"/>
      <c r="FQ320" s="1087"/>
      <c r="FR320" s="1087"/>
      <c r="FS320" s="1087"/>
      <c r="FT320" s="1087"/>
      <c r="FU320" s="1087"/>
      <c r="FV320" s="1087"/>
      <c r="FW320" s="1087"/>
      <c r="FX320" s="1087"/>
      <c r="FY320" s="1087"/>
      <c r="FZ320" s="1087"/>
      <c r="GA320" s="1087"/>
      <c r="GB320" s="1087"/>
      <c r="GC320" s="1087"/>
      <c r="GD320" s="1087"/>
      <c r="GE320" s="1087"/>
      <c r="GF320" s="1087"/>
      <c r="GG320" s="1087"/>
      <c r="GH320" s="1087"/>
      <c r="GI320" s="1087"/>
      <c r="GJ320" s="1087"/>
      <c r="GK320" s="1087"/>
      <c r="GL320" s="1087"/>
      <c r="GM320" s="1087"/>
      <c r="GN320" s="1087"/>
      <c r="GO320" s="1087"/>
      <c r="GP320" s="1087"/>
      <c r="GQ320" s="1087"/>
      <c r="GR320" s="1087"/>
      <c r="GS320" s="1087"/>
      <c r="GT320" s="1087"/>
      <c r="GU320" s="1087"/>
      <c r="GV320" s="1087"/>
      <c r="GW320" s="1087"/>
      <c r="GX320" s="1087"/>
      <c r="GY320" s="1087"/>
      <c r="GZ320" s="1087"/>
      <c r="HA320" s="1087"/>
      <c r="HB320" s="1087"/>
      <c r="HC320" s="1087"/>
      <c r="HD320" s="1087"/>
      <c r="HE320" s="1087"/>
      <c r="HF320" s="1087"/>
      <c r="HG320" s="1087"/>
      <c r="HH320" s="1087"/>
      <c r="HI320" s="1087"/>
      <c r="HJ320" s="1087"/>
      <c r="HK320" s="1087"/>
      <c r="HL320" s="1087"/>
      <c r="HM320" s="1087"/>
      <c r="HN320" s="1087"/>
      <c r="HO320" s="1087"/>
      <c r="HP320" s="1087"/>
      <c r="HQ320" s="1087"/>
      <c r="HR320" s="1087"/>
      <c r="HS320" s="1087"/>
      <c r="HT320" s="1087"/>
      <c r="HU320" s="1087"/>
      <c r="HV320" s="1087"/>
      <c r="HW320" s="1087"/>
      <c r="HX320" s="1087"/>
      <c r="HY320" s="1087"/>
      <c r="HZ320" s="1087"/>
      <c r="IA320" s="1087"/>
      <c r="IB320" s="1087"/>
      <c r="IC320" s="1087"/>
      <c r="ID320" s="1087"/>
      <c r="IE320" s="1087"/>
      <c r="IF320" s="1087"/>
      <c r="IG320" s="1087"/>
      <c r="IH320" s="1087"/>
      <c r="II320" s="1087"/>
      <c r="IJ320" s="1087"/>
      <c r="IK320" s="1087"/>
      <c r="IL320" s="1087"/>
      <c r="IM320" s="1087"/>
      <c r="IN320" s="1087"/>
      <c r="IO320" s="1087"/>
      <c r="IP320" s="1087"/>
      <c r="IQ320" s="1087"/>
      <c r="IR320" s="1087"/>
      <c r="IS320" s="1087"/>
      <c r="IT320" s="1087"/>
      <c r="IU320" s="1087"/>
      <c r="IV320" s="1087"/>
      <c r="IW320" s="1087"/>
      <c r="IX320" s="1087"/>
      <c r="IY320" s="1087"/>
      <c r="IZ320" s="1087"/>
      <c r="JA320" s="1087"/>
      <c r="JB320" s="1087"/>
      <c r="JC320" s="1087"/>
      <c r="JD320" s="1087"/>
      <c r="JE320" s="1087"/>
      <c r="JF320" s="1087"/>
      <c r="JG320" s="1087"/>
      <c r="JH320" s="1087"/>
      <c r="JI320" s="1087"/>
      <c r="JJ320" s="1087"/>
      <c r="JK320" s="1087"/>
      <c r="JL320" s="1087"/>
      <c r="JM320" s="1087"/>
      <c r="JN320" s="1087"/>
      <c r="JO320" s="1087"/>
      <c r="JP320" s="1087"/>
      <c r="JQ320" s="1087"/>
      <c r="JR320" s="1087"/>
      <c r="JS320" s="1087"/>
      <c r="JT320" s="1087"/>
      <c r="JU320" s="1087"/>
      <c r="JV320" s="1087"/>
      <c r="JW320" s="1087"/>
      <c r="JX320" s="1087"/>
      <c r="JY320" s="1087"/>
      <c r="JZ320" s="1087"/>
      <c r="KA320" s="1087"/>
      <c r="KB320" s="1092"/>
    </row>
    <row r="321" spans="2:288" ht="15" customHeight="1" x14ac:dyDescent="0.35">
      <c r="B321" s="146" t="str">
        <f t="shared" si="29"/>
        <v>Desk 2</v>
      </c>
      <c r="C321" s="148" t="str">
        <v/>
      </c>
      <c r="D321" s="148" t="str">
        <v/>
      </c>
      <c r="E321" s="148" t="str">
        <v/>
      </c>
      <c r="F321" s="148" t="str">
        <v/>
      </c>
      <c r="G321" s="268" t="str">
        <v/>
      </c>
      <c r="H321" s="1087"/>
      <c r="I321" s="1087"/>
      <c r="J321" s="1087"/>
      <c r="K321" s="1087"/>
      <c r="L321" s="1087"/>
      <c r="M321" s="1087"/>
      <c r="N321" s="1087"/>
      <c r="O321" s="1087"/>
      <c r="P321" s="1087"/>
      <c r="Q321" s="1087"/>
      <c r="R321" s="1087"/>
      <c r="S321" s="1087"/>
      <c r="T321" s="1087"/>
      <c r="U321" s="1087"/>
      <c r="V321" s="1087"/>
      <c r="W321" s="1087"/>
      <c r="X321" s="1087"/>
      <c r="Y321" s="1087"/>
      <c r="Z321" s="1087"/>
      <c r="AA321" s="1087"/>
      <c r="AB321" s="1087"/>
      <c r="AC321" s="1087"/>
      <c r="AD321" s="1087"/>
      <c r="AE321" s="1087"/>
      <c r="AF321" s="1087"/>
      <c r="AG321" s="1087"/>
      <c r="AH321" s="1087"/>
      <c r="AI321" s="1087"/>
      <c r="AJ321" s="1087"/>
      <c r="AK321" s="1087"/>
      <c r="AL321" s="1087"/>
      <c r="AM321" s="1087"/>
      <c r="AN321" s="1087"/>
      <c r="AO321" s="1087"/>
      <c r="AP321" s="1087"/>
      <c r="AQ321" s="1087"/>
      <c r="AR321" s="1087"/>
      <c r="AS321" s="1087"/>
      <c r="AT321" s="1087"/>
      <c r="AU321" s="1087"/>
      <c r="AV321" s="1087"/>
      <c r="AW321" s="1087"/>
      <c r="AX321" s="1087"/>
      <c r="AY321" s="1087"/>
      <c r="AZ321" s="1087"/>
      <c r="BA321" s="1087"/>
      <c r="BB321" s="1087"/>
      <c r="BC321" s="1087"/>
      <c r="BD321" s="1087"/>
      <c r="BE321" s="1087"/>
      <c r="BF321" s="1087"/>
      <c r="BG321" s="1087"/>
      <c r="BH321" s="1087"/>
      <c r="BI321" s="1087"/>
      <c r="BJ321" s="1087"/>
      <c r="BK321" s="1087"/>
      <c r="BL321" s="1087"/>
      <c r="BM321" s="1087"/>
      <c r="BN321" s="1087"/>
      <c r="BO321" s="1087"/>
      <c r="BP321" s="1087"/>
      <c r="BQ321" s="1087"/>
      <c r="BR321" s="1087"/>
      <c r="BS321" s="1087"/>
      <c r="BT321" s="1087"/>
      <c r="BU321" s="1087"/>
      <c r="BV321" s="1087"/>
      <c r="BW321" s="1087"/>
      <c r="BX321" s="1087"/>
      <c r="BY321" s="1087"/>
      <c r="BZ321" s="1087"/>
      <c r="CA321" s="1087"/>
      <c r="CB321" s="1087"/>
      <c r="CC321" s="1087"/>
      <c r="CD321" s="1087"/>
      <c r="CE321" s="1087"/>
      <c r="CF321" s="1087"/>
      <c r="CG321" s="1087"/>
      <c r="CH321" s="1087"/>
      <c r="CI321" s="1087"/>
      <c r="CJ321" s="1087"/>
      <c r="CK321" s="1087"/>
      <c r="CL321" s="1087"/>
      <c r="CM321" s="1087"/>
      <c r="CN321" s="1087"/>
      <c r="CO321" s="1087"/>
      <c r="CP321" s="1087"/>
      <c r="CQ321" s="1087"/>
      <c r="CR321" s="1087"/>
      <c r="CS321" s="1087"/>
      <c r="CT321" s="1087"/>
      <c r="CU321" s="1087"/>
      <c r="CV321" s="1087"/>
      <c r="CW321" s="1087"/>
      <c r="CX321" s="1087"/>
      <c r="CY321" s="1087"/>
      <c r="CZ321" s="1087"/>
      <c r="DA321" s="1087"/>
      <c r="DB321" s="1087"/>
      <c r="DC321" s="1087"/>
      <c r="DD321" s="1087"/>
      <c r="DE321" s="1087"/>
      <c r="DF321" s="1087"/>
      <c r="DG321" s="1087"/>
      <c r="DH321" s="1087"/>
      <c r="DI321" s="1087"/>
      <c r="DJ321" s="1087"/>
      <c r="DK321" s="1087"/>
      <c r="DL321" s="1087"/>
      <c r="DM321" s="1087"/>
      <c r="DN321" s="1087"/>
      <c r="DO321" s="1087"/>
      <c r="DP321" s="1087"/>
      <c r="DQ321" s="1087"/>
      <c r="DR321" s="1087"/>
      <c r="DS321" s="1087"/>
      <c r="DT321" s="1087"/>
      <c r="DU321" s="1087"/>
      <c r="DV321" s="1087"/>
      <c r="DW321" s="1087"/>
      <c r="DX321" s="1087"/>
      <c r="DY321" s="1087"/>
      <c r="DZ321" s="1087"/>
      <c r="EA321" s="1087"/>
      <c r="EB321" s="1087"/>
      <c r="EC321" s="1087"/>
      <c r="ED321" s="1087"/>
      <c r="EE321" s="1087"/>
      <c r="EF321" s="1087"/>
      <c r="EG321" s="1087"/>
      <c r="EH321" s="1087"/>
      <c r="EI321" s="1087"/>
      <c r="EJ321" s="1087"/>
      <c r="EK321" s="1087"/>
      <c r="EL321" s="1087"/>
      <c r="EM321" s="1087"/>
      <c r="EN321" s="1087"/>
      <c r="EO321" s="1087"/>
      <c r="EP321" s="1087"/>
      <c r="EQ321" s="1087"/>
      <c r="ER321" s="1087"/>
      <c r="ES321" s="1087"/>
      <c r="ET321" s="1087"/>
      <c r="EU321" s="1087"/>
      <c r="EV321" s="1087"/>
      <c r="EW321" s="1087"/>
      <c r="EX321" s="1087"/>
      <c r="EY321" s="1087"/>
      <c r="EZ321" s="1087"/>
      <c r="FA321" s="1087"/>
      <c r="FB321" s="1087"/>
      <c r="FC321" s="1087"/>
      <c r="FD321" s="1087"/>
      <c r="FE321" s="1087"/>
      <c r="FF321" s="1087"/>
      <c r="FG321" s="1087"/>
      <c r="FH321" s="1087"/>
      <c r="FI321" s="1087"/>
      <c r="FJ321" s="1087"/>
      <c r="FK321" s="1087"/>
      <c r="FL321" s="1087"/>
      <c r="FM321" s="1087"/>
      <c r="FN321" s="1087"/>
      <c r="FO321" s="1087"/>
      <c r="FP321" s="1087"/>
      <c r="FQ321" s="1087"/>
      <c r="FR321" s="1087"/>
      <c r="FS321" s="1087"/>
      <c r="FT321" s="1087"/>
      <c r="FU321" s="1087"/>
      <c r="FV321" s="1087"/>
      <c r="FW321" s="1087"/>
      <c r="FX321" s="1087"/>
      <c r="FY321" s="1087"/>
      <c r="FZ321" s="1087"/>
      <c r="GA321" s="1087"/>
      <c r="GB321" s="1087"/>
      <c r="GC321" s="1087"/>
      <c r="GD321" s="1087"/>
      <c r="GE321" s="1087"/>
      <c r="GF321" s="1087"/>
      <c r="GG321" s="1087"/>
      <c r="GH321" s="1087"/>
      <c r="GI321" s="1087"/>
      <c r="GJ321" s="1087"/>
      <c r="GK321" s="1087"/>
      <c r="GL321" s="1087"/>
      <c r="GM321" s="1087"/>
      <c r="GN321" s="1087"/>
      <c r="GO321" s="1087"/>
      <c r="GP321" s="1087"/>
      <c r="GQ321" s="1087"/>
      <c r="GR321" s="1087"/>
      <c r="GS321" s="1087"/>
      <c r="GT321" s="1087"/>
      <c r="GU321" s="1087"/>
      <c r="GV321" s="1087"/>
      <c r="GW321" s="1087"/>
      <c r="GX321" s="1087"/>
      <c r="GY321" s="1087"/>
      <c r="GZ321" s="1087"/>
      <c r="HA321" s="1087"/>
      <c r="HB321" s="1087"/>
      <c r="HC321" s="1087"/>
      <c r="HD321" s="1087"/>
      <c r="HE321" s="1087"/>
      <c r="HF321" s="1087"/>
      <c r="HG321" s="1087"/>
      <c r="HH321" s="1087"/>
      <c r="HI321" s="1087"/>
      <c r="HJ321" s="1087"/>
      <c r="HK321" s="1087"/>
      <c r="HL321" s="1087"/>
      <c r="HM321" s="1087"/>
      <c r="HN321" s="1087"/>
      <c r="HO321" s="1087"/>
      <c r="HP321" s="1087"/>
      <c r="HQ321" s="1087"/>
      <c r="HR321" s="1087"/>
      <c r="HS321" s="1087"/>
      <c r="HT321" s="1087"/>
      <c r="HU321" s="1087"/>
      <c r="HV321" s="1087"/>
      <c r="HW321" s="1087"/>
      <c r="HX321" s="1087"/>
      <c r="HY321" s="1087"/>
      <c r="HZ321" s="1087"/>
      <c r="IA321" s="1087"/>
      <c r="IB321" s="1087"/>
      <c r="IC321" s="1087"/>
      <c r="ID321" s="1087"/>
      <c r="IE321" s="1087"/>
      <c r="IF321" s="1087"/>
      <c r="IG321" s="1087"/>
      <c r="IH321" s="1087"/>
      <c r="II321" s="1087"/>
      <c r="IJ321" s="1087"/>
      <c r="IK321" s="1087"/>
      <c r="IL321" s="1087"/>
      <c r="IM321" s="1087"/>
      <c r="IN321" s="1087"/>
      <c r="IO321" s="1087"/>
      <c r="IP321" s="1087"/>
      <c r="IQ321" s="1087"/>
      <c r="IR321" s="1087"/>
      <c r="IS321" s="1087"/>
      <c r="IT321" s="1087"/>
      <c r="IU321" s="1087"/>
      <c r="IV321" s="1087"/>
      <c r="IW321" s="1087"/>
      <c r="IX321" s="1087"/>
      <c r="IY321" s="1087"/>
      <c r="IZ321" s="1087"/>
      <c r="JA321" s="1087"/>
      <c r="JB321" s="1087"/>
      <c r="JC321" s="1087"/>
      <c r="JD321" s="1087"/>
      <c r="JE321" s="1087"/>
      <c r="JF321" s="1087"/>
      <c r="JG321" s="1087"/>
      <c r="JH321" s="1087"/>
      <c r="JI321" s="1087"/>
      <c r="JJ321" s="1087"/>
      <c r="JK321" s="1087"/>
      <c r="JL321" s="1087"/>
      <c r="JM321" s="1087"/>
      <c r="JN321" s="1087"/>
      <c r="JO321" s="1087"/>
      <c r="JP321" s="1087"/>
      <c r="JQ321" s="1087"/>
      <c r="JR321" s="1087"/>
      <c r="JS321" s="1087"/>
      <c r="JT321" s="1087"/>
      <c r="JU321" s="1087"/>
      <c r="JV321" s="1087"/>
      <c r="JW321" s="1087"/>
      <c r="JX321" s="1087"/>
      <c r="JY321" s="1087"/>
      <c r="JZ321" s="1087"/>
      <c r="KA321" s="1087"/>
      <c r="KB321" s="1092"/>
    </row>
    <row r="322" spans="2:288" ht="15" customHeight="1" x14ac:dyDescent="0.35">
      <c r="B322" s="146" t="str">
        <f t="shared" si="29"/>
        <v>Desk 3</v>
      </c>
      <c r="C322" s="148" t="str">
        <v/>
      </c>
      <c r="D322" s="148" t="str">
        <v/>
      </c>
      <c r="E322" s="148" t="str">
        <v/>
      </c>
      <c r="F322" s="148" t="str">
        <v/>
      </c>
      <c r="G322" s="268" t="str">
        <v/>
      </c>
      <c r="H322" s="1087"/>
      <c r="I322" s="1087"/>
      <c r="J322" s="1087"/>
      <c r="K322" s="1087"/>
      <c r="L322" s="1087"/>
      <c r="M322" s="1087"/>
      <c r="N322" s="1087"/>
      <c r="O322" s="1087"/>
      <c r="P322" s="1087"/>
      <c r="Q322" s="1087"/>
      <c r="R322" s="1087"/>
      <c r="S322" s="1087"/>
      <c r="T322" s="1087"/>
      <c r="U322" s="1087"/>
      <c r="V322" s="1087"/>
      <c r="W322" s="1087"/>
      <c r="X322" s="1087"/>
      <c r="Y322" s="1087"/>
      <c r="Z322" s="1087"/>
      <c r="AA322" s="1087"/>
      <c r="AB322" s="1087"/>
      <c r="AC322" s="1087"/>
      <c r="AD322" s="1087"/>
      <c r="AE322" s="1087"/>
      <c r="AF322" s="1087"/>
      <c r="AG322" s="1087"/>
      <c r="AH322" s="1087"/>
      <c r="AI322" s="1087"/>
      <c r="AJ322" s="1087"/>
      <c r="AK322" s="1087"/>
      <c r="AL322" s="1087"/>
      <c r="AM322" s="1087"/>
      <c r="AN322" s="1087"/>
      <c r="AO322" s="1087"/>
      <c r="AP322" s="1087"/>
      <c r="AQ322" s="1087"/>
      <c r="AR322" s="1087"/>
      <c r="AS322" s="1087"/>
      <c r="AT322" s="1087"/>
      <c r="AU322" s="1087"/>
      <c r="AV322" s="1087"/>
      <c r="AW322" s="1087"/>
      <c r="AX322" s="1087"/>
      <c r="AY322" s="1087"/>
      <c r="AZ322" s="1087"/>
      <c r="BA322" s="1087"/>
      <c r="BB322" s="1087"/>
      <c r="BC322" s="1087"/>
      <c r="BD322" s="1087"/>
      <c r="BE322" s="1087"/>
      <c r="BF322" s="1087"/>
      <c r="BG322" s="1087"/>
      <c r="BH322" s="1087"/>
      <c r="BI322" s="1087"/>
      <c r="BJ322" s="1087"/>
      <c r="BK322" s="1087"/>
      <c r="BL322" s="1087"/>
      <c r="BM322" s="1087"/>
      <c r="BN322" s="1087"/>
      <c r="BO322" s="1087"/>
      <c r="BP322" s="1087"/>
      <c r="BQ322" s="1087"/>
      <c r="BR322" s="1087"/>
      <c r="BS322" s="1087"/>
      <c r="BT322" s="1087"/>
      <c r="BU322" s="1087"/>
      <c r="BV322" s="1087"/>
      <c r="BW322" s="1087"/>
      <c r="BX322" s="1087"/>
      <c r="BY322" s="1087"/>
      <c r="BZ322" s="1087"/>
      <c r="CA322" s="1087"/>
      <c r="CB322" s="1087"/>
      <c r="CC322" s="1087"/>
      <c r="CD322" s="1087"/>
      <c r="CE322" s="1087"/>
      <c r="CF322" s="1087"/>
      <c r="CG322" s="1087"/>
      <c r="CH322" s="1087"/>
      <c r="CI322" s="1087"/>
      <c r="CJ322" s="1087"/>
      <c r="CK322" s="1087"/>
      <c r="CL322" s="1087"/>
      <c r="CM322" s="1087"/>
      <c r="CN322" s="1087"/>
      <c r="CO322" s="1087"/>
      <c r="CP322" s="1087"/>
      <c r="CQ322" s="1087"/>
      <c r="CR322" s="1087"/>
      <c r="CS322" s="1087"/>
      <c r="CT322" s="1087"/>
      <c r="CU322" s="1087"/>
      <c r="CV322" s="1087"/>
      <c r="CW322" s="1087"/>
      <c r="CX322" s="1087"/>
      <c r="CY322" s="1087"/>
      <c r="CZ322" s="1087"/>
      <c r="DA322" s="1087"/>
      <c r="DB322" s="1087"/>
      <c r="DC322" s="1087"/>
      <c r="DD322" s="1087"/>
      <c r="DE322" s="1087"/>
      <c r="DF322" s="1087"/>
      <c r="DG322" s="1087"/>
      <c r="DH322" s="1087"/>
      <c r="DI322" s="1087"/>
      <c r="DJ322" s="1087"/>
      <c r="DK322" s="1087"/>
      <c r="DL322" s="1087"/>
      <c r="DM322" s="1087"/>
      <c r="DN322" s="1087"/>
      <c r="DO322" s="1087"/>
      <c r="DP322" s="1087"/>
      <c r="DQ322" s="1087"/>
      <c r="DR322" s="1087"/>
      <c r="DS322" s="1087"/>
      <c r="DT322" s="1087"/>
      <c r="DU322" s="1087"/>
      <c r="DV322" s="1087"/>
      <c r="DW322" s="1087"/>
      <c r="DX322" s="1087"/>
      <c r="DY322" s="1087"/>
      <c r="DZ322" s="1087"/>
      <c r="EA322" s="1087"/>
      <c r="EB322" s="1087"/>
      <c r="EC322" s="1087"/>
      <c r="ED322" s="1087"/>
      <c r="EE322" s="1087"/>
      <c r="EF322" s="1087"/>
      <c r="EG322" s="1087"/>
      <c r="EH322" s="1087"/>
      <c r="EI322" s="1087"/>
      <c r="EJ322" s="1087"/>
      <c r="EK322" s="1087"/>
      <c r="EL322" s="1087"/>
      <c r="EM322" s="1087"/>
      <c r="EN322" s="1087"/>
      <c r="EO322" s="1087"/>
      <c r="EP322" s="1087"/>
      <c r="EQ322" s="1087"/>
      <c r="ER322" s="1087"/>
      <c r="ES322" s="1087"/>
      <c r="ET322" s="1087"/>
      <c r="EU322" s="1087"/>
      <c r="EV322" s="1087"/>
      <c r="EW322" s="1087"/>
      <c r="EX322" s="1087"/>
      <c r="EY322" s="1087"/>
      <c r="EZ322" s="1087"/>
      <c r="FA322" s="1087"/>
      <c r="FB322" s="1087"/>
      <c r="FC322" s="1087"/>
      <c r="FD322" s="1087"/>
      <c r="FE322" s="1087"/>
      <c r="FF322" s="1087"/>
      <c r="FG322" s="1087"/>
      <c r="FH322" s="1087"/>
      <c r="FI322" s="1087"/>
      <c r="FJ322" s="1087"/>
      <c r="FK322" s="1087"/>
      <c r="FL322" s="1087"/>
      <c r="FM322" s="1087"/>
      <c r="FN322" s="1087"/>
      <c r="FO322" s="1087"/>
      <c r="FP322" s="1087"/>
      <c r="FQ322" s="1087"/>
      <c r="FR322" s="1087"/>
      <c r="FS322" s="1087"/>
      <c r="FT322" s="1087"/>
      <c r="FU322" s="1087"/>
      <c r="FV322" s="1087"/>
      <c r="FW322" s="1087"/>
      <c r="FX322" s="1087"/>
      <c r="FY322" s="1087"/>
      <c r="FZ322" s="1087"/>
      <c r="GA322" s="1087"/>
      <c r="GB322" s="1087"/>
      <c r="GC322" s="1087"/>
      <c r="GD322" s="1087"/>
      <c r="GE322" s="1087"/>
      <c r="GF322" s="1087"/>
      <c r="GG322" s="1087"/>
      <c r="GH322" s="1087"/>
      <c r="GI322" s="1087"/>
      <c r="GJ322" s="1087"/>
      <c r="GK322" s="1087"/>
      <c r="GL322" s="1087"/>
      <c r="GM322" s="1087"/>
      <c r="GN322" s="1087"/>
      <c r="GO322" s="1087"/>
      <c r="GP322" s="1087"/>
      <c r="GQ322" s="1087"/>
      <c r="GR322" s="1087"/>
      <c r="GS322" s="1087"/>
      <c r="GT322" s="1087"/>
      <c r="GU322" s="1087"/>
      <c r="GV322" s="1087"/>
      <c r="GW322" s="1087"/>
      <c r="GX322" s="1087"/>
      <c r="GY322" s="1087"/>
      <c r="GZ322" s="1087"/>
      <c r="HA322" s="1087"/>
      <c r="HB322" s="1087"/>
      <c r="HC322" s="1087"/>
      <c r="HD322" s="1087"/>
      <c r="HE322" s="1087"/>
      <c r="HF322" s="1087"/>
      <c r="HG322" s="1087"/>
      <c r="HH322" s="1087"/>
      <c r="HI322" s="1087"/>
      <c r="HJ322" s="1087"/>
      <c r="HK322" s="1087"/>
      <c r="HL322" s="1087"/>
      <c r="HM322" s="1087"/>
      <c r="HN322" s="1087"/>
      <c r="HO322" s="1087"/>
      <c r="HP322" s="1087"/>
      <c r="HQ322" s="1087"/>
      <c r="HR322" s="1087"/>
      <c r="HS322" s="1087"/>
      <c r="HT322" s="1087"/>
      <c r="HU322" s="1087"/>
      <c r="HV322" s="1087"/>
      <c r="HW322" s="1087"/>
      <c r="HX322" s="1087"/>
      <c r="HY322" s="1087"/>
      <c r="HZ322" s="1087"/>
      <c r="IA322" s="1087"/>
      <c r="IB322" s="1087"/>
      <c r="IC322" s="1087"/>
      <c r="ID322" s="1087"/>
      <c r="IE322" s="1087"/>
      <c r="IF322" s="1087"/>
      <c r="IG322" s="1087"/>
      <c r="IH322" s="1087"/>
      <c r="II322" s="1087"/>
      <c r="IJ322" s="1087"/>
      <c r="IK322" s="1087"/>
      <c r="IL322" s="1087"/>
      <c r="IM322" s="1087"/>
      <c r="IN322" s="1087"/>
      <c r="IO322" s="1087"/>
      <c r="IP322" s="1087"/>
      <c r="IQ322" s="1087"/>
      <c r="IR322" s="1087"/>
      <c r="IS322" s="1087"/>
      <c r="IT322" s="1087"/>
      <c r="IU322" s="1087"/>
      <c r="IV322" s="1087"/>
      <c r="IW322" s="1087"/>
      <c r="IX322" s="1087"/>
      <c r="IY322" s="1087"/>
      <c r="IZ322" s="1087"/>
      <c r="JA322" s="1087"/>
      <c r="JB322" s="1087"/>
      <c r="JC322" s="1087"/>
      <c r="JD322" s="1087"/>
      <c r="JE322" s="1087"/>
      <c r="JF322" s="1087"/>
      <c r="JG322" s="1087"/>
      <c r="JH322" s="1087"/>
      <c r="JI322" s="1087"/>
      <c r="JJ322" s="1087"/>
      <c r="JK322" s="1087"/>
      <c r="JL322" s="1087"/>
      <c r="JM322" s="1087"/>
      <c r="JN322" s="1087"/>
      <c r="JO322" s="1087"/>
      <c r="JP322" s="1087"/>
      <c r="JQ322" s="1087"/>
      <c r="JR322" s="1087"/>
      <c r="JS322" s="1087"/>
      <c r="JT322" s="1087"/>
      <c r="JU322" s="1087"/>
      <c r="JV322" s="1087"/>
      <c r="JW322" s="1087"/>
      <c r="JX322" s="1087"/>
      <c r="JY322" s="1087"/>
      <c r="JZ322" s="1087"/>
      <c r="KA322" s="1087"/>
      <c r="KB322" s="1092"/>
    </row>
    <row r="323" spans="2:288" ht="15" customHeight="1" x14ac:dyDescent="0.35">
      <c r="B323" s="146" t="str">
        <f t="shared" si="29"/>
        <v>Desk 4</v>
      </c>
      <c r="C323" s="148" t="str">
        <v/>
      </c>
      <c r="D323" s="148" t="str">
        <v/>
      </c>
      <c r="E323" s="148" t="str">
        <v/>
      </c>
      <c r="F323" s="148" t="str">
        <v/>
      </c>
      <c r="G323" s="268" t="str">
        <v/>
      </c>
      <c r="H323" s="1087"/>
      <c r="I323" s="1087"/>
      <c r="J323" s="1087"/>
      <c r="K323" s="1087"/>
      <c r="L323" s="1087"/>
      <c r="M323" s="1087"/>
      <c r="N323" s="1087"/>
      <c r="O323" s="1087"/>
      <c r="P323" s="1087"/>
      <c r="Q323" s="1087"/>
      <c r="R323" s="1087"/>
      <c r="S323" s="1087"/>
      <c r="T323" s="1087"/>
      <c r="U323" s="1087"/>
      <c r="V323" s="1087"/>
      <c r="W323" s="1087"/>
      <c r="X323" s="1087"/>
      <c r="Y323" s="1087"/>
      <c r="Z323" s="1087"/>
      <c r="AA323" s="1087"/>
      <c r="AB323" s="1087"/>
      <c r="AC323" s="1087"/>
      <c r="AD323" s="1087"/>
      <c r="AE323" s="1087"/>
      <c r="AF323" s="1087"/>
      <c r="AG323" s="1087"/>
      <c r="AH323" s="1087"/>
      <c r="AI323" s="1087"/>
      <c r="AJ323" s="1087"/>
      <c r="AK323" s="1087"/>
      <c r="AL323" s="1087"/>
      <c r="AM323" s="1087"/>
      <c r="AN323" s="1087"/>
      <c r="AO323" s="1087"/>
      <c r="AP323" s="1087"/>
      <c r="AQ323" s="1087"/>
      <c r="AR323" s="1087"/>
      <c r="AS323" s="1087"/>
      <c r="AT323" s="1087"/>
      <c r="AU323" s="1087"/>
      <c r="AV323" s="1087"/>
      <c r="AW323" s="1087"/>
      <c r="AX323" s="1087"/>
      <c r="AY323" s="1087"/>
      <c r="AZ323" s="1087"/>
      <c r="BA323" s="1087"/>
      <c r="BB323" s="1087"/>
      <c r="BC323" s="1087"/>
      <c r="BD323" s="1087"/>
      <c r="BE323" s="1087"/>
      <c r="BF323" s="1087"/>
      <c r="BG323" s="1087"/>
      <c r="BH323" s="1087"/>
      <c r="BI323" s="1087"/>
      <c r="BJ323" s="1087"/>
      <c r="BK323" s="1087"/>
      <c r="BL323" s="1087"/>
      <c r="BM323" s="1087"/>
      <c r="BN323" s="1087"/>
      <c r="BO323" s="1087"/>
      <c r="BP323" s="1087"/>
      <c r="BQ323" s="1087"/>
      <c r="BR323" s="1087"/>
      <c r="BS323" s="1087"/>
      <c r="BT323" s="1087"/>
      <c r="BU323" s="1087"/>
      <c r="BV323" s="1087"/>
      <c r="BW323" s="1087"/>
      <c r="BX323" s="1087"/>
      <c r="BY323" s="1087"/>
      <c r="BZ323" s="1087"/>
      <c r="CA323" s="1087"/>
      <c r="CB323" s="1087"/>
      <c r="CC323" s="1087"/>
      <c r="CD323" s="1087"/>
      <c r="CE323" s="1087"/>
      <c r="CF323" s="1087"/>
      <c r="CG323" s="1087"/>
      <c r="CH323" s="1087"/>
      <c r="CI323" s="1087"/>
      <c r="CJ323" s="1087"/>
      <c r="CK323" s="1087"/>
      <c r="CL323" s="1087"/>
      <c r="CM323" s="1087"/>
      <c r="CN323" s="1087"/>
      <c r="CO323" s="1087"/>
      <c r="CP323" s="1087"/>
      <c r="CQ323" s="1087"/>
      <c r="CR323" s="1087"/>
      <c r="CS323" s="1087"/>
      <c r="CT323" s="1087"/>
      <c r="CU323" s="1087"/>
      <c r="CV323" s="1087"/>
      <c r="CW323" s="1087"/>
      <c r="CX323" s="1087"/>
      <c r="CY323" s="1087"/>
      <c r="CZ323" s="1087"/>
      <c r="DA323" s="1087"/>
      <c r="DB323" s="1087"/>
      <c r="DC323" s="1087"/>
      <c r="DD323" s="1087"/>
      <c r="DE323" s="1087"/>
      <c r="DF323" s="1087"/>
      <c r="DG323" s="1087"/>
      <c r="DH323" s="1087"/>
      <c r="DI323" s="1087"/>
      <c r="DJ323" s="1087"/>
      <c r="DK323" s="1087"/>
      <c r="DL323" s="1087"/>
      <c r="DM323" s="1087"/>
      <c r="DN323" s="1087"/>
      <c r="DO323" s="1087"/>
      <c r="DP323" s="1087"/>
      <c r="DQ323" s="1087"/>
      <c r="DR323" s="1087"/>
      <c r="DS323" s="1087"/>
      <c r="DT323" s="1087"/>
      <c r="DU323" s="1087"/>
      <c r="DV323" s="1087"/>
      <c r="DW323" s="1087"/>
      <c r="DX323" s="1087"/>
      <c r="DY323" s="1087"/>
      <c r="DZ323" s="1087"/>
      <c r="EA323" s="1087"/>
      <c r="EB323" s="1087"/>
      <c r="EC323" s="1087"/>
      <c r="ED323" s="1087"/>
      <c r="EE323" s="1087"/>
      <c r="EF323" s="1087"/>
      <c r="EG323" s="1087"/>
      <c r="EH323" s="1087"/>
      <c r="EI323" s="1087"/>
      <c r="EJ323" s="1087"/>
      <c r="EK323" s="1087"/>
      <c r="EL323" s="1087"/>
      <c r="EM323" s="1087"/>
      <c r="EN323" s="1087"/>
      <c r="EO323" s="1087"/>
      <c r="EP323" s="1087"/>
      <c r="EQ323" s="1087"/>
      <c r="ER323" s="1087"/>
      <c r="ES323" s="1087"/>
      <c r="ET323" s="1087"/>
      <c r="EU323" s="1087"/>
      <c r="EV323" s="1087"/>
      <c r="EW323" s="1087"/>
      <c r="EX323" s="1087"/>
      <c r="EY323" s="1087"/>
      <c r="EZ323" s="1087"/>
      <c r="FA323" s="1087"/>
      <c r="FB323" s="1087"/>
      <c r="FC323" s="1087"/>
      <c r="FD323" s="1087"/>
      <c r="FE323" s="1087"/>
      <c r="FF323" s="1087"/>
      <c r="FG323" s="1087"/>
      <c r="FH323" s="1087"/>
      <c r="FI323" s="1087"/>
      <c r="FJ323" s="1087"/>
      <c r="FK323" s="1087"/>
      <c r="FL323" s="1087"/>
      <c r="FM323" s="1087"/>
      <c r="FN323" s="1087"/>
      <c r="FO323" s="1087"/>
      <c r="FP323" s="1087"/>
      <c r="FQ323" s="1087"/>
      <c r="FR323" s="1087"/>
      <c r="FS323" s="1087"/>
      <c r="FT323" s="1087"/>
      <c r="FU323" s="1087"/>
      <c r="FV323" s="1087"/>
      <c r="FW323" s="1087"/>
      <c r="FX323" s="1087"/>
      <c r="FY323" s="1087"/>
      <c r="FZ323" s="1087"/>
      <c r="GA323" s="1087"/>
      <c r="GB323" s="1087"/>
      <c r="GC323" s="1087"/>
      <c r="GD323" s="1087"/>
      <c r="GE323" s="1087"/>
      <c r="GF323" s="1087"/>
      <c r="GG323" s="1087"/>
      <c r="GH323" s="1087"/>
      <c r="GI323" s="1087"/>
      <c r="GJ323" s="1087"/>
      <c r="GK323" s="1087"/>
      <c r="GL323" s="1087"/>
      <c r="GM323" s="1087"/>
      <c r="GN323" s="1087"/>
      <c r="GO323" s="1087"/>
      <c r="GP323" s="1087"/>
      <c r="GQ323" s="1087"/>
      <c r="GR323" s="1087"/>
      <c r="GS323" s="1087"/>
      <c r="GT323" s="1087"/>
      <c r="GU323" s="1087"/>
      <c r="GV323" s="1087"/>
      <c r="GW323" s="1087"/>
      <c r="GX323" s="1087"/>
      <c r="GY323" s="1087"/>
      <c r="GZ323" s="1087"/>
      <c r="HA323" s="1087"/>
      <c r="HB323" s="1087"/>
      <c r="HC323" s="1087"/>
      <c r="HD323" s="1087"/>
      <c r="HE323" s="1087"/>
      <c r="HF323" s="1087"/>
      <c r="HG323" s="1087"/>
      <c r="HH323" s="1087"/>
      <c r="HI323" s="1087"/>
      <c r="HJ323" s="1087"/>
      <c r="HK323" s="1087"/>
      <c r="HL323" s="1087"/>
      <c r="HM323" s="1087"/>
      <c r="HN323" s="1087"/>
      <c r="HO323" s="1087"/>
      <c r="HP323" s="1087"/>
      <c r="HQ323" s="1087"/>
      <c r="HR323" s="1087"/>
      <c r="HS323" s="1087"/>
      <c r="HT323" s="1087"/>
      <c r="HU323" s="1087"/>
      <c r="HV323" s="1087"/>
      <c r="HW323" s="1087"/>
      <c r="HX323" s="1087"/>
      <c r="HY323" s="1087"/>
      <c r="HZ323" s="1087"/>
      <c r="IA323" s="1087"/>
      <c r="IB323" s="1087"/>
      <c r="IC323" s="1087"/>
      <c r="ID323" s="1087"/>
      <c r="IE323" s="1087"/>
      <c r="IF323" s="1087"/>
      <c r="IG323" s="1087"/>
      <c r="IH323" s="1087"/>
      <c r="II323" s="1087"/>
      <c r="IJ323" s="1087"/>
      <c r="IK323" s="1087"/>
      <c r="IL323" s="1087"/>
      <c r="IM323" s="1087"/>
      <c r="IN323" s="1087"/>
      <c r="IO323" s="1087"/>
      <c r="IP323" s="1087"/>
      <c r="IQ323" s="1087"/>
      <c r="IR323" s="1087"/>
      <c r="IS323" s="1087"/>
      <c r="IT323" s="1087"/>
      <c r="IU323" s="1087"/>
      <c r="IV323" s="1087"/>
      <c r="IW323" s="1087"/>
      <c r="IX323" s="1087"/>
      <c r="IY323" s="1087"/>
      <c r="IZ323" s="1087"/>
      <c r="JA323" s="1087"/>
      <c r="JB323" s="1087"/>
      <c r="JC323" s="1087"/>
      <c r="JD323" s="1087"/>
      <c r="JE323" s="1087"/>
      <c r="JF323" s="1087"/>
      <c r="JG323" s="1087"/>
      <c r="JH323" s="1087"/>
      <c r="JI323" s="1087"/>
      <c r="JJ323" s="1087"/>
      <c r="JK323" s="1087"/>
      <c r="JL323" s="1087"/>
      <c r="JM323" s="1087"/>
      <c r="JN323" s="1087"/>
      <c r="JO323" s="1087"/>
      <c r="JP323" s="1087"/>
      <c r="JQ323" s="1087"/>
      <c r="JR323" s="1087"/>
      <c r="JS323" s="1087"/>
      <c r="JT323" s="1087"/>
      <c r="JU323" s="1087"/>
      <c r="JV323" s="1087"/>
      <c r="JW323" s="1087"/>
      <c r="JX323" s="1087"/>
      <c r="JY323" s="1087"/>
      <c r="JZ323" s="1087"/>
      <c r="KA323" s="1087"/>
      <c r="KB323" s="1092"/>
    </row>
    <row r="324" spans="2:288" ht="15" customHeight="1" x14ac:dyDescent="0.35">
      <c r="B324" s="146" t="str">
        <f t="shared" si="29"/>
        <v>Desk 5</v>
      </c>
      <c r="C324" s="148" t="str">
        <v/>
      </c>
      <c r="D324" s="148" t="str">
        <v/>
      </c>
      <c r="E324" s="148" t="str">
        <v/>
      </c>
      <c r="F324" s="148" t="str">
        <v/>
      </c>
      <c r="G324" s="268" t="str">
        <v/>
      </c>
      <c r="H324" s="1087"/>
      <c r="I324" s="1087"/>
      <c r="J324" s="1087"/>
      <c r="K324" s="1087"/>
      <c r="L324" s="1087"/>
      <c r="M324" s="1087"/>
      <c r="N324" s="1087"/>
      <c r="O324" s="1087"/>
      <c r="P324" s="1087"/>
      <c r="Q324" s="1087"/>
      <c r="R324" s="1087"/>
      <c r="S324" s="1087"/>
      <c r="T324" s="1087"/>
      <c r="U324" s="1087"/>
      <c r="V324" s="1087"/>
      <c r="W324" s="1087"/>
      <c r="X324" s="1087"/>
      <c r="Y324" s="1087"/>
      <c r="Z324" s="1087"/>
      <c r="AA324" s="1087"/>
      <c r="AB324" s="1087"/>
      <c r="AC324" s="1087"/>
      <c r="AD324" s="1087"/>
      <c r="AE324" s="1087"/>
      <c r="AF324" s="1087"/>
      <c r="AG324" s="1087"/>
      <c r="AH324" s="1087"/>
      <c r="AI324" s="1087"/>
      <c r="AJ324" s="1087"/>
      <c r="AK324" s="1087"/>
      <c r="AL324" s="1087"/>
      <c r="AM324" s="1087"/>
      <c r="AN324" s="1087"/>
      <c r="AO324" s="1087"/>
      <c r="AP324" s="1087"/>
      <c r="AQ324" s="1087"/>
      <c r="AR324" s="1087"/>
      <c r="AS324" s="1087"/>
      <c r="AT324" s="1087"/>
      <c r="AU324" s="1087"/>
      <c r="AV324" s="1087"/>
      <c r="AW324" s="1087"/>
      <c r="AX324" s="1087"/>
      <c r="AY324" s="1087"/>
      <c r="AZ324" s="1087"/>
      <c r="BA324" s="1087"/>
      <c r="BB324" s="1087"/>
      <c r="BC324" s="1087"/>
      <c r="BD324" s="1087"/>
      <c r="BE324" s="1087"/>
      <c r="BF324" s="1087"/>
      <c r="BG324" s="1087"/>
      <c r="BH324" s="1087"/>
      <c r="BI324" s="1087"/>
      <c r="BJ324" s="1087"/>
      <c r="BK324" s="1087"/>
      <c r="BL324" s="1087"/>
      <c r="BM324" s="1087"/>
      <c r="BN324" s="1087"/>
      <c r="BO324" s="1087"/>
      <c r="BP324" s="1087"/>
      <c r="BQ324" s="1087"/>
      <c r="BR324" s="1087"/>
      <c r="BS324" s="1087"/>
      <c r="BT324" s="1087"/>
      <c r="BU324" s="1087"/>
      <c r="BV324" s="1087"/>
      <c r="BW324" s="1087"/>
      <c r="BX324" s="1087"/>
      <c r="BY324" s="1087"/>
      <c r="BZ324" s="1087"/>
      <c r="CA324" s="1087"/>
      <c r="CB324" s="1087"/>
      <c r="CC324" s="1087"/>
      <c r="CD324" s="1087"/>
      <c r="CE324" s="1087"/>
      <c r="CF324" s="1087"/>
      <c r="CG324" s="1087"/>
      <c r="CH324" s="1087"/>
      <c r="CI324" s="1087"/>
      <c r="CJ324" s="1087"/>
      <c r="CK324" s="1087"/>
      <c r="CL324" s="1087"/>
      <c r="CM324" s="1087"/>
      <c r="CN324" s="1087"/>
      <c r="CO324" s="1087"/>
      <c r="CP324" s="1087"/>
      <c r="CQ324" s="1087"/>
      <c r="CR324" s="1087"/>
      <c r="CS324" s="1087"/>
      <c r="CT324" s="1087"/>
      <c r="CU324" s="1087"/>
      <c r="CV324" s="1087"/>
      <c r="CW324" s="1087"/>
      <c r="CX324" s="1087"/>
      <c r="CY324" s="1087"/>
      <c r="CZ324" s="1087"/>
      <c r="DA324" s="1087"/>
      <c r="DB324" s="1087"/>
      <c r="DC324" s="1087"/>
      <c r="DD324" s="1087"/>
      <c r="DE324" s="1087"/>
      <c r="DF324" s="1087"/>
      <c r="DG324" s="1087"/>
      <c r="DH324" s="1087"/>
      <c r="DI324" s="1087"/>
      <c r="DJ324" s="1087"/>
      <c r="DK324" s="1087"/>
      <c r="DL324" s="1087"/>
      <c r="DM324" s="1087"/>
      <c r="DN324" s="1087"/>
      <c r="DO324" s="1087"/>
      <c r="DP324" s="1087"/>
      <c r="DQ324" s="1087"/>
      <c r="DR324" s="1087"/>
      <c r="DS324" s="1087"/>
      <c r="DT324" s="1087"/>
      <c r="DU324" s="1087"/>
      <c r="DV324" s="1087"/>
      <c r="DW324" s="1087"/>
      <c r="DX324" s="1087"/>
      <c r="DY324" s="1087"/>
      <c r="DZ324" s="1087"/>
      <c r="EA324" s="1087"/>
      <c r="EB324" s="1087"/>
      <c r="EC324" s="1087"/>
      <c r="ED324" s="1087"/>
      <c r="EE324" s="1087"/>
      <c r="EF324" s="1087"/>
      <c r="EG324" s="1087"/>
      <c r="EH324" s="1087"/>
      <c r="EI324" s="1087"/>
      <c r="EJ324" s="1087"/>
      <c r="EK324" s="1087"/>
      <c r="EL324" s="1087"/>
      <c r="EM324" s="1087"/>
      <c r="EN324" s="1087"/>
      <c r="EO324" s="1087"/>
      <c r="EP324" s="1087"/>
      <c r="EQ324" s="1087"/>
      <c r="ER324" s="1087"/>
      <c r="ES324" s="1087"/>
      <c r="ET324" s="1087"/>
      <c r="EU324" s="1087"/>
      <c r="EV324" s="1087"/>
      <c r="EW324" s="1087"/>
      <c r="EX324" s="1087"/>
      <c r="EY324" s="1087"/>
      <c r="EZ324" s="1087"/>
      <c r="FA324" s="1087"/>
      <c r="FB324" s="1087"/>
      <c r="FC324" s="1087"/>
      <c r="FD324" s="1087"/>
      <c r="FE324" s="1087"/>
      <c r="FF324" s="1087"/>
      <c r="FG324" s="1087"/>
      <c r="FH324" s="1087"/>
      <c r="FI324" s="1087"/>
      <c r="FJ324" s="1087"/>
      <c r="FK324" s="1087"/>
      <c r="FL324" s="1087"/>
      <c r="FM324" s="1087"/>
      <c r="FN324" s="1087"/>
      <c r="FO324" s="1087"/>
      <c r="FP324" s="1087"/>
      <c r="FQ324" s="1087"/>
      <c r="FR324" s="1087"/>
      <c r="FS324" s="1087"/>
      <c r="FT324" s="1087"/>
      <c r="FU324" s="1087"/>
      <c r="FV324" s="1087"/>
      <c r="FW324" s="1087"/>
      <c r="FX324" s="1087"/>
      <c r="FY324" s="1087"/>
      <c r="FZ324" s="1087"/>
      <c r="GA324" s="1087"/>
      <c r="GB324" s="1087"/>
      <c r="GC324" s="1087"/>
      <c r="GD324" s="1087"/>
      <c r="GE324" s="1087"/>
      <c r="GF324" s="1087"/>
      <c r="GG324" s="1087"/>
      <c r="GH324" s="1087"/>
      <c r="GI324" s="1087"/>
      <c r="GJ324" s="1087"/>
      <c r="GK324" s="1087"/>
      <c r="GL324" s="1087"/>
      <c r="GM324" s="1087"/>
      <c r="GN324" s="1087"/>
      <c r="GO324" s="1087"/>
      <c r="GP324" s="1087"/>
      <c r="GQ324" s="1087"/>
      <c r="GR324" s="1087"/>
      <c r="GS324" s="1087"/>
      <c r="GT324" s="1087"/>
      <c r="GU324" s="1087"/>
      <c r="GV324" s="1087"/>
      <c r="GW324" s="1087"/>
      <c r="GX324" s="1087"/>
      <c r="GY324" s="1087"/>
      <c r="GZ324" s="1087"/>
      <c r="HA324" s="1087"/>
      <c r="HB324" s="1087"/>
      <c r="HC324" s="1087"/>
      <c r="HD324" s="1087"/>
      <c r="HE324" s="1087"/>
      <c r="HF324" s="1087"/>
      <c r="HG324" s="1087"/>
      <c r="HH324" s="1087"/>
      <c r="HI324" s="1087"/>
      <c r="HJ324" s="1087"/>
      <c r="HK324" s="1087"/>
      <c r="HL324" s="1087"/>
      <c r="HM324" s="1087"/>
      <c r="HN324" s="1087"/>
      <c r="HO324" s="1087"/>
      <c r="HP324" s="1087"/>
      <c r="HQ324" s="1087"/>
      <c r="HR324" s="1087"/>
      <c r="HS324" s="1087"/>
      <c r="HT324" s="1087"/>
      <c r="HU324" s="1087"/>
      <c r="HV324" s="1087"/>
      <c r="HW324" s="1087"/>
      <c r="HX324" s="1087"/>
      <c r="HY324" s="1087"/>
      <c r="HZ324" s="1087"/>
      <c r="IA324" s="1087"/>
      <c r="IB324" s="1087"/>
      <c r="IC324" s="1087"/>
      <c r="ID324" s="1087"/>
      <c r="IE324" s="1087"/>
      <c r="IF324" s="1087"/>
      <c r="IG324" s="1087"/>
      <c r="IH324" s="1087"/>
      <c r="II324" s="1087"/>
      <c r="IJ324" s="1087"/>
      <c r="IK324" s="1087"/>
      <c r="IL324" s="1087"/>
      <c r="IM324" s="1087"/>
      <c r="IN324" s="1087"/>
      <c r="IO324" s="1087"/>
      <c r="IP324" s="1087"/>
      <c r="IQ324" s="1087"/>
      <c r="IR324" s="1087"/>
      <c r="IS324" s="1087"/>
      <c r="IT324" s="1087"/>
      <c r="IU324" s="1087"/>
      <c r="IV324" s="1087"/>
      <c r="IW324" s="1087"/>
      <c r="IX324" s="1087"/>
      <c r="IY324" s="1087"/>
      <c r="IZ324" s="1087"/>
      <c r="JA324" s="1087"/>
      <c r="JB324" s="1087"/>
      <c r="JC324" s="1087"/>
      <c r="JD324" s="1087"/>
      <c r="JE324" s="1087"/>
      <c r="JF324" s="1087"/>
      <c r="JG324" s="1087"/>
      <c r="JH324" s="1087"/>
      <c r="JI324" s="1087"/>
      <c r="JJ324" s="1087"/>
      <c r="JK324" s="1087"/>
      <c r="JL324" s="1087"/>
      <c r="JM324" s="1087"/>
      <c r="JN324" s="1087"/>
      <c r="JO324" s="1087"/>
      <c r="JP324" s="1087"/>
      <c r="JQ324" s="1087"/>
      <c r="JR324" s="1087"/>
      <c r="JS324" s="1087"/>
      <c r="JT324" s="1087"/>
      <c r="JU324" s="1087"/>
      <c r="JV324" s="1087"/>
      <c r="JW324" s="1087"/>
      <c r="JX324" s="1087"/>
      <c r="JY324" s="1087"/>
      <c r="JZ324" s="1087"/>
      <c r="KA324" s="1087"/>
      <c r="KB324" s="1092"/>
    </row>
    <row r="325" spans="2:288" ht="15" customHeight="1" x14ac:dyDescent="0.35">
      <c r="B325" s="146" t="str">
        <f t="shared" si="29"/>
        <v>Desk 6</v>
      </c>
      <c r="C325" s="148" t="str">
        <v/>
      </c>
      <c r="D325" s="148" t="str">
        <v/>
      </c>
      <c r="E325" s="148" t="str">
        <v/>
      </c>
      <c r="F325" s="148" t="str">
        <v/>
      </c>
      <c r="G325" s="268" t="str">
        <v/>
      </c>
      <c r="H325" s="1087"/>
      <c r="I325" s="1087"/>
      <c r="J325" s="1087"/>
      <c r="K325" s="1087"/>
      <c r="L325" s="1087"/>
      <c r="M325" s="1087"/>
      <c r="N325" s="1087"/>
      <c r="O325" s="1087"/>
      <c r="P325" s="1087"/>
      <c r="Q325" s="1087"/>
      <c r="R325" s="1087"/>
      <c r="S325" s="1087"/>
      <c r="T325" s="1087"/>
      <c r="U325" s="1087"/>
      <c r="V325" s="1087"/>
      <c r="W325" s="1087"/>
      <c r="X325" s="1087"/>
      <c r="Y325" s="1087"/>
      <c r="Z325" s="1087"/>
      <c r="AA325" s="1087"/>
      <c r="AB325" s="1087"/>
      <c r="AC325" s="1087"/>
      <c r="AD325" s="1087"/>
      <c r="AE325" s="1087"/>
      <c r="AF325" s="1087"/>
      <c r="AG325" s="1087"/>
      <c r="AH325" s="1087"/>
      <c r="AI325" s="1087"/>
      <c r="AJ325" s="1087"/>
      <c r="AK325" s="1087"/>
      <c r="AL325" s="1087"/>
      <c r="AM325" s="1087"/>
      <c r="AN325" s="1087"/>
      <c r="AO325" s="1087"/>
      <c r="AP325" s="1087"/>
      <c r="AQ325" s="1087"/>
      <c r="AR325" s="1087"/>
      <c r="AS325" s="1087"/>
      <c r="AT325" s="1087"/>
      <c r="AU325" s="1087"/>
      <c r="AV325" s="1087"/>
      <c r="AW325" s="1087"/>
      <c r="AX325" s="1087"/>
      <c r="AY325" s="1087"/>
      <c r="AZ325" s="1087"/>
      <c r="BA325" s="1087"/>
      <c r="BB325" s="1087"/>
      <c r="BC325" s="1087"/>
      <c r="BD325" s="1087"/>
      <c r="BE325" s="1087"/>
      <c r="BF325" s="1087"/>
      <c r="BG325" s="1087"/>
      <c r="BH325" s="1087"/>
      <c r="BI325" s="1087"/>
      <c r="BJ325" s="1087"/>
      <c r="BK325" s="1087"/>
      <c r="BL325" s="1087"/>
      <c r="BM325" s="1087"/>
      <c r="BN325" s="1087"/>
      <c r="BO325" s="1087"/>
      <c r="BP325" s="1087"/>
      <c r="BQ325" s="1087"/>
      <c r="BR325" s="1087"/>
      <c r="BS325" s="1087"/>
      <c r="BT325" s="1087"/>
      <c r="BU325" s="1087"/>
      <c r="BV325" s="1087"/>
      <c r="BW325" s="1087"/>
      <c r="BX325" s="1087"/>
      <c r="BY325" s="1087"/>
      <c r="BZ325" s="1087"/>
      <c r="CA325" s="1087"/>
      <c r="CB325" s="1087"/>
      <c r="CC325" s="1087"/>
      <c r="CD325" s="1087"/>
      <c r="CE325" s="1087"/>
      <c r="CF325" s="1087"/>
      <c r="CG325" s="1087"/>
      <c r="CH325" s="1087"/>
      <c r="CI325" s="1087"/>
      <c r="CJ325" s="1087"/>
      <c r="CK325" s="1087"/>
      <c r="CL325" s="1087"/>
      <c r="CM325" s="1087"/>
      <c r="CN325" s="1087"/>
      <c r="CO325" s="1087"/>
      <c r="CP325" s="1087"/>
      <c r="CQ325" s="1087"/>
      <c r="CR325" s="1087"/>
      <c r="CS325" s="1087"/>
      <c r="CT325" s="1087"/>
      <c r="CU325" s="1087"/>
      <c r="CV325" s="1087"/>
      <c r="CW325" s="1087"/>
      <c r="CX325" s="1087"/>
      <c r="CY325" s="1087"/>
      <c r="CZ325" s="1087"/>
      <c r="DA325" s="1087"/>
      <c r="DB325" s="1087"/>
      <c r="DC325" s="1087"/>
      <c r="DD325" s="1087"/>
      <c r="DE325" s="1087"/>
      <c r="DF325" s="1087"/>
      <c r="DG325" s="1087"/>
      <c r="DH325" s="1087"/>
      <c r="DI325" s="1087"/>
      <c r="DJ325" s="1087"/>
      <c r="DK325" s="1087"/>
      <c r="DL325" s="1087"/>
      <c r="DM325" s="1087"/>
      <c r="DN325" s="1087"/>
      <c r="DO325" s="1087"/>
      <c r="DP325" s="1087"/>
      <c r="DQ325" s="1087"/>
      <c r="DR325" s="1087"/>
      <c r="DS325" s="1087"/>
      <c r="DT325" s="1087"/>
      <c r="DU325" s="1087"/>
      <c r="DV325" s="1087"/>
      <c r="DW325" s="1087"/>
      <c r="DX325" s="1087"/>
      <c r="DY325" s="1087"/>
      <c r="DZ325" s="1087"/>
      <c r="EA325" s="1087"/>
      <c r="EB325" s="1087"/>
      <c r="EC325" s="1087"/>
      <c r="ED325" s="1087"/>
      <c r="EE325" s="1087"/>
      <c r="EF325" s="1087"/>
      <c r="EG325" s="1087"/>
      <c r="EH325" s="1087"/>
      <c r="EI325" s="1087"/>
      <c r="EJ325" s="1087"/>
      <c r="EK325" s="1087"/>
      <c r="EL325" s="1087"/>
      <c r="EM325" s="1087"/>
      <c r="EN325" s="1087"/>
      <c r="EO325" s="1087"/>
      <c r="EP325" s="1087"/>
      <c r="EQ325" s="1087"/>
      <c r="ER325" s="1087"/>
      <c r="ES325" s="1087"/>
      <c r="ET325" s="1087"/>
      <c r="EU325" s="1087"/>
      <c r="EV325" s="1087"/>
      <c r="EW325" s="1087"/>
      <c r="EX325" s="1087"/>
      <c r="EY325" s="1087"/>
      <c r="EZ325" s="1087"/>
      <c r="FA325" s="1087"/>
      <c r="FB325" s="1087"/>
      <c r="FC325" s="1087"/>
      <c r="FD325" s="1087"/>
      <c r="FE325" s="1087"/>
      <c r="FF325" s="1087"/>
      <c r="FG325" s="1087"/>
      <c r="FH325" s="1087"/>
      <c r="FI325" s="1087"/>
      <c r="FJ325" s="1087"/>
      <c r="FK325" s="1087"/>
      <c r="FL325" s="1087"/>
      <c r="FM325" s="1087"/>
      <c r="FN325" s="1087"/>
      <c r="FO325" s="1087"/>
      <c r="FP325" s="1087"/>
      <c r="FQ325" s="1087"/>
      <c r="FR325" s="1087"/>
      <c r="FS325" s="1087"/>
      <c r="FT325" s="1087"/>
      <c r="FU325" s="1087"/>
      <c r="FV325" s="1087"/>
      <c r="FW325" s="1087"/>
      <c r="FX325" s="1087"/>
      <c r="FY325" s="1087"/>
      <c r="FZ325" s="1087"/>
      <c r="GA325" s="1087"/>
      <c r="GB325" s="1087"/>
      <c r="GC325" s="1087"/>
      <c r="GD325" s="1087"/>
      <c r="GE325" s="1087"/>
      <c r="GF325" s="1087"/>
      <c r="GG325" s="1087"/>
      <c r="GH325" s="1087"/>
      <c r="GI325" s="1087"/>
      <c r="GJ325" s="1087"/>
      <c r="GK325" s="1087"/>
      <c r="GL325" s="1087"/>
      <c r="GM325" s="1087"/>
      <c r="GN325" s="1087"/>
      <c r="GO325" s="1087"/>
      <c r="GP325" s="1087"/>
      <c r="GQ325" s="1087"/>
      <c r="GR325" s="1087"/>
      <c r="GS325" s="1087"/>
      <c r="GT325" s="1087"/>
      <c r="GU325" s="1087"/>
      <c r="GV325" s="1087"/>
      <c r="GW325" s="1087"/>
      <c r="GX325" s="1087"/>
      <c r="GY325" s="1087"/>
      <c r="GZ325" s="1087"/>
      <c r="HA325" s="1087"/>
      <c r="HB325" s="1087"/>
      <c r="HC325" s="1087"/>
      <c r="HD325" s="1087"/>
      <c r="HE325" s="1087"/>
      <c r="HF325" s="1087"/>
      <c r="HG325" s="1087"/>
      <c r="HH325" s="1087"/>
      <c r="HI325" s="1087"/>
      <c r="HJ325" s="1087"/>
      <c r="HK325" s="1087"/>
      <c r="HL325" s="1087"/>
      <c r="HM325" s="1087"/>
      <c r="HN325" s="1087"/>
      <c r="HO325" s="1087"/>
      <c r="HP325" s="1087"/>
      <c r="HQ325" s="1087"/>
      <c r="HR325" s="1087"/>
      <c r="HS325" s="1087"/>
      <c r="HT325" s="1087"/>
      <c r="HU325" s="1087"/>
      <c r="HV325" s="1087"/>
      <c r="HW325" s="1087"/>
      <c r="HX325" s="1087"/>
      <c r="HY325" s="1087"/>
      <c r="HZ325" s="1087"/>
      <c r="IA325" s="1087"/>
      <c r="IB325" s="1087"/>
      <c r="IC325" s="1087"/>
      <c r="ID325" s="1087"/>
      <c r="IE325" s="1087"/>
      <c r="IF325" s="1087"/>
      <c r="IG325" s="1087"/>
      <c r="IH325" s="1087"/>
      <c r="II325" s="1087"/>
      <c r="IJ325" s="1087"/>
      <c r="IK325" s="1087"/>
      <c r="IL325" s="1087"/>
      <c r="IM325" s="1087"/>
      <c r="IN325" s="1087"/>
      <c r="IO325" s="1087"/>
      <c r="IP325" s="1087"/>
      <c r="IQ325" s="1087"/>
      <c r="IR325" s="1087"/>
      <c r="IS325" s="1087"/>
      <c r="IT325" s="1087"/>
      <c r="IU325" s="1087"/>
      <c r="IV325" s="1087"/>
      <c r="IW325" s="1087"/>
      <c r="IX325" s="1087"/>
      <c r="IY325" s="1087"/>
      <c r="IZ325" s="1087"/>
      <c r="JA325" s="1087"/>
      <c r="JB325" s="1087"/>
      <c r="JC325" s="1087"/>
      <c r="JD325" s="1087"/>
      <c r="JE325" s="1087"/>
      <c r="JF325" s="1087"/>
      <c r="JG325" s="1087"/>
      <c r="JH325" s="1087"/>
      <c r="JI325" s="1087"/>
      <c r="JJ325" s="1087"/>
      <c r="JK325" s="1087"/>
      <c r="JL325" s="1087"/>
      <c r="JM325" s="1087"/>
      <c r="JN325" s="1087"/>
      <c r="JO325" s="1087"/>
      <c r="JP325" s="1087"/>
      <c r="JQ325" s="1087"/>
      <c r="JR325" s="1087"/>
      <c r="JS325" s="1087"/>
      <c r="JT325" s="1087"/>
      <c r="JU325" s="1087"/>
      <c r="JV325" s="1087"/>
      <c r="JW325" s="1087"/>
      <c r="JX325" s="1087"/>
      <c r="JY325" s="1087"/>
      <c r="JZ325" s="1087"/>
      <c r="KA325" s="1087"/>
      <c r="KB325" s="1092"/>
    </row>
    <row r="326" spans="2:288" ht="15" customHeight="1" x14ac:dyDescent="0.35">
      <c r="B326" s="146" t="str">
        <f t="shared" si="29"/>
        <v>Desk 7</v>
      </c>
      <c r="C326" s="148" t="str">
        <v/>
      </c>
      <c r="D326" s="148" t="str">
        <v/>
      </c>
      <c r="E326" s="148" t="str">
        <v/>
      </c>
      <c r="F326" s="148" t="str">
        <v/>
      </c>
      <c r="G326" s="268" t="str">
        <v/>
      </c>
      <c r="H326" s="1087"/>
      <c r="I326" s="1087"/>
      <c r="J326" s="1087"/>
      <c r="K326" s="1087"/>
      <c r="L326" s="1087"/>
      <c r="M326" s="1087"/>
      <c r="N326" s="1087"/>
      <c r="O326" s="1087"/>
      <c r="P326" s="1087"/>
      <c r="Q326" s="1087"/>
      <c r="R326" s="1087"/>
      <c r="S326" s="1087"/>
      <c r="T326" s="1087"/>
      <c r="U326" s="1087"/>
      <c r="V326" s="1087"/>
      <c r="W326" s="1087"/>
      <c r="X326" s="1087"/>
      <c r="Y326" s="1087"/>
      <c r="Z326" s="1087"/>
      <c r="AA326" s="1087"/>
      <c r="AB326" s="1087"/>
      <c r="AC326" s="1087"/>
      <c r="AD326" s="1087"/>
      <c r="AE326" s="1087"/>
      <c r="AF326" s="1087"/>
      <c r="AG326" s="1087"/>
      <c r="AH326" s="1087"/>
      <c r="AI326" s="1087"/>
      <c r="AJ326" s="1087"/>
      <c r="AK326" s="1087"/>
      <c r="AL326" s="1087"/>
      <c r="AM326" s="1087"/>
      <c r="AN326" s="1087"/>
      <c r="AO326" s="1087"/>
      <c r="AP326" s="1087"/>
      <c r="AQ326" s="1087"/>
      <c r="AR326" s="1087"/>
      <c r="AS326" s="1087"/>
      <c r="AT326" s="1087"/>
      <c r="AU326" s="1087"/>
      <c r="AV326" s="1087"/>
      <c r="AW326" s="1087"/>
      <c r="AX326" s="1087"/>
      <c r="AY326" s="1087"/>
      <c r="AZ326" s="1087"/>
      <c r="BA326" s="1087"/>
      <c r="BB326" s="1087"/>
      <c r="BC326" s="1087"/>
      <c r="BD326" s="1087"/>
      <c r="BE326" s="1087"/>
      <c r="BF326" s="1087"/>
      <c r="BG326" s="1087"/>
      <c r="BH326" s="1087"/>
      <c r="BI326" s="1087"/>
      <c r="BJ326" s="1087"/>
      <c r="BK326" s="1087"/>
      <c r="BL326" s="1087"/>
      <c r="BM326" s="1087"/>
      <c r="BN326" s="1087"/>
      <c r="BO326" s="1087"/>
      <c r="BP326" s="1087"/>
      <c r="BQ326" s="1087"/>
      <c r="BR326" s="1087"/>
      <c r="BS326" s="1087"/>
      <c r="BT326" s="1087"/>
      <c r="BU326" s="1087"/>
      <c r="BV326" s="1087"/>
      <c r="BW326" s="1087"/>
      <c r="BX326" s="1087"/>
      <c r="BY326" s="1087"/>
      <c r="BZ326" s="1087"/>
      <c r="CA326" s="1087"/>
      <c r="CB326" s="1087"/>
      <c r="CC326" s="1087"/>
      <c r="CD326" s="1087"/>
      <c r="CE326" s="1087"/>
      <c r="CF326" s="1087"/>
      <c r="CG326" s="1087"/>
      <c r="CH326" s="1087"/>
      <c r="CI326" s="1087"/>
      <c r="CJ326" s="1087"/>
      <c r="CK326" s="1087"/>
      <c r="CL326" s="1087"/>
      <c r="CM326" s="1087"/>
      <c r="CN326" s="1087"/>
      <c r="CO326" s="1087"/>
      <c r="CP326" s="1087"/>
      <c r="CQ326" s="1087"/>
      <c r="CR326" s="1087"/>
      <c r="CS326" s="1087"/>
      <c r="CT326" s="1087"/>
      <c r="CU326" s="1087"/>
      <c r="CV326" s="1087"/>
      <c r="CW326" s="1087"/>
      <c r="CX326" s="1087"/>
      <c r="CY326" s="1087"/>
      <c r="CZ326" s="1087"/>
      <c r="DA326" s="1087"/>
      <c r="DB326" s="1087"/>
      <c r="DC326" s="1087"/>
      <c r="DD326" s="1087"/>
      <c r="DE326" s="1087"/>
      <c r="DF326" s="1087"/>
      <c r="DG326" s="1087"/>
      <c r="DH326" s="1087"/>
      <c r="DI326" s="1087"/>
      <c r="DJ326" s="1087"/>
      <c r="DK326" s="1087"/>
      <c r="DL326" s="1087"/>
      <c r="DM326" s="1087"/>
      <c r="DN326" s="1087"/>
      <c r="DO326" s="1087"/>
      <c r="DP326" s="1087"/>
      <c r="DQ326" s="1087"/>
      <c r="DR326" s="1087"/>
      <c r="DS326" s="1087"/>
      <c r="DT326" s="1087"/>
      <c r="DU326" s="1087"/>
      <c r="DV326" s="1087"/>
      <c r="DW326" s="1087"/>
      <c r="DX326" s="1087"/>
      <c r="DY326" s="1087"/>
      <c r="DZ326" s="1087"/>
      <c r="EA326" s="1087"/>
      <c r="EB326" s="1087"/>
      <c r="EC326" s="1087"/>
      <c r="ED326" s="1087"/>
      <c r="EE326" s="1087"/>
      <c r="EF326" s="1087"/>
      <c r="EG326" s="1087"/>
      <c r="EH326" s="1087"/>
      <c r="EI326" s="1087"/>
      <c r="EJ326" s="1087"/>
      <c r="EK326" s="1087"/>
      <c r="EL326" s="1087"/>
      <c r="EM326" s="1087"/>
      <c r="EN326" s="1087"/>
      <c r="EO326" s="1087"/>
      <c r="EP326" s="1087"/>
      <c r="EQ326" s="1087"/>
      <c r="ER326" s="1087"/>
      <c r="ES326" s="1087"/>
      <c r="ET326" s="1087"/>
      <c r="EU326" s="1087"/>
      <c r="EV326" s="1087"/>
      <c r="EW326" s="1087"/>
      <c r="EX326" s="1087"/>
      <c r="EY326" s="1087"/>
      <c r="EZ326" s="1087"/>
      <c r="FA326" s="1087"/>
      <c r="FB326" s="1087"/>
      <c r="FC326" s="1087"/>
      <c r="FD326" s="1087"/>
      <c r="FE326" s="1087"/>
      <c r="FF326" s="1087"/>
      <c r="FG326" s="1087"/>
      <c r="FH326" s="1087"/>
      <c r="FI326" s="1087"/>
      <c r="FJ326" s="1087"/>
      <c r="FK326" s="1087"/>
      <c r="FL326" s="1087"/>
      <c r="FM326" s="1087"/>
      <c r="FN326" s="1087"/>
      <c r="FO326" s="1087"/>
      <c r="FP326" s="1087"/>
      <c r="FQ326" s="1087"/>
      <c r="FR326" s="1087"/>
      <c r="FS326" s="1087"/>
      <c r="FT326" s="1087"/>
      <c r="FU326" s="1087"/>
      <c r="FV326" s="1087"/>
      <c r="FW326" s="1087"/>
      <c r="FX326" s="1087"/>
      <c r="FY326" s="1087"/>
      <c r="FZ326" s="1087"/>
      <c r="GA326" s="1087"/>
      <c r="GB326" s="1087"/>
      <c r="GC326" s="1087"/>
      <c r="GD326" s="1087"/>
      <c r="GE326" s="1087"/>
      <c r="GF326" s="1087"/>
      <c r="GG326" s="1087"/>
      <c r="GH326" s="1087"/>
      <c r="GI326" s="1087"/>
      <c r="GJ326" s="1087"/>
      <c r="GK326" s="1087"/>
      <c r="GL326" s="1087"/>
      <c r="GM326" s="1087"/>
      <c r="GN326" s="1087"/>
      <c r="GO326" s="1087"/>
      <c r="GP326" s="1087"/>
      <c r="GQ326" s="1087"/>
      <c r="GR326" s="1087"/>
      <c r="GS326" s="1087"/>
      <c r="GT326" s="1087"/>
      <c r="GU326" s="1087"/>
      <c r="GV326" s="1087"/>
      <c r="GW326" s="1087"/>
      <c r="GX326" s="1087"/>
      <c r="GY326" s="1087"/>
      <c r="GZ326" s="1087"/>
      <c r="HA326" s="1087"/>
      <c r="HB326" s="1087"/>
      <c r="HC326" s="1087"/>
      <c r="HD326" s="1087"/>
      <c r="HE326" s="1087"/>
      <c r="HF326" s="1087"/>
      <c r="HG326" s="1087"/>
      <c r="HH326" s="1087"/>
      <c r="HI326" s="1087"/>
      <c r="HJ326" s="1087"/>
      <c r="HK326" s="1087"/>
      <c r="HL326" s="1087"/>
      <c r="HM326" s="1087"/>
      <c r="HN326" s="1087"/>
      <c r="HO326" s="1087"/>
      <c r="HP326" s="1087"/>
      <c r="HQ326" s="1087"/>
      <c r="HR326" s="1087"/>
      <c r="HS326" s="1087"/>
      <c r="HT326" s="1087"/>
      <c r="HU326" s="1087"/>
      <c r="HV326" s="1087"/>
      <c r="HW326" s="1087"/>
      <c r="HX326" s="1087"/>
      <c r="HY326" s="1087"/>
      <c r="HZ326" s="1087"/>
      <c r="IA326" s="1087"/>
      <c r="IB326" s="1087"/>
      <c r="IC326" s="1087"/>
      <c r="ID326" s="1087"/>
      <c r="IE326" s="1087"/>
      <c r="IF326" s="1087"/>
      <c r="IG326" s="1087"/>
      <c r="IH326" s="1087"/>
      <c r="II326" s="1087"/>
      <c r="IJ326" s="1087"/>
      <c r="IK326" s="1087"/>
      <c r="IL326" s="1087"/>
      <c r="IM326" s="1087"/>
      <c r="IN326" s="1087"/>
      <c r="IO326" s="1087"/>
      <c r="IP326" s="1087"/>
      <c r="IQ326" s="1087"/>
      <c r="IR326" s="1087"/>
      <c r="IS326" s="1087"/>
      <c r="IT326" s="1087"/>
      <c r="IU326" s="1087"/>
      <c r="IV326" s="1087"/>
      <c r="IW326" s="1087"/>
      <c r="IX326" s="1087"/>
      <c r="IY326" s="1087"/>
      <c r="IZ326" s="1087"/>
      <c r="JA326" s="1087"/>
      <c r="JB326" s="1087"/>
      <c r="JC326" s="1087"/>
      <c r="JD326" s="1087"/>
      <c r="JE326" s="1087"/>
      <c r="JF326" s="1087"/>
      <c r="JG326" s="1087"/>
      <c r="JH326" s="1087"/>
      <c r="JI326" s="1087"/>
      <c r="JJ326" s="1087"/>
      <c r="JK326" s="1087"/>
      <c r="JL326" s="1087"/>
      <c r="JM326" s="1087"/>
      <c r="JN326" s="1087"/>
      <c r="JO326" s="1087"/>
      <c r="JP326" s="1087"/>
      <c r="JQ326" s="1087"/>
      <c r="JR326" s="1087"/>
      <c r="JS326" s="1087"/>
      <c r="JT326" s="1087"/>
      <c r="JU326" s="1087"/>
      <c r="JV326" s="1087"/>
      <c r="JW326" s="1087"/>
      <c r="JX326" s="1087"/>
      <c r="JY326" s="1087"/>
      <c r="JZ326" s="1087"/>
      <c r="KA326" s="1087"/>
      <c r="KB326" s="1092"/>
    </row>
    <row r="327" spans="2:288" ht="15" customHeight="1" x14ac:dyDescent="0.35">
      <c r="B327" s="146" t="str">
        <f t="shared" si="29"/>
        <v>Desk 8</v>
      </c>
      <c r="C327" s="148" t="str">
        <v/>
      </c>
      <c r="D327" s="148" t="str">
        <v/>
      </c>
      <c r="E327" s="148" t="str">
        <v/>
      </c>
      <c r="F327" s="148" t="str">
        <v/>
      </c>
      <c r="G327" s="268" t="str">
        <v/>
      </c>
      <c r="H327" s="1087"/>
      <c r="I327" s="1087"/>
      <c r="J327" s="1087"/>
      <c r="K327" s="1087"/>
      <c r="L327" s="1087"/>
      <c r="M327" s="1087"/>
      <c r="N327" s="1087"/>
      <c r="O327" s="1087"/>
      <c r="P327" s="1087"/>
      <c r="Q327" s="1087"/>
      <c r="R327" s="1087"/>
      <c r="S327" s="1087"/>
      <c r="T327" s="1087"/>
      <c r="U327" s="1087"/>
      <c r="V327" s="1087"/>
      <c r="W327" s="1087"/>
      <c r="X327" s="1087"/>
      <c r="Y327" s="1087"/>
      <c r="Z327" s="1087"/>
      <c r="AA327" s="1087"/>
      <c r="AB327" s="1087"/>
      <c r="AC327" s="1087"/>
      <c r="AD327" s="1087"/>
      <c r="AE327" s="1087"/>
      <c r="AF327" s="1087"/>
      <c r="AG327" s="1087"/>
      <c r="AH327" s="1087"/>
      <c r="AI327" s="1087"/>
      <c r="AJ327" s="1087"/>
      <c r="AK327" s="1087"/>
      <c r="AL327" s="1087"/>
      <c r="AM327" s="1087"/>
      <c r="AN327" s="1087"/>
      <c r="AO327" s="1087"/>
      <c r="AP327" s="1087"/>
      <c r="AQ327" s="1087"/>
      <c r="AR327" s="1087"/>
      <c r="AS327" s="1087"/>
      <c r="AT327" s="1087"/>
      <c r="AU327" s="1087"/>
      <c r="AV327" s="1087"/>
      <c r="AW327" s="1087"/>
      <c r="AX327" s="1087"/>
      <c r="AY327" s="1087"/>
      <c r="AZ327" s="1087"/>
      <c r="BA327" s="1087"/>
      <c r="BB327" s="1087"/>
      <c r="BC327" s="1087"/>
      <c r="BD327" s="1087"/>
      <c r="BE327" s="1087"/>
      <c r="BF327" s="1087"/>
      <c r="BG327" s="1087"/>
      <c r="BH327" s="1087"/>
      <c r="BI327" s="1087"/>
      <c r="BJ327" s="1087"/>
      <c r="BK327" s="1087"/>
      <c r="BL327" s="1087"/>
      <c r="BM327" s="1087"/>
      <c r="BN327" s="1087"/>
      <c r="BO327" s="1087"/>
      <c r="BP327" s="1087"/>
      <c r="BQ327" s="1087"/>
      <c r="BR327" s="1087"/>
      <c r="BS327" s="1087"/>
      <c r="BT327" s="1087"/>
      <c r="BU327" s="1087"/>
      <c r="BV327" s="1087"/>
      <c r="BW327" s="1087"/>
      <c r="BX327" s="1087"/>
      <c r="BY327" s="1087"/>
      <c r="BZ327" s="1087"/>
      <c r="CA327" s="1087"/>
      <c r="CB327" s="1087"/>
      <c r="CC327" s="1087"/>
      <c r="CD327" s="1087"/>
      <c r="CE327" s="1087"/>
      <c r="CF327" s="1087"/>
      <c r="CG327" s="1087"/>
      <c r="CH327" s="1087"/>
      <c r="CI327" s="1087"/>
      <c r="CJ327" s="1087"/>
      <c r="CK327" s="1087"/>
      <c r="CL327" s="1087"/>
      <c r="CM327" s="1087"/>
      <c r="CN327" s="1087"/>
      <c r="CO327" s="1087"/>
      <c r="CP327" s="1087"/>
      <c r="CQ327" s="1087"/>
      <c r="CR327" s="1087"/>
      <c r="CS327" s="1087"/>
      <c r="CT327" s="1087"/>
      <c r="CU327" s="1087"/>
      <c r="CV327" s="1087"/>
      <c r="CW327" s="1087"/>
      <c r="CX327" s="1087"/>
      <c r="CY327" s="1087"/>
      <c r="CZ327" s="1087"/>
      <c r="DA327" s="1087"/>
      <c r="DB327" s="1087"/>
      <c r="DC327" s="1087"/>
      <c r="DD327" s="1087"/>
      <c r="DE327" s="1087"/>
      <c r="DF327" s="1087"/>
      <c r="DG327" s="1087"/>
      <c r="DH327" s="1087"/>
      <c r="DI327" s="1087"/>
      <c r="DJ327" s="1087"/>
      <c r="DK327" s="1087"/>
      <c r="DL327" s="1087"/>
      <c r="DM327" s="1087"/>
      <c r="DN327" s="1087"/>
      <c r="DO327" s="1087"/>
      <c r="DP327" s="1087"/>
      <c r="DQ327" s="1087"/>
      <c r="DR327" s="1087"/>
      <c r="DS327" s="1087"/>
      <c r="DT327" s="1087"/>
      <c r="DU327" s="1087"/>
      <c r="DV327" s="1087"/>
      <c r="DW327" s="1087"/>
      <c r="DX327" s="1087"/>
      <c r="DY327" s="1087"/>
      <c r="DZ327" s="1087"/>
      <c r="EA327" s="1087"/>
      <c r="EB327" s="1087"/>
      <c r="EC327" s="1087"/>
      <c r="ED327" s="1087"/>
      <c r="EE327" s="1087"/>
      <c r="EF327" s="1087"/>
      <c r="EG327" s="1087"/>
      <c r="EH327" s="1087"/>
      <c r="EI327" s="1087"/>
      <c r="EJ327" s="1087"/>
      <c r="EK327" s="1087"/>
      <c r="EL327" s="1087"/>
      <c r="EM327" s="1087"/>
      <c r="EN327" s="1087"/>
      <c r="EO327" s="1087"/>
      <c r="EP327" s="1087"/>
      <c r="EQ327" s="1087"/>
      <c r="ER327" s="1087"/>
      <c r="ES327" s="1087"/>
      <c r="ET327" s="1087"/>
      <c r="EU327" s="1087"/>
      <c r="EV327" s="1087"/>
      <c r="EW327" s="1087"/>
      <c r="EX327" s="1087"/>
      <c r="EY327" s="1087"/>
      <c r="EZ327" s="1087"/>
      <c r="FA327" s="1087"/>
      <c r="FB327" s="1087"/>
      <c r="FC327" s="1087"/>
      <c r="FD327" s="1087"/>
      <c r="FE327" s="1087"/>
      <c r="FF327" s="1087"/>
      <c r="FG327" s="1087"/>
      <c r="FH327" s="1087"/>
      <c r="FI327" s="1087"/>
      <c r="FJ327" s="1087"/>
      <c r="FK327" s="1087"/>
      <c r="FL327" s="1087"/>
      <c r="FM327" s="1087"/>
      <c r="FN327" s="1087"/>
      <c r="FO327" s="1087"/>
      <c r="FP327" s="1087"/>
      <c r="FQ327" s="1087"/>
      <c r="FR327" s="1087"/>
      <c r="FS327" s="1087"/>
      <c r="FT327" s="1087"/>
      <c r="FU327" s="1087"/>
      <c r="FV327" s="1087"/>
      <c r="FW327" s="1087"/>
      <c r="FX327" s="1087"/>
      <c r="FY327" s="1087"/>
      <c r="FZ327" s="1087"/>
      <c r="GA327" s="1087"/>
      <c r="GB327" s="1087"/>
      <c r="GC327" s="1087"/>
      <c r="GD327" s="1087"/>
      <c r="GE327" s="1087"/>
      <c r="GF327" s="1087"/>
      <c r="GG327" s="1087"/>
      <c r="GH327" s="1087"/>
      <c r="GI327" s="1087"/>
      <c r="GJ327" s="1087"/>
      <c r="GK327" s="1087"/>
      <c r="GL327" s="1087"/>
      <c r="GM327" s="1087"/>
      <c r="GN327" s="1087"/>
      <c r="GO327" s="1087"/>
      <c r="GP327" s="1087"/>
      <c r="GQ327" s="1087"/>
      <c r="GR327" s="1087"/>
      <c r="GS327" s="1087"/>
      <c r="GT327" s="1087"/>
      <c r="GU327" s="1087"/>
      <c r="GV327" s="1087"/>
      <c r="GW327" s="1087"/>
      <c r="GX327" s="1087"/>
      <c r="GY327" s="1087"/>
      <c r="GZ327" s="1087"/>
      <c r="HA327" s="1087"/>
      <c r="HB327" s="1087"/>
      <c r="HC327" s="1087"/>
      <c r="HD327" s="1087"/>
      <c r="HE327" s="1087"/>
      <c r="HF327" s="1087"/>
      <c r="HG327" s="1087"/>
      <c r="HH327" s="1087"/>
      <c r="HI327" s="1087"/>
      <c r="HJ327" s="1087"/>
      <c r="HK327" s="1087"/>
      <c r="HL327" s="1087"/>
      <c r="HM327" s="1087"/>
      <c r="HN327" s="1087"/>
      <c r="HO327" s="1087"/>
      <c r="HP327" s="1087"/>
      <c r="HQ327" s="1087"/>
      <c r="HR327" s="1087"/>
      <c r="HS327" s="1087"/>
      <c r="HT327" s="1087"/>
      <c r="HU327" s="1087"/>
      <c r="HV327" s="1087"/>
      <c r="HW327" s="1087"/>
      <c r="HX327" s="1087"/>
      <c r="HY327" s="1087"/>
      <c r="HZ327" s="1087"/>
      <c r="IA327" s="1087"/>
      <c r="IB327" s="1087"/>
      <c r="IC327" s="1087"/>
      <c r="ID327" s="1087"/>
      <c r="IE327" s="1087"/>
      <c r="IF327" s="1087"/>
      <c r="IG327" s="1087"/>
      <c r="IH327" s="1087"/>
      <c r="II327" s="1087"/>
      <c r="IJ327" s="1087"/>
      <c r="IK327" s="1087"/>
      <c r="IL327" s="1087"/>
      <c r="IM327" s="1087"/>
      <c r="IN327" s="1087"/>
      <c r="IO327" s="1087"/>
      <c r="IP327" s="1087"/>
      <c r="IQ327" s="1087"/>
      <c r="IR327" s="1087"/>
      <c r="IS327" s="1087"/>
      <c r="IT327" s="1087"/>
      <c r="IU327" s="1087"/>
      <c r="IV327" s="1087"/>
      <c r="IW327" s="1087"/>
      <c r="IX327" s="1087"/>
      <c r="IY327" s="1087"/>
      <c r="IZ327" s="1087"/>
      <c r="JA327" s="1087"/>
      <c r="JB327" s="1087"/>
      <c r="JC327" s="1087"/>
      <c r="JD327" s="1087"/>
      <c r="JE327" s="1087"/>
      <c r="JF327" s="1087"/>
      <c r="JG327" s="1087"/>
      <c r="JH327" s="1087"/>
      <c r="JI327" s="1087"/>
      <c r="JJ327" s="1087"/>
      <c r="JK327" s="1087"/>
      <c r="JL327" s="1087"/>
      <c r="JM327" s="1087"/>
      <c r="JN327" s="1087"/>
      <c r="JO327" s="1087"/>
      <c r="JP327" s="1087"/>
      <c r="JQ327" s="1087"/>
      <c r="JR327" s="1087"/>
      <c r="JS327" s="1087"/>
      <c r="JT327" s="1087"/>
      <c r="JU327" s="1087"/>
      <c r="JV327" s="1087"/>
      <c r="JW327" s="1087"/>
      <c r="JX327" s="1087"/>
      <c r="JY327" s="1087"/>
      <c r="JZ327" s="1087"/>
      <c r="KA327" s="1087"/>
      <c r="KB327" s="1092"/>
    </row>
    <row r="328" spans="2:288" ht="15" customHeight="1" x14ac:dyDescent="0.35">
      <c r="B328" s="146" t="str">
        <f t="shared" si="29"/>
        <v>Desk 9</v>
      </c>
      <c r="C328" s="148" t="str">
        <v/>
      </c>
      <c r="D328" s="148" t="str">
        <v/>
      </c>
      <c r="E328" s="148" t="str">
        <v/>
      </c>
      <c r="F328" s="148" t="str">
        <v/>
      </c>
      <c r="G328" s="268" t="str">
        <v/>
      </c>
      <c r="H328" s="1087"/>
      <c r="I328" s="1087"/>
      <c r="J328" s="1087"/>
      <c r="K328" s="1087"/>
      <c r="L328" s="1087"/>
      <c r="M328" s="1087"/>
      <c r="N328" s="1087"/>
      <c r="O328" s="1087"/>
      <c r="P328" s="1087"/>
      <c r="Q328" s="1087"/>
      <c r="R328" s="1087"/>
      <c r="S328" s="1087"/>
      <c r="T328" s="1087"/>
      <c r="U328" s="1087"/>
      <c r="V328" s="1087"/>
      <c r="W328" s="1087"/>
      <c r="X328" s="1087"/>
      <c r="Y328" s="1087"/>
      <c r="Z328" s="1087"/>
      <c r="AA328" s="1087"/>
      <c r="AB328" s="1087"/>
      <c r="AC328" s="1087"/>
      <c r="AD328" s="1087"/>
      <c r="AE328" s="1087"/>
      <c r="AF328" s="1087"/>
      <c r="AG328" s="1087"/>
      <c r="AH328" s="1087"/>
      <c r="AI328" s="1087"/>
      <c r="AJ328" s="1087"/>
      <c r="AK328" s="1087"/>
      <c r="AL328" s="1087"/>
      <c r="AM328" s="1087"/>
      <c r="AN328" s="1087"/>
      <c r="AO328" s="1087"/>
      <c r="AP328" s="1087"/>
      <c r="AQ328" s="1087"/>
      <c r="AR328" s="1087"/>
      <c r="AS328" s="1087"/>
      <c r="AT328" s="1087"/>
      <c r="AU328" s="1087"/>
      <c r="AV328" s="1087"/>
      <c r="AW328" s="1087"/>
      <c r="AX328" s="1087"/>
      <c r="AY328" s="1087"/>
      <c r="AZ328" s="1087"/>
      <c r="BA328" s="1087"/>
      <c r="BB328" s="1087"/>
      <c r="BC328" s="1087"/>
      <c r="BD328" s="1087"/>
      <c r="BE328" s="1087"/>
      <c r="BF328" s="1087"/>
      <c r="BG328" s="1087"/>
      <c r="BH328" s="1087"/>
      <c r="BI328" s="1087"/>
      <c r="BJ328" s="1087"/>
      <c r="BK328" s="1087"/>
      <c r="BL328" s="1087"/>
      <c r="BM328" s="1087"/>
      <c r="BN328" s="1087"/>
      <c r="BO328" s="1087"/>
      <c r="BP328" s="1087"/>
      <c r="BQ328" s="1087"/>
      <c r="BR328" s="1087"/>
      <c r="BS328" s="1087"/>
      <c r="BT328" s="1087"/>
      <c r="BU328" s="1087"/>
      <c r="BV328" s="1087"/>
      <c r="BW328" s="1087"/>
      <c r="BX328" s="1087"/>
      <c r="BY328" s="1087"/>
      <c r="BZ328" s="1087"/>
      <c r="CA328" s="1087"/>
      <c r="CB328" s="1087"/>
      <c r="CC328" s="1087"/>
      <c r="CD328" s="1087"/>
      <c r="CE328" s="1087"/>
      <c r="CF328" s="1087"/>
      <c r="CG328" s="1087"/>
      <c r="CH328" s="1087"/>
      <c r="CI328" s="1087"/>
      <c r="CJ328" s="1087"/>
      <c r="CK328" s="1087"/>
      <c r="CL328" s="1087"/>
      <c r="CM328" s="1087"/>
      <c r="CN328" s="1087"/>
      <c r="CO328" s="1087"/>
      <c r="CP328" s="1087"/>
      <c r="CQ328" s="1087"/>
      <c r="CR328" s="1087"/>
      <c r="CS328" s="1087"/>
      <c r="CT328" s="1087"/>
      <c r="CU328" s="1087"/>
      <c r="CV328" s="1087"/>
      <c r="CW328" s="1087"/>
      <c r="CX328" s="1087"/>
      <c r="CY328" s="1087"/>
      <c r="CZ328" s="1087"/>
      <c r="DA328" s="1087"/>
      <c r="DB328" s="1087"/>
      <c r="DC328" s="1087"/>
      <c r="DD328" s="1087"/>
      <c r="DE328" s="1087"/>
      <c r="DF328" s="1087"/>
      <c r="DG328" s="1087"/>
      <c r="DH328" s="1087"/>
      <c r="DI328" s="1087"/>
      <c r="DJ328" s="1087"/>
      <c r="DK328" s="1087"/>
      <c r="DL328" s="1087"/>
      <c r="DM328" s="1087"/>
      <c r="DN328" s="1087"/>
      <c r="DO328" s="1087"/>
      <c r="DP328" s="1087"/>
      <c r="DQ328" s="1087"/>
      <c r="DR328" s="1087"/>
      <c r="DS328" s="1087"/>
      <c r="DT328" s="1087"/>
      <c r="DU328" s="1087"/>
      <c r="DV328" s="1087"/>
      <c r="DW328" s="1087"/>
      <c r="DX328" s="1087"/>
      <c r="DY328" s="1087"/>
      <c r="DZ328" s="1087"/>
      <c r="EA328" s="1087"/>
      <c r="EB328" s="1087"/>
      <c r="EC328" s="1087"/>
      <c r="ED328" s="1087"/>
      <c r="EE328" s="1087"/>
      <c r="EF328" s="1087"/>
      <c r="EG328" s="1087"/>
      <c r="EH328" s="1087"/>
      <c r="EI328" s="1087"/>
      <c r="EJ328" s="1087"/>
      <c r="EK328" s="1087"/>
      <c r="EL328" s="1087"/>
      <c r="EM328" s="1087"/>
      <c r="EN328" s="1087"/>
      <c r="EO328" s="1087"/>
      <c r="EP328" s="1087"/>
      <c r="EQ328" s="1087"/>
      <c r="ER328" s="1087"/>
      <c r="ES328" s="1087"/>
      <c r="ET328" s="1087"/>
      <c r="EU328" s="1087"/>
      <c r="EV328" s="1087"/>
      <c r="EW328" s="1087"/>
      <c r="EX328" s="1087"/>
      <c r="EY328" s="1087"/>
      <c r="EZ328" s="1087"/>
      <c r="FA328" s="1087"/>
      <c r="FB328" s="1087"/>
      <c r="FC328" s="1087"/>
      <c r="FD328" s="1087"/>
      <c r="FE328" s="1087"/>
      <c r="FF328" s="1087"/>
      <c r="FG328" s="1087"/>
      <c r="FH328" s="1087"/>
      <c r="FI328" s="1087"/>
      <c r="FJ328" s="1087"/>
      <c r="FK328" s="1087"/>
      <c r="FL328" s="1087"/>
      <c r="FM328" s="1087"/>
      <c r="FN328" s="1087"/>
      <c r="FO328" s="1087"/>
      <c r="FP328" s="1087"/>
      <c r="FQ328" s="1087"/>
      <c r="FR328" s="1087"/>
      <c r="FS328" s="1087"/>
      <c r="FT328" s="1087"/>
      <c r="FU328" s="1087"/>
      <c r="FV328" s="1087"/>
      <c r="FW328" s="1087"/>
      <c r="FX328" s="1087"/>
      <c r="FY328" s="1087"/>
      <c r="FZ328" s="1087"/>
      <c r="GA328" s="1087"/>
      <c r="GB328" s="1087"/>
      <c r="GC328" s="1087"/>
      <c r="GD328" s="1087"/>
      <c r="GE328" s="1087"/>
      <c r="GF328" s="1087"/>
      <c r="GG328" s="1087"/>
      <c r="GH328" s="1087"/>
      <c r="GI328" s="1087"/>
      <c r="GJ328" s="1087"/>
      <c r="GK328" s="1087"/>
      <c r="GL328" s="1087"/>
      <c r="GM328" s="1087"/>
      <c r="GN328" s="1087"/>
      <c r="GO328" s="1087"/>
      <c r="GP328" s="1087"/>
      <c r="GQ328" s="1087"/>
      <c r="GR328" s="1087"/>
      <c r="GS328" s="1087"/>
      <c r="GT328" s="1087"/>
      <c r="GU328" s="1087"/>
      <c r="GV328" s="1087"/>
      <c r="GW328" s="1087"/>
      <c r="GX328" s="1087"/>
      <c r="GY328" s="1087"/>
      <c r="GZ328" s="1087"/>
      <c r="HA328" s="1087"/>
      <c r="HB328" s="1087"/>
      <c r="HC328" s="1087"/>
      <c r="HD328" s="1087"/>
      <c r="HE328" s="1087"/>
      <c r="HF328" s="1087"/>
      <c r="HG328" s="1087"/>
      <c r="HH328" s="1087"/>
      <c r="HI328" s="1087"/>
      <c r="HJ328" s="1087"/>
      <c r="HK328" s="1087"/>
      <c r="HL328" s="1087"/>
      <c r="HM328" s="1087"/>
      <c r="HN328" s="1087"/>
      <c r="HO328" s="1087"/>
      <c r="HP328" s="1087"/>
      <c r="HQ328" s="1087"/>
      <c r="HR328" s="1087"/>
      <c r="HS328" s="1087"/>
      <c r="HT328" s="1087"/>
      <c r="HU328" s="1087"/>
      <c r="HV328" s="1087"/>
      <c r="HW328" s="1087"/>
      <c r="HX328" s="1087"/>
      <c r="HY328" s="1087"/>
      <c r="HZ328" s="1087"/>
      <c r="IA328" s="1087"/>
      <c r="IB328" s="1087"/>
      <c r="IC328" s="1087"/>
      <c r="ID328" s="1087"/>
      <c r="IE328" s="1087"/>
      <c r="IF328" s="1087"/>
      <c r="IG328" s="1087"/>
      <c r="IH328" s="1087"/>
      <c r="II328" s="1087"/>
      <c r="IJ328" s="1087"/>
      <c r="IK328" s="1087"/>
      <c r="IL328" s="1087"/>
      <c r="IM328" s="1087"/>
      <c r="IN328" s="1087"/>
      <c r="IO328" s="1087"/>
      <c r="IP328" s="1087"/>
      <c r="IQ328" s="1087"/>
      <c r="IR328" s="1087"/>
      <c r="IS328" s="1087"/>
      <c r="IT328" s="1087"/>
      <c r="IU328" s="1087"/>
      <c r="IV328" s="1087"/>
      <c r="IW328" s="1087"/>
      <c r="IX328" s="1087"/>
      <c r="IY328" s="1087"/>
      <c r="IZ328" s="1087"/>
      <c r="JA328" s="1087"/>
      <c r="JB328" s="1087"/>
      <c r="JC328" s="1087"/>
      <c r="JD328" s="1087"/>
      <c r="JE328" s="1087"/>
      <c r="JF328" s="1087"/>
      <c r="JG328" s="1087"/>
      <c r="JH328" s="1087"/>
      <c r="JI328" s="1087"/>
      <c r="JJ328" s="1087"/>
      <c r="JK328" s="1087"/>
      <c r="JL328" s="1087"/>
      <c r="JM328" s="1087"/>
      <c r="JN328" s="1087"/>
      <c r="JO328" s="1087"/>
      <c r="JP328" s="1087"/>
      <c r="JQ328" s="1087"/>
      <c r="JR328" s="1087"/>
      <c r="JS328" s="1087"/>
      <c r="JT328" s="1087"/>
      <c r="JU328" s="1087"/>
      <c r="JV328" s="1087"/>
      <c r="JW328" s="1087"/>
      <c r="JX328" s="1087"/>
      <c r="JY328" s="1087"/>
      <c r="JZ328" s="1087"/>
      <c r="KA328" s="1087"/>
      <c r="KB328" s="1092"/>
    </row>
    <row r="329" spans="2:288" ht="15" customHeight="1" x14ac:dyDescent="0.35">
      <c r="B329" s="146" t="str">
        <f t="shared" si="29"/>
        <v>Desk 10</v>
      </c>
      <c r="C329" s="148" t="str">
        <v/>
      </c>
      <c r="D329" s="148" t="str">
        <v/>
      </c>
      <c r="E329" s="148" t="str">
        <v/>
      </c>
      <c r="F329" s="148" t="str">
        <v/>
      </c>
      <c r="G329" s="268" t="str">
        <v/>
      </c>
      <c r="H329" s="1087"/>
      <c r="I329" s="1087"/>
      <c r="J329" s="1087"/>
      <c r="K329" s="1087"/>
      <c r="L329" s="1087"/>
      <c r="M329" s="1087"/>
      <c r="N329" s="1087"/>
      <c r="O329" s="1087"/>
      <c r="P329" s="1087"/>
      <c r="Q329" s="1087"/>
      <c r="R329" s="1087"/>
      <c r="S329" s="1087"/>
      <c r="T329" s="1087"/>
      <c r="U329" s="1087"/>
      <c r="V329" s="1087"/>
      <c r="W329" s="1087"/>
      <c r="X329" s="1087"/>
      <c r="Y329" s="1087"/>
      <c r="Z329" s="1087"/>
      <c r="AA329" s="1087"/>
      <c r="AB329" s="1087"/>
      <c r="AC329" s="1087"/>
      <c r="AD329" s="1087"/>
      <c r="AE329" s="1087"/>
      <c r="AF329" s="1087"/>
      <c r="AG329" s="1087"/>
      <c r="AH329" s="1087"/>
      <c r="AI329" s="1087"/>
      <c r="AJ329" s="1087"/>
      <c r="AK329" s="1087"/>
      <c r="AL329" s="1087"/>
      <c r="AM329" s="1087"/>
      <c r="AN329" s="1087"/>
      <c r="AO329" s="1087"/>
      <c r="AP329" s="1087"/>
      <c r="AQ329" s="1087"/>
      <c r="AR329" s="1087"/>
      <c r="AS329" s="1087"/>
      <c r="AT329" s="1087"/>
      <c r="AU329" s="1087"/>
      <c r="AV329" s="1087"/>
      <c r="AW329" s="1087"/>
      <c r="AX329" s="1087"/>
      <c r="AY329" s="1087"/>
      <c r="AZ329" s="1087"/>
      <c r="BA329" s="1087"/>
      <c r="BB329" s="1087"/>
      <c r="BC329" s="1087"/>
      <c r="BD329" s="1087"/>
      <c r="BE329" s="1087"/>
      <c r="BF329" s="1087"/>
      <c r="BG329" s="1087"/>
      <c r="BH329" s="1087"/>
      <c r="BI329" s="1087"/>
      <c r="BJ329" s="1087"/>
      <c r="BK329" s="1087"/>
      <c r="BL329" s="1087"/>
      <c r="BM329" s="1087"/>
      <c r="BN329" s="1087"/>
      <c r="BO329" s="1087"/>
      <c r="BP329" s="1087"/>
      <c r="BQ329" s="1087"/>
      <c r="BR329" s="1087"/>
      <c r="BS329" s="1087"/>
      <c r="BT329" s="1087"/>
      <c r="BU329" s="1087"/>
      <c r="BV329" s="1087"/>
      <c r="BW329" s="1087"/>
      <c r="BX329" s="1087"/>
      <c r="BY329" s="1087"/>
      <c r="BZ329" s="1087"/>
      <c r="CA329" s="1087"/>
      <c r="CB329" s="1087"/>
      <c r="CC329" s="1087"/>
      <c r="CD329" s="1087"/>
      <c r="CE329" s="1087"/>
      <c r="CF329" s="1087"/>
      <c r="CG329" s="1087"/>
      <c r="CH329" s="1087"/>
      <c r="CI329" s="1087"/>
      <c r="CJ329" s="1087"/>
      <c r="CK329" s="1087"/>
      <c r="CL329" s="1087"/>
      <c r="CM329" s="1087"/>
      <c r="CN329" s="1087"/>
      <c r="CO329" s="1087"/>
      <c r="CP329" s="1087"/>
      <c r="CQ329" s="1087"/>
      <c r="CR329" s="1087"/>
      <c r="CS329" s="1087"/>
      <c r="CT329" s="1087"/>
      <c r="CU329" s="1087"/>
      <c r="CV329" s="1087"/>
      <c r="CW329" s="1087"/>
      <c r="CX329" s="1087"/>
      <c r="CY329" s="1087"/>
      <c r="CZ329" s="1087"/>
      <c r="DA329" s="1087"/>
      <c r="DB329" s="1087"/>
      <c r="DC329" s="1087"/>
      <c r="DD329" s="1087"/>
      <c r="DE329" s="1087"/>
      <c r="DF329" s="1087"/>
      <c r="DG329" s="1087"/>
      <c r="DH329" s="1087"/>
      <c r="DI329" s="1087"/>
      <c r="DJ329" s="1087"/>
      <c r="DK329" s="1087"/>
      <c r="DL329" s="1087"/>
      <c r="DM329" s="1087"/>
      <c r="DN329" s="1087"/>
      <c r="DO329" s="1087"/>
      <c r="DP329" s="1087"/>
      <c r="DQ329" s="1087"/>
      <c r="DR329" s="1087"/>
      <c r="DS329" s="1087"/>
      <c r="DT329" s="1087"/>
      <c r="DU329" s="1087"/>
      <c r="DV329" s="1087"/>
      <c r="DW329" s="1087"/>
      <c r="DX329" s="1087"/>
      <c r="DY329" s="1087"/>
      <c r="DZ329" s="1087"/>
      <c r="EA329" s="1087"/>
      <c r="EB329" s="1087"/>
      <c r="EC329" s="1087"/>
      <c r="ED329" s="1087"/>
      <c r="EE329" s="1087"/>
      <c r="EF329" s="1087"/>
      <c r="EG329" s="1087"/>
      <c r="EH329" s="1087"/>
      <c r="EI329" s="1087"/>
      <c r="EJ329" s="1087"/>
      <c r="EK329" s="1087"/>
      <c r="EL329" s="1087"/>
      <c r="EM329" s="1087"/>
      <c r="EN329" s="1087"/>
      <c r="EO329" s="1087"/>
      <c r="EP329" s="1087"/>
      <c r="EQ329" s="1087"/>
      <c r="ER329" s="1087"/>
      <c r="ES329" s="1087"/>
      <c r="ET329" s="1087"/>
      <c r="EU329" s="1087"/>
      <c r="EV329" s="1087"/>
      <c r="EW329" s="1087"/>
      <c r="EX329" s="1087"/>
      <c r="EY329" s="1087"/>
      <c r="EZ329" s="1087"/>
      <c r="FA329" s="1087"/>
      <c r="FB329" s="1087"/>
      <c r="FC329" s="1087"/>
      <c r="FD329" s="1087"/>
      <c r="FE329" s="1087"/>
      <c r="FF329" s="1087"/>
      <c r="FG329" s="1087"/>
      <c r="FH329" s="1087"/>
      <c r="FI329" s="1087"/>
      <c r="FJ329" s="1087"/>
      <c r="FK329" s="1087"/>
      <c r="FL329" s="1087"/>
      <c r="FM329" s="1087"/>
      <c r="FN329" s="1087"/>
      <c r="FO329" s="1087"/>
      <c r="FP329" s="1087"/>
      <c r="FQ329" s="1087"/>
      <c r="FR329" s="1087"/>
      <c r="FS329" s="1087"/>
      <c r="FT329" s="1087"/>
      <c r="FU329" s="1087"/>
      <c r="FV329" s="1087"/>
      <c r="FW329" s="1087"/>
      <c r="FX329" s="1087"/>
      <c r="FY329" s="1087"/>
      <c r="FZ329" s="1087"/>
      <c r="GA329" s="1087"/>
      <c r="GB329" s="1087"/>
      <c r="GC329" s="1087"/>
      <c r="GD329" s="1087"/>
      <c r="GE329" s="1087"/>
      <c r="GF329" s="1087"/>
      <c r="GG329" s="1087"/>
      <c r="GH329" s="1087"/>
      <c r="GI329" s="1087"/>
      <c r="GJ329" s="1087"/>
      <c r="GK329" s="1087"/>
      <c r="GL329" s="1087"/>
      <c r="GM329" s="1087"/>
      <c r="GN329" s="1087"/>
      <c r="GO329" s="1087"/>
      <c r="GP329" s="1087"/>
      <c r="GQ329" s="1087"/>
      <c r="GR329" s="1087"/>
      <c r="GS329" s="1087"/>
      <c r="GT329" s="1087"/>
      <c r="GU329" s="1087"/>
      <c r="GV329" s="1087"/>
      <c r="GW329" s="1087"/>
      <c r="GX329" s="1087"/>
      <c r="GY329" s="1087"/>
      <c r="GZ329" s="1087"/>
      <c r="HA329" s="1087"/>
      <c r="HB329" s="1087"/>
      <c r="HC329" s="1087"/>
      <c r="HD329" s="1087"/>
      <c r="HE329" s="1087"/>
      <c r="HF329" s="1087"/>
      <c r="HG329" s="1087"/>
      <c r="HH329" s="1087"/>
      <c r="HI329" s="1087"/>
      <c r="HJ329" s="1087"/>
      <c r="HK329" s="1087"/>
      <c r="HL329" s="1087"/>
      <c r="HM329" s="1087"/>
      <c r="HN329" s="1087"/>
      <c r="HO329" s="1087"/>
      <c r="HP329" s="1087"/>
      <c r="HQ329" s="1087"/>
      <c r="HR329" s="1087"/>
      <c r="HS329" s="1087"/>
      <c r="HT329" s="1087"/>
      <c r="HU329" s="1087"/>
      <c r="HV329" s="1087"/>
      <c r="HW329" s="1087"/>
      <c r="HX329" s="1087"/>
      <c r="HY329" s="1087"/>
      <c r="HZ329" s="1087"/>
      <c r="IA329" s="1087"/>
      <c r="IB329" s="1087"/>
      <c r="IC329" s="1087"/>
      <c r="ID329" s="1087"/>
      <c r="IE329" s="1087"/>
      <c r="IF329" s="1087"/>
      <c r="IG329" s="1087"/>
      <c r="IH329" s="1087"/>
      <c r="II329" s="1087"/>
      <c r="IJ329" s="1087"/>
      <c r="IK329" s="1087"/>
      <c r="IL329" s="1087"/>
      <c r="IM329" s="1087"/>
      <c r="IN329" s="1087"/>
      <c r="IO329" s="1087"/>
      <c r="IP329" s="1087"/>
      <c r="IQ329" s="1087"/>
      <c r="IR329" s="1087"/>
      <c r="IS329" s="1087"/>
      <c r="IT329" s="1087"/>
      <c r="IU329" s="1087"/>
      <c r="IV329" s="1087"/>
      <c r="IW329" s="1087"/>
      <c r="IX329" s="1087"/>
      <c r="IY329" s="1087"/>
      <c r="IZ329" s="1087"/>
      <c r="JA329" s="1087"/>
      <c r="JB329" s="1087"/>
      <c r="JC329" s="1087"/>
      <c r="JD329" s="1087"/>
      <c r="JE329" s="1087"/>
      <c r="JF329" s="1087"/>
      <c r="JG329" s="1087"/>
      <c r="JH329" s="1087"/>
      <c r="JI329" s="1087"/>
      <c r="JJ329" s="1087"/>
      <c r="JK329" s="1087"/>
      <c r="JL329" s="1087"/>
      <c r="JM329" s="1087"/>
      <c r="JN329" s="1087"/>
      <c r="JO329" s="1087"/>
      <c r="JP329" s="1087"/>
      <c r="JQ329" s="1087"/>
      <c r="JR329" s="1087"/>
      <c r="JS329" s="1087"/>
      <c r="JT329" s="1087"/>
      <c r="JU329" s="1087"/>
      <c r="JV329" s="1087"/>
      <c r="JW329" s="1087"/>
      <c r="JX329" s="1087"/>
      <c r="JY329" s="1087"/>
      <c r="JZ329" s="1087"/>
      <c r="KA329" s="1087"/>
      <c r="KB329" s="1092"/>
    </row>
    <row r="330" spans="2:288" ht="15" customHeight="1" x14ac:dyDescent="0.35">
      <c r="B330" s="146" t="str">
        <f t="shared" si="29"/>
        <v>Desk 11</v>
      </c>
      <c r="C330" s="148" t="str">
        <v/>
      </c>
      <c r="D330" s="148" t="str">
        <v/>
      </c>
      <c r="E330" s="148" t="str">
        <v/>
      </c>
      <c r="F330" s="148" t="str">
        <v/>
      </c>
      <c r="G330" s="268" t="str">
        <v/>
      </c>
      <c r="H330" s="1087"/>
      <c r="I330" s="1087"/>
      <c r="J330" s="1087"/>
      <c r="K330" s="1087"/>
      <c r="L330" s="1087"/>
      <c r="M330" s="1087"/>
      <c r="N330" s="1087"/>
      <c r="O330" s="1087"/>
      <c r="P330" s="1087"/>
      <c r="Q330" s="1087"/>
      <c r="R330" s="1087"/>
      <c r="S330" s="1087"/>
      <c r="T330" s="1087"/>
      <c r="U330" s="1087"/>
      <c r="V330" s="1087"/>
      <c r="W330" s="1087"/>
      <c r="X330" s="1087"/>
      <c r="Y330" s="1087"/>
      <c r="Z330" s="1087"/>
      <c r="AA330" s="1087"/>
      <c r="AB330" s="1087"/>
      <c r="AC330" s="1087"/>
      <c r="AD330" s="1087"/>
      <c r="AE330" s="1087"/>
      <c r="AF330" s="1087"/>
      <c r="AG330" s="1087"/>
      <c r="AH330" s="1087"/>
      <c r="AI330" s="1087"/>
      <c r="AJ330" s="1087"/>
      <c r="AK330" s="1087"/>
      <c r="AL330" s="1087"/>
      <c r="AM330" s="1087"/>
      <c r="AN330" s="1087"/>
      <c r="AO330" s="1087"/>
      <c r="AP330" s="1087"/>
      <c r="AQ330" s="1087"/>
      <c r="AR330" s="1087"/>
      <c r="AS330" s="1087"/>
      <c r="AT330" s="1087"/>
      <c r="AU330" s="1087"/>
      <c r="AV330" s="1087"/>
      <c r="AW330" s="1087"/>
      <c r="AX330" s="1087"/>
      <c r="AY330" s="1087"/>
      <c r="AZ330" s="1087"/>
      <c r="BA330" s="1087"/>
      <c r="BB330" s="1087"/>
      <c r="BC330" s="1087"/>
      <c r="BD330" s="1087"/>
      <c r="BE330" s="1087"/>
      <c r="BF330" s="1087"/>
      <c r="BG330" s="1087"/>
      <c r="BH330" s="1087"/>
      <c r="BI330" s="1087"/>
      <c r="BJ330" s="1087"/>
      <c r="BK330" s="1087"/>
      <c r="BL330" s="1087"/>
      <c r="BM330" s="1087"/>
      <c r="BN330" s="1087"/>
      <c r="BO330" s="1087"/>
      <c r="BP330" s="1087"/>
      <c r="BQ330" s="1087"/>
      <c r="BR330" s="1087"/>
      <c r="BS330" s="1087"/>
      <c r="BT330" s="1087"/>
      <c r="BU330" s="1087"/>
      <c r="BV330" s="1087"/>
      <c r="BW330" s="1087"/>
      <c r="BX330" s="1087"/>
      <c r="BY330" s="1087"/>
      <c r="BZ330" s="1087"/>
      <c r="CA330" s="1087"/>
      <c r="CB330" s="1087"/>
      <c r="CC330" s="1087"/>
      <c r="CD330" s="1087"/>
      <c r="CE330" s="1087"/>
      <c r="CF330" s="1087"/>
      <c r="CG330" s="1087"/>
      <c r="CH330" s="1087"/>
      <c r="CI330" s="1087"/>
      <c r="CJ330" s="1087"/>
      <c r="CK330" s="1087"/>
      <c r="CL330" s="1087"/>
      <c r="CM330" s="1087"/>
      <c r="CN330" s="1087"/>
      <c r="CO330" s="1087"/>
      <c r="CP330" s="1087"/>
      <c r="CQ330" s="1087"/>
      <c r="CR330" s="1087"/>
      <c r="CS330" s="1087"/>
      <c r="CT330" s="1087"/>
      <c r="CU330" s="1087"/>
      <c r="CV330" s="1087"/>
      <c r="CW330" s="1087"/>
      <c r="CX330" s="1087"/>
      <c r="CY330" s="1087"/>
      <c r="CZ330" s="1087"/>
      <c r="DA330" s="1087"/>
      <c r="DB330" s="1087"/>
      <c r="DC330" s="1087"/>
      <c r="DD330" s="1087"/>
      <c r="DE330" s="1087"/>
      <c r="DF330" s="1087"/>
      <c r="DG330" s="1087"/>
      <c r="DH330" s="1087"/>
      <c r="DI330" s="1087"/>
      <c r="DJ330" s="1087"/>
      <c r="DK330" s="1087"/>
      <c r="DL330" s="1087"/>
      <c r="DM330" s="1087"/>
      <c r="DN330" s="1087"/>
      <c r="DO330" s="1087"/>
      <c r="DP330" s="1087"/>
      <c r="DQ330" s="1087"/>
      <c r="DR330" s="1087"/>
      <c r="DS330" s="1087"/>
      <c r="DT330" s="1087"/>
      <c r="DU330" s="1087"/>
      <c r="DV330" s="1087"/>
      <c r="DW330" s="1087"/>
      <c r="DX330" s="1087"/>
      <c r="DY330" s="1087"/>
      <c r="DZ330" s="1087"/>
      <c r="EA330" s="1087"/>
      <c r="EB330" s="1087"/>
      <c r="EC330" s="1087"/>
      <c r="ED330" s="1087"/>
      <c r="EE330" s="1087"/>
      <c r="EF330" s="1087"/>
      <c r="EG330" s="1087"/>
      <c r="EH330" s="1087"/>
      <c r="EI330" s="1087"/>
      <c r="EJ330" s="1087"/>
      <c r="EK330" s="1087"/>
      <c r="EL330" s="1087"/>
      <c r="EM330" s="1087"/>
      <c r="EN330" s="1087"/>
      <c r="EO330" s="1087"/>
      <c r="EP330" s="1087"/>
      <c r="EQ330" s="1087"/>
      <c r="ER330" s="1087"/>
      <c r="ES330" s="1087"/>
      <c r="ET330" s="1087"/>
      <c r="EU330" s="1087"/>
      <c r="EV330" s="1087"/>
      <c r="EW330" s="1087"/>
      <c r="EX330" s="1087"/>
      <c r="EY330" s="1087"/>
      <c r="EZ330" s="1087"/>
      <c r="FA330" s="1087"/>
      <c r="FB330" s="1087"/>
      <c r="FC330" s="1087"/>
      <c r="FD330" s="1087"/>
      <c r="FE330" s="1087"/>
      <c r="FF330" s="1087"/>
      <c r="FG330" s="1087"/>
      <c r="FH330" s="1087"/>
      <c r="FI330" s="1087"/>
      <c r="FJ330" s="1087"/>
      <c r="FK330" s="1087"/>
      <c r="FL330" s="1087"/>
      <c r="FM330" s="1087"/>
      <c r="FN330" s="1087"/>
      <c r="FO330" s="1087"/>
      <c r="FP330" s="1087"/>
      <c r="FQ330" s="1087"/>
      <c r="FR330" s="1087"/>
      <c r="FS330" s="1087"/>
      <c r="FT330" s="1087"/>
      <c r="FU330" s="1087"/>
      <c r="FV330" s="1087"/>
      <c r="FW330" s="1087"/>
      <c r="FX330" s="1087"/>
      <c r="FY330" s="1087"/>
      <c r="FZ330" s="1087"/>
      <c r="GA330" s="1087"/>
      <c r="GB330" s="1087"/>
      <c r="GC330" s="1087"/>
      <c r="GD330" s="1087"/>
      <c r="GE330" s="1087"/>
      <c r="GF330" s="1087"/>
      <c r="GG330" s="1087"/>
      <c r="GH330" s="1087"/>
      <c r="GI330" s="1087"/>
      <c r="GJ330" s="1087"/>
      <c r="GK330" s="1087"/>
      <c r="GL330" s="1087"/>
      <c r="GM330" s="1087"/>
      <c r="GN330" s="1087"/>
      <c r="GO330" s="1087"/>
      <c r="GP330" s="1087"/>
      <c r="GQ330" s="1087"/>
      <c r="GR330" s="1087"/>
      <c r="GS330" s="1087"/>
      <c r="GT330" s="1087"/>
      <c r="GU330" s="1087"/>
      <c r="GV330" s="1087"/>
      <c r="GW330" s="1087"/>
      <c r="GX330" s="1087"/>
      <c r="GY330" s="1087"/>
      <c r="GZ330" s="1087"/>
      <c r="HA330" s="1087"/>
      <c r="HB330" s="1087"/>
      <c r="HC330" s="1087"/>
      <c r="HD330" s="1087"/>
      <c r="HE330" s="1087"/>
      <c r="HF330" s="1087"/>
      <c r="HG330" s="1087"/>
      <c r="HH330" s="1087"/>
      <c r="HI330" s="1087"/>
      <c r="HJ330" s="1087"/>
      <c r="HK330" s="1087"/>
      <c r="HL330" s="1087"/>
      <c r="HM330" s="1087"/>
      <c r="HN330" s="1087"/>
      <c r="HO330" s="1087"/>
      <c r="HP330" s="1087"/>
      <c r="HQ330" s="1087"/>
      <c r="HR330" s="1087"/>
      <c r="HS330" s="1087"/>
      <c r="HT330" s="1087"/>
      <c r="HU330" s="1087"/>
      <c r="HV330" s="1087"/>
      <c r="HW330" s="1087"/>
      <c r="HX330" s="1087"/>
      <c r="HY330" s="1087"/>
      <c r="HZ330" s="1087"/>
      <c r="IA330" s="1087"/>
      <c r="IB330" s="1087"/>
      <c r="IC330" s="1087"/>
      <c r="ID330" s="1087"/>
      <c r="IE330" s="1087"/>
      <c r="IF330" s="1087"/>
      <c r="IG330" s="1087"/>
      <c r="IH330" s="1087"/>
      <c r="II330" s="1087"/>
      <c r="IJ330" s="1087"/>
      <c r="IK330" s="1087"/>
      <c r="IL330" s="1087"/>
      <c r="IM330" s="1087"/>
      <c r="IN330" s="1087"/>
      <c r="IO330" s="1087"/>
      <c r="IP330" s="1087"/>
      <c r="IQ330" s="1087"/>
      <c r="IR330" s="1087"/>
      <c r="IS330" s="1087"/>
      <c r="IT330" s="1087"/>
      <c r="IU330" s="1087"/>
      <c r="IV330" s="1087"/>
      <c r="IW330" s="1087"/>
      <c r="IX330" s="1087"/>
      <c r="IY330" s="1087"/>
      <c r="IZ330" s="1087"/>
      <c r="JA330" s="1087"/>
      <c r="JB330" s="1087"/>
      <c r="JC330" s="1087"/>
      <c r="JD330" s="1087"/>
      <c r="JE330" s="1087"/>
      <c r="JF330" s="1087"/>
      <c r="JG330" s="1087"/>
      <c r="JH330" s="1087"/>
      <c r="JI330" s="1087"/>
      <c r="JJ330" s="1087"/>
      <c r="JK330" s="1087"/>
      <c r="JL330" s="1087"/>
      <c r="JM330" s="1087"/>
      <c r="JN330" s="1087"/>
      <c r="JO330" s="1087"/>
      <c r="JP330" s="1087"/>
      <c r="JQ330" s="1087"/>
      <c r="JR330" s="1087"/>
      <c r="JS330" s="1087"/>
      <c r="JT330" s="1087"/>
      <c r="JU330" s="1087"/>
      <c r="JV330" s="1087"/>
      <c r="JW330" s="1087"/>
      <c r="JX330" s="1087"/>
      <c r="JY330" s="1087"/>
      <c r="JZ330" s="1087"/>
      <c r="KA330" s="1087"/>
      <c r="KB330" s="1092"/>
    </row>
    <row r="331" spans="2:288" ht="15" customHeight="1" x14ac:dyDescent="0.35">
      <c r="B331" s="146" t="str">
        <f t="shared" si="29"/>
        <v>Desk 12</v>
      </c>
      <c r="C331" s="148" t="str">
        <v/>
      </c>
      <c r="D331" s="148" t="str">
        <v/>
      </c>
      <c r="E331" s="148" t="str">
        <v/>
      </c>
      <c r="F331" s="148" t="str">
        <v/>
      </c>
      <c r="G331" s="268" t="str">
        <v/>
      </c>
      <c r="H331" s="1087"/>
      <c r="I331" s="1087"/>
      <c r="J331" s="1087"/>
      <c r="K331" s="1087"/>
      <c r="L331" s="1087"/>
      <c r="M331" s="1087"/>
      <c r="N331" s="1087"/>
      <c r="O331" s="1087"/>
      <c r="P331" s="1087"/>
      <c r="Q331" s="1087"/>
      <c r="R331" s="1087"/>
      <c r="S331" s="1087"/>
      <c r="T331" s="1087"/>
      <c r="U331" s="1087"/>
      <c r="V331" s="1087"/>
      <c r="W331" s="1087"/>
      <c r="X331" s="1087"/>
      <c r="Y331" s="1087"/>
      <c r="Z331" s="1087"/>
      <c r="AA331" s="1087"/>
      <c r="AB331" s="1087"/>
      <c r="AC331" s="1087"/>
      <c r="AD331" s="1087"/>
      <c r="AE331" s="1087"/>
      <c r="AF331" s="1087"/>
      <c r="AG331" s="1087"/>
      <c r="AH331" s="1087"/>
      <c r="AI331" s="1087"/>
      <c r="AJ331" s="1087"/>
      <c r="AK331" s="1087"/>
      <c r="AL331" s="1087"/>
      <c r="AM331" s="1087"/>
      <c r="AN331" s="1087"/>
      <c r="AO331" s="1087"/>
      <c r="AP331" s="1087"/>
      <c r="AQ331" s="1087"/>
      <c r="AR331" s="1087"/>
      <c r="AS331" s="1087"/>
      <c r="AT331" s="1087"/>
      <c r="AU331" s="1087"/>
      <c r="AV331" s="1087"/>
      <c r="AW331" s="1087"/>
      <c r="AX331" s="1087"/>
      <c r="AY331" s="1087"/>
      <c r="AZ331" s="1087"/>
      <c r="BA331" s="1087"/>
      <c r="BB331" s="1087"/>
      <c r="BC331" s="1087"/>
      <c r="BD331" s="1087"/>
      <c r="BE331" s="1087"/>
      <c r="BF331" s="1087"/>
      <c r="BG331" s="1087"/>
      <c r="BH331" s="1087"/>
      <c r="BI331" s="1087"/>
      <c r="BJ331" s="1087"/>
      <c r="BK331" s="1087"/>
      <c r="BL331" s="1087"/>
      <c r="BM331" s="1087"/>
      <c r="BN331" s="1087"/>
      <c r="BO331" s="1087"/>
      <c r="BP331" s="1087"/>
      <c r="BQ331" s="1087"/>
      <c r="BR331" s="1087"/>
      <c r="BS331" s="1087"/>
      <c r="BT331" s="1087"/>
      <c r="BU331" s="1087"/>
      <c r="BV331" s="1087"/>
      <c r="BW331" s="1087"/>
      <c r="BX331" s="1087"/>
      <c r="BY331" s="1087"/>
      <c r="BZ331" s="1087"/>
      <c r="CA331" s="1087"/>
      <c r="CB331" s="1087"/>
      <c r="CC331" s="1087"/>
      <c r="CD331" s="1087"/>
      <c r="CE331" s="1087"/>
      <c r="CF331" s="1087"/>
      <c r="CG331" s="1087"/>
      <c r="CH331" s="1087"/>
      <c r="CI331" s="1087"/>
      <c r="CJ331" s="1087"/>
      <c r="CK331" s="1087"/>
      <c r="CL331" s="1087"/>
      <c r="CM331" s="1087"/>
      <c r="CN331" s="1087"/>
      <c r="CO331" s="1087"/>
      <c r="CP331" s="1087"/>
      <c r="CQ331" s="1087"/>
      <c r="CR331" s="1087"/>
      <c r="CS331" s="1087"/>
      <c r="CT331" s="1087"/>
      <c r="CU331" s="1087"/>
      <c r="CV331" s="1087"/>
      <c r="CW331" s="1087"/>
      <c r="CX331" s="1087"/>
      <c r="CY331" s="1087"/>
      <c r="CZ331" s="1087"/>
      <c r="DA331" s="1087"/>
      <c r="DB331" s="1087"/>
      <c r="DC331" s="1087"/>
      <c r="DD331" s="1087"/>
      <c r="DE331" s="1087"/>
      <c r="DF331" s="1087"/>
      <c r="DG331" s="1087"/>
      <c r="DH331" s="1087"/>
      <c r="DI331" s="1087"/>
      <c r="DJ331" s="1087"/>
      <c r="DK331" s="1087"/>
      <c r="DL331" s="1087"/>
      <c r="DM331" s="1087"/>
      <c r="DN331" s="1087"/>
      <c r="DO331" s="1087"/>
      <c r="DP331" s="1087"/>
      <c r="DQ331" s="1087"/>
      <c r="DR331" s="1087"/>
      <c r="DS331" s="1087"/>
      <c r="DT331" s="1087"/>
      <c r="DU331" s="1087"/>
      <c r="DV331" s="1087"/>
      <c r="DW331" s="1087"/>
      <c r="DX331" s="1087"/>
      <c r="DY331" s="1087"/>
      <c r="DZ331" s="1087"/>
      <c r="EA331" s="1087"/>
      <c r="EB331" s="1087"/>
      <c r="EC331" s="1087"/>
      <c r="ED331" s="1087"/>
      <c r="EE331" s="1087"/>
      <c r="EF331" s="1087"/>
      <c r="EG331" s="1087"/>
      <c r="EH331" s="1087"/>
      <c r="EI331" s="1087"/>
      <c r="EJ331" s="1087"/>
      <c r="EK331" s="1087"/>
      <c r="EL331" s="1087"/>
      <c r="EM331" s="1087"/>
      <c r="EN331" s="1087"/>
      <c r="EO331" s="1087"/>
      <c r="EP331" s="1087"/>
      <c r="EQ331" s="1087"/>
      <c r="ER331" s="1087"/>
      <c r="ES331" s="1087"/>
      <c r="ET331" s="1087"/>
      <c r="EU331" s="1087"/>
      <c r="EV331" s="1087"/>
      <c r="EW331" s="1087"/>
      <c r="EX331" s="1087"/>
      <c r="EY331" s="1087"/>
      <c r="EZ331" s="1087"/>
      <c r="FA331" s="1087"/>
      <c r="FB331" s="1087"/>
      <c r="FC331" s="1087"/>
      <c r="FD331" s="1087"/>
      <c r="FE331" s="1087"/>
      <c r="FF331" s="1087"/>
      <c r="FG331" s="1087"/>
      <c r="FH331" s="1087"/>
      <c r="FI331" s="1087"/>
      <c r="FJ331" s="1087"/>
      <c r="FK331" s="1087"/>
      <c r="FL331" s="1087"/>
      <c r="FM331" s="1087"/>
      <c r="FN331" s="1087"/>
      <c r="FO331" s="1087"/>
      <c r="FP331" s="1087"/>
      <c r="FQ331" s="1087"/>
      <c r="FR331" s="1087"/>
      <c r="FS331" s="1087"/>
      <c r="FT331" s="1087"/>
      <c r="FU331" s="1087"/>
      <c r="FV331" s="1087"/>
      <c r="FW331" s="1087"/>
      <c r="FX331" s="1087"/>
      <c r="FY331" s="1087"/>
      <c r="FZ331" s="1087"/>
      <c r="GA331" s="1087"/>
      <c r="GB331" s="1087"/>
      <c r="GC331" s="1087"/>
      <c r="GD331" s="1087"/>
      <c r="GE331" s="1087"/>
      <c r="GF331" s="1087"/>
      <c r="GG331" s="1087"/>
      <c r="GH331" s="1087"/>
      <c r="GI331" s="1087"/>
      <c r="GJ331" s="1087"/>
      <c r="GK331" s="1087"/>
      <c r="GL331" s="1087"/>
      <c r="GM331" s="1087"/>
      <c r="GN331" s="1087"/>
      <c r="GO331" s="1087"/>
      <c r="GP331" s="1087"/>
      <c r="GQ331" s="1087"/>
      <c r="GR331" s="1087"/>
      <c r="GS331" s="1087"/>
      <c r="GT331" s="1087"/>
      <c r="GU331" s="1087"/>
      <c r="GV331" s="1087"/>
      <c r="GW331" s="1087"/>
      <c r="GX331" s="1087"/>
      <c r="GY331" s="1087"/>
      <c r="GZ331" s="1087"/>
      <c r="HA331" s="1087"/>
      <c r="HB331" s="1087"/>
      <c r="HC331" s="1087"/>
      <c r="HD331" s="1087"/>
      <c r="HE331" s="1087"/>
      <c r="HF331" s="1087"/>
      <c r="HG331" s="1087"/>
      <c r="HH331" s="1087"/>
      <c r="HI331" s="1087"/>
      <c r="HJ331" s="1087"/>
      <c r="HK331" s="1087"/>
      <c r="HL331" s="1087"/>
      <c r="HM331" s="1087"/>
      <c r="HN331" s="1087"/>
      <c r="HO331" s="1087"/>
      <c r="HP331" s="1087"/>
      <c r="HQ331" s="1087"/>
      <c r="HR331" s="1087"/>
      <c r="HS331" s="1087"/>
      <c r="HT331" s="1087"/>
      <c r="HU331" s="1087"/>
      <c r="HV331" s="1087"/>
      <c r="HW331" s="1087"/>
      <c r="HX331" s="1087"/>
      <c r="HY331" s="1087"/>
      <c r="HZ331" s="1087"/>
      <c r="IA331" s="1087"/>
      <c r="IB331" s="1087"/>
      <c r="IC331" s="1087"/>
      <c r="ID331" s="1087"/>
      <c r="IE331" s="1087"/>
      <c r="IF331" s="1087"/>
      <c r="IG331" s="1087"/>
      <c r="IH331" s="1087"/>
      <c r="II331" s="1087"/>
      <c r="IJ331" s="1087"/>
      <c r="IK331" s="1087"/>
      <c r="IL331" s="1087"/>
      <c r="IM331" s="1087"/>
      <c r="IN331" s="1087"/>
      <c r="IO331" s="1087"/>
      <c r="IP331" s="1087"/>
      <c r="IQ331" s="1087"/>
      <c r="IR331" s="1087"/>
      <c r="IS331" s="1087"/>
      <c r="IT331" s="1087"/>
      <c r="IU331" s="1087"/>
      <c r="IV331" s="1087"/>
      <c r="IW331" s="1087"/>
      <c r="IX331" s="1087"/>
      <c r="IY331" s="1087"/>
      <c r="IZ331" s="1087"/>
      <c r="JA331" s="1087"/>
      <c r="JB331" s="1087"/>
      <c r="JC331" s="1087"/>
      <c r="JD331" s="1087"/>
      <c r="JE331" s="1087"/>
      <c r="JF331" s="1087"/>
      <c r="JG331" s="1087"/>
      <c r="JH331" s="1087"/>
      <c r="JI331" s="1087"/>
      <c r="JJ331" s="1087"/>
      <c r="JK331" s="1087"/>
      <c r="JL331" s="1087"/>
      <c r="JM331" s="1087"/>
      <c r="JN331" s="1087"/>
      <c r="JO331" s="1087"/>
      <c r="JP331" s="1087"/>
      <c r="JQ331" s="1087"/>
      <c r="JR331" s="1087"/>
      <c r="JS331" s="1087"/>
      <c r="JT331" s="1087"/>
      <c r="JU331" s="1087"/>
      <c r="JV331" s="1087"/>
      <c r="JW331" s="1087"/>
      <c r="JX331" s="1087"/>
      <c r="JY331" s="1087"/>
      <c r="JZ331" s="1087"/>
      <c r="KA331" s="1087"/>
      <c r="KB331" s="1092"/>
    </row>
    <row r="332" spans="2:288" ht="15" customHeight="1" x14ac:dyDescent="0.35">
      <c r="B332" s="146" t="str">
        <f t="shared" si="29"/>
        <v>Desk 13</v>
      </c>
      <c r="C332" s="148" t="str">
        <v/>
      </c>
      <c r="D332" s="148" t="str">
        <v/>
      </c>
      <c r="E332" s="148" t="str">
        <v/>
      </c>
      <c r="F332" s="148" t="str">
        <v/>
      </c>
      <c r="G332" s="268" t="str">
        <v/>
      </c>
      <c r="H332" s="1087"/>
      <c r="I332" s="1087"/>
      <c r="J332" s="1087"/>
      <c r="K332" s="1087"/>
      <c r="L332" s="1087"/>
      <c r="M332" s="1087"/>
      <c r="N332" s="1087"/>
      <c r="O332" s="1087"/>
      <c r="P332" s="1087"/>
      <c r="Q332" s="1087"/>
      <c r="R332" s="1087"/>
      <c r="S332" s="1087"/>
      <c r="T332" s="1087"/>
      <c r="U332" s="1087"/>
      <c r="V332" s="1087"/>
      <c r="W332" s="1087"/>
      <c r="X332" s="1087"/>
      <c r="Y332" s="1087"/>
      <c r="Z332" s="1087"/>
      <c r="AA332" s="1087"/>
      <c r="AB332" s="1087"/>
      <c r="AC332" s="1087"/>
      <c r="AD332" s="1087"/>
      <c r="AE332" s="1087"/>
      <c r="AF332" s="1087"/>
      <c r="AG332" s="1087"/>
      <c r="AH332" s="1087"/>
      <c r="AI332" s="1087"/>
      <c r="AJ332" s="1087"/>
      <c r="AK332" s="1087"/>
      <c r="AL332" s="1087"/>
      <c r="AM332" s="1087"/>
      <c r="AN332" s="1087"/>
      <c r="AO332" s="1087"/>
      <c r="AP332" s="1087"/>
      <c r="AQ332" s="1087"/>
      <c r="AR332" s="1087"/>
      <c r="AS332" s="1087"/>
      <c r="AT332" s="1087"/>
      <c r="AU332" s="1087"/>
      <c r="AV332" s="1087"/>
      <c r="AW332" s="1087"/>
      <c r="AX332" s="1087"/>
      <c r="AY332" s="1087"/>
      <c r="AZ332" s="1087"/>
      <c r="BA332" s="1087"/>
      <c r="BB332" s="1087"/>
      <c r="BC332" s="1087"/>
      <c r="BD332" s="1087"/>
      <c r="BE332" s="1087"/>
      <c r="BF332" s="1087"/>
      <c r="BG332" s="1087"/>
      <c r="BH332" s="1087"/>
      <c r="BI332" s="1087"/>
      <c r="BJ332" s="1087"/>
      <c r="BK332" s="1087"/>
      <c r="BL332" s="1087"/>
      <c r="BM332" s="1087"/>
      <c r="BN332" s="1087"/>
      <c r="BO332" s="1087"/>
      <c r="BP332" s="1087"/>
      <c r="BQ332" s="1087"/>
      <c r="BR332" s="1087"/>
      <c r="BS332" s="1087"/>
      <c r="BT332" s="1087"/>
      <c r="BU332" s="1087"/>
      <c r="BV332" s="1087"/>
      <c r="BW332" s="1087"/>
      <c r="BX332" s="1087"/>
      <c r="BY332" s="1087"/>
      <c r="BZ332" s="1087"/>
      <c r="CA332" s="1087"/>
      <c r="CB332" s="1087"/>
      <c r="CC332" s="1087"/>
      <c r="CD332" s="1087"/>
      <c r="CE332" s="1087"/>
      <c r="CF332" s="1087"/>
      <c r="CG332" s="1087"/>
      <c r="CH332" s="1087"/>
      <c r="CI332" s="1087"/>
      <c r="CJ332" s="1087"/>
      <c r="CK332" s="1087"/>
      <c r="CL332" s="1087"/>
      <c r="CM332" s="1087"/>
      <c r="CN332" s="1087"/>
      <c r="CO332" s="1087"/>
      <c r="CP332" s="1087"/>
      <c r="CQ332" s="1087"/>
      <c r="CR332" s="1087"/>
      <c r="CS332" s="1087"/>
      <c r="CT332" s="1087"/>
      <c r="CU332" s="1087"/>
      <c r="CV332" s="1087"/>
      <c r="CW332" s="1087"/>
      <c r="CX332" s="1087"/>
      <c r="CY332" s="1087"/>
      <c r="CZ332" s="1087"/>
      <c r="DA332" s="1087"/>
      <c r="DB332" s="1087"/>
      <c r="DC332" s="1087"/>
      <c r="DD332" s="1087"/>
      <c r="DE332" s="1087"/>
      <c r="DF332" s="1087"/>
      <c r="DG332" s="1087"/>
      <c r="DH332" s="1087"/>
      <c r="DI332" s="1087"/>
      <c r="DJ332" s="1087"/>
      <c r="DK332" s="1087"/>
      <c r="DL332" s="1087"/>
      <c r="DM332" s="1087"/>
      <c r="DN332" s="1087"/>
      <c r="DO332" s="1087"/>
      <c r="DP332" s="1087"/>
      <c r="DQ332" s="1087"/>
      <c r="DR332" s="1087"/>
      <c r="DS332" s="1087"/>
      <c r="DT332" s="1087"/>
      <c r="DU332" s="1087"/>
      <c r="DV332" s="1087"/>
      <c r="DW332" s="1087"/>
      <c r="DX332" s="1087"/>
      <c r="DY332" s="1087"/>
      <c r="DZ332" s="1087"/>
      <c r="EA332" s="1087"/>
      <c r="EB332" s="1087"/>
      <c r="EC332" s="1087"/>
      <c r="ED332" s="1087"/>
      <c r="EE332" s="1087"/>
      <c r="EF332" s="1087"/>
      <c r="EG332" s="1087"/>
      <c r="EH332" s="1087"/>
      <c r="EI332" s="1087"/>
      <c r="EJ332" s="1087"/>
      <c r="EK332" s="1087"/>
      <c r="EL332" s="1087"/>
      <c r="EM332" s="1087"/>
      <c r="EN332" s="1087"/>
      <c r="EO332" s="1087"/>
      <c r="EP332" s="1087"/>
      <c r="EQ332" s="1087"/>
      <c r="ER332" s="1087"/>
      <c r="ES332" s="1087"/>
      <c r="ET332" s="1087"/>
      <c r="EU332" s="1087"/>
      <c r="EV332" s="1087"/>
      <c r="EW332" s="1087"/>
      <c r="EX332" s="1087"/>
      <c r="EY332" s="1087"/>
      <c r="EZ332" s="1087"/>
      <c r="FA332" s="1087"/>
      <c r="FB332" s="1087"/>
      <c r="FC332" s="1087"/>
      <c r="FD332" s="1087"/>
      <c r="FE332" s="1087"/>
      <c r="FF332" s="1087"/>
      <c r="FG332" s="1087"/>
      <c r="FH332" s="1087"/>
      <c r="FI332" s="1087"/>
      <c r="FJ332" s="1087"/>
      <c r="FK332" s="1087"/>
      <c r="FL332" s="1087"/>
      <c r="FM332" s="1087"/>
      <c r="FN332" s="1087"/>
      <c r="FO332" s="1087"/>
      <c r="FP332" s="1087"/>
      <c r="FQ332" s="1087"/>
      <c r="FR332" s="1087"/>
      <c r="FS332" s="1087"/>
      <c r="FT332" s="1087"/>
      <c r="FU332" s="1087"/>
      <c r="FV332" s="1087"/>
      <c r="FW332" s="1087"/>
      <c r="FX332" s="1087"/>
      <c r="FY332" s="1087"/>
      <c r="FZ332" s="1087"/>
      <c r="GA332" s="1087"/>
      <c r="GB332" s="1087"/>
      <c r="GC332" s="1087"/>
      <c r="GD332" s="1087"/>
      <c r="GE332" s="1087"/>
      <c r="GF332" s="1087"/>
      <c r="GG332" s="1087"/>
      <c r="GH332" s="1087"/>
      <c r="GI332" s="1087"/>
      <c r="GJ332" s="1087"/>
      <c r="GK332" s="1087"/>
      <c r="GL332" s="1087"/>
      <c r="GM332" s="1087"/>
      <c r="GN332" s="1087"/>
      <c r="GO332" s="1087"/>
      <c r="GP332" s="1087"/>
      <c r="GQ332" s="1087"/>
      <c r="GR332" s="1087"/>
      <c r="GS332" s="1087"/>
      <c r="GT332" s="1087"/>
      <c r="GU332" s="1087"/>
      <c r="GV332" s="1087"/>
      <c r="GW332" s="1087"/>
      <c r="GX332" s="1087"/>
      <c r="GY332" s="1087"/>
      <c r="GZ332" s="1087"/>
      <c r="HA332" s="1087"/>
      <c r="HB332" s="1087"/>
      <c r="HC332" s="1087"/>
      <c r="HD332" s="1087"/>
      <c r="HE332" s="1087"/>
      <c r="HF332" s="1087"/>
      <c r="HG332" s="1087"/>
      <c r="HH332" s="1087"/>
      <c r="HI332" s="1087"/>
      <c r="HJ332" s="1087"/>
      <c r="HK332" s="1087"/>
      <c r="HL332" s="1087"/>
      <c r="HM332" s="1087"/>
      <c r="HN332" s="1087"/>
      <c r="HO332" s="1087"/>
      <c r="HP332" s="1087"/>
      <c r="HQ332" s="1087"/>
      <c r="HR332" s="1087"/>
      <c r="HS332" s="1087"/>
      <c r="HT332" s="1087"/>
      <c r="HU332" s="1087"/>
      <c r="HV332" s="1087"/>
      <c r="HW332" s="1087"/>
      <c r="HX332" s="1087"/>
      <c r="HY332" s="1087"/>
      <c r="HZ332" s="1087"/>
      <c r="IA332" s="1087"/>
      <c r="IB332" s="1087"/>
      <c r="IC332" s="1087"/>
      <c r="ID332" s="1087"/>
      <c r="IE332" s="1087"/>
      <c r="IF332" s="1087"/>
      <c r="IG332" s="1087"/>
      <c r="IH332" s="1087"/>
      <c r="II332" s="1087"/>
      <c r="IJ332" s="1087"/>
      <c r="IK332" s="1087"/>
      <c r="IL332" s="1087"/>
      <c r="IM332" s="1087"/>
      <c r="IN332" s="1087"/>
      <c r="IO332" s="1087"/>
      <c r="IP332" s="1087"/>
      <c r="IQ332" s="1087"/>
      <c r="IR332" s="1087"/>
      <c r="IS332" s="1087"/>
      <c r="IT332" s="1087"/>
      <c r="IU332" s="1087"/>
      <c r="IV332" s="1087"/>
      <c r="IW332" s="1087"/>
      <c r="IX332" s="1087"/>
      <c r="IY332" s="1087"/>
      <c r="IZ332" s="1087"/>
      <c r="JA332" s="1087"/>
      <c r="JB332" s="1087"/>
      <c r="JC332" s="1087"/>
      <c r="JD332" s="1087"/>
      <c r="JE332" s="1087"/>
      <c r="JF332" s="1087"/>
      <c r="JG332" s="1087"/>
      <c r="JH332" s="1087"/>
      <c r="JI332" s="1087"/>
      <c r="JJ332" s="1087"/>
      <c r="JK332" s="1087"/>
      <c r="JL332" s="1087"/>
      <c r="JM332" s="1087"/>
      <c r="JN332" s="1087"/>
      <c r="JO332" s="1087"/>
      <c r="JP332" s="1087"/>
      <c r="JQ332" s="1087"/>
      <c r="JR332" s="1087"/>
      <c r="JS332" s="1087"/>
      <c r="JT332" s="1087"/>
      <c r="JU332" s="1087"/>
      <c r="JV332" s="1087"/>
      <c r="JW332" s="1087"/>
      <c r="JX332" s="1087"/>
      <c r="JY332" s="1087"/>
      <c r="JZ332" s="1087"/>
      <c r="KA332" s="1087"/>
      <c r="KB332" s="1092"/>
    </row>
    <row r="333" spans="2:288" ht="15" customHeight="1" x14ac:dyDescent="0.35">
      <c r="B333" s="146" t="str">
        <f t="shared" si="29"/>
        <v>Desk 14</v>
      </c>
      <c r="C333" s="148" t="str">
        <v/>
      </c>
      <c r="D333" s="148" t="str">
        <v/>
      </c>
      <c r="E333" s="148" t="str">
        <v/>
      </c>
      <c r="F333" s="148" t="str">
        <v/>
      </c>
      <c r="G333" s="268" t="str">
        <v/>
      </c>
      <c r="H333" s="1087"/>
      <c r="I333" s="1087"/>
      <c r="J333" s="1087"/>
      <c r="K333" s="1087"/>
      <c r="L333" s="1087"/>
      <c r="M333" s="1087"/>
      <c r="N333" s="1087"/>
      <c r="O333" s="1087"/>
      <c r="P333" s="1087"/>
      <c r="Q333" s="1087"/>
      <c r="R333" s="1087"/>
      <c r="S333" s="1087"/>
      <c r="T333" s="1087"/>
      <c r="U333" s="1087"/>
      <c r="V333" s="1087"/>
      <c r="W333" s="1087"/>
      <c r="X333" s="1087"/>
      <c r="Y333" s="1087"/>
      <c r="Z333" s="1087"/>
      <c r="AA333" s="1087"/>
      <c r="AB333" s="1087"/>
      <c r="AC333" s="1087"/>
      <c r="AD333" s="1087"/>
      <c r="AE333" s="1087"/>
      <c r="AF333" s="1087"/>
      <c r="AG333" s="1087"/>
      <c r="AH333" s="1087"/>
      <c r="AI333" s="1087"/>
      <c r="AJ333" s="1087"/>
      <c r="AK333" s="1087"/>
      <c r="AL333" s="1087"/>
      <c r="AM333" s="1087"/>
      <c r="AN333" s="1087"/>
      <c r="AO333" s="1087"/>
      <c r="AP333" s="1087"/>
      <c r="AQ333" s="1087"/>
      <c r="AR333" s="1087"/>
      <c r="AS333" s="1087"/>
      <c r="AT333" s="1087"/>
      <c r="AU333" s="1087"/>
      <c r="AV333" s="1087"/>
      <c r="AW333" s="1087"/>
      <c r="AX333" s="1087"/>
      <c r="AY333" s="1087"/>
      <c r="AZ333" s="1087"/>
      <c r="BA333" s="1087"/>
      <c r="BB333" s="1087"/>
      <c r="BC333" s="1087"/>
      <c r="BD333" s="1087"/>
      <c r="BE333" s="1087"/>
      <c r="BF333" s="1087"/>
      <c r="BG333" s="1087"/>
      <c r="BH333" s="1087"/>
      <c r="BI333" s="1087"/>
      <c r="BJ333" s="1087"/>
      <c r="BK333" s="1087"/>
      <c r="BL333" s="1087"/>
      <c r="BM333" s="1087"/>
      <c r="BN333" s="1087"/>
      <c r="BO333" s="1087"/>
      <c r="BP333" s="1087"/>
      <c r="BQ333" s="1087"/>
      <c r="BR333" s="1087"/>
      <c r="BS333" s="1087"/>
      <c r="BT333" s="1087"/>
      <c r="BU333" s="1087"/>
      <c r="BV333" s="1087"/>
      <c r="BW333" s="1087"/>
      <c r="BX333" s="1087"/>
      <c r="BY333" s="1087"/>
      <c r="BZ333" s="1087"/>
      <c r="CA333" s="1087"/>
      <c r="CB333" s="1087"/>
      <c r="CC333" s="1087"/>
      <c r="CD333" s="1087"/>
      <c r="CE333" s="1087"/>
      <c r="CF333" s="1087"/>
      <c r="CG333" s="1087"/>
      <c r="CH333" s="1087"/>
      <c r="CI333" s="1087"/>
      <c r="CJ333" s="1087"/>
      <c r="CK333" s="1087"/>
      <c r="CL333" s="1087"/>
      <c r="CM333" s="1087"/>
      <c r="CN333" s="1087"/>
      <c r="CO333" s="1087"/>
      <c r="CP333" s="1087"/>
      <c r="CQ333" s="1087"/>
      <c r="CR333" s="1087"/>
      <c r="CS333" s="1087"/>
      <c r="CT333" s="1087"/>
      <c r="CU333" s="1087"/>
      <c r="CV333" s="1087"/>
      <c r="CW333" s="1087"/>
      <c r="CX333" s="1087"/>
      <c r="CY333" s="1087"/>
      <c r="CZ333" s="1087"/>
      <c r="DA333" s="1087"/>
      <c r="DB333" s="1087"/>
      <c r="DC333" s="1087"/>
      <c r="DD333" s="1087"/>
      <c r="DE333" s="1087"/>
      <c r="DF333" s="1087"/>
      <c r="DG333" s="1087"/>
      <c r="DH333" s="1087"/>
      <c r="DI333" s="1087"/>
      <c r="DJ333" s="1087"/>
      <c r="DK333" s="1087"/>
      <c r="DL333" s="1087"/>
      <c r="DM333" s="1087"/>
      <c r="DN333" s="1087"/>
      <c r="DO333" s="1087"/>
      <c r="DP333" s="1087"/>
      <c r="DQ333" s="1087"/>
      <c r="DR333" s="1087"/>
      <c r="DS333" s="1087"/>
      <c r="DT333" s="1087"/>
      <c r="DU333" s="1087"/>
      <c r="DV333" s="1087"/>
      <c r="DW333" s="1087"/>
      <c r="DX333" s="1087"/>
      <c r="DY333" s="1087"/>
      <c r="DZ333" s="1087"/>
      <c r="EA333" s="1087"/>
      <c r="EB333" s="1087"/>
      <c r="EC333" s="1087"/>
      <c r="ED333" s="1087"/>
      <c r="EE333" s="1087"/>
      <c r="EF333" s="1087"/>
      <c r="EG333" s="1087"/>
      <c r="EH333" s="1087"/>
      <c r="EI333" s="1087"/>
      <c r="EJ333" s="1087"/>
      <c r="EK333" s="1087"/>
      <c r="EL333" s="1087"/>
      <c r="EM333" s="1087"/>
      <c r="EN333" s="1087"/>
      <c r="EO333" s="1087"/>
      <c r="EP333" s="1087"/>
      <c r="EQ333" s="1087"/>
      <c r="ER333" s="1087"/>
      <c r="ES333" s="1087"/>
      <c r="ET333" s="1087"/>
      <c r="EU333" s="1087"/>
      <c r="EV333" s="1087"/>
      <c r="EW333" s="1087"/>
      <c r="EX333" s="1087"/>
      <c r="EY333" s="1087"/>
      <c r="EZ333" s="1087"/>
      <c r="FA333" s="1087"/>
      <c r="FB333" s="1087"/>
      <c r="FC333" s="1087"/>
      <c r="FD333" s="1087"/>
      <c r="FE333" s="1087"/>
      <c r="FF333" s="1087"/>
      <c r="FG333" s="1087"/>
      <c r="FH333" s="1087"/>
      <c r="FI333" s="1087"/>
      <c r="FJ333" s="1087"/>
      <c r="FK333" s="1087"/>
      <c r="FL333" s="1087"/>
      <c r="FM333" s="1087"/>
      <c r="FN333" s="1087"/>
      <c r="FO333" s="1087"/>
      <c r="FP333" s="1087"/>
      <c r="FQ333" s="1087"/>
      <c r="FR333" s="1087"/>
      <c r="FS333" s="1087"/>
      <c r="FT333" s="1087"/>
      <c r="FU333" s="1087"/>
      <c r="FV333" s="1087"/>
      <c r="FW333" s="1087"/>
      <c r="FX333" s="1087"/>
      <c r="FY333" s="1087"/>
      <c r="FZ333" s="1087"/>
      <c r="GA333" s="1087"/>
      <c r="GB333" s="1087"/>
      <c r="GC333" s="1087"/>
      <c r="GD333" s="1087"/>
      <c r="GE333" s="1087"/>
      <c r="GF333" s="1087"/>
      <c r="GG333" s="1087"/>
      <c r="GH333" s="1087"/>
      <c r="GI333" s="1087"/>
      <c r="GJ333" s="1087"/>
      <c r="GK333" s="1087"/>
      <c r="GL333" s="1087"/>
      <c r="GM333" s="1087"/>
      <c r="GN333" s="1087"/>
      <c r="GO333" s="1087"/>
      <c r="GP333" s="1087"/>
      <c r="GQ333" s="1087"/>
      <c r="GR333" s="1087"/>
      <c r="GS333" s="1087"/>
      <c r="GT333" s="1087"/>
      <c r="GU333" s="1087"/>
      <c r="GV333" s="1087"/>
      <c r="GW333" s="1087"/>
      <c r="GX333" s="1087"/>
      <c r="GY333" s="1087"/>
      <c r="GZ333" s="1087"/>
      <c r="HA333" s="1087"/>
      <c r="HB333" s="1087"/>
      <c r="HC333" s="1087"/>
      <c r="HD333" s="1087"/>
      <c r="HE333" s="1087"/>
      <c r="HF333" s="1087"/>
      <c r="HG333" s="1087"/>
      <c r="HH333" s="1087"/>
      <c r="HI333" s="1087"/>
      <c r="HJ333" s="1087"/>
      <c r="HK333" s="1087"/>
      <c r="HL333" s="1087"/>
      <c r="HM333" s="1087"/>
      <c r="HN333" s="1087"/>
      <c r="HO333" s="1087"/>
      <c r="HP333" s="1087"/>
      <c r="HQ333" s="1087"/>
      <c r="HR333" s="1087"/>
      <c r="HS333" s="1087"/>
      <c r="HT333" s="1087"/>
      <c r="HU333" s="1087"/>
      <c r="HV333" s="1087"/>
      <c r="HW333" s="1087"/>
      <c r="HX333" s="1087"/>
      <c r="HY333" s="1087"/>
      <c r="HZ333" s="1087"/>
      <c r="IA333" s="1087"/>
      <c r="IB333" s="1087"/>
      <c r="IC333" s="1087"/>
      <c r="ID333" s="1087"/>
      <c r="IE333" s="1087"/>
      <c r="IF333" s="1087"/>
      <c r="IG333" s="1087"/>
      <c r="IH333" s="1087"/>
      <c r="II333" s="1087"/>
      <c r="IJ333" s="1087"/>
      <c r="IK333" s="1087"/>
      <c r="IL333" s="1087"/>
      <c r="IM333" s="1087"/>
      <c r="IN333" s="1087"/>
      <c r="IO333" s="1087"/>
      <c r="IP333" s="1087"/>
      <c r="IQ333" s="1087"/>
      <c r="IR333" s="1087"/>
      <c r="IS333" s="1087"/>
      <c r="IT333" s="1087"/>
      <c r="IU333" s="1087"/>
      <c r="IV333" s="1087"/>
      <c r="IW333" s="1087"/>
      <c r="IX333" s="1087"/>
      <c r="IY333" s="1087"/>
      <c r="IZ333" s="1087"/>
      <c r="JA333" s="1087"/>
      <c r="JB333" s="1087"/>
      <c r="JC333" s="1087"/>
      <c r="JD333" s="1087"/>
      <c r="JE333" s="1087"/>
      <c r="JF333" s="1087"/>
      <c r="JG333" s="1087"/>
      <c r="JH333" s="1087"/>
      <c r="JI333" s="1087"/>
      <c r="JJ333" s="1087"/>
      <c r="JK333" s="1087"/>
      <c r="JL333" s="1087"/>
      <c r="JM333" s="1087"/>
      <c r="JN333" s="1087"/>
      <c r="JO333" s="1087"/>
      <c r="JP333" s="1087"/>
      <c r="JQ333" s="1087"/>
      <c r="JR333" s="1087"/>
      <c r="JS333" s="1087"/>
      <c r="JT333" s="1087"/>
      <c r="JU333" s="1087"/>
      <c r="JV333" s="1087"/>
      <c r="JW333" s="1087"/>
      <c r="JX333" s="1087"/>
      <c r="JY333" s="1087"/>
      <c r="JZ333" s="1087"/>
      <c r="KA333" s="1087"/>
      <c r="KB333" s="1092"/>
    </row>
    <row r="334" spans="2:288" ht="15" customHeight="1" x14ac:dyDescent="0.35">
      <c r="B334" s="146" t="str">
        <f t="shared" si="29"/>
        <v>Desk 15</v>
      </c>
      <c r="C334" s="148" t="str">
        <v/>
      </c>
      <c r="D334" s="148" t="str">
        <v/>
      </c>
      <c r="E334" s="148" t="str">
        <v/>
      </c>
      <c r="F334" s="148" t="str">
        <v/>
      </c>
      <c r="G334" s="268" t="str">
        <v/>
      </c>
      <c r="H334" s="1087"/>
      <c r="I334" s="1087"/>
      <c r="J334" s="1087"/>
      <c r="K334" s="1087"/>
      <c r="L334" s="1087"/>
      <c r="M334" s="1087"/>
      <c r="N334" s="1087"/>
      <c r="O334" s="1087"/>
      <c r="P334" s="1087"/>
      <c r="Q334" s="1087"/>
      <c r="R334" s="1087"/>
      <c r="S334" s="1087"/>
      <c r="T334" s="1087"/>
      <c r="U334" s="1087"/>
      <c r="V334" s="1087"/>
      <c r="W334" s="1087"/>
      <c r="X334" s="1087"/>
      <c r="Y334" s="1087"/>
      <c r="Z334" s="1087"/>
      <c r="AA334" s="1087"/>
      <c r="AB334" s="1087"/>
      <c r="AC334" s="1087"/>
      <c r="AD334" s="1087"/>
      <c r="AE334" s="1087"/>
      <c r="AF334" s="1087"/>
      <c r="AG334" s="1087"/>
      <c r="AH334" s="1087"/>
      <c r="AI334" s="1087"/>
      <c r="AJ334" s="1087"/>
      <c r="AK334" s="1087"/>
      <c r="AL334" s="1087"/>
      <c r="AM334" s="1087"/>
      <c r="AN334" s="1087"/>
      <c r="AO334" s="1087"/>
      <c r="AP334" s="1087"/>
      <c r="AQ334" s="1087"/>
      <c r="AR334" s="1087"/>
      <c r="AS334" s="1087"/>
      <c r="AT334" s="1087"/>
      <c r="AU334" s="1087"/>
      <c r="AV334" s="1087"/>
      <c r="AW334" s="1087"/>
      <c r="AX334" s="1087"/>
      <c r="AY334" s="1087"/>
      <c r="AZ334" s="1087"/>
      <c r="BA334" s="1087"/>
      <c r="BB334" s="1087"/>
      <c r="BC334" s="1087"/>
      <c r="BD334" s="1087"/>
      <c r="BE334" s="1087"/>
      <c r="BF334" s="1087"/>
      <c r="BG334" s="1087"/>
      <c r="BH334" s="1087"/>
      <c r="BI334" s="1087"/>
      <c r="BJ334" s="1087"/>
      <c r="BK334" s="1087"/>
      <c r="BL334" s="1087"/>
      <c r="BM334" s="1087"/>
      <c r="BN334" s="1087"/>
      <c r="BO334" s="1087"/>
      <c r="BP334" s="1087"/>
      <c r="BQ334" s="1087"/>
      <c r="BR334" s="1087"/>
      <c r="BS334" s="1087"/>
      <c r="BT334" s="1087"/>
      <c r="BU334" s="1087"/>
      <c r="BV334" s="1087"/>
      <c r="BW334" s="1087"/>
      <c r="BX334" s="1087"/>
      <c r="BY334" s="1087"/>
      <c r="BZ334" s="1087"/>
      <c r="CA334" s="1087"/>
      <c r="CB334" s="1087"/>
      <c r="CC334" s="1087"/>
      <c r="CD334" s="1087"/>
      <c r="CE334" s="1087"/>
      <c r="CF334" s="1087"/>
      <c r="CG334" s="1087"/>
      <c r="CH334" s="1087"/>
      <c r="CI334" s="1087"/>
      <c r="CJ334" s="1087"/>
      <c r="CK334" s="1087"/>
      <c r="CL334" s="1087"/>
      <c r="CM334" s="1087"/>
      <c r="CN334" s="1087"/>
      <c r="CO334" s="1087"/>
      <c r="CP334" s="1087"/>
      <c r="CQ334" s="1087"/>
      <c r="CR334" s="1087"/>
      <c r="CS334" s="1087"/>
      <c r="CT334" s="1087"/>
      <c r="CU334" s="1087"/>
      <c r="CV334" s="1087"/>
      <c r="CW334" s="1087"/>
      <c r="CX334" s="1087"/>
      <c r="CY334" s="1087"/>
      <c r="CZ334" s="1087"/>
      <c r="DA334" s="1087"/>
      <c r="DB334" s="1087"/>
      <c r="DC334" s="1087"/>
      <c r="DD334" s="1087"/>
      <c r="DE334" s="1087"/>
      <c r="DF334" s="1087"/>
      <c r="DG334" s="1087"/>
      <c r="DH334" s="1087"/>
      <c r="DI334" s="1087"/>
      <c r="DJ334" s="1087"/>
      <c r="DK334" s="1087"/>
      <c r="DL334" s="1087"/>
      <c r="DM334" s="1087"/>
      <c r="DN334" s="1087"/>
      <c r="DO334" s="1087"/>
      <c r="DP334" s="1087"/>
      <c r="DQ334" s="1087"/>
      <c r="DR334" s="1087"/>
      <c r="DS334" s="1087"/>
      <c r="DT334" s="1087"/>
      <c r="DU334" s="1087"/>
      <c r="DV334" s="1087"/>
      <c r="DW334" s="1087"/>
      <c r="DX334" s="1087"/>
      <c r="DY334" s="1087"/>
      <c r="DZ334" s="1087"/>
      <c r="EA334" s="1087"/>
      <c r="EB334" s="1087"/>
      <c r="EC334" s="1087"/>
      <c r="ED334" s="1087"/>
      <c r="EE334" s="1087"/>
      <c r="EF334" s="1087"/>
      <c r="EG334" s="1087"/>
      <c r="EH334" s="1087"/>
      <c r="EI334" s="1087"/>
      <c r="EJ334" s="1087"/>
      <c r="EK334" s="1087"/>
      <c r="EL334" s="1087"/>
      <c r="EM334" s="1087"/>
      <c r="EN334" s="1087"/>
      <c r="EO334" s="1087"/>
      <c r="EP334" s="1087"/>
      <c r="EQ334" s="1087"/>
      <c r="ER334" s="1087"/>
      <c r="ES334" s="1087"/>
      <c r="ET334" s="1087"/>
      <c r="EU334" s="1087"/>
      <c r="EV334" s="1087"/>
      <c r="EW334" s="1087"/>
      <c r="EX334" s="1087"/>
      <c r="EY334" s="1087"/>
      <c r="EZ334" s="1087"/>
      <c r="FA334" s="1087"/>
      <c r="FB334" s="1087"/>
      <c r="FC334" s="1087"/>
      <c r="FD334" s="1087"/>
      <c r="FE334" s="1087"/>
      <c r="FF334" s="1087"/>
      <c r="FG334" s="1087"/>
      <c r="FH334" s="1087"/>
      <c r="FI334" s="1087"/>
      <c r="FJ334" s="1087"/>
      <c r="FK334" s="1087"/>
      <c r="FL334" s="1087"/>
      <c r="FM334" s="1087"/>
      <c r="FN334" s="1087"/>
      <c r="FO334" s="1087"/>
      <c r="FP334" s="1087"/>
      <c r="FQ334" s="1087"/>
      <c r="FR334" s="1087"/>
      <c r="FS334" s="1087"/>
      <c r="FT334" s="1087"/>
      <c r="FU334" s="1087"/>
      <c r="FV334" s="1087"/>
      <c r="FW334" s="1087"/>
      <c r="FX334" s="1087"/>
      <c r="FY334" s="1087"/>
      <c r="FZ334" s="1087"/>
      <c r="GA334" s="1087"/>
      <c r="GB334" s="1087"/>
      <c r="GC334" s="1087"/>
      <c r="GD334" s="1087"/>
      <c r="GE334" s="1087"/>
      <c r="GF334" s="1087"/>
      <c r="GG334" s="1087"/>
      <c r="GH334" s="1087"/>
      <c r="GI334" s="1087"/>
      <c r="GJ334" s="1087"/>
      <c r="GK334" s="1087"/>
      <c r="GL334" s="1087"/>
      <c r="GM334" s="1087"/>
      <c r="GN334" s="1087"/>
      <c r="GO334" s="1087"/>
      <c r="GP334" s="1087"/>
      <c r="GQ334" s="1087"/>
      <c r="GR334" s="1087"/>
      <c r="GS334" s="1087"/>
      <c r="GT334" s="1087"/>
      <c r="GU334" s="1087"/>
      <c r="GV334" s="1087"/>
      <c r="GW334" s="1087"/>
      <c r="GX334" s="1087"/>
      <c r="GY334" s="1087"/>
      <c r="GZ334" s="1087"/>
      <c r="HA334" s="1087"/>
      <c r="HB334" s="1087"/>
      <c r="HC334" s="1087"/>
      <c r="HD334" s="1087"/>
      <c r="HE334" s="1087"/>
      <c r="HF334" s="1087"/>
      <c r="HG334" s="1087"/>
      <c r="HH334" s="1087"/>
      <c r="HI334" s="1087"/>
      <c r="HJ334" s="1087"/>
      <c r="HK334" s="1087"/>
      <c r="HL334" s="1087"/>
      <c r="HM334" s="1087"/>
      <c r="HN334" s="1087"/>
      <c r="HO334" s="1087"/>
      <c r="HP334" s="1087"/>
      <c r="HQ334" s="1087"/>
      <c r="HR334" s="1087"/>
      <c r="HS334" s="1087"/>
      <c r="HT334" s="1087"/>
      <c r="HU334" s="1087"/>
      <c r="HV334" s="1087"/>
      <c r="HW334" s="1087"/>
      <c r="HX334" s="1087"/>
      <c r="HY334" s="1087"/>
      <c r="HZ334" s="1087"/>
      <c r="IA334" s="1087"/>
      <c r="IB334" s="1087"/>
      <c r="IC334" s="1087"/>
      <c r="ID334" s="1087"/>
      <c r="IE334" s="1087"/>
      <c r="IF334" s="1087"/>
      <c r="IG334" s="1087"/>
      <c r="IH334" s="1087"/>
      <c r="II334" s="1087"/>
      <c r="IJ334" s="1087"/>
      <c r="IK334" s="1087"/>
      <c r="IL334" s="1087"/>
      <c r="IM334" s="1087"/>
      <c r="IN334" s="1087"/>
      <c r="IO334" s="1087"/>
      <c r="IP334" s="1087"/>
      <c r="IQ334" s="1087"/>
      <c r="IR334" s="1087"/>
      <c r="IS334" s="1087"/>
      <c r="IT334" s="1087"/>
      <c r="IU334" s="1087"/>
      <c r="IV334" s="1087"/>
      <c r="IW334" s="1087"/>
      <c r="IX334" s="1087"/>
      <c r="IY334" s="1087"/>
      <c r="IZ334" s="1087"/>
      <c r="JA334" s="1087"/>
      <c r="JB334" s="1087"/>
      <c r="JC334" s="1087"/>
      <c r="JD334" s="1087"/>
      <c r="JE334" s="1087"/>
      <c r="JF334" s="1087"/>
      <c r="JG334" s="1087"/>
      <c r="JH334" s="1087"/>
      <c r="JI334" s="1087"/>
      <c r="JJ334" s="1087"/>
      <c r="JK334" s="1087"/>
      <c r="JL334" s="1087"/>
      <c r="JM334" s="1087"/>
      <c r="JN334" s="1087"/>
      <c r="JO334" s="1087"/>
      <c r="JP334" s="1087"/>
      <c r="JQ334" s="1087"/>
      <c r="JR334" s="1087"/>
      <c r="JS334" s="1087"/>
      <c r="JT334" s="1087"/>
      <c r="JU334" s="1087"/>
      <c r="JV334" s="1087"/>
      <c r="JW334" s="1087"/>
      <c r="JX334" s="1087"/>
      <c r="JY334" s="1087"/>
      <c r="JZ334" s="1087"/>
      <c r="KA334" s="1087"/>
      <c r="KB334" s="1092"/>
    </row>
    <row r="335" spans="2:288" ht="15" customHeight="1" x14ac:dyDescent="0.35">
      <c r="B335" s="146" t="str">
        <f t="shared" si="29"/>
        <v>Desk 16</v>
      </c>
      <c r="C335" s="148" t="str">
        <v/>
      </c>
      <c r="D335" s="148" t="str">
        <v/>
      </c>
      <c r="E335" s="148" t="str">
        <v/>
      </c>
      <c r="F335" s="148" t="str">
        <v/>
      </c>
      <c r="G335" s="268" t="str">
        <v/>
      </c>
      <c r="H335" s="1087"/>
      <c r="I335" s="1087"/>
      <c r="J335" s="1087"/>
      <c r="K335" s="1087"/>
      <c r="L335" s="1087"/>
      <c r="M335" s="1087"/>
      <c r="N335" s="1087"/>
      <c r="O335" s="1087"/>
      <c r="P335" s="1087"/>
      <c r="Q335" s="1087"/>
      <c r="R335" s="1087"/>
      <c r="S335" s="1087"/>
      <c r="T335" s="1087"/>
      <c r="U335" s="1087"/>
      <c r="V335" s="1087"/>
      <c r="W335" s="1087"/>
      <c r="X335" s="1087"/>
      <c r="Y335" s="1087"/>
      <c r="Z335" s="1087"/>
      <c r="AA335" s="1087"/>
      <c r="AB335" s="1087"/>
      <c r="AC335" s="1087"/>
      <c r="AD335" s="1087"/>
      <c r="AE335" s="1087"/>
      <c r="AF335" s="1087"/>
      <c r="AG335" s="1087"/>
      <c r="AH335" s="1087"/>
      <c r="AI335" s="1087"/>
      <c r="AJ335" s="1087"/>
      <c r="AK335" s="1087"/>
      <c r="AL335" s="1087"/>
      <c r="AM335" s="1087"/>
      <c r="AN335" s="1087"/>
      <c r="AO335" s="1087"/>
      <c r="AP335" s="1087"/>
      <c r="AQ335" s="1087"/>
      <c r="AR335" s="1087"/>
      <c r="AS335" s="1087"/>
      <c r="AT335" s="1087"/>
      <c r="AU335" s="1087"/>
      <c r="AV335" s="1087"/>
      <c r="AW335" s="1087"/>
      <c r="AX335" s="1087"/>
      <c r="AY335" s="1087"/>
      <c r="AZ335" s="1087"/>
      <c r="BA335" s="1087"/>
      <c r="BB335" s="1087"/>
      <c r="BC335" s="1087"/>
      <c r="BD335" s="1087"/>
      <c r="BE335" s="1087"/>
      <c r="BF335" s="1087"/>
      <c r="BG335" s="1087"/>
      <c r="BH335" s="1087"/>
      <c r="BI335" s="1087"/>
      <c r="BJ335" s="1087"/>
      <c r="BK335" s="1087"/>
      <c r="BL335" s="1087"/>
      <c r="BM335" s="1087"/>
      <c r="BN335" s="1087"/>
      <c r="BO335" s="1087"/>
      <c r="BP335" s="1087"/>
      <c r="BQ335" s="1087"/>
      <c r="BR335" s="1087"/>
      <c r="BS335" s="1087"/>
      <c r="BT335" s="1087"/>
      <c r="BU335" s="1087"/>
      <c r="BV335" s="1087"/>
      <c r="BW335" s="1087"/>
      <c r="BX335" s="1087"/>
      <c r="BY335" s="1087"/>
      <c r="BZ335" s="1087"/>
      <c r="CA335" s="1087"/>
      <c r="CB335" s="1087"/>
      <c r="CC335" s="1087"/>
      <c r="CD335" s="1087"/>
      <c r="CE335" s="1087"/>
      <c r="CF335" s="1087"/>
      <c r="CG335" s="1087"/>
      <c r="CH335" s="1087"/>
      <c r="CI335" s="1087"/>
      <c r="CJ335" s="1087"/>
      <c r="CK335" s="1087"/>
      <c r="CL335" s="1087"/>
      <c r="CM335" s="1087"/>
      <c r="CN335" s="1087"/>
      <c r="CO335" s="1087"/>
      <c r="CP335" s="1087"/>
      <c r="CQ335" s="1087"/>
      <c r="CR335" s="1087"/>
      <c r="CS335" s="1087"/>
      <c r="CT335" s="1087"/>
      <c r="CU335" s="1087"/>
      <c r="CV335" s="1087"/>
      <c r="CW335" s="1087"/>
      <c r="CX335" s="1087"/>
      <c r="CY335" s="1087"/>
      <c r="CZ335" s="1087"/>
      <c r="DA335" s="1087"/>
      <c r="DB335" s="1087"/>
      <c r="DC335" s="1087"/>
      <c r="DD335" s="1087"/>
      <c r="DE335" s="1087"/>
      <c r="DF335" s="1087"/>
      <c r="DG335" s="1087"/>
      <c r="DH335" s="1087"/>
      <c r="DI335" s="1087"/>
      <c r="DJ335" s="1087"/>
      <c r="DK335" s="1087"/>
      <c r="DL335" s="1087"/>
      <c r="DM335" s="1087"/>
      <c r="DN335" s="1087"/>
      <c r="DO335" s="1087"/>
      <c r="DP335" s="1087"/>
      <c r="DQ335" s="1087"/>
      <c r="DR335" s="1087"/>
      <c r="DS335" s="1087"/>
      <c r="DT335" s="1087"/>
      <c r="DU335" s="1087"/>
      <c r="DV335" s="1087"/>
      <c r="DW335" s="1087"/>
      <c r="DX335" s="1087"/>
      <c r="DY335" s="1087"/>
      <c r="DZ335" s="1087"/>
      <c r="EA335" s="1087"/>
      <c r="EB335" s="1087"/>
      <c r="EC335" s="1087"/>
      <c r="ED335" s="1087"/>
      <c r="EE335" s="1087"/>
      <c r="EF335" s="1087"/>
      <c r="EG335" s="1087"/>
      <c r="EH335" s="1087"/>
      <c r="EI335" s="1087"/>
      <c r="EJ335" s="1087"/>
      <c r="EK335" s="1087"/>
      <c r="EL335" s="1087"/>
      <c r="EM335" s="1087"/>
      <c r="EN335" s="1087"/>
      <c r="EO335" s="1087"/>
      <c r="EP335" s="1087"/>
      <c r="EQ335" s="1087"/>
      <c r="ER335" s="1087"/>
      <c r="ES335" s="1087"/>
      <c r="ET335" s="1087"/>
      <c r="EU335" s="1087"/>
      <c r="EV335" s="1087"/>
      <c r="EW335" s="1087"/>
      <c r="EX335" s="1087"/>
      <c r="EY335" s="1087"/>
      <c r="EZ335" s="1087"/>
      <c r="FA335" s="1087"/>
      <c r="FB335" s="1087"/>
      <c r="FC335" s="1087"/>
      <c r="FD335" s="1087"/>
      <c r="FE335" s="1087"/>
      <c r="FF335" s="1087"/>
      <c r="FG335" s="1087"/>
      <c r="FH335" s="1087"/>
      <c r="FI335" s="1087"/>
      <c r="FJ335" s="1087"/>
      <c r="FK335" s="1087"/>
      <c r="FL335" s="1087"/>
      <c r="FM335" s="1087"/>
      <c r="FN335" s="1087"/>
      <c r="FO335" s="1087"/>
      <c r="FP335" s="1087"/>
      <c r="FQ335" s="1087"/>
      <c r="FR335" s="1087"/>
      <c r="FS335" s="1087"/>
      <c r="FT335" s="1087"/>
      <c r="FU335" s="1087"/>
      <c r="FV335" s="1087"/>
      <c r="FW335" s="1087"/>
      <c r="FX335" s="1087"/>
      <c r="FY335" s="1087"/>
      <c r="FZ335" s="1087"/>
      <c r="GA335" s="1087"/>
      <c r="GB335" s="1087"/>
      <c r="GC335" s="1087"/>
      <c r="GD335" s="1087"/>
      <c r="GE335" s="1087"/>
      <c r="GF335" s="1087"/>
      <c r="GG335" s="1087"/>
      <c r="GH335" s="1087"/>
      <c r="GI335" s="1087"/>
      <c r="GJ335" s="1087"/>
      <c r="GK335" s="1087"/>
      <c r="GL335" s="1087"/>
      <c r="GM335" s="1087"/>
      <c r="GN335" s="1087"/>
      <c r="GO335" s="1087"/>
      <c r="GP335" s="1087"/>
      <c r="GQ335" s="1087"/>
      <c r="GR335" s="1087"/>
      <c r="GS335" s="1087"/>
      <c r="GT335" s="1087"/>
      <c r="GU335" s="1087"/>
      <c r="GV335" s="1087"/>
      <c r="GW335" s="1087"/>
      <c r="GX335" s="1087"/>
      <c r="GY335" s="1087"/>
      <c r="GZ335" s="1087"/>
      <c r="HA335" s="1087"/>
      <c r="HB335" s="1087"/>
      <c r="HC335" s="1087"/>
      <c r="HD335" s="1087"/>
      <c r="HE335" s="1087"/>
      <c r="HF335" s="1087"/>
      <c r="HG335" s="1087"/>
      <c r="HH335" s="1087"/>
      <c r="HI335" s="1087"/>
      <c r="HJ335" s="1087"/>
      <c r="HK335" s="1087"/>
      <c r="HL335" s="1087"/>
      <c r="HM335" s="1087"/>
      <c r="HN335" s="1087"/>
      <c r="HO335" s="1087"/>
      <c r="HP335" s="1087"/>
      <c r="HQ335" s="1087"/>
      <c r="HR335" s="1087"/>
      <c r="HS335" s="1087"/>
      <c r="HT335" s="1087"/>
      <c r="HU335" s="1087"/>
      <c r="HV335" s="1087"/>
      <c r="HW335" s="1087"/>
      <c r="HX335" s="1087"/>
      <c r="HY335" s="1087"/>
      <c r="HZ335" s="1087"/>
      <c r="IA335" s="1087"/>
      <c r="IB335" s="1087"/>
      <c r="IC335" s="1087"/>
      <c r="ID335" s="1087"/>
      <c r="IE335" s="1087"/>
      <c r="IF335" s="1087"/>
      <c r="IG335" s="1087"/>
      <c r="IH335" s="1087"/>
      <c r="II335" s="1087"/>
      <c r="IJ335" s="1087"/>
      <c r="IK335" s="1087"/>
      <c r="IL335" s="1087"/>
      <c r="IM335" s="1087"/>
      <c r="IN335" s="1087"/>
      <c r="IO335" s="1087"/>
      <c r="IP335" s="1087"/>
      <c r="IQ335" s="1087"/>
      <c r="IR335" s="1087"/>
      <c r="IS335" s="1087"/>
      <c r="IT335" s="1087"/>
      <c r="IU335" s="1087"/>
      <c r="IV335" s="1087"/>
      <c r="IW335" s="1087"/>
      <c r="IX335" s="1087"/>
      <c r="IY335" s="1087"/>
      <c r="IZ335" s="1087"/>
      <c r="JA335" s="1087"/>
      <c r="JB335" s="1087"/>
      <c r="JC335" s="1087"/>
      <c r="JD335" s="1087"/>
      <c r="JE335" s="1087"/>
      <c r="JF335" s="1087"/>
      <c r="JG335" s="1087"/>
      <c r="JH335" s="1087"/>
      <c r="JI335" s="1087"/>
      <c r="JJ335" s="1087"/>
      <c r="JK335" s="1087"/>
      <c r="JL335" s="1087"/>
      <c r="JM335" s="1087"/>
      <c r="JN335" s="1087"/>
      <c r="JO335" s="1087"/>
      <c r="JP335" s="1087"/>
      <c r="JQ335" s="1087"/>
      <c r="JR335" s="1087"/>
      <c r="JS335" s="1087"/>
      <c r="JT335" s="1087"/>
      <c r="JU335" s="1087"/>
      <c r="JV335" s="1087"/>
      <c r="JW335" s="1087"/>
      <c r="JX335" s="1087"/>
      <c r="JY335" s="1087"/>
      <c r="JZ335" s="1087"/>
      <c r="KA335" s="1087"/>
      <c r="KB335" s="1092"/>
    </row>
    <row r="336" spans="2:288" ht="15" customHeight="1" x14ac:dyDescent="0.35">
      <c r="B336" s="146" t="str">
        <f t="shared" si="29"/>
        <v>Desk 17</v>
      </c>
      <c r="C336" s="148" t="str">
        <v/>
      </c>
      <c r="D336" s="148" t="str">
        <v/>
      </c>
      <c r="E336" s="148" t="str">
        <v/>
      </c>
      <c r="F336" s="148" t="str">
        <v/>
      </c>
      <c r="G336" s="268" t="str">
        <v/>
      </c>
      <c r="H336" s="1087"/>
      <c r="I336" s="1087"/>
      <c r="J336" s="1087"/>
      <c r="K336" s="1087"/>
      <c r="L336" s="1087"/>
      <c r="M336" s="1087"/>
      <c r="N336" s="1087"/>
      <c r="O336" s="1087"/>
      <c r="P336" s="1087"/>
      <c r="Q336" s="1087"/>
      <c r="R336" s="1087"/>
      <c r="S336" s="1087"/>
      <c r="T336" s="1087"/>
      <c r="U336" s="1087"/>
      <c r="V336" s="1087"/>
      <c r="W336" s="1087"/>
      <c r="X336" s="1087"/>
      <c r="Y336" s="1087"/>
      <c r="Z336" s="1087"/>
      <c r="AA336" s="1087"/>
      <c r="AB336" s="1087"/>
      <c r="AC336" s="1087"/>
      <c r="AD336" s="1087"/>
      <c r="AE336" s="1087"/>
      <c r="AF336" s="1087"/>
      <c r="AG336" s="1087"/>
      <c r="AH336" s="1087"/>
      <c r="AI336" s="1087"/>
      <c r="AJ336" s="1087"/>
      <c r="AK336" s="1087"/>
      <c r="AL336" s="1087"/>
      <c r="AM336" s="1087"/>
      <c r="AN336" s="1087"/>
      <c r="AO336" s="1087"/>
      <c r="AP336" s="1087"/>
      <c r="AQ336" s="1087"/>
      <c r="AR336" s="1087"/>
      <c r="AS336" s="1087"/>
      <c r="AT336" s="1087"/>
      <c r="AU336" s="1087"/>
      <c r="AV336" s="1087"/>
      <c r="AW336" s="1087"/>
      <c r="AX336" s="1087"/>
      <c r="AY336" s="1087"/>
      <c r="AZ336" s="1087"/>
      <c r="BA336" s="1087"/>
      <c r="BB336" s="1087"/>
      <c r="BC336" s="1087"/>
      <c r="BD336" s="1087"/>
      <c r="BE336" s="1087"/>
      <c r="BF336" s="1087"/>
      <c r="BG336" s="1087"/>
      <c r="BH336" s="1087"/>
      <c r="BI336" s="1087"/>
      <c r="BJ336" s="1087"/>
      <c r="BK336" s="1087"/>
      <c r="BL336" s="1087"/>
      <c r="BM336" s="1087"/>
      <c r="BN336" s="1087"/>
      <c r="BO336" s="1087"/>
      <c r="BP336" s="1087"/>
      <c r="BQ336" s="1087"/>
      <c r="BR336" s="1087"/>
      <c r="BS336" s="1087"/>
      <c r="BT336" s="1087"/>
      <c r="BU336" s="1087"/>
      <c r="BV336" s="1087"/>
      <c r="BW336" s="1087"/>
      <c r="BX336" s="1087"/>
      <c r="BY336" s="1087"/>
      <c r="BZ336" s="1087"/>
      <c r="CA336" s="1087"/>
      <c r="CB336" s="1087"/>
      <c r="CC336" s="1087"/>
      <c r="CD336" s="1087"/>
      <c r="CE336" s="1087"/>
      <c r="CF336" s="1087"/>
      <c r="CG336" s="1087"/>
      <c r="CH336" s="1087"/>
      <c r="CI336" s="1087"/>
      <c r="CJ336" s="1087"/>
      <c r="CK336" s="1087"/>
      <c r="CL336" s="1087"/>
      <c r="CM336" s="1087"/>
      <c r="CN336" s="1087"/>
      <c r="CO336" s="1087"/>
      <c r="CP336" s="1087"/>
      <c r="CQ336" s="1087"/>
      <c r="CR336" s="1087"/>
      <c r="CS336" s="1087"/>
      <c r="CT336" s="1087"/>
      <c r="CU336" s="1087"/>
      <c r="CV336" s="1087"/>
      <c r="CW336" s="1087"/>
      <c r="CX336" s="1087"/>
      <c r="CY336" s="1087"/>
      <c r="CZ336" s="1087"/>
      <c r="DA336" s="1087"/>
      <c r="DB336" s="1087"/>
      <c r="DC336" s="1087"/>
      <c r="DD336" s="1087"/>
      <c r="DE336" s="1087"/>
      <c r="DF336" s="1087"/>
      <c r="DG336" s="1087"/>
      <c r="DH336" s="1087"/>
      <c r="DI336" s="1087"/>
      <c r="DJ336" s="1087"/>
      <c r="DK336" s="1087"/>
      <c r="DL336" s="1087"/>
      <c r="DM336" s="1087"/>
      <c r="DN336" s="1087"/>
      <c r="DO336" s="1087"/>
      <c r="DP336" s="1087"/>
      <c r="DQ336" s="1087"/>
      <c r="DR336" s="1087"/>
      <c r="DS336" s="1087"/>
      <c r="DT336" s="1087"/>
      <c r="DU336" s="1087"/>
      <c r="DV336" s="1087"/>
      <c r="DW336" s="1087"/>
      <c r="DX336" s="1087"/>
      <c r="DY336" s="1087"/>
      <c r="DZ336" s="1087"/>
      <c r="EA336" s="1087"/>
      <c r="EB336" s="1087"/>
      <c r="EC336" s="1087"/>
      <c r="ED336" s="1087"/>
      <c r="EE336" s="1087"/>
      <c r="EF336" s="1087"/>
      <c r="EG336" s="1087"/>
      <c r="EH336" s="1087"/>
      <c r="EI336" s="1087"/>
      <c r="EJ336" s="1087"/>
      <c r="EK336" s="1087"/>
      <c r="EL336" s="1087"/>
      <c r="EM336" s="1087"/>
      <c r="EN336" s="1087"/>
      <c r="EO336" s="1087"/>
      <c r="EP336" s="1087"/>
      <c r="EQ336" s="1087"/>
      <c r="ER336" s="1087"/>
      <c r="ES336" s="1087"/>
      <c r="ET336" s="1087"/>
      <c r="EU336" s="1087"/>
      <c r="EV336" s="1087"/>
      <c r="EW336" s="1087"/>
      <c r="EX336" s="1087"/>
      <c r="EY336" s="1087"/>
      <c r="EZ336" s="1087"/>
      <c r="FA336" s="1087"/>
      <c r="FB336" s="1087"/>
      <c r="FC336" s="1087"/>
      <c r="FD336" s="1087"/>
      <c r="FE336" s="1087"/>
      <c r="FF336" s="1087"/>
      <c r="FG336" s="1087"/>
      <c r="FH336" s="1087"/>
      <c r="FI336" s="1087"/>
      <c r="FJ336" s="1087"/>
      <c r="FK336" s="1087"/>
      <c r="FL336" s="1087"/>
      <c r="FM336" s="1087"/>
      <c r="FN336" s="1087"/>
      <c r="FO336" s="1087"/>
      <c r="FP336" s="1087"/>
      <c r="FQ336" s="1087"/>
      <c r="FR336" s="1087"/>
      <c r="FS336" s="1087"/>
      <c r="FT336" s="1087"/>
      <c r="FU336" s="1087"/>
      <c r="FV336" s="1087"/>
      <c r="FW336" s="1087"/>
      <c r="FX336" s="1087"/>
      <c r="FY336" s="1087"/>
      <c r="FZ336" s="1087"/>
      <c r="GA336" s="1087"/>
      <c r="GB336" s="1087"/>
      <c r="GC336" s="1087"/>
      <c r="GD336" s="1087"/>
      <c r="GE336" s="1087"/>
      <c r="GF336" s="1087"/>
      <c r="GG336" s="1087"/>
      <c r="GH336" s="1087"/>
      <c r="GI336" s="1087"/>
      <c r="GJ336" s="1087"/>
      <c r="GK336" s="1087"/>
      <c r="GL336" s="1087"/>
      <c r="GM336" s="1087"/>
      <c r="GN336" s="1087"/>
      <c r="GO336" s="1087"/>
      <c r="GP336" s="1087"/>
      <c r="GQ336" s="1087"/>
      <c r="GR336" s="1087"/>
      <c r="GS336" s="1087"/>
      <c r="GT336" s="1087"/>
      <c r="GU336" s="1087"/>
      <c r="GV336" s="1087"/>
      <c r="GW336" s="1087"/>
      <c r="GX336" s="1087"/>
      <c r="GY336" s="1087"/>
      <c r="GZ336" s="1087"/>
      <c r="HA336" s="1087"/>
      <c r="HB336" s="1087"/>
      <c r="HC336" s="1087"/>
      <c r="HD336" s="1087"/>
      <c r="HE336" s="1087"/>
      <c r="HF336" s="1087"/>
      <c r="HG336" s="1087"/>
      <c r="HH336" s="1087"/>
      <c r="HI336" s="1087"/>
      <c r="HJ336" s="1087"/>
      <c r="HK336" s="1087"/>
      <c r="HL336" s="1087"/>
      <c r="HM336" s="1087"/>
      <c r="HN336" s="1087"/>
      <c r="HO336" s="1087"/>
      <c r="HP336" s="1087"/>
      <c r="HQ336" s="1087"/>
      <c r="HR336" s="1087"/>
      <c r="HS336" s="1087"/>
      <c r="HT336" s="1087"/>
      <c r="HU336" s="1087"/>
      <c r="HV336" s="1087"/>
      <c r="HW336" s="1087"/>
      <c r="HX336" s="1087"/>
      <c r="HY336" s="1087"/>
      <c r="HZ336" s="1087"/>
      <c r="IA336" s="1087"/>
      <c r="IB336" s="1087"/>
      <c r="IC336" s="1087"/>
      <c r="ID336" s="1087"/>
      <c r="IE336" s="1087"/>
      <c r="IF336" s="1087"/>
      <c r="IG336" s="1087"/>
      <c r="IH336" s="1087"/>
      <c r="II336" s="1087"/>
      <c r="IJ336" s="1087"/>
      <c r="IK336" s="1087"/>
      <c r="IL336" s="1087"/>
      <c r="IM336" s="1087"/>
      <c r="IN336" s="1087"/>
      <c r="IO336" s="1087"/>
      <c r="IP336" s="1087"/>
      <c r="IQ336" s="1087"/>
      <c r="IR336" s="1087"/>
      <c r="IS336" s="1087"/>
      <c r="IT336" s="1087"/>
      <c r="IU336" s="1087"/>
      <c r="IV336" s="1087"/>
      <c r="IW336" s="1087"/>
      <c r="IX336" s="1087"/>
      <c r="IY336" s="1087"/>
      <c r="IZ336" s="1087"/>
      <c r="JA336" s="1087"/>
      <c r="JB336" s="1087"/>
      <c r="JC336" s="1087"/>
      <c r="JD336" s="1087"/>
      <c r="JE336" s="1087"/>
      <c r="JF336" s="1087"/>
      <c r="JG336" s="1087"/>
      <c r="JH336" s="1087"/>
      <c r="JI336" s="1087"/>
      <c r="JJ336" s="1087"/>
      <c r="JK336" s="1087"/>
      <c r="JL336" s="1087"/>
      <c r="JM336" s="1087"/>
      <c r="JN336" s="1087"/>
      <c r="JO336" s="1087"/>
      <c r="JP336" s="1087"/>
      <c r="JQ336" s="1087"/>
      <c r="JR336" s="1087"/>
      <c r="JS336" s="1087"/>
      <c r="JT336" s="1087"/>
      <c r="JU336" s="1087"/>
      <c r="JV336" s="1087"/>
      <c r="JW336" s="1087"/>
      <c r="JX336" s="1087"/>
      <c r="JY336" s="1087"/>
      <c r="JZ336" s="1087"/>
      <c r="KA336" s="1087"/>
      <c r="KB336" s="1092"/>
    </row>
    <row r="337" spans="2:288" ht="15" customHeight="1" x14ac:dyDescent="0.35">
      <c r="B337" s="146" t="str">
        <f t="shared" si="29"/>
        <v>Desk 18</v>
      </c>
      <c r="C337" s="148" t="str">
        <v/>
      </c>
      <c r="D337" s="148" t="str">
        <v/>
      </c>
      <c r="E337" s="148" t="str">
        <v/>
      </c>
      <c r="F337" s="148" t="str">
        <v/>
      </c>
      <c r="G337" s="268" t="str">
        <v/>
      </c>
      <c r="H337" s="1087"/>
      <c r="I337" s="1087"/>
      <c r="J337" s="1087"/>
      <c r="K337" s="1087"/>
      <c r="L337" s="1087"/>
      <c r="M337" s="1087"/>
      <c r="N337" s="1087"/>
      <c r="O337" s="1087"/>
      <c r="P337" s="1087"/>
      <c r="Q337" s="1087"/>
      <c r="R337" s="1087"/>
      <c r="S337" s="1087"/>
      <c r="T337" s="1087"/>
      <c r="U337" s="1087"/>
      <c r="V337" s="1087"/>
      <c r="W337" s="1087"/>
      <c r="X337" s="1087"/>
      <c r="Y337" s="1087"/>
      <c r="Z337" s="1087"/>
      <c r="AA337" s="1087"/>
      <c r="AB337" s="1087"/>
      <c r="AC337" s="1087"/>
      <c r="AD337" s="1087"/>
      <c r="AE337" s="1087"/>
      <c r="AF337" s="1087"/>
      <c r="AG337" s="1087"/>
      <c r="AH337" s="1087"/>
      <c r="AI337" s="1087"/>
      <c r="AJ337" s="1087"/>
      <c r="AK337" s="1087"/>
      <c r="AL337" s="1087"/>
      <c r="AM337" s="1087"/>
      <c r="AN337" s="1087"/>
      <c r="AO337" s="1087"/>
      <c r="AP337" s="1087"/>
      <c r="AQ337" s="1087"/>
      <c r="AR337" s="1087"/>
      <c r="AS337" s="1087"/>
      <c r="AT337" s="1087"/>
      <c r="AU337" s="1087"/>
      <c r="AV337" s="1087"/>
      <c r="AW337" s="1087"/>
      <c r="AX337" s="1087"/>
      <c r="AY337" s="1087"/>
      <c r="AZ337" s="1087"/>
      <c r="BA337" s="1087"/>
      <c r="BB337" s="1087"/>
      <c r="BC337" s="1087"/>
      <c r="BD337" s="1087"/>
      <c r="BE337" s="1087"/>
      <c r="BF337" s="1087"/>
      <c r="BG337" s="1087"/>
      <c r="BH337" s="1087"/>
      <c r="BI337" s="1087"/>
      <c r="BJ337" s="1087"/>
      <c r="BK337" s="1087"/>
      <c r="BL337" s="1087"/>
      <c r="BM337" s="1087"/>
      <c r="BN337" s="1087"/>
      <c r="BO337" s="1087"/>
      <c r="BP337" s="1087"/>
      <c r="BQ337" s="1087"/>
      <c r="BR337" s="1087"/>
      <c r="BS337" s="1087"/>
      <c r="BT337" s="1087"/>
      <c r="BU337" s="1087"/>
      <c r="BV337" s="1087"/>
      <c r="BW337" s="1087"/>
      <c r="BX337" s="1087"/>
      <c r="BY337" s="1087"/>
      <c r="BZ337" s="1087"/>
      <c r="CA337" s="1087"/>
      <c r="CB337" s="1087"/>
      <c r="CC337" s="1087"/>
      <c r="CD337" s="1087"/>
      <c r="CE337" s="1087"/>
      <c r="CF337" s="1087"/>
      <c r="CG337" s="1087"/>
      <c r="CH337" s="1087"/>
      <c r="CI337" s="1087"/>
      <c r="CJ337" s="1087"/>
      <c r="CK337" s="1087"/>
      <c r="CL337" s="1087"/>
      <c r="CM337" s="1087"/>
      <c r="CN337" s="1087"/>
      <c r="CO337" s="1087"/>
      <c r="CP337" s="1087"/>
      <c r="CQ337" s="1087"/>
      <c r="CR337" s="1087"/>
      <c r="CS337" s="1087"/>
      <c r="CT337" s="1087"/>
      <c r="CU337" s="1087"/>
      <c r="CV337" s="1087"/>
      <c r="CW337" s="1087"/>
      <c r="CX337" s="1087"/>
      <c r="CY337" s="1087"/>
      <c r="CZ337" s="1087"/>
      <c r="DA337" s="1087"/>
      <c r="DB337" s="1087"/>
      <c r="DC337" s="1087"/>
      <c r="DD337" s="1087"/>
      <c r="DE337" s="1087"/>
      <c r="DF337" s="1087"/>
      <c r="DG337" s="1087"/>
      <c r="DH337" s="1087"/>
      <c r="DI337" s="1087"/>
      <c r="DJ337" s="1087"/>
      <c r="DK337" s="1087"/>
      <c r="DL337" s="1087"/>
      <c r="DM337" s="1087"/>
      <c r="DN337" s="1087"/>
      <c r="DO337" s="1087"/>
      <c r="DP337" s="1087"/>
      <c r="DQ337" s="1087"/>
      <c r="DR337" s="1087"/>
      <c r="DS337" s="1087"/>
      <c r="DT337" s="1087"/>
      <c r="DU337" s="1087"/>
      <c r="DV337" s="1087"/>
      <c r="DW337" s="1087"/>
      <c r="DX337" s="1087"/>
      <c r="DY337" s="1087"/>
      <c r="DZ337" s="1087"/>
      <c r="EA337" s="1087"/>
      <c r="EB337" s="1087"/>
      <c r="EC337" s="1087"/>
      <c r="ED337" s="1087"/>
      <c r="EE337" s="1087"/>
      <c r="EF337" s="1087"/>
      <c r="EG337" s="1087"/>
      <c r="EH337" s="1087"/>
      <c r="EI337" s="1087"/>
      <c r="EJ337" s="1087"/>
      <c r="EK337" s="1087"/>
      <c r="EL337" s="1087"/>
      <c r="EM337" s="1087"/>
      <c r="EN337" s="1087"/>
      <c r="EO337" s="1087"/>
      <c r="EP337" s="1087"/>
      <c r="EQ337" s="1087"/>
      <c r="ER337" s="1087"/>
      <c r="ES337" s="1087"/>
      <c r="ET337" s="1087"/>
      <c r="EU337" s="1087"/>
      <c r="EV337" s="1087"/>
      <c r="EW337" s="1087"/>
      <c r="EX337" s="1087"/>
      <c r="EY337" s="1087"/>
      <c r="EZ337" s="1087"/>
      <c r="FA337" s="1087"/>
      <c r="FB337" s="1087"/>
      <c r="FC337" s="1087"/>
      <c r="FD337" s="1087"/>
      <c r="FE337" s="1087"/>
      <c r="FF337" s="1087"/>
      <c r="FG337" s="1087"/>
      <c r="FH337" s="1087"/>
      <c r="FI337" s="1087"/>
      <c r="FJ337" s="1087"/>
      <c r="FK337" s="1087"/>
      <c r="FL337" s="1087"/>
      <c r="FM337" s="1087"/>
      <c r="FN337" s="1087"/>
      <c r="FO337" s="1087"/>
      <c r="FP337" s="1087"/>
      <c r="FQ337" s="1087"/>
      <c r="FR337" s="1087"/>
      <c r="FS337" s="1087"/>
      <c r="FT337" s="1087"/>
      <c r="FU337" s="1087"/>
      <c r="FV337" s="1087"/>
      <c r="FW337" s="1087"/>
      <c r="FX337" s="1087"/>
      <c r="FY337" s="1087"/>
      <c r="FZ337" s="1087"/>
      <c r="GA337" s="1087"/>
      <c r="GB337" s="1087"/>
      <c r="GC337" s="1087"/>
      <c r="GD337" s="1087"/>
      <c r="GE337" s="1087"/>
      <c r="GF337" s="1087"/>
      <c r="GG337" s="1087"/>
      <c r="GH337" s="1087"/>
      <c r="GI337" s="1087"/>
      <c r="GJ337" s="1087"/>
      <c r="GK337" s="1087"/>
      <c r="GL337" s="1087"/>
      <c r="GM337" s="1087"/>
      <c r="GN337" s="1087"/>
      <c r="GO337" s="1087"/>
      <c r="GP337" s="1087"/>
      <c r="GQ337" s="1087"/>
      <c r="GR337" s="1087"/>
      <c r="GS337" s="1087"/>
      <c r="GT337" s="1087"/>
      <c r="GU337" s="1087"/>
      <c r="GV337" s="1087"/>
      <c r="GW337" s="1087"/>
      <c r="GX337" s="1087"/>
      <c r="GY337" s="1087"/>
      <c r="GZ337" s="1087"/>
      <c r="HA337" s="1087"/>
      <c r="HB337" s="1087"/>
      <c r="HC337" s="1087"/>
      <c r="HD337" s="1087"/>
      <c r="HE337" s="1087"/>
      <c r="HF337" s="1087"/>
      <c r="HG337" s="1087"/>
      <c r="HH337" s="1087"/>
      <c r="HI337" s="1087"/>
      <c r="HJ337" s="1087"/>
      <c r="HK337" s="1087"/>
      <c r="HL337" s="1087"/>
      <c r="HM337" s="1087"/>
      <c r="HN337" s="1087"/>
      <c r="HO337" s="1087"/>
      <c r="HP337" s="1087"/>
      <c r="HQ337" s="1087"/>
      <c r="HR337" s="1087"/>
      <c r="HS337" s="1087"/>
      <c r="HT337" s="1087"/>
      <c r="HU337" s="1087"/>
      <c r="HV337" s="1087"/>
      <c r="HW337" s="1087"/>
      <c r="HX337" s="1087"/>
      <c r="HY337" s="1087"/>
      <c r="HZ337" s="1087"/>
      <c r="IA337" s="1087"/>
      <c r="IB337" s="1087"/>
      <c r="IC337" s="1087"/>
      <c r="ID337" s="1087"/>
      <c r="IE337" s="1087"/>
      <c r="IF337" s="1087"/>
      <c r="IG337" s="1087"/>
      <c r="IH337" s="1087"/>
      <c r="II337" s="1087"/>
      <c r="IJ337" s="1087"/>
      <c r="IK337" s="1087"/>
      <c r="IL337" s="1087"/>
      <c r="IM337" s="1087"/>
      <c r="IN337" s="1087"/>
      <c r="IO337" s="1087"/>
      <c r="IP337" s="1087"/>
      <c r="IQ337" s="1087"/>
      <c r="IR337" s="1087"/>
      <c r="IS337" s="1087"/>
      <c r="IT337" s="1087"/>
      <c r="IU337" s="1087"/>
      <c r="IV337" s="1087"/>
      <c r="IW337" s="1087"/>
      <c r="IX337" s="1087"/>
      <c r="IY337" s="1087"/>
      <c r="IZ337" s="1087"/>
      <c r="JA337" s="1087"/>
      <c r="JB337" s="1087"/>
      <c r="JC337" s="1087"/>
      <c r="JD337" s="1087"/>
      <c r="JE337" s="1087"/>
      <c r="JF337" s="1087"/>
      <c r="JG337" s="1087"/>
      <c r="JH337" s="1087"/>
      <c r="JI337" s="1087"/>
      <c r="JJ337" s="1087"/>
      <c r="JK337" s="1087"/>
      <c r="JL337" s="1087"/>
      <c r="JM337" s="1087"/>
      <c r="JN337" s="1087"/>
      <c r="JO337" s="1087"/>
      <c r="JP337" s="1087"/>
      <c r="JQ337" s="1087"/>
      <c r="JR337" s="1087"/>
      <c r="JS337" s="1087"/>
      <c r="JT337" s="1087"/>
      <c r="JU337" s="1087"/>
      <c r="JV337" s="1087"/>
      <c r="JW337" s="1087"/>
      <c r="JX337" s="1087"/>
      <c r="JY337" s="1087"/>
      <c r="JZ337" s="1087"/>
      <c r="KA337" s="1087"/>
      <c r="KB337" s="1092"/>
    </row>
    <row r="338" spans="2:288" ht="15" customHeight="1" x14ac:dyDescent="0.35">
      <c r="B338" s="146" t="str">
        <f t="shared" si="29"/>
        <v>Desk 19</v>
      </c>
      <c r="C338" s="148" t="str">
        <v/>
      </c>
      <c r="D338" s="148" t="str">
        <v/>
      </c>
      <c r="E338" s="148" t="str">
        <v/>
      </c>
      <c r="F338" s="148" t="str">
        <v/>
      </c>
      <c r="G338" s="268" t="str">
        <v/>
      </c>
      <c r="H338" s="1087"/>
      <c r="I338" s="1087"/>
      <c r="J338" s="1087"/>
      <c r="K338" s="1087"/>
      <c r="L338" s="1087"/>
      <c r="M338" s="1087"/>
      <c r="N338" s="1087"/>
      <c r="O338" s="1087"/>
      <c r="P338" s="1087"/>
      <c r="Q338" s="1087"/>
      <c r="R338" s="1087"/>
      <c r="S338" s="1087"/>
      <c r="T338" s="1087"/>
      <c r="U338" s="1087"/>
      <c r="V338" s="1087"/>
      <c r="W338" s="1087"/>
      <c r="X338" s="1087"/>
      <c r="Y338" s="1087"/>
      <c r="Z338" s="1087"/>
      <c r="AA338" s="1087"/>
      <c r="AB338" s="1087"/>
      <c r="AC338" s="1087"/>
      <c r="AD338" s="1087"/>
      <c r="AE338" s="1087"/>
      <c r="AF338" s="1087"/>
      <c r="AG338" s="1087"/>
      <c r="AH338" s="1087"/>
      <c r="AI338" s="1087"/>
      <c r="AJ338" s="1087"/>
      <c r="AK338" s="1087"/>
      <c r="AL338" s="1087"/>
      <c r="AM338" s="1087"/>
      <c r="AN338" s="1087"/>
      <c r="AO338" s="1087"/>
      <c r="AP338" s="1087"/>
      <c r="AQ338" s="1087"/>
      <c r="AR338" s="1087"/>
      <c r="AS338" s="1087"/>
      <c r="AT338" s="1087"/>
      <c r="AU338" s="1087"/>
      <c r="AV338" s="1087"/>
      <c r="AW338" s="1087"/>
      <c r="AX338" s="1087"/>
      <c r="AY338" s="1087"/>
      <c r="AZ338" s="1087"/>
      <c r="BA338" s="1087"/>
      <c r="BB338" s="1087"/>
      <c r="BC338" s="1087"/>
      <c r="BD338" s="1087"/>
      <c r="BE338" s="1087"/>
      <c r="BF338" s="1087"/>
      <c r="BG338" s="1087"/>
      <c r="BH338" s="1087"/>
      <c r="BI338" s="1087"/>
      <c r="BJ338" s="1087"/>
      <c r="BK338" s="1087"/>
      <c r="BL338" s="1087"/>
      <c r="BM338" s="1087"/>
      <c r="BN338" s="1087"/>
      <c r="BO338" s="1087"/>
      <c r="BP338" s="1087"/>
      <c r="BQ338" s="1087"/>
      <c r="BR338" s="1087"/>
      <c r="BS338" s="1087"/>
      <c r="BT338" s="1087"/>
      <c r="BU338" s="1087"/>
      <c r="BV338" s="1087"/>
      <c r="BW338" s="1087"/>
      <c r="BX338" s="1087"/>
      <c r="BY338" s="1087"/>
      <c r="BZ338" s="1087"/>
      <c r="CA338" s="1087"/>
      <c r="CB338" s="1087"/>
      <c r="CC338" s="1087"/>
      <c r="CD338" s="1087"/>
      <c r="CE338" s="1087"/>
      <c r="CF338" s="1087"/>
      <c r="CG338" s="1087"/>
      <c r="CH338" s="1087"/>
      <c r="CI338" s="1087"/>
      <c r="CJ338" s="1087"/>
      <c r="CK338" s="1087"/>
      <c r="CL338" s="1087"/>
      <c r="CM338" s="1087"/>
      <c r="CN338" s="1087"/>
      <c r="CO338" s="1087"/>
      <c r="CP338" s="1087"/>
      <c r="CQ338" s="1087"/>
      <c r="CR338" s="1087"/>
      <c r="CS338" s="1087"/>
      <c r="CT338" s="1087"/>
      <c r="CU338" s="1087"/>
      <c r="CV338" s="1087"/>
      <c r="CW338" s="1087"/>
      <c r="CX338" s="1087"/>
      <c r="CY338" s="1087"/>
      <c r="CZ338" s="1087"/>
      <c r="DA338" s="1087"/>
      <c r="DB338" s="1087"/>
      <c r="DC338" s="1087"/>
      <c r="DD338" s="1087"/>
      <c r="DE338" s="1087"/>
      <c r="DF338" s="1087"/>
      <c r="DG338" s="1087"/>
      <c r="DH338" s="1087"/>
      <c r="DI338" s="1087"/>
      <c r="DJ338" s="1087"/>
      <c r="DK338" s="1087"/>
      <c r="DL338" s="1087"/>
      <c r="DM338" s="1087"/>
      <c r="DN338" s="1087"/>
      <c r="DO338" s="1087"/>
      <c r="DP338" s="1087"/>
      <c r="DQ338" s="1087"/>
      <c r="DR338" s="1087"/>
      <c r="DS338" s="1087"/>
      <c r="DT338" s="1087"/>
      <c r="DU338" s="1087"/>
      <c r="DV338" s="1087"/>
      <c r="DW338" s="1087"/>
      <c r="DX338" s="1087"/>
      <c r="DY338" s="1087"/>
      <c r="DZ338" s="1087"/>
      <c r="EA338" s="1087"/>
      <c r="EB338" s="1087"/>
      <c r="EC338" s="1087"/>
      <c r="ED338" s="1087"/>
      <c r="EE338" s="1087"/>
      <c r="EF338" s="1087"/>
      <c r="EG338" s="1087"/>
      <c r="EH338" s="1087"/>
      <c r="EI338" s="1087"/>
      <c r="EJ338" s="1087"/>
      <c r="EK338" s="1087"/>
      <c r="EL338" s="1087"/>
      <c r="EM338" s="1087"/>
      <c r="EN338" s="1087"/>
      <c r="EO338" s="1087"/>
      <c r="EP338" s="1087"/>
      <c r="EQ338" s="1087"/>
      <c r="ER338" s="1087"/>
      <c r="ES338" s="1087"/>
      <c r="ET338" s="1087"/>
      <c r="EU338" s="1087"/>
      <c r="EV338" s="1087"/>
      <c r="EW338" s="1087"/>
      <c r="EX338" s="1087"/>
      <c r="EY338" s="1087"/>
      <c r="EZ338" s="1087"/>
      <c r="FA338" s="1087"/>
      <c r="FB338" s="1087"/>
      <c r="FC338" s="1087"/>
      <c r="FD338" s="1087"/>
      <c r="FE338" s="1087"/>
      <c r="FF338" s="1087"/>
      <c r="FG338" s="1087"/>
      <c r="FH338" s="1087"/>
      <c r="FI338" s="1087"/>
      <c r="FJ338" s="1087"/>
      <c r="FK338" s="1087"/>
      <c r="FL338" s="1087"/>
      <c r="FM338" s="1087"/>
      <c r="FN338" s="1087"/>
      <c r="FO338" s="1087"/>
      <c r="FP338" s="1087"/>
      <c r="FQ338" s="1087"/>
      <c r="FR338" s="1087"/>
      <c r="FS338" s="1087"/>
      <c r="FT338" s="1087"/>
      <c r="FU338" s="1087"/>
      <c r="FV338" s="1087"/>
      <c r="FW338" s="1087"/>
      <c r="FX338" s="1087"/>
      <c r="FY338" s="1087"/>
      <c r="FZ338" s="1087"/>
      <c r="GA338" s="1087"/>
      <c r="GB338" s="1087"/>
      <c r="GC338" s="1087"/>
      <c r="GD338" s="1087"/>
      <c r="GE338" s="1087"/>
      <c r="GF338" s="1087"/>
      <c r="GG338" s="1087"/>
      <c r="GH338" s="1087"/>
      <c r="GI338" s="1087"/>
      <c r="GJ338" s="1087"/>
      <c r="GK338" s="1087"/>
      <c r="GL338" s="1087"/>
      <c r="GM338" s="1087"/>
      <c r="GN338" s="1087"/>
      <c r="GO338" s="1087"/>
      <c r="GP338" s="1087"/>
      <c r="GQ338" s="1087"/>
      <c r="GR338" s="1087"/>
      <c r="GS338" s="1087"/>
      <c r="GT338" s="1087"/>
      <c r="GU338" s="1087"/>
      <c r="GV338" s="1087"/>
      <c r="GW338" s="1087"/>
      <c r="GX338" s="1087"/>
      <c r="GY338" s="1087"/>
      <c r="GZ338" s="1087"/>
      <c r="HA338" s="1087"/>
      <c r="HB338" s="1087"/>
      <c r="HC338" s="1087"/>
      <c r="HD338" s="1087"/>
      <c r="HE338" s="1087"/>
      <c r="HF338" s="1087"/>
      <c r="HG338" s="1087"/>
      <c r="HH338" s="1087"/>
      <c r="HI338" s="1087"/>
      <c r="HJ338" s="1087"/>
      <c r="HK338" s="1087"/>
      <c r="HL338" s="1087"/>
      <c r="HM338" s="1087"/>
      <c r="HN338" s="1087"/>
      <c r="HO338" s="1087"/>
      <c r="HP338" s="1087"/>
      <c r="HQ338" s="1087"/>
      <c r="HR338" s="1087"/>
      <c r="HS338" s="1087"/>
      <c r="HT338" s="1087"/>
      <c r="HU338" s="1087"/>
      <c r="HV338" s="1087"/>
      <c r="HW338" s="1087"/>
      <c r="HX338" s="1087"/>
      <c r="HY338" s="1087"/>
      <c r="HZ338" s="1087"/>
      <c r="IA338" s="1087"/>
      <c r="IB338" s="1087"/>
      <c r="IC338" s="1087"/>
      <c r="ID338" s="1087"/>
      <c r="IE338" s="1087"/>
      <c r="IF338" s="1087"/>
      <c r="IG338" s="1087"/>
      <c r="IH338" s="1087"/>
      <c r="II338" s="1087"/>
      <c r="IJ338" s="1087"/>
      <c r="IK338" s="1087"/>
      <c r="IL338" s="1087"/>
      <c r="IM338" s="1087"/>
      <c r="IN338" s="1087"/>
      <c r="IO338" s="1087"/>
      <c r="IP338" s="1087"/>
      <c r="IQ338" s="1087"/>
      <c r="IR338" s="1087"/>
      <c r="IS338" s="1087"/>
      <c r="IT338" s="1087"/>
      <c r="IU338" s="1087"/>
      <c r="IV338" s="1087"/>
      <c r="IW338" s="1087"/>
      <c r="IX338" s="1087"/>
      <c r="IY338" s="1087"/>
      <c r="IZ338" s="1087"/>
      <c r="JA338" s="1087"/>
      <c r="JB338" s="1087"/>
      <c r="JC338" s="1087"/>
      <c r="JD338" s="1087"/>
      <c r="JE338" s="1087"/>
      <c r="JF338" s="1087"/>
      <c r="JG338" s="1087"/>
      <c r="JH338" s="1087"/>
      <c r="JI338" s="1087"/>
      <c r="JJ338" s="1087"/>
      <c r="JK338" s="1087"/>
      <c r="JL338" s="1087"/>
      <c r="JM338" s="1087"/>
      <c r="JN338" s="1087"/>
      <c r="JO338" s="1087"/>
      <c r="JP338" s="1087"/>
      <c r="JQ338" s="1087"/>
      <c r="JR338" s="1087"/>
      <c r="JS338" s="1087"/>
      <c r="JT338" s="1087"/>
      <c r="JU338" s="1087"/>
      <c r="JV338" s="1087"/>
      <c r="JW338" s="1087"/>
      <c r="JX338" s="1087"/>
      <c r="JY338" s="1087"/>
      <c r="JZ338" s="1087"/>
      <c r="KA338" s="1087"/>
      <c r="KB338" s="1092"/>
    </row>
    <row r="339" spans="2:288" ht="15" customHeight="1" x14ac:dyDescent="0.35">
      <c r="B339" s="146" t="str">
        <f t="shared" si="29"/>
        <v>Desk 20</v>
      </c>
      <c r="C339" s="148" t="str">
        <v/>
      </c>
      <c r="D339" s="148" t="str">
        <v/>
      </c>
      <c r="E339" s="148" t="str">
        <v/>
      </c>
      <c r="F339" s="148" t="str">
        <v/>
      </c>
      <c r="G339" s="268" t="str">
        <v/>
      </c>
      <c r="H339" s="1087"/>
      <c r="I339" s="1087"/>
      <c r="J339" s="1087"/>
      <c r="K339" s="1087"/>
      <c r="L339" s="1087"/>
      <c r="M339" s="1087"/>
      <c r="N339" s="1087"/>
      <c r="O339" s="1087"/>
      <c r="P339" s="1087"/>
      <c r="Q339" s="1087"/>
      <c r="R339" s="1087"/>
      <c r="S339" s="1087"/>
      <c r="T339" s="1087"/>
      <c r="U339" s="1087"/>
      <c r="V339" s="1087"/>
      <c r="W339" s="1087"/>
      <c r="X339" s="1087"/>
      <c r="Y339" s="1087"/>
      <c r="Z339" s="1087"/>
      <c r="AA339" s="1087"/>
      <c r="AB339" s="1087"/>
      <c r="AC339" s="1087"/>
      <c r="AD339" s="1087"/>
      <c r="AE339" s="1087"/>
      <c r="AF339" s="1087"/>
      <c r="AG339" s="1087"/>
      <c r="AH339" s="1087"/>
      <c r="AI339" s="1087"/>
      <c r="AJ339" s="1087"/>
      <c r="AK339" s="1087"/>
      <c r="AL339" s="1087"/>
      <c r="AM339" s="1087"/>
      <c r="AN339" s="1087"/>
      <c r="AO339" s="1087"/>
      <c r="AP339" s="1087"/>
      <c r="AQ339" s="1087"/>
      <c r="AR339" s="1087"/>
      <c r="AS339" s="1087"/>
      <c r="AT339" s="1087"/>
      <c r="AU339" s="1087"/>
      <c r="AV339" s="1087"/>
      <c r="AW339" s="1087"/>
      <c r="AX339" s="1087"/>
      <c r="AY339" s="1087"/>
      <c r="AZ339" s="1087"/>
      <c r="BA339" s="1087"/>
      <c r="BB339" s="1087"/>
      <c r="BC339" s="1087"/>
      <c r="BD339" s="1087"/>
      <c r="BE339" s="1087"/>
      <c r="BF339" s="1087"/>
      <c r="BG339" s="1087"/>
      <c r="BH339" s="1087"/>
      <c r="BI339" s="1087"/>
      <c r="BJ339" s="1087"/>
      <c r="BK339" s="1087"/>
      <c r="BL339" s="1087"/>
      <c r="BM339" s="1087"/>
      <c r="BN339" s="1087"/>
      <c r="BO339" s="1087"/>
      <c r="BP339" s="1087"/>
      <c r="BQ339" s="1087"/>
      <c r="BR339" s="1087"/>
      <c r="BS339" s="1087"/>
      <c r="BT339" s="1087"/>
      <c r="BU339" s="1087"/>
      <c r="BV339" s="1087"/>
      <c r="BW339" s="1087"/>
      <c r="BX339" s="1087"/>
      <c r="BY339" s="1087"/>
      <c r="BZ339" s="1087"/>
      <c r="CA339" s="1087"/>
      <c r="CB339" s="1087"/>
      <c r="CC339" s="1087"/>
      <c r="CD339" s="1087"/>
      <c r="CE339" s="1087"/>
      <c r="CF339" s="1087"/>
      <c r="CG339" s="1087"/>
      <c r="CH339" s="1087"/>
      <c r="CI339" s="1087"/>
      <c r="CJ339" s="1087"/>
      <c r="CK339" s="1087"/>
      <c r="CL339" s="1087"/>
      <c r="CM339" s="1087"/>
      <c r="CN339" s="1087"/>
      <c r="CO339" s="1087"/>
      <c r="CP339" s="1087"/>
      <c r="CQ339" s="1087"/>
      <c r="CR339" s="1087"/>
      <c r="CS339" s="1087"/>
      <c r="CT339" s="1087"/>
      <c r="CU339" s="1087"/>
      <c r="CV339" s="1087"/>
      <c r="CW339" s="1087"/>
      <c r="CX339" s="1087"/>
      <c r="CY339" s="1087"/>
      <c r="CZ339" s="1087"/>
      <c r="DA339" s="1087"/>
      <c r="DB339" s="1087"/>
      <c r="DC339" s="1087"/>
      <c r="DD339" s="1087"/>
      <c r="DE339" s="1087"/>
      <c r="DF339" s="1087"/>
      <c r="DG339" s="1087"/>
      <c r="DH339" s="1087"/>
      <c r="DI339" s="1087"/>
      <c r="DJ339" s="1087"/>
      <c r="DK339" s="1087"/>
      <c r="DL339" s="1087"/>
      <c r="DM339" s="1087"/>
      <c r="DN339" s="1087"/>
      <c r="DO339" s="1087"/>
      <c r="DP339" s="1087"/>
      <c r="DQ339" s="1087"/>
      <c r="DR339" s="1087"/>
      <c r="DS339" s="1087"/>
      <c r="DT339" s="1087"/>
      <c r="DU339" s="1087"/>
      <c r="DV339" s="1087"/>
      <c r="DW339" s="1087"/>
      <c r="DX339" s="1087"/>
      <c r="DY339" s="1087"/>
      <c r="DZ339" s="1087"/>
      <c r="EA339" s="1087"/>
      <c r="EB339" s="1087"/>
      <c r="EC339" s="1087"/>
      <c r="ED339" s="1087"/>
      <c r="EE339" s="1087"/>
      <c r="EF339" s="1087"/>
      <c r="EG339" s="1087"/>
      <c r="EH339" s="1087"/>
      <c r="EI339" s="1087"/>
      <c r="EJ339" s="1087"/>
      <c r="EK339" s="1087"/>
      <c r="EL339" s="1087"/>
      <c r="EM339" s="1087"/>
      <c r="EN339" s="1087"/>
      <c r="EO339" s="1087"/>
      <c r="EP339" s="1087"/>
      <c r="EQ339" s="1087"/>
      <c r="ER339" s="1087"/>
      <c r="ES339" s="1087"/>
      <c r="ET339" s="1087"/>
      <c r="EU339" s="1087"/>
      <c r="EV339" s="1087"/>
      <c r="EW339" s="1087"/>
      <c r="EX339" s="1087"/>
      <c r="EY339" s="1087"/>
      <c r="EZ339" s="1087"/>
      <c r="FA339" s="1087"/>
      <c r="FB339" s="1087"/>
      <c r="FC339" s="1087"/>
      <c r="FD339" s="1087"/>
      <c r="FE339" s="1087"/>
      <c r="FF339" s="1087"/>
      <c r="FG339" s="1087"/>
      <c r="FH339" s="1087"/>
      <c r="FI339" s="1087"/>
      <c r="FJ339" s="1087"/>
      <c r="FK339" s="1087"/>
      <c r="FL339" s="1087"/>
      <c r="FM339" s="1087"/>
      <c r="FN339" s="1087"/>
      <c r="FO339" s="1087"/>
      <c r="FP339" s="1087"/>
      <c r="FQ339" s="1087"/>
      <c r="FR339" s="1087"/>
      <c r="FS339" s="1087"/>
      <c r="FT339" s="1087"/>
      <c r="FU339" s="1087"/>
      <c r="FV339" s="1087"/>
      <c r="FW339" s="1087"/>
      <c r="FX339" s="1087"/>
      <c r="FY339" s="1087"/>
      <c r="FZ339" s="1087"/>
      <c r="GA339" s="1087"/>
      <c r="GB339" s="1087"/>
      <c r="GC339" s="1087"/>
      <c r="GD339" s="1087"/>
      <c r="GE339" s="1087"/>
      <c r="GF339" s="1087"/>
      <c r="GG339" s="1087"/>
      <c r="GH339" s="1087"/>
      <c r="GI339" s="1087"/>
      <c r="GJ339" s="1087"/>
      <c r="GK339" s="1087"/>
      <c r="GL339" s="1087"/>
      <c r="GM339" s="1087"/>
      <c r="GN339" s="1087"/>
      <c r="GO339" s="1087"/>
      <c r="GP339" s="1087"/>
      <c r="GQ339" s="1087"/>
      <c r="GR339" s="1087"/>
      <c r="GS339" s="1087"/>
      <c r="GT339" s="1087"/>
      <c r="GU339" s="1087"/>
      <c r="GV339" s="1087"/>
      <c r="GW339" s="1087"/>
      <c r="GX339" s="1087"/>
      <c r="GY339" s="1087"/>
      <c r="GZ339" s="1087"/>
      <c r="HA339" s="1087"/>
      <c r="HB339" s="1087"/>
      <c r="HC339" s="1087"/>
      <c r="HD339" s="1087"/>
      <c r="HE339" s="1087"/>
      <c r="HF339" s="1087"/>
      <c r="HG339" s="1087"/>
      <c r="HH339" s="1087"/>
      <c r="HI339" s="1087"/>
      <c r="HJ339" s="1087"/>
      <c r="HK339" s="1087"/>
      <c r="HL339" s="1087"/>
      <c r="HM339" s="1087"/>
      <c r="HN339" s="1087"/>
      <c r="HO339" s="1087"/>
      <c r="HP339" s="1087"/>
      <c r="HQ339" s="1087"/>
      <c r="HR339" s="1087"/>
      <c r="HS339" s="1087"/>
      <c r="HT339" s="1087"/>
      <c r="HU339" s="1087"/>
      <c r="HV339" s="1087"/>
      <c r="HW339" s="1087"/>
      <c r="HX339" s="1087"/>
      <c r="HY339" s="1087"/>
      <c r="HZ339" s="1087"/>
      <c r="IA339" s="1087"/>
      <c r="IB339" s="1087"/>
      <c r="IC339" s="1087"/>
      <c r="ID339" s="1087"/>
      <c r="IE339" s="1087"/>
      <c r="IF339" s="1087"/>
      <c r="IG339" s="1087"/>
      <c r="IH339" s="1087"/>
      <c r="II339" s="1087"/>
      <c r="IJ339" s="1087"/>
      <c r="IK339" s="1087"/>
      <c r="IL339" s="1087"/>
      <c r="IM339" s="1087"/>
      <c r="IN339" s="1087"/>
      <c r="IO339" s="1087"/>
      <c r="IP339" s="1087"/>
      <c r="IQ339" s="1087"/>
      <c r="IR339" s="1087"/>
      <c r="IS339" s="1087"/>
      <c r="IT339" s="1087"/>
      <c r="IU339" s="1087"/>
      <c r="IV339" s="1087"/>
      <c r="IW339" s="1087"/>
      <c r="IX339" s="1087"/>
      <c r="IY339" s="1087"/>
      <c r="IZ339" s="1087"/>
      <c r="JA339" s="1087"/>
      <c r="JB339" s="1087"/>
      <c r="JC339" s="1087"/>
      <c r="JD339" s="1087"/>
      <c r="JE339" s="1087"/>
      <c r="JF339" s="1087"/>
      <c r="JG339" s="1087"/>
      <c r="JH339" s="1087"/>
      <c r="JI339" s="1087"/>
      <c r="JJ339" s="1087"/>
      <c r="JK339" s="1087"/>
      <c r="JL339" s="1087"/>
      <c r="JM339" s="1087"/>
      <c r="JN339" s="1087"/>
      <c r="JO339" s="1087"/>
      <c r="JP339" s="1087"/>
      <c r="JQ339" s="1087"/>
      <c r="JR339" s="1087"/>
      <c r="JS339" s="1087"/>
      <c r="JT339" s="1087"/>
      <c r="JU339" s="1087"/>
      <c r="JV339" s="1087"/>
      <c r="JW339" s="1087"/>
      <c r="JX339" s="1087"/>
      <c r="JY339" s="1087"/>
      <c r="JZ339" s="1087"/>
      <c r="KA339" s="1087"/>
      <c r="KB339" s="1092"/>
    </row>
    <row r="340" spans="2:288" ht="15" customHeight="1" x14ac:dyDescent="0.35">
      <c r="B340" s="146" t="str">
        <f t="shared" si="29"/>
        <v>Desk 21</v>
      </c>
      <c r="C340" s="148" t="str">
        <v/>
      </c>
      <c r="D340" s="148" t="str">
        <v/>
      </c>
      <c r="E340" s="148" t="str">
        <v/>
      </c>
      <c r="F340" s="148" t="str">
        <v/>
      </c>
      <c r="G340" s="268" t="str">
        <v/>
      </c>
      <c r="H340" s="1087"/>
      <c r="I340" s="1087"/>
      <c r="J340" s="1087"/>
      <c r="K340" s="1087"/>
      <c r="L340" s="1087"/>
      <c r="M340" s="1087"/>
      <c r="N340" s="1087"/>
      <c r="O340" s="1087"/>
      <c r="P340" s="1087"/>
      <c r="Q340" s="1087"/>
      <c r="R340" s="1087"/>
      <c r="S340" s="1087"/>
      <c r="T340" s="1087"/>
      <c r="U340" s="1087"/>
      <c r="V340" s="1087"/>
      <c r="W340" s="1087"/>
      <c r="X340" s="1087"/>
      <c r="Y340" s="1087"/>
      <c r="Z340" s="1087"/>
      <c r="AA340" s="1087"/>
      <c r="AB340" s="1087"/>
      <c r="AC340" s="1087"/>
      <c r="AD340" s="1087"/>
      <c r="AE340" s="1087"/>
      <c r="AF340" s="1087"/>
      <c r="AG340" s="1087"/>
      <c r="AH340" s="1087"/>
      <c r="AI340" s="1087"/>
      <c r="AJ340" s="1087"/>
      <c r="AK340" s="1087"/>
      <c r="AL340" s="1087"/>
      <c r="AM340" s="1087"/>
      <c r="AN340" s="1087"/>
      <c r="AO340" s="1087"/>
      <c r="AP340" s="1087"/>
      <c r="AQ340" s="1087"/>
      <c r="AR340" s="1087"/>
      <c r="AS340" s="1087"/>
      <c r="AT340" s="1087"/>
      <c r="AU340" s="1087"/>
      <c r="AV340" s="1087"/>
      <c r="AW340" s="1087"/>
      <c r="AX340" s="1087"/>
      <c r="AY340" s="1087"/>
      <c r="AZ340" s="1087"/>
      <c r="BA340" s="1087"/>
      <c r="BB340" s="1087"/>
      <c r="BC340" s="1087"/>
      <c r="BD340" s="1087"/>
      <c r="BE340" s="1087"/>
      <c r="BF340" s="1087"/>
      <c r="BG340" s="1087"/>
      <c r="BH340" s="1087"/>
      <c r="BI340" s="1087"/>
      <c r="BJ340" s="1087"/>
      <c r="BK340" s="1087"/>
      <c r="BL340" s="1087"/>
      <c r="BM340" s="1087"/>
      <c r="BN340" s="1087"/>
      <c r="BO340" s="1087"/>
      <c r="BP340" s="1087"/>
      <c r="BQ340" s="1087"/>
      <c r="BR340" s="1087"/>
      <c r="BS340" s="1087"/>
      <c r="BT340" s="1087"/>
      <c r="BU340" s="1087"/>
      <c r="BV340" s="1087"/>
      <c r="BW340" s="1087"/>
      <c r="BX340" s="1087"/>
      <c r="BY340" s="1087"/>
      <c r="BZ340" s="1087"/>
      <c r="CA340" s="1087"/>
      <c r="CB340" s="1087"/>
      <c r="CC340" s="1087"/>
      <c r="CD340" s="1087"/>
      <c r="CE340" s="1087"/>
      <c r="CF340" s="1087"/>
      <c r="CG340" s="1087"/>
      <c r="CH340" s="1087"/>
      <c r="CI340" s="1087"/>
      <c r="CJ340" s="1087"/>
      <c r="CK340" s="1087"/>
      <c r="CL340" s="1087"/>
      <c r="CM340" s="1087"/>
      <c r="CN340" s="1087"/>
      <c r="CO340" s="1087"/>
      <c r="CP340" s="1087"/>
      <c r="CQ340" s="1087"/>
      <c r="CR340" s="1087"/>
      <c r="CS340" s="1087"/>
      <c r="CT340" s="1087"/>
      <c r="CU340" s="1087"/>
      <c r="CV340" s="1087"/>
      <c r="CW340" s="1087"/>
      <c r="CX340" s="1087"/>
      <c r="CY340" s="1087"/>
      <c r="CZ340" s="1087"/>
      <c r="DA340" s="1087"/>
      <c r="DB340" s="1087"/>
      <c r="DC340" s="1087"/>
      <c r="DD340" s="1087"/>
      <c r="DE340" s="1087"/>
      <c r="DF340" s="1087"/>
      <c r="DG340" s="1087"/>
      <c r="DH340" s="1087"/>
      <c r="DI340" s="1087"/>
      <c r="DJ340" s="1087"/>
      <c r="DK340" s="1087"/>
      <c r="DL340" s="1087"/>
      <c r="DM340" s="1087"/>
      <c r="DN340" s="1087"/>
      <c r="DO340" s="1087"/>
      <c r="DP340" s="1087"/>
      <c r="DQ340" s="1087"/>
      <c r="DR340" s="1087"/>
      <c r="DS340" s="1087"/>
      <c r="DT340" s="1087"/>
      <c r="DU340" s="1087"/>
      <c r="DV340" s="1087"/>
      <c r="DW340" s="1087"/>
      <c r="DX340" s="1087"/>
      <c r="DY340" s="1087"/>
      <c r="DZ340" s="1087"/>
      <c r="EA340" s="1087"/>
      <c r="EB340" s="1087"/>
      <c r="EC340" s="1087"/>
      <c r="ED340" s="1087"/>
      <c r="EE340" s="1087"/>
      <c r="EF340" s="1087"/>
      <c r="EG340" s="1087"/>
      <c r="EH340" s="1087"/>
      <c r="EI340" s="1087"/>
      <c r="EJ340" s="1087"/>
      <c r="EK340" s="1087"/>
      <c r="EL340" s="1087"/>
      <c r="EM340" s="1087"/>
      <c r="EN340" s="1087"/>
      <c r="EO340" s="1087"/>
      <c r="EP340" s="1087"/>
      <c r="EQ340" s="1087"/>
      <c r="ER340" s="1087"/>
      <c r="ES340" s="1087"/>
      <c r="ET340" s="1087"/>
      <c r="EU340" s="1087"/>
      <c r="EV340" s="1087"/>
      <c r="EW340" s="1087"/>
      <c r="EX340" s="1087"/>
      <c r="EY340" s="1087"/>
      <c r="EZ340" s="1087"/>
      <c r="FA340" s="1087"/>
      <c r="FB340" s="1087"/>
      <c r="FC340" s="1087"/>
      <c r="FD340" s="1087"/>
      <c r="FE340" s="1087"/>
      <c r="FF340" s="1087"/>
      <c r="FG340" s="1087"/>
      <c r="FH340" s="1087"/>
      <c r="FI340" s="1087"/>
      <c r="FJ340" s="1087"/>
      <c r="FK340" s="1087"/>
      <c r="FL340" s="1087"/>
      <c r="FM340" s="1087"/>
      <c r="FN340" s="1087"/>
      <c r="FO340" s="1087"/>
      <c r="FP340" s="1087"/>
      <c r="FQ340" s="1087"/>
      <c r="FR340" s="1087"/>
      <c r="FS340" s="1087"/>
      <c r="FT340" s="1087"/>
      <c r="FU340" s="1087"/>
      <c r="FV340" s="1087"/>
      <c r="FW340" s="1087"/>
      <c r="FX340" s="1087"/>
      <c r="FY340" s="1087"/>
      <c r="FZ340" s="1087"/>
      <c r="GA340" s="1087"/>
      <c r="GB340" s="1087"/>
      <c r="GC340" s="1087"/>
      <c r="GD340" s="1087"/>
      <c r="GE340" s="1087"/>
      <c r="GF340" s="1087"/>
      <c r="GG340" s="1087"/>
      <c r="GH340" s="1087"/>
      <c r="GI340" s="1087"/>
      <c r="GJ340" s="1087"/>
      <c r="GK340" s="1087"/>
      <c r="GL340" s="1087"/>
      <c r="GM340" s="1087"/>
      <c r="GN340" s="1087"/>
      <c r="GO340" s="1087"/>
      <c r="GP340" s="1087"/>
      <c r="GQ340" s="1087"/>
      <c r="GR340" s="1087"/>
      <c r="GS340" s="1087"/>
      <c r="GT340" s="1087"/>
      <c r="GU340" s="1087"/>
      <c r="GV340" s="1087"/>
      <c r="GW340" s="1087"/>
      <c r="GX340" s="1087"/>
      <c r="GY340" s="1087"/>
      <c r="GZ340" s="1087"/>
      <c r="HA340" s="1087"/>
      <c r="HB340" s="1087"/>
      <c r="HC340" s="1087"/>
      <c r="HD340" s="1087"/>
      <c r="HE340" s="1087"/>
      <c r="HF340" s="1087"/>
      <c r="HG340" s="1087"/>
      <c r="HH340" s="1087"/>
      <c r="HI340" s="1087"/>
      <c r="HJ340" s="1087"/>
      <c r="HK340" s="1087"/>
      <c r="HL340" s="1087"/>
      <c r="HM340" s="1087"/>
      <c r="HN340" s="1087"/>
      <c r="HO340" s="1087"/>
      <c r="HP340" s="1087"/>
      <c r="HQ340" s="1087"/>
      <c r="HR340" s="1087"/>
      <c r="HS340" s="1087"/>
      <c r="HT340" s="1087"/>
      <c r="HU340" s="1087"/>
      <c r="HV340" s="1087"/>
      <c r="HW340" s="1087"/>
      <c r="HX340" s="1087"/>
      <c r="HY340" s="1087"/>
      <c r="HZ340" s="1087"/>
      <c r="IA340" s="1087"/>
      <c r="IB340" s="1087"/>
      <c r="IC340" s="1087"/>
      <c r="ID340" s="1087"/>
      <c r="IE340" s="1087"/>
      <c r="IF340" s="1087"/>
      <c r="IG340" s="1087"/>
      <c r="IH340" s="1087"/>
      <c r="II340" s="1087"/>
      <c r="IJ340" s="1087"/>
      <c r="IK340" s="1087"/>
      <c r="IL340" s="1087"/>
      <c r="IM340" s="1087"/>
      <c r="IN340" s="1087"/>
      <c r="IO340" s="1087"/>
      <c r="IP340" s="1087"/>
      <c r="IQ340" s="1087"/>
      <c r="IR340" s="1087"/>
      <c r="IS340" s="1087"/>
      <c r="IT340" s="1087"/>
      <c r="IU340" s="1087"/>
      <c r="IV340" s="1087"/>
      <c r="IW340" s="1087"/>
      <c r="IX340" s="1087"/>
      <c r="IY340" s="1087"/>
      <c r="IZ340" s="1087"/>
      <c r="JA340" s="1087"/>
      <c r="JB340" s="1087"/>
      <c r="JC340" s="1087"/>
      <c r="JD340" s="1087"/>
      <c r="JE340" s="1087"/>
      <c r="JF340" s="1087"/>
      <c r="JG340" s="1087"/>
      <c r="JH340" s="1087"/>
      <c r="JI340" s="1087"/>
      <c r="JJ340" s="1087"/>
      <c r="JK340" s="1087"/>
      <c r="JL340" s="1087"/>
      <c r="JM340" s="1087"/>
      <c r="JN340" s="1087"/>
      <c r="JO340" s="1087"/>
      <c r="JP340" s="1087"/>
      <c r="JQ340" s="1087"/>
      <c r="JR340" s="1087"/>
      <c r="JS340" s="1087"/>
      <c r="JT340" s="1087"/>
      <c r="JU340" s="1087"/>
      <c r="JV340" s="1087"/>
      <c r="JW340" s="1087"/>
      <c r="JX340" s="1087"/>
      <c r="JY340" s="1087"/>
      <c r="JZ340" s="1087"/>
      <c r="KA340" s="1087"/>
      <c r="KB340" s="1092"/>
    </row>
    <row r="341" spans="2:288" ht="15" customHeight="1" x14ac:dyDescent="0.35">
      <c r="B341" s="146" t="str">
        <f t="shared" si="29"/>
        <v>Desk 22</v>
      </c>
      <c r="C341" s="148" t="str">
        <v/>
      </c>
      <c r="D341" s="148" t="str">
        <v/>
      </c>
      <c r="E341" s="148" t="str">
        <v/>
      </c>
      <c r="F341" s="148" t="str">
        <v/>
      </c>
      <c r="G341" s="268" t="str">
        <v/>
      </c>
      <c r="H341" s="1087"/>
      <c r="I341" s="1087"/>
      <c r="J341" s="1087"/>
      <c r="K341" s="1087"/>
      <c r="L341" s="1087"/>
      <c r="M341" s="1087"/>
      <c r="N341" s="1087"/>
      <c r="O341" s="1087"/>
      <c r="P341" s="1087"/>
      <c r="Q341" s="1087"/>
      <c r="R341" s="1087"/>
      <c r="S341" s="1087"/>
      <c r="T341" s="1087"/>
      <c r="U341" s="1087"/>
      <c r="V341" s="1087"/>
      <c r="W341" s="1087"/>
      <c r="X341" s="1087"/>
      <c r="Y341" s="1087"/>
      <c r="Z341" s="1087"/>
      <c r="AA341" s="1087"/>
      <c r="AB341" s="1087"/>
      <c r="AC341" s="1087"/>
      <c r="AD341" s="1087"/>
      <c r="AE341" s="1087"/>
      <c r="AF341" s="1087"/>
      <c r="AG341" s="1087"/>
      <c r="AH341" s="1087"/>
      <c r="AI341" s="1087"/>
      <c r="AJ341" s="1087"/>
      <c r="AK341" s="1087"/>
      <c r="AL341" s="1087"/>
      <c r="AM341" s="1087"/>
      <c r="AN341" s="1087"/>
      <c r="AO341" s="1087"/>
      <c r="AP341" s="1087"/>
      <c r="AQ341" s="1087"/>
      <c r="AR341" s="1087"/>
      <c r="AS341" s="1087"/>
      <c r="AT341" s="1087"/>
      <c r="AU341" s="1087"/>
      <c r="AV341" s="1087"/>
      <c r="AW341" s="1087"/>
      <c r="AX341" s="1087"/>
      <c r="AY341" s="1087"/>
      <c r="AZ341" s="1087"/>
      <c r="BA341" s="1087"/>
      <c r="BB341" s="1087"/>
      <c r="BC341" s="1087"/>
      <c r="BD341" s="1087"/>
      <c r="BE341" s="1087"/>
      <c r="BF341" s="1087"/>
      <c r="BG341" s="1087"/>
      <c r="BH341" s="1087"/>
      <c r="BI341" s="1087"/>
      <c r="BJ341" s="1087"/>
      <c r="BK341" s="1087"/>
      <c r="BL341" s="1087"/>
      <c r="BM341" s="1087"/>
      <c r="BN341" s="1087"/>
      <c r="BO341" s="1087"/>
      <c r="BP341" s="1087"/>
      <c r="BQ341" s="1087"/>
      <c r="BR341" s="1087"/>
      <c r="BS341" s="1087"/>
      <c r="BT341" s="1087"/>
      <c r="BU341" s="1087"/>
      <c r="BV341" s="1087"/>
      <c r="BW341" s="1087"/>
      <c r="BX341" s="1087"/>
      <c r="BY341" s="1087"/>
      <c r="BZ341" s="1087"/>
      <c r="CA341" s="1087"/>
      <c r="CB341" s="1087"/>
      <c r="CC341" s="1087"/>
      <c r="CD341" s="1087"/>
      <c r="CE341" s="1087"/>
      <c r="CF341" s="1087"/>
      <c r="CG341" s="1087"/>
      <c r="CH341" s="1087"/>
      <c r="CI341" s="1087"/>
      <c r="CJ341" s="1087"/>
      <c r="CK341" s="1087"/>
      <c r="CL341" s="1087"/>
      <c r="CM341" s="1087"/>
      <c r="CN341" s="1087"/>
      <c r="CO341" s="1087"/>
      <c r="CP341" s="1087"/>
      <c r="CQ341" s="1087"/>
      <c r="CR341" s="1087"/>
      <c r="CS341" s="1087"/>
      <c r="CT341" s="1087"/>
      <c r="CU341" s="1087"/>
      <c r="CV341" s="1087"/>
      <c r="CW341" s="1087"/>
      <c r="CX341" s="1087"/>
      <c r="CY341" s="1087"/>
      <c r="CZ341" s="1087"/>
      <c r="DA341" s="1087"/>
      <c r="DB341" s="1087"/>
      <c r="DC341" s="1087"/>
      <c r="DD341" s="1087"/>
      <c r="DE341" s="1087"/>
      <c r="DF341" s="1087"/>
      <c r="DG341" s="1087"/>
      <c r="DH341" s="1087"/>
      <c r="DI341" s="1087"/>
      <c r="DJ341" s="1087"/>
      <c r="DK341" s="1087"/>
      <c r="DL341" s="1087"/>
      <c r="DM341" s="1087"/>
      <c r="DN341" s="1087"/>
      <c r="DO341" s="1087"/>
      <c r="DP341" s="1087"/>
      <c r="DQ341" s="1087"/>
      <c r="DR341" s="1087"/>
      <c r="DS341" s="1087"/>
      <c r="DT341" s="1087"/>
      <c r="DU341" s="1087"/>
      <c r="DV341" s="1087"/>
      <c r="DW341" s="1087"/>
      <c r="DX341" s="1087"/>
      <c r="DY341" s="1087"/>
      <c r="DZ341" s="1087"/>
      <c r="EA341" s="1087"/>
      <c r="EB341" s="1087"/>
      <c r="EC341" s="1087"/>
      <c r="ED341" s="1087"/>
      <c r="EE341" s="1087"/>
      <c r="EF341" s="1087"/>
      <c r="EG341" s="1087"/>
      <c r="EH341" s="1087"/>
      <c r="EI341" s="1087"/>
      <c r="EJ341" s="1087"/>
      <c r="EK341" s="1087"/>
      <c r="EL341" s="1087"/>
      <c r="EM341" s="1087"/>
      <c r="EN341" s="1087"/>
      <c r="EO341" s="1087"/>
      <c r="EP341" s="1087"/>
      <c r="EQ341" s="1087"/>
      <c r="ER341" s="1087"/>
      <c r="ES341" s="1087"/>
      <c r="ET341" s="1087"/>
      <c r="EU341" s="1087"/>
      <c r="EV341" s="1087"/>
      <c r="EW341" s="1087"/>
      <c r="EX341" s="1087"/>
      <c r="EY341" s="1087"/>
      <c r="EZ341" s="1087"/>
      <c r="FA341" s="1087"/>
      <c r="FB341" s="1087"/>
      <c r="FC341" s="1087"/>
      <c r="FD341" s="1087"/>
      <c r="FE341" s="1087"/>
      <c r="FF341" s="1087"/>
      <c r="FG341" s="1087"/>
      <c r="FH341" s="1087"/>
      <c r="FI341" s="1087"/>
      <c r="FJ341" s="1087"/>
      <c r="FK341" s="1087"/>
      <c r="FL341" s="1087"/>
      <c r="FM341" s="1087"/>
      <c r="FN341" s="1087"/>
      <c r="FO341" s="1087"/>
      <c r="FP341" s="1087"/>
      <c r="FQ341" s="1087"/>
      <c r="FR341" s="1087"/>
      <c r="FS341" s="1087"/>
      <c r="FT341" s="1087"/>
      <c r="FU341" s="1087"/>
      <c r="FV341" s="1087"/>
      <c r="FW341" s="1087"/>
      <c r="FX341" s="1087"/>
      <c r="FY341" s="1087"/>
      <c r="FZ341" s="1087"/>
      <c r="GA341" s="1087"/>
      <c r="GB341" s="1087"/>
      <c r="GC341" s="1087"/>
      <c r="GD341" s="1087"/>
      <c r="GE341" s="1087"/>
      <c r="GF341" s="1087"/>
      <c r="GG341" s="1087"/>
      <c r="GH341" s="1087"/>
      <c r="GI341" s="1087"/>
      <c r="GJ341" s="1087"/>
      <c r="GK341" s="1087"/>
      <c r="GL341" s="1087"/>
      <c r="GM341" s="1087"/>
      <c r="GN341" s="1087"/>
      <c r="GO341" s="1087"/>
      <c r="GP341" s="1087"/>
      <c r="GQ341" s="1087"/>
      <c r="GR341" s="1087"/>
      <c r="GS341" s="1087"/>
      <c r="GT341" s="1087"/>
      <c r="GU341" s="1087"/>
      <c r="GV341" s="1087"/>
      <c r="GW341" s="1087"/>
      <c r="GX341" s="1087"/>
      <c r="GY341" s="1087"/>
      <c r="GZ341" s="1087"/>
      <c r="HA341" s="1087"/>
      <c r="HB341" s="1087"/>
      <c r="HC341" s="1087"/>
      <c r="HD341" s="1087"/>
      <c r="HE341" s="1087"/>
      <c r="HF341" s="1087"/>
      <c r="HG341" s="1087"/>
      <c r="HH341" s="1087"/>
      <c r="HI341" s="1087"/>
      <c r="HJ341" s="1087"/>
      <c r="HK341" s="1087"/>
      <c r="HL341" s="1087"/>
      <c r="HM341" s="1087"/>
      <c r="HN341" s="1087"/>
      <c r="HO341" s="1087"/>
      <c r="HP341" s="1087"/>
      <c r="HQ341" s="1087"/>
      <c r="HR341" s="1087"/>
      <c r="HS341" s="1087"/>
      <c r="HT341" s="1087"/>
      <c r="HU341" s="1087"/>
      <c r="HV341" s="1087"/>
      <c r="HW341" s="1087"/>
      <c r="HX341" s="1087"/>
      <c r="HY341" s="1087"/>
      <c r="HZ341" s="1087"/>
      <c r="IA341" s="1087"/>
      <c r="IB341" s="1087"/>
      <c r="IC341" s="1087"/>
      <c r="ID341" s="1087"/>
      <c r="IE341" s="1087"/>
      <c r="IF341" s="1087"/>
      <c r="IG341" s="1087"/>
      <c r="IH341" s="1087"/>
      <c r="II341" s="1087"/>
      <c r="IJ341" s="1087"/>
      <c r="IK341" s="1087"/>
      <c r="IL341" s="1087"/>
      <c r="IM341" s="1087"/>
      <c r="IN341" s="1087"/>
      <c r="IO341" s="1087"/>
      <c r="IP341" s="1087"/>
      <c r="IQ341" s="1087"/>
      <c r="IR341" s="1087"/>
      <c r="IS341" s="1087"/>
      <c r="IT341" s="1087"/>
      <c r="IU341" s="1087"/>
      <c r="IV341" s="1087"/>
      <c r="IW341" s="1087"/>
      <c r="IX341" s="1087"/>
      <c r="IY341" s="1087"/>
      <c r="IZ341" s="1087"/>
      <c r="JA341" s="1087"/>
      <c r="JB341" s="1087"/>
      <c r="JC341" s="1087"/>
      <c r="JD341" s="1087"/>
      <c r="JE341" s="1087"/>
      <c r="JF341" s="1087"/>
      <c r="JG341" s="1087"/>
      <c r="JH341" s="1087"/>
      <c r="JI341" s="1087"/>
      <c r="JJ341" s="1087"/>
      <c r="JK341" s="1087"/>
      <c r="JL341" s="1087"/>
      <c r="JM341" s="1087"/>
      <c r="JN341" s="1087"/>
      <c r="JO341" s="1087"/>
      <c r="JP341" s="1087"/>
      <c r="JQ341" s="1087"/>
      <c r="JR341" s="1087"/>
      <c r="JS341" s="1087"/>
      <c r="JT341" s="1087"/>
      <c r="JU341" s="1087"/>
      <c r="JV341" s="1087"/>
      <c r="JW341" s="1087"/>
      <c r="JX341" s="1087"/>
      <c r="JY341" s="1087"/>
      <c r="JZ341" s="1087"/>
      <c r="KA341" s="1087"/>
      <c r="KB341" s="1092"/>
    </row>
    <row r="342" spans="2:288" ht="15" customHeight="1" x14ac:dyDescent="0.35">
      <c r="B342" s="146" t="str">
        <f t="shared" si="29"/>
        <v>Desk 23</v>
      </c>
      <c r="C342" s="148" t="str">
        <v/>
      </c>
      <c r="D342" s="148" t="str">
        <v/>
      </c>
      <c r="E342" s="148" t="str">
        <v/>
      </c>
      <c r="F342" s="148" t="str">
        <v/>
      </c>
      <c r="G342" s="268" t="str">
        <v/>
      </c>
      <c r="H342" s="1087"/>
      <c r="I342" s="1087"/>
      <c r="J342" s="1087"/>
      <c r="K342" s="1087"/>
      <c r="L342" s="1087"/>
      <c r="M342" s="1087"/>
      <c r="N342" s="1087"/>
      <c r="O342" s="1087"/>
      <c r="P342" s="1087"/>
      <c r="Q342" s="1087"/>
      <c r="R342" s="1087"/>
      <c r="S342" s="1087"/>
      <c r="T342" s="1087"/>
      <c r="U342" s="1087"/>
      <c r="V342" s="1087"/>
      <c r="W342" s="1087"/>
      <c r="X342" s="1087"/>
      <c r="Y342" s="1087"/>
      <c r="Z342" s="1087"/>
      <c r="AA342" s="1087"/>
      <c r="AB342" s="1087"/>
      <c r="AC342" s="1087"/>
      <c r="AD342" s="1087"/>
      <c r="AE342" s="1087"/>
      <c r="AF342" s="1087"/>
      <c r="AG342" s="1087"/>
      <c r="AH342" s="1087"/>
      <c r="AI342" s="1087"/>
      <c r="AJ342" s="1087"/>
      <c r="AK342" s="1087"/>
      <c r="AL342" s="1087"/>
      <c r="AM342" s="1087"/>
      <c r="AN342" s="1087"/>
      <c r="AO342" s="1087"/>
      <c r="AP342" s="1087"/>
      <c r="AQ342" s="1087"/>
      <c r="AR342" s="1087"/>
      <c r="AS342" s="1087"/>
      <c r="AT342" s="1087"/>
      <c r="AU342" s="1087"/>
      <c r="AV342" s="1087"/>
      <c r="AW342" s="1087"/>
      <c r="AX342" s="1087"/>
      <c r="AY342" s="1087"/>
      <c r="AZ342" s="1087"/>
      <c r="BA342" s="1087"/>
      <c r="BB342" s="1087"/>
      <c r="BC342" s="1087"/>
      <c r="BD342" s="1087"/>
      <c r="BE342" s="1087"/>
      <c r="BF342" s="1087"/>
      <c r="BG342" s="1087"/>
      <c r="BH342" s="1087"/>
      <c r="BI342" s="1087"/>
      <c r="BJ342" s="1087"/>
      <c r="BK342" s="1087"/>
      <c r="BL342" s="1087"/>
      <c r="BM342" s="1087"/>
      <c r="BN342" s="1087"/>
      <c r="BO342" s="1087"/>
      <c r="BP342" s="1087"/>
      <c r="BQ342" s="1087"/>
      <c r="BR342" s="1087"/>
      <c r="BS342" s="1087"/>
      <c r="BT342" s="1087"/>
      <c r="BU342" s="1087"/>
      <c r="BV342" s="1087"/>
      <c r="BW342" s="1087"/>
      <c r="BX342" s="1087"/>
      <c r="BY342" s="1087"/>
      <c r="BZ342" s="1087"/>
      <c r="CA342" s="1087"/>
      <c r="CB342" s="1087"/>
      <c r="CC342" s="1087"/>
      <c r="CD342" s="1087"/>
      <c r="CE342" s="1087"/>
      <c r="CF342" s="1087"/>
      <c r="CG342" s="1087"/>
      <c r="CH342" s="1087"/>
      <c r="CI342" s="1087"/>
      <c r="CJ342" s="1087"/>
      <c r="CK342" s="1087"/>
      <c r="CL342" s="1087"/>
      <c r="CM342" s="1087"/>
      <c r="CN342" s="1087"/>
      <c r="CO342" s="1087"/>
      <c r="CP342" s="1087"/>
      <c r="CQ342" s="1087"/>
      <c r="CR342" s="1087"/>
      <c r="CS342" s="1087"/>
      <c r="CT342" s="1087"/>
      <c r="CU342" s="1087"/>
      <c r="CV342" s="1087"/>
      <c r="CW342" s="1087"/>
      <c r="CX342" s="1087"/>
      <c r="CY342" s="1087"/>
      <c r="CZ342" s="1087"/>
      <c r="DA342" s="1087"/>
      <c r="DB342" s="1087"/>
      <c r="DC342" s="1087"/>
      <c r="DD342" s="1087"/>
      <c r="DE342" s="1087"/>
      <c r="DF342" s="1087"/>
      <c r="DG342" s="1087"/>
      <c r="DH342" s="1087"/>
      <c r="DI342" s="1087"/>
      <c r="DJ342" s="1087"/>
      <c r="DK342" s="1087"/>
      <c r="DL342" s="1087"/>
      <c r="DM342" s="1087"/>
      <c r="DN342" s="1087"/>
      <c r="DO342" s="1087"/>
      <c r="DP342" s="1087"/>
      <c r="DQ342" s="1087"/>
      <c r="DR342" s="1087"/>
      <c r="DS342" s="1087"/>
      <c r="DT342" s="1087"/>
      <c r="DU342" s="1087"/>
      <c r="DV342" s="1087"/>
      <c r="DW342" s="1087"/>
      <c r="DX342" s="1087"/>
      <c r="DY342" s="1087"/>
      <c r="DZ342" s="1087"/>
      <c r="EA342" s="1087"/>
      <c r="EB342" s="1087"/>
      <c r="EC342" s="1087"/>
      <c r="ED342" s="1087"/>
      <c r="EE342" s="1087"/>
      <c r="EF342" s="1087"/>
      <c r="EG342" s="1087"/>
      <c r="EH342" s="1087"/>
      <c r="EI342" s="1087"/>
      <c r="EJ342" s="1087"/>
      <c r="EK342" s="1087"/>
      <c r="EL342" s="1087"/>
      <c r="EM342" s="1087"/>
      <c r="EN342" s="1087"/>
      <c r="EO342" s="1087"/>
      <c r="EP342" s="1087"/>
      <c r="EQ342" s="1087"/>
      <c r="ER342" s="1087"/>
      <c r="ES342" s="1087"/>
      <c r="ET342" s="1087"/>
      <c r="EU342" s="1087"/>
      <c r="EV342" s="1087"/>
      <c r="EW342" s="1087"/>
      <c r="EX342" s="1087"/>
      <c r="EY342" s="1087"/>
      <c r="EZ342" s="1087"/>
      <c r="FA342" s="1087"/>
      <c r="FB342" s="1087"/>
      <c r="FC342" s="1087"/>
      <c r="FD342" s="1087"/>
      <c r="FE342" s="1087"/>
      <c r="FF342" s="1087"/>
      <c r="FG342" s="1087"/>
      <c r="FH342" s="1087"/>
      <c r="FI342" s="1087"/>
      <c r="FJ342" s="1087"/>
      <c r="FK342" s="1087"/>
      <c r="FL342" s="1087"/>
      <c r="FM342" s="1087"/>
      <c r="FN342" s="1087"/>
      <c r="FO342" s="1087"/>
      <c r="FP342" s="1087"/>
      <c r="FQ342" s="1087"/>
      <c r="FR342" s="1087"/>
      <c r="FS342" s="1087"/>
      <c r="FT342" s="1087"/>
      <c r="FU342" s="1087"/>
      <c r="FV342" s="1087"/>
      <c r="FW342" s="1087"/>
      <c r="FX342" s="1087"/>
      <c r="FY342" s="1087"/>
      <c r="FZ342" s="1087"/>
      <c r="GA342" s="1087"/>
      <c r="GB342" s="1087"/>
      <c r="GC342" s="1087"/>
      <c r="GD342" s="1087"/>
      <c r="GE342" s="1087"/>
      <c r="GF342" s="1087"/>
      <c r="GG342" s="1087"/>
      <c r="GH342" s="1087"/>
      <c r="GI342" s="1087"/>
      <c r="GJ342" s="1087"/>
      <c r="GK342" s="1087"/>
      <c r="GL342" s="1087"/>
      <c r="GM342" s="1087"/>
      <c r="GN342" s="1087"/>
      <c r="GO342" s="1087"/>
      <c r="GP342" s="1087"/>
      <c r="GQ342" s="1087"/>
      <c r="GR342" s="1087"/>
      <c r="GS342" s="1087"/>
      <c r="GT342" s="1087"/>
      <c r="GU342" s="1087"/>
      <c r="GV342" s="1087"/>
      <c r="GW342" s="1087"/>
      <c r="GX342" s="1087"/>
      <c r="GY342" s="1087"/>
      <c r="GZ342" s="1087"/>
      <c r="HA342" s="1087"/>
      <c r="HB342" s="1087"/>
      <c r="HC342" s="1087"/>
      <c r="HD342" s="1087"/>
      <c r="HE342" s="1087"/>
      <c r="HF342" s="1087"/>
      <c r="HG342" s="1087"/>
      <c r="HH342" s="1087"/>
      <c r="HI342" s="1087"/>
      <c r="HJ342" s="1087"/>
      <c r="HK342" s="1087"/>
      <c r="HL342" s="1087"/>
      <c r="HM342" s="1087"/>
      <c r="HN342" s="1087"/>
      <c r="HO342" s="1087"/>
      <c r="HP342" s="1087"/>
      <c r="HQ342" s="1087"/>
      <c r="HR342" s="1087"/>
      <c r="HS342" s="1087"/>
      <c r="HT342" s="1087"/>
      <c r="HU342" s="1087"/>
      <c r="HV342" s="1087"/>
      <c r="HW342" s="1087"/>
      <c r="HX342" s="1087"/>
      <c r="HY342" s="1087"/>
      <c r="HZ342" s="1087"/>
      <c r="IA342" s="1087"/>
      <c r="IB342" s="1087"/>
      <c r="IC342" s="1087"/>
      <c r="ID342" s="1087"/>
      <c r="IE342" s="1087"/>
      <c r="IF342" s="1087"/>
      <c r="IG342" s="1087"/>
      <c r="IH342" s="1087"/>
      <c r="II342" s="1087"/>
      <c r="IJ342" s="1087"/>
      <c r="IK342" s="1087"/>
      <c r="IL342" s="1087"/>
      <c r="IM342" s="1087"/>
      <c r="IN342" s="1087"/>
      <c r="IO342" s="1087"/>
      <c r="IP342" s="1087"/>
      <c r="IQ342" s="1087"/>
      <c r="IR342" s="1087"/>
      <c r="IS342" s="1087"/>
      <c r="IT342" s="1087"/>
      <c r="IU342" s="1087"/>
      <c r="IV342" s="1087"/>
      <c r="IW342" s="1087"/>
      <c r="IX342" s="1087"/>
      <c r="IY342" s="1087"/>
      <c r="IZ342" s="1087"/>
      <c r="JA342" s="1087"/>
      <c r="JB342" s="1087"/>
      <c r="JC342" s="1087"/>
      <c r="JD342" s="1087"/>
      <c r="JE342" s="1087"/>
      <c r="JF342" s="1087"/>
      <c r="JG342" s="1087"/>
      <c r="JH342" s="1087"/>
      <c r="JI342" s="1087"/>
      <c r="JJ342" s="1087"/>
      <c r="JK342" s="1087"/>
      <c r="JL342" s="1087"/>
      <c r="JM342" s="1087"/>
      <c r="JN342" s="1087"/>
      <c r="JO342" s="1087"/>
      <c r="JP342" s="1087"/>
      <c r="JQ342" s="1087"/>
      <c r="JR342" s="1087"/>
      <c r="JS342" s="1087"/>
      <c r="JT342" s="1087"/>
      <c r="JU342" s="1087"/>
      <c r="JV342" s="1087"/>
      <c r="JW342" s="1087"/>
      <c r="JX342" s="1087"/>
      <c r="JY342" s="1087"/>
      <c r="JZ342" s="1087"/>
      <c r="KA342" s="1087"/>
      <c r="KB342" s="1092"/>
    </row>
    <row r="343" spans="2:288" ht="15" customHeight="1" x14ac:dyDescent="0.35">
      <c r="B343" s="146" t="str">
        <f t="shared" si="29"/>
        <v>Desk 24</v>
      </c>
      <c r="C343" s="148" t="str">
        <v/>
      </c>
      <c r="D343" s="148" t="str">
        <v/>
      </c>
      <c r="E343" s="148" t="str">
        <v/>
      </c>
      <c r="F343" s="148" t="str">
        <v/>
      </c>
      <c r="G343" s="268" t="str">
        <v/>
      </c>
      <c r="H343" s="1087"/>
      <c r="I343" s="1087"/>
      <c r="J343" s="1087"/>
      <c r="K343" s="1087"/>
      <c r="L343" s="1087"/>
      <c r="M343" s="1087"/>
      <c r="N343" s="1087"/>
      <c r="O343" s="1087"/>
      <c r="P343" s="1087"/>
      <c r="Q343" s="1087"/>
      <c r="R343" s="1087"/>
      <c r="S343" s="1087"/>
      <c r="T343" s="1087"/>
      <c r="U343" s="1087"/>
      <c r="V343" s="1087"/>
      <c r="W343" s="1087"/>
      <c r="X343" s="1087"/>
      <c r="Y343" s="1087"/>
      <c r="Z343" s="1087"/>
      <c r="AA343" s="1087"/>
      <c r="AB343" s="1087"/>
      <c r="AC343" s="1087"/>
      <c r="AD343" s="1087"/>
      <c r="AE343" s="1087"/>
      <c r="AF343" s="1087"/>
      <c r="AG343" s="1087"/>
      <c r="AH343" s="1087"/>
      <c r="AI343" s="1087"/>
      <c r="AJ343" s="1087"/>
      <c r="AK343" s="1087"/>
      <c r="AL343" s="1087"/>
      <c r="AM343" s="1087"/>
      <c r="AN343" s="1087"/>
      <c r="AO343" s="1087"/>
      <c r="AP343" s="1087"/>
      <c r="AQ343" s="1087"/>
      <c r="AR343" s="1087"/>
      <c r="AS343" s="1087"/>
      <c r="AT343" s="1087"/>
      <c r="AU343" s="1087"/>
      <c r="AV343" s="1087"/>
      <c r="AW343" s="1087"/>
      <c r="AX343" s="1087"/>
      <c r="AY343" s="1087"/>
      <c r="AZ343" s="1087"/>
      <c r="BA343" s="1087"/>
      <c r="BB343" s="1087"/>
      <c r="BC343" s="1087"/>
      <c r="BD343" s="1087"/>
      <c r="BE343" s="1087"/>
      <c r="BF343" s="1087"/>
      <c r="BG343" s="1087"/>
      <c r="BH343" s="1087"/>
      <c r="BI343" s="1087"/>
      <c r="BJ343" s="1087"/>
      <c r="BK343" s="1087"/>
      <c r="BL343" s="1087"/>
      <c r="BM343" s="1087"/>
      <c r="BN343" s="1087"/>
      <c r="BO343" s="1087"/>
      <c r="BP343" s="1087"/>
      <c r="BQ343" s="1087"/>
      <c r="BR343" s="1087"/>
      <c r="BS343" s="1087"/>
      <c r="BT343" s="1087"/>
      <c r="BU343" s="1087"/>
      <c r="BV343" s="1087"/>
      <c r="BW343" s="1087"/>
      <c r="BX343" s="1087"/>
      <c r="BY343" s="1087"/>
      <c r="BZ343" s="1087"/>
      <c r="CA343" s="1087"/>
      <c r="CB343" s="1087"/>
      <c r="CC343" s="1087"/>
      <c r="CD343" s="1087"/>
      <c r="CE343" s="1087"/>
      <c r="CF343" s="1087"/>
      <c r="CG343" s="1087"/>
      <c r="CH343" s="1087"/>
      <c r="CI343" s="1087"/>
      <c r="CJ343" s="1087"/>
      <c r="CK343" s="1087"/>
      <c r="CL343" s="1087"/>
      <c r="CM343" s="1087"/>
      <c r="CN343" s="1087"/>
      <c r="CO343" s="1087"/>
      <c r="CP343" s="1087"/>
      <c r="CQ343" s="1087"/>
      <c r="CR343" s="1087"/>
      <c r="CS343" s="1087"/>
      <c r="CT343" s="1087"/>
      <c r="CU343" s="1087"/>
      <c r="CV343" s="1087"/>
      <c r="CW343" s="1087"/>
      <c r="CX343" s="1087"/>
      <c r="CY343" s="1087"/>
      <c r="CZ343" s="1087"/>
      <c r="DA343" s="1087"/>
      <c r="DB343" s="1087"/>
      <c r="DC343" s="1087"/>
      <c r="DD343" s="1087"/>
      <c r="DE343" s="1087"/>
      <c r="DF343" s="1087"/>
      <c r="DG343" s="1087"/>
      <c r="DH343" s="1087"/>
      <c r="DI343" s="1087"/>
      <c r="DJ343" s="1087"/>
      <c r="DK343" s="1087"/>
      <c r="DL343" s="1087"/>
      <c r="DM343" s="1087"/>
      <c r="DN343" s="1087"/>
      <c r="DO343" s="1087"/>
      <c r="DP343" s="1087"/>
      <c r="DQ343" s="1087"/>
      <c r="DR343" s="1087"/>
      <c r="DS343" s="1087"/>
      <c r="DT343" s="1087"/>
      <c r="DU343" s="1087"/>
      <c r="DV343" s="1087"/>
      <c r="DW343" s="1087"/>
      <c r="DX343" s="1087"/>
      <c r="DY343" s="1087"/>
      <c r="DZ343" s="1087"/>
      <c r="EA343" s="1087"/>
      <c r="EB343" s="1087"/>
      <c r="EC343" s="1087"/>
      <c r="ED343" s="1087"/>
      <c r="EE343" s="1087"/>
      <c r="EF343" s="1087"/>
      <c r="EG343" s="1087"/>
      <c r="EH343" s="1087"/>
      <c r="EI343" s="1087"/>
      <c r="EJ343" s="1087"/>
      <c r="EK343" s="1087"/>
      <c r="EL343" s="1087"/>
      <c r="EM343" s="1087"/>
      <c r="EN343" s="1087"/>
      <c r="EO343" s="1087"/>
      <c r="EP343" s="1087"/>
      <c r="EQ343" s="1087"/>
      <c r="ER343" s="1087"/>
      <c r="ES343" s="1087"/>
      <c r="ET343" s="1087"/>
      <c r="EU343" s="1087"/>
      <c r="EV343" s="1087"/>
      <c r="EW343" s="1087"/>
      <c r="EX343" s="1087"/>
      <c r="EY343" s="1087"/>
      <c r="EZ343" s="1087"/>
      <c r="FA343" s="1087"/>
      <c r="FB343" s="1087"/>
      <c r="FC343" s="1087"/>
      <c r="FD343" s="1087"/>
      <c r="FE343" s="1087"/>
      <c r="FF343" s="1087"/>
      <c r="FG343" s="1087"/>
      <c r="FH343" s="1087"/>
      <c r="FI343" s="1087"/>
      <c r="FJ343" s="1087"/>
      <c r="FK343" s="1087"/>
      <c r="FL343" s="1087"/>
      <c r="FM343" s="1087"/>
      <c r="FN343" s="1087"/>
      <c r="FO343" s="1087"/>
      <c r="FP343" s="1087"/>
      <c r="FQ343" s="1087"/>
      <c r="FR343" s="1087"/>
      <c r="FS343" s="1087"/>
      <c r="FT343" s="1087"/>
      <c r="FU343" s="1087"/>
      <c r="FV343" s="1087"/>
      <c r="FW343" s="1087"/>
      <c r="FX343" s="1087"/>
      <c r="FY343" s="1087"/>
      <c r="FZ343" s="1087"/>
      <c r="GA343" s="1087"/>
      <c r="GB343" s="1087"/>
      <c r="GC343" s="1087"/>
      <c r="GD343" s="1087"/>
      <c r="GE343" s="1087"/>
      <c r="GF343" s="1087"/>
      <c r="GG343" s="1087"/>
      <c r="GH343" s="1087"/>
      <c r="GI343" s="1087"/>
      <c r="GJ343" s="1087"/>
      <c r="GK343" s="1087"/>
      <c r="GL343" s="1087"/>
      <c r="GM343" s="1087"/>
      <c r="GN343" s="1087"/>
      <c r="GO343" s="1087"/>
      <c r="GP343" s="1087"/>
      <c r="GQ343" s="1087"/>
      <c r="GR343" s="1087"/>
      <c r="GS343" s="1087"/>
      <c r="GT343" s="1087"/>
      <c r="GU343" s="1087"/>
      <c r="GV343" s="1087"/>
      <c r="GW343" s="1087"/>
      <c r="GX343" s="1087"/>
      <c r="GY343" s="1087"/>
      <c r="GZ343" s="1087"/>
      <c r="HA343" s="1087"/>
      <c r="HB343" s="1087"/>
      <c r="HC343" s="1087"/>
      <c r="HD343" s="1087"/>
      <c r="HE343" s="1087"/>
      <c r="HF343" s="1087"/>
      <c r="HG343" s="1087"/>
      <c r="HH343" s="1087"/>
      <c r="HI343" s="1087"/>
      <c r="HJ343" s="1087"/>
      <c r="HK343" s="1087"/>
      <c r="HL343" s="1087"/>
      <c r="HM343" s="1087"/>
      <c r="HN343" s="1087"/>
      <c r="HO343" s="1087"/>
      <c r="HP343" s="1087"/>
      <c r="HQ343" s="1087"/>
      <c r="HR343" s="1087"/>
      <c r="HS343" s="1087"/>
      <c r="HT343" s="1087"/>
      <c r="HU343" s="1087"/>
      <c r="HV343" s="1087"/>
      <c r="HW343" s="1087"/>
      <c r="HX343" s="1087"/>
      <c r="HY343" s="1087"/>
      <c r="HZ343" s="1087"/>
      <c r="IA343" s="1087"/>
      <c r="IB343" s="1087"/>
      <c r="IC343" s="1087"/>
      <c r="ID343" s="1087"/>
      <c r="IE343" s="1087"/>
      <c r="IF343" s="1087"/>
      <c r="IG343" s="1087"/>
      <c r="IH343" s="1087"/>
      <c r="II343" s="1087"/>
      <c r="IJ343" s="1087"/>
      <c r="IK343" s="1087"/>
      <c r="IL343" s="1087"/>
      <c r="IM343" s="1087"/>
      <c r="IN343" s="1087"/>
      <c r="IO343" s="1087"/>
      <c r="IP343" s="1087"/>
      <c r="IQ343" s="1087"/>
      <c r="IR343" s="1087"/>
      <c r="IS343" s="1087"/>
      <c r="IT343" s="1087"/>
      <c r="IU343" s="1087"/>
      <c r="IV343" s="1087"/>
      <c r="IW343" s="1087"/>
      <c r="IX343" s="1087"/>
      <c r="IY343" s="1087"/>
      <c r="IZ343" s="1087"/>
      <c r="JA343" s="1087"/>
      <c r="JB343" s="1087"/>
      <c r="JC343" s="1087"/>
      <c r="JD343" s="1087"/>
      <c r="JE343" s="1087"/>
      <c r="JF343" s="1087"/>
      <c r="JG343" s="1087"/>
      <c r="JH343" s="1087"/>
      <c r="JI343" s="1087"/>
      <c r="JJ343" s="1087"/>
      <c r="JK343" s="1087"/>
      <c r="JL343" s="1087"/>
      <c r="JM343" s="1087"/>
      <c r="JN343" s="1087"/>
      <c r="JO343" s="1087"/>
      <c r="JP343" s="1087"/>
      <c r="JQ343" s="1087"/>
      <c r="JR343" s="1087"/>
      <c r="JS343" s="1087"/>
      <c r="JT343" s="1087"/>
      <c r="JU343" s="1087"/>
      <c r="JV343" s="1087"/>
      <c r="JW343" s="1087"/>
      <c r="JX343" s="1087"/>
      <c r="JY343" s="1087"/>
      <c r="JZ343" s="1087"/>
      <c r="KA343" s="1087"/>
      <c r="KB343" s="1092"/>
    </row>
    <row r="344" spans="2:288" ht="15" customHeight="1" x14ac:dyDescent="0.35">
      <c r="B344" s="146" t="str">
        <f t="shared" si="29"/>
        <v>Desk 25</v>
      </c>
      <c r="C344" s="148" t="str">
        <v/>
      </c>
      <c r="D344" s="148" t="str">
        <v/>
      </c>
      <c r="E344" s="148" t="str">
        <v/>
      </c>
      <c r="F344" s="148" t="str">
        <v/>
      </c>
      <c r="G344" s="268" t="str">
        <v/>
      </c>
      <c r="H344" s="1087"/>
      <c r="I344" s="1087"/>
      <c r="J344" s="1087"/>
      <c r="K344" s="1087"/>
      <c r="L344" s="1087"/>
      <c r="M344" s="1087"/>
      <c r="N344" s="1087"/>
      <c r="O344" s="1087"/>
      <c r="P344" s="1087"/>
      <c r="Q344" s="1087"/>
      <c r="R344" s="1087"/>
      <c r="S344" s="1087"/>
      <c r="T344" s="1087"/>
      <c r="U344" s="1087"/>
      <c r="V344" s="1087"/>
      <c r="W344" s="1087"/>
      <c r="X344" s="1087"/>
      <c r="Y344" s="1087"/>
      <c r="Z344" s="1087"/>
      <c r="AA344" s="1087"/>
      <c r="AB344" s="1087"/>
      <c r="AC344" s="1087"/>
      <c r="AD344" s="1087"/>
      <c r="AE344" s="1087"/>
      <c r="AF344" s="1087"/>
      <c r="AG344" s="1087"/>
      <c r="AH344" s="1087"/>
      <c r="AI344" s="1087"/>
      <c r="AJ344" s="1087"/>
      <c r="AK344" s="1087"/>
      <c r="AL344" s="1087"/>
      <c r="AM344" s="1087"/>
      <c r="AN344" s="1087"/>
      <c r="AO344" s="1087"/>
      <c r="AP344" s="1087"/>
      <c r="AQ344" s="1087"/>
      <c r="AR344" s="1087"/>
      <c r="AS344" s="1087"/>
      <c r="AT344" s="1087"/>
      <c r="AU344" s="1087"/>
      <c r="AV344" s="1087"/>
      <c r="AW344" s="1087"/>
      <c r="AX344" s="1087"/>
      <c r="AY344" s="1087"/>
      <c r="AZ344" s="1087"/>
      <c r="BA344" s="1087"/>
      <c r="BB344" s="1087"/>
      <c r="BC344" s="1087"/>
      <c r="BD344" s="1087"/>
      <c r="BE344" s="1087"/>
      <c r="BF344" s="1087"/>
      <c r="BG344" s="1087"/>
      <c r="BH344" s="1087"/>
      <c r="BI344" s="1087"/>
      <c r="BJ344" s="1087"/>
      <c r="BK344" s="1087"/>
      <c r="BL344" s="1087"/>
      <c r="BM344" s="1087"/>
      <c r="BN344" s="1087"/>
      <c r="BO344" s="1087"/>
      <c r="BP344" s="1087"/>
      <c r="BQ344" s="1087"/>
      <c r="BR344" s="1087"/>
      <c r="BS344" s="1087"/>
      <c r="BT344" s="1087"/>
      <c r="BU344" s="1087"/>
      <c r="BV344" s="1087"/>
      <c r="BW344" s="1087"/>
      <c r="BX344" s="1087"/>
      <c r="BY344" s="1087"/>
      <c r="BZ344" s="1087"/>
      <c r="CA344" s="1087"/>
      <c r="CB344" s="1087"/>
      <c r="CC344" s="1087"/>
      <c r="CD344" s="1087"/>
      <c r="CE344" s="1087"/>
      <c r="CF344" s="1087"/>
      <c r="CG344" s="1087"/>
      <c r="CH344" s="1087"/>
      <c r="CI344" s="1087"/>
      <c r="CJ344" s="1087"/>
      <c r="CK344" s="1087"/>
      <c r="CL344" s="1087"/>
      <c r="CM344" s="1087"/>
      <c r="CN344" s="1087"/>
      <c r="CO344" s="1087"/>
      <c r="CP344" s="1087"/>
      <c r="CQ344" s="1087"/>
      <c r="CR344" s="1087"/>
      <c r="CS344" s="1087"/>
      <c r="CT344" s="1087"/>
      <c r="CU344" s="1087"/>
      <c r="CV344" s="1087"/>
      <c r="CW344" s="1087"/>
      <c r="CX344" s="1087"/>
      <c r="CY344" s="1087"/>
      <c r="CZ344" s="1087"/>
      <c r="DA344" s="1087"/>
      <c r="DB344" s="1087"/>
      <c r="DC344" s="1087"/>
      <c r="DD344" s="1087"/>
      <c r="DE344" s="1087"/>
      <c r="DF344" s="1087"/>
      <c r="DG344" s="1087"/>
      <c r="DH344" s="1087"/>
      <c r="DI344" s="1087"/>
      <c r="DJ344" s="1087"/>
      <c r="DK344" s="1087"/>
      <c r="DL344" s="1087"/>
      <c r="DM344" s="1087"/>
      <c r="DN344" s="1087"/>
      <c r="DO344" s="1087"/>
      <c r="DP344" s="1087"/>
      <c r="DQ344" s="1087"/>
      <c r="DR344" s="1087"/>
      <c r="DS344" s="1087"/>
      <c r="DT344" s="1087"/>
      <c r="DU344" s="1087"/>
      <c r="DV344" s="1087"/>
      <c r="DW344" s="1087"/>
      <c r="DX344" s="1087"/>
      <c r="DY344" s="1087"/>
      <c r="DZ344" s="1087"/>
      <c r="EA344" s="1087"/>
      <c r="EB344" s="1087"/>
      <c r="EC344" s="1087"/>
      <c r="ED344" s="1087"/>
      <c r="EE344" s="1087"/>
      <c r="EF344" s="1087"/>
      <c r="EG344" s="1087"/>
      <c r="EH344" s="1087"/>
      <c r="EI344" s="1087"/>
      <c r="EJ344" s="1087"/>
      <c r="EK344" s="1087"/>
      <c r="EL344" s="1087"/>
      <c r="EM344" s="1087"/>
      <c r="EN344" s="1087"/>
      <c r="EO344" s="1087"/>
      <c r="EP344" s="1087"/>
      <c r="EQ344" s="1087"/>
      <c r="ER344" s="1087"/>
      <c r="ES344" s="1087"/>
      <c r="ET344" s="1087"/>
      <c r="EU344" s="1087"/>
      <c r="EV344" s="1087"/>
      <c r="EW344" s="1087"/>
      <c r="EX344" s="1087"/>
      <c r="EY344" s="1087"/>
      <c r="EZ344" s="1087"/>
      <c r="FA344" s="1087"/>
      <c r="FB344" s="1087"/>
      <c r="FC344" s="1087"/>
      <c r="FD344" s="1087"/>
      <c r="FE344" s="1087"/>
      <c r="FF344" s="1087"/>
      <c r="FG344" s="1087"/>
      <c r="FH344" s="1087"/>
      <c r="FI344" s="1087"/>
      <c r="FJ344" s="1087"/>
      <c r="FK344" s="1087"/>
      <c r="FL344" s="1087"/>
      <c r="FM344" s="1087"/>
      <c r="FN344" s="1087"/>
      <c r="FO344" s="1087"/>
      <c r="FP344" s="1087"/>
      <c r="FQ344" s="1087"/>
      <c r="FR344" s="1087"/>
      <c r="FS344" s="1087"/>
      <c r="FT344" s="1087"/>
      <c r="FU344" s="1087"/>
      <c r="FV344" s="1087"/>
      <c r="FW344" s="1087"/>
      <c r="FX344" s="1087"/>
      <c r="FY344" s="1087"/>
      <c r="FZ344" s="1087"/>
      <c r="GA344" s="1087"/>
      <c r="GB344" s="1087"/>
      <c r="GC344" s="1087"/>
      <c r="GD344" s="1087"/>
      <c r="GE344" s="1087"/>
      <c r="GF344" s="1087"/>
      <c r="GG344" s="1087"/>
      <c r="GH344" s="1087"/>
      <c r="GI344" s="1087"/>
      <c r="GJ344" s="1087"/>
      <c r="GK344" s="1087"/>
      <c r="GL344" s="1087"/>
      <c r="GM344" s="1087"/>
      <c r="GN344" s="1087"/>
      <c r="GO344" s="1087"/>
      <c r="GP344" s="1087"/>
      <c r="GQ344" s="1087"/>
      <c r="GR344" s="1087"/>
      <c r="GS344" s="1087"/>
      <c r="GT344" s="1087"/>
      <c r="GU344" s="1087"/>
      <c r="GV344" s="1087"/>
      <c r="GW344" s="1087"/>
      <c r="GX344" s="1087"/>
      <c r="GY344" s="1087"/>
      <c r="GZ344" s="1087"/>
      <c r="HA344" s="1087"/>
      <c r="HB344" s="1087"/>
      <c r="HC344" s="1087"/>
      <c r="HD344" s="1087"/>
      <c r="HE344" s="1087"/>
      <c r="HF344" s="1087"/>
      <c r="HG344" s="1087"/>
      <c r="HH344" s="1087"/>
      <c r="HI344" s="1087"/>
      <c r="HJ344" s="1087"/>
      <c r="HK344" s="1087"/>
      <c r="HL344" s="1087"/>
      <c r="HM344" s="1087"/>
      <c r="HN344" s="1087"/>
      <c r="HO344" s="1087"/>
      <c r="HP344" s="1087"/>
      <c r="HQ344" s="1087"/>
      <c r="HR344" s="1087"/>
      <c r="HS344" s="1087"/>
      <c r="HT344" s="1087"/>
      <c r="HU344" s="1087"/>
      <c r="HV344" s="1087"/>
      <c r="HW344" s="1087"/>
      <c r="HX344" s="1087"/>
      <c r="HY344" s="1087"/>
      <c r="HZ344" s="1087"/>
      <c r="IA344" s="1087"/>
      <c r="IB344" s="1087"/>
      <c r="IC344" s="1087"/>
      <c r="ID344" s="1087"/>
      <c r="IE344" s="1087"/>
      <c r="IF344" s="1087"/>
      <c r="IG344" s="1087"/>
      <c r="IH344" s="1087"/>
      <c r="II344" s="1087"/>
      <c r="IJ344" s="1087"/>
      <c r="IK344" s="1087"/>
      <c r="IL344" s="1087"/>
      <c r="IM344" s="1087"/>
      <c r="IN344" s="1087"/>
      <c r="IO344" s="1087"/>
      <c r="IP344" s="1087"/>
      <c r="IQ344" s="1087"/>
      <c r="IR344" s="1087"/>
      <c r="IS344" s="1087"/>
      <c r="IT344" s="1087"/>
      <c r="IU344" s="1087"/>
      <c r="IV344" s="1087"/>
      <c r="IW344" s="1087"/>
      <c r="IX344" s="1087"/>
      <c r="IY344" s="1087"/>
      <c r="IZ344" s="1087"/>
      <c r="JA344" s="1087"/>
      <c r="JB344" s="1087"/>
      <c r="JC344" s="1087"/>
      <c r="JD344" s="1087"/>
      <c r="JE344" s="1087"/>
      <c r="JF344" s="1087"/>
      <c r="JG344" s="1087"/>
      <c r="JH344" s="1087"/>
      <c r="JI344" s="1087"/>
      <c r="JJ344" s="1087"/>
      <c r="JK344" s="1087"/>
      <c r="JL344" s="1087"/>
      <c r="JM344" s="1087"/>
      <c r="JN344" s="1087"/>
      <c r="JO344" s="1087"/>
      <c r="JP344" s="1087"/>
      <c r="JQ344" s="1087"/>
      <c r="JR344" s="1087"/>
      <c r="JS344" s="1087"/>
      <c r="JT344" s="1087"/>
      <c r="JU344" s="1087"/>
      <c r="JV344" s="1087"/>
      <c r="JW344" s="1087"/>
      <c r="JX344" s="1087"/>
      <c r="JY344" s="1087"/>
      <c r="JZ344" s="1087"/>
      <c r="KA344" s="1087"/>
      <c r="KB344" s="1092"/>
    </row>
    <row r="345" spans="2:288" ht="15" customHeight="1" x14ac:dyDescent="0.35">
      <c r="B345" s="146" t="str">
        <f t="shared" si="29"/>
        <v>Desk 26</v>
      </c>
      <c r="C345" s="148" t="str">
        <v/>
      </c>
      <c r="D345" s="148" t="str">
        <v/>
      </c>
      <c r="E345" s="148" t="str">
        <v/>
      </c>
      <c r="F345" s="148" t="str">
        <v/>
      </c>
      <c r="G345" s="268" t="str">
        <v/>
      </c>
      <c r="H345" s="1087"/>
      <c r="I345" s="1087"/>
      <c r="J345" s="1087"/>
      <c r="K345" s="1087"/>
      <c r="L345" s="1087"/>
      <c r="M345" s="1087"/>
      <c r="N345" s="1087"/>
      <c r="O345" s="1087"/>
      <c r="P345" s="1087"/>
      <c r="Q345" s="1087"/>
      <c r="R345" s="1087"/>
      <c r="S345" s="1087"/>
      <c r="T345" s="1087"/>
      <c r="U345" s="1087"/>
      <c r="V345" s="1087"/>
      <c r="W345" s="1087"/>
      <c r="X345" s="1087"/>
      <c r="Y345" s="1087"/>
      <c r="Z345" s="1087"/>
      <c r="AA345" s="1087"/>
      <c r="AB345" s="1087"/>
      <c r="AC345" s="1087"/>
      <c r="AD345" s="1087"/>
      <c r="AE345" s="1087"/>
      <c r="AF345" s="1087"/>
      <c r="AG345" s="1087"/>
      <c r="AH345" s="1087"/>
      <c r="AI345" s="1087"/>
      <c r="AJ345" s="1087"/>
      <c r="AK345" s="1087"/>
      <c r="AL345" s="1087"/>
      <c r="AM345" s="1087"/>
      <c r="AN345" s="1087"/>
      <c r="AO345" s="1087"/>
      <c r="AP345" s="1087"/>
      <c r="AQ345" s="1087"/>
      <c r="AR345" s="1087"/>
      <c r="AS345" s="1087"/>
      <c r="AT345" s="1087"/>
      <c r="AU345" s="1087"/>
      <c r="AV345" s="1087"/>
      <c r="AW345" s="1087"/>
      <c r="AX345" s="1087"/>
      <c r="AY345" s="1087"/>
      <c r="AZ345" s="1087"/>
      <c r="BA345" s="1087"/>
      <c r="BB345" s="1087"/>
      <c r="BC345" s="1087"/>
      <c r="BD345" s="1087"/>
      <c r="BE345" s="1087"/>
      <c r="BF345" s="1087"/>
      <c r="BG345" s="1087"/>
      <c r="BH345" s="1087"/>
      <c r="BI345" s="1087"/>
      <c r="BJ345" s="1087"/>
      <c r="BK345" s="1087"/>
      <c r="BL345" s="1087"/>
      <c r="BM345" s="1087"/>
      <c r="BN345" s="1087"/>
      <c r="BO345" s="1087"/>
      <c r="BP345" s="1087"/>
      <c r="BQ345" s="1087"/>
      <c r="BR345" s="1087"/>
      <c r="BS345" s="1087"/>
      <c r="BT345" s="1087"/>
      <c r="BU345" s="1087"/>
      <c r="BV345" s="1087"/>
      <c r="BW345" s="1087"/>
      <c r="BX345" s="1087"/>
      <c r="BY345" s="1087"/>
      <c r="BZ345" s="1087"/>
      <c r="CA345" s="1087"/>
      <c r="CB345" s="1087"/>
      <c r="CC345" s="1087"/>
      <c r="CD345" s="1087"/>
      <c r="CE345" s="1087"/>
      <c r="CF345" s="1087"/>
      <c r="CG345" s="1087"/>
      <c r="CH345" s="1087"/>
      <c r="CI345" s="1087"/>
      <c r="CJ345" s="1087"/>
      <c r="CK345" s="1087"/>
      <c r="CL345" s="1087"/>
      <c r="CM345" s="1087"/>
      <c r="CN345" s="1087"/>
      <c r="CO345" s="1087"/>
      <c r="CP345" s="1087"/>
      <c r="CQ345" s="1087"/>
      <c r="CR345" s="1087"/>
      <c r="CS345" s="1087"/>
      <c r="CT345" s="1087"/>
      <c r="CU345" s="1087"/>
      <c r="CV345" s="1087"/>
      <c r="CW345" s="1087"/>
      <c r="CX345" s="1087"/>
      <c r="CY345" s="1087"/>
      <c r="CZ345" s="1087"/>
      <c r="DA345" s="1087"/>
      <c r="DB345" s="1087"/>
      <c r="DC345" s="1087"/>
      <c r="DD345" s="1087"/>
      <c r="DE345" s="1087"/>
      <c r="DF345" s="1087"/>
      <c r="DG345" s="1087"/>
      <c r="DH345" s="1087"/>
      <c r="DI345" s="1087"/>
      <c r="DJ345" s="1087"/>
      <c r="DK345" s="1087"/>
      <c r="DL345" s="1087"/>
      <c r="DM345" s="1087"/>
      <c r="DN345" s="1087"/>
      <c r="DO345" s="1087"/>
      <c r="DP345" s="1087"/>
      <c r="DQ345" s="1087"/>
      <c r="DR345" s="1087"/>
      <c r="DS345" s="1087"/>
      <c r="DT345" s="1087"/>
      <c r="DU345" s="1087"/>
      <c r="DV345" s="1087"/>
      <c r="DW345" s="1087"/>
      <c r="DX345" s="1087"/>
      <c r="DY345" s="1087"/>
      <c r="DZ345" s="1087"/>
      <c r="EA345" s="1087"/>
      <c r="EB345" s="1087"/>
      <c r="EC345" s="1087"/>
      <c r="ED345" s="1087"/>
      <c r="EE345" s="1087"/>
      <c r="EF345" s="1087"/>
      <c r="EG345" s="1087"/>
      <c r="EH345" s="1087"/>
      <c r="EI345" s="1087"/>
      <c r="EJ345" s="1087"/>
      <c r="EK345" s="1087"/>
      <c r="EL345" s="1087"/>
      <c r="EM345" s="1087"/>
      <c r="EN345" s="1087"/>
      <c r="EO345" s="1087"/>
      <c r="EP345" s="1087"/>
      <c r="EQ345" s="1087"/>
      <c r="ER345" s="1087"/>
      <c r="ES345" s="1087"/>
      <c r="ET345" s="1087"/>
      <c r="EU345" s="1087"/>
      <c r="EV345" s="1087"/>
      <c r="EW345" s="1087"/>
      <c r="EX345" s="1087"/>
      <c r="EY345" s="1087"/>
      <c r="EZ345" s="1087"/>
      <c r="FA345" s="1087"/>
      <c r="FB345" s="1087"/>
      <c r="FC345" s="1087"/>
      <c r="FD345" s="1087"/>
      <c r="FE345" s="1087"/>
      <c r="FF345" s="1087"/>
      <c r="FG345" s="1087"/>
      <c r="FH345" s="1087"/>
      <c r="FI345" s="1087"/>
      <c r="FJ345" s="1087"/>
      <c r="FK345" s="1087"/>
      <c r="FL345" s="1087"/>
      <c r="FM345" s="1087"/>
      <c r="FN345" s="1087"/>
      <c r="FO345" s="1087"/>
      <c r="FP345" s="1087"/>
      <c r="FQ345" s="1087"/>
      <c r="FR345" s="1087"/>
      <c r="FS345" s="1087"/>
      <c r="FT345" s="1087"/>
      <c r="FU345" s="1087"/>
      <c r="FV345" s="1087"/>
      <c r="FW345" s="1087"/>
      <c r="FX345" s="1087"/>
      <c r="FY345" s="1087"/>
      <c r="FZ345" s="1087"/>
      <c r="GA345" s="1087"/>
      <c r="GB345" s="1087"/>
      <c r="GC345" s="1087"/>
      <c r="GD345" s="1087"/>
      <c r="GE345" s="1087"/>
      <c r="GF345" s="1087"/>
      <c r="GG345" s="1087"/>
      <c r="GH345" s="1087"/>
      <c r="GI345" s="1087"/>
      <c r="GJ345" s="1087"/>
      <c r="GK345" s="1087"/>
      <c r="GL345" s="1087"/>
      <c r="GM345" s="1087"/>
      <c r="GN345" s="1087"/>
      <c r="GO345" s="1087"/>
      <c r="GP345" s="1087"/>
      <c r="GQ345" s="1087"/>
      <c r="GR345" s="1087"/>
      <c r="GS345" s="1087"/>
      <c r="GT345" s="1087"/>
      <c r="GU345" s="1087"/>
      <c r="GV345" s="1087"/>
      <c r="GW345" s="1087"/>
      <c r="GX345" s="1087"/>
      <c r="GY345" s="1087"/>
      <c r="GZ345" s="1087"/>
      <c r="HA345" s="1087"/>
      <c r="HB345" s="1087"/>
      <c r="HC345" s="1087"/>
      <c r="HD345" s="1087"/>
      <c r="HE345" s="1087"/>
      <c r="HF345" s="1087"/>
      <c r="HG345" s="1087"/>
      <c r="HH345" s="1087"/>
      <c r="HI345" s="1087"/>
      <c r="HJ345" s="1087"/>
      <c r="HK345" s="1087"/>
      <c r="HL345" s="1087"/>
      <c r="HM345" s="1087"/>
      <c r="HN345" s="1087"/>
      <c r="HO345" s="1087"/>
      <c r="HP345" s="1087"/>
      <c r="HQ345" s="1087"/>
      <c r="HR345" s="1087"/>
      <c r="HS345" s="1087"/>
      <c r="HT345" s="1087"/>
      <c r="HU345" s="1087"/>
      <c r="HV345" s="1087"/>
      <c r="HW345" s="1087"/>
      <c r="HX345" s="1087"/>
      <c r="HY345" s="1087"/>
      <c r="HZ345" s="1087"/>
      <c r="IA345" s="1087"/>
      <c r="IB345" s="1087"/>
      <c r="IC345" s="1087"/>
      <c r="ID345" s="1087"/>
      <c r="IE345" s="1087"/>
      <c r="IF345" s="1087"/>
      <c r="IG345" s="1087"/>
      <c r="IH345" s="1087"/>
      <c r="II345" s="1087"/>
      <c r="IJ345" s="1087"/>
      <c r="IK345" s="1087"/>
      <c r="IL345" s="1087"/>
      <c r="IM345" s="1087"/>
      <c r="IN345" s="1087"/>
      <c r="IO345" s="1087"/>
      <c r="IP345" s="1087"/>
      <c r="IQ345" s="1087"/>
      <c r="IR345" s="1087"/>
      <c r="IS345" s="1087"/>
      <c r="IT345" s="1087"/>
      <c r="IU345" s="1087"/>
      <c r="IV345" s="1087"/>
      <c r="IW345" s="1087"/>
      <c r="IX345" s="1087"/>
      <c r="IY345" s="1087"/>
      <c r="IZ345" s="1087"/>
      <c r="JA345" s="1087"/>
      <c r="JB345" s="1087"/>
      <c r="JC345" s="1087"/>
      <c r="JD345" s="1087"/>
      <c r="JE345" s="1087"/>
      <c r="JF345" s="1087"/>
      <c r="JG345" s="1087"/>
      <c r="JH345" s="1087"/>
      <c r="JI345" s="1087"/>
      <c r="JJ345" s="1087"/>
      <c r="JK345" s="1087"/>
      <c r="JL345" s="1087"/>
      <c r="JM345" s="1087"/>
      <c r="JN345" s="1087"/>
      <c r="JO345" s="1087"/>
      <c r="JP345" s="1087"/>
      <c r="JQ345" s="1087"/>
      <c r="JR345" s="1087"/>
      <c r="JS345" s="1087"/>
      <c r="JT345" s="1087"/>
      <c r="JU345" s="1087"/>
      <c r="JV345" s="1087"/>
      <c r="JW345" s="1087"/>
      <c r="JX345" s="1087"/>
      <c r="JY345" s="1087"/>
      <c r="JZ345" s="1087"/>
      <c r="KA345" s="1087"/>
      <c r="KB345" s="1092"/>
    </row>
    <row r="346" spans="2:288" ht="15" customHeight="1" x14ac:dyDescent="0.35">
      <c r="B346" s="146" t="str">
        <f t="shared" si="29"/>
        <v>Desk 27</v>
      </c>
      <c r="C346" s="148" t="str">
        <v/>
      </c>
      <c r="D346" s="148" t="str">
        <v/>
      </c>
      <c r="E346" s="148" t="str">
        <v/>
      </c>
      <c r="F346" s="148" t="str">
        <v/>
      </c>
      <c r="G346" s="268" t="str">
        <v/>
      </c>
      <c r="H346" s="1087"/>
      <c r="I346" s="1087"/>
      <c r="J346" s="1087"/>
      <c r="K346" s="1087"/>
      <c r="L346" s="1087"/>
      <c r="M346" s="1087"/>
      <c r="N346" s="1087"/>
      <c r="O346" s="1087"/>
      <c r="P346" s="1087"/>
      <c r="Q346" s="1087"/>
      <c r="R346" s="1087"/>
      <c r="S346" s="1087"/>
      <c r="T346" s="1087"/>
      <c r="U346" s="1087"/>
      <c r="V346" s="1087"/>
      <c r="W346" s="1087"/>
      <c r="X346" s="1087"/>
      <c r="Y346" s="1087"/>
      <c r="Z346" s="1087"/>
      <c r="AA346" s="1087"/>
      <c r="AB346" s="1087"/>
      <c r="AC346" s="1087"/>
      <c r="AD346" s="1087"/>
      <c r="AE346" s="1087"/>
      <c r="AF346" s="1087"/>
      <c r="AG346" s="1087"/>
      <c r="AH346" s="1087"/>
      <c r="AI346" s="1087"/>
      <c r="AJ346" s="1087"/>
      <c r="AK346" s="1087"/>
      <c r="AL346" s="1087"/>
      <c r="AM346" s="1087"/>
      <c r="AN346" s="1087"/>
      <c r="AO346" s="1087"/>
      <c r="AP346" s="1087"/>
      <c r="AQ346" s="1087"/>
      <c r="AR346" s="1087"/>
      <c r="AS346" s="1087"/>
      <c r="AT346" s="1087"/>
      <c r="AU346" s="1087"/>
      <c r="AV346" s="1087"/>
      <c r="AW346" s="1087"/>
      <c r="AX346" s="1087"/>
      <c r="AY346" s="1087"/>
      <c r="AZ346" s="1087"/>
      <c r="BA346" s="1087"/>
      <c r="BB346" s="1087"/>
      <c r="BC346" s="1087"/>
      <c r="BD346" s="1087"/>
      <c r="BE346" s="1087"/>
      <c r="BF346" s="1087"/>
      <c r="BG346" s="1087"/>
      <c r="BH346" s="1087"/>
      <c r="BI346" s="1087"/>
      <c r="BJ346" s="1087"/>
      <c r="BK346" s="1087"/>
      <c r="BL346" s="1087"/>
      <c r="BM346" s="1087"/>
      <c r="BN346" s="1087"/>
      <c r="BO346" s="1087"/>
      <c r="BP346" s="1087"/>
      <c r="BQ346" s="1087"/>
      <c r="BR346" s="1087"/>
      <c r="BS346" s="1087"/>
      <c r="BT346" s="1087"/>
      <c r="BU346" s="1087"/>
      <c r="BV346" s="1087"/>
      <c r="BW346" s="1087"/>
      <c r="BX346" s="1087"/>
      <c r="BY346" s="1087"/>
      <c r="BZ346" s="1087"/>
      <c r="CA346" s="1087"/>
      <c r="CB346" s="1087"/>
      <c r="CC346" s="1087"/>
      <c r="CD346" s="1087"/>
      <c r="CE346" s="1087"/>
      <c r="CF346" s="1087"/>
      <c r="CG346" s="1087"/>
      <c r="CH346" s="1087"/>
      <c r="CI346" s="1087"/>
      <c r="CJ346" s="1087"/>
      <c r="CK346" s="1087"/>
      <c r="CL346" s="1087"/>
      <c r="CM346" s="1087"/>
      <c r="CN346" s="1087"/>
      <c r="CO346" s="1087"/>
      <c r="CP346" s="1087"/>
      <c r="CQ346" s="1087"/>
      <c r="CR346" s="1087"/>
      <c r="CS346" s="1087"/>
      <c r="CT346" s="1087"/>
      <c r="CU346" s="1087"/>
      <c r="CV346" s="1087"/>
      <c r="CW346" s="1087"/>
      <c r="CX346" s="1087"/>
      <c r="CY346" s="1087"/>
      <c r="CZ346" s="1087"/>
      <c r="DA346" s="1087"/>
      <c r="DB346" s="1087"/>
      <c r="DC346" s="1087"/>
      <c r="DD346" s="1087"/>
      <c r="DE346" s="1087"/>
      <c r="DF346" s="1087"/>
      <c r="DG346" s="1087"/>
      <c r="DH346" s="1087"/>
      <c r="DI346" s="1087"/>
      <c r="DJ346" s="1087"/>
      <c r="DK346" s="1087"/>
      <c r="DL346" s="1087"/>
      <c r="DM346" s="1087"/>
      <c r="DN346" s="1087"/>
      <c r="DO346" s="1087"/>
      <c r="DP346" s="1087"/>
      <c r="DQ346" s="1087"/>
      <c r="DR346" s="1087"/>
      <c r="DS346" s="1087"/>
      <c r="DT346" s="1087"/>
      <c r="DU346" s="1087"/>
      <c r="DV346" s="1087"/>
      <c r="DW346" s="1087"/>
      <c r="DX346" s="1087"/>
      <c r="DY346" s="1087"/>
      <c r="DZ346" s="1087"/>
      <c r="EA346" s="1087"/>
      <c r="EB346" s="1087"/>
      <c r="EC346" s="1087"/>
      <c r="ED346" s="1087"/>
      <c r="EE346" s="1087"/>
      <c r="EF346" s="1087"/>
      <c r="EG346" s="1087"/>
      <c r="EH346" s="1087"/>
      <c r="EI346" s="1087"/>
      <c r="EJ346" s="1087"/>
      <c r="EK346" s="1087"/>
      <c r="EL346" s="1087"/>
      <c r="EM346" s="1087"/>
      <c r="EN346" s="1087"/>
      <c r="EO346" s="1087"/>
      <c r="EP346" s="1087"/>
      <c r="EQ346" s="1087"/>
      <c r="ER346" s="1087"/>
      <c r="ES346" s="1087"/>
      <c r="ET346" s="1087"/>
      <c r="EU346" s="1087"/>
      <c r="EV346" s="1087"/>
      <c r="EW346" s="1087"/>
      <c r="EX346" s="1087"/>
      <c r="EY346" s="1087"/>
      <c r="EZ346" s="1087"/>
      <c r="FA346" s="1087"/>
      <c r="FB346" s="1087"/>
      <c r="FC346" s="1087"/>
      <c r="FD346" s="1087"/>
      <c r="FE346" s="1087"/>
      <c r="FF346" s="1087"/>
      <c r="FG346" s="1087"/>
      <c r="FH346" s="1087"/>
      <c r="FI346" s="1087"/>
      <c r="FJ346" s="1087"/>
      <c r="FK346" s="1087"/>
      <c r="FL346" s="1087"/>
      <c r="FM346" s="1087"/>
      <c r="FN346" s="1087"/>
      <c r="FO346" s="1087"/>
      <c r="FP346" s="1087"/>
      <c r="FQ346" s="1087"/>
      <c r="FR346" s="1087"/>
      <c r="FS346" s="1087"/>
      <c r="FT346" s="1087"/>
      <c r="FU346" s="1087"/>
      <c r="FV346" s="1087"/>
      <c r="FW346" s="1087"/>
      <c r="FX346" s="1087"/>
      <c r="FY346" s="1087"/>
      <c r="FZ346" s="1087"/>
      <c r="GA346" s="1087"/>
      <c r="GB346" s="1087"/>
      <c r="GC346" s="1087"/>
      <c r="GD346" s="1087"/>
      <c r="GE346" s="1087"/>
      <c r="GF346" s="1087"/>
      <c r="GG346" s="1087"/>
      <c r="GH346" s="1087"/>
      <c r="GI346" s="1087"/>
      <c r="GJ346" s="1087"/>
      <c r="GK346" s="1087"/>
      <c r="GL346" s="1087"/>
      <c r="GM346" s="1087"/>
      <c r="GN346" s="1087"/>
      <c r="GO346" s="1087"/>
      <c r="GP346" s="1087"/>
      <c r="GQ346" s="1087"/>
      <c r="GR346" s="1087"/>
      <c r="GS346" s="1087"/>
      <c r="GT346" s="1087"/>
      <c r="GU346" s="1087"/>
      <c r="GV346" s="1087"/>
      <c r="GW346" s="1087"/>
      <c r="GX346" s="1087"/>
      <c r="GY346" s="1087"/>
      <c r="GZ346" s="1087"/>
      <c r="HA346" s="1087"/>
      <c r="HB346" s="1087"/>
      <c r="HC346" s="1087"/>
      <c r="HD346" s="1087"/>
      <c r="HE346" s="1087"/>
      <c r="HF346" s="1087"/>
      <c r="HG346" s="1087"/>
      <c r="HH346" s="1087"/>
      <c r="HI346" s="1087"/>
      <c r="HJ346" s="1087"/>
      <c r="HK346" s="1087"/>
      <c r="HL346" s="1087"/>
      <c r="HM346" s="1087"/>
      <c r="HN346" s="1087"/>
      <c r="HO346" s="1087"/>
      <c r="HP346" s="1087"/>
      <c r="HQ346" s="1087"/>
      <c r="HR346" s="1087"/>
      <c r="HS346" s="1087"/>
      <c r="HT346" s="1087"/>
      <c r="HU346" s="1087"/>
      <c r="HV346" s="1087"/>
      <c r="HW346" s="1087"/>
      <c r="HX346" s="1087"/>
      <c r="HY346" s="1087"/>
      <c r="HZ346" s="1087"/>
      <c r="IA346" s="1087"/>
      <c r="IB346" s="1087"/>
      <c r="IC346" s="1087"/>
      <c r="ID346" s="1087"/>
      <c r="IE346" s="1087"/>
      <c r="IF346" s="1087"/>
      <c r="IG346" s="1087"/>
      <c r="IH346" s="1087"/>
      <c r="II346" s="1087"/>
      <c r="IJ346" s="1087"/>
      <c r="IK346" s="1087"/>
      <c r="IL346" s="1087"/>
      <c r="IM346" s="1087"/>
      <c r="IN346" s="1087"/>
      <c r="IO346" s="1087"/>
      <c r="IP346" s="1087"/>
      <c r="IQ346" s="1087"/>
      <c r="IR346" s="1087"/>
      <c r="IS346" s="1087"/>
      <c r="IT346" s="1087"/>
      <c r="IU346" s="1087"/>
      <c r="IV346" s="1087"/>
      <c r="IW346" s="1087"/>
      <c r="IX346" s="1087"/>
      <c r="IY346" s="1087"/>
      <c r="IZ346" s="1087"/>
      <c r="JA346" s="1087"/>
      <c r="JB346" s="1087"/>
      <c r="JC346" s="1087"/>
      <c r="JD346" s="1087"/>
      <c r="JE346" s="1087"/>
      <c r="JF346" s="1087"/>
      <c r="JG346" s="1087"/>
      <c r="JH346" s="1087"/>
      <c r="JI346" s="1087"/>
      <c r="JJ346" s="1087"/>
      <c r="JK346" s="1087"/>
      <c r="JL346" s="1087"/>
      <c r="JM346" s="1087"/>
      <c r="JN346" s="1087"/>
      <c r="JO346" s="1087"/>
      <c r="JP346" s="1087"/>
      <c r="JQ346" s="1087"/>
      <c r="JR346" s="1087"/>
      <c r="JS346" s="1087"/>
      <c r="JT346" s="1087"/>
      <c r="JU346" s="1087"/>
      <c r="JV346" s="1087"/>
      <c r="JW346" s="1087"/>
      <c r="JX346" s="1087"/>
      <c r="JY346" s="1087"/>
      <c r="JZ346" s="1087"/>
      <c r="KA346" s="1087"/>
      <c r="KB346" s="1092"/>
    </row>
    <row r="347" spans="2:288" ht="15" customHeight="1" x14ac:dyDescent="0.35">
      <c r="B347" s="146" t="str">
        <f t="shared" si="29"/>
        <v>Desk 28</v>
      </c>
      <c r="C347" s="148" t="str">
        <v/>
      </c>
      <c r="D347" s="148" t="str">
        <v/>
      </c>
      <c r="E347" s="148" t="str">
        <v/>
      </c>
      <c r="F347" s="148" t="str">
        <v/>
      </c>
      <c r="G347" s="268" t="str">
        <v/>
      </c>
      <c r="H347" s="1087"/>
      <c r="I347" s="1087"/>
      <c r="J347" s="1087"/>
      <c r="K347" s="1087"/>
      <c r="L347" s="1087"/>
      <c r="M347" s="1087"/>
      <c r="N347" s="1087"/>
      <c r="O347" s="1087"/>
      <c r="P347" s="1087"/>
      <c r="Q347" s="1087"/>
      <c r="R347" s="1087"/>
      <c r="S347" s="1087"/>
      <c r="T347" s="1087"/>
      <c r="U347" s="1087"/>
      <c r="V347" s="1087"/>
      <c r="W347" s="1087"/>
      <c r="X347" s="1087"/>
      <c r="Y347" s="1087"/>
      <c r="Z347" s="1087"/>
      <c r="AA347" s="1087"/>
      <c r="AB347" s="1087"/>
      <c r="AC347" s="1087"/>
      <c r="AD347" s="1087"/>
      <c r="AE347" s="1087"/>
      <c r="AF347" s="1087"/>
      <c r="AG347" s="1087"/>
      <c r="AH347" s="1087"/>
      <c r="AI347" s="1087"/>
      <c r="AJ347" s="1087"/>
      <c r="AK347" s="1087"/>
      <c r="AL347" s="1087"/>
      <c r="AM347" s="1087"/>
      <c r="AN347" s="1087"/>
      <c r="AO347" s="1087"/>
      <c r="AP347" s="1087"/>
      <c r="AQ347" s="1087"/>
      <c r="AR347" s="1087"/>
      <c r="AS347" s="1087"/>
      <c r="AT347" s="1087"/>
      <c r="AU347" s="1087"/>
      <c r="AV347" s="1087"/>
      <c r="AW347" s="1087"/>
      <c r="AX347" s="1087"/>
      <c r="AY347" s="1087"/>
      <c r="AZ347" s="1087"/>
      <c r="BA347" s="1087"/>
      <c r="BB347" s="1087"/>
      <c r="BC347" s="1087"/>
      <c r="BD347" s="1087"/>
      <c r="BE347" s="1087"/>
      <c r="BF347" s="1087"/>
      <c r="BG347" s="1087"/>
      <c r="BH347" s="1087"/>
      <c r="BI347" s="1087"/>
      <c r="BJ347" s="1087"/>
      <c r="BK347" s="1087"/>
      <c r="BL347" s="1087"/>
      <c r="BM347" s="1087"/>
      <c r="BN347" s="1087"/>
      <c r="BO347" s="1087"/>
      <c r="BP347" s="1087"/>
      <c r="BQ347" s="1087"/>
      <c r="BR347" s="1087"/>
      <c r="BS347" s="1087"/>
      <c r="BT347" s="1087"/>
      <c r="BU347" s="1087"/>
      <c r="BV347" s="1087"/>
      <c r="BW347" s="1087"/>
      <c r="BX347" s="1087"/>
      <c r="BY347" s="1087"/>
      <c r="BZ347" s="1087"/>
      <c r="CA347" s="1087"/>
      <c r="CB347" s="1087"/>
      <c r="CC347" s="1087"/>
      <c r="CD347" s="1087"/>
      <c r="CE347" s="1087"/>
      <c r="CF347" s="1087"/>
      <c r="CG347" s="1087"/>
      <c r="CH347" s="1087"/>
      <c r="CI347" s="1087"/>
      <c r="CJ347" s="1087"/>
      <c r="CK347" s="1087"/>
      <c r="CL347" s="1087"/>
      <c r="CM347" s="1087"/>
      <c r="CN347" s="1087"/>
      <c r="CO347" s="1087"/>
      <c r="CP347" s="1087"/>
      <c r="CQ347" s="1087"/>
      <c r="CR347" s="1087"/>
      <c r="CS347" s="1087"/>
      <c r="CT347" s="1087"/>
      <c r="CU347" s="1087"/>
      <c r="CV347" s="1087"/>
      <c r="CW347" s="1087"/>
      <c r="CX347" s="1087"/>
      <c r="CY347" s="1087"/>
      <c r="CZ347" s="1087"/>
      <c r="DA347" s="1087"/>
      <c r="DB347" s="1087"/>
      <c r="DC347" s="1087"/>
      <c r="DD347" s="1087"/>
      <c r="DE347" s="1087"/>
      <c r="DF347" s="1087"/>
      <c r="DG347" s="1087"/>
      <c r="DH347" s="1087"/>
      <c r="DI347" s="1087"/>
      <c r="DJ347" s="1087"/>
      <c r="DK347" s="1087"/>
      <c r="DL347" s="1087"/>
      <c r="DM347" s="1087"/>
      <c r="DN347" s="1087"/>
      <c r="DO347" s="1087"/>
      <c r="DP347" s="1087"/>
      <c r="DQ347" s="1087"/>
      <c r="DR347" s="1087"/>
      <c r="DS347" s="1087"/>
      <c r="DT347" s="1087"/>
      <c r="DU347" s="1087"/>
      <c r="DV347" s="1087"/>
      <c r="DW347" s="1087"/>
      <c r="DX347" s="1087"/>
      <c r="DY347" s="1087"/>
      <c r="DZ347" s="1087"/>
      <c r="EA347" s="1087"/>
      <c r="EB347" s="1087"/>
      <c r="EC347" s="1087"/>
      <c r="ED347" s="1087"/>
      <c r="EE347" s="1087"/>
      <c r="EF347" s="1087"/>
      <c r="EG347" s="1087"/>
      <c r="EH347" s="1087"/>
      <c r="EI347" s="1087"/>
      <c r="EJ347" s="1087"/>
      <c r="EK347" s="1087"/>
      <c r="EL347" s="1087"/>
      <c r="EM347" s="1087"/>
      <c r="EN347" s="1087"/>
      <c r="EO347" s="1087"/>
      <c r="EP347" s="1087"/>
      <c r="EQ347" s="1087"/>
      <c r="ER347" s="1087"/>
      <c r="ES347" s="1087"/>
      <c r="ET347" s="1087"/>
      <c r="EU347" s="1087"/>
      <c r="EV347" s="1087"/>
      <c r="EW347" s="1087"/>
      <c r="EX347" s="1087"/>
      <c r="EY347" s="1087"/>
      <c r="EZ347" s="1087"/>
      <c r="FA347" s="1087"/>
      <c r="FB347" s="1087"/>
      <c r="FC347" s="1087"/>
      <c r="FD347" s="1087"/>
      <c r="FE347" s="1087"/>
      <c r="FF347" s="1087"/>
      <c r="FG347" s="1087"/>
      <c r="FH347" s="1087"/>
      <c r="FI347" s="1087"/>
      <c r="FJ347" s="1087"/>
      <c r="FK347" s="1087"/>
      <c r="FL347" s="1087"/>
      <c r="FM347" s="1087"/>
      <c r="FN347" s="1087"/>
      <c r="FO347" s="1087"/>
      <c r="FP347" s="1087"/>
      <c r="FQ347" s="1087"/>
      <c r="FR347" s="1087"/>
      <c r="FS347" s="1087"/>
      <c r="FT347" s="1087"/>
      <c r="FU347" s="1087"/>
      <c r="FV347" s="1087"/>
      <c r="FW347" s="1087"/>
      <c r="FX347" s="1087"/>
      <c r="FY347" s="1087"/>
      <c r="FZ347" s="1087"/>
      <c r="GA347" s="1087"/>
      <c r="GB347" s="1087"/>
      <c r="GC347" s="1087"/>
      <c r="GD347" s="1087"/>
      <c r="GE347" s="1087"/>
      <c r="GF347" s="1087"/>
      <c r="GG347" s="1087"/>
      <c r="GH347" s="1087"/>
      <c r="GI347" s="1087"/>
      <c r="GJ347" s="1087"/>
      <c r="GK347" s="1087"/>
      <c r="GL347" s="1087"/>
      <c r="GM347" s="1087"/>
      <c r="GN347" s="1087"/>
      <c r="GO347" s="1087"/>
      <c r="GP347" s="1087"/>
      <c r="GQ347" s="1087"/>
      <c r="GR347" s="1087"/>
      <c r="GS347" s="1087"/>
      <c r="GT347" s="1087"/>
      <c r="GU347" s="1087"/>
      <c r="GV347" s="1087"/>
      <c r="GW347" s="1087"/>
      <c r="GX347" s="1087"/>
      <c r="GY347" s="1087"/>
      <c r="GZ347" s="1087"/>
      <c r="HA347" s="1087"/>
      <c r="HB347" s="1087"/>
      <c r="HC347" s="1087"/>
      <c r="HD347" s="1087"/>
      <c r="HE347" s="1087"/>
      <c r="HF347" s="1087"/>
      <c r="HG347" s="1087"/>
      <c r="HH347" s="1087"/>
      <c r="HI347" s="1087"/>
      <c r="HJ347" s="1087"/>
      <c r="HK347" s="1087"/>
      <c r="HL347" s="1087"/>
      <c r="HM347" s="1087"/>
      <c r="HN347" s="1087"/>
      <c r="HO347" s="1087"/>
      <c r="HP347" s="1087"/>
      <c r="HQ347" s="1087"/>
      <c r="HR347" s="1087"/>
      <c r="HS347" s="1087"/>
      <c r="HT347" s="1087"/>
      <c r="HU347" s="1087"/>
      <c r="HV347" s="1087"/>
      <c r="HW347" s="1087"/>
      <c r="HX347" s="1087"/>
      <c r="HY347" s="1087"/>
      <c r="HZ347" s="1087"/>
      <c r="IA347" s="1087"/>
      <c r="IB347" s="1087"/>
      <c r="IC347" s="1087"/>
      <c r="ID347" s="1087"/>
      <c r="IE347" s="1087"/>
      <c r="IF347" s="1087"/>
      <c r="IG347" s="1087"/>
      <c r="IH347" s="1087"/>
      <c r="II347" s="1087"/>
      <c r="IJ347" s="1087"/>
      <c r="IK347" s="1087"/>
      <c r="IL347" s="1087"/>
      <c r="IM347" s="1087"/>
      <c r="IN347" s="1087"/>
      <c r="IO347" s="1087"/>
      <c r="IP347" s="1087"/>
      <c r="IQ347" s="1087"/>
      <c r="IR347" s="1087"/>
      <c r="IS347" s="1087"/>
      <c r="IT347" s="1087"/>
      <c r="IU347" s="1087"/>
      <c r="IV347" s="1087"/>
      <c r="IW347" s="1087"/>
      <c r="IX347" s="1087"/>
      <c r="IY347" s="1087"/>
      <c r="IZ347" s="1087"/>
      <c r="JA347" s="1087"/>
      <c r="JB347" s="1087"/>
      <c r="JC347" s="1087"/>
      <c r="JD347" s="1087"/>
      <c r="JE347" s="1087"/>
      <c r="JF347" s="1087"/>
      <c r="JG347" s="1087"/>
      <c r="JH347" s="1087"/>
      <c r="JI347" s="1087"/>
      <c r="JJ347" s="1087"/>
      <c r="JK347" s="1087"/>
      <c r="JL347" s="1087"/>
      <c r="JM347" s="1087"/>
      <c r="JN347" s="1087"/>
      <c r="JO347" s="1087"/>
      <c r="JP347" s="1087"/>
      <c r="JQ347" s="1087"/>
      <c r="JR347" s="1087"/>
      <c r="JS347" s="1087"/>
      <c r="JT347" s="1087"/>
      <c r="JU347" s="1087"/>
      <c r="JV347" s="1087"/>
      <c r="JW347" s="1087"/>
      <c r="JX347" s="1087"/>
      <c r="JY347" s="1087"/>
      <c r="JZ347" s="1087"/>
      <c r="KA347" s="1087"/>
      <c r="KB347" s="1092"/>
    </row>
    <row r="348" spans="2:288" ht="15" customHeight="1" x14ac:dyDescent="0.35">
      <c r="B348" s="146" t="str">
        <f t="shared" si="29"/>
        <v>Desk 29</v>
      </c>
      <c r="C348" s="148" t="str">
        <v/>
      </c>
      <c r="D348" s="148" t="str">
        <v/>
      </c>
      <c r="E348" s="148" t="str">
        <v/>
      </c>
      <c r="F348" s="148" t="str">
        <v/>
      </c>
      <c r="G348" s="268" t="str">
        <v/>
      </c>
      <c r="H348" s="1087"/>
      <c r="I348" s="1087"/>
      <c r="J348" s="1087"/>
      <c r="K348" s="1087"/>
      <c r="L348" s="1087"/>
      <c r="M348" s="1087"/>
      <c r="N348" s="1087"/>
      <c r="O348" s="1087"/>
      <c r="P348" s="1087"/>
      <c r="Q348" s="1087"/>
      <c r="R348" s="1087"/>
      <c r="S348" s="1087"/>
      <c r="T348" s="1087"/>
      <c r="U348" s="1087"/>
      <c r="V348" s="1087"/>
      <c r="W348" s="1087"/>
      <c r="X348" s="1087"/>
      <c r="Y348" s="1087"/>
      <c r="Z348" s="1087"/>
      <c r="AA348" s="1087"/>
      <c r="AB348" s="1087"/>
      <c r="AC348" s="1087"/>
      <c r="AD348" s="1087"/>
      <c r="AE348" s="1087"/>
      <c r="AF348" s="1087"/>
      <c r="AG348" s="1087"/>
      <c r="AH348" s="1087"/>
      <c r="AI348" s="1087"/>
      <c r="AJ348" s="1087"/>
      <c r="AK348" s="1087"/>
      <c r="AL348" s="1087"/>
      <c r="AM348" s="1087"/>
      <c r="AN348" s="1087"/>
      <c r="AO348" s="1087"/>
      <c r="AP348" s="1087"/>
      <c r="AQ348" s="1087"/>
      <c r="AR348" s="1087"/>
      <c r="AS348" s="1087"/>
      <c r="AT348" s="1087"/>
      <c r="AU348" s="1087"/>
      <c r="AV348" s="1087"/>
      <c r="AW348" s="1087"/>
      <c r="AX348" s="1087"/>
      <c r="AY348" s="1087"/>
      <c r="AZ348" s="1087"/>
      <c r="BA348" s="1087"/>
      <c r="BB348" s="1087"/>
      <c r="BC348" s="1087"/>
      <c r="BD348" s="1087"/>
      <c r="BE348" s="1087"/>
      <c r="BF348" s="1087"/>
      <c r="BG348" s="1087"/>
      <c r="BH348" s="1087"/>
      <c r="BI348" s="1087"/>
      <c r="BJ348" s="1087"/>
      <c r="BK348" s="1087"/>
      <c r="BL348" s="1087"/>
      <c r="BM348" s="1087"/>
      <c r="BN348" s="1087"/>
      <c r="BO348" s="1087"/>
      <c r="BP348" s="1087"/>
      <c r="BQ348" s="1087"/>
      <c r="BR348" s="1087"/>
      <c r="BS348" s="1087"/>
      <c r="BT348" s="1087"/>
      <c r="BU348" s="1087"/>
      <c r="BV348" s="1087"/>
      <c r="BW348" s="1087"/>
      <c r="BX348" s="1087"/>
      <c r="BY348" s="1087"/>
      <c r="BZ348" s="1087"/>
      <c r="CA348" s="1087"/>
      <c r="CB348" s="1087"/>
      <c r="CC348" s="1087"/>
      <c r="CD348" s="1087"/>
      <c r="CE348" s="1087"/>
      <c r="CF348" s="1087"/>
      <c r="CG348" s="1087"/>
      <c r="CH348" s="1087"/>
      <c r="CI348" s="1087"/>
      <c r="CJ348" s="1087"/>
      <c r="CK348" s="1087"/>
      <c r="CL348" s="1087"/>
      <c r="CM348" s="1087"/>
      <c r="CN348" s="1087"/>
      <c r="CO348" s="1087"/>
      <c r="CP348" s="1087"/>
      <c r="CQ348" s="1087"/>
      <c r="CR348" s="1087"/>
      <c r="CS348" s="1087"/>
      <c r="CT348" s="1087"/>
      <c r="CU348" s="1087"/>
      <c r="CV348" s="1087"/>
      <c r="CW348" s="1087"/>
      <c r="CX348" s="1087"/>
      <c r="CY348" s="1087"/>
      <c r="CZ348" s="1087"/>
      <c r="DA348" s="1087"/>
      <c r="DB348" s="1087"/>
      <c r="DC348" s="1087"/>
      <c r="DD348" s="1087"/>
      <c r="DE348" s="1087"/>
      <c r="DF348" s="1087"/>
      <c r="DG348" s="1087"/>
      <c r="DH348" s="1087"/>
      <c r="DI348" s="1087"/>
      <c r="DJ348" s="1087"/>
      <c r="DK348" s="1087"/>
      <c r="DL348" s="1087"/>
      <c r="DM348" s="1087"/>
      <c r="DN348" s="1087"/>
      <c r="DO348" s="1087"/>
      <c r="DP348" s="1087"/>
      <c r="DQ348" s="1087"/>
      <c r="DR348" s="1087"/>
      <c r="DS348" s="1087"/>
      <c r="DT348" s="1087"/>
      <c r="DU348" s="1087"/>
      <c r="DV348" s="1087"/>
      <c r="DW348" s="1087"/>
      <c r="DX348" s="1087"/>
      <c r="DY348" s="1087"/>
      <c r="DZ348" s="1087"/>
      <c r="EA348" s="1087"/>
      <c r="EB348" s="1087"/>
      <c r="EC348" s="1087"/>
      <c r="ED348" s="1087"/>
      <c r="EE348" s="1087"/>
      <c r="EF348" s="1087"/>
      <c r="EG348" s="1087"/>
      <c r="EH348" s="1087"/>
      <c r="EI348" s="1087"/>
      <c r="EJ348" s="1087"/>
      <c r="EK348" s="1087"/>
      <c r="EL348" s="1087"/>
      <c r="EM348" s="1087"/>
      <c r="EN348" s="1087"/>
      <c r="EO348" s="1087"/>
      <c r="EP348" s="1087"/>
      <c r="EQ348" s="1087"/>
      <c r="ER348" s="1087"/>
      <c r="ES348" s="1087"/>
      <c r="ET348" s="1087"/>
      <c r="EU348" s="1087"/>
      <c r="EV348" s="1087"/>
      <c r="EW348" s="1087"/>
      <c r="EX348" s="1087"/>
      <c r="EY348" s="1087"/>
      <c r="EZ348" s="1087"/>
      <c r="FA348" s="1087"/>
      <c r="FB348" s="1087"/>
      <c r="FC348" s="1087"/>
      <c r="FD348" s="1087"/>
      <c r="FE348" s="1087"/>
      <c r="FF348" s="1087"/>
      <c r="FG348" s="1087"/>
      <c r="FH348" s="1087"/>
      <c r="FI348" s="1087"/>
      <c r="FJ348" s="1087"/>
      <c r="FK348" s="1087"/>
      <c r="FL348" s="1087"/>
      <c r="FM348" s="1087"/>
      <c r="FN348" s="1087"/>
      <c r="FO348" s="1087"/>
      <c r="FP348" s="1087"/>
      <c r="FQ348" s="1087"/>
      <c r="FR348" s="1087"/>
      <c r="FS348" s="1087"/>
      <c r="FT348" s="1087"/>
      <c r="FU348" s="1087"/>
      <c r="FV348" s="1087"/>
      <c r="FW348" s="1087"/>
      <c r="FX348" s="1087"/>
      <c r="FY348" s="1087"/>
      <c r="FZ348" s="1087"/>
      <c r="GA348" s="1087"/>
      <c r="GB348" s="1087"/>
      <c r="GC348" s="1087"/>
      <c r="GD348" s="1087"/>
      <c r="GE348" s="1087"/>
      <c r="GF348" s="1087"/>
      <c r="GG348" s="1087"/>
      <c r="GH348" s="1087"/>
      <c r="GI348" s="1087"/>
      <c r="GJ348" s="1087"/>
      <c r="GK348" s="1087"/>
      <c r="GL348" s="1087"/>
      <c r="GM348" s="1087"/>
      <c r="GN348" s="1087"/>
      <c r="GO348" s="1087"/>
      <c r="GP348" s="1087"/>
      <c r="GQ348" s="1087"/>
      <c r="GR348" s="1087"/>
      <c r="GS348" s="1087"/>
      <c r="GT348" s="1087"/>
      <c r="GU348" s="1087"/>
      <c r="GV348" s="1087"/>
      <c r="GW348" s="1087"/>
      <c r="GX348" s="1087"/>
      <c r="GY348" s="1087"/>
      <c r="GZ348" s="1087"/>
      <c r="HA348" s="1087"/>
      <c r="HB348" s="1087"/>
      <c r="HC348" s="1087"/>
      <c r="HD348" s="1087"/>
      <c r="HE348" s="1087"/>
      <c r="HF348" s="1087"/>
      <c r="HG348" s="1087"/>
      <c r="HH348" s="1087"/>
      <c r="HI348" s="1087"/>
      <c r="HJ348" s="1087"/>
      <c r="HK348" s="1087"/>
      <c r="HL348" s="1087"/>
      <c r="HM348" s="1087"/>
      <c r="HN348" s="1087"/>
      <c r="HO348" s="1087"/>
      <c r="HP348" s="1087"/>
      <c r="HQ348" s="1087"/>
      <c r="HR348" s="1087"/>
      <c r="HS348" s="1087"/>
      <c r="HT348" s="1087"/>
      <c r="HU348" s="1087"/>
      <c r="HV348" s="1087"/>
      <c r="HW348" s="1087"/>
      <c r="HX348" s="1087"/>
      <c r="HY348" s="1087"/>
      <c r="HZ348" s="1087"/>
      <c r="IA348" s="1087"/>
      <c r="IB348" s="1087"/>
      <c r="IC348" s="1087"/>
      <c r="ID348" s="1087"/>
      <c r="IE348" s="1087"/>
      <c r="IF348" s="1087"/>
      <c r="IG348" s="1087"/>
      <c r="IH348" s="1087"/>
      <c r="II348" s="1087"/>
      <c r="IJ348" s="1087"/>
      <c r="IK348" s="1087"/>
      <c r="IL348" s="1087"/>
      <c r="IM348" s="1087"/>
      <c r="IN348" s="1087"/>
      <c r="IO348" s="1087"/>
      <c r="IP348" s="1087"/>
      <c r="IQ348" s="1087"/>
      <c r="IR348" s="1087"/>
      <c r="IS348" s="1087"/>
      <c r="IT348" s="1087"/>
      <c r="IU348" s="1087"/>
      <c r="IV348" s="1087"/>
      <c r="IW348" s="1087"/>
      <c r="IX348" s="1087"/>
      <c r="IY348" s="1087"/>
      <c r="IZ348" s="1087"/>
      <c r="JA348" s="1087"/>
      <c r="JB348" s="1087"/>
      <c r="JC348" s="1087"/>
      <c r="JD348" s="1087"/>
      <c r="JE348" s="1087"/>
      <c r="JF348" s="1087"/>
      <c r="JG348" s="1087"/>
      <c r="JH348" s="1087"/>
      <c r="JI348" s="1087"/>
      <c r="JJ348" s="1087"/>
      <c r="JK348" s="1087"/>
      <c r="JL348" s="1087"/>
      <c r="JM348" s="1087"/>
      <c r="JN348" s="1087"/>
      <c r="JO348" s="1087"/>
      <c r="JP348" s="1087"/>
      <c r="JQ348" s="1087"/>
      <c r="JR348" s="1087"/>
      <c r="JS348" s="1087"/>
      <c r="JT348" s="1087"/>
      <c r="JU348" s="1087"/>
      <c r="JV348" s="1087"/>
      <c r="JW348" s="1087"/>
      <c r="JX348" s="1087"/>
      <c r="JY348" s="1087"/>
      <c r="JZ348" s="1087"/>
      <c r="KA348" s="1087"/>
      <c r="KB348" s="1092"/>
    </row>
    <row r="349" spans="2:288" ht="15" customHeight="1" x14ac:dyDescent="0.35">
      <c r="B349" s="146" t="str">
        <f t="shared" si="29"/>
        <v>Desk 30</v>
      </c>
      <c r="C349" s="148" t="str">
        <v/>
      </c>
      <c r="D349" s="148" t="str">
        <v/>
      </c>
      <c r="E349" s="148" t="str">
        <v/>
      </c>
      <c r="F349" s="148" t="str">
        <v/>
      </c>
      <c r="G349" s="268" t="str">
        <v/>
      </c>
      <c r="H349" s="1087"/>
      <c r="I349" s="1087"/>
      <c r="J349" s="1087"/>
      <c r="K349" s="1087"/>
      <c r="L349" s="1087"/>
      <c r="M349" s="1087"/>
      <c r="N349" s="1087"/>
      <c r="O349" s="1087"/>
      <c r="P349" s="1087"/>
      <c r="Q349" s="1087"/>
      <c r="R349" s="1087"/>
      <c r="S349" s="1087"/>
      <c r="T349" s="1087"/>
      <c r="U349" s="1087"/>
      <c r="V349" s="1087"/>
      <c r="W349" s="1087"/>
      <c r="X349" s="1087"/>
      <c r="Y349" s="1087"/>
      <c r="Z349" s="1087"/>
      <c r="AA349" s="1087"/>
      <c r="AB349" s="1087"/>
      <c r="AC349" s="1087"/>
      <c r="AD349" s="1087"/>
      <c r="AE349" s="1087"/>
      <c r="AF349" s="1087"/>
      <c r="AG349" s="1087"/>
      <c r="AH349" s="1087"/>
      <c r="AI349" s="1087"/>
      <c r="AJ349" s="1087"/>
      <c r="AK349" s="1087"/>
      <c r="AL349" s="1087"/>
      <c r="AM349" s="1087"/>
      <c r="AN349" s="1087"/>
      <c r="AO349" s="1087"/>
      <c r="AP349" s="1087"/>
      <c r="AQ349" s="1087"/>
      <c r="AR349" s="1087"/>
      <c r="AS349" s="1087"/>
      <c r="AT349" s="1087"/>
      <c r="AU349" s="1087"/>
      <c r="AV349" s="1087"/>
      <c r="AW349" s="1087"/>
      <c r="AX349" s="1087"/>
      <c r="AY349" s="1087"/>
      <c r="AZ349" s="1087"/>
      <c r="BA349" s="1087"/>
      <c r="BB349" s="1087"/>
      <c r="BC349" s="1087"/>
      <c r="BD349" s="1087"/>
      <c r="BE349" s="1087"/>
      <c r="BF349" s="1087"/>
      <c r="BG349" s="1087"/>
      <c r="BH349" s="1087"/>
      <c r="BI349" s="1087"/>
      <c r="BJ349" s="1087"/>
      <c r="BK349" s="1087"/>
      <c r="BL349" s="1087"/>
      <c r="BM349" s="1087"/>
      <c r="BN349" s="1087"/>
      <c r="BO349" s="1087"/>
      <c r="BP349" s="1087"/>
      <c r="BQ349" s="1087"/>
      <c r="BR349" s="1087"/>
      <c r="BS349" s="1087"/>
      <c r="BT349" s="1087"/>
      <c r="BU349" s="1087"/>
      <c r="BV349" s="1087"/>
      <c r="BW349" s="1087"/>
      <c r="BX349" s="1087"/>
      <c r="BY349" s="1087"/>
      <c r="BZ349" s="1087"/>
      <c r="CA349" s="1087"/>
      <c r="CB349" s="1087"/>
      <c r="CC349" s="1087"/>
      <c r="CD349" s="1087"/>
      <c r="CE349" s="1087"/>
      <c r="CF349" s="1087"/>
      <c r="CG349" s="1087"/>
      <c r="CH349" s="1087"/>
      <c r="CI349" s="1087"/>
      <c r="CJ349" s="1087"/>
      <c r="CK349" s="1087"/>
      <c r="CL349" s="1087"/>
      <c r="CM349" s="1087"/>
      <c r="CN349" s="1087"/>
      <c r="CO349" s="1087"/>
      <c r="CP349" s="1087"/>
      <c r="CQ349" s="1087"/>
      <c r="CR349" s="1087"/>
      <c r="CS349" s="1087"/>
      <c r="CT349" s="1087"/>
      <c r="CU349" s="1087"/>
      <c r="CV349" s="1087"/>
      <c r="CW349" s="1087"/>
      <c r="CX349" s="1087"/>
      <c r="CY349" s="1087"/>
      <c r="CZ349" s="1087"/>
      <c r="DA349" s="1087"/>
      <c r="DB349" s="1087"/>
      <c r="DC349" s="1087"/>
      <c r="DD349" s="1087"/>
      <c r="DE349" s="1087"/>
      <c r="DF349" s="1087"/>
      <c r="DG349" s="1087"/>
      <c r="DH349" s="1087"/>
      <c r="DI349" s="1087"/>
      <c r="DJ349" s="1087"/>
      <c r="DK349" s="1087"/>
      <c r="DL349" s="1087"/>
      <c r="DM349" s="1087"/>
      <c r="DN349" s="1087"/>
      <c r="DO349" s="1087"/>
      <c r="DP349" s="1087"/>
      <c r="DQ349" s="1087"/>
      <c r="DR349" s="1087"/>
      <c r="DS349" s="1087"/>
      <c r="DT349" s="1087"/>
      <c r="DU349" s="1087"/>
      <c r="DV349" s="1087"/>
      <c r="DW349" s="1087"/>
      <c r="DX349" s="1087"/>
      <c r="DY349" s="1087"/>
      <c r="DZ349" s="1087"/>
      <c r="EA349" s="1087"/>
      <c r="EB349" s="1087"/>
      <c r="EC349" s="1087"/>
      <c r="ED349" s="1087"/>
      <c r="EE349" s="1087"/>
      <c r="EF349" s="1087"/>
      <c r="EG349" s="1087"/>
      <c r="EH349" s="1087"/>
      <c r="EI349" s="1087"/>
      <c r="EJ349" s="1087"/>
      <c r="EK349" s="1087"/>
      <c r="EL349" s="1087"/>
      <c r="EM349" s="1087"/>
      <c r="EN349" s="1087"/>
      <c r="EO349" s="1087"/>
      <c r="EP349" s="1087"/>
      <c r="EQ349" s="1087"/>
      <c r="ER349" s="1087"/>
      <c r="ES349" s="1087"/>
      <c r="ET349" s="1087"/>
      <c r="EU349" s="1087"/>
      <c r="EV349" s="1087"/>
      <c r="EW349" s="1087"/>
      <c r="EX349" s="1087"/>
      <c r="EY349" s="1087"/>
      <c r="EZ349" s="1087"/>
      <c r="FA349" s="1087"/>
      <c r="FB349" s="1087"/>
      <c r="FC349" s="1087"/>
      <c r="FD349" s="1087"/>
      <c r="FE349" s="1087"/>
      <c r="FF349" s="1087"/>
      <c r="FG349" s="1087"/>
      <c r="FH349" s="1087"/>
      <c r="FI349" s="1087"/>
      <c r="FJ349" s="1087"/>
      <c r="FK349" s="1087"/>
      <c r="FL349" s="1087"/>
      <c r="FM349" s="1087"/>
      <c r="FN349" s="1087"/>
      <c r="FO349" s="1087"/>
      <c r="FP349" s="1087"/>
      <c r="FQ349" s="1087"/>
      <c r="FR349" s="1087"/>
      <c r="FS349" s="1087"/>
      <c r="FT349" s="1087"/>
      <c r="FU349" s="1087"/>
      <c r="FV349" s="1087"/>
      <c r="FW349" s="1087"/>
      <c r="FX349" s="1087"/>
      <c r="FY349" s="1087"/>
      <c r="FZ349" s="1087"/>
      <c r="GA349" s="1087"/>
      <c r="GB349" s="1087"/>
      <c r="GC349" s="1087"/>
      <c r="GD349" s="1087"/>
      <c r="GE349" s="1087"/>
      <c r="GF349" s="1087"/>
      <c r="GG349" s="1087"/>
      <c r="GH349" s="1087"/>
      <c r="GI349" s="1087"/>
      <c r="GJ349" s="1087"/>
      <c r="GK349" s="1087"/>
      <c r="GL349" s="1087"/>
      <c r="GM349" s="1087"/>
      <c r="GN349" s="1087"/>
      <c r="GO349" s="1087"/>
      <c r="GP349" s="1087"/>
      <c r="GQ349" s="1087"/>
      <c r="GR349" s="1087"/>
      <c r="GS349" s="1087"/>
      <c r="GT349" s="1087"/>
      <c r="GU349" s="1087"/>
      <c r="GV349" s="1087"/>
      <c r="GW349" s="1087"/>
      <c r="GX349" s="1087"/>
      <c r="GY349" s="1087"/>
      <c r="GZ349" s="1087"/>
      <c r="HA349" s="1087"/>
      <c r="HB349" s="1087"/>
      <c r="HC349" s="1087"/>
      <c r="HD349" s="1087"/>
      <c r="HE349" s="1087"/>
      <c r="HF349" s="1087"/>
      <c r="HG349" s="1087"/>
      <c r="HH349" s="1087"/>
      <c r="HI349" s="1087"/>
      <c r="HJ349" s="1087"/>
      <c r="HK349" s="1087"/>
      <c r="HL349" s="1087"/>
      <c r="HM349" s="1087"/>
      <c r="HN349" s="1087"/>
      <c r="HO349" s="1087"/>
      <c r="HP349" s="1087"/>
      <c r="HQ349" s="1087"/>
      <c r="HR349" s="1087"/>
      <c r="HS349" s="1087"/>
      <c r="HT349" s="1087"/>
      <c r="HU349" s="1087"/>
      <c r="HV349" s="1087"/>
      <c r="HW349" s="1087"/>
      <c r="HX349" s="1087"/>
      <c r="HY349" s="1087"/>
      <c r="HZ349" s="1087"/>
      <c r="IA349" s="1087"/>
      <c r="IB349" s="1087"/>
      <c r="IC349" s="1087"/>
      <c r="ID349" s="1087"/>
      <c r="IE349" s="1087"/>
      <c r="IF349" s="1087"/>
      <c r="IG349" s="1087"/>
      <c r="IH349" s="1087"/>
      <c r="II349" s="1087"/>
      <c r="IJ349" s="1087"/>
      <c r="IK349" s="1087"/>
      <c r="IL349" s="1087"/>
      <c r="IM349" s="1087"/>
      <c r="IN349" s="1087"/>
      <c r="IO349" s="1087"/>
      <c r="IP349" s="1087"/>
      <c r="IQ349" s="1087"/>
      <c r="IR349" s="1087"/>
      <c r="IS349" s="1087"/>
      <c r="IT349" s="1087"/>
      <c r="IU349" s="1087"/>
      <c r="IV349" s="1087"/>
      <c r="IW349" s="1087"/>
      <c r="IX349" s="1087"/>
      <c r="IY349" s="1087"/>
      <c r="IZ349" s="1087"/>
      <c r="JA349" s="1087"/>
      <c r="JB349" s="1087"/>
      <c r="JC349" s="1087"/>
      <c r="JD349" s="1087"/>
      <c r="JE349" s="1087"/>
      <c r="JF349" s="1087"/>
      <c r="JG349" s="1087"/>
      <c r="JH349" s="1087"/>
      <c r="JI349" s="1087"/>
      <c r="JJ349" s="1087"/>
      <c r="JK349" s="1087"/>
      <c r="JL349" s="1087"/>
      <c r="JM349" s="1087"/>
      <c r="JN349" s="1087"/>
      <c r="JO349" s="1087"/>
      <c r="JP349" s="1087"/>
      <c r="JQ349" s="1087"/>
      <c r="JR349" s="1087"/>
      <c r="JS349" s="1087"/>
      <c r="JT349" s="1087"/>
      <c r="JU349" s="1087"/>
      <c r="JV349" s="1087"/>
      <c r="JW349" s="1087"/>
      <c r="JX349" s="1087"/>
      <c r="JY349" s="1087"/>
      <c r="JZ349" s="1087"/>
      <c r="KA349" s="1087"/>
      <c r="KB349" s="1092"/>
    </row>
    <row r="350" spans="2:288" ht="15" customHeight="1" x14ac:dyDescent="0.35">
      <c r="B350" s="146" t="str">
        <f t="shared" si="29"/>
        <v>Desk 31</v>
      </c>
      <c r="C350" s="148" t="str">
        <v/>
      </c>
      <c r="D350" s="148" t="str">
        <v/>
      </c>
      <c r="E350" s="148" t="str">
        <v/>
      </c>
      <c r="F350" s="148" t="str">
        <v/>
      </c>
      <c r="G350" s="268" t="str">
        <v/>
      </c>
      <c r="H350" s="1087"/>
      <c r="I350" s="1087"/>
      <c r="J350" s="1087"/>
      <c r="K350" s="1087"/>
      <c r="L350" s="1087"/>
      <c r="M350" s="1087"/>
      <c r="N350" s="1087"/>
      <c r="O350" s="1087"/>
      <c r="P350" s="1087"/>
      <c r="Q350" s="1087"/>
      <c r="R350" s="1087"/>
      <c r="S350" s="1087"/>
      <c r="T350" s="1087"/>
      <c r="U350" s="1087"/>
      <c r="V350" s="1087"/>
      <c r="W350" s="1087"/>
      <c r="X350" s="1087"/>
      <c r="Y350" s="1087"/>
      <c r="Z350" s="1087"/>
      <c r="AA350" s="1087"/>
      <c r="AB350" s="1087"/>
      <c r="AC350" s="1087"/>
      <c r="AD350" s="1087"/>
      <c r="AE350" s="1087"/>
      <c r="AF350" s="1087"/>
      <c r="AG350" s="1087"/>
      <c r="AH350" s="1087"/>
      <c r="AI350" s="1087"/>
      <c r="AJ350" s="1087"/>
      <c r="AK350" s="1087"/>
      <c r="AL350" s="1087"/>
      <c r="AM350" s="1087"/>
      <c r="AN350" s="1087"/>
      <c r="AO350" s="1087"/>
      <c r="AP350" s="1087"/>
      <c r="AQ350" s="1087"/>
      <c r="AR350" s="1087"/>
      <c r="AS350" s="1087"/>
      <c r="AT350" s="1087"/>
      <c r="AU350" s="1087"/>
      <c r="AV350" s="1087"/>
      <c r="AW350" s="1087"/>
      <c r="AX350" s="1087"/>
      <c r="AY350" s="1087"/>
      <c r="AZ350" s="1087"/>
      <c r="BA350" s="1087"/>
      <c r="BB350" s="1087"/>
      <c r="BC350" s="1087"/>
      <c r="BD350" s="1087"/>
      <c r="BE350" s="1087"/>
      <c r="BF350" s="1087"/>
      <c r="BG350" s="1087"/>
      <c r="BH350" s="1087"/>
      <c r="BI350" s="1087"/>
      <c r="BJ350" s="1087"/>
      <c r="BK350" s="1087"/>
      <c r="BL350" s="1087"/>
      <c r="BM350" s="1087"/>
      <c r="BN350" s="1087"/>
      <c r="BO350" s="1087"/>
      <c r="BP350" s="1087"/>
      <c r="BQ350" s="1087"/>
      <c r="BR350" s="1087"/>
      <c r="BS350" s="1087"/>
      <c r="BT350" s="1087"/>
      <c r="BU350" s="1087"/>
      <c r="BV350" s="1087"/>
      <c r="BW350" s="1087"/>
      <c r="BX350" s="1087"/>
      <c r="BY350" s="1087"/>
      <c r="BZ350" s="1087"/>
      <c r="CA350" s="1087"/>
      <c r="CB350" s="1087"/>
      <c r="CC350" s="1087"/>
      <c r="CD350" s="1087"/>
      <c r="CE350" s="1087"/>
      <c r="CF350" s="1087"/>
      <c r="CG350" s="1087"/>
      <c r="CH350" s="1087"/>
      <c r="CI350" s="1087"/>
      <c r="CJ350" s="1087"/>
      <c r="CK350" s="1087"/>
      <c r="CL350" s="1087"/>
      <c r="CM350" s="1087"/>
      <c r="CN350" s="1087"/>
      <c r="CO350" s="1087"/>
      <c r="CP350" s="1087"/>
      <c r="CQ350" s="1087"/>
      <c r="CR350" s="1087"/>
      <c r="CS350" s="1087"/>
      <c r="CT350" s="1087"/>
      <c r="CU350" s="1087"/>
      <c r="CV350" s="1087"/>
      <c r="CW350" s="1087"/>
      <c r="CX350" s="1087"/>
      <c r="CY350" s="1087"/>
      <c r="CZ350" s="1087"/>
      <c r="DA350" s="1087"/>
      <c r="DB350" s="1087"/>
      <c r="DC350" s="1087"/>
      <c r="DD350" s="1087"/>
      <c r="DE350" s="1087"/>
      <c r="DF350" s="1087"/>
      <c r="DG350" s="1087"/>
      <c r="DH350" s="1087"/>
      <c r="DI350" s="1087"/>
      <c r="DJ350" s="1087"/>
      <c r="DK350" s="1087"/>
      <c r="DL350" s="1087"/>
      <c r="DM350" s="1087"/>
      <c r="DN350" s="1087"/>
      <c r="DO350" s="1087"/>
      <c r="DP350" s="1087"/>
      <c r="DQ350" s="1087"/>
      <c r="DR350" s="1087"/>
      <c r="DS350" s="1087"/>
      <c r="DT350" s="1087"/>
      <c r="DU350" s="1087"/>
      <c r="DV350" s="1087"/>
      <c r="DW350" s="1087"/>
      <c r="DX350" s="1087"/>
      <c r="DY350" s="1087"/>
      <c r="DZ350" s="1087"/>
      <c r="EA350" s="1087"/>
      <c r="EB350" s="1087"/>
      <c r="EC350" s="1087"/>
      <c r="ED350" s="1087"/>
      <c r="EE350" s="1087"/>
      <c r="EF350" s="1087"/>
      <c r="EG350" s="1087"/>
      <c r="EH350" s="1087"/>
      <c r="EI350" s="1087"/>
      <c r="EJ350" s="1087"/>
      <c r="EK350" s="1087"/>
      <c r="EL350" s="1087"/>
      <c r="EM350" s="1087"/>
      <c r="EN350" s="1087"/>
      <c r="EO350" s="1087"/>
      <c r="EP350" s="1087"/>
      <c r="EQ350" s="1087"/>
      <c r="ER350" s="1087"/>
      <c r="ES350" s="1087"/>
      <c r="ET350" s="1087"/>
      <c r="EU350" s="1087"/>
      <c r="EV350" s="1087"/>
      <c r="EW350" s="1087"/>
      <c r="EX350" s="1087"/>
      <c r="EY350" s="1087"/>
      <c r="EZ350" s="1087"/>
      <c r="FA350" s="1087"/>
      <c r="FB350" s="1087"/>
      <c r="FC350" s="1087"/>
      <c r="FD350" s="1087"/>
      <c r="FE350" s="1087"/>
      <c r="FF350" s="1087"/>
      <c r="FG350" s="1087"/>
      <c r="FH350" s="1087"/>
      <c r="FI350" s="1087"/>
      <c r="FJ350" s="1087"/>
      <c r="FK350" s="1087"/>
      <c r="FL350" s="1087"/>
      <c r="FM350" s="1087"/>
      <c r="FN350" s="1087"/>
      <c r="FO350" s="1087"/>
      <c r="FP350" s="1087"/>
      <c r="FQ350" s="1087"/>
      <c r="FR350" s="1087"/>
      <c r="FS350" s="1087"/>
      <c r="FT350" s="1087"/>
      <c r="FU350" s="1087"/>
      <c r="FV350" s="1087"/>
      <c r="FW350" s="1087"/>
      <c r="FX350" s="1087"/>
      <c r="FY350" s="1087"/>
      <c r="FZ350" s="1087"/>
      <c r="GA350" s="1087"/>
      <c r="GB350" s="1087"/>
      <c r="GC350" s="1087"/>
      <c r="GD350" s="1087"/>
      <c r="GE350" s="1087"/>
      <c r="GF350" s="1087"/>
      <c r="GG350" s="1087"/>
      <c r="GH350" s="1087"/>
      <c r="GI350" s="1087"/>
      <c r="GJ350" s="1087"/>
      <c r="GK350" s="1087"/>
      <c r="GL350" s="1087"/>
      <c r="GM350" s="1087"/>
      <c r="GN350" s="1087"/>
      <c r="GO350" s="1087"/>
      <c r="GP350" s="1087"/>
      <c r="GQ350" s="1087"/>
      <c r="GR350" s="1087"/>
      <c r="GS350" s="1087"/>
      <c r="GT350" s="1087"/>
      <c r="GU350" s="1087"/>
      <c r="GV350" s="1087"/>
      <c r="GW350" s="1087"/>
      <c r="GX350" s="1087"/>
      <c r="GY350" s="1087"/>
      <c r="GZ350" s="1087"/>
      <c r="HA350" s="1087"/>
      <c r="HB350" s="1087"/>
      <c r="HC350" s="1087"/>
      <c r="HD350" s="1087"/>
      <c r="HE350" s="1087"/>
      <c r="HF350" s="1087"/>
      <c r="HG350" s="1087"/>
      <c r="HH350" s="1087"/>
      <c r="HI350" s="1087"/>
      <c r="HJ350" s="1087"/>
      <c r="HK350" s="1087"/>
      <c r="HL350" s="1087"/>
      <c r="HM350" s="1087"/>
      <c r="HN350" s="1087"/>
      <c r="HO350" s="1087"/>
      <c r="HP350" s="1087"/>
      <c r="HQ350" s="1087"/>
      <c r="HR350" s="1087"/>
      <c r="HS350" s="1087"/>
      <c r="HT350" s="1087"/>
      <c r="HU350" s="1087"/>
      <c r="HV350" s="1087"/>
      <c r="HW350" s="1087"/>
      <c r="HX350" s="1087"/>
      <c r="HY350" s="1087"/>
      <c r="HZ350" s="1087"/>
      <c r="IA350" s="1087"/>
      <c r="IB350" s="1087"/>
      <c r="IC350" s="1087"/>
      <c r="ID350" s="1087"/>
      <c r="IE350" s="1087"/>
      <c r="IF350" s="1087"/>
      <c r="IG350" s="1087"/>
      <c r="IH350" s="1087"/>
      <c r="II350" s="1087"/>
      <c r="IJ350" s="1087"/>
      <c r="IK350" s="1087"/>
      <c r="IL350" s="1087"/>
      <c r="IM350" s="1087"/>
      <c r="IN350" s="1087"/>
      <c r="IO350" s="1087"/>
      <c r="IP350" s="1087"/>
      <c r="IQ350" s="1087"/>
      <c r="IR350" s="1087"/>
      <c r="IS350" s="1087"/>
      <c r="IT350" s="1087"/>
      <c r="IU350" s="1087"/>
      <c r="IV350" s="1087"/>
      <c r="IW350" s="1087"/>
      <c r="IX350" s="1087"/>
      <c r="IY350" s="1087"/>
      <c r="IZ350" s="1087"/>
      <c r="JA350" s="1087"/>
      <c r="JB350" s="1087"/>
      <c r="JC350" s="1087"/>
      <c r="JD350" s="1087"/>
      <c r="JE350" s="1087"/>
      <c r="JF350" s="1087"/>
      <c r="JG350" s="1087"/>
      <c r="JH350" s="1087"/>
      <c r="JI350" s="1087"/>
      <c r="JJ350" s="1087"/>
      <c r="JK350" s="1087"/>
      <c r="JL350" s="1087"/>
      <c r="JM350" s="1087"/>
      <c r="JN350" s="1087"/>
      <c r="JO350" s="1087"/>
      <c r="JP350" s="1087"/>
      <c r="JQ350" s="1087"/>
      <c r="JR350" s="1087"/>
      <c r="JS350" s="1087"/>
      <c r="JT350" s="1087"/>
      <c r="JU350" s="1087"/>
      <c r="JV350" s="1087"/>
      <c r="JW350" s="1087"/>
      <c r="JX350" s="1087"/>
      <c r="JY350" s="1087"/>
      <c r="JZ350" s="1087"/>
      <c r="KA350" s="1087"/>
      <c r="KB350" s="1092"/>
    </row>
    <row r="351" spans="2:288" ht="15" customHeight="1" x14ac:dyDescent="0.35">
      <c r="B351" s="146" t="str">
        <f t="shared" si="29"/>
        <v>Desk 32</v>
      </c>
      <c r="C351" s="148" t="str">
        <v/>
      </c>
      <c r="D351" s="148" t="str">
        <v/>
      </c>
      <c r="E351" s="148" t="str">
        <v/>
      </c>
      <c r="F351" s="148" t="str">
        <v/>
      </c>
      <c r="G351" s="268" t="str">
        <v/>
      </c>
      <c r="H351" s="1087"/>
      <c r="I351" s="1087"/>
      <c r="J351" s="1087"/>
      <c r="K351" s="1087"/>
      <c r="L351" s="1087"/>
      <c r="M351" s="1087"/>
      <c r="N351" s="1087"/>
      <c r="O351" s="1087"/>
      <c r="P351" s="1087"/>
      <c r="Q351" s="1087"/>
      <c r="R351" s="1087"/>
      <c r="S351" s="1087"/>
      <c r="T351" s="1087"/>
      <c r="U351" s="1087"/>
      <c r="V351" s="1087"/>
      <c r="W351" s="1087"/>
      <c r="X351" s="1087"/>
      <c r="Y351" s="1087"/>
      <c r="Z351" s="1087"/>
      <c r="AA351" s="1087"/>
      <c r="AB351" s="1087"/>
      <c r="AC351" s="1087"/>
      <c r="AD351" s="1087"/>
      <c r="AE351" s="1087"/>
      <c r="AF351" s="1087"/>
      <c r="AG351" s="1087"/>
      <c r="AH351" s="1087"/>
      <c r="AI351" s="1087"/>
      <c r="AJ351" s="1087"/>
      <c r="AK351" s="1087"/>
      <c r="AL351" s="1087"/>
      <c r="AM351" s="1087"/>
      <c r="AN351" s="1087"/>
      <c r="AO351" s="1087"/>
      <c r="AP351" s="1087"/>
      <c r="AQ351" s="1087"/>
      <c r="AR351" s="1087"/>
      <c r="AS351" s="1087"/>
      <c r="AT351" s="1087"/>
      <c r="AU351" s="1087"/>
      <c r="AV351" s="1087"/>
      <c r="AW351" s="1087"/>
      <c r="AX351" s="1087"/>
      <c r="AY351" s="1087"/>
      <c r="AZ351" s="1087"/>
      <c r="BA351" s="1087"/>
      <c r="BB351" s="1087"/>
      <c r="BC351" s="1087"/>
      <c r="BD351" s="1087"/>
      <c r="BE351" s="1087"/>
      <c r="BF351" s="1087"/>
      <c r="BG351" s="1087"/>
      <c r="BH351" s="1087"/>
      <c r="BI351" s="1087"/>
      <c r="BJ351" s="1087"/>
      <c r="BK351" s="1087"/>
      <c r="BL351" s="1087"/>
      <c r="BM351" s="1087"/>
      <c r="BN351" s="1087"/>
      <c r="BO351" s="1087"/>
      <c r="BP351" s="1087"/>
      <c r="BQ351" s="1087"/>
      <c r="BR351" s="1087"/>
      <c r="BS351" s="1087"/>
      <c r="BT351" s="1087"/>
      <c r="BU351" s="1087"/>
      <c r="BV351" s="1087"/>
      <c r="BW351" s="1087"/>
      <c r="BX351" s="1087"/>
      <c r="BY351" s="1087"/>
      <c r="BZ351" s="1087"/>
      <c r="CA351" s="1087"/>
      <c r="CB351" s="1087"/>
      <c r="CC351" s="1087"/>
      <c r="CD351" s="1087"/>
      <c r="CE351" s="1087"/>
      <c r="CF351" s="1087"/>
      <c r="CG351" s="1087"/>
      <c r="CH351" s="1087"/>
      <c r="CI351" s="1087"/>
      <c r="CJ351" s="1087"/>
      <c r="CK351" s="1087"/>
      <c r="CL351" s="1087"/>
      <c r="CM351" s="1087"/>
      <c r="CN351" s="1087"/>
      <c r="CO351" s="1087"/>
      <c r="CP351" s="1087"/>
      <c r="CQ351" s="1087"/>
      <c r="CR351" s="1087"/>
      <c r="CS351" s="1087"/>
      <c r="CT351" s="1087"/>
      <c r="CU351" s="1087"/>
      <c r="CV351" s="1087"/>
      <c r="CW351" s="1087"/>
      <c r="CX351" s="1087"/>
      <c r="CY351" s="1087"/>
      <c r="CZ351" s="1087"/>
      <c r="DA351" s="1087"/>
      <c r="DB351" s="1087"/>
      <c r="DC351" s="1087"/>
      <c r="DD351" s="1087"/>
      <c r="DE351" s="1087"/>
      <c r="DF351" s="1087"/>
      <c r="DG351" s="1087"/>
      <c r="DH351" s="1087"/>
      <c r="DI351" s="1087"/>
      <c r="DJ351" s="1087"/>
      <c r="DK351" s="1087"/>
      <c r="DL351" s="1087"/>
      <c r="DM351" s="1087"/>
      <c r="DN351" s="1087"/>
      <c r="DO351" s="1087"/>
      <c r="DP351" s="1087"/>
      <c r="DQ351" s="1087"/>
      <c r="DR351" s="1087"/>
      <c r="DS351" s="1087"/>
      <c r="DT351" s="1087"/>
      <c r="DU351" s="1087"/>
      <c r="DV351" s="1087"/>
      <c r="DW351" s="1087"/>
      <c r="DX351" s="1087"/>
      <c r="DY351" s="1087"/>
      <c r="DZ351" s="1087"/>
      <c r="EA351" s="1087"/>
      <c r="EB351" s="1087"/>
      <c r="EC351" s="1087"/>
      <c r="ED351" s="1087"/>
      <c r="EE351" s="1087"/>
      <c r="EF351" s="1087"/>
      <c r="EG351" s="1087"/>
      <c r="EH351" s="1087"/>
      <c r="EI351" s="1087"/>
      <c r="EJ351" s="1087"/>
      <c r="EK351" s="1087"/>
      <c r="EL351" s="1087"/>
      <c r="EM351" s="1087"/>
      <c r="EN351" s="1087"/>
      <c r="EO351" s="1087"/>
      <c r="EP351" s="1087"/>
      <c r="EQ351" s="1087"/>
      <c r="ER351" s="1087"/>
      <c r="ES351" s="1087"/>
      <c r="ET351" s="1087"/>
      <c r="EU351" s="1087"/>
      <c r="EV351" s="1087"/>
      <c r="EW351" s="1087"/>
      <c r="EX351" s="1087"/>
      <c r="EY351" s="1087"/>
      <c r="EZ351" s="1087"/>
      <c r="FA351" s="1087"/>
      <c r="FB351" s="1087"/>
      <c r="FC351" s="1087"/>
      <c r="FD351" s="1087"/>
      <c r="FE351" s="1087"/>
      <c r="FF351" s="1087"/>
      <c r="FG351" s="1087"/>
      <c r="FH351" s="1087"/>
      <c r="FI351" s="1087"/>
      <c r="FJ351" s="1087"/>
      <c r="FK351" s="1087"/>
      <c r="FL351" s="1087"/>
      <c r="FM351" s="1087"/>
      <c r="FN351" s="1087"/>
      <c r="FO351" s="1087"/>
      <c r="FP351" s="1087"/>
      <c r="FQ351" s="1087"/>
      <c r="FR351" s="1087"/>
      <c r="FS351" s="1087"/>
      <c r="FT351" s="1087"/>
      <c r="FU351" s="1087"/>
      <c r="FV351" s="1087"/>
      <c r="FW351" s="1087"/>
      <c r="FX351" s="1087"/>
      <c r="FY351" s="1087"/>
      <c r="FZ351" s="1087"/>
      <c r="GA351" s="1087"/>
      <c r="GB351" s="1087"/>
      <c r="GC351" s="1087"/>
      <c r="GD351" s="1087"/>
      <c r="GE351" s="1087"/>
      <c r="GF351" s="1087"/>
      <c r="GG351" s="1087"/>
      <c r="GH351" s="1087"/>
      <c r="GI351" s="1087"/>
      <c r="GJ351" s="1087"/>
      <c r="GK351" s="1087"/>
      <c r="GL351" s="1087"/>
      <c r="GM351" s="1087"/>
      <c r="GN351" s="1087"/>
      <c r="GO351" s="1087"/>
      <c r="GP351" s="1087"/>
      <c r="GQ351" s="1087"/>
      <c r="GR351" s="1087"/>
      <c r="GS351" s="1087"/>
      <c r="GT351" s="1087"/>
      <c r="GU351" s="1087"/>
      <c r="GV351" s="1087"/>
      <c r="GW351" s="1087"/>
      <c r="GX351" s="1087"/>
      <c r="GY351" s="1087"/>
      <c r="GZ351" s="1087"/>
      <c r="HA351" s="1087"/>
      <c r="HB351" s="1087"/>
      <c r="HC351" s="1087"/>
      <c r="HD351" s="1087"/>
      <c r="HE351" s="1087"/>
      <c r="HF351" s="1087"/>
      <c r="HG351" s="1087"/>
      <c r="HH351" s="1087"/>
      <c r="HI351" s="1087"/>
      <c r="HJ351" s="1087"/>
      <c r="HK351" s="1087"/>
      <c r="HL351" s="1087"/>
      <c r="HM351" s="1087"/>
      <c r="HN351" s="1087"/>
      <c r="HO351" s="1087"/>
      <c r="HP351" s="1087"/>
      <c r="HQ351" s="1087"/>
      <c r="HR351" s="1087"/>
      <c r="HS351" s="1087"/>
      <c r="HT351" s="1087"/>
      <c r="HU351" s="1087"/>
      <c r="HV351" s="1087"/>
      <c r="HW351" s="1087"/>
      <c r="HX351" s="1087"/>
      <c r="HY351" s="1087"/>
      <c r="HZ351" s="1087"/>
      <c r="IA351" s="1087"/>
      <c r="IB351" s="1087"/>
      <c r="IC351" s="1087"/>
      <c r="ID351" s="1087"/>
      <c r="IE351" s="1087"/>
      <c r="IF351" s="1087"/>
      <c r="IG351" s="1087"/>
      <c r="IH351" s="1087"/>
      <c r="II351" s="1087"/>
      <c r="IJ351" s="1087"/>
      <c r="IK351" s="1087"/>
      <c r="IL351" s="1087"/>
      <c r="IM351" s="1087"/>
      <c r="IN351" s="1087"/>
      <c r="IO351" s="1087"/>
      <c r="IP351" s="1087"/>
      <c r="IQ351" s="1087"/>
      <c r="IR351" s="1087"/>
      <c r="IS351" s="1087"/>
      <c r="IT351" s="1087"/>
      <c r="IU351" s="1087"/>
      <c r="IV351" s="1087"/>
      <c r="IW351" s="1087"/>
      <c r="IX351" s="1087"/>
      <c r="IY351" s="1087"/>
      <c r="IZ351" s="1087"/>
      <c r="JA351" s="1087"/>
      <c r="JB351" s="1087"/>
      <c r="JC351" s="1087"/>
      <c r="JD351" s="1087"/>
      <c r="JE351" s="1087"/>
      <c r="JF351" s="1087"/>
      <c r="JG351" s="1087"/>
      <c r="JH351" s="1087"/>
      <c r="JI351" s="1087"/>
      <c r="JJ351" s="1087"/>
      <c r="JK351" s="1087"/>
      <c r="JL351" s="1087"/>
      <c r="JM351" s="1087"/>
      <c r="JN351" s="1087"/>
      <c r="JO351" s="1087"/>
      <c r="JP351" s="1087"/>
      <c r="JQ351" s="1087"/>
      <c r="JR351" s="1087"/>
      <c r="JS351" s="1087"/>
      <c r="JT351" s="1087"/>
      <c r="JU351" s="1087"/>
      <c r="JV351" s="1087"/>
      <c r="JW351" s="1087"/>
      <c r="JX351" s="1087"/>
      <c r="JY351" s="1087"/>
      <c r="JZ351" s="1087"/>
      <c r="KA351" s="1087"/>
      <c r="KB351" s="1092"/>
    </row>
    <row r="352" spans="2:288" ht="15" customHeight="1" x14ac:dyDescent="0.35">
      <c r="B352" s="146" t="str">
        <f t="shared" si="29"/>
        <v>Desk 33</v>
      </c>
      <c r="C352" s="148" t="str">
        <v/>
      </c>
      <c r="D352" s="148" t="str">
        <v/>
      </c>
      <c r="E352" s="148" t="str">
        <v/>
      </c>
      <c r="F352" s="148" t="str">
        <v/>
      </c>
      <c r="G352" s="268" t="str">
        <v/>
      </c>
      <c r="H352" s="1087"/>
      <c r="I352" s="1087"/>
      <c r="J352" s="1087"/>
      <c r="K352" s="1087"/>
      <c r="L352" s="1087"/>
      <c r="M352" s="1087"/>
      <c r="N352" s="1087"/>
      <c r="O352" s="1087"/>
      <c r="P352" s="1087"/>
      <c r="Q352" s="1087"/>
      <c r="R352" s="1087"/>
      <c r="S352" s="1087"/>
      <c r="T352" s="1087"/>
      <c r="U352" s="1087"/>
      <c r="V352" s="1087"/>
      <c r="W352" s="1087"/>
      <c r="X352" s="1087"/>
      <c r="Y352" s="1087"/>
      <c r="Z352" s="1087"/>
      <c r="AA352" s="1087"/>
      <c r="AB352" s="1087"/>
      <c r="AC352" s="1087"/>
      <c r="AD352" s="1087"/>
      <c r="AE352" s="1087"/>
      <c r="AF352" s="1087"/>
      <c r="AG352" s="1087"/>
      <c r="AH352" s="1087"/>
      <c r="AI352" s="1087"/>
      <c r="AJ352" s="1087"/>
      <c r="AK352" s="1087"/>
      <c r="AL352" s="1087"/>
      <c r="AM352" s="1087"/>
      <c r="AN352" s="1087"/>
      <c r="AO352" s="1087"/>
      <c r="AP352" s="1087"/>
      <c r="AQ352" s="1087"/>
      <c r="AR352" s="1087"/>
      <c r="AS352" s="1087"/>
      <c r="AT352" s="1087"/>
      <c r="AU352" s="1087"/>
      <c r="AV352" s="1087"/>
      <c r="AW352" s="1087"/>
      <c r="AX352" s="1087"/>
      <c r="AY352" s="1087"/>
      <c r="AZ352" s="1087"/>
      <c r="BA352" s="1087"/>
      <c r="BB352" s="1087"/>
      <c r="BC352" s="1087"/>
      <c r="BD352" s="1087"/>
      <c r="BE352" s="1087"/>
      <c r="BF352" s="1087"/>
      <c r="BG352" s="1087"/>
      <c r="BH352" s="1087"/>
      <c r="BI352" s="1087"/>
      <c r="BJ352" s="1087"/>
      <c r="BK352" s="1087"/>
      <c r="BL352" s="1087"/>
      <c r="BM352" s="1087"/>
      <c r="BN352" s="1087"/>
      <c r="BO352" s="1087"/>
      <c r="BP352" s="1087"/>
      <c r="BQ352" s="1087"/>
      <c r="BR352" s="1087"/>
      <c r="BS352" s="1087"/>
      <c r="BT352" s="1087"/>
      <c r="BU352" s="1087"/>
      <c r="BV352" s="1087"/>
      <c r="BW352" s="1087"/>
      <c r="BX352" s="1087"/>
      <c r="BY352" s="1087"/>
      <c r="BZ352" s="1087"/>
      <c r="CA352" s="1087"/>
      <c r="CB352" s="1087"/>
      <c r="CC352" s="1087"/>
      <c r="CD352" s="1087"/>
      <c r="CE352" s="1087"/>
      <c r="CF352" s="1087"/>
      <c r="CG352" s="1087"/>
      <c r="CH352" s="1087"/>
      <c r="CI352" s="1087"/>
      <c r="CJ352" s="1087"/>
      <c r="CK352" s="1087"/>
      <c r="CL352" s="1087"/>
      <c r="CM352" s="1087"/>
      <c r="CN352" s="1087"/>
      <c r="CO352" s="1087"/>
      <c r="CP352" s="1087"/>
      <c r="CQ352" s="1087"/>
      <c r="CR352" s="1087"/>
      <c r="CS352" s="1087"/>
      <c r="CT352" s="1087"/>
      <c r="CU352" s="1087"/>
      <c r="CV352" s="1087"/>
      <c r="CW352" s="1087"/>
      <c r="CX352" s="1087"/>
      <c r="CY352" s="1087"/>
      <c r="CZ352" s="1087"/>
      <c r="DA352" s="1087"/>
      <c r="DB352" s="1087"/>
      <c r="DC352" s="1087"/>
      <c r="DD352" s="1087"/>
      <c r="DE352" s="1087"/>
      <c r="DF352" s="1087"/>
      <c r="DG352" s="1087"/>
      <c r="DH352" s="1087"/>
      <c r="DI352" s="1087"/>
      <c r="DJ352" s="1087"/>
      <c r="DK352" s="1087"/>
      <c r="DL352" s="1087"/>
      <c r="DM352" s="1087"/>
      <c r="DN352" s="1087"/>
      <c r="DO352" s="1087"/>
      <c r="DP352" s="1087"/>
      <c r="DQ352" s="1087"/>
      <c r="DR352" s="1087"/>
      <c r="DS352" s="1087"/>
      <c r="DT352" s="1087"/>
      <c r="DU352" s="1087"/>
      <c r="DV352" s="1087"/>
      <c r="DW352" s="1087"/>
      <c r="DX352" s="1087"/>
      <c r="DY352" s="1087"/>
      <c r="DZ352" s="1087"/>
      <c r="EA352" s="1087"/>
      <c r="EB352" s="1087"/>
      <c r="EC352" s="1087"/>
      <c r="ED352" s="1087"/>
      <c r="EE352" s="1087"/>
      <c r="EF352" s="1087"/>
      <c r="EG352" s="1087"/>
      <c r="EH352" s="1087"/>
      <c r="EI352" s="1087"/>
      <c r="EJ352" s="1087"/>
      <c r="EK352" s="1087"/>
      <c r="EL352" s="1087"/>
      <c r="EM352" s="1087"/>
      <c r="EN352" s="1087"/>
      <c r="EO352" s="1087"/>
      <c r="EP352" s="1087"/>
      <c r="EQ352" s="1087"/>
      <c r="ER352" s="1087"/>
      <c r="ES352" s="1087"/>
      <c r="ET352" s="1087"/>
      <c r="EU352" s="1087"/>
      <c r="EV352" s="1087"/>
      <c r="EW352" s="1087"/>
      <c r="EX352" s="1087"/>
      <c r="EY352" s="1087"/>
      <c r="EZ352" s="1087"/>
      <c r="FA352" s="1087"/>
      <c r="FB352" s="1087"/>
      <c r="FC352" s="1087"/>
      <c r="FD352" s="1087"/>
      <c r="FE352" s="1087"/>
      <c r="FF352" s="1087"/>
      <c r="FG352" s="1087"/>
      <c r="FH352" s="1087"/>
      <c r="FI352" s="1087"/>
      <c r="FJ352" s="1087"/>
      <c r="FK352" s="1087"/>
      <c r="FL352" s="1087"/>
      <c r="FM352" s="1087"/>
      <c r="FN352" s="1087"/>
      <c r="FO352" s="1087"/>
      <c r="FP352" s="1087"/>
      <c r="FQ352" s="1087"/>
      <c r="FR352" s="1087"/>
      <c r="FS352" s="1087"/>
      <c r="FT352" s="1087"/>
      <c r="FU352" s="1087"/>
      <c r="FV352" s="1087"/>
      <c r="FW352" s="1087"/>
      <c r="FX352" s="1087"/>
      <c r="FY352" s="1087"/>
      <c r="FZ352" s="1087"/>
      <c r="GA352" s="1087"/>
      <c r="GB352" s="1087"/>
      <c r="GC352" s="1087"/>
      <c r="GD352" s="1087"/>
      <c r="GE352" s="1087"/>
      <c r="GF352" s="1087"/>
      <c r="GG352" s="1087"/>
      <c r="GH352" s="1087"/>
      <c r="GI352" s="1087"/>
      <c r="GJ352" s="1087"/>
      <c r="GK352" s="1087"/>
      <c r="GL352" s="1087"/>
      <c r="GM352" s="1087"/>
      <c r="GN352" s="1087"/>
      <c r="GO352" s="1087"/>
      <c r="GP352" s="1087"/>
      <c r="GQ352" s="1087"/>
      <c r="GR352" s="1087"/>
      <c r="GS352" s="1087"/>
      <c r="GT352" s="1087"/>
      <c r="GU352" s="1087"/>
      <c r="GV352" s="1087"/>
      <c r="GW352" s="1087"/>
      <c r="GX352" s="1087"/>
      <c r="GY352" s="1087"/>
      <c r="GZ352" s="1087"/>
      <c r="HA352" s="1087"/>
      <c r="HB352" s="1087"/>
      <c r="HC352" s="1087"/>
      <c r="HD352" s="1087"/>
      <c r="HE352" s="1087"/>
      <c r="HF352" s="1087"/>
      <c r="HG352" s="1087"/>
      <c r="HH352" s="1087"/>
      <c r="HI352" s="1087"/>
      <c r="HJ352" s="1087"/>
      <c r="HK352" s="1087"/>
      <c r="HL352" s="1087"/>
      <c r="HM352" s="1087"/>
      <c r="HN352" s="1087"/>
      <c r="HO352" s="1087"/>
      <c r="HP352" s="1087"/>
      <c r="HQ352" s="1087"/>
      <c r="HR352" s="1087"/>
      <c r="HS352" s="1087"/>
      <c r="HT352" s="1087"/>
      <c r="HU352" s="1087"/>
      <c r="HV352" s="1087"/>
      <c r="HW352" s="1087"/>
      <c r="HX352" s="1087"/>
      <c r="HY352" s="1087"/>
      <c r="HZ352" s="1087"/>
      <c r="IA352" s="1087"/>
      <c r="IB352" s="1087"/>
      <c r="IC352" s="1087"/>
      <c r="ID352" s="1087"/>
      <c r="IE352" s="1087"/>
      <c r="IF352" s="1087"/>
      <c r="IG352" s="1087"/>
      <c r="IH352" s="1087"/>
      <c r="II352" s="1087"/>
      <c r="IJ352" s="1087"/>
      <c r="IK352" s="1087"/>
      <c r="IL352" s="1087"/>
      <c r="IM352" s="1087"/>
      <c r="IN352" s="1087"/>
      <c r="IO352" s="1087"/>
      <c r="IP352" s="1087"/>
      <c r="IQ352" s="1087"/>
      <c r="IR352" s="1087"/>
      <c r="IS352" s="1087"/>
      <c r="IT352" s="1087"/>
      <c r="IU352" s="1087"/>
      <c r="IV352" s="1087"/>
      <c r="IW352" s="1087"/>
      <c r="IX352" s="1087"/>
      <c r="IY352" s="1087"/>
      <c r="IZ352" s="1087"/>
      <c r="JA352" s="1087"/>
      <c r="JB352" s="1087"/>
      <c r="JC352" s="1087"/>
      <c r="JD352" s="1087"/>
      <c r="JE352" s="1087"/>
      <c r="JF352" s="1087"/>
      <c r="JG352" s="1087"/>
      <c r="JH352" s="1087"/>
      <c r="JI352" s="1087"/>
      <c r="JJ352" s="1087"/>
      <c r="JK352" s="1087"/>
      <c r="JL352" s="1087"/>
      <c r="JM352" s="1087"/>
      <c r="JN352" s="1087"/>
      <c r="JO352" s="1087"/>
      <c r="JP352" s="1087"/>
      <c r="JQ352" s="1087"/>
      <c r="JR352" s="1087"/>
      <c r="JS352" s="1087"/>
      <c r="JT352" s="1087"/>
      <c r="JU352" s="1087"/>
      <c r="JV352" s="1087"/>
      <c r="JW352" s="1087"/>
      <c r="JX352" s="1087"/>
      <c r="JY352" s="1087"/>
      <c r="JZ352" s="1087"/>
      <c r="KA352" s="1087"/>
      <c r="KB352" s="1092"/>
    </row>
    <row r="353" spans="2:288" ht="15" customHeight="1" x14ac:dyDescent="0.35">
      <c r="B353" s="146" t="str">
        <f t="shared" si="29"/>
        <v>Desk 34</v>
      </c>
      <c r="C353" s="148" t="str">
        <v/>
      </c>
      <c r="D353" s="148" t="str">
        <v/>
      </c>
      <c r="E353" s="148" t="str">
        <v/>
      </c>
      <c r="F353" s="148" t="str">
        <v/>
      </c>
      <c r="G353" s="268" t="str">
        <v/>
      </c>
      <c r="H353" s="1087"/>
      <c r="I353" s="1087"/>
      <c r="J353" s="1087"/>
      <c r="K353" s="1087"/>
      <c r="L353" s="1087"/>
      <c r="M353" s="1087"/>
      <c r="N353" s="1087"/>
      <c r="O353" s="1087"/>
      <c r="P353" s="1087"/>
      <c r="Q353" s="1087"/>
      <c r="R353" s="1087"/>
      <c r="S353" s="1087"/>
      <c r="T353" s="1087"/>
      <c r="U353" s="1087"/>
      <c r="V353" s="1087"/>
      <c r="W353" s="1087"/>
      <c r="X353" s="1087"/>
      <c r="Y353" s="1087"/>
      <c r="Z353" s="1087"/>
      <c r="AA353" s="1087"/>
      <c r="AB353" s="1087"/>
      <c r="AC353" s="1087"/>
      <c r="AD353" s="1087"/>
      <c r="AE353" s="1087"/>
      <c r="AF353" s="1087"/>
      <c r="AG353" s="1087"/>
      <c r="AH353" s="1087"/>
      <c r="AI353" s="1087"/>
      <c r="AJ353" s="1087"/>
      <c r="AK353" s="1087"/>
      <c r="AL353" s="1087"/>
      <c r="AM353" s="1087"/>
      <c r="AN353" s="1087"/>
      <c r="AO353" s="1087"/>
      <c r="AP353" s="1087"/>
      <c r="AQ353" s="1087"/>
      <c r="AR353" s="1087"/>
      <c r="AS353" s="1087"/>
      <c r="AT353" s="1087"/>
      <c r="AU353" s="1087"/>
      <c r="AV353" s="1087"/>
      <c r="AW353" s="1087"/>
      <c r="AX353" s="1087"/>
      <c r="AY353" s="1087"/>
      <c r="AZ353" s="1087"/>
      <c r="BA353" s="1087"/>
      <c r="BB353" s="1087"/>
      <c r="BC353" s="1087"/>
      <c r="BD353" s="1087"/>
      <c r="BE353" s="1087"/>
      <c r="BF353" s="1087"/>
      <c r="BG353" s="1087"/>
      <c r="BH353" s="1087"/>
      <c r="BI353" s="1087"/>
      <c r="BJ353" s="1087"/>
      <c r="BK353" s="1087"/>
      <c r="BL353" s="1087"/>
      <c r="BM353" s="1087"/>
      <c r="BN353" s="1087"/>
      <c r="BO353" s="1087"/>
      <c r="BP353" s="1087"/>
      <c r="BQ353" s="1087"/>
      <c r="BR353" s="1087"/>
      <c r="BS353" s="1087"/>
      <c r="BT353" s="1087"/>
      <c r="BU353" s="1087"/>
      <c r="BV353" s="1087"/>
      <c r="BW353" s="1087"/>
      <c r="BX353" s="1087"/>
      <c r="BY353" s="1087"/>
      <c r="BZ353" s="1087"/>
      <c r="CA353" s="1087"/>
      <c r="CB353" s="1087"/>
      <c r="CC353" s="1087"/>
      <c r="CD353" s="1087"/>
      <c r="CE353" s="1087"/>
      <c r="CF353" s="1087"/>
      <c r="CG353" s="1087"/>
      <c r="CH353" s="1087"/>
      <c r="CI353" s="1087"/>
      <c r="CJ353" s="1087"/>
      <c r="CK353" s="1087"/>
      <c r="CL353" s="1087"/>
      <c r="CM353" s="1087"/>
      <c r="CN353" s="1087"/>
      <c r="CO353" s="1087"/>
      <c r="CP353" s="1087"/>
      <c r="CQ353" s="1087"/>
      <c r="CR353" s="1087"/>
      <c r="CS353" s="1087"/>
      <c r="CT353" s="1087"/>
      <c r="CU353" s="1087"/>
      <c r="CV353" s="1087"/>
      <c r="CW353" s="1087"/>
      <c r="CX353" s="1087"/>
      <c r="CY353" s="1087"/>
      <c r="CZ353" s="1087"/>
      <c r="DA353" s="1087"/>
      <c r="DB353" s="1087"/>
      <c r="DC353" s="1087"/>
      <c r="DD353" s="1087"/>
      <c r="DE353" s="1087"/>
      <c r="DF353" s="1087"/>
      <c r="DG353" s="1087"/>
      <c r="DH353" s="1087"/>
      <c r="DI353" s="1087"/>
      <c r="DJ353" s="1087"/>
      <c r="DK353" s="1087"/>
      <c r="DL353" s="1087"/>
      <c r="DM353" s="1087"/>
      <c r="DN353" s="1087"/>
      <c r="DO353" s="1087"/>
      <c r="DP353" s="1087"/>
      <c r="DQ353" s="1087"/>
      <c r="DR353" s="1087"/>
      <c r="DS353" s="1087"/>
      <c r="DT353" s="1087"/>
      <c r="DU353" s="1087"/>
      <c r="DV353" s="1087"/>
      <c r="DW353" s="1087"/>
      <c r="DX353" s="1087"/>
      <c r="DY353" s="1087"/>
      <c r="DZ353" s="1087"/>
      <c r="EA353" s="1087"/>
      <c r="EB353" s="1087"/>
      <c r="EC353" s="1087"/>
      <c r="ED353" s="1087"/>
      <c r="EE353" s="1087"/>
      <c r="EF353" s="1087"/>
      <c r="EG353" s="1087"/>
      <c r="EH353" s="1087"/>
      <c r="EI353" s="1087"/>
      <c r="EJ353" s="1087"/>
      <c r="EK353" s="1087"/>
      <c r="EL353" s="1087"/>
      <c r="EM353" s="1087"/>
      <c r="EN353" s="1087"/>
      <c r="EO353" s="1087"/>
      <c r="EP353" s="1087"/>
      <c r="EQ353" s="1087"/>
      <c r="ER353" s="1087"/>
      <c r="ES353" s="1087"/>
      <c r="ET353" s="1087"/>
      <c r="EU353" s="1087"/>
      <c r="EV353" s="1087"/>
      <c r="EW353" s="1087"/>
      <c r="EX353" s="1087"/>
      <c r="EY353" s="1087"/>
      <c r="EZ353" s="1087"/>
      <c r="FA353" s="1087"/>
      <c r="FB353" s="1087"/>
      <c r="FC353" s="1087"/>
      <c r="FD353" s="1087"/>
      <c r="FE353" s="1087"/>
      <c r="FF353" s="1087"/>
      <c r="FG353" s="1087"/>
      <c r="FH353" s="1087"/>
      <c r="FI353" s="1087"/>
      <c r="FJ353" s="1087"/>
      <c r="FK353" s="1087"/>
      <c r="FL353" s="1087"/>
      <c r="FM353" s="1087"/>
      <c r="FN353" s="1087"/>
      <c r="FO353" s="1087"/>
      <c r="FP353" s="1087"/>
      <c r="FQ353" s="1087"/>
      <c r="FR353" s="1087"/>
      <c r="FS353" s="1087"/>
      <c r="FT353" s="1087"/>
      <c r="FU353" s="1087"/>
      <c r="FV353" s="1087"/>
      <c r="FW353" s="1087"/>
      <c r="FX353" s="1087"/>
      <c r="FY353" s="1087"/>
      <c r="FZ353" s="1087"/>
      <c r="GA353" s="1087"/>
      <c r="GB353" s="1087"/>
      <c r="GC353" s="1087"/>
      <c r="GD353" s="1087"/>
      <c r="GE353" s="1087"/>
      <c r="GF353" s="1087"/>
      <c r="GG353" s="1087"/>
      <c r="GH353" s="1087"/>
      <c r="GI353" s="1087"/>
      <c r="GJ353" s="1087"/>
      <c r="GK353" s="1087"/>
      <c r="GL353" s="1087"/>
      <c r="GM353" s="1087"/>
      <c r="GN353" s="1087"/>
      <c r="GO353" s="1087"/>
      <c r="GP353" s="1087"/>
      <c r="GQ353" s="1087"/>
      <c r="GR353" s="1087"/>
      <c r="GS353" s="1087"/>
      <c r="GT353" s="1087"/>
      <c r="GU353" s="1087"/>
      <c r="GV353" s="1087"/>
      <c r="GW353" s="1087"/>
      <c r="GX353" s="1087"/>
      <c r="GY353" s="1087"/>
      <c r="GZ353" s="1087"/>
      <c r="HA353" s="1087"/>
      <c r="HB353" s="1087"/>
      <c r="HC353" s="1087"/>
      <c r="HD353" s="1087"/>
      <c r="HE353" s="1087"/>
      <c r="HF353" s="1087"/>
      <c r="HG353" s="1087"/>
      <c r="HH353" s="1087"/>
      <c r="HI353" s="1087"/>
      <c r="HJ353" s="1087"/>
      <c r="HK353" s="1087"/>
      <c r="HL353" s="1087"/>
      <c r="HM353" s="1087"/>
      <c r="HN353" s="1087"/>
      <c r="HO353" s="1087"/>
      <c r="HP353" s="1087"/>
      <c r="HQ353" s="1087"/>
      <c r="HR353" s="1087"/>
      <c r="HS353" s="1087"/>
      <c r="HT353" s="1087"/>
      <c r="HU353" s="1087"/>
      <c r="HV353" s="1087"/>
      <c r="HW353" s="1087"/>
      <c r="HX353" s="1087"/>
      <c r="HY353" s="1087"/>
      <c r="HZ353" s="1087"/>
      <c r="IA353" s="1087"/>
      <c r="IB353" s="1087"/>
      <c r="IC353" s="1087"/>
      <c r="ID353" s="1087"/>
      <c r="IE353" s="1087"/>
      <c r="IF353" s="1087"/>
      <c r="IG353" s="1087"/>
      <c r="IH353" s="1087"/>
      <c r="II353" s="1087"/>
      <c r="IJ353" s="1087"/>
      <c r="IK353" s="1087"/>
      <c r="IL353" s="1087"/>
      <c r="IM353" s="1087"/>
      <c r="IN353" s="1087"/>
      <c r="IO353" s="1087"/>
      <c r="IP353" s="1087"/>
      <c r="IQ353" s="1087"/>
      <c r="IR353" s="1087"/>
      <c r="IS353" s="1087"/>
      <c r="IT353" s="1087"/>
      <c r="IU353" s="1087"/>
      <c r="IV353" s="1087"/>
      <c r="IW353" s="1087"/>
      <c r="IX353" s="1087"/>
      <c r="IY353" s="1087"/>
      <c r="IZ353" s="1087"/>
      <c r="JA353" s="1087"/>
      <c r="JB353" s="1087"/>
      <c r="JC353" s="1087"/>
      <c r="JD353" s="1087"/>
      <c r="JE353" s="1087"/>
      <c r="JF353" s="1087"/>
      <c r="JG353" s="1087"/>
      <c r="JH353" s="1087"/>
      <c r="JI353" s="1087"/>
      <c r="JJ353" s="1087"/>
      <c r="JK353" s="1087"/>
      <c r="JL353" s="1087"/>
      <c r="JM353" s="1087"/>
      <c r="JN353" s="1087"/>
      <c r="JO353" s="1087"/>
      <c r="JP353" s="1087"/>
      <c r="JQ353" s="1087"/>
      <c r="JR353" s="1087"/>
      <c r="JS353" s="1087"/>
      <c r="JT353" s="1087"/>
      <c r="JU353" s="1087"/>
      <c r="JV353" s="1087"/>
      <c r="JW353" s="1087"/>
      <c r="JX353" s="1087"/>
      <c r="JY353" s="1087"/>
      <c r="JZ353" s="1087"/>
      <c r="KA353" s="1087"/>
      <c r="KB353" s="1092"/>
    </row>
    <row r="354" spans="2:288" ht="15" customHeight="1" x14ac:dyDescent="0.35">
      <c r="B354" s="146" t="str">
        <f t="shared" si="29"/>
        <v>Desk 35</v>
      </c>
      <c r="C354" s="148" t="str">
        <v/>
      </c>
      <c r="D354" s="148" t="str">
        <v/>
      </c>
      <c r="E354" s="148" t="str">
        <v/>
      </c>
      <c r="F354" s="148" t="str">
        <v/>
      </c>
      <c r="G354" s="268" t="str">
        <v/>
      </c>
      <c r="H354" s="1087"/>
      <c r="I354" s="1087"/>
      <c r="J354" s="1087"/>
      <c r="K354" s="1087"/>
      <c r="L354" s="1087"/>
      <c r="M354" s="1087"/>
      <c r="N354" s="1087"/>
      <c r="O354" s="1087"/>
      <c r="P354" s="1087"/>
      <c r="Q354" s="1087"/>
      <c r="R354" s="1087"/>
      <c r="S354" s="1087"/>
      <c r="T354" s="1087"/>
      <c r="U354" s="1087"/>
      <c r="V354" s="1087"/>
      <c r="W354" s="1087"/>
      <c r="X354" s="1087"/>
      <c r="Y354" s="1087"/>
      <c r="Z354" s="1087"/>
      <c r="AA354" s="1087"/>
      <c r="AB354" s="1087"/>
      <c r="AC354" s="1087"/>
      <c r="AD354" s="1087"/>
      <c r="AE354" s="1087"/>
      <c r="AF354" s="1087"/>
      <c r="AG354" s="1087"/>
      <c r="AH354" s="1087"/>
      <c r="AI354" s="1087"/>
      <c r="AJ354" s="1087"/>
      <c r="AK354" s="1087"/>
      <c r="AL354" s="1087"/>
      <c r="AM354" s="1087"/>
      <c r="AN354" s="1087"/>
      <c r="AO354" s="1087"/>
      <c r="AP354" s="1087"/>
      <c r="AQ354" s="1087"/>
      <c r="AR354" s="1087"/>
      <c r="AS354" s="1087"/>
      <c r="AT354" s="1087"/>
      <c r="AU354" s="1087"/>
      <c r="AV354" s="1087"/>
      <c r="AW354" s="1087"/>
      <c r="AX354" s="1087"/>
      <c r="AY354" s="1087"/>
      <c r="AZ354" s="1087"/>
      <c r="BA354" s="1087"/>
      <c r="BB354" s="1087"/>
      <c r="BC354" s="1087"/>
      <c r="BD354" s="1087"/>
      <c r="BE354" s="1087"/>
      <c r="BF354" s="1087"/>
      <c r="BG354" s="1087"/>
      <c r="BH354" s="1087"/>
      <c r="BI354" s="1087"/>
      <c r="BJ354" s="1087"/>
      <c r="BK354" s="1087"/>
      <c r="BL354" s="1087"/>
      <c r="BM354" s="1087"/>
      <c r="BN354" s="1087"/>
      <c r="BO354" s="1087"/>
      <c r="BP354" s="1087"/>
      <c r="BQ354" s="1087"/>
      <c r="BR354" s="1087"/>
      <c r="BS354" s="1087"/>
      <c r="BT354" s="1087"/>
      <c r="BU354" s="1087"/>
      <c r="BV354" s="1087"/>
      <c r="BW354" s="1087"/>
      <c r="BX354" s="1087"/>
      <c r="BY354" s="1087"/>
      <c r="BZ354" s="1087"/>
      <c r="CA354" s="1087"/>
      <c r="CB354" s="1087"/>
      <c r="CC354" s="1087"/>
      <c r="CD354" s="1087"/>
      <c r="CE354" s="1087"/>
      <c r="CF354" s="1087"/>
      <c r="CG354" s="1087"/>
      <c r="CH354" s="1087"/>
      <c r="CI354" s="1087"/>
      <c r="CJ354" s="1087"/>
      <c r="CK354" s="1087"/>
      <c r="CL354" s="1087"/>
      <c r="CM354" s="1087"/>
      <c r="CN354" s="1087"/>
      <c r="CO354" s="1087"/>
      <c r="CP354" s="1087"/>
      <c r="CQ354" s="1087"/>
      <c r="CR354" s="1087"/>
      <c r="CS354" s="1087"/>
      <c r="CT354" s="1087"/>
      <c r="CU354" s="1087"/>
      <c r="CV354" s="1087"/>
      <c r="CW354" s="1087"/>
      <c r="CX354" s="1087"/>
      <c r="CY354" s="1087"/>
      <c r="CZ354" s="1087"/>
      <c r="DA354" s="1087"/>
      <c r="DB354" s="1087"/>
      <c r="DC354" s="1087"/>
      <c r="DD354" s="1087"/>
      <c r="DE354" s="1087"/>
      <c r="DF354" s="1087"/>
      <c r="DG354" s="1087"/>
      <c r="DH354" s="1087"/>
      <c r="DI354" s="1087"/>
      <c r="DJ354" s="1087"/>
      <c r="DK354" s="1087"/>
      <c r="DL354" s="1087"/>
      <c r="DM354" s="1087"/>
      <c r="DN354" s="1087"/>
      <c r="DO354" s="1087"/>
      <c r="DP354" s="1087"/>
      <c r="DQ354" s="1087"/>
      <c r="DR354" s="1087"/>
      <c r="DS354" s="1087"/>
      <c r="DT354" s="1087"/>
      <c r="DU354" s="1087"/>
      <c r="DV354" s="1087"/>
      <c r="DW354" s="1087"/>
      <c r="DX354" s="1087"/>
      <c r="DY354" s="1087"/>
      <c r="DZ354" s="1087"/>
      <c r="EA354" s="1087"/>
      <c r="EB354" s="1087"/>
      <c r="EC354" s="1087"/>
      <c r="ED354" s="1087"/>
      <c r="EE354" s="1087"/>
      <c r="EF354" s="1087"/>
      <c r="EG354" s="1087"/>
      <c r="EH354" s="1087"/>
      <c r="EI354" s="1087"/>
      <c r="EJ354" s="1087"/>
      <c r="EK354" s="1087"/>
      <c r="EL354" s="1087"/>
      <c r="EM354" s="1087"/>
      <c r="EN354" s="1087"/>
      <c r="EO354" s="1087"/>
      <c r="EP354" s="1087"/>
      <c r="EQ354" s="1087"/>
      <c r="ER354" s="1087"/>
      <c r="ES354" s="1087"/>
      <c r="ET354" s="1087"/>
      <c r="EU354" s="1087"/>
      <c r="EV354" s="1087"/>
      <c r="EW354" s="1087"/>
      <c r="EX354" s="1087"/>
      <c r="EY354" s="1087"/>
      <c r="EZ354" s="1087"/>
      <c r="FA354" s="1087"/>
      <c r="FB354" s="1087"/>
      <c r="FC354" s="1087"/>
      <c r="FD354" s="1087"/>
      <c r="FE354" s="1087"/>
      <c r="FF354" s="1087"/>
      <c r="FG354" s="1087"/>
      <c r="FH354" s="1087"/>
      <c r="FI354" s="1087"/>
      <c r="FJ354" s="1087"/>
      <c r="FK354" s="1087"/>
      <c r="FL354" s="1087"/>
      <c r="FM354" s="1087"/>
      <c r="FN354" s="1087"/>
      <c r="FO354" s="1087"/>
      <c r="FP354" s="1087"/>
      <c r="FQ354" s="1087"/>
      <c r="FR354" s="1087"/>
      <c r="FS354" s="1087"/>
      <c r="FT354" s="1087"/>
      <c r="FU354" s="1087"/>
      <c r="FV354" s="1087"/>
      <c r="FW354" s="1087"/>
      <c r="FX354" s="1087"/>
      <c r="FY354" s="1087"/>
      <c r="FZ354" s="1087"/>
      <c r="GA354" s="1087"/>
      <c r="GB354" s="1087"/>
      <c r="GC354" s="1087"/>
      <c r="GD354" s="1087"/>
      <c r="GE354" s="1087"/>
      <c r="GF354" s="1087"/>
      <c r="GG354" s="1087"/>
      <c r="GH354" s="1087"/>
      <c r="GI354" s="1087"/>
      <c r="GJ354" s="1087"/>
      <c r="GK354" s="1087"/>
      <c r="GL354" s="1087"/>
      <c r="GM354" s="1087"/>
      <c r="GN354" s="1087"/>
      <c r="GO354" s="1087"/>
      <c r="GP354" s="1087"/>
      <c r="GQ354" s="1087"/>
      <c r="GR354" s="1087"/>
      <c r="GS354" s="1087"/>
      <c r="GT354" s="1087"/>
      <c r="GU354" s="1087"/>
      <c r="GV354" s="1087"/>
      <c r="GW354" s="1087"/>
      <c r="GX354" s="1087"/>
      <c r="GY354" s="1087"/>
      <c r="GZ354" s="1087"/>
      <c r="HA354" s="1087"/>
      <c r="HB354" s="1087"/>
      <c r="HC354" s="1087"/>
      <c r="HD354" s="1087"/>
      <c r="HE354" s="1087"/>
      <c r="HF354" s="1087"/>
      <c r="HG354" s="1087"/>
      <c r="HH354" s="1087"/>
      <c r="HI354" s="1087"/>
      <c r="HJ354" s="1087"/>
      <c r="HK354" s="1087"/>
      <c r="HL354" s="1087"/>
      <c r="HM354" s="1087"/>
      <c r="HN354" s="1087"/>
      <c r="HO354" s="1087"/>
      <c r="HP354" s="1087"/>
      <c r="HQ354" s="1087"/>
      <c r="HR354" s="1087"/>
      <c r="HS354" s="1087"/>
      <c r="HT354" s="1087"/>
      <c r="HU354" s="1087"/>
      <c r="HV354" s="1087"/>
      <c r="HW354" s="1087"/>
      <c r="HX354" s="1087"/>
      <c r="HY354" s="1087"/>
      <c r="HZ354" s="1087"/>
      <c r="IA354" s="1087"/>
      <c r="IB354" s="1087"/>
      <c r="IC354" s="1087"/>
      <c r="ID354" s="1087"/>
      <c r="IE354" s="1087"/>
      <c r="IF354" s="1087"/>
      <c r="IG354" s="1087"/>
      <c r="IH354" s="1087"/>
      <c r="II354" s="1087"/>
      <c r="IJ354" s="1087"/>
      <c r="IK354" s="1087"/>
      <c r="IL354" s="1087"/>
      <c r="IM354" s="1087"/>
      <c r="IN354" s="1087"/>
      <c r="IO354" s="1087"/>
      <c r="IP354" s="1087"/>
      <c r="IQ354" s="1087"/>
      <c r="IR354" s="1087"/>
      <c r="IS354" s="1087"/>
      <c r="IT354" s="1087"/>
      <c r="IU354" s="1087"/>
      <c r="IV354" s="1087"/>
      <c r="IW354" s="1087"/>
      <c r="IX354" s="1087"/>
      <c r="IY354" s="1087"/>
      <c r="IZ354" s="1087"/>
      <c r="JA354" s="1087"/>
      <c r="JB354" s="1087"/>
      <c r="JC354" s="1087"/>
      <c r="JD354" s="1087"/>
      <c r="JE354" s="1087"/>
      <c r="JF354" s="1087"/>
      <c r="JG354" s="1087"/>
      <c r="JH354" s="1087"/>
      <c r="JI354" s="1087"/>
      <c r="JJ354" s="1087"/>
      <c r="JK354" s="1087"/>
      <c r="JL354" s="1087"/>
      <c r="JM354" s="1087"/>
      <c r="JN354" s="1087"/>
      <c r="JO354" s="1087"/>
      <c r="JP354" s="1087"/>
      <c r="JQ354" s="1087"/>
      <c r="JR354" s="1087"/>
      <c r="JS354" s="1087"/>
      <c r="JT354" s="1087"/>
      <c r="JU354" s="1087"/>
      <c r="JV354" s="1087"/>
      <c r="JW354" s="1087"/>
      <c r="JX354" s="1087"/>
      <c r="JY354" s="1087"/>
      <c r="JZ354" s="1087"/>
      <c r="KA354" s="1087"/>
      <c r="KB354" s="1092"/>
    </row>
    <row r="355" spans="2:288" ht="15" customHeight="1" x14ac:dyDescent="0.35">
      <c r="B355" s="146" t="str">
        <f t="shared" si="29"/>
        <v>Desk 36</v>
      </c>
      <c r="C355" s="148" t="str">
        <v/>
      </c>
      <c r="D355" s="148" t="str">
        <v/>
      </c>
      <c r="E355" s="148" t="str">
        <v/>
      </c>
      <c r="F355" s="148" t="str">
        <v/>
      </c>
      <c r="G355" s="268" t="str">
        <v/>
      </c>
      <c r="H355" s="1087"/>
      <c r="I355" s="1087"/>
      <c r="J355" s="1087"/>
      <c r="K355" s="1087"/>
      <c r="L355" s="1087"/>
      <c r="M355" s="1087"/>
      <c r="N355" s="1087"/>
      <c r="O355" s="1087"/>
      <c r="P355" s="1087"/>
      <c r="Q355" s="1087"/>
      <c r="R355" s="1087"/>
      <c r="S355" s="1087"/>
      <c r="T355" s="1087"/>
      <c r="U355" s="1087"/>
      <c r="V355" s="1087"/>
      <c r="W355" s="1087"/>
      <c r="X355" s="1087"/>
      <c r="Y355" s="1087"/>
      <c r="Z355" s="1087"/>
      <c r="AA355" s="1087"/>
      <c r="AB355" s="1087"/>
      <c r="AC355" s="1087"/>
      <c r="AD355" s="1087"/>
      <c r="AE355" s="1087"/>
      <c r="AF355" s="1087"/>
      <c r="AG355" s="1087"/>
      <c r="AH355" s="1087"/>
      <c r="AI355" s="1087"/>
      <c r="AJ355" s="1087"/>
      <c r="AK355" s="1087"/>
      <c r="AL355" s="1087"/>
      <c r="AM355" s="1087"/>
      <c r="AN355" s="1087"/>
      <c r="AO355" s="1087"/>
      <c r="AP355" s="1087"/>
      <c r="AQ355" s="1087"/>
      <c r="AR355" s="1087"/>
      <c r="AS355" s="1087"/>
      <c r="AT355" s="1087"/>
      <c r="AU355" s="1087"/>
      <c r="AV355" s="1087"/>
      <c r="AW355" s="1087"/>
      <c r="AX355" s="1087"/>
      <c r="AY355" s="1087"/>
      <c r="AZ355" s="1087"/>
      <c r="BA355" s="1087"/>
      <c r="BB355" s="1087"/>
      <c r="BC355" s="1087"/>
      <c r="BD355" s="1087"/>
      <c r="BE355" s="1087"/>
      <c r="BF355" s="1087"/>
      <c r="BG355" s="1087"/>
      <c r="BH355" s="1087"/>
      <c r="BI355" s="1087"/>
      <c r="BJ355" s="1087"/>
      <c r="BK355" s="1087"/>
      <c r="BL355" s="1087"/>
      <c r="BM355" s="1087"/>
      <c r="BN355" s="1087"/>
      <c r="BO355" s="1087"/>
      <c r="BP355" s="1087"/>
      <c r="BQ355" s="1087"/>
      <c r="BR355" s="1087"/>
      <c r="BS355" s="1087"/>
      <c r="BT355" s="1087"/>
      <c r="BU355" s="1087"/>
      <c r="BV355" s="1087"/>
      <c r="BW355" s="1087"/>
      <c r="BX355" s="1087"/>
      <c r="BY355" s="1087"/>
      <c r="BZ355" s="1087"/>
      <c r="CA355" s="1087"/>
      <c r="CB355" s="1087"/>
      <c r="CC355" s="1087"/>
      <c r="CD355" s="1087"/>
      <c r="CE355" s="1087"/>
      <c r="CF355" s="1087"/>
      <c r="CG355" s="1087"/>
      <c r="CH355" s="1087"/>
      <c r="CI355" s="1087"/>
      <c r="CJ355" s="1087"/>
      <c r="CK355" s="1087"/>
      <c r="CL355" s="1087"/>
      <c r="CM355" s="1087"/>
      <c r="CN355" s="1087"/>
      <c r="CO355" s="1087"/>
      <c r="CP355" s="1087"/>
      <c r="CQ355" s="1087"/>
      <c r="CR355" s="1087"/>
      <c r="CS355" s="1087"/>
      <c r="CT355" s="1087"/>
      <c r="CU355" s="1087"/>
      <c r="CV355" s="1087"/>
      <c r="CW355" s="1087"/>
      <c r="CX355" s="1087"/>
      <c r="CY355" s="1087"/>
      <c r="CZ355" s="1087"/>
      <c r="DA355" s="1087"/>
      <c r="DB355" s="1087"/>
      <c r="DC355" s="1087"/>
      <c r="DD355" s="1087"/>
      <c r="DE355" s="1087"/>
      <c r="DF355" s="1087"/>
      <c r="DG355" s="1087"/>
      <c r="DH355" s="1087"/>
      <c r="DI355" s="1087"/>
      <c r="DJ355" s="1087"/>
      <c r="DK355" s="1087"/>
      <c r="DL355" s="1087"/>
      <c r="DM355" s="1087"/>
      <c r="DN355" s="1087"/>
      <c r="DO355" s="1087"/>
      <c r="DP355" s="1087"/>
      <c r="DQ355" s="1087"/>
      <c r="DR355" s="1087"/>
      <c r="DS355" s="1087"/>
      <c r="DT355" s="1087"/>
      <c r="DU355" s="1087"/>
      <c r="DV355" s="1087"/>
      <c r="DW355" s="1087"/>
      <c r="DX355" s="1087"/>
      <c r="DY355" s="1087"/>
      <c r="DZ355" s="1087"/>
      <c r="EA355" s="1087"/>
      <c r="EB355" s="1087"/>
      <c r="EC355" s="1087"/>
      <c r="ED355" s="1087"/>
      <c r="EE355" s="1087"/>
      <c r="EF355" s="1087"/>
      <c r="EG355" s="1087"/>
      <c r="EH355" s="1087"/>
      <c r="EI355" s="1087"/>
      <c r="EJ355" s="1087"/>
      <c r="EK355" s="1087"/>
      <c r="EL355" s="1087"/>
      <c r="EM355" s="1087"/>
      <c r="EN355" s="1087"/>
      <c r="EO355" s="1087"/>
      <c r="EP355" s="1087"/>
      <c r="EQ355" s="1087"/>
      <c r="ER355" s="1087"/>
      <c r="ES355" s="1087"/>
      <c r="ET355" s="1087"/>
      <c r="EU355" s="1087"/>
      <c r="EV355" s="1087"/>
      <c r="EW355" s="1087"/>
      <c r="EX355" s="1087"/>
      <c r="EY355" s="1087"/>
      <c r="EZ355" s="1087"/>
      <c r="FA355" s="1087"/>
      <c r="FB355" s="1087"/>
      <c r="FC355" s="1087"/>
      <c r="FD355" s="1087"/>
      <c r="FE355" s="1087"/>
      <c r="FF355" s="1087"/>
      <c r="FG355" s="1087"/>
      <c r="FH355" s="1087"/>
      <c r="FI355" s="1087"/>
      <c r="FJ355" s="1087"/>
      <c r="FK355" s="1087"/>
      <c r="FL355" s="1087"/>
      <c r="FM355" s="1087"/>
      <c r="FN355" s="1087"/>
      <c r="FO355" s="1087"/>
      <c r="FP355" s="1087"/>
      <c r="FQ355" s="1087"/>
      <c r="FR355" s="1087"/>
      <c r="FS355" s="1087"/>
      <c r="FT355" s="1087"/>
      <c r="FU355" s="1087"/>
      <c r="FV355" s="1087"/>
      <c r="FW355" s="1087"/>
      <c r="FX355" s="1087"/>
      <c r="FY355" s="1087"/>
      <c r="FZ355" s="1087"/>
      <c r="GA355" s="1087"/>
      <c r="GB355" s="1087"/>
      <c r="GC355" s="1087"/>
      <c r="GD355" s="1087"/>
      <c r="GE355" s="1087"/>
      <c r="GF355" s="1087"/>
      <c r="GG355" s="1087"/>
      <c r="GH355" s="1087"/>
      <c r="GI355" s="1087"/>
      <c r="GJ355" s="1087"/>
      <c r="GK355" s="1087"/>
      <c r="GL355" s="1087"/>
      <c r="GM355" s="1087"/>
      <c r="GN355" s="1087"/>
      <c r="GO355" s="1087"/>
      <c r="GP355" s="1087"/>
      <c r="GQ355" s="1087"/>
      <c r="GR355" s="1087"/>
      <c r="GS355" s="1087"/>
      <c r="GT355" s="1087"/>
      <c r="GU355" s="1087"/>
      <c r="GV355" s="1087"/>
      <c r="GW355" s="1087"/>
      <c r="GX355" s="1087"/>
      <c r="GY355" s="1087"/>
      <c r="GZ355" s="1087"/>
      <c r="HA355" s="1087"/>
      <c r="HB355" s="1087"/>
      <c r="HC355" s="1087"/>
      <c r="HD355" s="1087"/>
      <c r="HE355" s="1087"/>
      <c r="HF355" s="1087"/>
      <c r="HG355" s="1087"/>
      <c r="HH355" s="1087"/>
      <c r="HI355" s="1087"/>
      <c r="HJ355" s="1087"/>
      <c r="HK355" s="1087"/>
      <c r="HL355" s="1087"/>
      <c r="HM355" s="1087"/>
      <c r="HN355" s="1087"/>
      <c r="HO355" s="1087"/>
      <c r="HP355" s="1087"/>
      <c r="HQ355" s="1087"/>
      <c r="HR355" s="1087"/>
      <c r="HS355" s="1087"/>
      <c r="HT355" s="1087"/>
      <c r="HU355" s="1087"/>
      <c r="HV355" s="1087"/>
      <c r="HW355" s="1087"/>
      <c r="HX355" s="1087"/>
      <c r="HY355" s="1087"/>
      <c r="HZ355" s="1087"/>
      <c r="IA355" s="1087"/>
      <c r="IB355" s="1087"/>
      <c r="IC355" s="1087"/>
      <c r="ID355" s="1087"/>
      <c r="IE355" s="1087"/>
      <c r="IF355" s="1087"/>
      <c r="IG355" s="1087"/>
      <c r="IH355" s="1087"/>
      <c r="II355" s="1087"/>
      <c r="IJ355" s="1087"/>
      <c r="IK355" s="1087"/>
      <c r="IL355" s="1087"/>
      <c r="IM355" s="1087"/>
      <c r="IN355" s="1087"/>
      <c r="IO355" s="1087"/>
      <c r="IP355" s="1087"/>
      <c r="IQ355" s="1087"/>
      <c r="IR355" s="1087"/>
      <c r="IS355" s="1087"/>
      <c r="IT355" s="1087"/>
      <c r="IU355" s="1087"/>
      <c r="IV355" s="1087"/>
      <c r="IW355" s="1087"/>
      <c r="IX355" s="1087"/>
      <c r="IY355" s="1087"/>
      <c r="IZ355" s="1087"/>
      <c r="JA355" s="1087"/>
      <c r="JB355" s="1087"/>
      <c r="JC355" s="1087"/>
      <c r="JD355" s="1087"/>
      <c r="JE355" s="1087"/>
      <c r="JF355" s="1087"/>
      <c r="JG355" s="1087"/>
      <c r="JH355" s="1087"/>
      <c r="JI355" s="1087"/>
      <c r="JJ355" s="1087"/>
      <c r="JK355" s="1087"/>
      <c r="JL355" s="1087"/>
      <c r="JM355" s="1087"/>
      <c r="JN355" s="1087"/>
      <c r="JO355" s="1087"/>
      <c r="JP355" s="1087"/>
      <c r="JQ355" s="1087"/>
      <c r="JR355" s="1087"/>
      <c r="JS355" s="1087"/>
      <c r="JT355" s="1087"/>
      <c r="JU355" s="1087"/>
      <c r="JV355" s="1087"/>
      <c r="JW355" s="1087"/>
      <c r="JX355" s="1087"/>
      <c r="JY355" s="1087"/>
      <c r="JZ355" s="1087"/>
      <c r="KA355" s="1087"/>
      <c r="KB355" s="1092"/>
    </row>
    <row r="356" spans="2:288" ht="15" customHeight="1" x14ac:dyDescent="0.35">
      <c r="B356" s="146" t="str">
        <f t="shared" si="29"/>
        <v>Desk 37</v>
      </c>
      <c r="C356" s="148" t="str">
        <v/>
      </c>
      <c r="D356" s="148" t="str">
        <v/>
      </c>
      <c r="E356" s="148" t="str">
        <v/>
      </c>
      <c r="F356" s="148" t="str">
        <v/>
      </c>
      <c r="G356" s="268" t="str">
        <v/>
      </c>
      <c r="H356" s="1087"/>
      <c r="I356" s="1087"/>
      <c r="J356" s="1087"/>
      <c r="K356" s="1087"/>
      <c r="L356" s="1087"/>
      <c r="M356" s="1087"/>
      <c r="N356" s="1087"/>
      <c r="O356" s="1087"/>
      <c r="P356" s="1087"/>
      <c r="Q356" s="1087"/>
      <c r="R356" s="1087"/>
      <c r="S356" s="1087"/>
      <c r="T356" s="1087"/>
      <c r="U356" s="1087"/>
      <c r="V356" s="1087"/>
      <c r="W356" s="1087"/>
      <c r="X356" s="1087"/>
      <c r="Y356" s="1087"/>
      <c r="Z356" s="1087"/>
      <c r="AA356" s="1087"/>
      <c r="AB356" s="1087"/>
      <c r="AC356" s="1087"/>
      <c r="AD356" s="1087"/>
      <c r="AE356" s="1087"/>
      <c r="AF356" s="1087"/>
      <c r="AG356" s="1087"/>
      <c r="AH356" s="1087"/>
      <c r="AI356" s="1087"/>
      <c r="AJ356" s="1087"/>
      <c r="AK356" s="1087"/>
      <c r="AL356" s="1087"/>
      <c r="AM356" s="1087"/>
      <c r="AN356" s="1087"/>
      <c r="AO356" s="1087"/>
      <c r="AP356" s="1087"/>
      <c r="AQ356" s="1087"/>
      <c r="AR356" s="1087"/>
      <c r="AS356" s="1087"/>
      <c r="AT356" s="1087"/>
      <c r="AU356" s="1087"/>
      <c r="AV356" s="1087"/>
      <c r="AW356" s="1087"/>
      <c r="AX356" s="1087"/>
      <c r="AY356" s="1087"/>
      <c r="AZ356" s="1087"/>
      <c r="BA356" s="1087"/>
      <c r="BB356" s="1087"/>
      <c r="BC356" s="1087"/>
      <c r="BD356" s="1087"/>
      <c r="BE356" s="1087"/>
      <c r="BF356" s="1087"/>
      <c r="BG356" s="1087"/>
      <c r="BH356" s="1087"/>
      <c r="BI356" s="1087"/>
      <c r="BJ356" s="1087"/>
      <c r="BK356" s="1087"/>
      <c r="BL356" s="1087"/>
      <c r="BM356" s="1087"/>
      <c r="BN356" s="1087"/>
      <c r="BO356" s="1087"/>
      <c r="BP356" s="1087"/>
      <c r="BQ356" s="1087"/>
      <c r="BR356" s="1087"/>
      <c r="BS356" s="1087"/>
      <c r="BT356" s="1087"/>
      <c r="BU356" s="1087"/>
      <c r="BV356" s="1087"/>
      <c r="BW356" s="1087"/>
      <c r="BX356" s="1087"/>
      <c r="BY356" s="1087"/>
      <c r="BZ356" s="1087"/>
      <c r="CA356" s="1087"/>
      <c r="CB356" s="1087"/>
      <c r="CC356" s="1087"/>
      <c r="CD356" s="1087"/>
      <c r="CE356" s="1087"/>
      <c r="CF356" s="1087"/>
      <c r="CG356" s="1087"/>
      <c r="CH356" s="1087"/>
      <c r="CI356" s="1087"/>
      <c r="CJ356" s="1087"/>
      <c r="CK356" s="1087"/>
      <c r="CL356" s="1087"/>
      <c r="CM356" s="1087"/>
      <c r="CN356" s="1087"/>
      <c r="CO356" s="1087"/>
      <c r="CP356" s="1087"/>
      <c r="CQ356" s="1087"/>
      <c r="CR356" s="1087"/>
      <c r="CS356" s="1087"/>
      <c r="CT356" s="1087"/>
      <c r="CU356" s="1087"/>
      <c r="CV356" s="1087"/>
      <c r="CW356" s="1087"/>
      <c r="CX356" s="1087"/>
      <c r="CY356" s="1087"/>
      <c r="CZ356" s="1087"/>
      <c r="DA356" s="1087"/>
      <c r="DB356" s="1087"/>
      <c r="DC356" s="1087"/>
      <c r="DD356" s="1087"/>
      <c r="DE356" s="1087"/>
      <c r="DF356" s="1087"/>
      <c r="DG356" s="1087"/>
      <c r="DH356" s="1087"/>
      <c r="DI356" s="1087"/>
      <c r="DJ356" s="1087"/>
      <c r="DK356" s="1087"/>
      <c r="DL356" s="1087"/>
      <c r="DM356" s="1087"/>
      <c r="DN356" s="1087"/>
      <c r="DO356" s="1087"/>
      <c r="DP356" s="1087"/>
      <c r="DQ356" s="1087"/>
      <c r="DR356" s="1087"/>
      <c r="DS356" s="1087"/>
      <c r="DT356" s="1087"/>
      <c r="DU356" s="1087"/>
      <c r="DV356" s="1087"/>
      <c r="DW356" s="1087"/>
      <c r="DX356" s="1087"/>
      <c r="DY356" s="1087"/>
      <c r="DZ356" s="1087"/>
      <c r="EA356" s="1087"/>
      <c r="EB356" s="1087"/>
      <c r="EC356" s="1087"/>
      <c r="ED356" s="1087"/>
      <c r="EE356" s="1087"/>
      <c r="EF356" s="1087"/>
      <c r="EG356" s="1087"/>
      <c r="EH356" s="1087"/>
      <c r="EI356" s="1087"/>
      <c r="EJ356" s="1087"/>
      <c r="EK356" s="1087"/>
      <c r="EL356" s="1087"/>
      <c r="EM356" s="1087"/>
      <c r="EN356" s="1087"/>
      <c r="EO356" s="1087"/>
      <c r="EP356" s="1087"/>
      <c r="EQ356" s="1087"/>
      <c r="ER356" s="1087"/>
      <c r="ES356" s="1087"/>
      <c r="ET356" s="1087"/>
      <c r="EU356" s="1087"/>
      <c r="EV356" s="1087"/>
      <c r="EW356" s="1087"/>
      <c r="EX356" s="1087"/>
      <c r="EY356" s="1087"/>
      <c r="EZ356" s="1087"/>
      <c r="FA356" s="1087"/>
      <c r="FB356" s="1087"/>
      <c r="FC356" s="1087"/>
      <c r="FD356" s="1087"/>
      <c r="FE356" s="1087"/>
      <c r="FF356" s="1087"/>
      <c r="FG356" s="1087"/>
      <c r="FH356" s="1087"/>
      <c r="FI356" s="1087"/>
      <c r="FJ356" s="1087"/>
      <c r="FK356" s="1087"/>
      <c r="FL356" s="1087"/>
      <c r="FM356" s="1087"/>
      <c r="FN356" s="1087"/>
      <c r="FO356" s="1087"/>
      <c r="FP356" s="1087"/>
      <c r="FQ356" s="1087"/>
      <c r="FR356" s="1087"/>
      <c r="FS356" s="1087"/>
      <c r="FT356" s="1087"/>
      <c r="FU356" s="1087"/>
      <c r="FV356" s="1087"/>
      <c r="FW356" s="1087"/>
      <c r="FX356" s="1087"/>
      <c r="FY356" s="1087"/>
      <c r="FZ356" s="1087"/>
      <c r="GA356" s="1087"/>
      <c r="GB356" s="1087"/>
      <c r="GC356" s="1087"/>
      <c r="GD356" s="1087"/>
      <c r="GE356" s="1087"/>
      <c r="GF356" s="1087"/>
      <c r="GG356" s="1087"/>
      <c r="GH356" s="1087"/>
      <c r="GI356" s="1087"/>
      <c r="GJ356" s="1087"/>
      <c r="GK356" s="1087"/>
      <c r="GL356" s="1087"/>
      <c r="GM356" s="1087"/>
      <c r="GN356" s="1087"/>
      <c r="GO356" s="1087"/>
      <c r="GP356" s="1087"/>
      <c r="GQ356" s="1087"/>
      <c r="GR356" s="1087"/>
      <c r="GS356" s="1087"/>
      <c r="GT356" s="1087"/>
      <c r="GU356" s="1087"/>
      <c r="GV356" s="1087"/>
      <c r="GW356" s="1087"/>
      <c r="GX356" s="1087"/>
      <c r="GY356" s="1087"/>
      <c r="GZ356" s="1087"/>
      <c r="HA356" s="1087"/>
      <c r="HB356" s="1087"/>
      <c r="HC356" s="1087"/>
      <c r="HD356" s="1087"/>
      <c r="HE356" s="1087"/>
      <c r="HF356" s="1087"/>
      <c r="HG356" s="1087"/>
      <c r="HH356" s="1087"/>
      <c r="HI356" s="1087"/>
      <c r="HJ356" s="1087"/>
      <c r="HK356" s="1087"/>
      <c r="HL356" s="1087"/>
      <c r="HM356" s="1087"/>
      <c r="HN356" s="1087"/>
      <c r="HO356" s="1087"/>
      <c r="HP356" s="1087"/>
      <c r="HQ356" s="1087"/>
      <c r="HR356" s="1087"/>
      <c r="HS356" s="1087"/>
      <c r="HT356" s="1087"/>
      <c r="HU356" s="1087"/>
      <c r="HV356" s="1087"/>
      <c r="HW356" s="1087"/>
      <c r="HX356" s="1087"/>
      <c r="HY356" s="1087"/>
      <c r="HZ356" s="1087"/>
      <c r="IA356" s="1087"/>
      <c r="IB356" s="1087"/>
      <c r="IC356" s="1087"/>
      <c r="ID356" s="1087"/>
      <c r="IE356" s="1087"/>
      <c r="IF356" s="1087"/>
      <c r="IG356" s="1087"/>
      <c r="IH356" s="1087"/>
      <c r="II356" s="1087"/>
      <c r="IJ356" s="1087"/>
      <c r="IK356" s="1087"/>
      <c r="IL356" s="1087"/>
      <c r="IM356" s="1087"/>
      <c r="IN356" s="1087"/>
      <c r="IO356" s="1087"/>
      <c r="IP356" s="1087"/>
      <c r="IQ356" s="1087"/>
      <c r="IR356" s="1087"/>
      <c r="IS356" s="1087"/>
      <c r="IT356" s="1087"/>
      <c r="IU356" s="1087"/>
      <c r="IV356" s="1087"/>
      <c r="IW356" s="1087"/>
      <c r="IX356" s="1087"/>
      <c r="IY356" s="1087"/>
      <c r="IZ356" s="1087"/>
      <c r="JA356" s="1087"/>
      <c r="JB356" s="1087"/>
      <c r="JC356" s="1087"/>
      <c r="JD356" s="1087"/>
      <c r="JE356" s="1087"/>
      <c r="JF356" s="1087"/>
      <c r="JG356" s="1087"/>
      <c r="JH356" s="1087"/>
      <c r="JI356" s="1087"/>
      <c r="JJ356" s="1087"/>
      <c r="JK356" s="1087"/>
      <c r="JL356" s="1087"/>
      <c r="JM356" s="1087"/>
      <c r="JN356" s="1087"/>
      <c r="JO356" s="1087"/>
      <c r="JP356" s="1087"/>
      <c r="JQ356" s="1087"/>
      <c r="JR356" s="1087"/>
      <c r="JS356" s="1087"/>
      <c r="JT356" s="1087"/>
      <c r="JU356" s="1087"/>
      <c r="JV356" s="1087"/>
      <c r="JW356" s="1087"/>
      <c r="JX356" s="1087"/>
      <c r="JY356" s="1087"/>
      <c r="JZ356" s="1087"/>
      <c r="KA356" s="1087"/>
      <c r="KB356" s="1092"/>
    </row>
    <row r="357" spans="2:288" ht="15" customHeight="1" x14ac:dyDescent="0.35">
      <c r="B357" s="146" t="str">
        <f t="shared" si="29"/>
        <v>Desk 38</v>
      </c>
      <c r="C357" s="148" t="str">
        <v/>
      </c>
      <c r="D357" s="148" t="str">
        <v/>
      </c>
      <c r="E357" s="148" t="str">
        <v/>
      </c>
      <c r="F357" s="148" t="str">
        <v/>
      </c>
      <c r="G357" s="268" t="str">
        <v/>
      </c>
      <c r="H357" s="1087"/>
      <c r="I357" s="1087"/>
      <c r="J357" s="1087"/>
      <c r="K357" s="1087"/>
      <c r="L357" s="1087"/>
      <c r="M357" s="1087"/>
      <c r="N357" s="1087"/>
      <c r="O357" s="1087"/>
      <c r="P357" s="1087"/>
      <c r="Q357" s="1087"/>
      <c r="R357" s="1087"/>
      <c r="S357" s="1087"/>
      <c r="T357" s="1087"/>
      <c r="U357" s="1087"/>
      <c r="V357" s="1087"/>
      <c r="W357" s="1087"/>
      <c r="X357" s="1087"/>
      <c r="Y357" s="1087"/>
      <c r="Z357" s="1087"/>
      <c r="AA357" s="1087"/>
      <c r="AB357" s="1087"/>
      <c r="AC357" s="1087"/>
      <c r="AD357" s="1087"/>
      <c r="AE357" s="1087"/>
      <c r="AF357" s="1087"/>
      <c r="AG357" s="1087"/>
      <c r="AH357" s="1087"/>
      <c r="AI357" s="1087"/>
      <c r="AJ357" s="1087"/>
      <c r="AK357" s="1087"/>
      <c r="AL357" s="1087"/>
      <c r="AM357" s="1087"/>
      <c r="AN357" s="1087"/>
      <c r="AO357" s="1087"/>
      <c r="AP357" s="1087"/>
      <c r="AQ357" s="1087"/>
      <c r="AR357" s="1087"/>
      <c r="AS357" s="1087"/>
      <c r="AT357" s="1087"/>
      <c r="AU357" s="1087"/>
      <c r="AV357" s="1087"/>
      <c r="AW357" s="1087"/>
      <c r="AX357" s="1087"/>
      <c r="AY357" s="1087"/>
      <c r="AZ357" s="1087"/>
      <c r="BA357" s="1087"/>
      <c r="BB357" s="1087"/>
      <c r="BC357" s="1087"/>
      <c r="BD357" s="1087"/>
      <c r="BE357" s="1087"/>
      <c r="BF357" s="1087"/>
      <c r="BG357" s="1087"/>
      <c r="BH357" s="1087"/>
      <c r="BI357" s="1087"/>
      <c r="BJ357" s="1087"/>
      <c r="BK357" s="1087"/>
      <c r="BL357" s="1087"/>
      <c r="BM357" s="1087"/>
      <c r="BN357" s="1087"/>
      <c r="BO357" s="1087"/>
      <c r="BP357" s="1087"/>
      <c r="BQ357" s="1087"/>
      <c r="BR357" s="1087"/>
      <c r="BS357" s="1087"/>
      <c r="BT357" s="1087"/>
      <c r="BU357" s="1087"/>
      <c r="BV357" s="1087"/>
      <c r="BW357" s="1087"/>
      <c r="BX357" s="1087"/>
      <c r="BY357" s="1087"/>
      <c r="BZ357" s="1087"/>
      <c r="CA357" s="1087"/>
      <c r="CB357" s="1087"/>
      <c r="CC357" s="1087"/>
      <c r="CD357" s="1087"/>
      <c r="CE357" s="1087"/>
      <c r="CF357" s="1087"/>
      <c r="CG357" s="1087"/>
      <c r="CH357" s="1087"/>
      <c r="CI357" s="1087"/>
      <c r="CJ357" s="1087"/>
      <c r="CK357" s="1087"/>
      <c r="CL357" s="1087"/>
      <c r="CM357" s="1087"/>
      <c r="CN357" s="1087"/>
      <c r="CO357" s="1087"/>
      <c r="CP357" s="1087"/>
      <c r="CQ357" s="1087"/>
      <c r="CR357" s="1087"/>
      <c r="CS357" s="1087"/>
      <c r="CT357" s="1087"/>
      <c r="CU357" s="1087"/>
      <c r="CV357" s="1087"/>
      <c r="CW357" s="1087"/>
      <c r="CX357" s="1087"/>
      <c r="CY357" s="1087"/>
      <c r="CZ357" s="1087"/>
      <c r="DA357" s="1087"/>
      <c r="DB357" s="1087"/>
      <c r="DC357" s="1087"/>
      <c r="DD357" s="1087"/>
      <c r="DE357" s="1087"/>
      <c r="DF357" s="1087"/>
      <c r="DG357" s="1087"/>
      <c r="DH357" s="1087"/>
      <c r="DI357" s="1087"/>
      <c r="DJ357" s="1087"/>
      <c r="DK357" s="1087"/>
      <c r="DL357" s="1087"/>
      <c r="DM357" s="1087"/>
      <c r="DN357" s="1087"/>
      <c r="DO357" s="1087"/>
      <c r="DP357" s="1087"/>
      <c r="DQ357" s="1087"/>
      <c r="DR357" s="1087"/>
      <c r="DS357" s="1087"/>
      <c r="DT357" s="1087"/>
      <c r="DU357" s="1087"/>
      <c r="DV357" s="1087"/>
      <c r="DW357" s="1087"/>
      <c r="DX357" s="1087"/>
      <c r="DY357" s="1087"/>
      <c r="DZ357" s="1087"/>
      <c r="EA357" s="1087"/>
      <c r="EB357" s="1087"/>
      <c r="EC357" s="1087"/>
      <c r="ED357" s="1087"/>
      <c r="EE357" s="1087"/>
      <c r="EF357" s="1087"/>
      <c r="EG357" s="1087"/>
      <c r="EH357" s="1087"/>
      <c r="EI357" s="1087"/>
      <c r="EJ357" s="1087"/>
      <c r="EK357" s="1087"/>
      <c r="EL357" s="1087"/>
      <c r="EM357" s="1087"/>
      <c r="EN357" s="1087"/>
      <c r="EO357" s="1087"/>
      <c r="EP357" s="1087"/>
      <c r="EQ357" s="1087"/>
      <c r="ER357" s="1087"/>
      <c r="ES357" s="1087"/>
      <c r="ET357" s="1087"/>
      <c r="EU357" s="1087"/>
      <c r="EV357" s="1087"/>
      <c r="EW357" s="1087"/>
      <c r="EX357" s="1087"/>
      <c r="EY357" s="1087"/>
      <c r="EZ357" s="1087"/>
      <c r="FA357" s="1087"/>
      <c r="FB357" s="1087"/>
      <c r="FC357" s="1087"/>
      <c r="FD357" s="1087"/>
      <c r="FE357" s="1087"/>
      <c r="FF357" s="1087"/>
      <c r="FG357" s="1087"/>
      <c r="FH357" s="1087"/>
      <c r="FI357" s="1087"/>
      <c r="FJ357" s="1087"/>
      <c r="FK357" s="1087"/>
      <c r="FL357" s="1087"/>
      <c r="FM357" s="1087"/>
      <c r="FN357" s="1087"/>
      <c r="FO357" s="1087"/>
      <c r="FP357" s="1087"/>
      <c r="FQ357" s="1087"/>
      <c r="FR357" s="1087"/>
      <c r="FS357" s="1087"/>
      <c r="FT357" s="1087"/>
      <c r="FU357" s="1087"/>
      <c r="FV357" s="1087"/>
      <c r="FW357" s="1087"/>
      <c r="FX357" s="1087"/>
      <c r="FY357" s="1087"/>
      <c r="FZ357" s="1087"/>
      <c r="GA357" s="1087"/>
      <c r="GB357" s="1087"/>
      <c r="GC357" s="1087"/>
      <c r="GD357" s="1087"/>
      <c r="GE357" s="1087"/>
      <c r="GF357" s="1087"/>
      <c r="GG357" s="1087"/>
      <c r="GH357" s="1087"/>
      <c r="GI357" s="1087"/>
      <c r="GJ357" s="1087"/>
      <c r="GK357" s="1087"/>
      <c r="GL357" s="1087"/>
      <c r="GM357" s="1087"/>
      <c r="GN357" s="1087"/>
      <c r="GO357" s="1087"/>
      <c r="GP357" s="1087"/>
      <c r="GQ357" s="1087"/>
      <c r="GR357" s="1087"/>
      <c r="GS357" s="1087"/>
      <c r="GT357" s="1087"/>
      <c r="GU357" s="1087"/>
      <c r="GV357" s="1087"/>
      <c r="GW357" s="1087"/>
      <c r="GX357" s="1087"/>
      <c r="GY357" s="1087"/>
      <c r="GZ357" s="1087"/>
      <c r="HA357" s="1087"/>
      <c r="HB357" s="1087"/>
      <c r="HC357" s="1087"/>
      <c r="HD357" s="1087"/>
      <c r="HE357" s="1087"/>
      <c r="HF357" s="1087"/>
      <c r="HG357" s="1087"/>
      <c r="HH357" s="1087"/>
      <c r="HI357" s="1087"/>
      <c r="HJ357" s="1087"/>
      <c r="HK357" s="1087"/>
      <c r="HL357" s="1087"/>
      <c r="HM357" s="1087"/>
      <c r="HN357" s="1087"/>
      <c r="HO357" s="1087"/>
      <c r="HP357" s="1087"/>
      <c r="HQ357" s="1087"/>
      <c r="HR357" s="1087"/>
      <c r="HS357" s="1087"/>
      <c r="HT357" s="1087"/>
      <c r="HU357" s="1087"/>
      <c r="HV357" s="1087"/>
      <c r="HW357" s="1087"/>
      <c r="HX357" s="1087"/>
      <c r="HY357" s="1087"/>
      <c r="HZ357" s="1087"/>
      <c r="IA357" s="1087"/>
      <c r="IB357" s="1087"/>
      <c r="IC357" s="1087"/>
      <c r="ID357" s="1087"/>
      <c r="IE357" s="1087"/>
      <c r="IF357" s="1087"/>
      <c r="IG357" s="1087"/>
      <c r="IH357" s="1087"/>
      <c r="II357" s="1087"/>
      <c r="IJ357" s="1087"/>
      <c r="IK357" s="1087"/>
      <c r="IL357" s="1087"/>
      <c r="IM357" s="1087"/>
      <c r="IN357" s="1087"/>
      <c r="IO357" s="1087"/>
      <c r="IP357" s="1087"/>
      <c r="IQ357" s="1087"/>
      <c r="IR357" s="1087"/>
      <c r="IS357" s="1087"/>
      <c r="IT357" s="1087"/>
      <c r="IU357" s="1087"/>
      <c r="IV357" s="1087"/>
      <c r="IW357" s="1087"/>
      <c r="IX357" s="1087"/>
      <c r="IY357" s="1087"/>
      <c r="IZ357" s="1087"/>
      <c r="JA357" s="1087"/>
      <c r="JB357" s="1087"/>
      <c r="JC357" s="1087"/>
      <c r="JD357" s="1087"/>
      <c r="JE357" s="1087"/>
      <c r="JF357" s="1087"/>
      <c r="JG357" s="1087"/>
      <c r="JH357" s="1087"/>
      <c r="JI357" s="1087"/>
      <c r="JJ357" s="1087"/>
      <c r="JK357" s="1087"/>
      <c r="JL357" s="1087"/>
      <c r="JM357" s="1087"/>
      <c r="JN357" s="1087"/>
      <c r="JO357" s="1087"/>
      <c r="JP357" s="1087"/>
      <c r="JQ357" s="1087"/>
      <c r="JR357" s="1087"/>
      <c r="JS357" s="1087"/>
      <c r="JT357" s="1087"/>
      <c r="JU357" s="1087"/>
      <c r="JV357" s="1087"/>
      <c r="JW357" s="1087"/>
      <c r="JX357" s="1087"/>
      <c r="JY357" s="1087"/>
      <c r="JZ357" s="1087"/>
      <c r="KA357" s="1087"/>
      <c r="KB357" s="1092"/>
    </row>
    <row r="358" spans="2:288" ht="15" customHeight="1" x14ac:dyDescent="0.35">
      <c r="B358" s="146" t="str">
        <f t="shared" si="29"/>
        <v>Desk 39</v>
      </c>
      <c r="C358" s="148" t="str">
        <v/>
      </c>
      <c r="D358" s="148" t="str">
        <v/>
      </c>
      <c r="E358" s="148" t="str">
        <v/>
      </c>
      <c r="F358" s="148" t="str">
        <v/>
      </c>
      <c r="G358" s="268" t="str">
        <v/>
      </c>
      <c r="H358" s="1087"/>
      <c r="I358" s="1087"/>
      <c r="J358" s="1087"/>
      <c r="K358" s="1087"/>
      <c r="L358" s="1087"/>
      <c r="M358" s="1087"/>
      <c r="N358" s="1087"/>
      <c r="O358" s="1087"/>
      <c r="P358" s="1087"/>
      <c r="Q358" s="1087"/>
      <c r="R358" s="1087"/>
      <c r="S358" s="1087"/>
      <c r="T358" s="1087"/>
      <c r="U358" s="1087"/>
      <c r="V358" s="1087"/>
      <c r="W358" s="1087"/>
      <c r="X358" s="1087"/>
      <c r="Y358" s="1087"/>
      <c r="Z358" s="1087"/>
      <c r="AA358" s="1087"/>
      <c r="AB358" s="1087"/>
      <c r="AC358" s="1087"/>
      <c r="AD358" s="1087"/>
      <c r="AE358" s="1087"/>
      <c r="AF358" s="1087"/>
      <c r="AG358" s="1087"/>
      <c r="AH358" s="1087"/>
      <c r="AI358" s="1087"/>
      <c r="AJ358" s="1087"/>
      <c r="AK358" s="1087"/>
      <c r="AL358" s="1087"/>
      <c r="AM358" s="1087"/>
      <c r="AN358" s="1087"/>
      <c r="AO358" s="1087"/>
      <c r="AP358" s="1087"/>
      <c r="AQ358" s="1087"/>
      <c r="AR358" s="1087"/>
      <c r="AS358" s="1087"/>
      <c r="AT358" s="1087"/>
      <c r="AU358" s="1087"/>
      <c r="AV358" s="1087"/>
      <c r="AW358" s="1087"/>
      <c r="AX358" s="1087"/>
      <c r="AY358" s="1087"/>
      <c r="AZ358" s="1087"/>
      <c r="BA358" s="1087"/>
      <c r="BB358" s="1087"/>
      <c r="BC358" s="1087"/>
      <c r="BD358" s="1087"/>
      <c r="BE358" s="1087"/>
      <c r="BF358" s="1087"/>
      <c r="BG358" s="1087"/>
      <c r="BH358" s="1087"/>
      <c r="BI358" s="1087"/>
      <c r="BJ358" s="1087"/>
      <c r="BK358" s="1087"/>
      <c r="BL358" s="1087"/>
      <c r="BM358" s="1087"/>
      <c r="BN358" s="1087"/>
      <c r="BO358" s="1087"/>
      <c r="BP358" s="1087"/>
      <c r="BQ358" s="1087"/>
      <c r="BR358" s="1087"/>
      <c r="BS358" s="1087"/>
      <c r="BT358" s="1087"/>
      <c r="BU358" s="1087"/>
      <c r="BV358" s="1087"/>
      <c r="BW358" s="1087"/>
      <c r="BX358" s="1087"/>
      <c r="BY358" s="1087"/>
      <c r="BZ358" s="1087"/>
      <c r="CA358" s="1087"/>
      <c r="CB358" s="1087"/>
      <c r="CC358" s="1087"/>
      <c r="CD358" s="1087"/>
      <c r="CE358" s="1087"/>
      <c r="CF358" s="1087"/>
      <c r="CG358" s="1087"/>
      <c r="CH358" s="1087"/>
      <c r="CI358" s="1087"/>
      <c r="CJ358" s="1087"/>
      <c r="CK358" s="1087"/>
      <c r="CL358" s="1087"/>
      <c r="CM358" s="1087"/>
      <c r="CN358" s="1087"/>
      <c r="CO358" s="1087"/>
      <c r="CP358" s="1087"/>
      <c r="CQ358" s="1087"/>
      <c r="CR358" s="1087"/>
      <c r="CS358" s="1087"/>
      <c r="CT358" s="1087"/>
      <c r="CU358" s="1087"/>
      <c r="CV358" s="1087"/>
      <c r="CW358" s="1087"/>
      <c r="CX358" s="1087"/>
      <c r="CY358" s="1087"/>
      <c r="CZ358" s="1087"/>
      <c r="DA358" s="1087"/>
      <c r="DB358" s="1087"/>
      <c r="DC358" s="1087"/>
      <c r="DD358" s="1087"/>
      <c r="DE358" s="1087"/>
      <c r="DF358" s="1087"/>
      <c r="DG358" s="1087"/>
      <c r="DH358" s="1087"/>
      <c r="DI358" s="1087"/>
      <c r="DJ358" s="1087"/>
      <c r="DK358" s="1087"/>
      <c r="DL358" s="1087"/>
      <c r="DM358" s="1087"/>
      <c r="DN358" s="1087"/>
      <c r="DO358" s="1087"/>
      <c r="DP358" s="1087"/>
      <c r="DQ358" s="1087"/>
      <c r="DR358" s="1087"/>
      <c r="DS358" s="1087"/>
      <c r="DT358" s="1087"/>
      <c r="DU358" s="1087"/>
      <c r="DV358" s="1087"/>
      <c r="DW358" s="1087"/>
      <c r="DX358" s="1087"/>
      <c r="DY358" s="1087"/>
      <c r="DZ358" s="1087"/>
      <c r="EA358" s="1087"/>
      <c r="EB358" s="1087"/>
      <c r="EC358" s="1087"/>
      <c r="ED358" s="1087"/>
      <c r="EE358" s="1087"/>
      <c r="EF358" s="1087"/>
      <c r="EG358" s="1087"/>
      <c r="EH358" s="1087"/>
      <c r="EI358" s="1087"/>
      <c r="EJ358" s="1087"/>
      <c r="EK358" s="1087"/>
      <c r="EL358" s="1087"/>
      <c r="EM358" s="1087"/>
      <c r="EN358" s="1087"/>
      <c r="EO358" s="1087"/>
      <c r="EP358" s="1087"/>
      <c r="EQ358" s="1087"/>
      <c r="ER358" s="1087"/>
      <c r="ES358" s="1087"/>
      <c r="ET358" s="1087"/>
      <c r="EU358" s="1087"/>
      <c r="EV358" s="1087"/>
      <c r="EW358" s="1087"/>
      <c r="EX358" s="1087"/>
      <c r="EY358" s="1087"/>
      <c r="EZ358" s="1087"/>
      <c r="FA358" s="1087"/>
      <c r="FB358" s="1087"/>
      <c r="FC358" s="1087"/>
      <c r="FD358" s="1087"/>
      <c r="FE358" s="1087"/>
      <c r="FF358" s="1087"/>
      <c r="FG358" s="1087"/>
      <c r="FH358" s="1087"/>
      <c r="FI358" s="1087"/>
      <c r="FJ358" s="1087"/>
      <c r="FK358" s="1087"/>
      <c r="FL358" s="1087"/>
      <c r="FM358" s="1087"/>
      <c r="FN358" s="1087"/>
      <c r="FO358" s="1087"/>
      <c r="FP358" s="1087"/>
      <c r="FQ358" s="1087"/>
      <c r="FR358" s="1087"/>
      <c r="FS358" s="1087"/>
      <c r="FT358" s="1087"/>
      <c r="FU358" s="1087"/>
      <c r="FV358" s="1087"/>
      <c r="FW358" s="1087"/>
      <c r="FX358" s="1087"/>
      <c r="FY358" s="1087"/>
      <c r="FZ358" s="1087"/>
      <c r="GA358" s="1087"/>
      <c r="GB358" s="1087"/>
      <c r="GC358" s="1087"/>
      <c r="GD358" s="1087"/>
      <c r="GE358" s="1087"/>
      <c r="GF358" s="1087"/>
      <c r="GG358" s="1087"/>
      <c r="GH358" s="1087"/>
      <c r="GI358" s="1087"/>
      <c r="GJ358" s="1087"/>
      <c r="GK358" s="1087"/>
      <c r="GL358" s="1087"/>
      <c r="GM358" s="1087"/>
      <c r="GN358" s="1087"/>
      <c r="GO358" s="1087"/>
      <c r="GP358" s="1087"/>
      <c r="GQ358" s="1087"/>
      <c r="GR358" s="1087"/>
      <c r="GS358" s="1087"/>
      <c r="GT358" s="1087"/>
      <c r="GU358" s="1087"/>
      <c r="GV358" s="1087"/>
      <c r="GW358" s="1087"/>
      <c r="GX358" s="1087"/>
      <c r="GY358" s="1087"/>
      <c r="GZ358" s="1087"/>
      <c r="HA358" s="1087"/>
      <c r="HB358" s="1087"/>
      <c r="HC358" s="1087"/>
      <c r="HD358" s="1087"/>
      <c r="HE358" s="1087"/>
      <c r="HF358" s="1087"/>
      <c r="HG358" s="1087"/>
      <c r="HH358" s="1087"/>
      <c r="HI358" s="1087"/>
      <c r="HJ358" s="1087"/>
      <c r="HK358" s="1087"/>
      <c r="HL358" s="1087"/>
      <c r="HM358" s="1087"/>
      <c r="HN358" s="1087"/>
      <c r="HO358" s="1087"/>
      <c r="HP358" s="1087"/>
      <c r="HQ358" s="1087"/>
      <c r="HR358" s="1087"/>
      <c r="HS358" s="1087"/>
      <c r="HT358" s="1087"/>
      <c r="HU358" s="1087"/>
      <c r="HV358" s="1087"/>
      <c r="HW358" s="1087"/>
      <c r="HX358" s="1087"/>
      <c r="HY358" s="1087"/>
      <c r="HZ358" s="1087"/>
      <c r="IA358" s="1087"/>
      <c r="IB358" s="1087"/>
      <c r="IC358" s="1087"/>
      <c r="ID358" s="1087"/>
      <c r="IE358" s="1087"/>
      <c r="IF358" s="1087"/>
      <c r="IG358" s="1087"/>
      <c r="IH358" s="1087"/>
      <c r="II358" s="1087"/>
      <c r="IJ358" s="1087"/>
      <c r="IK358" s="1087"/>
      <c r="IL358" s="1087"/>
      <c r="IM358" s="1087"/>
      <c r="IN358" s="1087"/>
      <c r="IO358" s="1087"/>
      <c r="IP358" s="1087"/>
      <c r="IQ358" s="1087"/>
      <c r="IR358" s="1087"/>
      <c r="IS358" s="1087"/>
      <c r="IT358" s="1087"/>
      <c r="IU358" s="1087"/>
      <c r="IV358" s="1087"/>
      <c r="IW358" s="1087"/>
      <c r="IX358" s="1087"/>
      <c r="IY358" s="1087"/>
      <c r="IZ358" s="1087"/>
      <c r="JA358" s="1087"/>
      <c r="JB358" s="1087"/>
      <c r="JC358" s="1087"/>
      <c r="JD358" s="1087"/>
      <c r="JE358" s="1087"/>
      <c r="JF358" s="1087"/>
      <c r="JG358" s="1087"/>
      <c r="JH358" s="1087"/>
      <c r="JI358" s="1087"/>
      <c r="JJ358" s="1087"/>
      <c r="JK358" s="1087"/>
      <c r="JL358" s="1087"/>
      <c r="JM358" s="1087"/>
      <c r="JN358" s="1087"/>
      <c r="JO358" s="1087"/>
      <c r="JP358" s="1087"/>
      <c r="JQ358" s="1087"/>
      <c r="JR358" s="1087"/>
      <c r="JS358" s="1087"/>
      <c r="JT358" s="1087"/>
      <c r="JU358" s="1087"/>
      <c r="JV358" s="1087"/>
      <c r="JW358" s="1087"/>
      <c r="JX358" s="1087"/>
      <c r="JY358" s="1087"/>
      <c r="JZ358" s="1087"/>
      <c r="KA358" s="1087"/>
      <c r="KB358" s="1092"/>
    </row>
    <row r="359" spans="2:288" ht="15" customHeight="1" x14ac:dyDescent="0.35">
      <c r="B359" s="146" t="str">
        <f t="shared" si="29"/>
        <v>Desk 40</v>
      </c>
      <c r="C359" s="148" t="str">
        <v/>
      </c>
      <c r="D359" s="148" t="str">
        <v/>
      </c>
      <c r="E359" s="148" t="str">
        <v/>
      </c>
      <c r="F359" s="148" t="str">
        <v/>
      </c>
      <c r="G359" s="268" t="str">
        <v/>
      </c>
      <c r="H359" s="1087"/>
      <c r="I359" s="1087"/>
      <c r="J359" s="1087"/>
      <c r="K359" s="1087"/>
      <c r="L359" s="1087"/>
      <c r="M359" s="1087"/>
      <c r="N359" s="1087"/>
      <c r="O359" s="1087"/>
      <c r="P359" s="1087"/>
      <c r="Q359" s="1087"/>
      <c r="R359" s="1087"/>
      <c r="S359" s="1087"/>
      <c r="T359" s="1087"/>
      <c r="U359" s="1087"/>
      <c r="V359" s="1087"/>
      <c r="W359" s="1087"/>
      <c r="X359" s="1087"/>
      <c r="Y359" s="1087"/>
      <c r="Z359" s="1087"/>
      <c r="AA359" s="1087"/>
      <c r="AB359" s="1087"/>
      <c r="AC359" s="1087"/>
      <c r="AD359" s="1087"/>
      <c r="AE359" s="1087"/>
      <c r="AF359" s="1087"/>
      <c r="AG359" s="1087"/>
      <c r="AH359" s="1087"/>
      <c r="AI359" s="1087"/>
      <c r="AJ359" s="1087"/>
      <c r="AK359" s="1087"/>
      <c r="AL359" s="1087"/>
      <c r="AM359" s="1087"/>
      <c r="AN359" s="1087"/>
      <c r="AO359" s="1087"/>
      <c r="AP359" s="1087"/>
      <c r="AQ359" s="1087"/>
      <c r="AR359" s="1087"/>
      <c r="AS359" s="1087"/>
      <c r="AT359" s="1087"/>
      <c r="AU359" s="1087"/>
      <c r="AV359" s="1087"/>
      <c r="AW359" s="1087"/>
      <c r="AX359" s="1087"/>
      <c r="AY359" s="1087"/>
      <c r="AZ359" s="1087"/>
      <c r="BA359" s="1087"/>
      <c r="BB359" s="1087"/>
      <c r="BC359" s="1087"/>
      <c r="BD359" s="1087"/>
      <c r="BE359" s="1087"/>
      <c r="BF359" s="1087"/>
      <c r="BG359" s="1087"/>
      <c r="BH359" s="1087"/>
      <c r="BI359" s="1087"/>
      <c r="BJ359" s="1087"/>
      <c r="BK359" s="1087"/>
      <c r="BL359" s="1087"/>
      <c r="BM359" s="1087"/>
      <c r="BN359" s="1087"/>
      <c r="BO359" s="1087"/>
      <c r="BP359" s="1087"/>
      <c r="BQ359" s="1087"/>
      <c r="BR359" s="1087"/>
      <c r="BS359" s="1087"/>
      <c r="BT359" s="1087"/>
      <c r="BU359" s="1087"/>
      <c r="BV359" s="1087"/>
      <c r="BW359" s="1087"/>
      <c r="BX359" s="1087"/>
      <c r="BY359" s="1087"/>
      <c r="BZ359" s="1087"/>
      <c r="CA359" s="1087"/>
      <c r="CB359" s="1087"/>
      <c r="CC359" s="1087"/>
      <c r="CD359" s="1087"/>
      <c r="CE359" s="1087"/>
      <c r="CF359" s="1087"/>
      <c r="CG359" s="1087"/>
      <c r="CH359" s="1087"/>
      <c r="CI359" s="1087"/>
      <c r="CJ359" s="1087"/>
      <c r="CK359" s="1087"/>
      <c r="CL359" s="1087"/>
      <c r="CM359" s="1087"/>
      <c r="CN359" s="1087"/>
      <c r="CO359" s="1087"/>
      <c r="CP359" s="1087"/>
      <c r="CQ359" s="1087"/>
      <c r="CR359" s="1087"/>
      <c r="CS359" s="1087"/>
      <c r="CT359" s="1087"/>
      <c r="CU359" s="1087"/>
      <c r="CV359" s="1087"/>
      <c r="CW359" s="1087"/>
      <c r="CX359" s="1087"/>
      <c r="CY359" s="1087"/>
      <c r="CZ359" s="1087"/>
      <c r="DA359" s="1087"/>
      <c r="DB359" s="1087"/>
      <c r="DC359" s="1087"/>
      <c r="DD359" s="1087"/>
      <c r="DE359" s="1087"/>
      <c r="DF359" s="1087"/>
      <c r="DG359" s="1087"/>
      <c r="DH359" s="1087"/>
      <c r="DI359" s="1087"/>
      <c r="DJ359" s="1087"/>
      <c r="DK359" s="1087"/>
      <c r="DL359" s="1087"/>
      <c r="DM359" s="1087"/>
      <c r="DN359" s="1087"/>
      <c r="DO359" s="1087"/>
      <c r="DP359" s="1087"/>
      <c r="DQ359" s="1087"/>
      <c r="DR359" s="1087"/>
      <c r="DS359" s="1087"/>
      <c r="DT359" s="1087"/>
      <c r="DU359" s="1087"/>
      <c r="DV359" s="1087"/>
      <c r="DW359" s="1087"/>
      <c r="DX359" s="1087"/>
      <c r="DY359" s="1087"/>
      <c r="DZ359" s="1087"/>
      <c r="EA359" s="1087"/>
      <c r="EB359" s="1087"/>
      <c r="EC359" s="1087"/>
      <c r="ED359" s="1087"/>
      <c r="EE359" s="1087"/>
      <c r="EF359" s="1087"/>
      <c r="EG359" s="1087"/>
      <c r="EH359" s="1087"/>
      <c r="EI359" s="1087"/>
      <c r="EJ359" s="1087"/>
      <c r="EK359" s="1087"/>
      <c r="EL359" s="1087"/>
      <c r="EM359" s="1087"/>
      <c r="EN359" s="1087"/>
      <c r="EO359" s="1087"/>
      <c r="EP359" s="1087"/>
      <c r="EQ359" s="1087"/>
      <c r="ER359" s="1087"/>
      <c r="ES359" s="1087"/>
      <c r="ET359" s="1087"/>
      <c r="EU359" s="1087"/>
      <c r="EV359" s="1087"/>
      <c r="EW359" s="1087"/>
      <c r="EX359" s="1087"/>
      <c r="EY359" s="1087"/>
      <c r="EZ359" s="1087"/>
      <c r="FA359" s="1087"/>
      <c r="FB359" s="1087"/>
      <c r="FC359" s="1087"/>
      <c r="FD359" s="1087"/>
      <c r="FE359" s="1087"/>
      <c r="FF359" s="1087"/>
      <c r="FG359" s="1087"/>
      <c r="FH359" s="1087"/>
      <c r="FI359" s="1087"/>
      <c r="FJ359" s="1087"/>
      <c r="FK359" s="1087"/>
      <c r="FL359" s="1087"/>
      <c r="FM359" s="1087"/>
      <c r="FN359" s="1087"/>
      <c r="FO359" s="1087"/>
      <c r="FP359" s="1087"/>
      <c r="FQ359" s="1087"/>
      <c r="FR359" s="1087"/>
      <c r="FS359" s="1087"/>
      <c r="FT359" s="1087"/>
      <c r="FU359" s="1087"/>
      <c r="FV359" s="1087"/>
      <c r="FW359" s="1087"/>
      <c r="FX359" s="1087"/>
      <c r="FY359" s="1087"/>
      <c r="FZ359" s="1087"/>
      <c r="GA359" s="1087"/>
      <c r="GB359" s="1087"/>
      <c r="GC359" s="1087"/>
      <c r="GD359" s="1087"/>
      <c r="GE359" s="1087"/>
      <c r="GF359" s="1087"/>
      <c r="GG359" s="1087"/>
      <c r="GH359" s="1087"/>
      <c r="GI359" s="1087"/>
      <c r="GJ359" s="1087"/>
      <c r="GK359" s="1087"/>
      <c r="GL359" s="1087"/>
      <c r="GM359" s="1087"/>
      <c r="GN359" s="1087"/>
      <c r="GO359" s="1087"/>
      <c r="GP359" s="1087"/>
      <c r="GQ359" s="1087"/>
      <c r="GR359" s="1087"/>
      <c r="GS359" s="1087"/>
      <c r="GT359" s="1087"/>
      <c r="GU359" s="1087"/>
      <c r="GV359" s="1087"/>
      <c r="GW359" s="1087"/>
      <c r="GX359" s="1087"/>
      <c r="GY359" s="1087"/>
      <c r="GZ359" s="1087"/>
      <c r="HA359" s="1087"/>
      <c r="HB359" s="1087"/>
      <c r="HC359" s="1087"/>
      <c r="HD359" s="1087"/>
      <c r="HE359" s="1087"/>
      <c r="HF359" s="1087"/>
      <c r="HG359" s="1087"/>
      <c r="HH359" s="1087"/>
      <c r="HI359" s="1087"/>
      <c r="HJ359" s="1087"/>
      <c r="HK359" s="1087"/>
      <c r="HL359" s="1087"/>
      <c r="HM359" s="1087"/>
      <c r="HN359" s="1087"/>
      <c r="HO359" s="1087"/>
      <c r="HP359" s="1087"/>
      <c r="HQ359" s="1087"/>
      <c r="HR359" s="1087"/>
      <c r="HS359" s="1087"/>
      <c r="HT359" s="1087"/>
      <c r="HU359" s="1087"/>
      <c r="HV359" s="1087"/>
      <c r="HW359" s="1087"/>
      <c r="HX359" s="1087"/>
      <c r="HY359" s="1087"/>
      <c r="HZ359" s="1087"/>
      <c r="IA359" s="1087"/>
      <c r="IB359" s="1087"/>
      <c r="IC359" s="1087"/>
      <c r="ID359" s="1087"/>
      <c r="IE359" s="1087"/>
      <c r="IF359" s="1087"/>
      <c r="IG359" s="1087"/>
      <c r="IH359" s="1087"/>
      <c r="II359" s="1087"/>
      <c r="IJ359" s="1087"/>
      <c r="IK359" s="1087"/>
      <c r="IL359" s="1087"/>
      <c r="IM359" s="1087"/>
      <c r="IN359" s="1087"/>
      <c r="IO359" s="1087"/>
      <c r="IP359" s="1087"/>
      <c r="IQ359" s="1087"/>
      <c r="IR359" s="1087"/>
      <c r="IS359" s="1087"/>
      <c r="IT359" s="1087"/>
      <c r="IU359" s="1087"/>
      <c r="IV359" s="1087"/>
      <c r="IW359" s="1087"/>
      <c r="IX359" s="1087"/>
      <c r="IY359" s="1087"/>
      <c r="IZ359" s="1087"/>
      <c r="JA359" s="1087"/>
      <c r="JB359" s="1087"/>
      <c r="JC359" s="1087"/>
      <c r="JD359" s="1087"/>
      <c r="JE359" s="1087"/>
      <c r="JF359" s="1087"/>
      <c r="JG359" s="1087"/>
      <c r="JH359" s="1087"/>
      <c r="JI359" s="1087"/>
      <c r="JJ359" s="1087"/>
      <c r="JK359" s="1087"/>
      <c r="JL359" s="1087"/>
      <c r="JM359" s="1087"/>
      <c r="JN359" s="1087"/>
      <c r="JO359" s="1087"/>
      <c r="JP359" s="1087"/>
      <c r="JQ359" s="1087"/>
      <c r="JR359" s="1087"/>
      <c r="JS359" s="1087"/>
      <c r="JT359" s="1087"/>
      <c r="JU359" s="1087"/>
      <c r="JV359" s="1087"/>
      <c r="JW359" s="1087"/>
      <c r="JX359" s="1087"/>
      <c r="JY359" s="1087"/>
      <c r="JZ359" s="1087"/>
      <c r="KA359" s="1087"/>
      <c r="KB359" s="1092"/>
    </row>
    <row r="360" spans="2:288" ht="15" customHeight="1" x14ac:dyDescent="0.35">
      <c r="B360" s="146" t="str">
        <f t="shared" si="29"/>
        <v>Desk 41</v>
      </c>
      <c r="C360" s="148" t="str">
        <v/>
      </c>
      <c r="D360" s="148" t="str">
        <v/>
      </c>
      <c r="E360" s="148" t="str">
        <v/>
      </c>
      <c r="F360" s="148" t="str">
        <v/>
      </c>
      <c r="G360" s="268" t="str">
        <v/>
      </c>
      <c r="H360" s="1087"/>
      <c r="I360" s="1087"/>
      <c r="J360" s="1087"/>
      <c r="K360" s="1087"/>
      <c r="L360" s="1087"/>
      <c r="M360" s="1087"/>
      <c r="N360" s="1087"/>
      <c r="O360" s="1087"/>
      <c r="P360" s="1087"/>
      <c r="Q360" s="1087"/>
      <c r="R360" s="1087"/>
      <c r="S360" s="1087"/>
      <c r="T360" s="1087"/>
      <c r="U360" s="1087"/>
      <c r="V360" s="1087"/>
      <c r="W360" s="1087"/>
      <c r="X360" s="1087"/>
      <c r="Y360" s="1087"/>
      <c r="Z360" s="1087"/>
      <c r="AA360" s="1087"/>
      <c r="AB360" s="1087"/>
      <c r="AC360" s="1087"/>
      <c r="AD360" s="1087"/>
      <c r="AE360" s="1087"/>
      <c r="AF360" s="1087"/>
      <c r="AG360" s="1087"/>
      <c r="AH360" s="1087"/>
      <c r="AI360" s="1087"/>
      <c r="AJ360" s="1087"/>
      <c r="AK360" s="1087"/>
      <c r="AL360" s="1087"/>
      <c r="AM360" s="1087"/>
      <c r="AN360" s="1087"/>
      <c r="AO360" s="1087"/>
      <c r="AP360" s="1087"/>
      <c r="AQ360" s="1087"/>
      <c r="AR360" s="1087"/>
      <c r="AS360" s="1087"/>
      <c r="AT360" s="1087"/>
      <c r="AU360" s="1087"/>
      <c r="AV360" s="1087"/>
      <c r="AW360" s="1087"/>
      <c r="AX360" s="1087"/>
      <c r="AY360" s="1087"/>
      <c r="AZ360" s="1087"/>
      <c r="BA360" s="1087"/>
      <c r="BB360" s="1087"/>
      <c r="BC360" s="1087"/>
      <c r="BD360" s="1087"/>
      <c r="BE360" s="1087"/>
      <c r="BF360" s="1087"/>
      <c r="BG360" s="1087"/>
      <c r="BH360" s="1087"/>
      <c r="BI360" s="1087"/>
      <c r="BJ360" s="1087"/>
      <c r="BK360" s="1087"/>
      <c r="BL360" s="1087"/>
      <c r="BM360" s="1087"/>
      <c r="BN360" s="1087"/>
      <c r="BO360" s="1087"/>
      <c r="BP360" s="1087"/>
      <c r="BQ360" s="1087"/>
      <c r="BR360" s="1087"/>
      <c r="BS360" s="1087"/>
      <c r="BT360" s="1087"/>
      <c r="BU360" s="1087"/>
      <c r="BV360" s="1087"/>
      <c r="BW360" s="1087"/>
      <c r="BX360" s="1087"/>
      <c r="BY360" s="1087"/>
      <c r="BZ360" s="1087"/>
      <c r="CA360" s="1087"/>
      <c r="CB360" s="1087"/>
      <c r="CC360" s="1087"/>
      <c r="CD360" s="1087"/>
      <c r="CE360" s="1087"/>
      <c r="CF360" s="1087"/>
      <c r="CG360" s="1087"/>
      <c r="CH360" s="1087"/>
      <c r="CI360" s="1087"/>
      <c r="CJ360" s="1087"/>
      <c r="CK360" s="1087"/>
      <c r="CL360" s="1087"/>
      <c r="CM360" s="1087"/>
      <c r="CN360" s="1087"/>
      <c r="CO360" s="1087"/>
      <c r="CP360" s="1087"/>
      <c r="CQ360" s="1087"/>
      <c r="CR360" s="1087"/>
      <c r="CS360" s="1087"/>
      <c r="CT360" s="1087"/>
      <c r="CU360" s="1087"/>
      <c r="CV360" s="1087"/>
      <c r="CW360" s="1087"/>
      <c r="CX360" s="1087"/>
      <c r="CY360" s="1087"/>
      <c r="CZ360" s="1087"/>
      <c r="DA360" s="1087"/>
      <c r="DB360" s="1087"/>
      <c r="DC360" s="1087"/>
      <c r="DD360" s="1087"/>
      <c r="DE360" s="1087"/>
      <c r="DF360" s="1087"/>
      <c r="DG360" s="1087"/>
      <c r="DH360" s="1087"/>
      <c r="DI360" s="1087"/>
      <c r="DJ360" s="1087"/>
      <c r="DK360" s="1087"/>
      <c r="DL360" s="1087"/>
      <c r="DM360" s="1087"/>
      <c r="DN360" s="1087"/>
      <c r="DO360" s="1087"/>
      <c r="DP360" s="1087"/>
      <c r="DQ360" s="1087"/>
      <c r="DR360" s="1087"/>
      <c r="DS360" s="1087"/>
      <c r="DT360" s="1087"/>
      <c r="DU360" s="1087"/>
      <c r="DV360" s="1087"/>
      <c r="DW360" s="1087"/>
      <c r="DX360" s="1087"/>
      <c r="DY360" s="1087"/>
      <c r="DZ360" s="1087"/>
      <c r="EA360" s="1087"/>
      <c r="EB360" s="1087"/>
      <c r="EC360" s="1087"/>
      <c r="ED360" s="1087"/>
      <c r="EE360" s="1087"/>
      <c r="EF360" s="1087"/>
      <c r="EG360" s="1087"/>
      <c r="EH360" s="1087"/>
      <c r="EI360" s="1087"/>
      <c r="EJ360" s="1087"/>
      <c r="EK360" s="1087"/>
      <c r="EL360" s="1087"/>
      <c r="EM360" s="1087"/>
      <c r="EN360" s="1087"/>
      <c r="EO360" s="1087"/>
      <c r="EP360" s="1087"/>
      <c r="EQ360" s="1087"/>
      <c r="ER360" s="1087"/>
      <c r="ES360" s="1087"/>
      <c r="ET360" s="1087"/>
      <c r="EU360" s="1087"/>
      <c r="EV360" s="1087"/>
      <c r="EW360" s="1087"/>
      <c r="EX360" s="1087"/>
      <c r="EY360" s="1087"/>
      <c r="EZ360" s="1087"/>
      <c r="FA360" s="1087"/>
      <c r="FB360" s="1087"/>
      <c r="FC360" s="1087"/>
      <c r="FD360" s="1087"/>
      <c r="FE360" s="1087"/>
      <c r="FF360" s="1087"/>
      <c r="FG360" s="1087"/>
      <c r="FH360" s="1087"/>
      <c r="FI360" s="1087"/>
      <c r="FJ360" s="1087"/>
      <c r="FK360" s="1087"/>
      <c r="FL360" s="1087"/>
      <c r="FM360" s="1087"/>
      <c r="FN360" s="1087"/>
      <c r="FO360" s="1087"/>
      <c r="FP360" s="1087"/>
      <c r="FQ360" s="1087"/>
      <c r="FR360" s="1087"/>
      <c r="FS360" s="1087"/>
      <c r="FT360" s="1087"/>
      <c r="FU360" s="1087"/>
      <c r="FV360" s="1087"/>
      <c r="FW360" s="1087"/>
      <c r="FX360" s="1087"/>
      <c r="FY360" s="1087"/>
      <c r="FZ360" s="1087"/>
      <c r="GA360" s="1087"/>
      <c r="GB360" s="1087"/>
      <c r="GC360" s="1087"/>
      <c r="GD360" s="1087"/>
      <c r="GE360" s="1087"/>
      <c r="GF360" s="1087"/>
      <c r="GG360" s="1087"/>
      <c r="GH360" s="1087"/>
      <c r="GI360" s="1087"/>
      <c r="GJ360" s="1087"/>
      <c r="GK360" s="1087"/>
      <c r="GL360" s="1087"/>
      <c r="GM360" s="1087"/>
      <c r="GN360" s="1087"/>
      <c r="GO360" s="1087"/>
      <c r="GP360" s="1087"/>
      <c r="GQ360" s="1087"/>
      <c r="GR360" s="1087"/>
      <c r="GS360" s="1087"/>
      <c r="GT360" s="1087"/>
      <c r="GU360" s="1087"/>
      <c r="GV360" s="1087"/>
      <c r="GW360" s="1087"/>
      <c r="GX360" s="1087"/>
      <c r="GY360" s="1087"/>
      <c r="GZ360" s="1087"/>
      <c r="HA360" s="1087"/>
      <c r="HB360" s="1087"/>
      <c r="HC360" s="1087"/>
      <c r="HD360" s="1087"/>
      <c r="HE360" s="1087"/>
      <c r="HF360" s="1087"/>
      <c r="HG360" s="1087"/>
      <c r="HH360" s="1087"/>
      <c r="HI360" s="1087"/>
      <c r="HJ360" s="1087"/>
      <c r="HK360" s="1087"/>
      <c r="HL360" s="1087"/>
      <c r="HM360" s="1087"/>
      <c r="HN360" s="1087"/>
      <c r="HO360" s="1087"/>
      <c r="HP360" s="1087"/>
      <c r="HQ360" s="1087"/>
      <c r="HR360" s="1087"/>
      <c r="HS360" s="1087"/>
      <c r="HT360" s="1087"/>
      <c r="HU360" s="1087"/>
      <c r="HV360" s="1087"/>
      <c r="HW360" s="1087"/>
      <c r="HX360" s="1087"/>
      <c r="HY360" s="1087"/>
      <c r="HZ360" s="1087"/>
      <c r="IA360" s="1087"/>
      <c r="IB360" s="1087"/>
      <c r="IC360" s="1087"/>
      <c r="ID360" s="1087"/>
      <c r="IE360" s="1087"/>
      <c r="IF360" s="1087"/>
      <c r="IG360" s="1087"/>
      <c r="IH360" s="1087"/>
      <c r="II360" s="1087"/>
      <c r="IJ360" s="1087"/>
      <c r="IK360" s="1087"/>
      <c r="IL360" s="1087"/>
      <c r="IM360" s="1087"/>
      <c r="IN360" s="1087"/>
      <c r="IO360" s="1087"/>
      <c r="IP360" s="1087"/>
      <c r="IQ360" s="1087"/>
      <c r="IR360" s="1087"/>
      <c r="IS360" s="1087"/>
      <c r="IT360" s="1087"/>
      <c r="IU360" s="1087"/>
      <c r="IV360" s="1087"/>
      <c r="IW360" s="1087"/>
      <c r="IX360" s="1087"/>
      <c r="IY360" s="1087"/>
      <c r="IZ360" s="1087"/>
      <c r="JA360" s="1087"/>
      <c r="JB360" s="1087"/>
      <c r="JC360" s="1087"/>
      <c r="JD360" s="1087"/>
      <c r="JE360" s="1087"/>
      <c r="JF360" s="1087"/>
      <c r="JG360" s="1087"/>
      <c r="JH360" s="1087"/>
      <c r="JI360" s="1087"/>
      <c r="JJ360" s="1087"/>
      <c r="JK360" s="1087"/>
      <c r="JL360" s="1087"/>
      <c r="JM360" s="1087"/>
      <c r="JN360" s="1087"/>
      <c r="JO360" s="1087"/>
      <c r="JP360" s="1087"/>
      <c r="JQ360" s="1087"/>
      <c r="JR360" s="1087"/>
      <c r="JS360" s="1087"/>
      <c r="JT360" s="1087"/>
      <c r="JU360" s="1087"/>
      <c r="JV360" s="1087"/>
      <c r="JW360" s="1087"/>
      <c r="JX360" s="1087"/>
      <c r="JY360" s="1087"/>
      <c r="JZ360" s="1087"/>
      <c r="KA360" s="1087"/>
      <c r="KB360" s="1092"/>
    </row>
    <row r="361" spans="2:288" ht="15" customHeight="1" x14ac:dyDescent="0.35">
      <c r="B361" s="146" t="str">
        <f t="shared" si="29"/>
        <v>Desk 42</v>
      </c>
      <c r="C361" s="148" t="str">
        <v/>
      </c>
      <c r="D361" s="148" t="str">
        <v/>
      </c>
      <c r="E361" s="148" t="str">
        <v/>
      </c>
      <c r="F361" s="148" t="str">
        <v/>
      </c>
      <c r="G361" s="268" t="str">
        <v/>
      </c>
      <c r="H361" s="1087"/>
      <c r="I361" s="1087"/>
      <c r="J361" s="1087"/>
      <c r="K361" s="1087"/>
      <c r="L361" s="1087"/>
      <c r="M361" s="1087"/>
      <c r="N361" s="1087"/>
      <c r="O361" s="1087"/>
      <c r="P361" s="1087"/>
      <c r="Q361" s="1087"/>
      <c r="R361" s="1087"/>
      <c r="S361" s="1087"/>
      <c r="T361" s="1087"/>
      <c r="U361" s="1087"/>
      <c r="V361" s="1087"/>
      <c r="W361" s="1087"/>
      <c r="X361" s="1087"/>
      <c r="Y361" s="1087"/>
      <c r="Z361" s="1087"/>
      <c r="AA361" s="1087"/>
      <c r="AB361" s="1087"/>
      <c r="AC361" s="1087"/>
      <c r="AD361" s="1087"/>
      <c r="AE361" s="1087"/>
      <c r="AF361" s="1087"/>
      <c r="AG361" s="1087"/>
      <c r="AH361" s="1087"/>
      <c r="AI361" s="1087"/>
      <c r="AJ361" s="1087"/>
      <c r="AK361" s="1087"/>
      <c r="AL361" s="1087"/>
      <c r="AM361" s="1087"/>
      <c r="AN361" s="1087"/>
      <c r="AO361" s="1087"/>
      <c r="AP361" s="1087"/>
      <c r="AQ361" s="1087"/>
      <c r="AR361" s="1087"/>
      <c r="AS361" s="1087"/>
      <c r="AT361" s="1087"/>
      <c r="AU361" s="1087"/>
      <c r="AV361" s="1087"/>
      <c r="AW361" s="1087"/>
      <c r="AX361" s="1087"/>
      <c r="AY361" s="1087"/>
      <c r="AZ361" s="1087"/>
      <c r="BA361" s="1087"/>
      <c r="BB361" s="1087"/>
      <c r="BC361" s="1087"/>
      <c r="BD361" s="1087"/>
      <c r="BE361" s="1087"/>
      <c r="BF361" s="1087"/>
      <c r="BG361" s="1087"/>
      <c r="BH361" s="1087"/>
      <c r="BI361" s="1087"/>
      <c r="BJ361" s="1087"/>
      <c r="BK361" s="1087"/>
      <c r="BL361" s="1087"/>
      <c r="BM361" s="1087"/>
      <c r="BN361" s="1087"/>
      <c r="BO361" s="1087"/>
      <c r="BP361" s="1087"/>
      <c r="BQ361" s="1087"/>
      <c r="BR361" s="1087"/>
      <c r="BS361" s="1087"/>
      <c r="BT361" s="1087"/>
      <c r="BU361" s="1087"/>
      <c r="BV361" s="1087"/>
      <c r="BW361" s="1087"/>
      <c r="BX361" s="1087"/>
      <c r="BY361" s="1087"/>
      <c r="BZ361" s="1087"/>
      <c r="CA361" s="1087"/>
      <c r="CB361" s="1087"/>
      <c r="CC361" s="1087"/>
      <c r="CD361" s="1087"/>
      <c r="CE361" s="1087"/>
      <c r="CF361" s="1087"/>
      <c r="CG361" s="1087"/>
      <c r="CH361" s="1087"/>
      <c r="CI361" s="1087"/>
      <c r="CJ361" s="1087"/>
      <c r="CK361" s="1087"/>
      <c r="CL361" s="1087"/>
      <c r="CM361" s="1087"/>
      <c r="CN361" s="1087"/>
      <c r="CO361" s="1087"/>
      <c r="CP361" s="1087"/>
      <c r="CQ361" s="1087"/>
      <c r="CR361" s="1087"/>
      <c r="CS361" s="1087"/>
      <c r="CT361" s="1087"/>
      <c r="CU361" s="1087"/>
      <c r="CV361" s="1087"/>
      <c r="CW361" s="1087"/>
      <c r="CX361" s="1087"/>
      <c r="CY361" s="1087"/>
      <c r="CZ361" s="1087"/>
      <c r="DA361" s="1087"/>
      <c r="DB361" s="1087"/>
      <c r="DC361" s="1087"/>
      <c r="DD361" s="1087"/>
      <c r="DE361" s="1087"/>
      <c r="DF361" s="1087"/>
      <c r="DG361" s="1087"/>
      <c r="DH361" s="1087"/>
      <c r="DI361" s="1087"/>
      <c r="DJ361" s="1087"/>
      <c r="DK361" s="1087"/>
      <c r="DL361" s="1087"/>
      <c r="DM361" s="1087"/>
      <c r="DN361" s="1087"/>
      <c r="DO361" s="1087"/>
      <c r="DP361" s="1087"/>
      <c r="DQ361" s="1087"/>
      <c r="DR361" s="1087"/>
      <c r="DS361" s="1087"/>
      <c r="DT361" s="1087"/>
      <c r="DU361" s="1087"/>
      <c r="DV361" s="1087"/>
      <c r="DW361" s="1087"/>
      <c r="DX361" s="1087"/>
      <c r="DY361" s="1087"/>
      <c r="DZ361" s="1087"/>
      <c r="EA361" s="1087"/>
      <c r="EB361" s="1087"/>
      <c r="EC361" s="1087"/>
      <c r="ED361" s="1087"/>
      <c r="EE361" s="1087"/>
      <c r="EF361" s="1087"/>
      <c r="EG361" s="1087"/>
      <c r="EH361" s="1087"/>
      <c r="EI361" s="1087"/>
      <c r="EJ361" s="1087"/>
      <c r="EK361" s="1087"/>
      <c r="EL361" s="1087"/>
      <c r="EM361" s="1087"/>
      <c r="EN361" s="1087"/>
      <c r="EO361" s="1087"/>
      <c r="EP361" s="1087"/>
      <c r="EQ361" s="1087"/>
      <c r="ER361" s="1087"/>
      <c r="ES361" s="1087"/>
      <c r="ET361" s="1087"/>
      <c r="EU361" s="1087"/>
      <c r="EV361" s="1087"/>
      <c r="EW361" s="1087"/>
      <c r="EX361" s="1087"/>
      <c r="EY361" s="1087"/>
      <c r="EZ361" s="1087"/>
      <c r="FA361" s="1087"/>
      <c r="FB361" s="1087"/>
      <c r="FC361" s="1087"/>
      <c r="FD361" s="1087"/>
      <c r="FE361" s="1087"/>
      <c r="FF361" s="1087"/>
      <c r="FG361" s="1087"/>
      <c r="FH361" s="1087"/>
      <c r="FI361" s="1087"/>
      <c r="FJ361" s="1087"/>
      <c r="FK361" s="1087"/>
      <c r="FL361" s="1087"/>
      <c r="FM361" s="1087"/>
      <c r="FN361" s="1087"/>
      <c r="FO361" s="1087"/>
      <c r="FP361" s="1087"/>
      <c r="FQ361" s="1087"/>
      <c r="FR361" s="1087"/>
      <c r="FS361" s="1087"/>
      <c r="FT361" s="1087"/>
      <c r="FU361" s="1087"/>
      <c r="FV361" s="1087"/>
      <c r="FW361" s="1087"/>
      <c r="FX361" s="1087"/>
      <c r="FY361" s="1087"/>
      <c r="FZ361" s="1087"/>
      <c r="GA361" s="1087"/>
      <c r="GB361" s="1087"/>
      <c r="GC361" s="1087"/>
      <c r="GD361" s="1087"/>
      <c r="GE361" s="1087"/>
      <c r="GF361" s="1087"/>
      <c r="GG361" s="1087"/>
      <c r="GH361" s="1087"/>
      <c r="GI361" s="1087"/>
      <c r="GJ361" s="1087"/>
      <c r="GK361" s="1087"/>
      <c r="GL361" s="1087"/>
      <c r="GM361" s="1087"/>
      <c r="GN361" s="1087"/>
      <c r="GO361" s="1087"/>
      <c r="GP361" s="1087"/>
      <c r="GQ361" s="1087"/>
      <c r="GR361" s="1087"/>
      <c r="GS361" s="1087"/>
      <c r="GT361" s="1087"/>
      <c r="GU361" s="1087"/>
      <c r="GV361" s="1087"/>
      <c r="GW361" s="1087"/>
      <c r="GX361" s="1087"/>
      <c r="GY361" s="1087"/>
      <c r="GZ361" s="1087"/>
      <c r="HA361" s="1087"/>
      <c r="HB361" s="1087"/>
      <c r="HC361" s="1087"/>
      <c r="HD361" s="1087"/>
      <c r="HE361" s="1087"/>
      <c r="HF361" s="1087"/>
      <c r="HG361" s="1087"/>
      <c r="HH361" s="1087"/>
      <c r="HI361" s="1087"/>
      <c r="HJ361" s="1087"/>
      <c r="HK361" s="1087"/>
      <c r="HL361" s="1087"/>
      <c r="HM361" s="1087"/>
      <c r="HN361" s="1087"/>
      <c r="HO361" s="1087"/>
      <c r="HP361" s="1087"/>
      <c r="HQ361" s="1087"/>
      <c r="HR361" s="1087"/>
      <c r="HS361" s="1087"/>
      <c r="HT361" s="1087"/>
      <c r="HU361" s="1087"/>
      <c r="HV361" s="1087"/>
      <c r="HW361" s="1087"/>
      <c r="HX361" s="1087"/>
      <c r="HY361" s="1087"/>
      <c r="HZ361" s="1087"/>
      <c r="IA361" s="1087"/>
      <c r="IB361" s="1087"/>
      <c r="IC361" s="1087"/>
      <c r="ID361" s="1087"/>
      <c r="IE361" s="1087"/>
      <c r="IF361" s="1087"/>
      <c r="IG361" s="1087"/>
      <c r="IH361" s="1087"/>
      <c r="II361" s="1087"/>
      <c r="IJ361" s="1087"/>
      <c r="IK361" s="1087"/>
      <c r="IL361" s="1087"/>
      <c r="IM361" s="1087"/>
      <c r="IN361" s="1087"/>
      <c r="IO361" s="1087"/>
      <c r="IP361" s="1087"/>
      <c r="IQ361" s="1087"/>
      <c r="IR361" s="1087"/>
      <c r="IS361" s="1087"/>
      <c r="IT361" s="1087"/>
      <c r="IU361" s="1087"/>
      <c r="IV361" s="1087"/>
      <c r="IW361" s="1087"/>
      <c r="IX361" s="1087"/>
      <c r="IY361" s="1087"/>
      <c r="IZ361" s="1087"/>
      <c r="JA361" s="1087"/>
      <c r="JB361" s="1087"/>
      <c r="JC361" s="1087"/>
      <c r="JD361" s="1087"/>
      <c r="JE361" s="1087"/>
      <c r="JF361" s="1087"/>
      <c r="JG361" s="1087"/>
      <c r="JH361" s="1087"/>
      <c r="JI361" s="1087"/>
      <c r="JJ361" s="1087"/>
      <c r="JK361" s="1087"/>
      <c r="JL361" s="1087"/>
      <c r="JM361" s="1087"/>
      <c r="JN361" s="1087"/>
      <c r="JO361" s="1087"/>
      <c r="JP361" s="1087"/>
      <c r="JQ361" s="1087"/>
      <c r="JR361" s="1087"/>
      <c r="JS361" s="1087"/>
      <c r="JT361" s="1087"/>
      <c r="JU361" s="1087"/>
      <c r="JV361" s="1087"/>
      <c r="JW361" s="1087"/>
      <c r="JX361" s="1087"/>
      <c r="JY361" s="1087"/>
      <c r="JZ361" s="1087"/>
      <c r="KA361" s="1087"/>
      <c r="KB361" s="1092"/>
    </row>
    <row r="362" spans="2:288" ht="15" customHeight="1" x14ac:dyDescent="0.35">
      <c r="B362" s="146" t="str">
        <f t="shared" si="29"/>
        <v>Desk 43</v>
      </c>
      <c r="C362" s="148" t="str">
        <v/>
      </c>
      <c r="D362" s="148" t="str">
        <v/>
      </c>
      <c r="E362" s="148" t="str">
        <v/>
      </c>
      <c r="F362" s="148" t="str">
        <v/>
      </c>
      <c r="G362" s="268" t="str">
        <v/>
      </c>
      <c r="H362" s="1087"/>
      <c r="I362" s="1087"/>
      <c r="J362" s="1087"/>
      <c r="K362" s="1087"/>
      <c r="L362" s="1087"/>
      <c r="M362" s="1087"/>
      <c r="N362" s="1087"/>
      <c r="O362" s="1087"/>
      <c r="P362" s="1087"/>
      <c r="Q362" s="1087"/>
      <c r="R362" s="1087"/>
      <c r="S362" s="1087"/>
      <c r="T362" s="1087"/>
      <c r="U362" s="1087"/>
      <c r="V362" s="1087"/>
      <c r="W362" s="1087"/>
      <c r="X362" s="1087"/>
      <c r="Y362" s="1087"/>
      <c r="Z362" s="1087"/>
      <c r="AA362" s="1087"/>
      <c r="AB362" s="1087"/>
      <c r="AC362" s="1087"/>
      <c r="AD362" s="1087"/>
      <c r="AE362" s="1087"/>
      <c r="AF362" s="1087"/>
      <c r="AG362" s="1087"/>
      <c r="AH362" s="1087"/>
      <c r="AI362" s="1087"/>
      <c r="AJ362" s="1087"/>
      <c r="AK362" s="1087"/>
      <c r="AL362" s="1087"/>
      <c r="AM362" s="1087"/>
      <c r="AN362" s="1087"/>
      <c r="AO362" s="1087"/>
      <c r="AP362" s="1087"/>
      <c r="AQ362" s="1087"/>
      <c r="AR362" s="1087"/>
      <c r="AS362" s="1087"/>
      <c r="AT362" s="1087"/>
      <c r="AU362" s="1087"/>
      <c r="AV362" s="1087"/>
      <c r="AW362" s="1087"/>
      <c r="AX362" s="1087"/>
      <c r="AY362" s="1087"/>
      <c r="AZ362" s="1087"/>
      <c r="BA362" s="1087"/>
      <c r="BB362" s="1087"/>
      <c r="BC362" s="1087"/>
      <c r="BD362" s="1087"/>
      <c r="BE362" s="1087"/>
      <c r="BF362" s="1087"/>
      <c r="BG362" s="1087"/>
      <c r="BH362" s="1087"/>
      <c r="BI362" s="1087"/>
      <c r="BJ362" s="1087"/>
      <c r="BK362" s="1087"/>
      <c r="BL362" s="1087"/>
      <c r="BM362" s="1087"/>
      <c r="BN362" s="1087"/>
      <c r="BO362" s="1087"/>
      <c r="BP362" s="1087"/>
      <c r="BQ362" s="1087"/>
      <c r="BR362" s="1087"/>
      <c r="BS362" s="1087"/>
      <c r="BT362" s="1087"/>
      <c r="BU362" s="1087"/>
      <c r="BV362" s="1087"/>
      <c r="BW362" s="1087"/>
      <c r="BX362" s="1087"/>
      <c r="BY362" s="1087"/>
      <c r="BZ362" s="1087"/>
      <c r="CA362" s="1087"/>
      <c r="CB362" s="1087"/>
      <c r="CC362" s="1087"/>
      <c r="CD362" s="1087"/>
      <c r="CE362" s="1087"/>
      <c r="CF362" s="1087"/>
      <c r="CG362" s="1087"/>
      <c r="CH362" s="1087"/>
      <c r="CI362" s="1087"/>
      <c r="CJ362" s="1087"/>
      <c r="CK362" s="1087"/>
      <c r="CL362" s="1087"/>
      <c r="CM362" s="1087"/>
      <c r="CN362" s="1087"/>
      <c r="CO362" s="1087"/>
      <c r="CP362" s="1087"/>
      <c r="CQ362" s="1087"/>
      <c r="CR362" s="1087"/>
      <c r="CS362" s="1087"/>
      <c r="CT362" s="1087"/>
      <c r="CU362" s="1087"/>
      <c r="CV362" s="1087"/>
      <c r="CW362" s="1087"/>
      <c r="CX362" s="1087"/>
      <c r="CY362" s="1087"/>
      <c r="CZ362" s="1087"/>
      <c r="DA362" s="1087"/>
      <c r="DB362" s="1087"/>
      <c r="DC362" s="1087"/>
      <c r="DD362" s="1087"/>
      <c r="DE362" s="1087"/>
      <c r="DF362" s="1087"/>
      <c r="DG362" s="1087"/>
      <c r="DH362" s="1087"/>
      <c r="DI362" s="1087"/>
      <c r="DJ362" s="1087"/>
      <c r="DK362" s="1087"/>
      <c r="DL362" s="1087"/>
      <c r="DM362" s="1087"/>
      <c r="DN362" s="1087"/>
      <c r="DO362" s="1087"/>
      <c r="DP362" s="1087"/>
      <c r="DQ362" s="1087"/>
      <c r="DR362" s="1087"/>
      <c r="DS362" s="1087"/>
      <c r="DT362" s="1087"/>
      <c r="DU362" s="1087"/>
      <c r="DV362" s="1087"/>
      <c r="DW362" s="1087"/>
      <c r="DX362" s="1087"/>
      <c r="DY362" s="1087"/>
      <c r="DZ362" s="1087"/>
      <c r="EA362" s="1087"/>
      <c r="EB362" s="1087"/>
      <c r="EC362" s="1087"/>
      <c r="ED362" s="1087"/>
      <c r="EE362" s="1087"/>
      <c r="EF362" s="1087"/>
      <c r="EG362" s="1087"/>
      <c r="EH362" s="1087"/>
      <c r="EI362" s="1087"/>
      <c r="EJ362" s="1087"/>
      <c r="EK362" s="1087"/>
      <c r="EL362" s="1087"/>
      <c r="EM362" s="1087"/>
      <c r="EN362" s="1087"/>
      <c r="EO362" s="1087"/>
      <c r="EP362" s="1087"/>
      <c r="EQ362" s="1087"/>
      <c r="ER362" s="1087"/>
      <c r="ES362" s="1087"/>
      <c r="ET362" s="1087"/>
      <c r="EU362" s="1087"/>
      <c r="EV362" s="1087"/>
      <c r="EW362" s="1087"/>
      <c r="EX362" s="1087"/>
      <c r="EY362" s="1087"/>
      <c r="EZ362" s="1087"/>
      <c r="FA362" s="1087"/>
      <c r="FB362" s="1087"/>
      <c r="FC362" s="1087"/>
      <c r="FD362" s="1087"/>
      <c r="FE362" s="1087"/>
      <c r="FF362" s="1087"/>
      <c r="FG362" s="1087"/>
      <c r="FH362" s="1087"/>
      <c r="FI362" s="1087"/>
      <c r="FJ362" s="1087"/>
      <c r="FK362" s="1087"/>
      <c r="FL362" s="1087"/>
      <c r="FM362" s="1087"/>
      <c r="FN362" s="1087"/>
      <c r="FO362" s="1087"/>
      <c r="FP362" s="1087"/>
      <c r="FQ362" s="1087"/>
      <c r="FR362" s="1087"/>
      <c r="FS362" s="1087"/>
      <c r="FT362" s="1087"/>
      <c r="FU362" s="1087"/>
      <c r="FV362" s="1087"/>
      <c r="FW362" s="1087"/>
      <c r="FX362" s="1087"/>
      <c r="FY362" s="1087"/>
      <c r="FZ362" s="1087"/>
      <c r="GA362" s="1087"/>
      <c r="GB362" s="1087"/>
      <c r="GC362" s="1087"/>
      <c r="GD362" s="1087"/>
      <c r="GE362" s="1087"/>
      <c r="GF362" s="1087"/>
      <c r="GG362" s="1087"/>
      <c r="GH362" s="1087"/>
      <c r="GI362" s="1087"/>
      <c r="GJ362" s="1087"/>
      <c r="GK362" s="1087"/>
      <c r="GL362" s="1087"/>
      <c r="GM362" s="1087"/>
      <c r="GN362" s="1087"/>
      <c r="GO362" s="1087"/>
      <c r="GP362" s="1087"/>
      <c r="GQ362" s="1087"/>
      <c r="GR362" s="1087"/>
      <c r="GS362" s="1087"/>
      <c r="GT362" s="1087"/>
      <c r="GU362" s="1087"/>
      <c r="GV362" s="1087"/>
      <c r="GW362" s="1087"/>
      <c r="GX362" s="1087"/>
      <c r="GY362" s="1087"/>
      <c r="GZ362" s="1087"/>
      <c r="HA362" s="1087"/>
      <c r="HB362" s="1087"/>
      <c r="HC362" s="1087"/>
      <c r="HD362" s="1087"/>
      <c r="HE362" s="1087"/>
      <c r="HF362" s="1087"/>
      <c r="HG362" s="1087"/>
      <c r="HH362" s="1087"/>
      <c r="HI362" s="1087"/>
      <c r="HJ362" s="1087"/>
      <c r="HK362" s="1087"/>
      <c r="HL362" s="1087"/>
      <c r="HM362" s="1087"/>
      <c r="HN362" s="1087"/>
      <c r="HO362" s="1087"/>
      <c r="HP362" s="1087"/>
      <c r="HQ362" s="1087"/>
      <c r="HR362" s="1087"/>
      <c r="HS362" s="1087"/>
      <c r="HT362" s="1087"/>
      <c r="HU362" s="1087"/>
      <c r="HV362" s="1087"/>
      <c r="HW362" s="1087"/>
      <c r="HX362" s="1087"/>
      <c r="HY362" s="1087"/>
      <c r="HZ362" s="1087"/>
      <c r="IA362" s="1087"/>
      <c r="IB362" s="1087"/>
      <c r="IC362" s="1087"/>
      <c r="ID362" s="1087"/>
      <c r="IE362" s="1087"/>
      <c r="IF362" s="1087"/>
      <c r="IG362" s="1087"/>
      <c r="IH362" s="1087"/>
      <c r="II362" s="1087"/>
      <c r="IJ362" s="1087"/>
      <c r="IK362" s="1087"/>
      <c r="IL362" s="1087"/>
      <c r="IM362" s="1087"/>
      <c r="IN362" s="1087"/>
      <c r="IO362" s="1087"/>
      <c r="IP362" s="1087"/>
      <c r="IQ362" s="1087"/>
      <c r="IR362" s="1087"/>
      <c r="IS362" s="1087"/>
      <c r="IT362" s="1087"/>
      <c r="IU362" s="1087"/>
      <c r="IV362" s="1087"/>
      <c r="IW362" s="1087"/>
      <c r="IX362" s="1087"/>
      <c r="IY362" s="1087"/>
      <c r="IZ362" s="1087"/>
      <c r="JA362" s="1087"/>
      <c r="JB362" s="1087"/>
      <c r="JC362" s="1087"/>
      <c r="JD362" s="1087"/>
      <c r="JE362" s="1087"/>
      <c r="JF362" s="1087"/>
      <c r="JG362" s="1087"/>
      <c r="JH362" s="1087"/>
      <c r="JI362" s="1087"/>
      <c r="JJ362" s="1087"/>
      <c r="JK362" s="1087"/>
      <c r="JL362" s="1087"/>
      <c r="JM362" s="1087"/>
      <c r="JN362" s="1087"/>
      <c r="JO362" s="1087"/>
      <c r="JP362" s="1087"/>
      <c r="JQ362" s="1087"/>
      <c r="JR362" s="1087"/>
      <c r="JS362" s="1087"/>
      <c r="JT362" s="1087"/>
      <c r="JU362" s="1087"/>
      <c r="JV362" s="1087"/>
      <c r="JW362" s="1087"/>
      <c r="JX362" s="1087"/>
      <c r="JY362" s="1087"/>
      <c r="JZ362" s="1087"/>
      <c r="KA362" s="1087"/>
      <c r="KB362" s="1092"/>
    </row>
    <row r="363" spans="2:288" ht="15" customHeight="1" x14ac:dyDescent="0.35">
      <c r="B363" s="146" t="str">
        <f t="shared" si="29"/>
        <v>Desk 44</v>
      </c>
      <c r="C363" s="148" t="str">
        <v/>
      </c>
      <c r="D363" s="148" t="str">
        <v/>
      </c>
      <c r="E363" s="148" t="str">
        <v/>
      </c>
      <c r="F363" s="148" t="str">
        <v/>
      </c>
      <c r="G363" s="268" t="str">
        <v/>
      </c>
      <c r="H363" s="1087"/>
      <c r="I363" s="1087"/>
      <c r="J363" s="1087"/>
      <c r="K363" s="1087"/>
      <c r="L363" s="1087"/>
      <c r="M363" s="1087"/>
      <c r="N363" s="1087"/>
      <c r="O363" s="1087"/>
      <c r="P363" s="1087"/>
      <c r="Q363" s="1087"/>
      <c r="R363" s="1087"/>
      <c r="S363" s="1087"/>
      <c r="T363" s="1087"/>
      <c r="U363" s="1087"/>
      <c r="V363" s="1087"/>
      <c r="W363" s="1087"/>
      <c r="X363" s="1087"/>
      <c r="Y363" s="1087"/>
      <c r="Z363" s="1087"/>
      <c r="AA363" s="1087"/>
      <c r="AB363" s="1087"/>
      <c r="AC363" s="1087"/>
      <c r="AD363" s="1087"/>
      <c r="AE363" s="1087"/>
      <c r="AF363" s="1087"/>
      <c r="AG363" s="1087"/>
      <c r="AH363" s="1087"/>
      <c r="AI363" s="1087"/>
      <c r="AJ363" s="1087"/>
      <c r="AK363" s="1087"/>
      <c r="AL363" s="1087"/>
      <c r="AM363" s="1087"/>
      <c r="AN363" s="1087"/>
      <c r="AO363" s="1087"/>
      <c r="AP363" s="1087"/>
      <c r="AQ363" s="1087"/>
      <c r="AR363" s="1087"/>
      <c r="AS363" s="1087"/>
      <c r="AT363" s="1087"/>
      <c r="AU363" s="1087"/>
      <c r="AV363" s="1087"/>
      <c r="AW363" s="1087"/>
      <c r="AX363" s="1087"/>
      <c r="AY363" s="1087"/>
      <c r="AZ363" s="1087"/>
      <c r="BA363" s="1087"/>
      <c r="BB363" s="1087"/>
      <c r="BC363" s="1087"/>
      <c r="BD363" s="1087"/>
      <c r="BE363" s="1087"/>
      <c r="BF363" s="1087"/>
      <c r="BG363" s="1087"/>
      <c r="BH363" s="1087"/>
      <c r="BI363" s="1087"/>
      <c r="BJ363" s="1087"/>
      <c r="BK363" s="1087"/>
      <c r="BL363" s="1087"/>
      <c r="BM363" s="1087"/>
      <c r="BN363" s="1087"/>
      <c r="BO363" s="1087"/>
      <c r="BP363" s="1087"/>
      <c r="BQ363" s="1087"/>
      <c r="BR363" s="1087"/>
      <c r="BS363" s="1087"/>
      <c r="BT363" s="1087"/>
      <c r="BU363" s="1087"/>
      <c r="BV363" s="1087"/>
      <c r="BW363" s="1087"/>
      <c r="BX363" s="1087"/>
      <c r="BY363" s="1087"/>
      <c r="BZ363" s="1087"/>
      <c r="CA363" s="1087"/>
      <c r="CB363" s="1087"/>
      <c r="CC363" s="1087"/>
      <c r="CD363" s="1087"/>
      <c r="CE363" s="1087"/>
      <c r="CF363" s="1087"/>
      <c r="CG363" s="1087"/>
      <c r="CH363" s="1087"/>
      <c r="CI363" s="1087"/>
      <c r="CJ363" s="1087"/>
      <c r="CK363" s="1087"/>
      <c r="CL363" s="1087"/>
      <c r="CM363" s="1087"/>
      <c r="CN363" s="1087"/>
      <c r="CO363" s="1087"/>
      <c r="CP363" s="1087"/>
      <c r="CQ363" s="1087"/>
      <c r="CR363" s="1087"/>
      <c r="CS363" s="1087"/>
      <c r="CT363" s="1087"/>
      <c r="CU363" s="1087"/>
      <c r="CV363" s="1087"/>
      <c r="CW363" s="1087"/>
      <c r="CX363" s="1087"/>
      <c r="CY363" s="1087"/>
      <c r="CZ363" s="1087"/>
      <c r="DA363" s="1087"/>
      <c r="DB363" s="1087"/>
      <c r="DC363" s="1087"/>
      <c r="DD363" s="1087"/>
      <c r="DE363" s="1087"/>
      <c r="DF363" s="1087"/>
      <c r="DG363" s="1087"/>
      <c r="DH363" s="1087"/>
      <c r="DI363" s="1087"/>
      <c r="DJ363" s="1087"/>
      <c r="DK363" s="1087"/>
      <c r="DL363" s="1087"/>
      <c r="DM363" s="1087"/>
      <c r="DN363" s="1087"/>
      <c r="DO363" s="1087"/>
      <c r="DP363" s="1087"/>
      <c r="DQ363" s="1087"/>
      <c r="DR363" s="1087"/>
      <c r="DS363" s="1087"/>
      <c r="DT363" s="1087"/>
      <c r="DU363" s="1087"/>
      <c r="DV363" s="1087"/>
      <c r="DW363" s="1087"/>
      <c r="DX363" s="1087"/>
      <c r="DY363" s="1087"/>
      <c r="DZ363" s="1087"/>
      <c r="EA363" s="1087"/>
      <c r="EB363" s="1087"/>
      <c r="EC363" s="1087"/>
      <c r="ED363" s="1087"/>
      <c r="EE363" s="1087"/>
      <c r="EF363" s="1087"/>
      <c r="EG363" s="1087"/>
      <c r="EH363" s="1087"/>
      <c r="EI363" s="1087"/>
      <c r="EJ363" s="1087"/>
      <c r="EK363" s="1087"/>
      <c r="EL363" s="1087"/>
      <c r="EM363" s="1087"/>
      <c r="EN363" s="1087"/>
      <c r="EO363" s="1087"/>
      <c r="EP363" s="1087"/>
      <c r="EQ363" s="1087"/>
      <c r="ER363" s="1087"/>
      <c r="ES363" s="1087"/>
      <c r="ET363" s="1087"/>
      <c r="EU363" s="1087"/>
      <c r="EV363" s="1087"/>
      <c r="EW363" s="1087"/>
      <c r="EX363" s="1087"/>
      <c r="EY363" s="1087"/>
      <c r="EZ363" s="1087"/>
      <c r="FA363" s="1087"/>
      <c r="FB363" s="1087"/>
      <c r="FC363" s="1087"/>
      <c r="FD363" s="1087"/>
      <c r="FE363" s="1087"/>
      <c r="FF363" s="1087"/>
      <c r="FG363" s="1087"/>
      <c r="FH363" s="1087"/>
      <c r="FI363" s="1087"/>
      <c r="FJ363" s="1087"/>
      <c r="FK363" s="1087"/>
      <c r="FL363" s="1087"/>
      <c r="FM363" s="1087"/>
      <c r="FN363" s="1087"/>
      <c r="FO363" s="1087"/>
      <c r="FP363" s="1087"/>
      <c r="FQ363" s="1087"/>
      <c r="FR363" s="1087"/>
      <c r="FS363" s="1087"/>
      <c r="FT363" s="1087"/>
      <c r="FU363" s="1087"/>
      <c r="FV363" s="1087"/>
      <c r="FW363" s="1087"/>
      <c r="FX363" s="1087"/>
      <c r="FY363" s="1087"/>
      <c r="FZ363" s="1087"/>
      <c r="GA363" s="1087"/>
      <c r="GB363" s="1087"/>
      <c r="GC363" s="1087"/>
      <c r="GD363" s="1087"/>
      <c r="GE363" s="1087"/>
      <c r="GF363" s="1087"/>
      <c r="GG363" s="1087"/>
      <c r="GH363" s="1087"/>
      <c r="GI363" s="1087"/>
      <c r="GJ363" s="1087"/>
      <c r="GK363" s="1087"/>
      <c r="GL363" s="1087"/>
      <c r="GM363" s="1087"/>
      <c r="GN363" s="1087"/>
      <c r="GO363" s="1087"/>
      <c r="GP363" s="1087"/>
      <c r="GQ363" s="1087"/>
      <c r="GR363" s="1087"/>
      <c r="GS363" s="1087"/>
      <c r="GT363" s="1087"/>
      <c r="GU363" s="1087"/>
      <c r="GV363" s="1087"/>
      <c r="GW363" s="1087"/>
      <c r="GX363" s="1087"/>
      <c r="GY363" s="1087"/>
      <c r="GZ363" s="1087"/>
      <c r="HA363" s="1087"/>
      <c r="HB363" s="1087"/>
      <c r="HC363" s="1087"/>
      <c r="HD363" s="1087"/>
      <c r="HE363" s="1087"/>
      <c r="HF363" s="1087"/>
      <c r="HG363" s="1087"/>
      <c r="HH363" s="1087"/>
      <c r="HI363" s="1087"/>
      <c r="HJ363" s="1087"/>
      <c r="HK363" s="1087"/>
      <c r="HL363" s="1087"/>
      <c r="HM363" s="1087"/>
      <c r="HN363" s="1087"/>
      <c r="HO363" s="1087"/>
      <c r="HP363" s="1087"/>
      <c r="HQ363" s="1087"/>
      <c r="HR363" s="1087"/>
      <c r="HS363" s="1087"/>
      <c r="HT363" s="1087"/>
      <c r="HU363" s="1087"/>
      <c r="HV363" s="1087"/>
      <c r="HW363" s="1087"/>
      <c r="HX363" s="1087"/>
      <c r="HY363" s="1087"/>
      <c r="HZ363" s="1087"/>
      <c r="IA363" s="1087"/>
      <c r="IB363" s="1087"/>
      <c r="IC363" s="1087"/>
      <c r="ID363" s="1087"/>
      <c r="IE363" s="1087"/>
      <c r="IF363" s="1087"/>
      <c r="IG363" s="1087"/>
      <c r="IH363" s="1087"/>
      <c r="II363" s="1087"/>
      <c r="IJ363" s="1087"/>
      <c r="IK363" s="1087"/>
      <c r="IL363" s="1087"/>
      <c r="IM363" s="1087"/>
      <c r="IN363" s="1087"/>
      <c r="IO363" s="1087"/>
      <c r="IP363" s="1087"/>
      <c r="IQ363" s="1087"/>
      <c r="IR363" s="1087"/>
      <c r="IS363" s="1087"/>
      <c r="IT363" s="1087"/>
      <c r="IU363" s="1087"/>
      <c r="IV363" s="1087"/>
      <c r="IW363" s="1087"/>
      <c r="IX363" s="1087"/>
      <c r="IY363" s="1087"/>
      <c r="IZ363" s="1087"/>
      <c r="JA363" s="1087"/>
      <c r="JB363" s="1087"/>
      <c r="JC363" s="1087"/>
      <c r="JD363" s="1087"/>
      <c r="JE363" s="1087"/>
      <c r="JF363" s="1087"/>
      <c r="JG363" s="1087"/>
      <c r="JH363" s="1087"/>
      <c r="JI363" s="1087"/>
      <c r="JJ363" s="1087"/>
      <c r="JK363" s="1087"/>
      <c r="JL363" s="1087"/>
      <c r="JM363" s="1087"/>
      <c r="JN363" s="1087"/>
      <c r="JO363" s="1087"/>
      <c r="JP363" s="1087"/>
      <c r="JQ363" s="1087"/>
      <c r="JR363" s="1087"/>
      <c r="JS363" s="1087"/>
      <c r="JT363" s="1087"/>
      <c r="JU363" s="1087"/>
      <c r="JV363" s="1087"/>
      <c r="JW363" s="1087"/>
      <c r="JX363" s="1087"/>
      <c r="JY363" s="1087"/>
      <c r="JZ363" s="1087"/>
      <c r="KA363" s="1087"/>
      <c r="KB363" s="1092"/>
    </row>
    <row r="364" spans="2:288" ht="15" customHeight="1" x14ac:dyDescent="0.35">
      <c r="B364" s="146" t="str">
        <f t="shared" si="29"/>
        <v>Desk 45</v>
      </c>
      <c r="C364" s="148" t="str">
        <v/>
      </c>
      <c r="D364" s="148" t="str">
        <v/>
      </c>
      <c r="E364" s="148" t="str">
        <v/>
      </c>
      <c r="F364" s="148" t="str">
        <v/>
      </c>
      <c r="G364" s="268" t="str">
        <v/>
      </c>
      <c r="H364" s="1087"/>
      <c r="I364" s="1087"/>
      <c r="J364" s="1087"/>
      <c r="K364" s="1087"/>
      <c r="L364" s="1087"/>
      <c r="M364" s="1087"/>
      <c r="N364" s="1087"/>
      <c r="O364" s="1087"/>
      <c r="P364" s="1087"/>
      <c r="Q364" s="1087"/>
      <c r="R364" s="1087"/>
      <c r="S364" s="1087"/>
      <c r="T364" s="1087"/>
      <c r="U364" s="1087"/>
      <c r="V364" s="1087"/>
      <c r="W364" s="1087"/>
      <c r="X364" s="1087"/>
      <c r="Y364" s="1087"/>
      <c r="Z364" s="1087"/>
      <c r="AA364" s="1087"/>
      <c r="AB364" s="1087"/>
      <c r="AC364" s="1087"/>
      <c r="AD364" s="1087"/>
      <c r="AE364" s="1087"/>
      <c r="AF364" s="1087"/>
      <c r="AG364" s="1087"/>
      <c r="AH364" s="1087"/>
      <c r="AI364" s="1087"/>
      <c r="AJ364" s="1087"/>
      <c r="AK364" s="1087"/>
      <c r="AL364" s="1087"/>
      <c r="AM364" s="1087"/>
      <c r="AN364" s="1087"/>
      <c r="AO364" s="1087"/>
      <c r="AP364" s="1087"/>
      <c r="AQ364" s="1087"/>
      <c r="AR364" s="1087"/>
      <c r="AS364" s="1087"/>
      <c r="AT364" s="1087"/>
      <c r="AU364" s="1087"/>
      <c r="AV364" s="1087"/>
      <c r="AW364" s="1087"/>
      <c r="AX364" s="1087"/>
      <c r="AY364" s="1087"/>
      <c r="AZ364" s="1087"/>
      <c r="BA364" s="1087"/>
      <c r="BB364" s="1087"/>
      <c r="BC364" s="1087"/>
      <c r="BD364" s="1087"/>
      <c r="BE364" s="1087"/>
      <c r="BF364" s="1087"/>
      <c r="BG364" s="1087"/>
      <c r="BH364" s="1087"/>
      <c r="BI364" s="1087"/>
      <c r="BJ364" s="1087"/>
      <c r="BK364" s="1087"/>
      <c r="BL364" s="1087"/>
      <c r="BM364" s="1087"/>
      <c r="BN364" s="1087"/>
      <c r="BO364" s="1087"/>
      <c r="BP364" s="1087"/>
      <c r="BQ364" s="1087"/>
      <c r="BR364" s="1087"/>
      <c r="BS364" s="1087"/>
      <c r="BT364" s="1087"/>
      <c r="BU364" s="1087"/>
      <c r="BV364" s="1087"/>
      <c r="BW364" s="1087"/>
      <c r="BX364" s="1087"/>
      <c r="BY364" s="1087"/>
      <c r="BZ364" s="1087"/>
      <c r="CA364" s="1087"/>
      <c r="CB364" s="1087"/>
      <c r="CC364" s="1087"/>
      <c r="CD364" s="1087"/>
      <c r="CE364" s="1087"/>
      <c r="CF364" s="1087"/>
      <c r="CG364" s="1087"/>
      <c r="CH364" s="1087"/>
      <c r="CI364" s="1087"/>
      <c r="CJ364" s="1087"/>
      <c r="CK364" s="1087"/>
      <c r="CL364" s="1087"/>
      <c r="CM364" s="1087"/>
      <c r="CN364" s="1087"/>
      <c r="CO364" s="1087"/>
      <c r="CP364" s="1087"/>
      <c r="CQ364" s="1087"/>
      <c r="CR364" s="1087"/>
      <c r="CS364" s="1087"/>
      <c r="CT364" s="1087"/>
      <c r="CU364" s="1087"/>
      <c r="CV364" s="1087"/>
      <c r="CW364" s="1087"/>
      <c r="CX364" s="1087"/>
      <c r="CY364" s="1087"/>
      <c r="CZ364" s="1087"/>
      <c r="DA364" s="1087"/>
      <c r="DB364" s="1087"/>
      <c r="DC364" s="1087"/>
      <c r="DD364" s="1087"/>
      <c r="DE364" s="1087"/>
      <c r="DF364" s="1087"/>
      <c r="DG364" s="1087"/>
      <c r="DH364" s="1087"/>
      <c r="DI364" s="1087"/>
      <c r="DJ364" s="1087"/>
      <c r="DK364" s="1087"/>
      <c r="DL364" s="1087"/>
      <c r="DM364" s="1087"/>
      <c r="DN364" s="1087"/>
      <c r="DO364" s="1087"/>
      <c r="DP364" s="1087"/>
      <c r="DQ364" s="1087"/>
      <c r="DR364" s="1087"/>
      <c r="DS364" s="1087"/>
      <c r="DT364" s="1087"/>
      <c r="DU364" s="1087"/>
      <c r="DV364" s="1087"/>
      <c r="DW364" s="1087"/>
      <c r="DX364" s="1087"/>
      <c r="DY364" s="1087"/>
      <c r="DZ364" s="1087"/>
      <c r="EA364" s="1087"/>
      <c r="EB364" s="1087"/>
      <c r="EC364" s="1087"/>
      <c r="ED364" s="1087"/>
      <c r="EE364" s="1087"/>
      <c r="EF364" s="1087"/>
      <c r="EG364" s="1087"/>
      <c r="EH364" s="1087"/>
      <c r="EI364" s="1087"/>
      <c r="EJ364" s="1087"/>
      <c r="EK364" s="1087"/>
      <c r="EL364" s="1087"/>
      <c r="EM364" s="1087"/>
      <c r="EN364" s="1087"/>
      <c r="EO364" s="1087"/>
      <c r="EP364" s="1087"/>
      <c r="EQ364" s="1087"/>
      <c r="ER364" s="1087"/>
      <c r="ES364" s="1087"/>
      <c r="ET364" s="1087"/>
      <c r="EU364" s="1087"/>
      <c r="EV364" s="1087"/>
      <c r="EW364" s="1087"/>
      <c r="EX364" s="1087"/>
      <c r="EY364" s="1087"/>
      <c r="EZ364" s="1087"/>
      <c r="FA364" s="1087"/>
      <c r="FB364" s="1087"/>
      <c r="FC364" s="1087"/>
      <c r="FD364" s="1087"/>
      <c r="FE364" s="1087"/>
      <c r="FF364" s="1087"/>
      <c r="FG364" s="1087"/>
      <c r="FH364" s="1087"/>
      <c r="FI364" s="1087"/>
      <c r="FJ364" s="1087"/>
      <c r="FK364" s="1087"/>
      <c r="FL364" s="1087"/>
      <c r="FM364" s="1087"/>
      <c r="FN364" s="1087"/>
      <c r="FO364" s="1087"/>
      <c r="FP364" s="1087"/>
      <c r="FQ364" s="1087"/>
      <c r="FR364" s="1087"/>
      <c r="FS364" s="1087"/>
      <c r="FT364" s="1087"/>
      <c r="FU364" s="1087"/>
      <c r="FV364" s="1087"/>
      <c r="FW364" s="1087"/>
      <c r="FX364" s="1087"/>
      <c r="FY364" s="1087"/>
      <c r="FZ364" s="1087"/>
      <c r="GA364" s="1087"/>
      <c r="GB364" s="1087"/>
      <c r="GC364" s="1087"/>
      <c r="GD364" s="1087"/>
      <c r="GE364" s="1087"/>
      <c r="GF364" s="1087"/>
      <c r="GG364" s="1087"/>
      <c r="GH364" s="1087"/>
      <c r="GI364" s="1087"/>
      <c r="GJ364" s="1087"/>
      <c r="GK364" s="1087"/>
      <c r="GL364" s="1087"/>
      <c r="GM364" s="1087"/>
      <c r="GN364" s="1087"/>
      <c r="GO364" s="1087"/>
      <c r="GP364" s="1087"/>
      <c r="GQ364" s="1087"/>
      <c r="GR364" s="1087"/>
      <c r="GS364" s="1087"/>
      <c r="GT364" s="1087"/>
      <c r="GU364" s="1087"/>
      <c r="GV364" s="1087"/>
      <c r="GW364" s="1087"/>
      <c r="GX364" s="1087"/>
      <c r="GY364" s="1087"/>
      <c r="GZ364" s="1087"/>
      <c r="HA364" s="1087"/>
      <c r="HB364" s="1087"/>
      <c r="HC364" s="1087"/>
      <c r="HD364" s="1087"/>
      <c r="HE364" s="1087"/>
      <c r="HF364" s="1087"/>
      <c r="HG364" s="1087"/>
      <c r="HH364" s="1087"/>
      <c r="HI364" s="1087"/>
      <c r="HJ364" s="1087"/>
      <c r="HK364" s="1087"/>
      <c r="HL364" s="1087"/>
      <c r="HM364" s="1087"/>
      <c r="HN364" s="1087"/>
      <c r="HO364" s="1087"/>
      <c r="HP364" s="1087"/>
      <c r="HQ364" s="1087"/>
      <c r="HR364" s="1087"/>
      <c r="HS364" s="1087"/>
      <c r="HT364" s="1087"/>
      <c r="HU364" s="1087"/>
      <c r="HV364" s="1087"/>
      <c r="HW364" s="1087"/>
      <c r="HX364" s="1087"/>
      <c r="HY364" s="1087"/>
      <c r="HZ364" s="1087"/>
      <c r="IA364" s="1087"/>
      <c r="IB364" s="1087"/>
      <c r="IC364" s="1087"/>
      <c r="ID364" s="1087"/>
      <c r="IE364" s="1087"/>
      <c r="IF364" s="1087"/>
      <c r="IG364" s="1087"/>
      <c r="IH364" s="1087"/>
      <c r="II364" s="1087"/>
      <c r="IJ364" s="1087"/>
      <c r="IK364" s="1087"/>
      <c r="IL364" s="1087"/>
      <c r="IM364" s="1087"/>
      <c r="IN364" s="1087"/>
      <c r="IO364" s="1087"/>
      <c r="IP364" s="1087"/>
      <c r="IQ364" s="1087"/>
      <c r="IR364" s="1087"/>
      <c r="IS364" s="1087"/>
      <c r="IT364" s="1087"/>
      <c r="IU364" s="1087"/>
      <c r="IV364" s="1087"/>
      <c r="IW364" s="1087"/>
      <c r="IX364" s="1087"/>
      <c r="IY364" s="1087"/>
      <c r="IZ364" s="1087"/>
      <c r="JA364" s="1087"/>
      <c r="JB364" s="1087"/>
      <c r="JC364" s="1087"/>
      <c r="JD364" s="1087"/>
      <c r="JE364" s="1087"/>
      <c r="JF364" s="1087"/>
      <c r="JG364" s="1087"/>
      <c r="JH364" s="1087"/>
      <c r="JI364" s="1087"/>
      <c r="JJ364" s="1087"/>
      <c r="JK364" s="1087"/>
      <c r="JL364" s="1087"/>
      <c r="JM364" s="1087"/>
      <c r="JN364" s="1087"/>
      <c r="JO364" s="1087"/>
      <c r="JP364" s="1087"/>
      <c r="JQ364" s="1087"/>
      <c r="JR364" s="1087"/>
      <c r="JS364" s="1087"/>
      <c r="JT364" s="1087"/>
      <c r="JU364" s="1087"/>
      <c r="JV364" s="1087"/>
      <c r="JW364" s="1087"/>
      <c r="JX364" s="1087"/>
      <c r="JY364" s="1087"/>
      <c r="JZ364" s="1087"/>
      <c r="KA364" s="1087"/>
      <c r="KB364" s="1092"/>
    </row>
    <row r="365" spans="2:288" ht="15" customHeight="1" x14ac:dyDescent="0.35">
      <c r="B365" s="146" t="str">
        <f t="shared" si="29"/>
        <v>Desk 46</v>
      </c>
      <c r="C365" s="148" t="str">
        <v/>
      </c>
      <c r="D365" s="148" t="str">
        <v/>
      </c>
      <c r="E365" s="148" t="str">
        <v/>
      </c>
      <c r="F365" s="148" t="str">
        <v/>
      </c>
      <c r="G365" s="268" t="str">
        <v/>
      </c>
      <c r="H365" s="1087"/>
      <c r="I365" s="1087"/>
      <c r="J365" s="1087"/>
      <c r="K365" s="1087"/>
      <c r="L365" s="1087"/>
      <c r="M365" s="1087"/>
      <c r="N365" s="1087"/>
      <c r="O365" s="1087"/>
      <c r="P365" s="1087"/>
      <c r="Q365" s="1087"/>
      <c r="R365" s="1087"/>
      <c r="S365" s="1087"/>
      <c r="T365" s="1087"/>
      <c r="U365" s="1087"/>
      <c r="V365" s="1087"/>
      <c r="W365" s="1087"/>
      <c r="X365" s="1087"/>
      <c r="Y365" s="1087"/>
      <c r="Z365" s="1087"/>
      <c r="AA365" s="1087"/>
      <c r="AB365" s="1087"/>
      <c r="AC365" s="1087"/>
      <c r="AD365" s="1087"/>
      <c r="AE365" s="1087"/>
      <c r="AF365" s="1087"/>
      <c r="AG365" s="1087"/>
      <c r="AH365" s="1087"/>
      <c r="AI365" s="1087"/>
      <c r="AJ365" s="1087"/>
      <c r="AK365" s="1087"/>
      <c r="AL365" s="1087"/>
      <c r="AM365" s="1087"/>
      <c r="AN365" s="1087"/>
      <c r="AO365" s="1087"/>
      <c r="AP365" s="1087"/>
      <c r="AQ365" s="1087"/>
      <c r="AR365" s="1087"/>
      <c r="AS365" s="1087"/>
      <c r="AT365" s="1087"/>
      <c r="AU365" s="1087"/>
      <c r="AV365" s="1087"/>
      <c r="AW365" s="1087"/>
      <c r="AX365" s="1087"/>
      <c r="AY365" s="1087"/>
      <c r="AZ365" s="1087"/>
      <c r="BA365" s="1087"/>
      <c r="BB365" s="1087"/>
      <c r="BC365" s="1087"/>
      <c r="BD365" s="1087"/>
      <c r="BE365" s="1087"/>
      <c r="BF365" s="1087"/>
      <c r="BG365" s="1087"/>
      <c r="BH365" s="1087"/>
      <c r="BI365" s="1087"/>
      <c r="BJ365" s="1087"/>
      <c r="BK365" s="1087"/>
      <c r="BL365" s="1087"/>
      <c r="BM365" s="1087"/>
      <c r="BN365" s="1087"/>
      <c r="BO365" s="1087"/>
      <c r="BP365" s="1087"/>
      <c r="BQ365" s="1087"/>
      <c r="BR365" s="1087"/>
      <c r="BS365" s="1087"/>
      <c r="BT365" s="1087"/>
      <c r="BU365" s="1087"/>
      <c r="BV365" s="1087"/>
      <c r="BW365" s="1087"/>
      <c r="BX365" s="1087"/>
      <c r="BY365" s="1087"/>
      <c r="BZ365" s="1087"/>
      <c r="CA365" s="1087"/>
      <c r="CB365" s="1087"/>
      <c r="CC365" s="1087"/>
      <c r="CD365" s="1087"/>
      <c r="CE365" s="1087"/>
      <c r="CF365" s="1087"/>
      <c r="CG365" s="1087"/>
      <c r="CH365" s="1087"/>
      <c r="CI365" s="1087"/>
      <c r="CJ365" s="1087"/>
      <c r="CK365" s="1087"/>
      <c r="CL365" s="1087"/>
      <c r="CM365" s="1087"/>
      <c r="CN365" s="1087"/>
      <c r="CO365" s="1087"/>
      <c r="CP365" s="1087"/>
      <c r="CQ365" s="1087"/>
      <c r="CR365" s="1087"/>
      <c r="CS365" s="1087"/>
      <c r="CT365" s="1087"/>
      <c r="CU365" s="1087"/>
      <c r="CV365" s="1087"/>
      <c r="CW365" s="1087"/>
      <c r="CX365" s="1087"/>
      <c r="CY365" s="1087"/>
      <c r="CZ365" s="1087"/>
      <c r="DA365" s="1087"/>
      <c r="DB365" s="1087"/>
      <c r="DC365" s="1087"/>
      <c r="DD365" s="1087"/>
      <c r="DE365" s="1087"/>
      <c r="DF365" s="1087"/>
      <c r="DG365" s="1087"/>
      <c r="DH365" s="1087"/>
      <c r="DI365" s="1087"/>
      <c r="DJ365" s="1087"/>
      <c r="DK365" s="1087"/>
      <c r="DL365" s="1087"/>
      <c r="DM365" s="1087"/>
      <c r="DN365" s="1087"/>
      <c r="DO365" s="1087"/>
      <c r="DP365" s="1087"/>
      <c r="DQ365" s="1087"/>
      <c r="DR365" s="1087"/>
      <c r="DS365" s="1087"/>
      <c r="DT365" s="1087"/>
      <c r="DU365" s="1087"/>
      <c r="DV365" s="1087"/>
      <c r="DW365" s="1087"/>
      <c r="DX365" s="1087"/>
      <c r="DY365" s="1087"/>
      <c r="DZ365" s="1087"/>
      <c r="EA365" s="1087"/>
      <c r="EB365" s="1087"/>
      <c r="EC365" s="1087"/>
      <c r="ED365" s="1087"/>
      <c r="EE365" s="1087"/>
      <c r="EF365" s="1087"/>
      <c r="EG365" s="1087"/>
      <c r="EH365" s="1087"/>
      <c r="EI365" s="1087"/>
      <c r="EJ365" s="1087"/>
      <c r="EK365" s="1087"/>
      <c r="EL365" s="1087"/>
      <c r="EM365" s="1087"/>
      <c r="EN365" s="1087"/>
      <c r="EO365" s="1087"/>
      <c r="EP365" s="1087"/>
      <c r="EQ365" s="1087"/>
      <c r="ER365" s="1087"/>
      <c r="ES365" s="1087"/>
      <c r="ET365" s="1087"/>
      <c r="EU365" s="1087"/>
      <c r="EV365" s="1087"/>
      <c r="EW365" s="1087"/>
      <c r="EX365" s="1087"/>
      <c r="EY365" s="1087"/>
      <c r="EZ365" s="1087"/>
      <c r="FA365" s="1087"/>
      <c r="FB365" s="1087"/>
      <c r="FC365" s="1087"/>
      <c r="FD365" s="1087"/>
      <c r="FE365" s="1087"/>
      <c r="FF365" s="1087"/>
      <c r="FG365" s="1087"/>
      <c r="FH365" s="1087"/>
      <c r="FI365" s="1087"/>
      <c r="FJ365" s="1087"/>
      <c r="FK365" s="1087"/>
      <c r="FL365" s="1087"/>
      <c r="FM365" s="1087"/>
      <c r="FN365" s="1087"/>
      <c r="FO365" s="1087"/>
      <c r="FP365" s="1087"/>
      <c r="FQ365" s="1087"/>
      <c r="FR365" s="1087"/>
      <c r="FS365" s="1087"/>
      <c r="FT365" s="1087"/>
      <c r="FU365" s="1087"/>
      <c r="FV365" s="1087"/>
      <c r="FW365" s="1087"/>
      <c r="FX365" s="1087"/>
      <c r="FY365" s="1087"/>
      <c r="FZ365" s="1087"/>
      <c r="GA365" s="1087"/>
      <c r="GB365" s="1087"/>
      <c r="GC365" s="1087"/>
      <c r="GD365" s="1087"/>
      <c r="GE365" s="1087"/>
      <c r="GF365" s="1087"/>
      <c r="GG365" s="1087"/>
      <c r="GH365" s="1087"/>
      <c r="GI365" s="1087"/>
      <c r="GJ365" s="1087"/>
      <c r="GK365" s="1087"/>
      <c r="GL365" s="1087"/>
      <c r="GM365" s="1087"/>
      <c r="GN365" s="1087"/>
      <c r="GO365" s="1087"/>
      <c r="GP365" s="1087"/>
      <c r="GQ365" s="1087"/>
      <c r="GR365" s="1087"/>
      <c r="GS365" s="1087"/>
      <c r="GT365" s="1087"/>
      <c r="GU365" s="1087"/>
      <c r="GV365" s="1087"/>
      <c r="GW365" s="1087"/>
      <c r="GX365" s="1087"/>
      <c r="GY365" s="1087"/>
      <c r="GZ365" s="1087"/>
      <c r="HA365" s="1087"/>
      <c r="HB365" s="1087"/>
      <c r="HC365" s="1087"/>
      <c r="HD365" s="1087"/>
      <c r="HE365" s="1087"/>
      <c r="HF365" s="1087"/>
      <c r="HG365" s="1087"/>
      <c r="HH365" s="1087"/>
      <c r="HI365" s="1087"/>
      <c r="HJ365" s="1087"/>
      <c r="HK365" s="1087"/>
      <c r="HL365" s="1087"/>
      <c r="HM365" s="1087"/>
      <c r="HN365" s="1087"/>
      <c r="HO365" s="1087"/>
      <c r="HP365" s="1087"/>
      <c r="HQ365" s="1087"/>
      <c r="HR365" s="1087"/>
      <c r="HS365" s="1087"/>
      <c r="HT365" s="1087"/>
      <c r="HU365" s="1087"/>
      <c r="HV365" s="1087"/>
      <c r="HW365" s="1087"/>
      <c r="HX365" s="1087"/>
      <c r="HY365" s="1087"/>
      <c r="HZ365" s="1087"/>
      <c r="IA365" s="1087"/>
      <c r="IB365" s="1087"/>
      <c r="IC365" s="1087"/>
      <c r="ID365" s="1087"/>
      <c r="IE365" s="1087"/>
      <c r="IF365" s="1087"/>
      <c r="IG365" s="1087"/>
      <c r="IH365" s="1087"/>
      <c r="II365" s="1087"/>
      <c r="IJ365" s="1087"/>
      <c r="IK365" s="1087"/>
      <c r="IL365" s="1087"/>
      <c r="IM365" s="1087"/>
      <c r="IN365" s="1087"/>
      <c r="IO365" s="1087"/>
      <c r="IP365" s="1087"/>
      <c r="IQ365" s="1087"/>
      <c r="IR365" s="1087"/>
      <c r="IS365" s="1087"/>
      <c r="IT365" s="1087"/>
      <c r="IU365" s="1087"/>
      <c r="IV365" s="1087"/>
      <c r="IW365" s="1087"/>
      <c r="IX365" s="1087"/>
      <c r="IY365" s="1087"/>
      <c r="IZ365" s="1087"/>
      <c r="JA365" s="1087"/>
      <c r="JB365" s="1087"/>
      <c r="JC365" s="1087"/>
      <c r="JD365" s="1087"/>
      <c r="JE365" s="1087"/>
      <c r="JF365" s="1087"/>
      <c r="JG365" s="1087"/>
      <c r="JH365" s="1087"/>
      <c r="JI365" s="1087"/>
      <c r="JJ365" s="1087"/>
      <c r="JK365" s="1087"/>
      <c r="JL365" s="1087"/>
      <c r="JM365" s="1087"/>
      <c r="JN365" s="1087"/>
      <c r="JO365" s="1087"/>
      <c r="JP365" s="1087"/>
      <c r="JQ365" s="1087"/>
      <c r="JR365" s="1087"/>
      <c r="JS365" s="1087"/>
      <c r="JT365" s="1087"/>
      <c r="JU365" s="1087"/>
      <c r="JV365" s="1087"/>
      <c r="JW365" s="1087"/>
      <c r="JX365" s="1087"/>
      <c r="JY365" s="1087"/>
      <c r="JZ365" s="1087"/>
      <c r="KA365" s="1087"/>
      <c r="KB365" s="1092"/>
    </row>
    <row r="366" spans="2:288" ht="15" customHeight="1" x14ac:dyDescent="0.35">
      <c r="B366" s="146" t="str">
        <f t="shared" si="29"/>
        <v>Desk 47</v>
      </c>
      <c r="C366" s="148" t="str">
        <v/>
      </c>
      <c r="D366" s="148" t="str">
        <v/>
      </c>
      <c r="E366" s="148" t="str">
        <v/>
      </c>
      <c r="F366" s="148" t="str">
        <v/>
      </c>
      <c r="G366" s="268" t="str">
        <v/>
      </c>
      <c r="H366" s="1087"/>
      <c r="I366" s="1087"/>
      <c r="J366" s="1087"/>
      <c r="K366" s="1087"/>
      <c r="L366" s="1087"/>
      <c r="M366" s="1087"/>
      <c r="N366" s="1087"/>
      <c r="O366" s="1087"/>
      <c r="P366" s="1087"/>
      <c r="Q366" s="1087"/>
      <c r="R366" s="1087"/>
      <c r="S366" s="1087"/>
      <c r="T366" s="1087"/>
      <c r="U366" s="1087"/>
      <c r="V366" s="1087"/>
      <c r="W366" s="1087"/>
      <c r="X366" s="1087"/>
      <c r="Y366" s="1087"/>
      <c r="Z366" s="1087"/>
      <c r="AA366" s="1087"/>
      <c r="AB366" s="1087"/>
      <c r="AC366" s="1087"/>
      <c r="AD366" s="1087"/>
      <c r="AE366" s="1087"/>
      <c r="AF366" s="1087"/>
      <c r="AG366" s="1087"/>
      <c r="AH366" s="1087"/>
      <c r="AI366" s="1087"/>
      <c r="AJ366" s="1087"/>
      <c r="AK366" s="1087"/>
      <c r="AL366" s="1087"/>
      <c r="AM366" s="1087"/>
      <c r="AN366" s="1087"/>
      <c r="AO366" s="1087"/>
      <c r="AP366" s="1087"/>
      <c r="AQ366" s="1087"/>
      <c r="AR366" s="1087"/>
      <c r="AS366" s="1087"/>
      <c r="AT366" s="1087"/>
      <c r="AU366" s="1087"/>
      <c r="AV366" s="1087"/>
      <c r="AW366" s="1087"/>
      <c r="AX366" s="1087"/>
      <c r="AY366" s="1087"/>
      <c r="AZ366" s="1087"/>
      <c r="BA366" s="1087"/>
      <c r="BB366" s="1087"/>
      <c r="BC366" s="1087"/>
      <c r="BD366" s="1087"/>
      <c r="BE366" s="1087"/>
      <c r="BF366" s="1087"/>
      <c r="BG366" s="1087"/>
      <c r="BH366" s="1087"/>
      <c r="BI366" s="1087"/>
      <c r="BJ366" s="1087"/>
      <c r="BK366" s="1087"/>
      <c r="BL366" s="1087"/>
      <c r="BM366" s="1087"/>
      <c r="BN366" s="1087"/>
      <c r="BO366" s="1087"/>
      <c r="BP366" s="1087"/>
      <c r="BQ366" s="1087"/>
      <c r="BR366" s="1087"/>
      <c r="BS366" s="1087"/>
      <c r="BT366" s="1087"/>
      <c r="BU366" s="1087"/>
      <c r="BV366" s="1087"/>
      <c r="BW366" s="1087"/>
      <c r="BX366" s="1087"/>
      <c r="BY366" s="1087"/>
      <c r="BZ366" s="1087"/>
      <c r="CA366" s="1087"/>
      <c r="CB366" s="1087"/>
      <c r="CC366" s="1087"/>
      <c r="CD366" s="1087"/>
      <c r="CE366" s="1087"/>
      <c r="CF366" s="1087"/>
      <c r="CG366" s="1087"/>
      <c r="CH366" s="1087"/>
      <c r="CI366" s="1087"/>
      <c r="CJ366" s="1087"/>
      <c r="CK366" s="1087"/>
      <c r="CL366" s="1087"/>
      <c r="CM366" s="1087"/>
      <c r="CN366" s="1087"/>
      <c r="CO366" s="1087"/>
      <c r="CP366" s="1087"/>
      <c r="CQ366" s="1087"/>
      <c r="CR366" s="1087"/>
      <c r="CS366" s="1087"/>
      <c r="CT366" s="1087"/>
      <c r="CU366" s="1087"/>
      <c r="CV366" s="1087"/>
      <c r="CW366" s="1087"/>
      <c r="CX366" s="1087"/>
      <c r="CY366" s="1087"/>
      <c r="CZ366" s="1087"/>
      <c r="DA366" s="1087"/>
      <c r="DB366" s="1087"/>
      <c r="DC366" s="1087"/>
      <c r="DD366" s="1087"/>
      <c r="DE366" s="1087"/>
      <c r="DF366" s="1087"/>
      <c r="DG366" s="1087"/>
      <c r="DH366" s="1087"/>
      <c r="DI366" s="1087"/>
      <c r="DJ366" s="1087"/>
      <c r="DK366" s="1087"/>
      <c r="DL366" s="1087"/>
      <c r="DM366" s="1087"/>
      <c r="DN366" s="1087"/>
      <c r="DO366" s="1087"/>
      <c r="DP366" s="1087"/>
      <c r="DQ366" s="1087"/>
      <c r="DR366" s="1087"/>
      <c r="DS366" s="1087"/>
      <c r="DT366" s="1087"/>
      <c r="DU366" s="1087"/>
      <c r="DV366" s="1087"/>
      <c r="DW366" s="1087"/>
      <c r="DX366" s="1087"/>
      <c r="DY366" s="1087"/>
      <c r="DZ366" s="1087"/>
      <c r="EA366" s="1087"/>
      <c r="EB366" s="1087"/>
      <c r="EC366" s="1087"/>
      <c r="ED366" s="1087"/>
      <c r="EE366" s="1087"/>
      <c r="EF366" s="1087"/>
      <c r="EG366" s="1087"/>
      <c r="EH366" s="1087"/>
      <c r="EI366" s="1087"/>
      <c r="EJ366" s="1087"/>
      <c r="EK366" s="1087"/>
      <c r="EL366" s="1087"/>
      <c r="EM366" s="1087"/>
      <c r="EN366" s="1087"/>
      <c r="EO366" s="1087"/>
      <c r="EP366" s="1087"/>
      <c r="EQ366" s="1087"/>
      <c r="ER366" s="1087"/>
      <c r="ES366" s="1087"/>
      <c r="ET366" s="1087"/>
      <c r="EU366" s="1087"/>
      <c r="EV366" s="1087"/>
      <c r="EW366" s="1087"/>
      <c r="EX366" s="1087"/>
      <c r="EY366" s="1087"/>
      <c r="EZ366" s="1087"/>
      <c r="FA366" s="1087"/>
      <c r="FB366" s="1087"/>
      <c r="FC366" s="1087"/>
      <c r="FD366" s="1087"/>
      <c r="FE366" s="1087"/>
      <c r="FF366" s="1087"/>
      <c r="FG366" s="1087"/>
      <c r="FH366" s="1087"/>
      <c r="FI366" s="1087"/>
      <c r="FJ366" s="1087"/>
      <c r="FK366" s="1087"/>
      <c r="FL366" s="1087"/>
      <c r="FM366" s="1087"/>
      <c r="FN366" s="1087"/>
      <c r="FO366" s="1087"/>
      <c r="FP366" s="1087"/>
      <c r="FQ366" s="1087"/>
      <c r="FR366" s="1087"/>
      <c r="FS366" s="1087"/>
      <c r="FT366" s="1087"/>
      <c r="FU366" s="1087"/>
      <c r="FV366" s="1087"/>
      <c r="FW366" s="1087"/>
      <c r="FX366" s="1087"/>
      <c r="FY366" s="1087"/>
      <c r="FZ366" s="1087"/>
      <c r="GA366" s="1087"/>
      <c r="GB366" s="1087"/>
      <c r="GC366" s="1087"/>
      <c r="GD366" s="1087"/>
      <c r="GE366" s="1087"/>
      <c r="GF366" s="1087"/>
      <c r="GG366" s="1087"/>
      <c r="GH366" s="1087"/>
      <c r="GI366" s="1087"/>
      <c r="GJ366" s="1087"/>
      <c r="GK366" s="1087"/>
      <c r="GL366" s="1087"/>
      <c r="GM366" s="1087"/>
      <c r="GN366" s="1087"/>
      <c r="GO366" s="1087"/>
      <c r="GP366" s="1087"/>
      <c r="GQ366" s="1087"/>
      <c r="GR366" s="1087"/>
      <c r="GS366" s="1087"/>
      <c r="GT366" s="1087"/>
      <c r="GU366" s="1087"/>
      <c r="GV366" s="1087"/>
      <c r="GW366" s="1087"/>
      <c r="GX366" s="1087"/>
      <c r="GY366" s="1087"/>
      <c r="GZ366" s="1087"/>
      <c r="HA366" s="1087"/>
      <c r="HB366" s="1087"/>
      <c r="HC366" s="1087"/>
      <c r="HD366" s="1087"/>
      <c r="HE366" s="1087"/>
      <c r="HF366" s="1087"/>
      <c r="HG366" s="1087"/>
      <c r="HH366" s="1087"/>
      <c r="HI366" s="1087"/>
      <c r="HJ366" s="1087"/>
      <c r="HK366" s="1087"/>
      <c r="HL366" s="1087"/>
      <c r="HM366" s="1087"/>
      <c r="HN366" s="1087"/>
      <c r="HO366" s="1087"/>
      <c r="HP366" s="1087"/>
      <c r="HQ366" s="1087"/>
      <c r="HR366" s="1087"/>
      <c r="HS366" s="1087"/>
      <c r="HT366" s="1087"/>
      <c r="HU366" s="1087"/>
      <c r="HV366" s="1087"/>
      <c r="HW366" s="1087"/>
      <c r="HX366" s="1087"/>
      <c r="HY366" s="1087"/>
      <c r="HZ366" s="1087"/>
      <c r="IA366" s="1087"/>
      <c r="IB366" s="1087"/>
      <c r="IC366" s="1087"/>
      <c r="ID366" s="1087"/>
      <c r="IE366" s="1087"/>
      <c r="IF366" s="1087"/>
      <c r="IG366" s="1087"/>
      <c r="IH366" s="1087"/>
      <c r="II366" s="1087"/>
      <c r="IJ366" s="1087"/>
      <c r="IK366" s="1087"/>
      <c r="IL366" s="1087"/>
      <c r="IM366" s="1087"/>
      <c r="IN366" s="1087"/>
      <c r="IO366" s="1087"/>
      <c r="IP366" s="1087"/>
      <c r="IQ366" s="1087"/>
      <c r="IR366" s="1087"/>
      <c r="IS366" s="1087"/>
      <c r="IT366" s="1087"/>
      <c r="IU366" s="1087"/>
      <c r="IV366" s="1087"/>
      <c r="IW366" s="1087"/>
      <c r="IX366" s="1087"/>
      <c r="IY366" s="1087"/>
      <c r="IZ366" s="1087"/>
      <c r="JA366" s="1087"/>
      <c r="JB366" s="1087"/>
      <c r="JC366" s="1087"/>
      <c r="JD366" s="1087"/>
      <c r="JE366" s="1087"/>
      <c r="JF366" s="1087"/>
      <c r="JG366" s="1087"/>
      <c r="JH366" s="1087"/>
      <c r="JI366" s="1087"/>
      <c r="JJ366" s="1087"/>
      <c r="JK366" s="1087"/>
      <c r="JL366" s="1087"/>
      <c r="JM366" s="1087"/>
      <c r="JN366" s="1087"/>
      <c r="JO366" s="1087"/>
      <c r="JP366" s="1087"/>
      <c r="JQ366" s="1087"/>
      <c r="JR366" s="1087"/>
      <c r="JS366" s="1087"/>
      <c r="JT366" s="1087"/>
      <c r="JU366" s="1087"/>
      <c r="JV366" s="1087"/>
      <c r="JW366" s="1087"/>
      <c r="JX366" s="1087"/>
      <c r="JY366" s="1087"/>
      <c r="JZ366" s="1087"/>
      <c r="KA366" s="1087"/>
      <c r="KB366" s="1092"/>
    </row>
    <row r="367" spans="2:288" ht="15" customHeight="1" x14ac:dyDescent="0.35">
      <c r="B367" s="146" t="str">
        <f t="shared" si="29"/>
        <v>Desk 48</v>
      </c>
      <c r="C367" s="148" t="str">
        <v/>
      </c>
      <c r="D367" s="148" t="str">
        <v/>
      </c>
      <c r="E367" s="148" t="str">
        <v/>
      </c>
      <c r="F367" s="148" t="str">
        <v/>
      </c>
      <c r="G367" s="268" t="str">
        <v/>
      </c>
      <c r="H367" s="1087"/>
      <c r="I367" s="1087"/>
      <c r="J367" s="1087"/>
      <c r="K367" s="1087"/>
      <c r="L367" s="1087"/>
      <c r="M367" s="1087"/>
      <c r="N367" s="1087"/>
      <c r="O367" s="1087"/>
      <c r="P367" s="1087"/>
      <c r="Q367" s="1087"/>
      <c r="R367" s="1087"/>
      <c r="S367" s="1087"/>
      <c r="T367" s="1087"/>
      <c r="U367" s="1087"/>
      <c r="V367" s="1087"/>
      <c r="W367" s="1087"/>
      <c r="X367" s="1087"/>
      <c r="Y367" s="1087"/>
      <c r="Z367" s="1087"/>
      <c r="AA367" s="1087"/>
      <c r="AB367" s="1087"/>
      <c r="AC367" s="1087"/>
      <c r="AD367" s="1087"/>
      <c r="AE367" s="1087"/>
      <c r="AF367" s="1087"/>
      <c r="AG367" s="1087"/>
      <c r="AH367" s="1087"/>
      <c r="AI367" s="1087"/>
      <c r="AJ367" s="1087"/>
      <c r="AK367" s="1087"/>
      <c r="AL367" s="1087"/>
      <c r="AM367" s="1087"/>
      <c r="AN367" s="1087"/>
      <c r="AO367" s="1087"/>
      <c r="AP367" s="1087"/>
      <c r="AQ367" s="1087"/>
      <c r="AR367" s="1087"/>
      <c r="AS367" s="1087"/>
      <c r="AT367" s="1087"/>
      <c r="AU367" s="1087"/>
      <c r="AV367" s="1087"/>
      <c r="AW367" s="1087"/>
      <c r="AX367" s="1087"/>
      <c r="AY367" s="1087"/>
      <c r="AZ367" s="1087"/>
      <c r="BA367" s="1087"/>
      <c r="BB367" s="1087"/>
      <c r="BC367" s="1087"/>
      <c r="BD367" s="1087"/>
      <c r="BE367" s="1087"/>
      <c r="BF367" s="1087"/>
      <c r="BG367" s="1087"/>
      <c r="BH367" s="1087"/>
      <c r="BI367" s="1087"/>
      <c r="BJ367" s="1087"/>
      <c r="BK367" s="1087"/>
      <c r="BL367" s="1087"/>
      <c r="BM367" s="1087"/>
      <c r="BN367" s="1087"/>
      <c r="BO367" s="1087"/>
      <c r="BP367" s="1087"/>
      <c r="BQ367" s="1087"/>
      <c r="BR367" s="1087"/>
      <c r="BS367" s="1087"/>
      <c r="BT367" s="1087"/>
      <c r="BU367" s="1087"/>
      <c r="BV367" s="1087"/>
      <c r="BW367" s="1087"/>
      <c r="BX367" s="1087"/>
      <c r="BY367" s="1087"/>
      <c r="BZ367" s="1087"/>
      <c r="CA367" s="1087"/>
      <c r="CB367" s="1087"/>
      <c r="CC367" s="1087"/>
      <c r="CD367" s="1087"/>
      <c r="CE367" s="1087"/>
      <c r="CF367" s="1087"/>
      <c r="CG367" s="1087"/>
      <c r="CH367" s="1087"/>
      <c r="CI367" s="1087"/>
      <c r="CJ367" s="1087"/>
      <c r="CK367" s="1087"/>
      <c r="CL367" s="1087"/>
      <c r="CM367" s="1087"/>
      <c r="CN367" s="1087"/>
      <c r="CO367" s="1087"/>
      <c r="CP367" s="1087"/>
      <c r="CQ367" s="1087"/>
      <c r="CR367" s="1087"/>
      <c r="CS367" s="1087"/>
      <c r="CT367" s="1087"/>
      <c r="CU367" s="1087"/>
      <c r="CV367" s="1087"/>
      <c r="CW367" s="1087"/>
      <c r="CX367" s="1087"/>
      <c r="CY367" s="1087"/>
      <c r="CZ367" s="1087"/>
      <c r="DA367" s="1087"/>
      <c r="DB367" s="1087"/>
      <c r="DC367" s="1087"/>
      <c r="DD367" s="1087"/>
      <c r="DE367" s="1087"/>
      <c r="DF367" s="1087"/>
      <c r="DG367" s="1087"/>
      <c r="DH367" s="1087"/>
      <c r="DI367" s="1087"/>
      <c r="DJ367" s="1087"/>
      <c r="DK367" s="1087"/>
      <c r="DL367" s="1087"/>
      <c r="DM367" s="1087"/>
      <c r="DN367" s="1087"/>
      <c r="DO367" s="1087"/>
      <c r="DP367" s="1087"/>
      <c r="DQ367" s="1087"/>
      <c r="DR367" s="1087"/>
      <c r="DS367" s="1087"/>
      <c r="DT367" s="1087"/>
      <c r="DU367" s="1087"/>
      <c r="DV367" s="1087"/>
      <c r="DW367" s="1087"/>
      <c r="DX367" s="1087"/>
      <c r="DY367" s="1087"/>
      <c r="DZ367" s="1087"/>
      <c r="EA367" s="1087"/>
      <c r="EB367" s="1087"/>
      <c r="EC367" s="1087"/>
      <c r="ED367" s="1087"/>
      <c r="EE367" s="1087"/>
      <c r="EF367" s="1087"/>
      <c r="EG367" s="1087"/>
      <c r="EH367" s="1087"/>
      <c r="EI367" s="1087"/>
      <c r="EJ367" s="1087"/>
      <c r="EK367" s="1087"/>
      <c r="EL367" s="1087"/>
      <c r="EM367" s="1087"/>
      <c r="EN367" s="1087"/>
      <c r="EO367" s="1087"/>
      <c r="EP367" s="1087"/>
      <c r="EQ367" s="1087"/>
      <c r="ER367" s="1087"/>
      <c r="ES367" s="1087"/>
      <c r="ET367" s="1087"/>
      <c r="EU367" s="1087"/>
      <c r="EV367" s="1087"/>
      <c r="EW367" s="1087"/>
      <c r="EX367" s="1087"/>
      <c r="EY367" s="1087"/>
      <c r="EZ367" s="1087"/>
      <c r="FA367" s="1087"/>
      <c r="FB367" s="1087"/>
      <c r="FC367" s="1087"/>
      <c r="FD367" s="1087"/>
      <c r="FE367" s="1087"/>
      <c r="FF367" s="1087"/>
      <c r="FG367" s="1087"/>
      <c r="FH367" s="1087"/>
      <c r="FI367" s="1087"/>
      <c r="FJ367" s="1087"/>
      <c r="FK367" s="1087"/>
      <c r="FL367" s="1087"/>
      <c r="FM367" s="1087"/>
      <c r="FN367" s="1087"/>
      <c r="FO367" s="1087"/>
      <c r="FP367" s="1087"/>
      <c r="FQ367" s="1087"/>
      <c r="FR367" s="1087"/>
      <c r="FS367" s="1087"/>
      <c r="FT367" s="1087"/>
      <c r="FU367" s="1087"/>
      <c r="FV367" s="1087"/>
      <c r="FW367" s="1087"/>
      <c r="FX367" s="1087"/>
      <c r="FY367" s="1087"/>
      <c r="FZ367" s="1087"/>
      <c r="GA367" s="1087"/>
      <c r="GB367" s="1087"/>
      <c r="GC367" s="1087"/>
      <c r="GD367" s="1087"/>
      <c r="GE367" s="1087"/>
      <c r="GF367" s="1087"/>
      <c r="GG367" s="1087"/>
      <c r="GH367" s="1087"/>
      <c r="GI367" s="1087"/>
      <c r="GJ367" s="1087"/>
      <c r="GK367" s="1087"/>
      <c r="GL367" s="1087"/>
      <c r="GM367" s="1087"/>
      <c r="GN367" s="1087"/>
      <c r="GO367" s="1087"/>
      <c r="GP367" s="1087"/>
      <c r="GQ367" s="1087"/>
      <c r="GR367" s="1087"/>
      <c r="GS367" s="1087"/>
      <c r="GT367" s="1087"/>
      <c r="GU367" s="1087"/>
      <c r="GV367" s="1087"/>
      <c r="GW367" s="1087"/>
      <c r="GX367" s="1087"/>
      <c r="GY367" s="1087"/>
      <c r="GZ367" s="1087"/>
      <c r="HA367" s="1087"/>
      <c r="HB367" s="1087"/>
      <c r="HC367" s="1087"/>
      <c r="HD367" s="1087"/>
      <c r="HE367" s="1087"/>
      <c r="HF367" s="1087"/>
      <c r="HG367" s="1087"/>
      <c r="HH367" s="1087"/>
      <c r="HI367" s="1087"/>
      <c r="HJ367" s="1087"/>
      <c r="HK367" s="1087"/>
      <c r="HL367" s="1087"/>
      <c r="HM367" s="1087"/>
      <c r="HN367" s="1087"/>
      <c r="HO367" s="1087"/>
      <c r="HP367" s="1087"/>
      <c r="HQ367" s="1087"/>
      <c r="HR367" s="1087"/>
      <c r="HS367" s="1087"/>
      <c r="HT367" s="1087"/>
      <c r="HU367" s="1087"/>
      <c r="HV367" s="1087"/>
      <c r="HW367" s="1087"/>
      <c r="HX367" s="1087"/>
      <c r="HY367" s="1087"/>
      <c r="HZ367" s="1087"/>
      <c r="IA367" s="1087"/>
      <c r="IB367" s="1087"/>
      <c r="IC367" s="1087"/>
      <c r="ID367" s="1087"/>
      <c r="IE367" s="1087"/>
      <c r="IF367" s="1087"/>
      <c r="IG367" s="1087"/>
      <c r="IH367" s="1087"/>
      <c r="II367" s="1087"/>
      <c r="IJ367" s="1087"/>
      <c r="IK367" s="1087"/>
      <c r="IL367" s="1087"/>
      <c r="IM367" s="1087"/>
      <c r="IN367" s="1087"/>
      <c r="IO367" s="1087"/>
      <c r="IP367" s="1087"/>
      <c r="IQ367" s="1087"/>
      <c r="IR367" s="1087"/>
      <c r="IS367" s="1087"/>
      <c r="IT367" s="1087"/>
      <c r="IU367" s="1087"/>
      <c r="IV367" s="1087"/>
      <c r="IW367" s="1087"/>
      <c r="IX367" s="1087"/>
      <c r="IY367" s="1087"/>
      <c r="IZ367" s="1087"/>
      <c r="JA367" s="1087"/>
      <c r="JB367" s="1087"/>
      <c r="JC367" s="1087"/>
      <c r="JD367" s="1087"/>
      <c r="JE367" s="1087"/>
      <c r="JF367" s="1087"/>
      <c r="JG367" s="1087"/>
      <c r="JH367" s="1087"/>
      <c r="JI367" s="1087"/>
      <c r="JJ367" s="1087"/>
      <c r="JK367" s="1087"/>
      <c r="JL367" s="1087"/>
      <c r="JM367" s="1087"/>
      <c r="JN367" s="1087"/>
      <c r="JO367" s="1087"/>
      <c r="JP367" s="1087"/>
      <c r="JQ367" s="1087"/>
      <c r="JR367" s="1087"/>
      <c r="JS367" s="1087"/>
      <c r="JT367" s="1087"/>
      <c r="JU367" s="1087"/>
      <c r="JV367" s="1087"/>
      <c r="JW367" s="1087"/>
      <c r="JX367" s="1087"/>
      <c r="JY367" s="1087"/>
      <c r="JZ367" s="1087"/>
      <c r="KA367" s="1087"/>
      <c r="KB367" s="1092"/>
    </row>
    <row r="368" spans="2:288" ht="15" customHeight="1" x14ac:dyDescent="0.35">
      <c r="B368" s="146" t="str">
        <f t="shared" si="29"/>
        <v>Desk 49</v>
      </c>
      <c r="C368" s="148" t="str">
        <v/>
      </c>
      <c r="D368" s="148" t="str">
        <v/>
      </c>
      <c r="E368" s="148" t="str">
        <v/>
      </c>
      <c r="F368" s="148" t="str">
        <v/>
      </c>
      <c r="G368" s="268" t="str">
        <v/>
      </c>
      <c r="H368" s="1087"/>
      <c r="I368" s="1087"/>
      <c r="J368" s="1087"/>
      <c r="K368" s="1087"/>
      <c r="L368" s="1087"/>
      <c r="M368" s="1087"/>
      <c r="N368" s="1087"/>
      <c r="O368" s="1087"/>
      <c r="P368" s="1087"/>
      <c r="Q368" s="1087"/>
      <c r="R368" s="1087"/>
      <c r="S368" s="1087"/>
      <c r="T368" s="1087"/>
      <c r="U368" s="1087"/>
      <c r="V368" s="1087"/>
      <c r="W368" s="1087"/>
      <c r="X368" s="1087"/>
      <c r="Y368" s="1087"/>
      <c r="Z368" s="1087"/>
      <c r="AA368" s="1087"/>
      <c r="AB368" s="1087"/>
      <c r="AC368" s="1087"/>
      <c r="AD368" s="1087"/>
      <c r="AE368" s="1087"/>
      <c r="AF368" s="1087"/>
      <c r="AG368" s="1087"/>
      <c r="AH368" s="1087"/>
      <c r="AI368" s="1087"/>
      <c r="AJ368" s="1087"/>
      <c r="AK368" s="1087"/>
      <c r="AL368" s="1087"/>
      <c r="AM368" s="1087"/>
      <c r="AN368" s="1087"/>
      <c r="AO368" s="1087"/>
      <c r="AP368" s="1087"/>
      <c r="AQ368" s="1087"/>
      <c r="AR368" s="1087"/>
      <c r="AS368" s="1087"/>
      <c r="AT368" s="1087"/>
      <c r="AU368" s="1087"/>
      <c r="AV368" s="1087"/>
      <c r="AW368" s="1087"/>
      <c r="AX368" s="1087"/>
      <c r="AY368" s="1087"/>
      <c r="AZ368" s="1087"/>
      <c r="BA368" s="1087"/>
      <c r="BB368" s="1087"/>
      <c r="BC368" s="1087"/>
      <c r="BD368" s="1087"/>
      <c r="BE368" s="1087"/>
      <c r="BF368" s="1087"/>
      <c r="BG368" s="1087"/>
      <c r="BH368" s="1087"/>
      <c r="BI368" s="1087"/>
      <c r="BJ368" s="1087"/>
      <c r="BK368" s="1087"/>
      <c r="BL368" s="1087"/>
      <c r="BM368" s="1087"/>
      <c r="BN368" s="1087"/>
      <c r="BO368" s="1087"/>
      <c r="BP368" s="1087"/>
      <c r="BQ368" s="1087"/>
      <c r="BR368" s="1087"/>
      <c r="BS368" s="1087"/>
      <c r="BT368" s="1087"/>
      <c r="BU368" s="1087"/>
      <c r="BV368" s="1087"/>
      <c r="BW368" s="1087"/>
      <c r="BX368" s="1087"/>
      <c r="BY368" s="1087"/>
      <c r="BZ368" s="1087"/>
      <c r="CA368" s="1087"/>
      <c r="CB368" s="1087"/>
      <c r="CC368" s="1087"/>
      <c r="CD368" s="1087"/>
      <c r="CE368" s="1087"/>
      <c r="CF368" s="1087"/>
      <c r="CG368" s="1087"/>
      <c r="CH368" s="1087"/>
      <c r="CI368" s="1087"/>
      <c r="CJ368" s="1087"/>
      <c r="CK368" s="1087"/>
      <c r="CL368" s="1087"/>
      <c r="CM368" s="1087"/>
      <c r="CN368" s="1087"/>
      <c r="CO368" s="1087"/>
      <c r="CP368" s="1087"/>
      <c r="CQ368" s="1087"/>
      <c r="CR368" s="1087"/>
      <c r="CS368" s="1087"/>
      <c r="CT368" s="1087"/>
      <c r="CU368" s="1087"/>
      <c r="CV368" s="1087"/>
      <c r="CW368" s="1087"/>
      <c r="CX368" s="1087"/>
      <c r="CY368" s="1087"/>
      <c r="CZ368" s="1087"/>
      <c r="DA368" s="1087"/>
      <c r="DB368" s="1087"/>
      <c r="DC368" s="1087"/>
      <c r="DD368" s="1087"/>
      <c r="DE368" s="1087"/>
      <c r="DF368" s="1087"/>
      <c r="DG368" s="1087"/>
      <c r="DH368" s="1087"/>
      <c r="DI368" s="1087"/>
      <c r="DJ368" s="1087"/>
      <c r="DK368" s="1087"/>
      <c r="DL368" s="1087"/>
      <c r="DM368" s="1087"/>
      <c r="DN368" s="1087"/>
      <c r="DO368" s="1087"/>
      <c r="DP368" s="1087"/>
      <c r="DQ368" s="1087"/>
      <c r="DR368" s="1087"/>
      <c r="DS368" s="1087"/>
      <c r="DT368" s="1087"/>
      <c r="DU368" s="1087"/>
      <c r="DV368" s="1087"/>
      <c r="DW368" s="1087"/>
      <c r="DX368" s="1087"/>
      <c r="DY368" s="1087"/>
      <c r="DZ368" s="1087"/>
      <c r="EA368" s="1087"/>
      <c r="EB368" s="1087"/>
      <c r="EC368" s="1087"/>
      <c r="ED368" s="1087"/>
      <c r="EE368" s="1087"/>
      <c r="EF368" s="1087"/>
      <c r="EG368" s="1087"/>
      <c r="EH368" s="1087"/>
      <c r="EI368" s="1087"/>
      <c r="EJ368" s="1087"/>
      <c r="EK368" s="1087"/>
      <c r="EL368" s="1087"/>
      <c r="EM368" s="1087"/>
      <c r="EN368" s="1087"/>
      <c r="EO368" s="1087"/>
      <c r="EP368" s="1087"/>
      <c r="EQ368" s="1087"/>
      <c r="ER368" s="1087"/>
      <c r="ES368" s="1087"/>
      <c r="ET368" s="1087"/>
      <c r="EU368" s="1087"/>
      <c r="EV368" s="1087"/>
      <c r="EW368" s="1087"/>
      <c r="EX368" s="1087"/>
      <c r="EY368" s="1087"/>
      <c r="EZ368" s="1087"/>
      <c r="FA368" s="1087"/>
      <c r="FB368" s="1087"/>
      <c r="FC368" s="1087"/>
      <c r="FD368" s="1087"/>
      <c r="FE368" s="1087"/>
      <c r="FF368" s="1087"/>
      <c r="FG368" s="1087"/>
      <c r="FH368" s="1087"/>
      <c r="FI368" s="1087"/>
      <c r="FJ368" s="1087"/>
      <c r="FK368" s="1087"/>
      <c r="FL368" s="1087"/>
      <c r="FM368" s="1087"/>
      <c r="FN368" s="1087"/>
      <c r="FO368" s="1087"/>
      <c r="FP368" s="1087"/>
      <c r="FQ368" s="1087"/>
      <c r="FR368" s="1087"/>
      <c r="FS368" s="1087"/>
      <c r="FT368" s="1087"/>
      <c r="FU368" s="1087"/>
      <c r="FV368" s="1087"/>
      <c r="FW368" s="1087"/>
      <c r="FX368" s="1087"/>
      <c r="FY368" s="1087"/>
      <c r="FZ368" s="1087"/>
      <c r="GA368" s="1087"/>
      <c r="GB368" s="1087"/>
      <c r="GC368" s="1087"/>
      <c r="GD368" s="1087"/>
      <c r="GE368" s="1087"/>
      <c r="GF368" s="1087"/>
      <c r="GG368" s="1087"/>
      <c r="GH368" s="1087"/>
      <c r="GI368" s="1087"/>
      <c r="GJ368" s="1087"/>
      <c r="GK368" s="1087"/>
      <c r="GL368" s="1087"/>
      <c r="GM368" s="1087"/>
      <c r="GN368" s="1087"/>
      <c r="GO368" s="1087"/>
      <c r="GP368" s="1087"/>
      <c r="GQ368" s="1087"/>
      <c r="GR368" s="1087"/>
      <c r="GS368" s="1087"/>
      <c r="GT368" s="1087"/>
      <c r="GU368" s="1087"/>
      <c r="GV368" s="1087"/>
      <c r="GW368" s="1087"/>
      <c r="GX368" s="1087"/>
      <c r="GY368" s="1087"/>
      <c r="GZ368" s="1087"/>
      <c r="HA368" s="1087"/>
      <c r="HB368" s="1087"/>
      <c r="HC368" s="1087"/>
      <c r="HD368" s="1087"/>
      <c r="HE368" s="1087"/>
      <c r="HF368" s="1087"/>
      <c r="HG368" s="1087"/>
      <c r="HH368" s="1087"/>
      <c r="HI368" s="1087"/>
      <c r="HJ368" s="1087"/>
      <c r="HK368" s="1087"/>
      <c r="HL368" s="1087"/>
      <c r="HM368" s="1087"/>
      <c r="HN368" s="1087"/>
      <c r="HO368" s="1087"/>
      <c r="HP368" s="1087"/>
      <c r="HQ368" s="1087"/>
      <c r="HR368" s="1087"/>
      <c r="HS368" s="1087"/>
      <c r="HT368" s="1087"/>
      <c r="HU368" s="1087"/>
      <c r="HV368" s="1087"/>
      <c r="HW368" s="1087"/>
      <c r="HX368" s="1087"/>
      <c r="HY368" s="1087"/>
      <c r="HZ368" s="1087"/>
      <c r="IA368" s="1087"/>
      <c r="IB368" s="1087"/>
      <c r="IC368" s="1087"/>
      <c r="ID368" s="1087"/>
      <c r="IE368" s="1087"/>
      <c r="IF368" s="1087"/>
      <c r="IG368" s="1087"/>
      <c r="IH368" s="1087"/>
      <c r="II368" s="1087"/>
      <c r="IJ368" s="1087"/>
      <c r="IK368" s="1087"/>
      <c r="IL368" s="1087"/>
      <c r="IM368" s="1087"/>
      <c r="IN368" s="1087"/>
      <c r="IO368" s="1087"/>
      <c r="IP368" s="1087"/>
      <c r="IQ368" s="1087"/>
      <c r="IR368" s="1087"/>
      <c r="IS368" s="1087"/>
      <c r="IT368" s="1087"/>
      <c r="IU368" s="1087"/>
      <c r="IV368" s="1087"/>
      <c r="IW368" s="1087"/>
      <c r="IX368" s="1087"/>
      <c r="IY368" s="1087"/>
      <c r="IZ368" s="1087"/>
      <c r="JA368" s="1087"/>
      <c r="JB368" s="1087"/>
      <c r="JC368" s="1087"/>
      <c r="JD368" s="1087"/>
      <c r="JE368" s="1087"/>
      <c r="JF368" s="1087"/>
      <c r="JG368" s="1087"/>
      <c r="JH368" s="1087"/>
      <c r="JI368" s="1087"/>
      <c r="JJ368" s="1087"/>
      <c r="JK368" s="1087"/>
      <c r="JL368" s="1087"/>
      <c r="JM368" s="1087"/>
      <c r="JN368" s="1087"/>
      <c r="JO368" s="1087"/>
      <c r="JP368" s="1087"/>
      <c r="JQ368" s="1087"/>
      <c r="JR368" s="1087"/>
      <c r="JS368" s="1087"/>
      <c r="JT368" s="1087"/>
      <c r="JU368" s="1087"/>
      <c r="JV368" s="1087"/>
      <c r="JW368" s="1087"/>
      <c r="JX368" s="1087"/>
      <c r="JY368" s="1087"/>
      <c r="JZ368" s="1087"/>
      <c r="KA368" s="1087"/>
      <c r="KB368" s="1092"/>
    </row>
    <row r="369" spans="2:288" ht="15" customHeight="1" x14ac:dyDescent="0.35">
      <c r="B369" s="146" t="str">
        <f t="shared" si="29"/>
        <v>Desk 50</v>
      </c>
      <c r="C369" s="148" t="str">
        <v/>
      </c>
      <c r="D369" s="148" t="str">
        <v/>
      </c>
      <c r="E369" s="148" t="str">
        <v/>
      </c>
      <c r="F369" s="148" t="str">
        <v/>
      </c>
      <c r="G369" s="268" t="str">
        <v/>
      </c>
      <c r="H369" s="1087"/>
      <c r="I369" s="1087"/>
      <c r="J369" s="1087"/>
      <c r="K369" s="1087"/>
      <c r="L369" s="1087"/>
      <c r="M369" s="1087"/>
      <c r="N369" s="1087"/>
      <c r="O369" s="1087"/>
      <c r="P369" s="1087"/>
      <c r="Q369" s="1087"/>
      <c r="R369" s="1087"/>
      <c r="S369" s="1087"/>
      <c r="T369" s="1087"/>
      <c r="U369" s="1087"/>
      <c r="V369" s="1087"/>
      <c r="W369" s="1087"/>
      <c r="X369" s="1087"/>
      <c r="Y369" s="1087"/>
      <c r="Z369" s="1087"/>
      <c r="AA369" s="1087"/>
      <c r="AB369" s="1087"/>
      <c r="AC369" s="1087"/>
      <c r="AD369" s="1087"/>
      <c r="AE369" s="1087"/>
      <c r="AF369" s="1087"/>
      <c r="AG369" s="1087"/>
      <c r="AH369" s="1087"/>
      <c r="AI369" s="1087"/>
      <c r="AJ369" s="1087"/>
      <c r="AK369" s="1087"/>
      <c r="AL369" s="1087"/>
      <c r="AM369" s="1087"/>
      <c r="AN369" s="1087"/>
      <c r="AO369" s="1087"/>
      <c r="AP369" s="1087"/>
      <c r="AQ369" s="1087"/>
      <c r="AR369" s="1087"/>
      <c r="AS369" s="1087"/>
      <c r="AT369" s="1087"/>
      <c r="AU369" s="1087"/>
      <c r="AV369" s="1087"/>
      <c r="AW369" s="1087"/>
      <c r="AX369" s="1087"/>
      <c r="AY369" s="1087"/>
      <c r="AZ369" s="1087"/>
      <c r="BA369" s="1087"/>
      <c r="BB369" s="1087"/>
      <c r="BC369" s="1087"/>
      <c r="BD369" s="1087"/>
      <c r="BE369" s="1087"/>
      <c r="BF369" s="1087"/>
      <c r="BG369" s="1087"/>
      <c r="BH369" s="1087"/>
      <c r="BI369" s="1087"/>
      <c r="BJ369" s="1087"/>
      <c r="BK369" s="1087"/>
      <c r="BL369" s="1087"/>
      <c r="BM369" s="1087"/>
      <c r="BN369" s="1087"/>
      <c r="BO369" s="1087"/>
      <c r="BP369" s="1087"/>
      <c r="BQ369" s="1087"/>
      <c r="BR369" s="1087"/>
      <c r="BS369" s="1087"/>
      <c r="BT369" s="1087"/>
      <c r="BU369" s="1087"/>
      <c r="BV369" s="1087"/>
      <c r="BW369" s="1087"/>
      <c r="BX369" s="1087"/>
      <c r="BY369" s="1087"/>
      <c r="BZ369" s="1087"/>
      <c r="CA369" s="1087"/>
      <c r="CB369" s="1087"/>
      <c r="CC369" s="1087"/>
      <c r="CD369" s="1087"/>
      <c r="CE369" s="1087"/>
      <c r="CF369" s="1087"/>
      <c r="CG369" s="1087"/>
      <c r="CH369" s="1087"/>
      <c r="CI369" s="1087"/>
      <c r="CJ369" s="1087"/>
      <c r="CK369" s="1087"/>
      <c r="CL369" s="1087"/>
      <c r="CM369" s="1087"/>
      <c r="CN369" s="1087"/>
      <c r="CO369" s="1087"/>
      <c r="CP369" s="1087"/>
      <c r="CQ369" s="1087"/>
      <c r="CR369" s="1087"/>
      <c r="CS369" s="1087"/>
      <c r="CT369" s="1087"/>
      <c r="CU369" s="1087"/>
      <c r="CV369" s="1087"/>
      <c r="CW369" s="1087"/>
      <c r="CX369" s="1087"/>
      <c r="CY369" s="1087"/>
      <c r="CZ369" s="1087"/>
      <c r="DA369" s="1087"/>
      <c r="DB369" s="1087"/>
      <c r="DC369" s="1087"/>
      <c r="DD369" s="1087"/>
      <c r="DE369" s="1087"/>
      <c r="DF369" s="1087"/>
      <c r="DG369" s="1087"/>
      <c r="DH369" s="1087"/>
      <c r="DI369" s="1087"/>
      <c r="DJ369" s="1087"/>
      <c r="DK369" s="1087"/>
      <c r="DL369" s="1087"/>
      <c r="DM369" s="1087"/>
      <c r="DN369" s="1087"/>
      <c r="DO369" s="1087"/>
      <c r="DP369" s="1087"/>
      <c r="DQ369" s="1087"/>
      <c r="DR369" s="1087"/>
      <c r="DS369" s="1087"/>
      <c r="DT369" s="1087"/>
      <c r="DU369" s="1087"/>
      <c r="DV369" s="1087"/>
      <c r="DW369" s="1087"/>
      <c r="DX369" s="1087"/>
      <c r="DY369" s="1087"/>
      <c r="DZ369" s="1087"/>
      <c r="EA369" s="1087"/>
      <c r="EB369" s="1087"/>
      <c r="EC369" s="1087"/>
      <c r="ED369" s="1087"/>
      <c r="EE369" s="1087"/>
      <c r="EF369" s="1087"/>
      <c r="EG369" s="1087"/>
      <c r="EH369" s="1087"/>
      <c r="EI369" s="1087"/>
      <c r="EJ369" s="1087"/>
      <c r="EK369" s="1087"/>
      <c r="EL369" s="1087"/>
      <c r="EM369" s="1087"/>
      <c r="EN369" s="1087"/>
      <c r="EO369" s="1087"/>
      <c r="EP369" s="1087"/>
      <c r="EQ369" s="1087"/>
      <c r="ER369" s="1087"/>
      <c r="ES369" s="1087"/>
      <c r="ET369" s="1087"/>
      <c r="EU369" s="1087"/>
      <c r="EV369" s="1087"/>
      <c r="EW369" s="1087"/>
      <c r="EX369" s="1087"/>
      <c r="EY369" s="1087"/>
      <c r="EZ369" s="1087"/>
      <c r="FA369" s="1087"/>
      <c r="FB369" s="1087"/>
      <c r="FC369" s="1087"/>
      <c r="FD369" s="1087"/>
      <c r="FE369" s="1087"/>
      <c r="FF369" s="1087"/>
      <c r="FG369" s="1087"/>
      <c r="FH369" s="1087"/>
      <c r="FI369" s="1087"/>
      <c r="FJ369" s="1087"/>
      <c r="FK369" s="1087"/>
      <c r="FL369" s="1087"/>
      <c r="FM369" s="1087"/>
      <c r="FN369" s="1087"/>
      <c r="FO369" s="1087"/>
      <c r="FP369" s="1087"/>
      <c r="FQ369" s="1087"/>
      <c r="FR369" s="1087"/>
      <c r="FS369" s="1087"/>
      <c r="FT369" s="1087"/>
      <c r="FU369" s="1087"/>
      <c r="FV369" s="1087"/>
      <c r="FW369" s="1087"/>
      <c r="FX369" s="1087"/>
      <c r="FY369" s="1087"/>
      <c r="FZ369" s="1087"/>
      <c r="GA369" s="1087"/>
      <c r="GB369" s="1087"/>
      <c r="GC369" s="1087"/>
      <c r="GD369" s="1087"/>
      <c r="GE369" s="1087"/>
      <c r="GF369" s="1087"/>
      <c r="GG369" s="1087"/>
      <c r="GH369" s="1087"/>
      <c r="GI369" s="1087"/>
      <c r="GJ369" s="1087"/>
      <c r="GK369" s="1087"/>
      <c r="GL369" s="1087"/>
      <c r="GM369" s="1087"/>
      <c r="GN369" s="1087"/>
      <c r="GO369" s="1087"/>
      <c r="GP369" s="1087"/>
      <c r="GQ369" s="1087"/>
      <c r="GR369" s="1087"/>
      <c r="GS369" s="1087"/>
      <c r="GT369" s="1087"/>
      <c r="GU369" s="1087"/>
      <c r="GV369" s="1087"/>
      <c r="GW369" s="1087"/>
      <c r="GX369" s="1087"/>
      <c r="GY369" s="1087"/>
      <c r="GZ369" s="1087"/>
      <c r="HA369" s="1087"/>
      <c r="HB369" s="1087"/>
      <c r="HC369" s="1087"/>
      <c r="HD369" s="1087"/>
      <c r="HE369" s="1087"/>
      <c r="HF369" s="1087"/>
      <c r="HG369" s="1087"/>
      <c r="HH369" s="1087"/>
      <c r="HI369" s="1087"/>
      <c r="HJ369" s="1087"/>
      <c r="HK369" s="1087"/>
      <c r="HL369" s="1087"/>
      <c r="HM369" s="1087"/>
      <c r="HN369" s="1087"/>
      <c r="HO369" s="1087"/>
      <c r="HP369" s="1087"/>
      <c r="HQ369" s="1087"/>
      <c r="HR369" s="1087"/>
      <c r="HS369" s="1087"/>
      <c r="HT369" s="1087"/>
      <c r="HU369" s="1087"/>
      <c r="HV369" s="1087"/>
      <c r="HW369" s="1087"/>
      <c r="HX369" s="1087"/>
      <c r="HY369" s="1087"/>
      <c r="HZ369" s="1087"/>
      <c r="IA369" s="1087"/>
      <c r="IB369" s="1087"/>
      <c r="IC369" s="1087"/>
      <c r="ID369" s="1087"/>
      <c r="IE369" s="1087"/>
      <c r="IF369" s="1087"/>
      <c r="IG369" s="1087"/>
      <c r="IH369" s="1087"/>
      <c r="II369" s="1087"/>
      <c r="IJ369" s="1087"/>
      <c r="IK369" s="1087"/>
      <c r="IL369" s="1087"/>
      <c r="IM369" s="1087"/>
      <c r="IN369" s="1087"/>
      <c r="IO369" s="1087"/>
      <c r="IP369" s="1087"/>
      <c r="IQ369" s="1087"/>
      <c r="IR369" s="1087"/>
      <c r="IS369" s="1087"/>
      <c r="IT369" s="1087"/>
      <c r="IU369" s="1087"/>
      <c r="IV369" s="1087"/>
      <c r="IW369" s="1087"/>
      <c r="IX369" s="1087"/>
      <c r="IY369" s="1087"/>
      <c r="IZ369" s="1087"/>
      <c r="JA369" s="1087"/>
      <c r="JB369" s="1087"/>
      <c r="JC369" s="1087"/>
      <c r="JD369" s="1087"/>
      <c r="JE369" s="1087"/>
      <c r="JF369" s="1087"/>
      <c r="JG369" s="1087"/>
      <c r="JH369" s="1087"/>
      <c r="JI369" s="1087"/>
      <c r="JJ369" s="1087"/>
      <c r="JK369" s="1087"/>
      <c r="JL369" s="1087"/>
      <c r="JM369" s="1087"/>
      <c r="JN369" s="1087"/>
      <c r="JO369" s="1087"/>
      <c r="JP369" s="1087"/>
      <c r="JQ369" s="1087"/>
      <c r="JR369" s="1087"/>
      <c r="JS369" s="1087"/>
      <c r="JT369" s="1087"/>
      <c r="JU369" s="1087"/>
      <c r="JV369" s="1087"/>
      <c r="JW369" s="1087"/>
      <c r="JX369" s="1087"/>
      <c r="JY369" s="1087"/>
      <c r="JZ369" s="1087"/>
      <c r="KA369" s="1087"/>
      <c r="KB369" s="1092"/>
    </row>
    <row r="370" spans="2:288" ht="15" customHeight="1" x14ac:dyDescent="0.35">
      <c r="B370" s="146" t="str">
        <f t="shared" si="29"/>
        <v>Desk 51</v>
      </c>
      <c r="C370" s="148" t="str">
        <v/>
      </c>
      <c r="D370" s="148" t="str">
        <v/>
      </c>
      <c r="E370" s="148" t="str">
        <v/>
      </c>
      <c r="F370" s="148" t="str">
        <v/>
      </c>
      <c r="G370" s="268" t="str">
        <v/>
      </c>
      <c r="H370" s="1087"/>
      <c r="I370" s="1087"/>
      <c r="J370" s="1087"/>
      <c r="K370" s="1087"/>
      <c r="L370" s="1087"/>
      <c r="M370" s="1087"/>
      <c r="N370" s="1087"/>
      <c r="O370" s="1087"/>
      <c r="P370" s="1087"/>
      <c r="Q370" s="1087"/>
      <c r="R370" s="1087"/>
      <c r="S370" s="1087"/>
      <c r="T370" s="1087"/>
      <c r="U370" s="1087"/>
      <c r="V370" s="1087"/>
      <c r="W370" s="1087"/>
      <c r="X370" s="1087"/>
      <c r="Y370" s="1087"/>
      <c r="Z370" s="1087"/>
      <c r="AA370" s="1087"/>
      <c r="AB370" s="1087"/>
      <c r="AC370" s="1087"/>
      <c r="AD370" s="1087"/>
      <c r="AE370" s="1087"/>
      <c r="AF370" s="1087"/>
      <c r="AG370" s="1087"/>
      <c r="AH370" s="1087"/>
      <c r="AI370" s="1087"/>
      <c r="AJ370" s="1087"/>
      <c r="AK370" s="1087"/>
      <c r="AL370" s="1087"/>
      <c r="AM370" s="1087"/>
      <c r="AN370" s="1087"/>
      <c r="AO370" s="1087"/>
      <c r="AP370" s="1087"/>
      <c r="AQ370" s="1087"/>
      <c r="AR370" s="1087"/>
      <c r="AS370" s="1087"/>
      <c r="AT370" s="1087"/>
      <c r="AU370" s="1087"/>
      <c r="AV370" s="1087"/>
      <c r="AW370" s="1087"/>
      <c r="AX370" s="1087"/>
      <c r="AY370" s="1087"/>
      <c r="AZ370" s="1087"/>
      <c r="BA370" s="1087"/>
      <c r="BB370" s="1087"/>
      <c r="BC370" s="1087"/>
      <c r="BD370" s="1087"/>
      <c r="BE370" s="1087"/>
      <c r="BF370" s="1087"/>
      <c r="BG370" s="1087"/>
      <c r="BH370" s="1087"/>
      <c r="BI370" s="1087"/>
      <c r="BJ370" s="1087"/>
      <c r="BK370" s="1087"/>
      <c r="BL370" s="1087"/>
      <c r="BM370" s="1087"/>
      <c r="BN370" s="1087"/>
      <c r="BO370" s="1087"/>
      <c r="BP370" s="1087"/>
      <c r="BQ370" s="1087"/>
      <c r="BR370" s="1087"/>
      <c r="BS370" s="1087"/>
      <c r="BT370" s="1087"/>
      <c r="BU370" s="1087"/>
      <c r="BV370" s="1087"/>
      <c r="BW370" s="1087"/>
      <c r="BX370" s="1087"/>
      <c r="BY370" s="1087"/>
      <c r="BZ370" s="1087"/>
      <c r="CA370" s="1087"/>
      <c r="CB370" s="1087"/>
      <c r="CC370" s="1087"/>
      <c r="CD370" s="1087"/>
      <c r="CE370" s="1087"/>
      <c r="CF370" s="1087"/>
      <c r="CG370" s="1087"/>
      <c r="CH370" s="1087"/>
      <c r="CI370" s="1087"/>
      <c r="CJ370" s="1087"/>
      <c r="CK370" s="1087"/>
      <c r="CL370" s="1087"/>
      <c r="CM370" s="1087"/>
      <c r="CN370" s="1087"/>
      <c r="CO370" s="1087"/>
      <c r="CP370" s="1087"/>
      <c r="CQ370" s="1087"/>
      <c r="CR370" s="1087"/>
      <c r="CS370" s="1087"/>
      <c r="CT370" s="1087"/>
      <c r="CU370" s="1087"/>
      <c r="CV370" s="1087"/>
      <c r="CW370" s="1087"/>
      <c r="CX370" s="1087"/>
      <c r="CY370" s="1087"/>
      <c r="CZ370" s="1087"/>
      <c r="DA370" s="1087"/>
      <c r="DB370" s="1087"/>
      <c r="DC370" s="1087"/>
      <c r="DD370" s="1087"/>
      <c r="DE370" s="1087"/>
      <c r="DF370" s="1087"/>
      <c r="DG370" s="1087"/>
      <c r="DH370" s="1087"/>
      <c r="DI370" s="1087"/>
      <c r="DJ370" s="1087"/>
      <c r="DK370" s="1087"/>
      <c r="DL370" s="1087"/>
      <c r="DM370" s="1087"/>
      <c r="DN370" s="1087"/>
      <c r="DO370" s="1087"/>
      <c r="DP370" s="1087"/>
      <c r="DQ370" s="1087"/>
      <c r="DR370" s="1087"/>
      <c r="DS370" s="1087"/>
      <c r="DT370" s="1087"/>
      <c r="DU370" s="1087"/>
      <c r="DV370" s="1087"/>
      <c r="DW370" s="1087"/>
      <c r="DX370" s="1087"/>
      <c r="DY370" s="1087"/>
      <c r="DZ370" s="1087"/>
      <c r="EA370" s="1087"/>
      <c r="EB370" s="1087"/>
      <c r="EC370" s="1087"/>
      <c r="ED370" s="1087"/>
      <c r="EE370" s="1087"/>
      <c r="EF370" s="1087"/>
      <c r="EG370" s="1087"/>
      <c r="EH370" s="1087"/>
      <c r="EI370" s="1087"/>
      <c r="EJ370" s="1087"/>
      <c r="EK370" s="1087"/>
      <c r="EL370" s="1087"/>
      <c r="EM370" s="1087"/>
      <c r="EN370" s="1087"/>
      <c r="EO370" s="1087"/>
      <c r="EP370" s="1087"/>
      <c r="EQ370" s="1087"/>
      <c r="ER370" s="1087"/>
      <c r="ES370" s="1087"/>
      <c r="ET370" s="1087"/>
      <c r="EU370" s="1087"/>
      <c r="EV370" s="1087"/>
      <c r="EW370" s="1087"/>
      <c r="EX370" s="1087"/>
      <c r="EY370" s="1087"/>
      <c r="EZ370" s="1087"/>
      <c r="FA370" s="1087"/>
      <c r="FB370" s="1087"/>
      <c r="FC370" s="1087"/>
      <c r="FD370" s="1087"/>
      <c r="FE370" s="1087"/>
      <c r="FF370" s="1087"/>
      <c r="FG370" s="1087"/>
      <c r="FH370" s="1087"/>
      <c r="FI370" s="1087"/>
      <c r="FJ370" s="1087"/>
      <c r="FK370" s="1087"/>
      <c r="FL370" s="1087"/>
      <c r="FM370" s="1087"/>
      <c r="FN370" s="1087"/>
      <c r="FO370" s="1087"/>
      <c r="FP370" s="1087"/>
      <c r="FQ370" s="1087"/>
      <c r="FR370" s="1087"/>
      <c r="FS370" s="1087"/>
      <c r="FT370" s="1087"/>
      <c r="FU370" s="1087"/>
      <c r="FV370" s="1087"/>
      <c r="FW370" s="1087"/>
      <c r="FX370" s="1087"/>
      <c r="FY370" s="1087"/>
      <c r="FZ370" s="1087"/>
      <c r="GA370" s="1087"/>
      <c r="GB370" s="1087"/>
      <c r="GC370" s="1087"/>
      <c r="GD370" s="1087"/>
      <c r="GE370" s="1087"/>
      <c r="GF370" s="1087"/>
      <c r="GG370" s="1087"/>
      <c r="GH370" s="1087"/>
      <c r="GI370" s="1087"/>
      <c r="GJ370" s="1087"/>
      <c r="GK370" s="1087"/>
      <c r="GL370" s="1087"/>
      <c r="GM370" s="1087"/>
      <c r="GN370" s="1087"/>
      <c r="GO370" s="1087"/>
      <c r="GP370" s="1087"/>
      <c r="GQ370" s="1087"/>
      <c r="GR370" s="1087"/>
      <c r="GS370" s="1087"/>
      <c r="GT370" s="1087"/>
      <c r="GU370" s="1087"/>
      <c r="GV370" s="1087"/>
      <c r="GW370" s="1087"/>
      <c r="GX370" s="1087"/>
      <c r="GY370" s="1087"/>
      <c r="GZ370" s="1087"/>
      <c r="HA370" s="1087"/>
      <c r="HB370" s="1087"/>
      <c r="HC370" s="1087"/>
      <c r="HD370" s="1087"/>
      <c r="HE370" s="1087"/>
      <c r="HF370" s="1087"/>
      <c r="HG370" s="1087"/>
      <c r="HH370" s="1087"/>
      <c r="HI370" s="1087"/>
      <c r="HJ370" s="1087"/>
      <c r="HK370" s="1087"/>
      <c r="HL370" s="1087"/>
      <c r="HM370" s="1087"/>
      <c r="HN370" s="1087"/>
      <c r="HO370" s="1087"/>
      <c r="HP370" s="1087"/>
      <c r="HQ370" s="1087"/>
      <c r="HR370" s="1087"/>
      <c r="HS370" s="1087"/>
      <c r="HT370" s="1087"/>
      <c r="HU370" s="1087"/>
      <c r="HV370" s="1087"/>
      <c r="HW370" s="1087"/>
      <c r="HX370" s="1087"/>
      <c r="HY370" s="1087"/>
      <c r="HZ370" s="1087"/>
      <c r="IA370" s="1087"/>
      <c r="IB370" s="1087"/>
      <c r="IC370" s="1087"/>
      <c r="ID370" s="1087"/>
      <c r="IE370" s="1087"/>
      <c r="IF370" s="1087"/>
      <c r="IG370" s="1087"/>
      <c r="IH370" s="1087"/>
      <c r="II370" s="1087"/>
      <c r="IJ370" s="1087"/>
      <c r="IK370" s="1087"/>
      <c r="IL370" s="1087"/>
      <c r="IM370" s="1087"/>
      <c r="IN370" s="1087"/>
      <c r="IO370" s="1087"/>
      <c r="IP370" s="1087"/>
      <c r="IQ370" s="1087"/>
      <c r="IR370" s="1087"/>
      <c r="IS370" s="1087"/>
      <c r="IT370" s="1087"/>
      <c r="IU370" s="1087"/>
      <c r="IV370" s="1087"/>
      <c r="IW370" s="1087"/>
      <c r="IX370" s="1087"/>
      <c r="IY370" s="1087"/>
      <c r="IZ370" s="1087"/>
      <c r="JA370" s="1087"/>
      <c r="JB370" s="1087"/>
      <c r="JC370" s="1087"/>
      <c r="JD370" s="1087"/>
      <c r="JE370" s="1087"/>
      <c r="JF370" s="1087"/>
      <c r="JG370" s="1087"/>
      <c r="JH370" s="1087"/>
      <c r="JI370" s="1087"/>
      <c r="JJ370" s="1087"/>
      <c r="JK370" s="1087"/>
      <c r="JL370" s="1087"/>
      <c r="JM370" s="1087"/>
      <c r="JN370" s="1087"/>
      <c r="JO370" s="1087"/>
      <c r="JP370" s="1087"/>
      <c r="JQ370" s="1087"/>
      <c r="JR370" s="1087"/>
      <c r="JS370" s="1087"/>
      <c r="JT370" s="1087"/>
      <c r="JU370" s="1087"/>
      <c r="JV370" s="1087"/>
      <c r="JW370" s="1087"/>
      <c r="JX370" s="1087"/>
      <c r="JY370" s="1087"/>
      <c r="JZ370" s="1087"/>
      <c r="KA370" s="1087"/>
      <c r="KB370" s="1092"/>
    </row>
    <row r="371" spans="2:288" ht="15" customHeight="1" x14ac:dyDescent="0.35">
      <c r="B371" s="146" t="str">
        <f t="shared" si="29"/>
        <v>Desk 52</v>
      </c>
      <c r="C371" s="148" t="str">
        <v/>
      </c>
      <c r="D371" s="148" t="str">
        <v/>
      </c>
      <c r="E371" s="148" t="str">
        <v/>
      </c>
      <c r="F371" s="148" t="str">
        <v/>
      </c>
      <c r="G371" s="268" t="str">
        <v/>
      </c>
      <c r="H371" s="1087"/>
      <c r="I371" s="1087"/>
      <c r="J371" s="1087"/>
      <c r="K371" s="1087"/>
      <c r="L371" s="1087"/>
      <c r="M371" s="1087"/>
      <c r="N371" s="1087"/>
      <c r="O371" s="1087"/>
      <c r="P371" s="1087"/>
      <c r="Q371" s="1087"/>
      <c r="R371" s="1087"/>
      <c r="S371" s="1087"/>
      <c r="T371" s="1087"/>
      <c r="U371" s="1087"/>
      <c r="V371" s="1087"/>
      <c r="W371" s="1087"/>
      <c r="X371" s="1087"/>
      <c r="Y371" s="1087"/>
      <c r="Z371" s="1087"/>
      <c r="AA371" s="1087"/>
      <c r="AB371" s="1087"/>
      <c r="AC371" s="1087"/>
      <c r="AD371" s="1087"/>
      <c r="AE371" s="1087"/>
      <c r="AF371" s="1087"/>
      <c r="AG371" s="1087"/>
      <c r="AH371" s="1087"/>
      <c r="AI371" s="1087"/>
      <c r="AJ371" s="1087"/>
      <c r="AK371" s="1087"/>
      <c r="AL371" s="1087"/>
      <c r="AM371" s="1087"/>
      <c r="AN371" s="1087"/>
      <c r="AO371" s="1087"/>
      <c r="AP371" s="1087"/>
      <c r="AQ371" s="1087"/>
      <c r="AR371" s="1087"/>
      <c r="AS371" s="1087"/>
      <c r="AT371" s="1087"/>
      <c r="AU371" s="1087"/>
      <c r="AV371" s="1087"/>
      <c r="AW371" s="1087"/>
      <c r="AX371" s="1087"/>
      <c r="AY371" s="1087"/>
      <c r="AZ371" s="1087"/>
      <c r="BA371" s="1087"/>
      <c r="BB371" s="1087"/>
      <c r="BC371" s="1087"/>
      <c r="BD371" s="1087"/>
      <c r="BE371" s="1087"/>
      <c r="BF371" s="1087"/>
      <c r="BG371" s="1087"/>
      <c r="BH371" s="1087"/>
      <c r="BI371" s="1087"/>
      <c r="BJ371" s="1087"/>
      <c r="BK371" s="1087"/>
      <c r="BL371" s="1087"/>
      <c r="BM371" s="1087"/>
      <c r="BN371" s="1087"/>
      <c r="BO371" s="1087"/>
      <c r="BP371" s="1087"/>
      <c r="BQ371" s="1087"/>
      <c r="BR371" s="1087"/>
      <c r="BS371" s="1087"/>
      <c r="BT371" s="1087"/>
      <c r="BU371" s="1087"/>
      <c r="BV371" s="1087"/>
      <c r="BW371" s="1087"/>
      <c r="BX371" s="1087"/>
      <c r="BY371" s="1087"/>
      <c r="BZ371" s="1087"/>
      <c r="CA371" s="1087"/>
      <c r="CB371" s="1087"/>
      <c r="CC371" s="1087"/>
      <c r="CD371" s="1087"/>
      <c r="CE371" s="1087"/>
      <c r="CF371" s="1087"/>
      <c r="CG371" s="1087"/>
      <c r="CH371" s="1087"/>
      <c r="CI371" s="1087"/>
      <c r="CJ371" s="1087"/>
      <c r="CK371" s="1087"/>
      <c r="CL371" s="1087"/>
      <c r="CM371" s="1087"/>
      <c r="CN371" s="1087"/>
      <c r="CO371" s="1087"/>
      <c r="CP371" s="1087"/>
      <c r="CQ371" s="1087"/>
      <c r="CR371" s="1087"/>
      <c r="CS371" s="1087"/>
      <c r="CT371" s="1087"/>
      <c r="CU371" s="1087"/>
      <c r="CV371" s="1087"/>
      <c r="CW371" s="1087"/>
      <c r="CX371" s="1087"/>
      <c r="CY371" s="1087"/>
      <c r="CZ371" s="1087"/>
      <c r="DA371" s="1087"/>
      <c r="DB371" s="1087"/>
      <c r="DC371" s="1087"/>
      <c r="DD371" s="1087"/>
      <c r="DE371" s="1087"/>
      <c r="DF371" s="1087"/>
      <c r="DG371" s="1087"/>
      <c r="DH371" s="1087"/>
      <c r="DI371" s="1087"/>
      <c r="DJ371" s="1087"/>
      <c r="DK371" s="1087"/>
      <c r="DL371" s="1087"/>
      <c r="DM371" s="1087"/>
      <c r="DN371" s="1087"/>
      <c r="DO371" s="1087"/>
      <c r="DP371" s="1087"/>
      <c r="DQ371" s="1087"/>
      <c r="DR371" s="1087"/>
      <c r="DS371" s="1087"/>
      <c r="DT371" s="1087"/>
      <c r="DU371" s="1087"/>
      <c r="DV371" s="1087"/>
      <c r="DW371" s="1087"/>
      <c r="DX371" s="1087"/>
      <c r="DY371" s="1087"/>
      <c r="DZ371" s="1087"/>
      <c r="EA371" s="1087"/>
      <c r="EB371" s="1087"/>
      <c r="EC371" s="1087"/>
      <c r="ED371" s="1087"/>
      <c r="EE371" s="1087"/>
      <c r="EF371" s="1087"/>
      <c r="EG371" s="1087"/>
      <c r="EH371" s="1087"/>
      <c r="EI371" s="1087"/>
      <c r="EJ371" s="1087"/>
      <c r="EK371" s="1087"/>
      <c r="EL371" s="1087"/>
      <c r="EM371" s="1087"/>
      <c r="EN371" s="1087"/>
      <c r="EO371" s="1087"/>
      <c r="EP371" s="1087"/>
      <c r="EQ371" s="1087"/>
      <c r="ER371" s="1087"/>
      <c r="ES371" s="1087"/>
      <c r="ET371" s="1087"/>
      <c r="EU371" s="1087"/>
      <c r="EV371" s="1087"/>
      <c r="EW371" s="1087"/>
      <c r="EX371" s="1087"/>
      <c r="EY371" s="1087"/>
      <c r="EZ371" s="1087"/>
      <c r="FA371" s="1087"/>
      <c r="FB371" s="1087"/>
      <c r="FC371" s="1087"/>
      <c r="FD371" s="1087"/>
      <c r="FE371" s="1087"/>
      <c r="FF371" s="1087"/>
      <c r="FG371" s="1087"/>
      <c r="FH371" s="1087"/>
      <c r="FI371" s="1087"/>
      <c r="FJ371" s="1087"/>
      <c r="FK371" s="1087"/>
      <c r="FL371" s="1087"/>
      <c r="FM371" s="1087"/>
      <c r="FN371" s="1087"/>
      <c r="FO371" s="1087"/>
      <c r="FP371" s="1087"/>
      <c r="FQ371" s="1087"/>
      <c r="FR371" s="1087"/>
      <c r="FS371" s="1087"/>
      <c r="FT371" s="1087"/>
      <c r="FU371" s="1087"/>
      <c r="FV371" s="1087"/>
      <c r="FW371" s="1087"/>
      <c r="FX371" s="1087"/>
      <c r="FY371" s="1087"/>
      <c r="FZ371" s="1087"/>
      <c r="GA371" s="1087"/>
      <c r="GB371" s="1087"/>
      <c r="GC371" s="1087"/>
      <c r="GD371" s="1087"/>
      <c r="GE371" s="1087"/>
      <c r="GF371" s="1087"/>
      <c r="GG371" s="1087"/>
      <c r="GH371" s="1087"/>
      <c r="GI371" s="1087"/>
      <c r="GJ371" s="1087"/>
      <c r="GK371" s="1087"/>
      <c r="GL371" s="1087"/>
      <c r="GM371" s="1087"/>
      <c r="GN371" s="1087"/>
      <c r="GO371" s="1087"/>
      <c r="GP371" s="1087"/>
      <c r="GQ371" s="1087"/>
      <c r="GR371" s="1087"/>
      <c r="GS371" s="1087"/>
      <c r="GT371" s="1087"/>
      <c r="GU371" s="1087"/>
      <c r="GV371" s="1087"/>
      <c r="GW371" s="1087"/>
      <c r="GX371" s="1087"/>
      <c r="GY371" s="1087"/>
      <c r="GZ371" s="1087"/>
      <c r="HA371" s="1087"/>
      <c r="HB371" s="1087"/>
      <c r="HC371" s="1087"/>
      <c r="HD371" s="1087"/>
      <c r="HE371" s="1087"/>
      <c r="HF371" s="1087"/>
      <c r="HG371" s="1087"/>
      <c r="HH371" s="1087"/>
      <c r="HI371" s="1087"/>
      <c r="HJ371" s="1087"/>
      <c r="HK371" s="1087"/>
      <c r="HL371" s="1087"/>
      <c r="HM371" s="1087"/>
      <c r="HN371" s="1087"/>
      <c r="HO371" s="1087"/>
      <c r="HP371" s="1087"/>
      <c r="HQ371" s="1087"/>
      <c r="HR371" s="1087"/>
      <c r="HS371" s="1087"/>
      <c r="HT371" s="1087"/>
      <c r="HU371" s="1087"/>
      <c r="HV371" s="1087"/>
      <c r="HW371" s="1087"/>
      <c r="HX371" s="1087"/>
      <c r="HY371" s="1087"/>
      <c r="HZ371" s="1087"/>
      <c r="IA371" s="1087"/>
      <c r="IB371" s="1087"/>
      <c r="IC371" s="1087"/>
      <c r="ID371" s="1087"/>
      <c r="IE371" s="1087"/>
      <c r="IF371" s="1087"/>
      <c r="IG371" s="1087"/>
      <c r="IH371" s="1087"/>
      <c r="II371" s="1087"/>
      <c r="IJ371" s="1087"/>
      <c r="IK371" s="1087"/>
      <c r="IL371" s="1087"/>
      <c r="IM371" s="1087"/>
      <c r="IN371" s="1087"/>
      <c r="IO371" s="1087"/>
      <c r="IP371" s="1087"/>
      <c r="IQ371" s="1087"/>
      <c r="IR371" s="1087"/>
      <c r="IS371" s="1087"/>
      <c r="IT371" s="1087"/>
      <c r="IU371" s="1087"/>
      <c r="IV371" s="1087"/>
      <c r="IW371" s="1087"/>
      <c r="IX371" s="1087"/>
      <c r="IY371" s="1087"/>
      <c r="IZ371" s="1087"/>
      <c r="JA371" s="1087"/>
      <c r="JB371" s="1087"/>
      <c r="JC371" s="1087"/>
      <c r="JD371" s="1087"/>
      <c r="JE371" s="1087"/>
      <c r="JF371" s="1087"/>
      <c r="JG371" s="1087"/>
      <c r="JH371" s="1087"/>
      <c r="JI371" s="1087"/>
      <c r="JJ371" s="1087"/>
      <c r="JK371" s="1087"/>
      <c r="JL371" s="1087"/>
      <c r="JM371" s="1087"/>
      <c r="JN371" s="1087"/>
      <c r="JO371" s="1087"/>
      <c r="JP371" s="1087"/>
      <c r="JQ371" s="1087"/>
      <c r="JR371" s="1087"/>
      <c r="JS371" s="1087"/>
      <c r="JT371" s="1087"/>
      <c r="JU371" s="1087"/>
      <c r="JV371" s="1087"/>
      <c r="JW371" s="1087"/>
      <c r="JX371" s="1087"/>
      <c r="JY371" s="1087"/>
      <c r="JZ371" s="1087"/>
      <c r="KA371" s="1087"/>
      <c r="KB371" s="1092"/>
    </row>
    <row r="372" spans="2:288" ht="15" customHeight="1" x14ac:dyDescent="0.35">
      <c r="B372" s="146" t="str">
        <f t="shared" si="29"/>
        <v>Desk 53</v>
      </c>
      <c r="C372" s="148" t="str">
        <v/>
      </c>
      <c r="D372" s="148" t="str">
        <v/>
      </c>
      <c r="E372" s="148" t="str">
        <v/>
      </c>
      <c r="F372" s="148" t="str">
        <v/>
      </c>
      <c r="G372" s="268" t="str">
        <v/>
      </c>
      <c r="H372" s="1087"/>
      <c r="I372" s="1087"/>
      <c r="J372" s="1087"/>
      <c r="K372" s="1087"/>
      <c r="L372" s="1087"/>
      <c r="M372" s="1087"/>
      <c r="N372" s="1087"/>
      <c r="O372" s="1087"/>
      <c r="P372" s="1087"/>
      <c r="Q372" s="1087"/>
      <c r="R372" s="1087"/>
      <c r="S372" s="1087"/>
      <c r="T372" s="1087"/>
      <c r="U372" s="1087"/>
      <c r="V372" s="1087"/>
      <c r="W372" s="1087"/>
      <c r="X372" s="1087"/>
      <c r="Y372" s="1087"/>
      <c r="Z372" s="1087"/>
      <c r="AA372" s="1087"/>
      <c r="AB372" s="1087"/>
      <c r="AC372" s="1087"/>
      <c r="AD372" s="1087"/>
      <c r="AE372" s="1087"/>
      <c r="AF372" s="1087"/>
      <c r="AG372" s="1087"/>
      <c r="AH372" s="1087"/>
      <c r="AI372" s="1087"/>
      <c r="AJ372" s="1087"/>
      <c r="AK372" s="1087"/>
      <c r="AL372" s="1087"/>
      <c r="AM372" s="1087"/>
      <c r="AN372" s="1087"/>
      <c r="AO372" s="1087"/>
      <c r="AP372" s="1087"/>
      <c r="AQ372" s="1087"/>
      <c r="AR372" s="1087"/>
      <c r="AS372" s="1087"/>
      <c r="AT372" s="1087"/>
      <c r="AU372" s="1087"/>
      <c r="AV372" s="1087"/>
      <c r="AW372" s="1087"/>
      <c r="AX372" s="1087"/>
      <c r="AY372" s="1087"/>
      <c r="AZ372" s="1087"/>
      <c r="BA372" s="1087"/>
      <c r="BB372" s="1087"/>
      <c r="BC372" s="1087"/>
      <c r="BD372" s="1087"/>
      <c r="BE372" s="1087"/>
      <c r="BF372" s="1087"/>
      <c r="BG372" s="1087"/>
      <c r="BH372" s="1087"/>
      <c r="BI372" s="1087"/>
      <c r="BJ372" s="1087"/>
      <c r="BK372" s="1087"/>
      <c r="BL372" s="1087"/>
      <c r="BM372" s="1087"/>
      <c r="BN372" s="1087"/>
      <c r="BO372" s="1087"/>
      <c r="BP372" s="1087"/>
      <c r="BQ372" s="1087"/>
      <c r="BR372" s="1087"/>
      <c r="BS372" s="1087"/>
      <c r="BT372" s="1087"/>
      <c r="BU372" s="1087"/>
      <c r="BV372" s="1087"/>
      <c r="BW372" s="1087"/>
      <c r="BX372" s="1087"/>
      <c r="BY372" s="1087"/>
      <c r="BZ372" s="1087"/>
      <c r="CA372" s="1087"/>
      <c r="CB372" s="1087"/>
      <c r="CC372" s="1087"/>
      <c r="CD372" s="1087"/>
      <c r="CE372" s="1087"/>
      <c r="CF372" s="1087"/>
      <c r="CG372" s="1087"/>
      <c r="CH372" s="1087"/>
      <c r="CI372" s="1087"/>
      <c r="CJ372" s="1087"/>
      <c r="CK372" s="1087"/>
      <c r="CL372" s="1087"/>
      <c r="CM372" s="1087"/>
      <c r="CN372" s="1087"/>
      <c r="CO372" s="1087"/>
      <c r="CP372" s="1087"/>
      <c r="CQ372" s="1087"/>
      <c r="CR372" s="1087"/>
      <c r="CS372" s="1087"/>
      <c r="CT372" s="1087"/>
      <c r="CU372" s="1087"/>
      <c r="CV372" s="1087"/>
      <c r="CW372" s="1087"/>
      <c r="CX372" s="1087"/>
      <c r="CY372" s="1087"/>
      <c r="CZ372" s="1087"/>
      <c r="DA372" s="1087"/>
      <c r="DB372" s="1087"/>
      <c r="DC372" s="1087"/>
      <c r="DD372" s="1087"/>
      <c r="DE372" s="1087"/>
      <c r="DF372" s="1087"/>
      <c r="DG372" s="1087"/>
      <c r="DH372" s="1087"/>
      <c r="DI372" s="1087"/>
      <c r="DJ372" s="1087"/>
      <c r="DK372" s="1087"/>
      <c r="DL372" s="1087"/>
      <c r="DM372" s="1087"/>
      <c r="DN372" s="1087"/>
      <c r="DO372" s="1087"/>
      <c r="DP372" s="1087"/>
      <c r="DQ372" s="1087"/>
      <c r="DR372" s="1087"/>
      <c r="DS372" s="1087"/>
      <c r="DT372" s="1087"/>
      <c r="DU372" s="1087"/>
      <c r="DV372" s="1087"/>
      <c r="DW372" s="1087"/>
      <c r="DX372" s="1087"/>
      <c r="DY372" s="1087"/>
      <c r="DZ372" s="1087"/>
      <c r="EA372" s="1087"/>
      <c r="EB372" s="1087"/>
      <c r="EC372" s="1087"/>
      <c r="ED372" s="1087"/>
      <c r="EE372" s="1087"/>
      <c r="EF372" s="1087"/>
      <c r="EG372" s="1087"/>
      <c r="EH372" s="1087"/>
      <c r="EI372" s="1087"/>
      <c r="EJ372" s="1087"/>
      <c r="EK372" s="1087"/>
      <c r="EL372" s="1087"/>
      <c r="EM372" s="1087"/>
      <c r="EN372" s="1087"/>
      <c r="EO372" s="1087"/>
      <c r="EP372" s="1087"/>
      <c r="EQ372" s="1087"/>
      <c r="ER372" s="1087"/>
      <c r="ES372" s="1087"/>
      <c r="ET372" s="1087"/>
      <c r="EU372" s="1087"/>
      <c r="EV372" s="1087"/>
      <c r="EW372" s="1087"/>
      <c r="EX372" s="1087"/>
      <c r="EY372" s="1087"/>
      <c r="EZ372" s="1087"/>
      <c r="FA372" s="1087"/>
      <c r="FB372" s="1087"/>
      <c r="FC372" s="1087"/>
      <c r="FD372" s="1087"/>
      <c r="FE372" s="1087"/>
      <c r="FF372" s="1087"/>
      <c r="FG372" s="1087"/>
      <c r="FH372" s="1087"/>
      <c r="FI372" s="1087"/>
      <c r="FJ372" s="1087"/>
      <c r="FK372" s="1087"/>
      <c r="FL372" s="1087"/>
      <c r="FM372" s="1087"/>
      <c r="FN372" s="1087"/>
      <c r="FO372" s="1087"/>
      <c r="FP372" s="1087"/>
      <c r="FQ372" s="1087"/>
      <c r="FR372" s="1087"/>
      <c r="FS372" s="1087"/>
      <c r="FT372" s="1087"/>
      <c r="FU372" s="1087"/>
      <c r="FV372" s="1087"/>
      <c r="FW372" s="1087"/>
      <c r="FX372" s="1087"/>
      <c r="FY372" s="1087"/>
      <c r="FZ372" s="1087"/>
      <c r="GA372" s="1087"/>
      <c r="GB372" s="1087"/>
      <c r="GC372" s="1087"/>
      <c r="GD372" s="1087"/>
      <c r="GE372" s="1087"/>
      <c r="GF372" s="1087"/>
      <c r="GG372" s="1087"/>
      <c r="GH372" s="1087"/>
      <c r="GI372" s="1087"/>
      <c r="GJ372" s="1087"/>
      <c r="GK372" s="1087"/>
      <c r="GL372" s="1087"/>
      <c r="GM372" s="1087"/>
      <c r="GN372" s="1087"/>
      <c r="GO372" s="1087"/>
      <c r="GP372" s="1087"/>
      <c r="GQ372" s="1087"/>
      <c r="GR372" s="1087"/>
      <c r="GS372" s="1087"/>
      <c r="GT372" s="1087"/>
      <c r="GU372" s="1087"/>
      <c r="GV372" s="1087"/>
      <c r="GW372" s="1087"/>
      <c r="GX372" s="1087"/>
      <c r="GY372" s="1087"/>
      <c r="GZ372" s="1087"/>
      <c r="HA372" s="1087"/>
      <c r="HB372" s="1087"/>
      <c r="HC372" s="1087"/>
      <c r="HD372" s="1087"/>
      <c r="HE372" s="1087"/>
      <c r="HF372" s="1087"/>
      <c r="HG372" s="1087"/>
      <c r="HH372" s="1087"/>
      <c r="HI372" s="1087"/>
      <c r="HJ372" s="1087"/>
      <c r="HK372" s="1087"/>
      <c r="HL372" s="1087"/>
      <c r="HM372" s="1087"/>
      <c r="HN372" s="1087"/>
      <c r="HO372" s="1087"/>
      <c r="HP372" s="1087"/>
      <c r="HQ372" s="1087"/>
      <c r="HR372" s="1087"/>
      <c r="HS372" s="1087"/>
      <c r="HT372" s="1087"/>
      <c r="HU372" s="1087"/>
      <c r="HV372" s="1087"/>
      <c r="HW372" s="1087"/>
      <c r="HX372" s="1087"/>
      <c r="HY372" s="1087"/>
      <c r="HZ372" s="1087"/>
      <c r="IA372" s="1087"/>
      <c r="IB372" s="1087"/>
      <c r="IC372" s="1087"/>
      <c r="ID372" s="1087"/>
      <c r="IE372" s="1087"/>
      <c r="IF372" s="1087"/>
      <c r="IG372" s="1087"/>
      <c r="IH372" s="1087"/>
      <c r="II372" s="1087"/>
      <c r="IJ372" s="1087"/>
      <c r="IK372" s="1087"/>
      <c r="IL372" s="1087"/>
      <c r="IM372" s="1087"/>
      <c r="IN372" s="1087"/>
      <c r="IO372" s="1087"/>
      <c r="IP372" s="1087"/>
      <c r="IQ372" s="1087"/>
      <c r="IR372" s="1087"/>
      <c r="IS372" s="1087"/>
      <c r="IT372" s="1087"/>
      <c r="IU372" s="1087"/>
      <c r="IV372" s="1087"/>
      <c r="IW372" s="1087"/>
      <c r="IX372" s="1087"/>
      <c r="IY372" s="1087"/>
      <c r="IZ372" s="1087"/>
      <c r="JA372" s="1087"/>
      <c r="JB372" s="1087"/>
      <c r="JC372" s="1087"/>
      <c r="JD372" s="1087"/>
      <c r="JE372" s="1087"/>
      <c r="JF372" s="1087"/>
      <c r="JG372" s="1087"/>
      <c r="JH372" s="1087"/>
      <c r="JI372" s="1087"/>
      <c r="JJ372" s="1087"/>
      <c r="JK372" s="1087"/>
      <c r="JL372" s="1087"/>
      <c r="JM372" s="1087"/>
      <c r="JN372" s="1087"/>
      <c r="JO372" s="1087"/>
      <c r="JP372" s="1087"/>
      <c r="JQ372" s="1087"/>
      <c r="JR372" s="1087"/>
      <c r="JS372" s="1087"/>
      <c r="JT372" s="1087"/>
      <c r="JU372" s="1087"/>
      <c r="JV372" s="1087"/>
      <c r="JW372" s="1087"/>
      <c r="JX372" s="1087"/>
      <c r="JY372" s="1087"/>
      <c r="JZ372" s="1087"/>
      <c r="KA372" s="1087"/>
      <c r="KB372" s="1092"/>
    </row>
    <row r="373" spans="2:288" ht="15" customHeight="1" x14ac:dyDescent="0.35">
      <c r="B373" s="146" t="str">
        <f t="shared" si="29"/>
        <v>Desk 54</v>
      </c>
      <c r="C373" s="148" t="str">
        <v/>
      </c>
      <c r="D373" s="148" t="str">
        <v/>
      </c>
      <c r="E373" s="148" t="str">
        <v/>
      </c>
      <c r="F373" s="148" t="str">
        <v/>
      </c>
      <c r="G373" s="268" t="str">
        <v/>
      </c>
      <c r="H373" s="1087"/>
      <c r="I373" s="1087"/>
      <c r="J373" s="1087"/>
      <c r="K373" s="1087"/>
      <c r="L373" s="1087"/>
      <c r="M373" s="1087"/>
      <c r="N373" s="1087"/>
      <c r="O373" s="1087"/>
      <c r="P373" s="1087"/>
      <c r="Q373" s="1087"/>
      <c r="R373" s="1087"/>
      <c r="S373" s="1087"/>
      <c r="T373" s="1087"/>
      <c r="U373" s="1087"/>
      <c r="V373" s="1087"/>
      <c r="W373" s="1087"/>
      <c r="X373" s="1087"/>
      <c r="Y373" s="1087"/>
      <c r="Z373" s="1087"/>
      <c r="AA373" s="1087"/>
      <c r="AB373" s="1087"/>
      <c r="AC373" s="1087"/>
      <c r="AD373" s="1087"/>
      <c r="AE373" s="1087"/>
      <c r="AF373" s="1087"/>
      <c r="AG373" s="1087"/>
      <c r="AH373" s="1087"/>
      <c r="AI373" s="1087"/>
      <c r="AJ373" s="1087"/>
      <c r="AK373" s="1087"/>
      <c r="AL373" s="1087"/>
      <c r="AM373" s="1087"/>
      <c r="AN373" s="1087"/>
      <c r="AO373" s="1087"/>
      <c r="AP373" s="1087"/>
      <c r="AQ373" s="1087"/>
      <c r="AR373" s="1087"/>
      <c r="AS373" s="1087"/>
      <c r="AT373" s="1087"/>
      <c r="AU373" s="1087"/>
      <c r="AV373" s="1087"/>
      <c r="AW373" s="1087"/>
      <c r="AX373" s="1087"/>
      <c r="AY373" s="1087"/>
      <c r="AZ373" s="1087"/>
      <c r="BA373" s="1087"/>
      <c r="BB373" s="1087"/>
      <c r="BC373" s="1087"/>
      <c r="BD373" s="1087"/>
      <c r="BE373" s="1087"/>
      <c r="BF373" s="1087"/>
      <c r="BG373" s="1087"/>
      <c r="BH373" s="1087"/>
      <c r="BI373" s="1087"/>
      <c r="BJ373" s="1087"/>
      <c r="BK373" s="1087"/>
      <c r="BL373" s="1087"/>
      <c r="BM373" s="1087"/>
      <c r="BN373" s="1087"/>
      <c r="BO373" s="1087"/>
      <c r="BP373" s="1087"/>
      <c r="BQ373" s="1087"/>
      <c r="BR373" s="1087"/>
      <c r="BS373" s="1087"/>
      <c r="BT373" s="1087"/>
      <c r="BU373" s="1087"/>
      <c r="BV373" s="1087"/>
      <c r="BW373" s="1087"/>
      <c r="BX373" s="1087"/>
      <c r="BY373" s="1087"/>
      <c r="BZ373" s="1087"/>
      <c r="CA373" s="1087"/>
      <c r="CB373" s="1087"/>
      <c r="CC373" s="1087"/>
      <c r="CD373" s="1087"/>
      <c r="CE373" s="1087"/>
      <c r="CF373" s="1087"/>
      <c r="CG373" s="1087"/>
      <c r="CH373" s="1087"/>
      <c r="CI373" s="1087"/>
      <c r="CJ373" s="1087"/>
      <c r="CK373" s="1087"/>
      <c r="CL373" s="1087"/>
      <c r="CM373" s="1087"/>
      <c r="CN373" s="1087"/>
      <c r="CO373" s="1087"/>
      <c r="CP373" s="1087"/>
      <c r="CQ373" s="1087"/>
      <c r="CR373" s="1087"/>
      <c r="CS373" s="1087"/>
      <c r="CT373" s="1087"/>
      <c r="CU373" s="1087"/>
      <c r="CV373" s="1087"/>
      <c r="CW373" s="1087"/>
      <c r="CX373" s="1087"/>
      <c r="CY373" s="1087"/>
      <c r="CZ373" s="1087"/>
      <c r="DA373" s="1087"/>
      <c r="DB373" s="1087"/>
      <c r="DC373" s="1087"/>
      <c r="DD373" s="1087"/>
      <c r="DE373" s="1087"/>
      <c r="DF373" s="1087"/>
      <c r="DG373" s="1087"/>
      <c r="DH373" s="1087"/>
      <c r="DI373" s="1087"/>
      <c r="DJ373" s="1087"/>
      <c r="DK373" s="1087"/>
      <c r="DL373" s="1087"/>
      <c r="DM373" s="1087"/>
      <c r="DN373" s="1087"/>
      <c r="DO373" s="1087"/>
      <c r="DP373" s="1087"/>
      <c r="DQ373" s="1087"/>
      <c r="DR373" s="1087"/>
      <c r="DS373" s="1087"/>
      <c r="DT373" s="1087"/>
      <c r="DU373" s="1087"/>
      <c r="DV373" s="1087"/>
      <c r="DW373" s="1087"/>
      <c r="DX373" s="1087"/>
      <c r="DY373" s="1087"/>
      <c r="DZ373" s="1087"/>
      <c r="EA373" s="1087"/>
      <c r="EB373" s="1087"/>
      <c r="EC373" s="1087"/>
      <c r="ED373" s="1087"/>
      <c r="EE373" s="1087"/>
      <c r="EF373" s="1087"/>
      <c r="EG373" s="1087"/>
      <c r="EH373" s="1087"/>
      <c r="EI373" s="1087"/>
      <c r="EJ373" s="1087"/>
      <c r="EK373" s="1087"/>
      <c r="EL373" s="1087"/>
      <c r="EM373" s="1087"/>
      <c r="EN373" s="1087"/>
      <c r="EO373" s="1087"/>
      <c r="EP373" s="1087"/>
      <c r="EQ373" s="1087"/>
      <c r="ER373" s="1087"/>
      <c r="ES373" s="1087"/>
      <c r="ET373" s="1087"/>
      <c r="EU373" s="1087"/>
      <c r="EV373" s="1087"/>
      <c r="EW373" s="1087"/>
      <c r="EX373" s="1087"/>
      <c r="EY373" s="1087"/>
      <c r="EZ373" s="1087"/>
      <c r="FA373" s="1087"/>
      <c r="FB373" s="1087"/>
      <c r="FC373" s="1087"/>
      <c r="FD373" s="1087"/>
      <c r="FE373" s="1087"/>
      <c r="FF373" s="1087"/>
      <c r="FG373" s="1087"/>
      <c r="FH373" s="1087"/>
      <c r="FI373" s="1087"/>
      <c r="FJ373" s="1087"/>
      <c r="FK373" s="1087"/>
      <c r="FL373" s="1087"/>
      <c r="FM373" s="1087"/>
      <c r="FN373" s="1087"/>
      <c r="FO373" s="1087"/>
      <c r="FP373" s="1087"/>
      <c r="FQ373" s="1087"/>
      <c r="FR373" s="1087"/>
      <c r="FS373" s="1087"/>
      <c r="FT373" s="1087"/>
      <c r="FU373" s="1087"/>
      <c r="FV373" s="1087"/>
      <c r="FW373" s="1087"/>
      <c r="FX373" s="1087"/>
      <c r="FY373" s="1087"/>
      <c r="FZ373" s="1087"/>
      <c r="GA373" s="1087"/>
      <c r="GB373" s="1087"/>
      <c r="GC373" s="1087"/>
      <c r="GD373" s="1087"/>
      <c r="GE373" s="1087"/>
      <c r="GF373" s="1087"/>
      <c r="GG373" s="1087"/>
      <c r="GH373" s="1087"/>
      <c r="GI373" s="1087"/>
      <c r="GJ373" s="1087"/>
      <c r="GK373" s="1087"/>
      <c r="GL373" s="1087"/>
      <c r="GM373" s="1087"/>
      <c r="GN373" s="1087"/>
      <c r="GO373" s="1087"/>
      <c r="GP373" s="1087"/>
      <c r="GQ373" s="1087"/>
      <c r="GR373" s="1087"/>
      <c r="GS373" s="1087"/>
      <c r="GT373" s="1087"/>
      <c r="GU373" s="1087"/>
      <c r="GV373" s="1087"/>
      <c r="GW373" s="1087"/>
      <c r="GX373" s="1087"/>
      <c r="GY373" s="1087"/>
      <c r="GZ373" s="1087"/>
      <c r="HA373" s="1087"/>
      <c r="HB373" s="1087"/>
      <c r="HC373" s="1087"/>
      <c r="HD373" s="1087"/>
      <c r="HE373" s="1087"/>
      <c r="HF373" s="1087"/>
      <c r="HG373" s="1087"/>
      <c r="HH373" s="1087"/>
      <c r="HI373" s="1087"/>
      <c r="HJ373" s="1087"/>
      <c r="HK373" s="1087"/>
      <c r="HL373" s="1087"/>
      <c r="HM373" s="1087"/>
      <c r="HN373" s="1087"/>
      <c r="HO373" s="1087"/>
      <c r="HP373" s="1087"/>
      <c r="HQ373" s="1087"/>
      <c r="HR373" s="1087"/>
      <c r="HS373" s="1087"/>
      <c r="HT373" s="1087"/>
      <c r="HU373" s="1087"/>
      <c r="HV373" s="1087"/>
      <c r="HW373" s="1087"/>
      <c r="HX373" s="1087"/>
      <c r="HY373" s="1087"/>
      <c r="HZ373" s="1087"/>
      <c r="IA373" s="1087"/>
      <c r="IB373" s="1087"/>
      <c r="IC373" s="1087"/>
      <c r="ID373" s="1087"/>
      <c r="IE373" s="1087"/>
      <c r="IF373" s="1087"/>
      <c r="IG373" s="1087"/>
      <c r="IH373" s="1087"/>
      <c r="II373" s="1087"/>
      <c r="IJ373" s="1087"/>
      <c r="IK373" s="1087"/>
      <c r="IL373" s="1087"/>
      <c r="IM373" s="1087"/>
      <c r="IN373" s="1087"/>
      <c r="IO373" s="1087"/>
      <c r="IP373" s="1087"/>
      <c r="IQ373" s="1087"/>
      <c r="IR373" s="1087"/>
      <c r="IS373" s="1087"/>
      <c r="IT373" s="1087"/>
      <c r="IU373" s="1087"/>
      <c r="IV373" s="1087"/>
      <c r="IW373" s="1087"/>
      <c r="IX373" s="1087"/>
      <c r="IY373" s="1087"/>
      <c r="IZ373" s="1087"/>
      <c r="JA373" s="1087"/>
      <c r="JB373" s="1087"/>
      <c r="JC373" s="1087"/>
      <c r="JD373" s="1087"/>
      <c r="JE373" s="1087"/>
      <c r="JF373" s="1087"/>
      <c r="JG373" s="1087"/>
      <c r="JH373" s="1087"/>
      <c r="JI373" s="1087"/>
      <c r="JJ373" s="1087"/>
      <c r="JK373" s="1087"/>
      <c r="JL373" s="1087"/>
      <c r="JM373" s="1087"/>
      <c r="JN373" s="1087"/>
      <c r="JO373" s="1087"/>
      <c r="JP373" s="1087"/>
      <c r="JQ373" s="1087"/>
      <c r="JR373" s="1087"/>
      <c r="JS373" s="1087"/>
      <c r="JT373" s="1087"/>
      <c r="JU373" s="1087"/>
      <c r="JV373" s="1087"/>
      <c r="JW373" s="1087"/>
      <c r="JX373" s="1087"/>
      <c r="JY373" s="1087"/>
      <c r="JZ373" s="1087"/>
      <c r="KA373" s="1087"/>
      <c r="KB373" s="1092"/>
    </row>
    <row r="374" spans="2:288" ht="15" customHeight="1" x14ac:dyDescent="0.35">
      <c r="B374" s="146" t="str">
        <f t="shared" si="29"/>
        <v>Desk 55</v>
      </c>
      <c r="C374" s="148" t="str">
        <v/>
      </c>
      <c r="D374" s="148" t="str">
        <v/>
      </c>
      <c r="E374" s="148" t="str">
        <v/>
      </c>
      <c r="F374" s="148" t="str">
        <v/>
      </c>
      <c r="G374" s="268" t="str">
        <v/>
      </c>
      <c r="H374" s="1087"/>
      <c r="I374" s="1087"/>
      <c r="J374" s="1087"/>
      <c r="K374" s="1087"/>
      <c r="L374" s="1087"/>
      <c r="M374" s="1087"/>
      <c r="N374" s="1087"/>
      <c r="O374" s="1087"/>
      <c r="P374" s="1087"/>
      <c r="Q374" s="1087"/>
      <c r="R374" s="1087"/>
      <c r="S374" s="1087"/>
      <c r="T374" s="1087"/>
      <c r="U374" s="1087"/>
      <c r="V374" s="1087"/>
      <c r="W374" s="1087"/>
      <c r="X374" s="1087"/>
      <c r="Y374" s="1087"/>
      <c r="Z374" s="1087"/>
      <c r="AA374" s="1087"/>
      <c r="AB374" s="1087"/>
      <c r="AC374" s="1087"/>
      <c r="AD374" s="1087"/>
      <c r="AE374" s="1087"/>
      <c r="AF374" s="1087"/>
      <c r="AG374" s="1087"/>
      <c r="AH374" s="1087"/>
      <c r="AI374" s="1087"/>
      <c r="AJ374" s="1087"/>
      <c r="AK374" s="1087"/>
      <c r="AL374" s="1087"/>
      <c r="AM374" s="1087"/>
      <c r="AN374" s="1087"/>
      <c r="AO374" s="1087"/>
      <c r="AP374" s="1087"/>
      <c r="AQ374" s="1087"/>
      <c r="AR374" s="1087"/>
      <c r="AS374" s="1087"/>
      <c r="AT374" s="1087"/>
      <c r="AU374" s="1087"/>
      <c r="AV374" s="1087"/>
      <c r="AW374" s="1087"/>
      <c r="AX374" s="1087"/>
      <c r="AY374" s="1087"/>
      <c r="AZ374" s="1087"/>
      <c r="BA374" s="1087"/>
      <c r="BB374" s="1087"/>
      <c r="BC374" s="1087"/>
      <c r="BD374" s="1087"/>
      <c r="BE374" s="1087"/>
      <c r="BF374" s="1087"/>
      <c r="BG374" s="1087"/>
      <c r="BH374" s="1087"/>
      <c r="BI374" s="1087"/>
      <c r="BJ374" s="1087"/>
      <c r="BK374" s="1087"/>
      <c r="BL374" s="1087"/>
      <c r="BM374" s="1087"/>
      <c r="BN374" s="1087"/>
      <c r="BO374" s="1087"/>
      <c r="BP374" s="1087"/>
      <c r="BQ374" s="1087"/>
      <c r="BR374" s="1087"/>
      <c r="BS374" s="1087"/>
      <c r="BT374" s="1087"/>
      <c r="BU374" s="1087"/>
      <c r="BV374" s="1087"/>
      <c r="BW374" s="1087"/>
      <c r="BX374" s="1087"/>
      <c r="BY374" s="1087"/>
      <c r="BZ374" s="1087"/>
      <c r="CA374" s="1087"/>
      <c r="CB374" s="1087"/>
      <c r="CC374" s="1087"/>
      <c r="CD374" s="1087"/>
      <c r="CE374" s="1087"/>
      <c r="CF374" s="1087"/>
      <c r="CG374" s="1087"/>
      <c r="CH374" s="1087"/>
      <c r="CI374" s="1087"/>
      <c r="CJ374" s="1087"/>
      <c r="CK374" s="1087"/>
      <c r="CL374" s="1087"/>
      <c r="CM374" s="1087"/>
      <c r="CN374" s="1087"/>
      <c r="CO374" s="1087"/>
      <c r="CP374" s="1087"/>
      <c r="CQ374" s="1087"/>
      <c r="CR374" s="1087"/>
      <c r="CS374" s="1087"/>
      <c r="CT374" s="1087"/>
      <c r="CU374" s="1087"/>
      <c r="CV374" s="1087"/>
      <c r="CW374" s="1087"/>
      <c r="CX374" s="1087"/>
      <c r="CY374" s="1087"/>
      <c r="CZ374" s="1087"/>
      <c r="DA374" s="1087"/>
      <c r="DB374" s="1087"/>
      <c r="DC374" s="1087"/>
      <c r="DD374" s="1087"/>
      <c r="DE374" s="1087"/>
      <c r="DF374" s="1087"/>
      <c r="DG374" s="1087"/>
      <c r="DH374" s="1087"/>
      <c r="DI374" s="1087"/>
      <c r="DJ374" s="1087"/>
      <c r="DK374" s="1087"/>
      <c r="DL374" s="1087"/>
      <c r="DM374" s="1087"/>
      <c r="DN374" s="1087"/>
      <c r="DO374" s="1087"/>
      <c r="DP374" s="1087"/>
      <c r="DQ374" s="1087"/>
      <c r="DR374" s="1087"/>
      <c r="DS374" s="1087"/>
      <c r="DT374" s="1087"/>
      <c r="DU374" s="1087"/>
      <c r="DV374" s="1087"/>
      <c r="DW374" s="1087"/>
      <c r="DX374" s="1087"/>
      <c r="DY374" s="1087"/>
      <c r="DZ374" s="1087"/>
      <c r="EA374" s="1087"/>
      <c r="EB374" s="1087"/>
      <c r="EC374" s="1087"/>
      <c r="ED374" s="1087"/>
      <c r="EE374" s="1087"/>
      <c r="EF374" s="1087"/>
      <c r="EG374" s="1087"/>
      <c r="EH374" s="1087"/>
      <c r="EI374" s="1087"/>
      <c r="EJ374" s="1087"/>
      <c r="EK374" s="1087"/>
      <c r="EL374" s="1087"/>
      <c r="EM374" s="1087"/>
      <c r="EN374" s="1087"/>
      <c r="EO374" s="1087"/>
      <c r="EP374" s="1087"/>
      <c r="EQ374" s="1087"/>
      <c r="ER374" s="1087"/>
      <c r="ES374" s="1087"/>
      <c r="ET374" s="1087"/>
      <c r="EU374" s="1087"/>
      <c r="EV374" s="1087"/>
      <c r="EW374" s="1087"/>
      <c r="EX374" s="1087"/>
      <c r="EY374" s="1087"/>
      <c r="EZ374" s="1087"/>
      <c r="FA374" s="1087"/>
      <c r="FB374" s="1087"/>
      <c r="FC374" s="1087"/>
      <c r="FD374" s="1087"/>
      <c r="FE374" s="1087"/>
      <c r="FF374" s="1087"/>
      <c r="FG374" s="1087"/>
      <c r="FH374" s="1087"/>
      <c r="FI374" s="1087"/>
      <c r="FJ374" s="1087"/>
      <c r="FK374" s="1087"/>
      <c r="FL374" s="1087"/>
      <c r="FM374" s="1087"/>
      <c r="FN374" s="1087"/>
      <c r="FO374" s="1087"/>
      <c r="FP374" s="1087"/>
      <c r="FQ374" s="1087"/>
      <c r="FR374" s="1087"/>
      <c r="FS374" s="1087"/>
      <c r="FT374" s="1087"/>
      <c r="FU374" s="1087"/>
      <c r="FV374" s="1087"/>
      <c r="FW374" s="1087"/>
      <c r="FX374" s="1087"/>
      <c r="FY374" s="1087"/>
      <c r="FZ374" s="1087"/>
      <c r="GA374" s="1087"/>
      <c r="GB374" s="1087"/>
      <c r="GC374" s="1087"/>
      <c r="GD374" s="1087"/>
      <c r="GE374" s="1087"/>
      <c r="GF374" s="1087"/>
      <c r="GG374" s="1087"/>
      <c r="GH374" s="1087"/>
      <c r="GI374" s="1087"/>
      <c r="GJ374" s="1087"/>
      <c r="GK374" s="1087"/>
      <c r="GL374" s="1087"/>
      <c r="GM374" s="1087"/>
      <c r="GN374" s="1087"/>
      <c r="GO374" s="1087"/>
      <c r="GP374" s="1087"/>
      <c r="GQ374" s="1087"/>
      <c r="GR374" s="1087"/>
      <c r="GS374" s="1087"/>
      <c r="GT374" s="1087"/>
      <c r="GU374" s="1087"/>
      <c r="GV374" s="1087"/>
      <c r="GW374" s="1087"/>
      <c r="GX374" s="1087"/>
      <c r="GY374" s="1087"/>
      <c r="GZ374" s="1087"/>
      <c r="HA374" s="1087"/>
      <c r="HB374" s="1087"/>
      <c r="HC374" s="1087"/>
      <c r="HD374" s="1087"/>
      <c r="HE374" s="1087"/>
      <c r="HF374" s="1087"/>
      <c r="HG374" s="1087"/>
      <c r="HH374" s="1087"/>
      <c r="HI374" s="1087"/>
      <c r="HJ374" s="1087"/>
      <c r="HK374" s="1087"/>
      <c r="HL374" s="1087"/>
      <c r="HM374" s="1087"/>
      <c r="HN374" s="1087"/>
      <c r="HO374" s="1087"/>
      <c r="HP374" s="1087"/>
      <c r="HQ374" s="1087"/>
      <c r="HR374" s="1087"/>
      <c r="HS374" s="1087"/>
      <c r="HT374" s="1087"/>
      <c r="HU374" s="1087"/>
      <c r="HV374" s="1087"/>
      <c r="HW374" s="1087"/>
      <c r="HX374" s="1087"/>
      <c r="HY374" s="1087"/>
      <c r="HZ374" s="1087"/>
      <c r="IA374" s="1087"/>
      <c r="IB374" s="1087"/>
      <c r="IC374" s="1087"/>
      <c r="ID374" s="1087"/>
      <c r="IE374" s="1087"/>
      <c r="IF374" s="1087"/>
      <c r="IG374" s="1087"/>
      <c r="IH374" s="1087"/>
      <c r="II374" s="1087"/>
      <c r="IJ374" s="1087"/>
      <c r="IK374" s="1087"/>
      <c r="IL374" s="1087"/>
      <c r="IM374" s="1087"/>
      <c r="IN374" s="1087"/>
      <c r="IO374" s="1087"/>
      <c r="IP374" s="1087"/>
      <c r="IQ374" s="1087"/>
      <c r="IR374" s="1087"/>
      <c r="IS374" s="1087"/>
      <c r="IT374" s="1087"/>
      <c r="IU374" s="1087"/>
      <c r="IV374" s="1087"/>
      <c r="IW374" s="1087"/>
      <c r="IX374" s="1087"/>
      <c r="IY374" s="1087"/>
      <c r="IZ374" s="1087"/>
      <c r="JA374" s="1087"/>
      <c r="JB374" s="1087"/>
      <c r="JC374" s="1087"/>
      <c r="JD374" s="1087"/>
      <c r="JE374" s="1087"/>
      <c r="JF374" s="1087"/>
      <c r="JG374" s="1087"/>
      <c r="JH374" s="1087"/>
      <c r="JI374" s="1087"/>
      <c r="JJ374" s="1087"/>
      <c r="JK374" s="1087"/>
      <c r="JL374" s="1087"/>
      <c r="JM374" s="1087"/>
      <c r="JN374" s="1087"/>
      <c r="JO374" s="1087"/>
      <c r="JP374" s="1087"/>
      <c r="JQ374" s="1087"/>
      <c r="JR374" s="1087"/>
      <c r="JS374" s="1087"/>
      <c r="JT374" s="1087"/>
      <c r="JU374" s="1087"/>
      <c r="JV374" s="1087"/>
      <c r="JW374" s="1087"/>
      <c r="JX374" s="1087"/>
      <c r="JY374" s="1087"/>
      <c r="JZ374" s="1087"/>
      <c r="KA374" s="1087"/>
      <c r="KB374" s="1092"/>
    </row>
    <row r="375" spans="2:288" ht="15" customHeight="1" x14ac:dyDescent="0.35">
      <c r="B375" s="146" t="str">
        <f t="shared" si="29"/>
        <v>Desk 56</v>
      </c>
      <c r="C375" s="148" t="str">
        <v/>
      </c>
      <c r="D375" s="148" t="str">
        <v/>
      </c>
      <c r="E375" s="148" t="str">
        <v/>
      </c>
      <c r="F375" s="148" t="str">
        <v/>
      </c>
      <c r="G375" s="268" t="str">
        <v/>
      </c>
      <c r="H375" s="1087"/>
      <c r="I375" s="1087"/>
      <c r="J375" s="1087"/>
      <c r="K375" s="1087"/>
      <c r="L375" s="1087"/>
      <c r="M375" s="1087"/>
      <c r="N375" s="1087"/>
      <c r="O375" s="1087"/>
      <c r="P375" s="1087"/>
      <c r="Q375" s="1087"/>
      <c r="R375" s="1087"/>
      <c r="S375" s="1087"/>
      <c r="T375" s="1087"/>
      <c r="U375" s="1087"/>
      <c r="V375" s="1087"/>
      <c r="W375" s="1087"/>
      <c r="X375" s="1087"/>
      <c r="Y375" s="1087"/>
      <c r="Z375" s="1087"/>
      <c r="AA375" s="1087"/>
      <c r="AB375" s="1087"/>
      <c r="AC375" s="1087"/>
      <c r="AD375" s="1087"/>
      <c r="AE375" s="1087"/>
      <c r="AF375" s="1087"/>
      <c r="AG375" s="1087"/>
      <c r="AH375" s="1087"/>
      <c r="AI375" s="1087"/>
      <c r="AJ375" s="1087"/>
      <c r="AK375" s="1087"/>
      <c r="AL375" s="1087"/>
      <c r="AM375" s="1087"/>
      <c r="AN375" s="1087"/>
      <c r="AO375" s="1087"/>
      <c r="AP375" s="1087"/>
      <c r="AQ375" s="1087"/>
      <c r="AR375" s="1087"/>
      <c r="AS375" s="1087"/>
      <c r="AT375" s="1087"/>
      <c r="AU375" s="1087"/>
      <c r="AV375" s="1087"/>
      <c r="AW375" s="1087"/>
      <c r="AX375" s="1087"/>
      <c r="AY375" s="1087"/>
      <c r="AZ375" s="1087"/>
      <c r="BA375" s="1087"/>
      <c r="BB375" s="1087"/>
      <c r="BC375" s="1087"/>
      <c r="BD375" s="1087"/>
      <c r="BE375" s="1087"/>
      <c r="BF375" s="1087"/>
      <c r="BG375" s="1087"/>
      <c r="BH375" s="1087"/>
      <c r="BI375" s="1087"/>
      <c r="BJ375" s="1087"/>
      <c r="BK375" s="1087"/>
      <c r="BL375" s="1087"/>
      <c r="BM375" s="1087"/>
      <c r="BN375" s="1087"/>
      <c r="BO375" s="1087"/>
      <c r="BP375" s="1087"/>
      <c r="BQ375" s="1087"/>
      <c r="BR375" s="1087"/>
      <c r="BS375" s="1087"/>
      <c r="BT375" s="1087"/>
      <c r="BU375" s="1087"/>
      <c r="BV375" s="1087"/>
      <c r="BW375" s="1087"/>
      <c r="BX375" s="1087"/>
      <c r="BY375" s="1087"/>
      <c r="BZ375" s="1087"/>
      <c r="CA375" s="1087"/>
      <c r="CB375" s="1087"/>
      <c r="CC375" s="1087"/>
      <c r="CD375" s="1087"/>
      <c r="CE375" s="1087"/>
      <c r="CF375" s="1087"/>
      <c r="CG375" s="1087"/>
      <c r="CH375" s="1087"/>
      <c r="CI375" s="1087"/>
      <c r="CJ375" s="1087"/>
      <c r="CK375" s="1087"/>
      <c r="CL375" s="1087"/>
      <c r="CM375" s="1087"/>
      <c r="CN375" s="1087"/>
      <c r="CO375" s="1087"/>
      <c r="CP375" s="1087"/>
      <c r="CQ375" s="1087"/>
      <c r="CR375" s="1087"/>
      <c r="CS375" s="1087"/>
      <c r="CT375" s="1087"/>
      <c r="CU375" s="1087"/>
      <c r="CV375" s="1087"/>
      <c r="CW375" s="1087"/>
      <c r="CX375" s="1087"/>
      <c r="CY375" s="1087"/>
      <c r="CZ375" s="1087"/>
      <c r="DA375" s="1087"/>
      <c r="DB375" s="1087"/>
      <c r="DC375" s="1087"/>
      <c r="DD375" s="1087"/>
      <c r="DE375" s="1087"/>
      <c r="DF375" s="1087"/>
      <c r="DG375" s="1087"/>
      <c r="DH375" s="1087"/>
      <c r="DI375" s="1087"/>
      <c r="DJ375" s="1087"/>
      <c r="DK375" s="1087"/>
      <c r="DL375" s="1087"/>
      <c r="DM375" s="1087"/>
      <c r="DN375" s="1087"/>
      <c r="DO375" s="1087"/>
      <c r="DP375" s="1087"/>
      <c r="DQ375" s="1087"/>
      <c r="DR375" s="1087"/>
      <c r="DS375" s="1087"/>
      <c r="DT375" s="1087"/>
      <c r="DU375" s="1087"/>
      <c r="DV375" s="1087"/>
      <c r="DW375" s="1087"/>
      <c r="DX375" s="1087"/>
      <c r="DY375" s="1087"/>
      <c r="DZ375" s="1087"/>
      <c r="EA375" s="1087"/>
      <c r="EB375" s="1087"/>
      <c r="EC375" s="1087"/>
      <c r="ED375" s="1087"/>
      <c r="EE375" s="1087"/>
      <c r="EF375" s="1087"/>
      <c r="EG375" s="1087"/>
      <c r="EH375" s="1087"/>
      <c r="EI375" s="1087"/>
      <c r="EJ375" s="1087"/>
      <c r="EK375" s="1087"/>
      <c r="EL375" s="1087"/>
      <c r="EM375" s="1087"/>
      <c r="EN375" s="1087"/>
      <c r="EO375" s="1087"/>
      <c r="EP375" s="1087"/>
      <c r="EQ375" s="1087"/>
      <c r="ER375" s="1087"/>
      <c r="ES375" s="1087"/>
      <c r="ET375" s="1087"/>
      <c r="EU375" s="1087"/>
      <c r="EV375" s="1087"/>
      <c r="EW375" s="1087"/>
      <c r="EX375" s="1087"/>
      <c r="EY375" s="1087"/>
      <c r="EZ375" s="1087"/>
      <c r="FA375" s="1087"/>
      <c r="FB375" s="1087"/>
      <c r="FC375" s="1087"/>
      <c r="FD375" s="1087"/>
      <c r="FE375" s="1087"/>
      <c r="FF375" s="1087"/>
      <c r="FG375" s="1087"/>
      <c r="FH375" s="1087"/>
      <c r="FI375" s="1087"/>
      <c r="FJ375" s="1087"/>
      <c r="FK375" s="1087"/>
      <c r="FL375" s="1087"/>
      <c r="FM375" s="1087"/>
      <c r="FN375" s="1087"/>
      <c r="FO375" s="1087"/>
      <c r="FP375" s="1087"/>
      <c r="FQ375" s="1087"/>
      <c r="FR375" s="1087"/>
      <c r="FS375" s="1087"/>
      <c r="FT375" s="1087"/>
      <c r="FU375" s="1087"/>
      <c r="FV375" s="1087"/>
      <c r="FW375" s="1087"/>
      <c r="FX375" s="1087"/>
      <c r="FY375" s="1087"/>
      <c r="FZ375" s="1087"/>
      <c r="GA375" s="1087"/>
      <c r="GB375" s="1087"/>
      <c r="GC375" s="1087"/>
      <c r="GD375" s="1087"/>
      <c r="GE375" s="1087"/>
      <c r="GF375" s="1087"/>
      <c r="GG375" s="1087"/>
      <c r="GH375" s="1087"/>
      <c r="GI375" s="1087"/>
      <c r="GJ375" s="1087"/>
      <c r="GK375" s="1087"/>
      <c r="GL375" s="1087"/>
      <c r="GM375" s="1087"/>
      <c r="GN375" s="1087"/>
      <c r="GO375" s="1087"/>
      <c r="GP375" s="1087"/>
      <c r="GQ375" s="1087"/>
      <c r="GR375" s="1087"/>
      <c r="GS375" s="1087"/>
      <c r="GT375" s="1087"/>
      <c r="GU375" s="1087"/>
      <c r="GV375" s="1087"/>
      <c r="GW375" s="1087"/>
      <c r="GX375" s="1087"/>
      <c r="GY375" s="1087"/>
      <c r="GZ375" s="1087"/>
      <c r="HA375" s="1087"/>
      <c r="HB375" s="1087"/>
      <c r="HC375" s="1087"/>
      <c r="HD375" s="1087"/>
      <c r="HE375" s="1087"/>
      <c r="HF375" s="1087"/>
      <c r="HG375" s="1087"/>
      <c r="HH375" s="1087"/>
      <c r="HI375" s="1087"/>
      <c r="HJ375" s="1087"/>
      <c r="HK375" s="1087"/>
      <c r="HL375" s="1087"/>
      <c r="HM375" s="1087"/>
      <c r="HN375" s="1087"/>
      <c r="HO375" s="1087"/>
      <c r="HP375" s="1087"/>
      <c r="HQ375" s="1087"/>
      <c r="HR375" s="1087"/>
      <c r="HS375" s="1087"/>
      <c r="HT375" s="1087"/>
      <c r="HU375" s="1087"/>
      <c r="HV375" s="1087"/>
      <c r="HW375" s="1087"/>
      <c r="HX375" s="1087"/>
      <c r="HY375" s="1087"/>
      <c r="HZ375" s="1087"/>
      <c r="IA375" s="1087"/>
      <c r="IB375" s="1087"/>
      <c r="IC375" s="1087"/>
      <c r="ID375" s="1087"/>
      <c r="IE375" s="1087"/>
      <c r="IF375" s="1087"/>
      <c r="IG375" s="1087"/>
      <c r="IH375" s="1087"/>
      <c r="II375" s="1087"/>
      <c r="IJ375" s="1087"/>
      <c r="IK375" s="1087"/>
      <c r="IL375" s="1087"/>
      <c r="IM375" s="1087"/>
      <c r="IN375" s="1087"/>
      <c r="IO375" s="1087"/>
      <c r="IP375" s="1087"/>
      <c r="IQ375" s="1087"/>
      <c r="IR375" s="1087"/>
      <c r="IS375" s="1087"/>
      <c r="IT375" s="1087"/>
      <c r="IU375" s="1087"/>
      <c r="IV375" s="1087"/>
      <c r="IW375" s="1087"/>
      <c r="IX375" s="1087"/>
      <c r="IY375" s="1087"/>
      <c r="IZ375" s="1087"/>
      <c r="JA375" s="1087"/>
      <c r="JB375" s="1087"/>
      <c r="JC375" s="1087"/>
      <c r="JD375" s="1087"/>
      <c r="JE375" s="1087"/>
      <c r="JF375" s="1087"/>
      <c r="JG375" s="1087"/>
      <c r="JH375" s="1087"/>
      <c r="JI375" s="1087"/>
      <c r="JJ375" s="1087"/>
      <c r="JK375" s="1087"/>
      <c r="JL375" s="1087"/>
      <c r="JM375" s="1087"/>
      <c r="JN375" s="1087"/>
      <c r="JO375" s="1087"/>
      <c r="JP375" s="1087"/>
      <c r="JQ375" s="1087"/>
      <c r="JR375" s="1087"/>
      <c r="JS375" s="1087"/>
      <c r="JT375" s="1087"/>
      <c r="JU375" s="1087"/>
      <c r="JV375" s="1087"/>
      <c r="JW375" s="1087"/>
      <c r="JX375" s="1087"/>
      <c r="JY375" s="1087"/>
      <c r="JZ375" s="1087"/>
      <c r="KA375" s="1087"/>
      <c r="KB375" s="1092"/>
    </row>
    <row r="376" spans="2:288" ht="15" customHeight="1" x14ac:dyDescent="0.35">
      <c r="B376" s="146" t="str">
        <f t="shared" si="29"/>
        <v>Desk 57</v>
      </c>
      <c r="C376" s="148" t="str">
        <v/>
      </c>
      <c r="D376" s="148" t="str">
        <v/>
      </c>
      <c r="E376" s="148" t="str">
        <v/>
      </c>
      <c r="F376" s="148" t="str">
        <v/>
      </c>
      <c r="G376" s="268" t="str">
        <v/>
      </c>
      <c r="H376" s="1087"/>
      <c r="I376" s="1087"/>
      <c r="J376" s="1087"/>
      <c r="K376" s="1087"/>
      <c r="L376" s="1087"/>
      <c r="M376" s="1087"/>
      <c r="N376" s="1087"/>
      <c r="O376" s="1087"/>
      <c r="P376" s="1087"/>
      <c r="Q376" s="1087"/>
      <c r="R376" s="1087"/>
      <c r="S376" s="1087"/>
      <c r="T376" s="1087"/>
      <c r="U376" s="1087"/>
      <c r="V376" s="1087"/>
      <c r="W376" s="1087"/>
      <c r="X376" s="1087"/>
      <c r="Y376" s="1087"/>
      <c r="Z376" s="1087"/>
      <c r="AA376" s="1087"/>
      <c r="AB376" s="1087"/>
      <c r="AC376" s="1087"/>
      <c r="AD376" s="1087"/>
      <c r="AE376" s="1087"/>
      <c r="AF376" s="1087"/>
      <c r="AG376" s="1087"/>
      <c r="AH376" s="1087"/>
      <c r="AI376" s="1087"/>
      <c r="AJ376" s="1087"/>
      <c r="AK376" s="1087"/>
      <c r="AL376" s="1087"/>
      <c r="AM376" s="1087"/>
      <c r="AN376" s="1087"/>
      <c r="AO376" s="1087"/>
      <c r="AP376" s="1087"/>
      <c r="AQ376" s="1087"/>
      <c r="AR376" s="1087"/>
      <c r="AS376" s="1087"/>
      <c r="AT376" s="1087"/>
      <c r="AU376" s="1087"/>
      <c r="AV376" s="1087"/>
      <c r="AW376" s="1087"/>
      <c r="AX376" s="1087"/>
      <c r="AY376" s="1087"/>
      <c r="AZ376" s="1087"/>
      <c r="BA376" s="1087"/>
      <c r="BB376" s="1087"/>
      <c r="BC376" s="1087"/>
      <c r="BD376" s="1087"/>
      <c r="BE376" s="1087"/>
      <c r="BF376" s="1087"/>
      <c r="BG376" s="1087"/>
      <c r="BH376" s="1087"/>
      <c r="BI376" s="1087"/>
      <c r="BJ376" s="1087"/>
      <c r="BK376" s="1087"/>
      <c r="BL376" s="1087"/>
      <c r="BM376" s="1087"/>
      <c r="BN376" s="1087"/>
      <c r="BO376" s="1087"/>
      <c r="BP376" s="1087"/>
      <c r="BQ376" s="1087"/>
      <c r="BR376" s="1087"/>
      <c r="BS376" s="1087"/>
      <c r="BT376" s="1087"/>
      <c r="BU376" s="1087"/>
      <c r="BV376" s="1087"/>
      <c r="BW376" s="1087"/>
      <c r="BX376" s="1087"/>
      <c r="BY376" s="1087"/>
      <c r="BZ376" s="1087"/>
      <c r="CA376" s="1087"/>
      <c r="CB376" s="1087"/>
      <c r="CC376" s="1087"/>
      <c r="CD376" s="1087"/>
      <c r="CE376" s="1087"/>
      <c r="CF376" s="1087"/>
      <c r="CG376" s="1087"/>
      <c r="CH376" s="1087"/>
      <c r="CI376" s="1087"/>
      <c r="CJ376" s="1087"/>
      <c r="CK376" s="1087"/>
      <c r="CL376" s="1087"/>
      <c r="CM376" s="1087"/>
      <c r="CN376" s="1087"/>
      <c r="CO376" s="1087"/>
      <c r="CP376" s="1087"/>
      <c r="CQ376" s="1087"/>
      <c r="CR376" s="1087"/>
      <c r="CS376" s="1087"/>
      <c r="CT376" s="1087"/>
      <c r="CU376" s="1087"/>
      <c r="CV376" s="1087"/>
      <c r="CW376" s="1087"/>
      <c r="CX376" s="1087"/>
      <c r="CY376" s="1087"/>
      <c r="CZ376" s="1087"/>
      <c r="DA376" s="1087"/>
      <c r="DB376" s="1087"/>
      <c r="DC376" s="1087"/>
      <c r="DD376" s="1087"/>
      <c r="DE376" s="1087"/>
      <c r="DF376" s="1087"/>
      <c r="DG376" s="1087"/>
      <c r="DH376" s="1087"/>
      <c r="DI376" s="1087"/>
      <c r="DJ376" s="1087"/>
      <c r="DK376" s="1087"/>
      <c r="DL376" s="1087"/>
      <c r="DM376" s="1087"/>
      <c r="DN376" s="1087"/>
      <c r="DO376" s="1087"/>
      <c r="DP376" s="1087"/>
      <c r="DQ376" s="1087"/>
      <c r="DR376" s="1087"/>
      <c r="DS376" s="1087"/>
      <c r="DT376" s="1087"/>
      <c r="DU376" s="1087"/>
      <c r="DV376" s="1087"/>
      <c r="DW376" s="1087"/>
      <c r="DX376" s="1087"/>
      <c r="DY376" s="1087"/>
      <c r="DZ376" s="1087"/>
      <c r="EA376" s="1087"/>
      <c r="EB376" s="1087"/>
      <c r="EC376" s="1087"/>
      <c r="ED376" s="1087"/>
      <c r="EE376" s="1087"/>
      <c r="EF376" s="1087"/>
      <c r="EG376" s="1087"/>
      <c r="EH376" s="1087"/>
      <c r="EI376" s="1087"/>
      <c r="EJ376" s="1087"/>
      <c r="EK376" s="1087"/>
      <c r="EL376" s="1087"/>
      <c r="EM376" s="1087"/>
      <c r="EN376" s="1087"/>
      <c r="EO376" s="1087"/>
      <c r="EP376" s="1087"/>
      <c r="EQ376" s="1087"/>
      <c r="ER376" s="1087"/>
      <c r="ES376" s="1087"/>
      <c r="ET376" s="1087"/>
      <c r="EU376" s="1087"/>
      <c r="EV376" s="1087"/>
      <c r="EW376" s="1087"/>
      <c r="EX376" s="1087"/>
      <c r="EY376" s="1087"/>
      <c r="EZ376" s="1087"/>
      <c r="FA376" s="1087"/>
      <c r="FB376" s="1087"/>
      <c r="FC376" s="1087"/>
      <c r="FD376" s="1087"/>
      <c r="FE376" s="1087"/>
      <c r="FF376" s="1087"/>
      <c r="FG376" s="1087"/>
      <c r="FH376" s="1087"/>
      <c r="FI376" s="1087"/>
      <c r="FJ376" s="1087"/>
      <c r="FK376" s="1087"/>
      <c r="FL376" s="1087"/>
      <c r="FM376" s="1087"/>
      <c r="FN376" s="1087"/>
      <c r="FO376" s="1087"/>
      <c r="FP376" s="1087"/>
      <c r="FQ376" s="1087"/>
      <c r="FR376" s="1087"/>
      <c r="FS376" s="1087"/>
      <c r="FT376" s="1087"/>
      <c r="FU376" s="1087"/>
      <c r="FV376" s="1087"/>
      <c r="FW376" s="1087"/>
      <c r="FX376" s="1087"/>
      <c r="FY376" s="1087"/>
      <c r="FZ376" s="1087"/>
      <c r="GA376" s="1087"/>
      <c r="GB376" s="1087"/>
      <c r="GC376" s="1087"/>
      <c r="GD376" s="1087"/>
      <c r="GE376" s="1087"/>
      <c r="GF376" s="1087"/>
      <c r="GG376" s="1087"/>
      <c r="GH376" s="1087"/>
      <c r="GI376" s="1087"/>
      <c r="GJ376" s="1087"/>
      <c r="GK376" s="1087"/>
      <c r="GL376" s="1087"/>
      <c r="GM376" s="1087"/>
      <c r="GN376" s="1087"/>
      <c r="GO376" s="1087"/>
      <c r="GP376" s="1087"/>
      <c r="GQ376" s="1087"/>
      <c r="GR376" s="1087"/>
      <c r="GS376" s="1087"/>
      <c r="GT376" s="1087"/>
      <c r="GU376" s="1087"/>
      <c r="GV376" s="1087"/>
      <c r="GW376" s="1087"/>
      <c r="GX376" s="1087"/>
      <c r="GY376" s="1087"/>
      <c r="GZ376" s="1087"/>
      <c r="HA376" s="1087"/>
      <c r="HB376" s="1087"/>
      <c r="HC376" s="1087"/>
      <c r="HD376" s="1087"/>
      <c r="HE376" s="1087"/>
      <c r="HF376" s="1087"/>
      <c r="HG376" s="1087"/>
      <c r="HH376" s="1087"/>
      <c r="HI376" s="1087"/>
      <c r="HJ376" s="1087"/>
      <c r="HK376" s="1087"/>
      <c r="HL376" s="1087"/>
      <c r="HM376" s="1087"/>
      <c r="HN376" s="1087"/>
      <c r="HO376" s="1087"/>
      <c r="HP376" s="1087"/>
      <c r="HQ376" s="1087"/>
      <c r="HR376" s="1087"/>
      <c r="HS376" s="1087"/>
      <c r="HT376" s="1087"/>
      <c r="HU376" s="1087"/>
      <c r="HV376" s="1087"/>
      <c r="HW376" s="1087"/>
      <c r="HX376" s="1087"/>
      <c r="HY376" s="1087"/>
      <c r="HZ376" s="1087"/>
      <c r="IA376" s="1087"/>
      <c r="IB376" s="1087"/>
      <c r="IC376" s="1087"/>
      <c r="ID376" s="1087"/>
      <c r="IE376" s="1087"/>
      <c r="IF376" s="1087"/>
      <c r="IG376" s="1087"/>
      <c r="IH376" s="1087"/>
      <c r="II376" s="1087"/>
      <c r="IJ376" s="1087"/>
      <c r="IK376" s="1087"/>
      <c r="IL376" s="1087"/>
      <c r="IM376" s="1087"/>
      <c r="IN376" s="1087"/>
      <c r="IO376" s="1087"/>
      <c r="IP376" s="1087"/>
      <c r="IQ376" s="1087"/>
      <c r="IR376" s="1087"/>
      <c r="IS376" s="1087"/>
      <c r="IT376" s="1087"/>
      <c r="IU376" s="1087"/>
      <c r="IV376" s="1087"/>
      <c r="IW376" s="1087"/>
      <c r="IX376" s="1087"/>
      <c r="IY376" s="1087"/>
      <c r="IZ376" s="1087"/>
      <c r="JA376" s="1087"/>
      <c r="JB376" s="1087"/>
      <c r="JC376" s="1087"/>
      <c r="JD376" s="1087"/>
      <c r="JE376" s="1087"/>
      <c r="JF376" s="1087"/>
      <c r="JG376" s="1087"/>
      <c r="JH376" s="1087"/>
      <c r="JI376" s="1087"/>
      <c r="JJ376" s="1087"/>
      <c r="JK376" s="1087"/>
      <c r="JL376" s="1087"/>
      <c r="JM376" s="1087"/>
      <c r="JN376" s="1087"/>
      <c r="JO376" s="1087"/>
      <c r="JP376" s="1087"/>
      <c r="JQ376" s="1087"/>
      <c r="JR376" s="1087"/>
      <c r="JS376" s="1087"/>
      <c r="JT376" s="1087"/>
      <c r="JU376" s="1087"/>
      <c r="JV376" s="1087"/>
      <c r="JW376" s="1087"/>
      <c r="JX376" s="1087"/>
      <c r="JY376" s="1087"/>
      <c r="JZ376" s="1087"/>
      <c r="KA376" s="1087"/>
      <c r="KB376" s="1092"/>
    </row>
    <row r="377" spans="2:288" ht="15" customHeight="1" x14ac:dyDescent="0.35">
      <c r="B377" s="146" t="str">
        <f t="shared" si="29"/>
        <v>Desk 58</v>
      </c>
      <c r="C377" s="148" t="str">
        <v/>
      </c>
      <c r="D377" s="148" t="str">
        <v/>
      </c>
      <c r="E377" s="148" t="str">
        <v/>
      </c>
      <c r="F377" s="148" t="str">
        <v/>
      </c>
      <c r="G377" s="268" t="str">
        <v/>
      </c>
      <c r="H377" s="1087"/>
      <c r="I377" s="1087"/>
      <c r="J377" s="1087"/>
      <c r="K377" s="1087"/>
      <c r="L377" s="1087"/>
      <c r="M377" s="1087"/>
      <c r="N377" s="1087"/>
      <c r="O377" s="1087"/>
      <c r="P377" s="1087"/>
      <c r="Q377" s="1087"/>
      <c r="R377" s="1087"/>
      <c r="S377" s="1087"/>
      <c r="T377" s="1087"/>
      <c r="U377" s="1087"/>
      <c r="V377" s="1087"/>
      <c r="W377" s="1087"/>
      <c r="X377" s="1087"/>
      <c r="Y377" s="1087"/>
      <c r="Z377" s="1087"/>
      <c r="AA377" s="1087"/>
      <c r="AB377" s="1087"/>
      <c r="AC377" s="1087"/>
      <c r="AD377" s="1087"/>
      <c r="AE377" s="1087"/>
      <c r="AF377" s="1087"/>
      <c r="AG377" s="1087"/>
      <c r="AH377" s="1087"/>
      <c r="AI377" s="1087"/>
      <c r="AJ377" s="1087"/>
      <c r="AK377" s="1087"/>
      <c r="AL377" s="1087"/>
      <c r="AM377" s="1087"/>
      <c r="AN377" s="1087"/>
      <c r="AO377" s="1087"/>
      <c r="AP377" s="1087"/>
      <c r="AQ377" s="1087"/>
      <c r="AR377" s="1087"/>
      <c r="AS377" s="1087"/>
      <c r="AT377" s="1087"/>
      <c r="AU377" s="1087"/>
      <c r="AV377" s="1087"/>
      <c r="AW377" s="1087"/>
      <c r="AX377" s="1087"/>
      <c r="AY377" s="1087"/>
      <c r="AZ377" s="1087"/>
      <c r="BA377" s="1087"/>
      <c r="BB377" s="1087"/>
      <c r="BC377" s="1087"/>
      <c r="BD377" s="1087"/>
      <c r="BE377" s="1087"/>
      <c r="BF377" s="1087"/>
      <c r="BG377" s="1087"/>
      <c r="BH377" s="1087"/>
      <c r="BI377" s="1087"/>
      <c r="BJ377" s="1087"/>
      <c r="BK377" s="1087"/>
      <c r="BL377" s="1087"/>
      <c r="BM377" s="1087"/>
      <c r="BN377" s="1087"/>
      <c r="BO377" s="1087"/>
      <c r="BP377" s="1087"/>
      <c r="BQ377" s="1087"/>
      <c r="BR377" s="1087"/>
      <c r="BS377" s="1087"/>
      <c r="BT377" s="1087"/>
      <c r="BU377" s="1087"/>
      <c r="BV377" s="1087"/>
      <c r="BW377" s="1087"/>
      <c r="BX377" s="1087"/>
      <c r="BY377" s="1087"/>
      <c r="BZ377" s="1087"/>
      <c r="CA377" s="1087"/>
      <c r="CB377" s="1087"/>
      <c r="CC377" s="1087"/>
      <c r="CD377" s="1087"/>
      <c r="CE377" s="1087"/>
      <c r="CF377" s="1087"/>
      <c r="CG377" s="1087"/>
      <c r="CH377" s="1087"/>
      <c r="CI377" s="1087"/>
      <c r="CJ377" s="1087"/>
      <c r="CK377" s="1087"/>
      <c r="CL377" s="1087"/>
      <c r="CM377" s="1087"/>
      <c r="CN377" s="1087"/>
      <c r="CO377" s="1087"/>
      <c r="CP377" s="1087"/>
      <c r="CQ377" s="1087"/>
      <c r="CR377" s="1087"/>
      <c r="CS377" s="1087"/>
      <c r="CT377" s="1087"/>
      <c r="CU377" s="1087"/>
      <c r="CV377" s="1087"/>
      <c r="CW377" s="1087"/>
      <c r="CX377" s="1087"/>
      <c r="CY377" s="1087"/>
      <c r="CZ377" s="1087"/>
      <c r="DA377" s="1087"/>
      <c r="DB377" s="1087"/>
      <c r="DC377" s="1087"/>
      <c r="DD377" s="1087"/>
      <c r="DE377" s="1087"/>
      <c r="DF377" s="1087"/>
      <c r="DG377" s="1087"/>
      <c r="DH377" s="1087"/>
      <c r="DI377" s="1087"/>
      <c r="DJ377" s="1087"/>
      <c r="DK377" s="1087"/>
      <c r="DL377" s="1087"/>
      <c r="DM377" s="1087"/>
      <c r="DN377" s="1087"/>
      <c r="DO377" s="1087"/>
      <c r="DP377" s="1087"/>
      <c r="DQ377" s="1087"/>
      <c r="DR377" s="1087"/>
      <c r="DS377" s="1087"/>
      <c r="DT377" s="1087"/>
      <c r="DU377" s="1087"/>
      <c r="DV377" s="1087"/>
      <c r="DW377" s="1087"/>
      <c r="DX377" s="1087"/>
      <c r="DY377" s="1087"/>
      <c r="DZ377" s="1087"/>
      <c r="EA377" s="1087"/>
      <c r="EB377" s="1087"/>
      <c r="EC377" s="1087"/>
      <c r="ED377" s="1087"/>
      <c r="EE377" s="1087"/>
      <c r="EF377" s="1087"/>
      <c r="EG377" s="1087"/>
      <c r="EH377" s="1087"/>
      <c r="EI377" s="1087"/>
      <c r="EJ377" s="1087"/>
      <c r="EK377" s="1087"/>
      <c r="EL377" s="1087"/>
      <c r="EM377" s="1087"/>
      <c r="EN377" s="1087"/>
      <c r="EO377" s="1087"/>
      <c r="EP377" s="1087"/>
      <c r="EQ377" s="1087"/>
      <c r="ER377" s="1087"/>
      <c r="ES377" s="1087"/>
      <c r="ET377" s="1087"/>
      <c r="EU377" s="1087"/>
      <c r="EV377" s="1087"/>
      <c r="EW377" s="1087"/>
      <c r="EX377" s="1087"/>
      <c r="EY377" s="1087"/>
      <c r="EZ377" s="1087"/>
      <c r="FA377" s="1087"/>
      <c r="FB377" s="1087"/>
      <c r="FC377" s="1087"/>
      <c r="FD377" s="1087"/>
      <c r="FE377" s="1087"/>
      <c r="FF377" s="1087"/>
      <c r="FG377" s="1087"/>
      <c r="FH377" s="1087"/>
      <c r="FI377" s="1087"/>
      <c r="FJ377" s="1087"/>
      <c r="FK377" s="1087"/>
      <c r="FL377" s="1087"/>
      <c r="FM377" s="1087"/>
      <c r="FN377" s="1087"/>
      <c r="FO377" s="1087"/>
      <c r="FP377" s="1087"/>
      <c r="FQ377" s="1087"/>
      <c r="FR377" s="1087"/>
      <c r="FS377" s="1087"/>
      <c r="FT377" s="1087"/>
      <c r="FU377" s="1087"/>
      <c r="FV377" s="1087"/>
      <c r="FW377" s="1087"/>
      <c r="FX377" s="1087"/>
      <c r="FY377" s="1087"/>
      <c r="FZ377" s="1087"/>
      <c r="GA377" s="1087"/>
      <c r="GB377" s="1087"/>
      <c r="GC377" s="1087"/>
      <c r="GD377" s="1087"/>
      <c r="GE377" s="1087"/>
      <c r="GF377" s="1087"/>
      <c r="GG377" s="1087"/>
      <c r="GH377" s="1087"/>
      <c r="GI377" s="1087"/>
      <c r="GJ377" s="1087"/>
      <c r="GK377" s="1087"/>
      <c r="GL377" s="1087"/>
      <c r="GM377" s="1087"/>
      <c r="GN377" s="1087"/>
      <c r="GO377" s="1087"/>
      <c r="GP377" s="1087"/>
      <c r="GQ377" s="1087"/>
      <c r="GR377" s="1087"/>
      <c r="GS377" s="1087"/>
      <c r="GT377" s="1087"/>
      <c r="GU377" s="1087"/>
      <c r="GV377" s="1087"/>
      <c r="GW377" s="1087"/>
      <c r="GX377" s="1087"/>
      <c r="GY377" s="1087"/>
      <c r="GZ377" s="1087"/>
      <c r="HA377" s="1087"/>
      <c r="HB377" s="1087"/>
      <c r="HC377" s="1087"/>
      <c r="HD377" s="1087"/>
      <c r="HE377" s="1087"/>
      <c r="HF377" s="1087"/>
      <c r="HG377" s="1087"/>
      <c r="HH377" s="1087"/>
      <c r="HI377" s="1087"/>
      <c r="HJ377" s="1087"/>
      <c r="HK377" s="1087"/>
      <c r="HL377" s="1087"/>
      <c r="HM377" s="1087"/>
      <c r="HN377" s="1087"/>
      <c r="HO377" s="1087"/>
      <c r="HP377" s="1087"/>
      <c r="HQ377" s="1087"/>
      <c r="HR377" s="1087"/>
      <c r="HS377" s="1087"/>
      <c r="HT377" s="1087"/>
      <c r="HU377" s="1087"/>
      <c r="HV377" s="1087"/>
      <c r="HW377" s="1087"/>
      <c r="HX377" s="1087"/>
      <c r="HY377" s="1087"/>
      <c r="HZ377" s="1087"/>
      <c r="IA377" s="1087"/>
      <c r="IB377" s="1087"/>
      <c r="IC377" s="1087"/>
      <c r="ID377" s="1087"/>
      <c r="IE377" s="1087"/>
      <c r="IF377" s="1087"/>
      <c r="IG377" s="1087"/>
      <c r="IH377" s="1087"/>
      <c r="II377" s="1087"/>
      <c r="IJ377" s="1087"/>
      <c r="IK377" s="1087"/>
      <c r="IL377" s="1087"/>
      <c r="IM377" s="1087"/>
      <c r="IN377" s="1087"/>
      <c r="IO377" s="1087"/>
      <c r="IP377" s="1087"/>
      <c r="IQ377" s="1087"/>
      <c r="IR377" s="1087"/>
      <c r="IS377" s="1087"/>
      <c r="IT377" s="1087"/>
      <c r="IU377" s="1087"/>
      <c r="IV377" s="1087"/>
      <c r="IW377" s="1087"/>
      <c r="IX377" s="1087"/>
      <c r="IY377" s="1087"/>
      <c r="IZ377" s="1087"/>
      <c r="JA377" s="1087"/>
      <c r="JB377" s="1087"/>
      <c r="JC377" s="1087"/>
      <c r="JD377" s="1087"/>
      <c r="JE377" s="1087"/>
      <c r="JF377" s="1087"/>
      <c r="JG377" s="1087"/>
      <c r="JH377" s="1087"/>
      <c r="JI377" s="1087"/>
      <c r="JJ377" s="1087"/>
      <c r="JK377" s="1087"/>
      <c r="JL377" s="1087"/>
      <c r="JM377" s="1087"/>
      <c r="JN377" s="1087"/>
      <c r="JO377" s="1087"/>
      <c r="JP377" s="1087"/>
      <c r="JQ377" s="1087"/>
      <c r="JR377" s="1087"/>
      <c r="JS377" s="1087"/>
      <c r="JT377" s="1087"/>
      <c r="JU377" s="1087"/>
      <c r="JV377" s="1087"/>
      <c r="JW377" s="1087"/>
      <c r="JX377" s="1087"/>
      <c r="JY377" s="1087"/>
      <c r="JZ377" s="1087"/>
      <c r="KA377" s="1087"/>
      <c r="KB377" s="1092"/>
    </row>
    <row r="378" spans="2:288" ht="15" customHeight="1" x14ac:dyDescent="0.35">
      <c r="B378" s="146" t="str">
        <f t="shared" si="29"/>
        <v>Desk 59</v>
      </c>
      <c r="C378" s="148" t="str">
        <v/>
      </c>
      <c r="D378" s="148" t="str">
        <v/>
      </c>
      <c r="E378" s="148" t="str">
        <v/>
      </c>
      <c r="F378" s="148" t="str">
        <v/>
      </c>
      <c r="G378" s="268" t="str">
        <v/>
      </c>
      <c r="H378" s="1087"/>
      <c r="I378" s="1087"/>
      <c r="J378" s="1087"/>
      <c r="K378" s="1087"/>
      <c r="L378" s="1087"/>
      <c r="M378" s="1087"/>
      <c r="N378" s="1087"/>
      <c r="O378" s="1087"/>
      <c r="P378" s="1087"/>
      <c r="Q378" s="1087"/>
      <c r="R378" s="1087"/>
      <c r="S378" s="1087"/>
      <c r="T378" s="1087"/>
      <c r="U378" s="1087"/>
      <c r="V378" s="1087"/>
      <c r="W378" s="1087"/>
      <c r="X378" s="1087"/>
      <c r="Y378" s="1087"/>
      <c r="Z378" s="1087"/>
      <c r="AA378" s="1087"/>
      <c r="AB378" s="1087"/>
      <c r="AC378" s="1087"/>
      <c r="AD378" s="1087"/>
      <c r="AE378" s="1087"/>
      <c r="AF378" s="1087"/>
      <c r="AG378" s="1087"/>
      <c r="AH378" s="1087"/>
      <c r="AI378" s="1087"/>
      <c r="AJ378" s="1087"/>
      <c r="AK378" s="1087"/>
      <c r="AL378" s="1087"/>
      <c r="AM378" s="1087"/>
      <c r="AN378" s="1087"/>
      <c r="AO378" s="1087"/>
      <c r="AP378" s="1087"/>
      <c r="AQ378" s="1087"/>
      <c r="AR378" s="1087"/>
      <c r="AS378" s="1087"/>
      <c r="AT378" s="1087"/>
      <c r="AU378" s="1087"/>
      <c r="AV378" s="1087"/>
      <c r="AW378" s="1087"/>
      <c r="AX378" s="1087"/>
      <c r="AY378" s="1087"/>
      <c r="AZ378" s="1087"/>
      <c r="BA378" s="1087"/>
      <c r="BB378" s="1087"/>
      <c r="BC378" s="1087"/>
      <c r="BD378" s="1087"/>
      <c r="BE378" s="1087"/>
      <c r="BF378" s="1087"/>
      <c r="BG378" s="1087"/>
      <c r="BH378" s="1087"/>
      <c r="BI378" s="1087"/>
      <c r="BJ378" s="1087"/>
      <c r="BK378" s="1087"/>
      <c r="BL378" s="1087"/>
      <c r="BM378" s="1087"/>
      <c r="BN378" s="1087"/>
      <c r="BO378" s="1087"/>
      <c r="BP378" s="1087"/>
      <c r="BQ378" s="1087"/>
      <c r="BR378" s="1087"/>
      <c r="BS378" s="1087"/>
      <c r="BT378" s="1087"/>
      <c r="BU378" s="1087"/>
      <c r="BV378" s="1087"/>
      <c r="BW378" s="1087"/>
      <c r="BX378" s="1087"/>
      <c r="BY378" s="1087"/>
      <c r="BZ378" s="1087"/>
      <c r="CA378" s="1087"/>
      <c r="CB378" s="1087"/>
      <c r="CC378" s="1087"/>
      <c r="CD378" s="1087"/>
      <c r="CE378" s="1087"/>
      <c r="CF378" s="1087"/>
      <c r="CG378" s="1087"/>
      <c r="CH378" s="1087"/>
      <c r="CI378" s="1087"/>
      <c r="CJ378" s="1087"/>
      <c r="CK378" s="1087"/>
      <c r="CL378" s="1087"/>
      <c r="CM378" s="1087"/>
      <c r="CN378" s="1087"/>
      <c r="CO378" s="1087"/>
      <c r="CP378" s="1087"/>
      <c r="CQ378" s="1087"/>
      <c r="CR378" s="1087"/>
      <c r="CS378" s="1087"/>
      <c r="CT378" s="1087"/>
      <c r="CU378" s="1087"/>
      <c r="CV378" s="1087"/>
      <c r="CW378" s="1087"/>
      <c r="CX378" s="1087"/>
      <c r="CY378" s="1087"/>
      <c r="CZ378" s="1087"/>
      <c r="DA378" s="1087"/>
      <c r="DB378" s="1087"/>
      <c r="DC378" s="1087"/>
      <c r="DD378" s="1087"/>
      <c r="DE378" s="1087"/>
      <c r="DF378" s="1087"/>
      <c r="DG378" s="1087"/>
      <c r="DH378" s="1087"/>
      <c r="DI378" s="1087"/>
      <c r="DJ378" s="1087"/>
      <c r="DK378" s="1087"/>
      <c r="DL378" s="1087"/>
      <c r="DM378" s="1087"/>
      <c r="DN378" s="1087"/>
      <c r="DO378" s="1087"/>
      <c r="DP378" s="1087"/>
      <c r="DQ378" s="1087"/>
      <c r="DR378" s="1087"/>
      <c r="DS378" s="1087"/>
      <c r="DT378" s="1087"/>
      <c r="DU378" s="1087"/>
      <c r="DV378" s="1087"/>
      <c r="DW378" s="1087"/>
      <c r="DX378" s="1087"/>
      <c r="DY378" s="1087"/>
      <c r="DZ378" s="1087"/>
      <c r="EA378" s="1087"/>
      <c r="EB378" s="1087"/>
      <c r="EC378" s="1087"/>
      <c r="ED378" s="1087"/>
      <c r="EE378" s="1087"/>
      <c r="EF378" s="1087"/>
      <c r="EG378" s="1087"/>
      <c r="EH378" s="1087"/>
      <c r="EI378" s="1087"/>
      <c r="EJ378" s="1087"/>
      <c r="EK378" s="1087"/>
      <c r="EL378" s="1087"/>
      <c r="EM378" s="1087"/>
      <c r="EN378" s="1087"/>
      <c r="EO378" s="1087"/>
      <c r="EP378" s="1087"/>
      <c r="EQ378" s="1087"/>
      <c r="ER378" s="1087"/>
      <c r="ES378" s="1087"/>
      <c r="ET378" s="1087"/>
      <c r="EU378" s="1087"/>
      <c r="EV378" s="1087"/>
      <c r="EW378" s="1087"/>
      <c r="EX378" s="1087"/>
      <c r="EY378" s="1087"/>
      <c r="EZ378" s="1087"/>
      <c r="FA378" s="1087"/>
      <c r="FB378" s="1087"/>
      <c r="FC378" s="1087"/>
      <c r="FD378" s="1087"/>
      <c r="FE378" s="1087"/>
      <c r="FF378" s="1087"/>
      <c r="FG378" s="1087"/>
      <c r="FH378" s="1087"/>
      <c r="FI378" s="1087"/>
      <c r="FJ378" s="1087"/>
      <c r="FK378" s="1087"/>
      <c r="FL378" s="1087"/>
      <c r="FM378" s="1087"/>
      <c r="FN378" s="1087"/>
      <c r="FO378" s="1087"/>
      <c r="FP378" s="1087"/>
      <c r="FQ378" s="1087"/>
      <c r="FR378" s="1087"/>
      <c r="FS378" s="1087"/>
      <c r="FT378" s="1087"/>
      <c r="FU378" s="1087"/>
      <c r="FV378" s="1087"/>
      <c r="FW378" s="1087"/>
      <c r="FX378" s="1087"/>
      <c r="FY378" s="1087"/>
      <c r="FZ378" s="1087"/>
      <c r="GA378" s="1087"/>
      <c r="GB378" s="1087"/>
      <c r="GC378" s="1087"/>
      <c r="GD378" s="1087"/>
      <c r="GE378" s="1087"/>
      <c r="GF378" s="1087"/>
      <c r="GG378" s="1087"/>
      <c r="GH378" s="1087"/>
      <c r="GI378" s="1087"/>
      <c r="GJ378" s="1087"/>
      <c r="GK378" s="1087"/>
      <c r="GL378" s="1087"/>
      <c r="GM378" s="1087"/>
      <c r="GN378" s="1087"/>
      <c r="GO378" s="1087"/>
      <c r="GP378" s="1087"/>
      <c r="GQ378" s="1087"/>
      <c r="GR378" s="1087"/>
      <c r="GS378" s="1087"/>
      <c r="GT378" s="1087"/>
      <c r="GU378" s="1087"/>
      <c r="GV378" s="1087"/>
      <c r="GW378" s="1087"/>
      <c r="GX378" s="1087"/>
      <c r="GY378" s="1087"/>
      <c r="GZ378" s="1087"/>
      <c r="HA378" s="1087"/>
      <c r="HB378" s="1087"/>
      <c r="HC378" s="1087"/>
      <c r="HD378" s="1087"/>
      <c r="HE378" s="1087"/>
      <c r="HF378" s="1087"/>
      <c r="HG378" s="1087"/>
      <c r="HH378" s="1087"/>
      <c r="HI378" s="1087"/>
      <c r="HJ378" s="1087"/>
      <c r="HK378" s="1087"/>
      <c r="HL378" s="1087"/>
      <c r="HM378" s="1087"/>
      <c r="HN378" s="1087"/>
      <c r="HO378" s="1087"/>
      <c r="HP378" s="1087"/>
      <c r="HQ378" s="1087"/>
      <c r="HR378" s="1087"/>
      <c r="HS378" s="1087"/>
      <c r="HT378" s="1087"/>
      <c r="HU378" s="1087"/>
      <c r="HV378" s="1087"/>
      <c r="HW378" s="1087"/>
      <c r="HX378" s="1087"/>
      <c r="HY378" s="1087"/>
      <c r="HZ378" s="1087"/>
      <c r="IA378" s="1087"/>
      <c r="IB378" s="1087"/>
      <c r="IC378" s="1087"/>
      <c r="ID378" s="1087"/>
      <c r="IE378" s="1087"/>
      <c r="IF378" s="1087"/>
      <c r="IG378" s="1087"/>
      <c r="IH378" s="1087"/>
      <c r="II378" s="1087"/>
      <c r="IJ378" s="1087"/>
      <c r="IK378" s="1087"/>
      <c r="IL378" s="1087"/>
      <c r="IM378" s="1087"/>
      <c r="IN378" s="1087"/>
      <c r="IO378" s="1087"/>
      <c r="IP378" s="1087"/>
      <c r="IQ378" s="1087"/>
      <c r="IR378" s="1087"/>
      <c r="IS378" s="1087"/>
      <c r="IT378" s="1087"/>
      <c r="IU378" s="1087"/>
      <c r="IV378" s="1087"/>
      <c r="IW378" s="1087"/>
      <c r="IX378" s="1087"/>
      <c r="IY378" s="1087"/>
      <c r="IZ378" s="1087"/>
      <c r="JA378" s="1087"/>
      <c r="JB378" s="1087"/>
      <c r="JC378" s="1087"/>
      <c r="JD378" s="1087"/>
      <c r="JE378" s="1087"/>
      <c r="JF378" s="1087"/>
      <c r="JG378" s="1087"/>
      <c r="JH378" s="1087"/>
      <c r="JI378" s="1087"/>
      <c r="JJ378" s="1087"/>
      <c r="JK378" s="1087"/>
      <c r="JL378" s="1087"/>
      <c r="JM378" s="1087"/>
      <c r="JN378" s="1087"/>
      <c r="JO378" s="1087"/>
      <c r="JP378" s="1087"/>
      <c r="JQ378" s="1087"/>
      <c r="JR378" s="1087"/>
      <c r="JS378" s="1087"/>
      <c r="JT378" s="1087"/>
      <c r="JU378" s="1087"/>
      <c r="JV378" s="1087"/>
      <c r="JW378" s="1087"/>
      <c r="JX378" s="1087"/>
      <c r="JY378" s="1087"/>
      <c r="JZ378" s="1087"/>
      <c r="KA378" s="1087"/>
      <c r="KB378" s="1092"/>
    </row>
    <row r="379" spans="2:288" ht="15" customHeight="1" x14ac:dyDescent="0.35">
      <c r="B379" s="146" t="str">
        <f t="shared" si="29"/>
        <v>Desk 60</v>
      </c>
      <c r="C379" s="148" t="str">
        <v/>
      </c>
      <c r="D379" s="148" t="str">
        <v/>
      </c>
      <c r="E379" s="148" t="str">
        <v/>
      </c>
      <c r="F379" s="148" t="str">
        <v/>
      </c>
      <c r="G379" s="268" t="str">
        <v/>
      </c>
      <c r="H379" s="1087"/>
      <c r="I379" s="1087"/>
      <c r="J379" s="1087"/>
      <c r="K379" s="1087"/>
      <c r="L379" s="1087"/>
      <c r="M379" s="1087"/>
      <c r="N379" s="1087"/>
      <c r="O379" s="1087"/>
      <c r="P379" s="1087"/>
      <c r="Q379" s="1087"/>
      <c r="R379" s="1087"/>
      <c r="S379" s="1087"/>
      <c r="T379" s="1087"/>
      <c r="U379" s="1087"/>
      <c r="V379" s="1087"/>
      <c r="W379" s="1087"/>
      <c r="X379" s="1087"/>
      <c r="Y379" s="1087"/>
      <c r="Z379" s="1087"/>
      <c r="AA379" s="1087"/>
      <c r="AB379" s="1087"/>
      <c r="AC379" s="1087"/>
      <c r="AD379" s="1087"/>
      <c r="AE379" s="1087"/>
      <c r="AF379" s="1087"/>
      <c r="AG379" s="1087"/>
      <c r="AH379" s="1087"/>
      <c r="AI379" s="1087"/>
      <c r="AJ379" s="1087"/>
      <c r="AK379" s="1087"/>
      <c r="AL379" s="1087"/>
      <c r="AM379" s="1087"/>
      <c r="AN379" s="1087"/>
      <c r="AO379" s="1087"/>
      <c r="AP379" s="1087"/>
      <c r="AQ379" s="1087"/>
      <c r="AR379" s="1087"/>
      <c r="AS379" s="1087"/>
      <c r="AT379" s="1087"/>
      <c r="AU379" s="1087"/>
      <c r="AV379" s="1087"/>
      <c r="AW379" s="1087"/>
      <c r="AX379" s="1087"/>
      <c r="AY379" s="1087"/>
      <c r="AZ379" s="1087"/>
      <c r="BA379" s="1087"/>
      <c r="BB379" s="1087"/>
      <c r="BC379" s="1087"/>
      <c r="BD379" s="1087"/>
      <c r="BE379" s="1087"/>
      <c r="BF379" s="1087"/>
      <c r="BG379" s="1087"/>
      <c r="BH379" s="1087"/>
      <c r="BI379" s="1087"/>
      <c r="BJ379" s="1087"/>
      <c r="BK379" s="1087"/>
      <c r="BL379" s="1087"/>
      <c r="BM379" s="1087"/>
      <c r="BN379" s="1087"/>
      <c r="BO379" s="1087"/>
      <c r="BP379" s="1087"/>
      <c r="BQ379" s="1087"/>
      <c r="BR379" s="1087"/>
      <c r="BS379" s="1087"/>
      <c r="BT379" s="1087"/>
      <c r="BU379" s="1087"/>
      <c r="BV379" s="1087"/>
      <c r="BW379" s="1087"/>
      <c r="BX379" s="1087"/>
      <c r="BY379" s="1087"/>
      <c r="BZ379" s="1087"/>
      <c r="CA379" s="1087"/>
      <c r="CB379" s="1087"/>
      <c r="CC379" s="1087"/>
      <c r="CD379" s="1087"/>
      <c r="CE379" s="1087"/>
      <c r="CF379" s="1087"/>
      <c r="CG379" s="1087"/>
      <c r="CH379" s="1087"/>
      <c r="CI379" s="1087"/>
      <c r="CJ379" s="1087"/>
      <c r="CK379" s="1087"/>
      <c r="CL379" s="1087"/>
      <c r="CM379" s="1087"/>
      <c r="CN379" s="1087"/>
      <c r="CO379" s="1087"/>
      <c r="CP379" s="1087"/>
      <c r="CQ379" s="1087"/>
      <c r="CR379" s="1087"/>
      <c r="CS379" s="1087"/>
      <c r="CT379" s="1087"/>
      <c r="CU379" s="1087"/>
      <c r="CV379" s="1087"/>
      <c r="CW379" s="1087"/>
      <c r="CX379" s="1087"/>
      <c r="CY379" s="1087"/>
      <c r="CZ379" s="1087"/>
      <c r="DA379" s="1087"/>
      <c r="DB379" s="1087"/>
      <c r="DC379" s="1087"/>
      <c r="DD379" s="1087"/>
      <c r="DE379" s="1087"/>
      <c r="DF379" s="1087"/>
      <c r="DG379" s="1087"/>
      <c r="DH379" s="1087"/>
      <c r="DI379" s="1087"/>
      <c r="DJ379" s="1087"/>
      <c r="DK379" s="1087"/>
      <c r="DL379" s="1087"/>
      <c r="DM379" s="1087"/>
      <c r="DN379" s="1087"/>
      <c r="DO379" s="1087"/>
      <c r="DP379" s="1087"/>
      <c r="DQ379" s="1087"/>
      <c r="DR379" s="1087"/>
      <c r="DS379" s="1087"/>
      <c r="DT379" s="1087"/>
      <c r="DU379" s="1087"/>
      <c r="DV379" s="1087"/>
      <c r="DW379" s="1087"/>
      <c r="DX379" s="1087"/>
      <c r="DY379" s="1087"/>
      <c r="DZ379" s="1087"/>
      <c r="EA379" s="1087"/>
      <c r="EB379" s="1087"/>
      <c r="EC379" s="1087"/>
      <c r="ED379" s="1087"/>
      <c r="EE379" s="1087"/>
      <c r="EF379" s="1087"/>
      <c r="EG379" s="1087"/>
      <c r="EH379" s="1087"/>
      <c r="EI379" s="1087"/>
      <c r="EJ379" s="1087"/>
      <c r="EK379" s="1087"/>
      <c r="EL379" s="1087"/>
      <c r="EM379" s="1087"/>
      <c r="EN379" s="1087"/>
      <c r="EO379" s="1087"/>
      <c r="EP379" s="1087"/>
      <c r="EQ379" s="1087"/>
      <c r="ER379" s="1087"/>
      <c r="ES379" s="1087"/>
      <c r="ET379" s="1087"/>
      <c r="EU379" s="1087"/>
      <c r="EV379" s="1087"/>
      <c r="EW379" s="1087"/>
      <c r="EX379" s="1087"/>
      <c r="EY379" s="1087"/>
      <c r="EZ379" s="1087"/>
      <c r="FA379" s="1087"/>
      <c r="FB379" s="1087"/>
      <c r="FC379" s="1087"/>
      <c r="FD379" s="1087"/>
      <c r="FE379" s="1087"/>
      <c r="FF379" s="1087"/>
      <c r="FG379" s="1087"/>
      <c r="FH379" s="1087"/>
      <c r="FI379" s="1087"/>
      <c r="FJ379" s="1087"/>
      <c r="FK379" s="1087"/>
      <c r="FL379" s="1087"/>
      <c r="FM379" s="1087"/>
      <c r="FN379" s="1087"/>
      <c r="FO379" s="1087"/>
      <c r="FP379" s="1087"/>
      <c r="FQ379" s="1087"/>
      <c r="FR379" s="1087"/>
      <c r="FS379" s="1087"/>
      <c r="FT379" s="1087"/>
      <c r="FU379" s="1087"/>
      <c r="FV379" s="1087"/>
      <c r="FW379" s="1087"/>
      <c r="FX379" s="1087"/>
      <c r="FY379" s="1087"/>
      <c r="FZ379" s="1087"/>
      <c r="GA379" s="1087"/>
      <c r="GB379" s="1087"/>
      <c r="GC379" s="1087"/>
      <c r="GD379" s="1087"/>
      <c r="GE379" s="1087"/>
      <c r="GF379" s="1087"/>
      <c r="GG379" s="1087"/>
      <c r="GH379" s="1087"/>
      <c r="GI379" s="1087"/>
      <c r="GJ379" s="1087"/>
      <c r="GK379" s="1087"/>
      <c r="GL379" s="1087"/>
      <c r="GM379" s="1087"/>
      <c r="GN379" s="1087"/>
      <c r="GO379" s="1087"/>
      <c r="GP379" s="1087"/>
      <c r="GQ379" s="1087"/>
      <c r="GR379" s="1087"/>
      <c r="GS379" s="1087"/>
      <c r="GT379" s="1087"/>
      <c r="GU379" s="1087"/>
      <c r="GV379" s="1087"/>
      <c r="GW379" s="1087"/>
      <c r="GX379" s="1087"/>
      <c r="GY379" s="1087"/>
      <c r="GZ379" s="1087"/>
      <c r="HA379" s="1087"/>
      <c r="HB379" s="1087"/>
      <c r="HC379" s="1087"/>
      <c r="HD379" s="1087"/>
      <c r="HE379" s="1087"/>
      <c r="HF379" s="1087"/>
      <c r="HG379" s="1087"/>
      <c r="HH379" s="1087"/>
      <c r="HI379" s="1087"/>
      <c r="HJ379" s="1087"/>
      <c r="HK379" s="1087"/>
      <c r="HL379" s="1087"/>
      <c r="HM379" s="1087"/>
      <c r="HN379" s="1087"/>
      <c r="HO379" s="1087"/>
      <c r="HP379" s="1087"/>
      <c r="HQ379" s="1087"/>
      <c r="HR379" s="1087"/>
      <c r="HS379" s="1087"/>
      <c r="HT379" s="1087"/>
      <c r="HU379" s="1087"/>
      <c r="HV379" s="1087"/>
      <c r="HW379" s="1087"/>
      <c r="HX379" s="1087"/>
      <c r="HY379" s="1087"/>
      <c r="HZ379" s="1087"/>
      <c r="IA379" s="1087"/>
      <c r="IB379" s="1087"/>
      <c r="IC379" s="1087"/>
      <c r="ID379" s="1087"/>
      <c r="IE379" s="1087"/>
      <c r="IF379" s="1087"/>
      <c r="IG379" s="1087"/>
      <c r="IH379" s="1087"/>
      <c r="II379" s="1087"/>
      <c r="IJ379" s="1087"/>
      <c r="IK379" s="1087"/>
      <c r="IL379" s="1087"/>
      <c r="IM379" s="1087"/>
      <c r="IN379" s="1087"/>
      <c r="IO379" s="1087"/>
      <c r="IP379" s="1087"/>
      <c r="IQ379" s="1087"/>
      <c r="IR379" s="1087"/>
      <c r="IS379" s="1087"/>
      <c r="IT379" s="1087"/>
      <c r="IU379" s="1087"/>
      <c r="IV379" s="1087"/>
      <c r="IW379" s="1087"/>
      <c r="IX379" s="1087"/>
      <c r="IY379" s="1087"/>
      <c r="IZ379" s="1087"/>
      <c r="JA379" s="1087"/>
      <c r="JB379" s="1087"/>
      <c r="JC379" s="1087"/>
      <c r="JD379" s="1087"/>
      <c r="JE379" s="1087"/>
      <c r="JF379" s="1087"/>
      <c r="JG379" s="1087"/>
      <c r="JH379" s="1087"/>
      <c r="JI379" s="1087"/>
      <c r="JJ379" s="1087"/>
      <c r="JK379" s="1087"/>
      <c r="JL379" s="1087"/>
      <c r="JM379" s="1087"/>
      <c r="JN379" s="1087"/>
      <c r="JO379" s="1087"/>
      <c r="JP379" s="1087"/>
      <c r="JQ379" s="1087"/>
      <c r="JR379" s="1087"/>
      <c r="JS379" s="1087"/>
      <c r="JT379" s="1087"/>
      <c r="JU379" s="1087"/>
      <c r="JV379" s="1087"/>
      <c r="JW379" s="1087"/>
      <c r="JX379" s="1087"/>
      <c r="JY379" s="1087"/>
      <c r="JZ379" s="1087"/>
      <c r="KA379" s="1087"/>
      <c r="KB379" s="1092"/>
    </row>
    <row r="380" spans="2:288" ht="15" customHeight="1" x14ac:dyDescent="0.35">
      <c r="B380" s="146" t="str">
        <f t="shared" si="29"/>
        <v>Desk 61</v>
      </c>
      <c r="C380" s="148" t="str">
        <v/>
      </c>
      <c r="D380" s="148" t="str">
        <v/>
      </c>
      <c r="E380" s="148" t="str">
        <v/>
      </c>
      <c r="F380" s="148" t="str">
        <v/>
      </c>
      <c r="G380" s="268" t="str">
        <v/>
      </c>
      <c r="H380" s="1087"/>
      <c r="I380" s="1087"/>
      <c r="J380" s="1087"/>
      <c r="K380" s="1087"/>
      <c r="L380" s="1087"/>
      <c r="M380" s="1087"/>
      <c r="N380" s="1087"/>
      <c r="O380" s="1087"/>
      <c r="P380" s="1087"/>
      <c r="Q380" s="1087"/>
      <c r="R380" s="1087"/>
      <c r="S380" s="1087"/>
      <c r="T380" s="1087"/>
      <c r="U380" s="1087"/>
      <c r="V380" s="1087"/>
      <c r="W380" s="1087"/>
      <c r="X380" s="1087"/>
      <c r="Y380" s="1087"/>
      <c r="Z380" s="1087"/>
      <c r="AA380" s="1087"/>
      <c r="AB380" s="1087"/>
      <c r="AC380" s="1087"/>
      <c r="AD380" s="1087"/>
      <c r="AE380" s="1087"/>
      <c r="AF380" s="1087"/>
      <c r="AG380" s="1087"/>
      <c r="AH380" s="1087"/>
      <c r="AI380" s="1087"/>
      <c r="AJ380" s="1087"/>
      <c r="AK380" s="1087"/>
      <c r="AL380" s="1087"/>
      <c r="AM380" s="1087"/>
      <c r="AN380" s="1087"/>
      <c r="AO380" s="1087"/>
      <c r="AP380" s="1087"/>
      <c r="AQ380" s="1087"/>
      <c r="AR380" s="1087"/>
      <c r="AS380" s="1087"/>
      <c r="AT380" s="1087"/>
      <c r="AU380" s="1087"/>
      <c r="AV380" s="1087"/>
      <c r="AW380" s="1087"/>
      <c r="AX380" s="1087"/>
      <c r="AY380" s="1087"/>
      <c r="AZ380" s="1087"/>
      <c r="BA380" s="1087"/>
      <c r="BB380" s="1087"/>
      <c r="BC380" s="1087"/>
      <c r="BD380" s="1087"/>
      <c r="BE380" s="1087"/>
      <c r="BF380" s="1087"/>
      <c r="BG380" s="1087"/>
      <c r="BH380" s="1087"/>
      <c r="BI380" s="1087"/>
      <c r="BJ380" s="1087"/>
      <c r="BK380" s="1087"/>
      <c r="BL380" s="1087"/>
      <c r="BM380" s="1087"/>
      <c r="BN380" s="1087"/>
      <c r="BO380" s="1087"/>
      <c r="BP380" s="1087"/>
      <c r="BQ380" s="1087"/>
      <c r="BR380" s="1087"/>
      <c r="BS380" s="1087"/>
      <c r="BT380" s="1087"/>
      <c r="BU380" s="1087"/>
      <c r="BV380" s="1087"/>
      <c r="BW380" s="1087"/>
      <c r="BX380" s="1087"/>
      <c r="BY380" s="1087"/>
      <c r="BZ380" s="1087"/>
      <c r="CA380" s="1087"/>
      <c r="CB380" s="1087"/>
      <c r="CC380" s="1087"/>
      <c r="CD380" s="1087"/>
      <c r="CE380" s="1087"/>
      <c r="CF380" s="1087"/>
      <c r="CG380" s="1087"/>
      <c r="CH380" s="1087"/>
      <c r="CI380" s="1087"/>
      <c r="CJ380" s="1087"/>
      <c r="CK380" s="1087"/>
      <c r="CL380" s="1087"/>
      <c r="CM380" s="1087"/>
      <c r="CN380" s="1087"/>
      <c r="CO380" s="1087"/>
      <c r="CP380" s="1087"/>
      <c r="CQ380" s="1087"/>
      <c r="CR380" s="1087"/>
      <c r="CS380" s="1087"/>
      <c r="CT380" s="1087"/>
      <c r="CU380" s="1087"/>
      <c r="CV380" s="1087"/>
      <c r="CW380" s="1087"/>
      <c r="CX380" s="1087"/>
      <c r="CY380" s="1087"/>
      <c r="CZ380" s="1087"/>
      <c r="DA380" s="1087"/>
      <c r="DB380" s="1087"/>
      <c r="DC380" s="1087"/>
      <c r="DD380" s="1087"/>
      <c r="DE380" s="1087"/>
      <c r="DF380" s="1087"/>
      <c r="DG380" s="1087"/>
      <c r="DH380" s="1087"/>
      <c r="DI380" s="1087"/>
      <c r="DJ380" s="1087"/>
      <c r="DK380" s="1087"/>
      <c r="DL380" s="1087"/>
      <c r="DM380" s="1087"/>
      <c r="DN380" s="1087"/>
      <c r="DO380" s="1087"/>
      <c r="DP380" s="1087"/>
      <c r="DQ380" s="1087"/>
      <c r="DR380" s="1087"/>
      <c r="DS380" s="1087"/>
      <c r="DT380" s="1087"/>
      <c r="DU380" s="1087"/>
      <c r="DV380" s="1087"/>
      <c r="DW380" s="1087"/>
      <c r="DX380" s="1087"/>
      <c r="DY380" s="1087"/>
      <c r="DZ380" s="1087"/>
      <c r="EA380" s="1087"/>
      <c r="EB380" s="1087"/>
      <c r="EC380" s="1087"/>
      <c r="ED380" s="1087"/>
      <c r="EE380" s="1087"/>
      <c r="EF380" s="1087"/>
      <c r="EG380" s="1087"/>
      <c r="EH380" s="1087"/>
      <c r="EI380" s="1087"/>
      <c r="EJ380" s="1087"/>
      <c r="EK380" s="1087"/>
      <c r="EL380" s="1087"/>
      <c r="EM380" s="1087"/>
      <c r="EN380" s="1087"/>
      <c r="EO380" s="1087"/>
      <c r="EP380" s="1087"/>
      <c r="EQ380" s="1087"/>
      <c r="ER380" s="1087"/>
      <c r="ES380" s="1087"/>
      <c r="ET380" s="1087"/>
      <c r="EU380" s="1087"/>
      <c r="EV380" s="1087"/>
      <c r="EW380" s="1087"/>
      <c r="EX380" s="1087"/>
      <c r="EY380" s="1087"/>
      <c r="EZ380" s="1087"/>
      <c r="FA380" s="1087"/>
      <c r="FB380" s="1087"/>
      <c r="FC380" s="1087"/>
      <c r="FD380" s="1087"/>
      <c r="FE380" s="1087"/>
      <c r="FF380" s="1087"/>
      <c r="FG380" s="1087"/>
      <c r="FH380" s="1087"/>
      <c r="FI380" s="1087"/>
      <c r="FJ380" s="1087"/>
      <c r="FK380" s="1087"/>
      <c r="FL380" s="1087"/>
      <c r="FM380" s="1087"/>
      <c r="FN380" s="1087"/>
      <c r="FO380" s="1087"/>
      <c r="FP380" s="1087"/>
      <c r="FQ380" s="1087"/>
      <c r="FR380" s="1087"/>
      <c r="FS380" s="1087"/>
      <c r="FT380" s="1087"/>
      <c r="FU380" s="1087"/>
      <c r="FV380" s="1087"/>
      <c r="FW380" s="1087"/>
      <c r="FX380" s="1087"/>
      <c r="FY380" s="1087"/>
      <c r="FZ380" s="1087"/>
      <c r="GA380" s="1087"/>
      <c r="GB380" s="1087"/>
      <c r="GC380" s="1087"/>
      <c r="GD380" s="1087"/>
      <c r="GE380" s="1087"/>
      <c r="GF380" s="1087"/>
      <c r="GG380" s="1087"/>
      <c r="GH380" s="1087"/>
      <c r="GI380" s="1087"/>
      <c r="GJ380" s="1087"/>
      <c r="GK380" s="1087"/>
      <c r="GL380" s="1087"/>
      <c r="GM380" s="1087"/>
      <c r="GN380" s="1087"/>
      <c r="GO380" s="1087"/>
      <c r="GP380" s="1087"/>
      <c r="GQ380" s="1087"/>
      <c r="GR380" s="1087"/>
      <c r="GS380" s="1087"/>
      <c r="GT380" s="1087"/>
      <c r="GU380" s="1087"/>
      <c r="GV380" s="1087"/>
      <c r="GW380" s="1087"/>
      <c r="GX380" s="1087"/>
      <c r="GY380" s="1087"/>
      <c r="GZ380" s="1087"/>
      <c r="HA380" s="1087"/>
      <c r="HB380" s="1087"/>
      <c r="HC380" s="1087"/>
      <c r="HD380" s="1087"/>
      <c r="HE380" s="1087"/>
      <c r="HF380" s="1087"/>
      <c r="HG380" s="1087"/>
      <c r="HH380" s="1087"/>
      <c r="HI380" s="1087"/>
      <c r="HJ380" s="1087"/>
      <c r="HK380" s="1087"/>
      <c r="HL380" s="1087"/>
      <c r="HM380" s="1087"/>
      <c r="HN380" s="1087"/>
      <c r="HO380" s="1087"/>
      <c r="HP380" s="1087"/>
      <c r="HQ380" s="1087"/>
      <c r="HR380" s="1087"/>
      <c r="HS380" s="1087"/>
      <c r="HT380" s="1087"/>
      <c r="HU380" s="1087"/>
      <c r="HV380" s="1087"/>
      <c r="HW380" s="1087"/>
      <c r="HX380" s="1087"/>
      <c r="HY380" s="1087"/>
      <c r="HZ380" s="1087"/>
      <c r="IA380" s="1087"/>
      <c r="IB380" s="1087"/>
      <c r="IC380" s="1087"/>
      <c r="ID380" s="1087"/>
      <c r="IE380" s="1087"/>
      <c r="IF380" s="1087"/>
      <c r="IG380" s="1087"/>
      <c r="IH380" s="1087"/>
      <c r="II380" s="1087"/>
      <c r="IJ380" s="1087"/>
      <c r="IK380" s="1087"/>
      <c r="IL380" s="1087"/>
      <c r="IM380" s="1087"/>
      <c r="IN380" s="1087"/>
      <c r="IO380" s="1087"/>
      <c r="IP380" s="1087"/>
      <c r="IQ380" s="1087"/>
      <c r="IR380" s="1087"/>
      <c r="IS380" s="1087"/>
      <c r="IT380" s="1087"/>
      <c r="IU380" s="1087"/>
      <c r="IV380" s="1087"/>
      <c r="IW380" s="1087"/>
      <c r="IX380" s="1087"/>
      <c r="IY380" s="1087"/>
      <c r="IZ380" s="1087"/>
      <c r="JA380" s="1087"/>
      <c r="JB380" s="1087"/>
      <c r="JC380" s="1087"/>
      <c r="JD380" s="1087"/>
      <c r="JE380" s="1087"/>
      <c r="JF380" s="1087"/>
      <c r="JG380" s="1087"/>
      <c r="JH380" s="1087"/>
      <c r="JI380" s="1087"/>
      <c r="JJ380" s="1087"/>
      <c r="JK380" s="1087"/>
      <c r="JL380" s="1087"/>
      <c r="JM380" s="1087"/>
      <c r="JN380" s="1087"/>
      <c r="JO380" s="1087"/>
      <c r="JP380" s="1087"/>
      <c r="JQ380" s="1087"/>
      <c r="JR380" s="1087"/>
      <c r="JS380" s="1087"/>
      <c r="JT380" s="1087"/>
      <c r="JU380" s="1087"/>
      <c r="JV380" s="1087"/>
      <c r="JW380" s="1087"/>
      <c r="JX380" s="1087"/>
      <c r="JY380" s="1087"/>
      <c r="JZ380" s="1087"/>
      <c r="KA380" s="1087"/>
      <c r="KB380" s="1092"/>
    </row>
    <row r="381" spans="2:288" ht="15" customHeight="1" x14ac:dyDescent="0.35">
      <c r="B381" s="146" t="str">
        <f t="shared" si="29"/>
        <v>Desk 62</v>
      </c>
      <c r="C381" s="148" t="str">
        <v/>
      </c>
      <c r="D381" s="148" t="str">
        <v/>
      </c>
      <c r="E381" s="148" t="str">
        <v/>
      </c>
      <c r="F381" s="148" t="str">
        <v/>
      </c>
      <c r="G381" s="268" t="str">
        <v/>
      </c>
      <c r="H381" s="1087"/>
      <c r="I381" s="1087"/>
      <c r="J381" s="1087"/>
      <c r="K381" s="1087"/>
      <c r="L381" s="1087"/>
      <c r="M381" s="1087"/>
      <c r="N381" s="1087"/>
      <c r="O381" s="1087"/>
      <c r="P381" s="1087"/>
      <c r="Q381" s="1087"/>
      <c r="R381" s="1087"/>
      <c r="S381" s="1087"/>
      <c r="T381" s="1087"/>
      <c r="U381" s="1087"/>
      <c r="V381" s="1087"/>
      <c r="W381" s="1087"/>
      <c r="X381" s="1087"/>
      <c r="Y381" s="1087"/>
      <c r="Z381" s="1087"/>
      <c r="AA381" s="1087"/>
      <c r="AB381" s="1087"/>
      <c r="AC381" s="1087"/>
      <c r="AD381" s="1087"/>
      <c r="AE381" s="1087"/>
      <c r="AF381" s="1087"/>
      <c r="AG381" s="1087"/>
      <c r="AH381" s="1087"/>
      <c r="AI381" s="1087"/>
      <c r="AJ381" s="1087"/>
      <c r="AK381" s="1087"/>
      <c r="AL381" s="1087"/>
      <c r="AM381" s="1087"/>
      <c r="AN381" s="1087"/>
      <c r="AO381" s="1087"/>
      <c r="AP381" s="1087"/>
      <c r="AQ381" s="1087"/>
      <c r="AR381" s="1087"/>
      <c r="AS381" s="1087"/>
      <c r="AT381" s="1087"/>
      <c r="AU381" s="1087"/>
      <c r="AV381" s="1087"/>
      <c r="AW381" s="1087"/>
      <c r="AX381" s="1087"/>
      <c r="AY381" s="1087"/>
      <c r="AZ381" s="1087"/>
      <c r="BA381" s="1087"/>
      <c r="BB381" s="1087"/>
      <c r="BC381" s="1087"/>
      <c r="BD381" s="1087"/>
      <c r="BE381" s="1087"/>
      <c r="BF381" s="1087"/>
      <c r="BG381" s="1087"/>
      <c r="BH381" s="1087"/>
      <c r="BI381" s="1087"/>
      <c r="BJ381" s="1087"/>
      <c r="BK381" s="1087"/>
      <c r="BL381" s="1087"/>
      <c r="BM381" s="1087"/>
      <c r="BN381" s="1087"/>
      <c r="BO381" s="1087"/>
      <c r="BP381" s="1087"/>
      <c r="BQ381" s="1087"/>
      <c r="BR381" s="1087"/>
      <c r="BS381" s="1087"/>
      <c r="BT381" s="1087"/>
      <c r="BU381" s="1087"/>
      <c r="BV381" s="1087"/>
      <c r="BW381" s="1087"/>
      <c r="BX381" s="1087"/>
      <c r="BY381" s="1087"/>
      <c r="BZ381" s="1087"/>
      <c r="CA381" s="1087"/>
      <c r="CB381" s="1087"/>
      <c r="CC381" s="1087"/>
      <c r="CD381" s="1087"/>
      <c r="CE381" s="1087"/>
      <c r="CF381" s="1087"/>
      <c r="CG381" s="1087"/>
      <c r="CH381" s="1087"/>
      <c r="CI381" s="1087"/>
      <c r="CJ381" s="1087"/>
      <c r="CK381" s="1087"/>
      <c r="CL381" s="1087"/>
      <c r="CM381" s="1087"/>
      <c r="CN381" s="1087"/>
      <c r="CO381" s="1087"/>
      <c r="CP381" s="1087"/>
      <c r="CQ381" s="1087"/>
      <c r="CR381" s="1087"/>
      <c r="CS381" s="1087"/>
      <c r="CT381" s="1087"/>
      <c r="CU381" s="1087"/>
      <c r="CV381" s="1087"/>
      <c r="CW381" s="1087"/>
      <c r="CX381" s="1087"/>
      <c r="CY381" s="1087"/>
      <c r="CZ381" s="1087"/>
      <c r="DA381" s="1087"/>
      <c r="DB381" s="1087"/>
      <c r="DC381" s="1087"/>
      <c r="DD381" s="1087"/>
      <c r="DE381" s="1087"/>
      <c r="DF381" s="1087"/>
      <c r="DG381" s="1087"/>
      <c r="DH381" s="1087"/>
      <c r="DI381" s="1087"/>
      <c r="DJ381" s="1087"/>
      <c r="DK381" s="1087"/>
      <c r="DL381" s="1087"/>
      <c r="DM381" s="1087"/>
      <c r="DN381" s="1087"/>
      <c r="DO381" s="1087"/>
      <c r="DP381" s="1087"/>
      <c r="DQ381" s="1087"/>
      <c r="DR381" s="1087"/>
      <c r="DS381" s="1087"/>
      <c r="DT381" s="1087"/>
      <c r="DU381" s="1087"/>
      <c r="DV381" s="1087"/>
      <c r="DW381" s="1087"/>
      <c r="DX381" s="1087"/>
      <c r="DY381" s="1087"/>
      <c r="DZ381" s="1087"/>
      <c r="EA381" s="1087"/>
      <c r="EB381" s="1087"/>
      <c r="EC381" s="1087"/>
      <c r="ED381" s="1087"/>
      <c r="EE381" s="1087"/>
      <c r="EF381" s="1087"/>
      <c r="EG381" s="1087"/>
      <c r="EH381" s="1087"/>
      <c r="EI381" s="1087"/>
      <c r="EJ381" s="1087"/>
      <c r="EK381" s="1087"/>
      <c r="EL381" s="1087"/>
      <c r="EM381" s="1087"/>
      <c r="EN381" s="1087"/>
      <c r="EO381" s="1087"/>
      <c r="EP381" s="1087"/>
      <c r="EQ381" s="1087"/>
      <c r="ER381" s="1087"/>
      <c r="ES381" s="1087"/>
      <c r="ET381" s="1087"/>
      <c r="EU381" s="1087"/>
      <c r="EV381" s="1087"/>
      <c r="EW381" s="1087"/>
      <c r="EX381" s="1087"/>
      <c r="EY381" s="1087"/>
      <c r="EZ381" s="1087"/>
      <c r="FA381" s="1087"/>
      <c r="FB381" s="1087"/>
      <c r="FC381" s="1087"/>
      <c r="FD381" s="1087"/>
      <c r="FE381" s="1087"/>
      <c r="FF381" s="1087"/>
      <c r="FG381" s="1087"/>
      <c r="FH381" s="1087"/>
      <c r="FI381" s="1087"/>
      <c r="FJ381" s="1087"/>
      <c r="FK381" s="1087"/>
      <c r="FL381" s="1087"/>
      <c r="FM381" s="1087"/>
      <c r="FN381" s="1087"/>
      <c r="FO381" s="1087"/>
      <c r="FP381" s="1087"/>
      <c r="FQ381" s="1087"/>
      <c r="FR381" s="1087"/>
      <c r="FS381" s="1087"/>
      <c r="FT381" s="1087"/>
      <c r="FU381" s="1087"/>
      <c r="FV381" s="1087"/>
      <c r="FW381" s="1087"/>
      <c r="FX381" s="1087"/>
      <c r="FY381" s="1087"/>
      <c r="FZ381" s="1087"/>
      <c r="GA381" s="1087"/>
      <c r="GB381" s="1087"/>
      <c r="GC381" s="1087"/>
      <c r="GD381" s="1087"/>
      <c r="GE381" s="1087"/>
      <c r="GF381" s="1087"/>
      <c r="GG381" s="1087"/>
      <c r="GH381" s="1087"/>
      <c r="GI381" s="1087"/>
      <c r="GJ381" s="1087"/>
      <c r="GK381" s="1087"/>
      <c r="GL381" s="1087"/>
      <c r="GM381" s="1087"/>
      <c r="GN381" s="1087"/>
      <c r="GO381" s="1087"/>
      <c r="GP381" s="1087"/>
      <c r="GQ381" s="1087"/>
      <c r="GR381" s="1087"/>
      <c r="GS381" s="1087"/>
      <c r="GT381" s="1087"/>
      <c r="GU381" s="1087"/>
      <c r="GV381" s="1087"/>
      <c r="GW381" s="1087"/>
      <c r="GX381" s="1087"/>
      <c r="GY381" s="1087"/>
      <c r="GZ381" s="1087"/>
      <c r="HA381" s="1087"/>
      <c r="HB381" s="1087"/>
      <c r="HC381" s="1087"/>
      <c r="HD381" s="1087"/>
      <c r="HE381" s="1087"/>
      <c r="HF381" s="1087"/>
      <c r="HG381" s="1087"/>
      <c r="HH381" s="1087"/>
      <c r="HI381" s="1087"/>
      <c r="HJ381" s="1087"/>
      <c r="HK381" s="1087"/>
      <c r="HL381" s="1087"/>
      <c r="HM381" s="1087"/>
      <c r="HN381" s="1087"/>
      <c r="HO381" s="1087"/>
      <c r="HP381" s="1087"/>
      <c r="HQ381" s="1087"/>
      <c r="HR381" s="1087"/>
      <c r="HS381" s="1087"/>
      <c r="HT381" s="1087"/>
      <c r="HU381" s="1087"/>
      <c r="HV381" s="1087"/>
      <c r="HW381" s="1087"/>
      <c r="HX381" s="1087"/>
      <c r="HY381" s="1087"/>
      <c r="HZ381" s="1087"/>
      <c r="IA381" s="1087"/>
      <c r="IB381" s="1087"/>
      <c r="IC381" s="1087"/>
      <c r="ID381" s="1087"/>
      <c r="IE381" s="1087"/>
      <c r="IF381" s="1087"/>
      <c r="IG381" s="1087"/>
      <c r="IH381" s="1087"/>
      <c r="II381" s="1087"/>
      <c r="IJ381" s="1087"/>
      <c r="IK381" s="1087"/>
      <c r="IL381" s="1087"/>
      <c r="IM381" s="1087"/>
      <c r="IN381" s="1087"/>
      <c r="IO381" s="1087"/>
      <c r="IP381" s="1087"/>
      <c r="IQ381" s="1087"/>
      <c r="IR381" s="1087"/>
      <c r="IS381" s="1087"/>
      <c r="IT381" s="1087"/>
      <c r="IU381" s="1087"/>
      <c r="IV381" s="1087"/>
      <c r="IW381" s="1087"/>
      <c r="IX381" s="1087"/>
      <c r="IY381" s="1087"/>
      <c r="IZ381" s="1087"/>
      <c r="JA381" s="1087"/>
      <c r="JB381" s="1087"/>
      <c r="JC381" s="1087"/>
      <c r="JD381" s="1087"/>
      <c r="JE381" s="1087"/>
      <c r="JF381" s="1087"/>
      <c r="JG381" s="1087"/>
      <c r="JH381" s="1087"/>
      <c r="JI381" s="1087"/>
      <c r="JJ381" s="1087"/>
      <c r="JK381" s="1087"/>
      <c r="JL381" s="1087"/>
      <c r="JM381" s="1087"/>
      <c r="JN381" s="1087"/>
      <c r="JO381" s="1087"/>
      <c r="JP381" s="1087"/>
      <c r="JQ381" s="1087"/>
      <c r="JR381" s="1087"/>
      <c r="JS381" s="1087"/>
      <c r="JT381" s="1087"/>
      <c r="JU381" s="1087"/>
      <c r="JV381" s="1087"/>
      <c r="JW381" s="1087"/>
      <c r="JX381" s="1087"/>
      <c r="JY381" s="1087"/>
      <c r="JZ381" s="1087"/>
      <c r="KA381" s="1087"/>
      <c r="KB381" s="1092"/>
    </row>
    <row r="382" spans="2:288" ht="15" customHeight="1" x14ac:dyDescent="0.35">
      <c r="B382" s="146" t="str">
        <f t="shared" si="29"/>
        <v>Desk 63</v>
      </c>
      <c r="C382" s="148" t="str">
        <v/>
      </c>
      <c r="D382" s="148" t="str">
        <v/>
      </c>
      <c r="E382" s="148" t="str">
        <v/>
      </c>
      <c r="F382" s="148" t="str">
        <v/>
      </c>
      <c r="G382" s="268" t="str">
        <v/>
      </c>
      <c r="H382" s="1087"/>
      <c r="I382" s="1087"/>
      <c r="J382" s="1087"/>
      <c r="K382" s="1087"/>
      <c r="L382" s="1087"/>
      <c r="M382" s="1087"/>
      <c r="N382" s="1087"/>
      <c r="O382" s="1087"/>
      <c r="P382" s="1087"/>
      <c r="Q382" s="1087"/>
      <c r="R382" s="1087"/>
      <c r="S382" s="1087"/>
      <c r="T382" s="1087"/>
      <c r="U382" s="1087"/>
      <c r="V382" s="1087"/>
      <c r="W382" s="1087"/>
      <c r="X382" s="1087"/>
      <c r="Y382" s="1087"/>
      <c r="Z382" s="1087"/>
      <c r="AA382" s="1087"/>
      <c r="AB382" s="1087"/>
      <c r="AC382" s="1087"/>
      <c r="AD382" s="1087"/>
      <c r="AE382" s="1087"/>
      <c r="AF382" s="1087"/>
      <c r="AG382" s="1087"/>
      <c r="AH382" s="1087"/>
      <c r="AI382" s="1087"/>
      <c r="AJ382" s="1087"/>
      <c r="AK382" s="1087"/>
      <c r="AL382" s="1087"/>
      <c r="AM382" s="1087"/>
      <c r="AN382" s="1087"/>
      <c r="AO382" s="1087"/>
      <c r="AP382" s="1087"/>
      <c r="AQ382" s="1087"/>
      <c r="AR382" s="1087"/>
      <c r="AS382" s="1087"/>
      <c r="AT382" s="1087"/>
      <c r="AU382" s="1087"/>
      <c r="AV382" s="1087"/>
      <c r="AW382" s="1087"/>
      <c r="AX382" s="1087"/>
      <c r="AY382" s="1087"/>
      <c r="AZ382" s="1087"/>
      <c r="BA382" s="1087"/>
      <c r="BB382" s="1087"/>
      <c r="BC382" s="1087"/>
      <c r="BD382" s="1087"/>
      <c r="BE382" s="1087"/>
      <c r="BF382" s="1087"/>
      <c r="BG382" s="1087"/>
      <c r="BH382" s="1087"/>
      <c r="BI382" s="1087"/>
      <c r="BJ382" s="1087"/>
      <c r="BK382" s="1087"/>
      <c r="BL382" s="1087"/>
      <c r="BM382" s="1087"/>
      <c r="BN382" s="1087"/>
      <c r="BO382" s="1087"/>
      <c r="BP382" s="1087"/>
      <c r="BQ382" s="1087"/>
      <c r="BR382" s="1087"/>
      <c r="BS382" s="1087"/>
      <c r="BT382" s="1087"/>
      <c r="BU382" s="1087"/>
      <c r="BV382" s="1087"/>
      <c r="BW382" s="1087"/>
      <c r="BX382" s="1087"/>
      <c r="BY382" s="1087"/>
      <c r="BZ382" s="1087"/>
      <c r="CA382" s="1087"/>
      <c r="CB382" s="1087"/>
      <c r="CC382" s="1087"/>
      <c r="CD382" s="1087"/>
      <c r="CE382" s="1087"/>
      <c r="CF382" s="1087"/>
      <c r="CG382" s="1087"/>
      <c r="CH382" s="1087"/>
      <c r="CI382" s="1087"/>
      <c r="CJ382" s="1087"/>
      <c r="CK382" s="1087"/>
      <c r="CL382" s="1087"/>
      <c r="CM382" s="1087"/>
      <c r="CN382" s="1087"/>
      <c r="CO382" s="1087"/>
      <c r="CP382" s="1087"/>
      <c r="CQ382" s="1087"/>
      <c r="CR382" s="1087"/>
      <c r="CS382" s="1087"/>
      <c r="CT382" s="1087"/>
      <c r="CU382" s="1087"/>
      <c r="CV382" s="1087"/>
      <c r="CW382" s="1087"/>
      <c r="CX382" s="1087"/>
      <c r="CY382" s="1087"/>
      <c r="CZ382" s="1087"/>
      <c r="DA382" s="1087"/>
      <c r="DB382" s="1087"/>
      <c r="DC382" s="1087"/>
      <c r="DD382" s="1087"/>
      <c r="DE382" s="1087"/>
      <c r="DF382" s="1087"/>
      <c r="DG382" s="1087"/>
      <c r="DH382" s="1087"/>
      <c r="DI382" s="1087"/>
      <c r="DJ382" s="1087"/>
      <c r="DK382" s="1087"/>
      <c r="DL382" s="1087"/>
      <c r="DM382" s="1087"/>
      <c r="DN382" s="1087"/>
      <c r="DO382" s="1087"/>
      <c r="DP382" s="1087"/>
      <c r="DQ382" s="1087"/>
      <c r="DR382" s="1087"/>
      <c r="DS382" s="1087"/>
      <c r="DT382" s="1087"/>
      <c r="DU382" s="1087"/>
      <c r="DV382" s="1087"/>
      <c r="DW382" s="1087"/>
      <c r="DX382" s="1087"/>
      <c r="DY382" s="1087"/>
      <c r="DZ382" s="1087"/>
      <c r="EA382" s="1087"/>
      <c r="EB382" s="1087"/>
      <c r="EC382" s="1087"/>
      <c r="ED382" s="1087"/>
      <c r="EE382" s="1087"/>
      <c r="EF382" s="1087"/>
      <c r="EG382" s="1087"/>
      <c r="EH382" s="1087"/>
      <c r="EI382" s="1087"/>
      <c r="EJ382" s="1087"/>
      <c r="EK382" s="1087"/>
      <c r="EL382" s="1087"/>
      <c r="EM382" s="1087"/>
      <c r="EN382" s="1087"/>
      <c r="EO382" s="1087"/>
      <c r="EP382" s="1087"/>
      <c r="EQ382" s="1087"/>
      <c r="ER382" s="1087"/>
      <c r="ES382" s="1087"/>
      <c r="ET382" s="1087"/>
      <c r="EU382" s="1087"/>
      <c r="EV382" s="1087"/>
      <c r="EW382" s="1087"/>
      <c r="EX382" s="1087"/>
      <c r="EY382" s="1087"/>
      <c r="EZ382" s="1087"/>
      <c r="FA382" s="1087"/>
      <c r="FB382" s="1087"/>
      <c r="FC382" s="1087"/>
      <c r="FD382" s="1087"/>
      <c r="FE382" s="1087"/>
      <c r="FF382" s="1087"/>
      <c r="FG382" s="1087"/>
      <c r="FH382" s="1087"/>
      <c r="FI382" s="1087"/>
      <c r="FJ382" s="1087"/>
      <c r="FK382" s="1087"/>
      <c r="FL382" s="1087"/>
      <c r="FM382" s="1087"/>
      <c r="FN382" s="1087"/>
      <c r="FO382" s="1087"/>
      <c r="FP382" s="1087"/>
      <c r="FQ382" s="1087"/>
      <c r="FR382" s="1087"/>
      <c r="FS382" s="1087"/>
      <c r="FT382" s="1087"/>
      <c r="FU382" s="1087"/>
      <c r="FV382" s="1087"/>
      <c r="FW382" s="1087"/>
      <c r="FX382" s="1087"/>
      <c r="FY382" s="1087"/>
      <c r="FZ382" s="1087"/>
      <c r="GA382" s="1087"/>
      <c r="GB382" s="1087"/>
      <c r="GC382" s="1087"/>
      <c r="GD382" s="1087"/>
      <c r="GE382" s="1087"/>
      <c r="GF382" s="1087"/>
      <c r="GG382" s="1087"/>
      <c r="GH382" s="1087"/>
      <c r="GI382" s="1087"/>
      <c r="GJ382" s="1087"/>
      <c r="GK382" s="1087"/>
      <c r="GL382" s="1087"/>
      <c r="GM382" s="1087"/>
      <c r="GN382" s="1087"/>
      <c r="GO382" s="1087"/>
      <c r="GP382" s="1087"/>
      <c r="GQ382" s="1087"/>
      <c r="GR382" s="1087"/>
      <c r="GS382" s="1087"/>
      <c r="GT382" s="1087"/>
      <c r="GU382" s="1087"/>
      <c r="GV382" s="1087"/>
      <c r="GW382" s="1087"/>
      <c r="GX382" s="1087"/>
      <c r="GY382" s="1087"/>
      <c r="GZ382" s="1087"/>
      <c r="HA382" s="1087"/>
      <c r="HB382" s="1087"/>
      <c r="HC382" s="1087"/>
      <c r="HD382" s="1087"/>
      <c r="HE382" s="1087"/>
      <c r="HF382" s="1087"/>
      <c r="HG382" s="1087"/>
      <c r="HH382" s="1087"/>
      <c r="HI382" s="1087"/>
      <c r="HJ382" s="1087"/>
      <c r="HK382" s="1087"/>
      <c r="HL382" s="1087"/>
      <c r="HM382" s="1087"/>
      <c r="HN382" s="1087"/>
      <c r="HO382" s="1087"/>
      <c r="HP382" s="1087"/>
      <c r="HQ382" s="1087"/>
      <c r="HR382" s="1087"/>
      <c r="HS382" s="1087"/>
      <c r="HT382" s="1087"/>
      <c r="HU382" s="1087"/>
      <c r="HV382" s="1087"/>
      <c r="HW382" s="1087"/>
      <c r="HX382" s="1087"/>
      <c r="HY382" s="1087"/>
      <c r="HZ382" s="1087"/>
      <c r="IA382" s="1087"/>
      <c r="IB382" s="1087"/>
      <c r="IC382" s="1087"/>
      <c r="ID382" s="1087"/>
      <c r="IE382" s="1087"/>
      <c r="IF382" s="1087"/>
      <c r="IG382" s="1087"/>
      <c r="IH382" s="1087"/>
      <c r="II382" s="1087"/>
      <c r="IJ382" s="1087"/>
      <c r="IK382" s="1087"/>
      <c r="IL382" s="1087"/>
      <c r="IM382" s="1087"/>
      <c r="IN382" s="1087"/>
      <c r="IO382" s="1087"/>
      <c r="IP382" s="1087"/>
      <c r="IQ382" s="1087"/>
      <c r="IR382" s="1087"/>
      <c r="IS382" s="1087"/>
      <c r="IT382" s="1087"/>
      <c r="IU382" s="1087"/>
      <c r="IV382" s="1087"/>
      <c r="IW382" s="1087"/>
      <c r="IX382" s="1087"/>
      <c r="IY382" s="1087"/>
      <c r="IZ382" s="1087"/>
      <c r="JA382" s="1087"/>
      <c r="JB382" s="1087"/>
      <c r="JC382" s="1087"/>
      <c r="JD382" s="1087"/>
      <c r="JE382" s="1087"/>
      <c r="JF382" s="1087"/>
      <c r="JG382" s="1087"/>
      <c r="JH382" s="1087"/>
      <c r="JI382" s="1087"/>
      <c r="JJ382" s="1087"/>
      <c r="JK382" s="1087"/>
      <c r="JL382" s="1087"/>
      <c r="JM382" s="1087"/>
      <c r="JN382" s="1087"/>
      <c r="JO382" s="1087"/>
      <c r="JP382" s="1087"/>
      <c r="JQ382" s="1087"/>
      <c r="JR382" s="1087"/>
      <c r="JS382" s="1087"/>
      <c r="JT382" s="1087"/>
      <c r="JU382" s="1087"/>
      <c r="JV382" s="1087"/>
      <c r="JW382" s="1087"/>
      <c r="JX382" s="1087"/>
      <c r="JY382" s="1087"/>
      <c r="JZ382" s="1087"/>
      <c r="KA382" s="1087"/>
      <c r="KB382" s="1092"/>
    </row>
    <row r="383" spans="2:288" ht="15" customHeight="1" x14ac:dyDescent="0.35">
      <c r="B383" s="146" t="str">
        <f t="shared" si="29"/>
        <v>Desk 64</v>
      </c>
      <c r="C383" s="148" t="str">
        <v/>
      </c>
      <c r="D383" s="148" t="str">
        <v/>
      </c>
      <c r="E383" s="148" t="str">
        <v/>
      </c>
      <c r="F383" s="148" t="str">
        <v/>
      </c>
      <c r="G383" s="268" t="str">
        <v/>
      </c>
      <c r="H383" s="1087"/>
      <c r="I383" s="1087"/>
      <c r="J383" s="1087"/>
      <c r="K383" s="1087"/>
      <c r="L383" s="1087"/>
      <c r="M383" s="1087"/>
      <c r="N383" s="1087"/>
      <c r="O383" s="1087"/>
      <c r="P383" s="1087"/>
      <c r="Q383" s="1087"/>
      <c r="R383" s="1087"/>
      <c r="S383" s="1087"/>
      <c r="T383" s="1087"/>
      <c r="U383" s="1087"/>
      <c r="V383" s="1087"/>
      <c r="W383" s="1087"/>
      <c r="X383" s="1087"/>
      <c r="Y383" s="1087"/>
      <c r="Z383" s="1087"/>
      <c r="AA383" s="1087"/>
      <c r="AB383" s="1087"/>
      <c r="AC383" s="1087"/>
      <c r="AD383" s="1087"/>
      <c r="AE383" s="1087"/>
      <c r="AF383" s="1087"/>
      <c r="AG383" s="1087"/>
      <c r="AH383" s="1087"/>
      <c r="AI383" s="1087"/>
      <c r="AJ383" s="1087"/>
      <c r="AK383" s="1087"/>
      <c r="AL383" s="1087"/>
      <c r="AM383" s="1087"/>
      <c r="AN383" s="1087"/>
      <c r="AO383" s="1087"/>
      <c r="AP383" s="1087"/>
      <c r="AQ383" s="1087"/>
      <c r="AR383" s="1087"/>
      <c r="AS383" s="1087"/>
      <c r="AT383" s="1087"/>
      <c r="AU383" s="1087"/>
      <c r="AV383" s="1087"/>
      <c r="AW383" s="1087"/>
      <c r="AX383" s="1087"/>
      <c r="AY383" s="1087"/>
      <c r="AZ383" s="1087"/>
      <c r="BA383" s="1087"/>
      <c r="BB383" s="1087"/>
      <c r="BC383" s="1087"/>
      <c r="BD383" s="1087"/>
      <c r="BE383" s="1087"/>
      <c r="BF383" s="1087"/>
      <c r="BG383" s="1087"/>
      <c r="BH383" s="1087"/>
      <c r="BI383" s="1087"/>
      <c r="BJ383" s="1087"/>
      <c r="BK383" s="1087"/>
      <c r="BL383" s="1087"/>
      <c r="BM383" s="1087"/>
      <c r="BN383" s="1087"/>
      <c r="BO383" s="1087"/>
      <c r="BP383" s="1087"/>
      <c r="BQ383" s="1087"/>
      <c r="BR383" s="1087"/>
      <c r="BS383" s="1087"/>
      <c r="BT383" s="1087"/>
      <c r="BU383" s="1087"/>
      <c r="BV383" s="1087"/>
      <c r="BW383" s="1087"/>
      <c r="BX383" s="1087"/>
      <c r="BY383" s="1087"/>
      <c r="BZ383" s="1087"/>
      <c r="CA383" s="1087"/>
      <c r="CB383" s="1087"/>
      <c r="CC383" s="1087"/>
      <c r="CD383" s="1087"/>
      <c r="CE383" s="1087"/>
      <c r="CF383" s="1087"/>
      <c r="CG383" s="1087"/>
      <c r="CH383" s="1087"/>
      <c r="CI383" s="1087"/>
      <c r="CJ383" s="1087"/>
      <c r="CK383" s="1087"/>
      <c r="CL383" s="1087"/>
      <c r="CM383" s="1087"/>
      <c r="CN383" s="1087"/>
      <c r="CO383" s="1087"/>
      <c r="CP383" s="1087"/>
      <c r="CQ383" s="1087"/>
      <c r="CR383" s="1087"/>
      <c r="CS383" s="1087"/>
      <c r="CT383" s="1087"/>
      <c r="CU383" s="1087"/>
      <c r="CV383" s="1087"/>
      <c r="CW383" s="1087"/>
      <c r="CX383" s="1087"/>
      <c r="CY383" s="1087"/>
      <c r="CZ383" s="1087"/>
      <c r="DA383" s="1087"/>
      <c r="DB383" s="1087"/>
      <c r="DC383" s="1087"/>
      <c r="DD383" s="1087"/>
      <c r="DE383" s="1087"/>
      <c r="DF383" s="1087"/>
      <c r="DG383" s="1087"/>
      <c r="DH383" s="1087"/>
      <c r="DI383" s="1087"/>
      <c r="DJ383" s="1087"/>
      <c r="DK383" s="1087"/>
      <c r="DL383" s="1087"/>
      <c r="DM383" s="1087"/>
      <c r="DN383" s="1087"/>
      <c r="DO383" s="1087"/>
      <c r="DP383" s="1087"/>
      <c r="DQ383" s="1087"/>
      <c r="DR383" s="1087"/>
      <c r="DS383" s="1087"/>
      <c r="DT383" s="1087"/>
      <c r="DU383" s="1087"/>
      <c r="DV383" s="1087"/>
      <c r="DW383" s="1087"/>
      <c r="DX383" s="1087"/>
      <c r="DY383" s="1087"/>
      <c r="DZ383" s="1087"/>
      <c r="EA383" s="1087"/>
      <c r="EB383" s="1087"/>
      <c r="EC383" s="1087"/>
      <c r="ED383" s="1087"/>
      <c r="EE383" s="1087"/>
      <c r="EF383" s="1087"/>
      <c r="EG383" s="1087"/>
      <c r="EH383" s="1087"/>
      <c r="EI383" s="1087"/>
      <c r="EJ383" s="1087"/>
      <c r="EK383" s="1087"/>
      <c r="EL383" s="1087"/>
      <c r="EM383" s="1087"/>
      <c r="EN383" s="1087"/>
      <c r="EO383" s="1087"/>
      <c r="EP383" s="1087"/>
      <c r="EQ383" s="1087"/>
      <c r="ER383" s="1087"/>
      <c r="ES383" s="1087"/>
      <c r="ET383" s="1087"/>
      <c r="EU383" s="1087"/>
      <c r="EV383" s="1087"/>
      <c r="EW383" s="1087"/>
      <c r="EX383" s="1087"/>
      <c r="EY383" s="1087"/>
      <c r="EZ383" s="1087"/>
      <c r="FA383" s="1087"/>
      <c r="FB383" s="1087"/>
      <c r="FC383" s="1087"/>
      <c r="FD383" s="1087"/>
      <c r="FE383" s="1087"/>
      <c r="FF383" s="1087"/>
      <c r="FG383" s="1087"/>
      <c r="FH383" s="1087"/>
      <c r="FI383" s="1087"/>
      <c r="FJ383" s="1087"/>
      <c r="FK383" s="1087"/>
      <c r="FL383" s="1087"/>
      <c r="FM383" s="1087"/>
      <c r="FN383" s="1087"/>
      <c r="FO383" s="1087"/>
      <c r="FP383" s="1087"/>
      <c r="FQ383" s="1087"/>
      <c r="FR383" s="1087"/>
      <c r="FS383" s="1087"/>
      <c r="FT383" s="1087"/>
      <c r="FU383" s="1087"/>
      <c r="FV383" s="1087"/>
      <c r="FW383" s="1087"/>
      <c r="FX383" s="1087"/>
      <c r="FY383" s="1087"/>
      <c r="FZ383" s="1087"/>
      <c r="GA383" s="1087"/>
      <c r="GB383" s="1087"/>
      <c r="GC383" s="1087"/>
      <c r="GD383" s="1087"/>
      <c r="GE383" s="1087"/>
      <c r="GF383" s="1087"/>
      <c r="GG383" s="1087"/>
      <c r="GH383" s="1087"/>
      <c r="GI383" s="1087"/>
      <c r="GJ383" s="1087"/>
      <c r="GK383" s="1087"/>
      <c r="GL383" s="1087"/>
      <c r="GM383" s="1087"/>
      <c r="GN383" s="1087"/>
      <c r="GO383" s="1087"/>
      <c r="GP383" s="1087"/>
      <c r="GQ383" s="1087"/>
      <c r="GR383" s="1087"/>
      <c r="GS383" s="1087"/>
      <c r="GT383" s="1087"/>
      <c r="GU383" s="1087"/>
      <c r="GV383" s="1087"/>
      <c r="GW383" s="1087"/>
      <c r="GX383" s="1087"/>
      <c r="GY383" s="1087"/>
      <c r="GZ383" s="1087"/>
      <c r="HA383" s="1087"/>
      <c r="HB383" s="1087"/>
      <c r="HC383" s="1087"/>
      <c r="HD383" s="1087"/>
      <c r="HE383" s="1087"/>
      <c r="HF383" s="1087"/>
      <c r="HG383" s="1087"/>
      <c r="HH383" s="1087"/>
      <c r="HI383" s="1087"/>
      <c r="HJ383" s="1087"/>
      <c r="HK383" s="1087"/>
      <c r="HL383" s="1087"/>
      <c r="HM383" s="1087"/>
      <c r="HN383" s="1087"/>
      <c r="HO383" s="1087"/>
      <c r="HP383" s="1087"/>
      <c r="HQ383" s="1087"/>
      <c r="HR383" s="1087"/>
      <c r="HS383" s="1087"/>
      <c r="HT383" s="1087"/>
      <c r="HU383" s="1087"/>
      <c r="HV383" s="1087"/>
      <c r="HW383" s="1087"/>
      <c r="HX383" s="1087"/>
      <c r="HY383" s="1087"/>
      <c r="HZ383" s="1087"/>
      <c r="IA383" s="1087"/>
      <c r="IB383" s="1087"/>
      <c r="IC383" s="1087"/>
      <c r="ID383" s="1087"/>
      <c r="IE383" s="1087"/>
      <c r="IF383" s="1087"/>
      <c r="IG383" s="1087"/>
      <c r="IH383" s="1087"/>
      <c r="II383" s="1087"/>
      <c r="IJ383" s="1087"/>
      <c r="IK383" s="1087"/>
      <c r="IL383" s="1087"/>
      <c r="IM383" s="1087"/>
      <c r="IN383" s="1087"/>
      <c r="IO383" s="1087"/>
      <c r="IP383" s="1087"/>
      <c r="IQ383" s="1087"/>
      <c r="IR383" s="1087"/>
      <c r="IS383" s="1087"/>
      <c r="IT383" s="1087"/>
      <c r="IU383" s="1087"/>
      <c r="IV383" s="1087"/>
      <c r="IW383" s="1087"/>
      <c r="IX383" s="1087"/>
      <c r="IY383" s="1087"/>
      <c r="IZ383" s="1087"/>
      <c r="JA383" s="1087"/>
      <c r="JB383" s="1087"/>
      <c r="JC383" s="1087"/>
      <c r="JD383" s="1087"/>
      <c r="JE383" s="1087"/>
      <c r="JF383" s="1087"/>
      <c r="JG383" s="1087"/>
      <c r="JH383" s="1087"/>
      <c r="JI383" s="1087"/>
      <c r="JJ383" s="1087"/>
      <c r="JK383" s="1087"/>
      <c r="JL383" s="1087"/>
      <c r="JM383" s="1087"/>
      <c r="JN383" s="1087"/>
      <c r="JO383" s="1087"/>
      <c r="JP383" s="1087"/>
      <c r="JQ383" s="1087"/>
      <c r="JR383" s="1087"/>
      <c r="JS383" s="1087"/>
      <c r="JT383" s="1087"/>
      <c r="JU383" s="1087"/>
      <c r="JV383" s="1087"/>
      <c r="JW383" s="1087"/>
      <c r="JX383" s="1087"/>
      <c r="JY383" s="1087"/>
      <c r="JZ383" s="1087"/>
      <c r="KA383" s="1087"/>
      <c r="KB383" s="1092"/>
    </row>
    <row r="384" spans="2:288" ht="15" customHeight="1" x14ac:dyDescent="0.35">
      <c r="B384" s="146" t="str">
        <f t="shared" ref="B384:B419" si="30">B75</f>
        <v>Desk 65</v>
      </c>
      <c r="C384" s="148" t="str">
        <v/>
      </c>
      <c r="D384" s="148" t="str">
        <v/>
      </c>
      <c r="E384" s="148" t="str">
        <v/>
      </c>
      <c r="F384" s="148" t="str">
        <v/>
      </c>
      <c r="G384" s="268" t="str">
        <v/>
      </c>
      <c r="H384" s="1087"/>
      <c r="I384" s="1087"/>
      <c r="J384" s="1087"/>
      <c r="K384" s="1087"/>
      <c r="L384" s="1087"/>
      <c r="M384" s="1087"/>
      <c r="N384" s="1087"/>
      <c r="O384" s="1087"/>
      <c r="P384" s="1087"/>
      <c r="Q384" s="1087"/>
      <c r="R384" s="1087"/>
      <c r="S384" s="1087"/>
      <c r="T384" s="1087"/>
      <c r="U384" s="1087"/>
      <c r="V384" s="1087"/>
      <c r="W384" s="1087"/>
      <c r="X384" s="1087"/>
      <c r="Y384" s="1087"/>
      <c r="Z384" s="1087"/>
      <c r="AA384" s="1087"/>
      <c r="AB384" s="1087"/>
      <c r="AC384" s="1087"/>
      <c r="AD384" s="1087"/>
      <c r="AE384" s="1087"/>
      <c r="AF384" s="1087"/>
      <c r="AG384" s="1087"/>
      <c r="AH384" s="1087"/>
      <c r="AI384" s="1087"/>
      <c r="AJ384" s="1087"/>
      <c r="AK384" s="1087"/>
      <c r="AL384" s="1087"/>
      <c r="AM384" s="1087"/>
      <c r="AN384" s="1087"/>
      <c r="AO384" s="1087"/>
      <c r="AP384" s="1087"/>
      <c r="AQ384" s="1087"/>
      <c r="AR384" s="1087"/>
      <c r="AS384" s="1087"/>
      <c r="AT384" s="1087"/>
      <c r="AU384" s="1087"/>
      <c r="AV384" s="1087"/>
      <c r="AW384" s="1087"/>
      <c r="AX384" s="1087"/>
      <c r="AY384" s="1087"/>
      <c r="AZ384" s="1087"/>
      <c r="BA384" s="1087"/>
      <c r="BB384" s="1087"/>
      <c r="BC384" s="1087"/>
      <c r="BD384" s="1087"/>
      <c r="BE384" s="1087"/>
      <c r="BF384" s="1087"/>
      <c r="BG384" s="1087"/>
      <c r="BH384" s="1087"/>
      <c r="BI384" s="1087"/>
      <c r="BJ384" s="1087"/>
      <c r="BK384" s="1087"/>
      <c r="BL384" s="1087"/>
      <c r="BM384" s="1087"/>
      <c r="BN384" s="1087"/>
      <c r="BO384" s="1087"/>
      <c r="BP384" s="1087"/>
      <c r="BQ384" s="1087"/>
      <c r="BR384" s="1087"/>
      <c r="BS384" s="1087"/>
      <c r="BT384" s="1087"/>
      <c r="BU384" s="1087"/>
      <c r="BV384" s="1087"/>
      <c r="BW384" s="1087"/>
      <c r="BX384" s="1087"/>
      <c r="BY384" s="1087"/>
      <c r="BZ384" s="1087"/>
      <c r="CA384" s="1087"/>
      <c r="CB384" s="1087"/>
      <c r="CC384" s="1087"/>
      <c r="CD384" s="1087"/>
      <c r="CE384" s="1087"/>
      <c r="CF384" s="1087"/>
      <c r="CG384" s="1087"/>
      <c r="CH384" s="1087"/>
      <c r="CI384" s="1087"/>
      <c r="CJ384" s="1087"/>
      <c r="CK384" s="1087"/>
      <c r="CL384" s="1087"/>
      <c r="CM384" s="1087"/>
      <c r="CN384" s="1087"/>
      <c r="CO384" s="1087"/>
      <c r="CP384" s="1087"/>
      <c r="CQ384" s="1087"/>
      <c r="CR384" s="1087"/>
      <c r="CS384" s="1087"/>
      <c r="CT384" s="1087"/>
      <c r="CU384" s="1087"/>
      <c r="CV384" s="1087"/>
      <c r="CW384" s="1087"/>
      <c r="CX384" s="1087"/>
      <c r="CY384" s="1087"/>
      <c r="CZ384" s="1087"/>
      <c r="DA384" s="1087"/>
      <c r="DB384" s="1087"/>
      <c r="DC384" s="1087"/>
      <c r="DD384" s="1087"/>
      <c r="DE384" s="1087"/>
      <c r="DF384" s="1087"/>
      <c r="DG384" s="1087"/>
      <c r="DH384" s="1087"/>
      <c r="DI384" s="1087"/>
      <c r="DJ384" s="1087"/>
      <c r="DK384" s="1087"/>
      <c r="DL384" s="1087"/>
      <c r="DM384" s="1087"/>
      <c r="DN384" s="1087"/>
      <c r="DO384" s="1087"/>
      <c r="DP384" s="1087"/>
      <c r="DQ384" s="1087"/>
      <c r="DR384" s="1087"/>
      <c r="DS384" s="1087"/>
      <c r="DT384" s="1087"/>
      <c r="DU384" s="1087"/>
      <c r="DV384" s="1087"/>
      <c r="DW384" s="1087"/>
      <c r="DX384" s="1087"/>
      <c r="DY384" s="1087"/>
      <c r="DZ384" s="1087"/>
      <c r="EA384" s="1087"/>
      <c r="EB384" s="1087"/>
      <c r="EC384" s="1087"/>
      <c r="ED384" s="1087"/>
      <c r="EE384" s="1087"/>
      <c r="EF384" s="1087"/>
      <c r="EG384" s="1087"/>
      <c r="EH384" s="1087"/>
      <c r="EI384" s="1087"/>
      <c r="EJ384" s="1087"/>
      <c r="EK384" s="1087"/>
      <c r="EL384" s="1087"/>
      <c r="EM384" s="1087"/>
      <c r="EN384" s="1087"/>
      <c r="EO384" s="1087"/>
      <c r="EP384" s="1087"/>
      <c r="EQ384" s="1087"/>
      <c r="ER384" s="1087"/>
      <c r="ES384" s="1087"/>
      <c r="ET384" s="1087"/>
      <c r="EU384" s="1087"/>
      <c r="EV384" s="1087"/>
      <c r="EW384" s="1087"/>
      <c r="EX384" s="1087"/>
      <c r="EY384" s="1087"/>
      <c r="EZ384" s="1087"/>
      <c r="FA384" s="1087"/>
      <c r="FB384" s="1087"/>
      <c r="FC384" s="1087"/>
      <c r="FD384" s="1087"/>
      <c r="FE384" s="1087"/>
      <c r="FF384" s="1087"/>
      <c r="FG384" s="1087"/>
      <c r="FH384" s="1087"/>
      <c r="FI384" s="1087"/>
      <c r="FJ384" s="1087"/>
      <c r="FK384" s="1087"/>
      <c r="FL384" s="1087"/>
      <c r="FM384" s="1087"/>
      <c r="FN384" s="1087"/>
      <c r="FO384" s="1087"/>
      <c r="FP384" s="1087"/>
      <c r="FQ384" s="1087"/>
      <c r="FR384" s="1087"/>
      <c r="FS384" s="1087"/>
      <c r="FT384" s="1087"/>
      <c r="FU384" s="1087"/>
      <c r="FV384" s="1087"/>
      <c r="FW384" s="1087"/>
      <c r="FX384" s="1087"/>
      <c r="FY384" s="1087"/>
      <c r="FZ384" s="1087"/>
      <c r="GA384" s="1087"/>
      <c r="GB384" s="1087"/>
      <c r="GC384" s="1087"/>
      <c r="GD384" s="1087"/>
      <c r="GE384" s="1087"/>
      <c r="GF384" s="1087"/>
      <c r="GG384" s="1087"/>
      <c r="GH384" s="1087"/>
      <c r="GI384" s="1087"/>
      <c r="GJ384" s="1087"/>
      <c r="GK384" s="1087"/>
      <c r="GL384" s="1087"/>
      <c r="GM384" s="1087"/>
      <c r="GN384" s="1087"/>
      <c r="GO384" s="1087"/>
      <c r="GP384" s="1087"/>
      <c r="GQ384" s="1087"/>
      <c r="GR384" s="1087"/>
      <c r="GS384" s="1087"/>
      <c r="GT384" s="1087"/>
      <c r="GU384" s="1087"/>
      <c r="GV384" s="1087"/>
      <c r="GW384" s="1087"/>
      <c r="GX384" s="1087"/>
      <c r="GY384" s="1087"/>
      <c r="GZ384" s="1087"/>
      <c r="HA384" s="1087"/>
      <c r="HB384" s="1087"/>
      <c r="HC384" s="1087"/>
      <c r="HD384" s="1087"/>
      <c r="HE384" s="1087"/>
      <c r="HF384" s="1087"/>
      <c r="HG384" s="1087"/>
      <c r="HH384" s="1087"/>
      <c r="HI384" s="1087"/>
      <c r="HJ384" s="1087"/>
      <c r="HK384" s="1087"/>
      <c r="HL384" s="1087"/>
      <c r="HM384" s="1087"/>
      <c r="HN384" s="1087"/>
      <c r="HO384" s="1087"/>
      <c r="HP384" s="1087"/>
      <c r="HQ384" s="1087"/>
      <c r="HR384" s="1087"/>
      <c r="HS384" s="1087"/>
      <c r="HT384" s="1087"/>
      <c r="HU384" s="1087"/>
      <c r="HV384" s="1087"/>
      <c r="HW384" s="1087"/>
      <c r="HX384" s="1087"/>
      <c r="HY384" s="1087"/>
      <c r="HZ384" s="1087"/>
      <c r="IA384" s="1087"/>
      <c r="IB384" s="1087"/>
      <c r="IC384" s="1087"/>
      <c r="ID384" s="1087"/>
      <c r="IE384" s="1087"/>
      <c r="IF384" s="1087"/>
      <c r="IG384" s="1087"/>
      <c r="IH384" s="1087"/>
      <c r="II384" s="1087"/>
      <c r="IJ384" s="1087"/>
      <c r="IK384" s="1087"/>
      <c r="IL384" s="1087"/>
      <c r="IM384" s="1087"/>
      <c r="IN384" s="1087"/>
      <c r="IO384" s="1087"/>
      <c r="IP384" s="1087"/>
      <c r="IQ384" s="1087"/>
      <c r="IR384" s="1087"/>
      <c r="IS384" s="1087"/>
      <c r="IT384" s="1087"/>
      <c r="IU384" s="1087"/>
      <c r="IV384" s="1087"/>
      <c r="IW384" s="1087"/>
      <c r="IX384" s="1087"/>
      <c r="IY384" s="1087"/>
      <c r="IZ384" s="1087"/>
      <c r="JA384" s="1087"/>
      <c r="JB384" s="1087"/>
      <c r="JC384" s="1087"/>
      <c r="JD384" s="1087"/>
      <c r="JE384" s="1087"/>
      <c r="JF384" s="1087"/>
      <c r="JG384" s="1087"/>
      <c r="JH384" s="1087"/>
      <c r="JI384" s="1087"/>
      <c r="JJ384" s="1087"/>
      <c r="JK384" s="1087"/>
      <c r="JL384" s="1087"/>
      <c r="JM384" s="1087"/>
      <c r="JN384" s="1087"/>
      <c r="JO384" s="1087"/>
      <c r="JP384" s="1087"/>
      <c r="JQ384" s="1087"/>
      <c r="JR384" s="1087"/>
      <c r="JS384" s="1087"/>
      <c r="JT384" s="1087"/>
      <c r="JU384" s="1087"/>
      <c r="JV384" s="1087"/>
      <c r="JW384" s="1087"/>
      <c r="JX384" s="1087"/>
      <c r="JY384" s="1087"/>
      <c r="JZ384" s="1087"/>
      <c r="KA384" s="1087"/>
      <c r="KB384" s="1092"/>
    </row>
    <row r="385" spans="2:288" ht="15" customHeight="1" x14ac:dyDescent="0.35">
      <c r="B385" s="146" t="str">
        <f t="shared" si="30"/>
        <v>Desk 66</v>
      </c>
      <c r="C385" s="148" t="str">
        <v/>
      </c>
      <c r="D385" s="148" t="str">
        <v/>
      </c>
      <c r="E385" s="148" t="str">
        <v/>
      </c>
      <c r="F385" s="148" t="str">
        <v/>
      </c>
      <c r="G385" s="268" t="str">
        <v/>
      </c>
      <c r="H385" s="1087"/>
      <c r="I385" s="1087"/>
      <c r="J385" s="1087"/>
      <c r="K385" s="1087"/>
      <c r="L385" s="1087"/>
      <c r="M385" s="1087"/>
      <c r="N385" s="1087"/>
      <c r="O385" s="1087"/>
      <c r="P385" s="1087"/>
      <c r="Q385" s="1087"/>
      <c r="R385" s="1087"/>
      <c r="S385" s="1087"/>
      <c r="T385" s="1087"/>
      <c r="U385" s="1087"/>
      <c r="V385" s="1087"/>
      <c r="W385" s="1087"/>
      <c r="X385" s="1087"/>
      <c r="Y385" s="1087"/>
      <c r="Z385" s="1087"/>
      <c r="AA385" s="1087"/>
      <c r="AB385" s="1087"/>
      <c r="AC385" s="1087"/>
      <c r="AD385" s="1087"/>
      <c r="AE385" s="1087"/>
      <c r="AF385" s="1087"/>
      <c r="AG385" s="1087"/>
      <c r="AH385" s="1087"/>
      <c r="AI385" s="1087"/>
      <c r="AJ385" s="1087"/>
      <c r="AK385" s="1087"/>
      <c r="AL385" s="1087"/>
      <c r="AM385" s="1087"/>
      <c r="AN385" s="1087"/>
      <c r="AO385" s="1087"/>
      <c r="AP385" s="1087"/>
      <c r="AQ385" s="1087"/>
      <c r="AR385" s="1087"/>
      <c r="AS385" s="1087"/>
      <c r="AT385" s="1087"/>
      <c r="AU385" s="1087"/>
      <c r="AV385" s="1087"/>
      <c r="AW385" s="1087"/>
      <c r="AX385" s="1087"/>
      <c r="AY385" s="1087"/>
      <c r="AZ385" s="1087"/>
      <c r="BA385" s="1087"/>
      <c r="BB385" s="1087"/>
      <c r="BC385" s="1087"/>
      <c r="BD385" s="1087"/>
      <c r="BE385" s="1087"/>
      <c r="BF385" s="1087"/>
      <c r="BG385" s="1087"/>
      <c r="BH385" s="1087"/>
      <c r="BI385" s="1087"/>
      <c r="BJ385" s="1087"/>
      <c r="BK385" s="1087"/>
      <c r="BL385" s="1087"/>
      <c r="BM385" s="1087"/>
      <c r="BN385" s="1087"/>
      <c r="BO385" s="1087"/>
      <c r="BP385" s="1087"/>
      <c r="BQ385" s="1087"/>
      <c r="BR385" s="1087"/>
      <c r="BS385" s="1087"/>
      <c r="BT385" s="1087"/>
      <c r="BU385" s="1087"/>
      <c r="BV385" s="1087"/>
      <c r="BW385" s="1087"/>
      <c r="BX385" s="1087"/>
      <c r="BY385" s="1087"/>
      <c r="BZ385" s="1087"/>
      <c r="CA385" s="1087"/>
      <c r="CB385" s="1087"/>
      <c r="CC385" s="1087"/>
      <c r="CD385" s="1087"/>
      <c r="CE385" s="1087"/>
      <c r="CF385" s="1087"/>
      <c r="CG385" s="1087"/>
      <c r="CH385" s="1087"/>
      <c r="CI385" s="1087"/>
      <c r="CJ385" s="1087"/>
      <c r="CK385" s="1087"/>
      <c r="CL385" s="1087"/>
      <c r="CM385" s="1087"/>
      <c r="CN385" s="1087"/>
      <c r="CO385" s="1087"/>
      <c r="CP385" s="1087"/>
      <c r="CQ385" s="1087"/>
      <c r="CR385" s="1087"/>
      <c r="CS385" s="1087"/>
      <c r="CT385" s="1087"/>
      <c r="CU385" s="1087"/>
      <c r="CV385" s="1087"/>
      <c r="CW385" s="1087"/>
      <c r="CX385" s="1087"/>
      <c r="CY385" s="1087"/>
      <c r="CZ385" s="1087"/>
      <c r="DA385" s="1087"/>
      <c r="DB385" s="1087"/>
      <c r="DC385" s="1087"/>
      <c r="DD385" s="1087"/>
      <c r="DE385" s="1087"/>
      <c r="DF385" s="1087"/>
      <c r="DG385" s="1087"/>
      <c r="DH385" s="1087"/>
      <c r="DI385" s="1087"/>
      <c r="DJ385" s="1087"/>
      <c r="DK385" s="1087"/>
      <c r="DL385" s="1087"/>
      <c r="DM385" s="1087"/>
      <c r="DN385" s="1087"/>
      <c r="DO385" s="1087"/>
      <c r="DP385" s="1087"/>
      <c r="DQ385" s="1087"/>
      <c r="DR385" s="1087"/>
      <c r="DS385" s="1087"/>
      <c r="DT385" s="1087"/>
      <c r="DU385" s="1087"/>
      <c r="DV385" s="1087"/>
      <c r="DW385" s="1087"/>
      <c r="DX385" s="1087"/>
      <c r="DY385" s="1087"/>
      <c r="DZ385" s="1087"/>
      <c r="EA385" s="1087"/>
      <c r="EB385" s="1087"/>
      <c r="EC385" s="1087"/>
      <c r="ED385" s="1087"/>
      <c r="EE385" s="1087"/>
      <c r="EF385" s="1087"/>
      <c r="EG385" s="1087"/>
      <c r="EH385" s="1087"/>
      <c r="EI385" s="1087"/>
      <c r="EJ385" s="1087"/>
      <c r="EK385" s="1087"/>
      <c r="EL385" s="1087"/>
      <c r="EM385" s="1087"/>
      <c r="EN385" s="1087"/>
      <c r="EO385" s="1087"/>
      <c r="EP385" s="1087"/>
      <c r="EQ385" s="1087"/>
      <c r="ER385" s="1087"/>
      <c r="ES385" s="1087"/>
      <c r="ET385" s="1087"/>
      <c r="EU385" s="1087"/>
      <c r="EV385" s="1087"/>
      <c r="EW385" s="1087"/>
      <c r="EX385" s="1087"/>
      <c r="EY385" s="1087"/>
      <c r="EZ385" s="1087"/>
      <c r="FA385" s="1087"/>
      <c r="FB385" s="1087"/>
      <c r="FC385" s="1087"/>
      <c r="FD385" s="1087"/>
      <c r="FE385" s="1087"/>
      <c r="FF385" s="1087"/>
      <c r="FG385" s="1087"/>
      <c r="FH385" s="1087"/>
      <c r="FI385" s="1087"/>
      <c r="FJ385" s="1087"/>
      <c r="FK385" s="1087"/>
      <c r="FL385" s="1087"/>
      <c r="FM385" s="1087"/>
      <c r="FN385" s="1087"/>
      <c r="FO385" s="1087"/>
      <c r="FP385" s="1087"/>
      <c r="FQ385" s="1087"/>
      <c r="FR385" s="1087"/>
      <c r="FS385" s="1087"/>
      <c r="FT385" s="1087"/>
      <c r="FU385" s="1087"/>
      <c r="FV385" s="1087"/>
      <c r="FW385" s="1087"/>
      <c r="FX385" s="1087"/>
      <c r="FY385" s="1087"/>
      <c r="FZ385" s="1087"/>
      <c r="GA385" s="1087"/>
      <c r="GB385" s="1087"/>
      <c r="GC385" s="1087"/>
      <c r="GD385" s="1087"/>
      <c r="GE385" s="1087"/>
      <c r="GF385" s="1087"/>
      <c r="GG385" s="1087"/>
      <c r="GH385" s="1087"/>
      <c r="GI385" s="1087"/>
      <c r="GJ385" s="1087"/>
      <c r="GK385" s="1087"/>
      <c r="GL385" s="1087"/>
      <c r="GM385" s="1087"/>
      <c r="GN385" s="1087"/>
      <c r="GO385" s="1087"/>
      <c r="GP385" s="1087"/>
      <c r="GQ385" s="1087"/>
      <c r="GR385" s="1087"/>
      <c r="GS385" s="1087"/>
      <c r="GT385" s="1087"/>
      <c r="GU385" s="1087"/>
      <c r="GV385" s="1087"/>
      <c r="GW385" s="1087"/>
      <c r="GX385" s="1087"/>
      <c r="GY385" s="1087"/>
      <c r="GZ385" s="1087"/>
      <c r="HA385" s="1087"/>
      <c r="HB385" s="1087"/>
      <c r="HC385" s="1087"/>
      <c r="HD385" s="1087"/>
      <c r="HE385" s="1087"/>
      <c r="HF385" s="1087"/>
      <c r="HG385" s="1087"/>
      <c r="HH385" s="1087"/>
      <c r="HI385" s="1087"/>
      <c r="HJ385" s="1087"/>
      <c r="HK385" s="1087"/>
      <c r="HL385" s="1087"/>
      <c r="HM385" s="1087"/>
      <c r="HN385" s="1087"/>
      <c r="HO385" s="1087"/>
      <c r="HP385" s="1087"/>
      <c r="HQ385" s="1087"/>
      <c r="HR385" s="1087"/>
      <c r="HS385" s="1087"/>
      <c r="HT385" s="1087"/>
      <c r="HU385" s="1087"/>
      <c r="HV385" s="1087"/>
      <c r="HW385" s="1087"/>
      <c r="HX385" s="1087"/>
      <c r="HY385" s="1087"/>
      <c r="HZ385" s="1087"/>
      <c r="IA385" s="1087"/>
      <c r="IB385" s="1087"/>
      <c r="IC385" s="1087"/>
      <c r="ID385" s="1087"/>
      <c r="IE385" s="1087"/>
      <c r="IF385" s="1087"/>
      <c r="IG385" s="1087"/>
      <c r="IH385" s="1087"/>
      <c r="II385" s="1087"/>
      <c r="IJ385" s="1087"/>
      <c r="IK385" s="1087"/>
      <c r="IL385" s="1087"/>
      <c r="IM385" s="1087"/>
      <c r="IN385" s="1087"/>
      <c r="IO385" s="1087"/>
      <c r="IP385" s="1087"/>
      <c r="IQ385" s="1087"/>
      <c r="IR385" s="1087"/>
      <c r="IS385" s="1087"/>
      <c r="IT385" s="1087"/>
      <c r="IU385" s="1087"/>
      <c r="IV385" s="1087"/>
      <c r="IW385" s="1087"/>
      <c r="IX385" s="1087"/>
      <c r="IY385" s="1087"/>
      <c r="IZ385" s="1087"/>
      <c r="JA385" s="1087"/>
      <c r="JB385" s="1087"/>
      <c r="JC385" s="1087"/>
      <c r="JD385" s="1087"/>
      <c r="JE385" s="1087"/>
      <c r="JF385" s="1087"/>
      <c r="JG385" s="1087"/>
      <c r="JH385" s="1087"/>
      <c r="JI385" s="1087"/>
      <c r="JJ385" s="1087"/>
      <c r="JK385" s="1087"/>
      <c r="JL385" s="1087"/>
      <c r="JM385" s="1087"/>
      <c r="JN385" s="1087"/>
      <c r="JO385" s="1087"/>
      <c r="JP385" s="1087"/>
      <c r="JQ385" s="1087"/>
      <c r="JR385" s="1087"/>
      <c r="JS385" s="1087"/>
      <c r="JT385" s="1087"/>
      <c r="JU385" s="1087"/>
      <c r="JV385" s="1087"/>
      <c r="JW385" s="1087"/>
      <c r="JX385" s="1087"/>
      <c r="JY385" s="1087"/>
      <c r="JZ385" s="1087"/>
      <c r="KA385" s="1087"/>
      <c r="KB385" s="1092"/>
    </row>
    <row r="386" spans="2:288" ht="15" customHeight="1" x14ac:dyDescent="0.35">
      <c r="B386" s="146" t="str">
        <f t="shared" si="30"/>
        <v>Desk 67</v>
      </c>
      <c r="C386" s="148" t="str">
        <v/>
      </c>
      <c r="D386" s="148" t="str">
        <v/>
      </c>
      <c r="E386" s="148" t="str">
        <v/>
      </c>
      <c r="F386" s="148" t="str">
        <v/>
      </c>
      <c r="G386" s="268" t="str">
        <v/>
      </c>
      <c r="H386" s="1087"/>
      <c r="I386" s="1087"/>
      <c r="J386" s="1087"/>
      <c r="K386" s="1087"/>
      <c r="L386" s="1087"/>
      <c r="M386" s="1087"/>
      <c r="N386" s="1087"/>
      <c r="O386" s="1087"/>
      <c r="P386" s="1087"/>
      <c r="Q386" s="1087"/>
      <c r="R386" s="1087"/>
      <c r="S386" s="1087"/>
      <c r="T386" s="1087"/>
      <c r="U386" s="1087"/>
      <c r="V386" s="1087"/>
      <c r="W386" s="1087"/>
      <c r="X386" s="1087"/>
      <c r="Y386" s="1087"/>
      <c r="Z386" s="1087"/>
      <c r="AA386" s="1087"/>
      <c r="AB386" s="1087"/>
      <c r="AC386" s="1087"/>
      <c r="AD386" s="1087"/>
      <c r="AE386" s="1087"/>
      <c r="AF386" s="1087"/>
      <c r="AG386" s="1087"/>
      <c r="AH386" s="1087"/>
      <c r="AI386" s="1087"/>
      <c r="AJ386" s="1087"/>
      <c r="AK386" s="1087"/>
      <c r="AL386" s="1087"/>
      <c r="AM386" s="1087"/>
      <c r="AN386" s="1087"/>
      <c r="AO386" s="1087"/>
      <c r="AP386" s="1087"/>
      <c r="AQ386" s="1087"/>
      <c r="AR386" s="1087"/>
      <c r="AS386" s="1087"/>
      <c r="AT386" s="1087"/>
      <c r="AU386" s="1087"/>
      <c r="AV386" s="1087"/>
      <c r="AW386" s="1087"/>
      <c r="AX386" s="1087"/>
      <c r="AY386" s="1087"/>
      <c r="AZ386" s="1087"/>
      <c r="BA386" s="1087"/>
      <c r="BB386" s="1087"/>
      <c r="BC386" s="1087"/>
      <c r="BD386" s="1087"/>
      <c r="BE386" s="1087"/>
      <c r="BF386" s="1087"/>
      <c r="BG386" s="1087"/>
      <c r="BH386" s="1087"/>
      <c r="BI386" s="1087"/>
      <c r="BJ386" s="1087"/>
      <c r="BK386" s="1087"/>
      <c r="BL386" s="1087"/>
      <c r="BM386" s="1087"/>
      <c r="BN386" s="1087"/>
      <c r="BO386" s="1087"/>
      <c r="BP386" s="1087"/>
      <c r="BQ386" s="1087"/>
      <c r="BR386" s="1087"/>
      <c r="BS386" s="1087"/>
      <c r="BT386" s="1087"/>
      <c r="BU386" s="1087"/>
      <c r="BV386" s="1087"/>
      <c r="BW386" s="1087"/>
      <c r="BX386" s="1087"/>
      <c r="BY386" s="1087"/>
      <c r="BZ386" s="1087"/>
      <c r="CA386" s="1087"/>
      <c r="CB386" s="1087"/>
      <c r="CC386" s="1087"/>
      <c r="CD386" s="1087"/>
      <c r="CE386" s="1087"/>
      <c r="CF386" s="1087"/>
      <c r="CG386" s="1087"/>
      <c r="CH386" s="1087"/>
      <c r="CI386" s="1087"/>
      <c r="CJ386" s="1087"/>
      <c r="CK386" s="1087"/>
      <c r="CL386" s="1087"/>
      <c r="CM386" s="1087"/>
      <c r="CN386" s="1087"/>
      <c r="CO386" s="1087"/>
      <c r="CP386" s="1087"/>
      <c r="CQ386" s="1087"/>
      <c r="CR386" s="1087"/>
      <c r="CS386" s="1087"/>
      <c r="CT386" s="1087"/>
      <c r="CU386" s="1087"/>
      <c r="CV386" s="1087"/>
      <c r="CW386" s="1087"/>
      <c r="CX386" s="1087"/>
      <c r="CY386" s="1087"/>
      <c r="CZ386" s="1087"/>
      <c r="DA386" s="1087"/>
      <c r="DB386" s="1087"/>
      <c r="DC386" s="1087"/>
      <c r="DD386" s="1087"/>
      <c r="DE386" s="1087"/>
      <c r="DF386" s="1087"/>
      <c r="DG386" s="1087"/>
      <c r="DH386" s="1087"/>
      <c r="DI386" s="1087"/>
      <c r="DJ386" s="1087"/>
      <c r="DK386" s="1087"/>
      <c r="DL386" s="1087"/>
      <c r="DM386" s="1087"/>
      <c r="DN386" s="1087"/>
      <c r="DO386" s="1087"/>
      <c r="DP386" s="1087"/>
      <c r="DQ386" s="1087"/>
      <c r="DR386" s="1087"/>
      <c r="DS386" s="1087"/>
      <c r="DT386" s="1087"/>
      <c r="DU386" s="1087"/>
      <c r="DV386" s="1087"/>
      <c r="DW386" s="1087"/>
      <c r="DX386" s="1087"/>
      <c r="DY386" s="1087"/>
      <c r="DZ386" s="1087"/>
      <c r="EA386" s="1087"/>
      <c r="EB386" s="1087"/>
      <c r="EC386" s="1087"/>
      <c r="ED386" s="1087"/>
      <c r="EE386" s="1087"/>
      <c r="EF386" s="1087"/>
      <c r="EG386" s="1087"/>
      <c r="EH386" s="1087"/>
      <c r="EI386" s="1087"/>
      <c r="EJ386" s="1087"/>
      <c r="EK386" s="1087"/>
      <c r="EL386" s="1087"/>
      <c r="EM386" s="1087"/>
      <c r="EN386" s="1087"/>
      <c r="EO386" s="1087"/>
      <c r="EP386" s="1087"/>
      <c r="EQ386" s="1087"/>
      <c r="ER386" s="1087"/>
      <c r="ES386" s="1087"/>
      <c r="ET386" s="1087"/>
      <c r="EU386" s="1087"/>
      <c r="EV386" s="1087"/>
      <c r="EW386" s="1087"/>
      <c r="EX386" s="1087"/>
      <c r="EY386" s="1087"/>
      <c r="EZ386" s="1087"/>
      <c r="FA386" s="1087"/>
      <c r="FB386" s="1087"/>
      <c r="FC386" s="1087"/>
      <c r="FD386" s="1087"/>
      <c r="FE386" s="1087"/>
      <c r="FF386" s="1087"/>
      <c r="FG386" s="1087"/>
      <c r="FH386" s="1087"/>
      <c r="FI386" s="1087"/>
      <c r="FJ386" s="1087"/>
      <c r="FK386" s="1087"/>
      <c r="FL386" s="1087"/>
      <c r="FM386" s="1087"/>
      <c r="FN386" s="1087"/>
      <c r="FO386" s="1087"/>
      <c r="FP386" s="1087"/>
      <c r="FQ386" s="1087"/>
      <c r="FR386" s="1087"/>
      <c r="FS386" s="1087"/>
      <c r="FT386" s="1087"/>
      <c r="FU386" s="1087"/>
      <c r="FV386" s="1087"/>
      <c r="FW386" s="1087"/>
      <c r="FX386" s="1087"/>
      <c r="FY386" s="1087"/>
      <c r="FZ386" s="1087"/>
      <c r="GA386" s="1087"/>
      <c r="GB386" s="1087"/>
      <c r="GC386" s="1087"/>
      <c r="GD386" s="1087"/>
      <c r="GE386" s="1087"/>
      <c r="GF386" s="1087"/>
      <c r="GG386" s="1087"/>
      <c r="GH386" s="1087"/>
      <c r="GI386" s="1087"/>
      <c r="GJ386" s="1087"/>
      <c r="GK386" s="1087"/>
      <c r="GL386" s="1087"/>
      <c r="GM386" s="1087"/>
      <c r="GN386" s="1087"/>
      <c r="GO386" s="1087"/>
      <c r="GP386" s="1087"/>
      <c r="GQ386" s="1087"/>
      <c r="GR386" s="1087"/>
      <c r="GS386" s="1087"/>
      <c r="GT386" s="1087"/>
      <c r="GU386" s="1087"/>
      <c r="GV386" s="1087"/>
      <c r="GW386" s="1087"/>
      <c r="GX386" s="1087"/>
      <c r="GY386" s="1087"/>
      <c r="GZ386" s="1087"/>
      <c r="HA386" s="1087"/>
      <c r="HB386" s="1087"/>
      <c r="HC386" s="1087"/>
      <c r="HD386" s="1087"/>
      <c r="HE386" s="1087"/>
      <c r="HF386" s="1087"/>
      <c r="HG386" s="1087"/>
      <c r="HH386" s="1087"/>
      <c r="HI386" s="1087"/>
      <c r="HJ386" s="1087"/>
      <c r="HK386" s="1087"/>
      <c r="HL386" s="1087"/>
      <c r="HM386" s="1087"/>
      <c r="HN386" s="1087"/>
      <c r="HO386" s="1087"/>
      <c r="HP386" s="1087"/>
      <c r="HQ386" s="1087"/>
      <c r="HR386" s="1087"/>
      <c r="HS386" s="1087"/>
      <c r="HT386" s="1087"/>
      <c r="HU386" s="1087"/>
      <c r="HV386" s="1087"/>
      <c r="HW386" s="1087"/>
      <c r="HX386" s="1087"/>
      <c r="HY386" s="1087"/>
      <c r="HZ386" s="1087"/>
      <c r="IA386" s="1087"/>
      <c r="IB386" s="1087"/>
      <c r="IC386" s="1087"/>
      <c r="ID386" s="1087"/>
      <c r="IE386" s="1087"/>
      <c r="IF386" s="1087"/>
      <c r="IG386" s="1087"/>
      <c r="IH386" s="1087"/>
      <c r="II386" s="1087"/>
      <c r="IJ386" s="1087"/>
      <c r="IK386" s="1087"/>
      <c r="IL386" s="1087"/>
      <c r="IM386" s="1087"/>
      <c r="IN386" s="1087"/>
      <c r="IO386" s="1087"/>
      <c r="IP386" s="1087"/>
      <c r="IQ386" s="1087"/>
      <c r="IR386" s="1087"/>
      <c r="IS386" s="1087"/>
      <c r="IT386" s="1087"/>
      <c r="IU386" s="1087"/>
      <c r="IV386" s="1087"/>
      <c r="IW386" s="1087"/>
      <c r="IX386" s="1087"/>
      <c r="IY386" s="1087"/>
      <c r="IZ386" s="1087"/>
      <c r="JA386" s="1087"/>
      <c r="JB386" s="1087"/>
      <c r="JC386" s="1087"/>
      <c r="JD386" s="1087"/>
      <c r="JE386" s="1087"/>
      <c r="JF386" s="1087"/>
      <c r="JG386" s="1087"/>
      <c r="JH386" s="1087"/>
      <c r="JI386" s="1087"/>
      <c r="JJ386" s="1087"/>
      <c r="JK386" s="1087"/>
      <c r="JL386" s="1087"/>
      <c r="JM386" s="1087"/>
      <c r="JN386" s="1087"/>
      <c r="JO386" s="1087"/>
      <c r="JP386" s="1087"/>
      <c r="JQ386" s="1087"/>
      <c r="JR386" s="1087"/>
      <c r="JS386" s="1087"/>
      <c r="JT386" s="1087"/>
      <c r="JU386" s="1087"/>
      <c r="JV386" s="1087"/>
      <c r="JW386" s="1087"/>
      <c r="JX386" s="1087"/>
      <c r="JY386" s="1087"/>
      <c r="JZ386" s="1087"/>
      <c r="KA386" s="1087"/>
      <c r="KB386" s="1092"/>
    </row>
    <row r="387" spans="2:288" ht="15" customHeight="1" x14ac:dyDescent="0.35">
      <c r="B387" s="146" t="str">
        <f t="shared" si="30"/>
        <v>Desk 68</v>
      </c>
      <c r="C387" s="148" t="str">
        <v/>
      </c>
      <c r="D387" s="148" t="str">
        <v/>
      </c>
      <c r="E387" s="148" t="str">
        <v/>
      </c>
      <c r="F387" s="148" t="str">
        <v/>
      </c>
      <c r="G387" s="268" t="str">
        <v/>
      </c>
      <c r="H387" s="1087"/>
      <c r="I387" s="1087"/>
      <c r="J387" s="1087"/>
      <c r="K387" s="1087"/>
      <c r="L387" s="1087"/>
      <c r="M387" s="1087"/>
      <c r="N387" s="1087"/>
      <c r="O387" s="1087"/>
      <c r="P387" s="1087"/>
      <c r="Q387" s="1087"/>
      <c r="R387" s="1087"/>
      <c r="S387" s="1087"/>
      <c r="T387" s="1087"/>
      <c r="U387" s="1087"/>
      <c r="V387" s="1087"/>
      <c r="W387" s="1087"/>
      <c r="X387" s="1087"/>
      <c r="Y387" s="1087"/>
      <c r="Z387" s="1087"/>
      <c r="AA387" s="1087"/>
      <c r="AB387" s="1087"/>
      <c r="AC387" s="1087"/>
      <c r="AD387" s="1087"/>
      <c r="AE387" s="1087"/>
      <c r="AF387" s="1087"/>
      <c r="AG387" s="1087"/>
      <c r="AH387" s="1087"/>
      <c r="AI387" s="1087"/>
      <c r="AJ387" s="1087"/>
      <c r="AK387" s="1087"/>
      <c r="AL387" s="1087"/>
      <c r="AM387" s="1087"/>
      <c r="AN387" s="1087"/>
      <c r="AO387" s="1087"/>
      <c r="AP387" s="1087"/>
      <c r="AQ387" s="1087"/>
      <c r="AR387" s="1087"/>
      <c r="AS387" s="1087"/>
      <c r="AT387" s="1087"/>
      <c r="AU387" s="1087"/>
      <c r="AV387" s="1087"/>
      <c r="AW387" s="1087"/>
      <c r="AX387" s="1087"/>
      <c r="AY387" s="1087"/>
      <c r="AZ387" s="1087"/>
      <c r="BA387" s="1087"/>
      <c r="BB387" s="1087"/>
      <c r="BC387" s="1087"/>
      <c r="BD387" s="1087"/>
      <c r="BE387" s="1087"/>
      <c r="BF387" s="1087"/>
      <c r="BG387" s="1087"/>
      <c r="BH387" s="1087"/>
      <c r="BI387" s="1087"/>
      <c r="BJ387" s="1087"/>
      <c r="BK387" s="1087"/>
      <c r="BL387" s="1087"/>
      <c r="BM387" s="1087"/>
      <c r="BN387" s="1087"/>
      <c r="BO387" s="1087"/>
      <c r="BP387" s="1087"/>
      <c r="BQ387" s="1087"/>
      <c r="BR387" s="1087"/>
      <c r="BS387" s="1087"/>
      <c r="BT387" s="1087"/>
      <c r="BU387" s="1087"/>
      <c r="BV387" s="1087"/>
      <c r="BW387" s="1087"/>
      <c r="BX387" s="1087"/>
      <c r="BY387" s="1087"/>
      <c r="BZ387" s="1087"/>
      <c r="CA387" s="1087"/>
      <c r="CB387" s="1087"/>
      <c r="CC387" s="1087"/>
      <c r="CD387" s="1087"/>
      <c r="CE387" s="1087"/>
      <c r="CF387" s="1087"/>
      <c r="CG387" s="1087"/>
      <c r="CH387" s="1087"/>
      <c r="CI387" s="1087"/>
      <c r="CJ387" s="1087"/>
      <c r="CK387" s="1087"/>
      <c r="CL387" s="1087"/>
      <c r="CM387" s="1087"/>
      <c r="CN387" s="1087"/>
      <c r="CO387" s="1087"/>
      <c r="CP387" s="1087"/>
      <c r="CQ387" s="1087"/>
      <c r="CR387" s="1087"/>
      <c r="CS387" s="1087"/>
      <c r="CT387" s="1087"/>
      <c r="CU387" s="1087"/>
      <c r="CV387" s="1087"/>
      <c r="CW387" s="1087"/>
      <c r="CX387" s="1087"/>
      <c r="CY387" s="1087"/>
      <c r="CZ387" s="1087"/>
      <c r="DA387" s="1087"/>
      <c r="DB387" s="1087"/>
      <c r="DC387" s="1087"/>
      <c r="DD387" s="1087"/>
      <c r="DE387" s="1087"/>
      <c r="DF387" s="1087"/>
      <c r="DG387" s="1087"/>
      <c r="DH387" s="1087"/>
      <c r="DI387" s="1087"/>
      <c r="DJ387" s="1087"/>
      <c r="DK387" s="1087"/>
      <c r="DL387" s="1087"/>
      <c r="DM387" s="1087"/>
      <c r="DN387" s="1087"/>
      <c r="DO387" s="1087"/>
      <c r="DP387" s="1087"/>
      <c r="DQ387" s="1087"/>
      <c r="DR387" s="1087"/>
      <c r="DS387" s="1087"/>
      <c r="DT387" s="1087"/>
      <c r="DU387" s="1087"/>
      <c r="DV387" s="1087"/>
      <c r="DW387" s="1087"/>
      <c r="DX387" s="1087"/>
      <c r="DY387" s="1087"/>
      <c r="DZ387" s="1087"/>
      <c r="EA387" s="1087"/>
      <c r="EB387" s="1087"/>
      <c r="EC387" s="1087"/>
      <c r="ED387" s="1087"/>
      <c r="EE387" s="1087"/>
      <c r="EF387" s="1087"/>
      <c r="EG387" s="1087"/>
      <c r="EH387" s="1087"/>
      <c r="EI387" s="1087"/>
      <c r="EJ387" s="1087"/>
      <c r="EK387" s="1087"/>
      <c r="EL387" s="1087"/>
      <c r="EM387" s="1087"/>
      <c r="EN387" s="1087"/>
      <c r="EO387" s="1087"/>
      <c r="EP387" s="1087"/>
      <c r="EQ387" s="1087"/>
      <c r="ER387" s="1087"/>
      <c r="ES387" s="1087"/>
      <c r="ET387" s="1087"/>
      <c r="EU387" s="1087"/>
      <c r="EV387" s="1087"/>
      <c r="EW387" s="1087"/>
      <c r="EX387" s="1087"/>
      <c r="EY387" s="1087"/>
      <c r="EZ387" s="1087"/>
      <c r="FA387" s="1087"/>
      <c r="FB387" s="1087"/>
      <c r="FC387" s="1087"/>
      <c r="FD387" s="1087"/>
      <c r="FE387" s="1087"/>
      <c r="FF387" s="1087"/>
      <c r="FG387" s="1087"/>
      <c r="FH387" s="1087"/>
      <c r="FI387" s="1087"/>
      <c r="FJ387" s="1087"/>
      <c r="FK387" s="1087"/>
      <c r="FL387" s="1087"/>
      <c r="FM387" s="1087"/>
      <c r="FN387" s="1087"/>
      <c r="FO387" s="1087"/>
      <c r="FP387" s="1087"/>
      <c r="FQ387" s="1087"/>
      <c r="FR387" s="1087"/>
      <c r="FS387" s="1087"/>
      <c r="FT387" s="1087"/>
      <c r="FU387" s="1087"/>
      <c r="FV387" s="1087"/>
      <c r="FW387" s="1087"/>
      <c r="FX387" s="1087"/>
      <c r="FY387" s="1087"/>
      <c r="FZ387" s="1087"/>
      <c r="GA387" s="1087"/>
      <c r="GB387" s="1087"/>
      <c r="GC387" s="1087"/>
      <c r="GD387" s="1087"/>
      <c r="GE387" s="1087"/>
      <c r="GF387" s="1087"/>
      <c r="GG387" s="1087"/>
      <c r="GH387" s="1087"/>
      <c r="GI387" s="1087"/>
      <c r="GJ387" s="1087"/>
      <c r="GK387" s="1087"/>
      <c r="GL387" s="1087"/>
      <c r="GM387" s="1087"/>
      <c r="GN387" s="1087"/>
      <c r="GO387" s="1087"/>
      <c r="GP387" s="1087"/>
      <c r="GQ387" s="1087"/>
      <c r="GR387" s="1087"/>
      <c r="GS387" s="1087"/>
      <c r="GT387" s="1087"/>
      <c r="GU387" s="1087"/>
      <c r="GV387" s="1087"/>
      <c r="GW387" s="1087"/>
      <c r="GX387" s="1087"/>
      <c r="GY387" s="1087"/>
      <c r="GZ387" s="1087"/>
      <c r="HA387" s="1087"/>
      <c r="HB387" s="1087"/>
      <c r="HC387" s="1087"/>
      <c r="HD387" s="1087"/>
      <c r="HE387" s="1087"/>
      <c r="HF387" s="1087"/>
      <c r="HG387" s="1087"/>
      <c r="HH387" s="1087"/>
      <c r="HI387" s="1087"/>
      <c r="HJ387" s="1087"/>
      <c r="HK387" s="1087"/>
      <c r="HL387" s="1087"/>
      <c r="HM387" s="1087"/>
      <c r="HN387" s="1087"/>
      <c r="HO387" s="1087"/>
      <c r="HP387" s="1087"/>
      <c r="HQ387" s="1087"/>
      <c r="HR387" s="1087"/>
      <c r="HS387" s="1087"/>
      <c r="HT387" s="1087"/>
      <c r="HU387" s="1087"/>
      <c r="HV387" s="1087"/>
      <c r="HW387" s="1087"/>
      <c r="HX387" s="1087"/>
      <c r="HY387" s="1087"/>
      <c r="HZ387" s="1087"/>
      <c r="IA387" s="1087"/>
      <c r="IB387" s="1087"/>
      <c r="IC387" s="1087"/>
      <c r="ID387" s="1087"/>
      <c r="IE387" s="1087"/>
      <c r="IF387" s="1087"/>
      <c r="IG387" s="1087"/>
      <c r="IH387" s="1087"/>
      <c r="II387" s="1087"/>
      <c r="IJ387" s="1087"/>
      <c r="IK387" s="1087"/>
      <c r="IL387" s="1087"/>
      <c r="IM387" s="1087"/>
      <c r="IN387" s="1087"/>
      <c r="IO387" s="1087"/>
      <c r="IP387" s="1087"/>
      <c r="IQ387" s="1087"/>
      <c r="IR387" s="1087"/>
      <c r="IS387" s="1087"/>
      <c r="IT387" s="1087"/>
      <c r="IU387" s="1087"/>
      <c r="IV387" s="1087"/>
      <c r="IW387" s="1087"/>
      <c r="IX387" s="1087"/>
      <c r="IY387" s="1087"/>
      <c r="IZ387" s="1087"/>
      <c r="JA387" s="1087"/>
      <c r="JB387" s="1087"/>
      <c r="JC387" s="1087"/>
      <c r="JD387" s="1087"/>
      <c r="JE387" s="1087"/>
      <c r="JF387" s="1087"/>
      <c r="JG387" s="1087"/>
      <c r="JH387" s="1087"/>
      <c r="JI387" s="1087"/>
      <c r="JJ387" s="1087"/>
      <c r="JK387" s="1087"/>
      <c r="JL387" s="1087"/>
      <c r="JM387" s="1087"/>
      <c r="JN387" s="1087"/>
      <c r="JO387" s="1087"/>
      <c r="JP387" s="1087"/>
      <c r="JQ387" s="1087"/>
      <c r="JR387" s="1087"/>
      <c r="JS387" s="1087"/>
      <c r="JT387" s="1087"/>
      <c r="JU387" s="1087"/>
      <c r="JV387" s="1087"/>
      <c r="JW387" s="1087"/>
      <c r="JX387" s="1087"/>
      <c r="JY387" s="1087"/>
      <c r="JZ387" s="1087"/>
      <c r="KA387" s="1087"/>
      <c r="KB387" s="1092"/>
    </row>
    <row r="388" spans="2:288" ht="15" customHeight="1" x14ac:dyDescent="0.35">
      <c r="B388" s="146" t="str">
        <f t="shared" si="30"/>
        <v>Desk 69</v>
      </c>
      <c r="C388" s="148" t="str">
        <v/>
      </c>
      <c r="D388" s="148" t="str">
        <v/>
      </c>
      <c r="E388" s="148" t="str">
        <v/>
      </c>
      <c r="F388" s="148" t="str">
        <v/>
      </c>
      <c r="G388" s="268" t="str">
        <v/>
      </c>
      <c r="H388" s="1087"/>
      <c r="I388" s="1087"/>
      <c r="J388" s="1087"/>
      <c r="K388" s="1087"/>
      <c r="L388" s="1087"/>
      <c r="M388" s="1087"/>
      <c r="N388" s="1087"/>
      <c r="O388" s="1087"/>
      <c r="P388" s="1087"/>
      <c r="Q388" s="1087"/>
      <c r="R388" s="1087"/>
      <c r="S388" s="1087"/>
      <c r="T388" s="1087"/>
      <c r="U388" s="1087"/>
      <c r="V388" s="1087"/>
      <c r="W388" s="1087"/>
      <c r="X388" s="1087"/>
      <c r="Y388" s="1087"/>
      <c r="Z388" s="1087"/>
      <c r="AA388" s="1087"/>
      <c r="AB388" s="1087"/>
      <c r="AC388" s="1087"/>
      <c r="AD388" s="1087"/>
      <c r="AE388" s="1087"/>
      <c r="AF388" s="1087"/>
      <c r="AG388" s="1087"/>
      <c r="AH388" s="1087"/>
      <c r="AI388" s="1087"/>
      <c r="AJ388" s="1087"/>
      <c r="AK388" s="1087"/>
      <c r="AL388" s="1087"/>
      <c r="AM388" s="1087"/>
      <c r="AN388" s="1087"/>
      <c r="AO388" s="1087"/>
      <c r="AP388" s="1087"/>
      <c r="AQ388" s="1087"/>
      <c r="AR388" s="1087"/>
      <c r="AS388" s="1087"/>
      <c r="AT388" s="1087"/>
      <c r="AU388" s="1087"/>
      <c r="AV388" s="1087"/>
      <c r="AW388" s="1087"/>
      <c r="AX388" s="1087"/>
      <c r="AY388" s="1087"/>
      <c r="AZ388" s="1087"/>
      <c r="BA388" s="1087"/>
      <c r="BB388" s="1087"/>
      <c r="BC388" s="1087"/>
      <c r="BD388" s="1087"/>
      <c r="BE388" s="1087"/>
      <c r="BF388" s="1087"/>
      <c r="BG388" s="1087"/>
      <c r="BH388" s="1087"/>
      <c r="BI388" s="1087"/>
      <c r="BJ388" s="1087"/>
      <c r="BK388" s="1087"/>
      <c r="BL388" s="1087"/>
      <c r="BM388" s="1087"/>
      <c r="BN388" s="1087"/>
      <c r="BO388" s="1087"/>
      <c r="BP388" s="1087"/>
      <c r="BQ388" s="1087"/>
      <c r="BR388" s="1087"/>
      <c r="BS388" s="1087"/>
      <c r="BT388" s="1087"/>
      <c r="BU388" s="1087"/>
      <c r="BV388" s="1087"/>
      <c r="BW388" s="1087"/>
      <c r="BX388" s="1087"/>
      <c r="BY388" s="1087"/>
      <c r="BZ388" s="1087"/>
      <c r="CA388" s="1087"/>
      <c r="CB388" s="1087"/>
      <c r="CC388" s="1087"/>
      <c r="CD388" s="1087"/>
      <c r="CE388" s="1087"/>
      <c r="CF388" s="1087"/>
      <c r="CG388" s="1087"/>
      <c r="CH388" s="1087"/>
      <c r="CI388" s="1087"/>
      <c r="CJ388" s="1087"/>
      <c r="CK388" s="1087"/>
      <c r="CL388" s="1087"/>
      <c r="CM388" s="1087"/>
      <c r="CN388" s="1087"/>
      <c r="CO388" s="1087"/>
      <c r="CP388" s="1087"/>
      <c r="CQ388" s="1087"/>
      <c r="CR388" s="1087"/>
      <c r="CS388" s="1087"/>
      <c r="CT388" s="1087"/>
      <c r="CU388" s="1087"/>
      <c r="CV388" s="1087"/>
      <c r="CW388" s="1087"/>
      <c r="CX388" s="1087"/>
      <c r="CY388" s="1087"/>
      <c r="CZ388" s="1087"/>
      <c r="DA388" s="1087"/>
      <c r="DB388" s="1087"/>
      <c r="DC388" s="1087"/>
      <c r="DD388" s="1087"/>
      <c r="DE388" s="1087"/>
      <c r="DF388" s="1087"/>
      <c r="DG388" s="1087"/>
      <c r="DH388" s="1087"/>
      <c r="DI388" s="1087"/>
      <c r="DJ388" s="1087"/>
      <c r="DK388" s="1087"/>
      <c r="DL388" s="1087"/>
      <c r="DM388" s="1087"/>
      <c r="DN388" s="1087"/>
      <c r="DO388" s="1087"/>
      <c r="DP388" s="1087"/>
      <c r="DQ388" s="1087"/>
      <c r="DR388" s="1087"/>
      <c r="DS388" s="1087"/>
      <c r="DT388" s="1087"/>
      <c r="DU388" s="1087"/>
      <c r="DV388" s="1087"/>
      <c r="DW388" s="1087"/>
      <c r="DX388" s="1087"/>
      <c r="DY388" s="1087"/>
      <c r="DZ388" s="1087"/>
      <c r="EA388" s="1087"/>
      <c r="EB388" s="1087"/>
      <c r="EC388" s="1087"/>
      <c r="ED388" s="1087"/>
      <c r="EE388" s="1087"/>
      <c r="EF388" s="1087"/>
      <c r="EG388" s="1087"/>
      <c r="EH388" s="1087"/>
      <c r="EI388" s="1087"/>
      <c r="EJ388" s="1087"/>
      <c r="EK388" s="1087"/>
      <c r="EL388" s="1087"/>
      <c r="EM388" s="1087"/>
      <c r="EN388" s="1087"/>
      <c r="EO388" s="1087"/>
      <c r="EP388" s="1087"/>
      <c r="EQ388" s="1087"/>
      <c r="ER388" s="1087"/>
      <c r="ES388" s="1087"/>
      <c r="ET388" s="1087"/>
      <c r="EU388" s="1087"/>
      <c r="EV388" s="1087"/>
      <c r="EW388" s="1087"/>
      <c r="EX388" s="1087"/>
      <c r="EY388" s="1087"/>
      <c r="EZ388" s="1087"/>
      <c r="FA388" s="1087"/>
      <c r="FB388" s="1087"/>
      <c r="FC388" s="1087"/>
      <c r="FD388" s="1087"/>
      <c r="FE388" s="1087"/>
      <c r="FF388" s="1087"/>
      <c r="FG388" s="1087"/>
      <c r="FH388" s="1087"/>
      <c r="FI388" s="1087"/>
      <c r="FJ388" s="1087"/>
      <c r="FK388" s="1087"/>
      <c r="FL388" s="1087"/>
      <c r="FM388" s="1087"/>
      <c r="FN388" s="1087"/>
      <c r="FO388" s="1087"/>
      <c r="FP388" s="1087"/>
      <c r="FQ388" s="1087"/>
      <c r="FR388" s="1087"/>
      <c r="FS388" s="1087"/>
      <c r="FT388" s="1087"/>
      <c r="FU388" s="1087"/>
      <c r="FV388" s="1087"/>
      <c r="FW388" s="1087"/>
      <c r="FX388" s="1087"/>
      <c r="FY388" s="1087"/>
      <c r="FZ388" s="1087"/>
      <c r="GA388" s="1087"/>
      <c r="GB388" s="1087"/>
      <c r="GC388" s="1087"/>
      <c r="GD388" s="1087"/>
      <c r="GE388" s="1087"/>
      <c r="GF388" s="1087"/>
      <c r="GG388" s="1087"/>
      <c r="GH388" s="1087"/>
      <c r="GI388" s="1087"/>
      <c r="GJ388" s="1087"/>
      <c r="GK388" s="1087"/>
      <c r="GL388" s="1087"/>
      <c r="GM388" s="1087"/>
      <c r="GN388" s="1087"/>
      <c r="GO388" s="1087"/>
      <c r="GP388" s="1087"/>
      <c r="GQ388" s="1087"/>
      <c r="GR388" s="1087"/>
      <c r="GS388" s="1087"/>
      <c r="GT388" s="1087"/>
      <c r="GU388" s="1087"/>
      <c r="GV388" s="1087"/>
      <c r="GW388" s="1087"/>
      <c r="GX388" s="1087"/>
      <c r="GY388" s="1087"/>
      <c r="GZ388" s="1087"/>
      <c r="HA388" s="1087"/>
      <c r="HB388" s="1087"/>
      <c r="HC388" s="1087"/>
      <c r="HD388" s="1087"/>
      <c r="HE388" s="1087"/>
      <c r="HF388" s="1087"/>
      <c r="HG388" s="1087"/>
      <c r="HH388" s="1087"/>
      <c r="HI388" s="1087"/>
      <c r="HJ388" s="1087"/>
      <c r="HK388" s="1087"/>
      <c r="HL388" s="1087"/>
      <c r="HM388" s="1087"/>
      <c r="HN388" s="1087"/>
      <c r="HO388" s="1087"/>
      <c r="HP388" s="1087"/>
      <c r="HQ388" s="1087"/>
      <c r="HR388" s="1087"/>
      <c r="HS388" s="1087"/>
      <c r="HT388" s="1087"/>
      <c r="HU388" s="1087"/>
      <c r="HV388" s="1087"/>
      <c r="HW388" s="1087"/>
      <c r="HX388" s="1087"/>
      <c r="HY388" s="1087"/>
      <c r="HZ388" s="1087"/>
      <c r="IA388" s="1087"/>
      <c r="IB388" s="1087"/>
      <c r="IC388" s="1087"/>
      <c r="ID388" s="1087"/>
      <c r="IE388" s="1087"/>
      <c r="IF388" s="1087"/>
      <c r="IG388" s="1087"/>
      <c r="IH388" s="1087"/>
      <c r="II388" s="1087"/>
      <c r="IJ388" s="1087"/>
      <c r="IK388" s="1087"/>
      <c r="IL388" s="1087"/>
      <c r="IM388" s="1087"/>
      <c r="IN388" s="1087"/>
      <c r="IO388" s="1087"/>
      <c r="IP388" s="1087"/>
      <c r="IQ388" s="1087"/>
      <c r="IR388" s="1087"/>
      <c r="IS388" s="1087"/>
      <c r="IT388" s="1087"/>
      <c r="IU388" s="1087"/>
      <c r="IV388" s="1087"/>
      <c r="IW388" s="1087"/>
      <c r="IX388" s="1087"/>
      <c r="IY388" s="1087"/>
      <c r="IZ388" s="1087"/>
      <c r="JA388" s="1087"/>
      <c r="JB388" s="1087"/>
      <c r="JC388" s="1087"/>
      <c r="JD388" s="1087"/>
      <c r="JE388" s="1087"/>
      <c r="JF388" s="1087"/>
      <c r="JG388" s="1087"/>
      <c r="JH388" s="1087"/>
      <c r="JI388" s="1087"/>
      <c r="JJ388" s="1087"/>
      <c r="JK388" s="1087"/>
      <c r="JL388" s="1087"/>
      <c r="JM388" s="1087"/>
      <c r="JN388" s="1087"/>
      <c r="JO388" s="1087"/>
      <c r="JP388" s="1087"/>
      <c r="JQ388" s="1087"/>
      <c r="JR388" s="1087"/>
      <c r="JS388" s="1087"/>
      <c r="JT388" s="1087"/>
      <c r="JU388" s="1087"/>
      <c r="JV388" s="1087"/>
      <c r="JW388" s="1087"/>
      <c r="JX388" s="1087"/>
      <c r="JY388" s="1087"/>
      <c r="JZ388" s="1087"/>
      <c r="KA388" s="1087"/>
      <c r="KB388" s="1092"/>
    </row>
    <row r="389" spans="2:288" ht="15" customHeight="1" x14ac:dyDescent="0.35">
      <c r="B389" s="146" t="str">
        <f t="shared" si="30"/>
        <v>Desk 70</v>
      </c>
      <c r="C389" s="148" t="str">
        <v/>
      </c>
      <c r="D389" s="148" t="str">
        <v/>
      </c>
      <c r="E389" s="148" t="str">
        <v/>
      </c>
      <c r="F389" s="148" t="str">
        <v/>
      </c>
      <c r="G389" s="268" t="str">
        <v/>
      </c>
      <c r="H389" s="1087"/>
      <c r="I389" s="1087"/>
      <c r="J389" s="1087"/>
      <c r="K389" s="1087"/>
      <c r="L389" s="1087"/>
      <c r="M389" s="1087"/>
      <c r="N389" s="1087"/>
      <c r="O389" s="1087"/>
      <c r="P389" s="1087"/>
      <c r="Q389" s="1087"/>
      <c r="R389" s="1087"/>
      <c r="S389" s="1087"/>
      <c r="T389" s="1087"/>
      <c r="U389" s="1087"/>
      <c r="V389" s="1087"/>
      <c r="W389" s="1087"/>
      <c r="X389" s="1087"/>
      <c r="Y389" s="1087"/>
      <c r="Z389" s="1087"/>
      <c r="AA389" s="1087"/>
      <c r="AB389" s="1087"/>
      <c r="AC389" s="1087"/>
      <c r="AD389" s="1087"/>
      <c r="AE389" s="1087"/>
      <c r="AF389" s="1087"/>
      <c r="AG389" s="1087"/>
      <c r="AH389" s="1087"/>
      <c r="AI389" s="1087"/>
      <c r="AJ389" s="1087"/>
      <c r="AK389" s="1087"/>
      <c r="AL389" s="1087"/>
      <c r="AM389" s="1087"/>
      <c r="AN389" s="1087"/>
      <c r="AO389" s="1087"/>
      <c r="AP389" s="1087"/>
      <c r="AQ389" s="1087"/>
      <c r="AR389" s="1087"/>
      <c r="AS389" s="1087"/>
      <c r="AT389" s="1087"/>
      <c r="AU389" s="1087"/>
      <c r="AV389" s="1087"/>
      <c r="AW389" s="1087"/>
      <c r="AX389" s="1087"/>
      <c r="AY389" s="1087"/>
      <c r="AZ389" s="1087"/>
      <c r="BA389" s="1087"/>
      <c r="BB389" s="1087"/>
      <c r="BC389" s="1087"/>
      <c r="BD389" s="1087"/>
      <c r="BE389" s="1087"/>
      <c r="BF389" s="1087"/>
      <c r="BG389" s="1087"/>
      <c r="BH389" s="1087"/>
      <c r="BI389" s="1087"/>
      <c r="BJ389" s="1087"/>
      <c r="BK389" s="1087"/>
      <c r="BL389" s="1087"/>
      <c r="BM389" s="1087"/>
      <c r="BN389" s="1087"/>
      <c r="BO389" s="1087"/>
      <c r="BP389" s="1087"/>
      <c r="BQ389" s="1087"/>
      <c r="BR389" s="1087"/>
      <c r="BS389" s="1087"/>
      <c r="BT389" s="1087"/>
      <c r="BU389" s="1087"/>
      <c r="BV389" s="1087"/>
      <c r="BW389" s="1087"/>
      <c r="BX389" s="1087"/>
      <c r="BY389" s="1087"/>
      <c r="BZ389" s="1087"/>
      <c r="CA389" s="1087"/>
      <c r="CB389" s="1087"/>
      <c r="CC389" s="1087"/>
      <c r="CD389" s="1087"/>
      <c r="CE389" s="1087"/>
      <c r="CF389" s="1087"/>
      <c r="CG389" s="1087"/>
      <c r="CH389" s="1087"/>
      <c r="CI389" s="1087"/>
      <c r="CJ389" s="1087"/>
      <c r="CK389" s="1087"/>
      <c r="CL389" s="1087"/>
      <c r="CM389" s="1087"/>
      <c r="CN389" s="1087"/>
      <c r="CO389" s="1087"/>
      <c r="CP389" s="1087"/>
      <c r="CQ389" s="1087"/>
      <c r="CR389" s="1087"/>
      <c r="CS389" s="1087"/>
      <c r="CT389" s="1087"/>
      <c r="CU389" s="1087"/>
      <c r="CV389" s="1087"/>
      <c r="CW389" s="1087"/>
      <c r="CX389" s="1087"/>
      <c r="CY389" s="1087"/>
      <c r="CZ389" s="1087"/>
      <c r="DA389" s="1087"/>
      <c r="DB389" s="1087"/>
      <c r="DC389" s="1087"/>
      <c r="DD389" s="1087"/>
      <c r="DE389" s="1087"/>
      <c r="DF389" s="1087"/>
      <c r="DG389" s="1087"/>
      <c r="DH389" s="1087"/>
      <c r="DI389" s="1087"/>
      <c r="DJ389" s="1087"/>
      <c r="DK389" s="1087"/>
      <c r="DL389" s="1087"/>
      <c r="DM389" s="1087"/>
      <c r="DN389" s="1087"/>
      <c r="DO389" s="1087"/>
      <c r="DP389" s="1087"/>
      <c r="DQ389" s="1087"/>
      <c r="DR389" s="1087"/>
      <c r="DS389" s="1087"/>
      <c r="DT389" s="1087"/>
      <c r="DU389" s="1087"/>
      <c r="DV389" s="1087"/>
      <c r="DW389" s="1087"/>
      <c r="DX389" s="1087"/>
      <c r="DY389" s="1087"/>
      <c r="DZ389" s="1087"/>
      <c r="EA389" s="1087"/>
      <c r="EB389" s="1087"/>
      <c r="EC389" s="1087"/>
      <c r="ED389" s="1087"/>
      <c r="EE389" s="1087"/>
      <c r="EF389" s="1087"/>
      <c r="EG389" s="1087"/>
      <c r="EH389" s="1087"/>
      <c r="EI389" s="1087"/>
      <c r="EJ389" s="1087"/>
      <c r="EK389" s="1087"/>
      <c r="EL389" s="1087"/>
      <c r="EM389" s="1087"/>
      <c r="EN389" s="1087"/>
      <c r="EO389" s="1087"/>
      <c r="EP389" s="1087"/>
      <c r="EQ389" s="1087"/>
      <c r="ER389" s="1087"/>
      <c r="ES389" s="1087"/>
      <c r="ET389" s="1087"/>
      <c r="EU389" s="1087"/>
      <c r="EV389" s="1087"/>
      <c r="EW389" s="1087"/>
      <c r="EX389" s="1087"/>
      <c r="EY389" s="1087"/>
      <c r="EZ389" s="1087"/>
      <c r="FA389" s="1087"/>
      <c r="FB389" s="1087"/>
      <c r="FC389" s="1087"/>
      <c r="FD389" s="1087"/>
      <c r="FE389" s="1087"/>
      <c r="FF389" s="1087"/>
      <c r="FG389" s="1087"/>
      <c r="FH389" s="1087"/>
      <c r="FI389" s="1087"/>
      <c r="FJ389" s="1087"/>
      <c r="FK389" s="1087"/>
      <c r="FL389" s="1087"/>
      <c r="FM389" s="1087"/>
      <c r="FN389" s="1087"/>
      <c r="FO389" s="1087"/>
      <c r="FP389" s="1087"/>
      <c r="FQ389" s="1087"/>
      <c r="FR389" s="1087"/>
      <c r="FS389" s="1087"/>
      <c r="FT389" s="1087"/>
      <c r="FU389" s="1087"/>
      <c r="FV389" s="1087"/>
      <c r="FW389" s="1087"/>
      <c r="FX389" s="1087"/>
      <c r="FY389" s="1087"/>
      <c r="FZ389" s="1087"/>
      <c r="GA389" s="1087"/>
      <c r="GB389" s="1087"/>
      <c r="GC389" s="1087"/>
      <c r="GD389" s="1087"/>
      <c r="GE389" s="1087"/>
      <c r="GF389" s="1087"/>
      <c r="GG389" s="1087"/>
      <c r="GH389" s="1087"/>
      <c r="GI389" s="1087"/>
      <c r="GJ389" s="1087"/>
      <c r="GK389" s="1087"/>
      <c r="GL389" s="1087"/>
      <c r="GM389" s="1087"/>
      <c r="GN389" s="1087"/>
      <c r="GO389" s="1087"/>
      <c r="GP389" s="1087"/>
      <c r="GQ389" s="1087"/>
      <c r="GR389" s="1087"/>
      <c r="GS389" s="1087"/>
      <c r="GT389" s="1087"/>
      <c r="GU389" s="1087"/>
      <c r="GV389" s="1087"/>
      <c r="GW389" s="1087"/>
      <c r="GX389" s="1087"/>
      <c r="GY389" s="1087"/>
      <c r="GZ389" s="1087"/>
      <c r="HA389" s="1087"/>
      <c r="HB389" s="1087"/>
      <c r="HC389" s="1087"/>
      <c r="HD389" s="1087"/>
      <c r="HE389" s="1087"/>
      <c r="HF389" s="1087"/>
      <c r="HG389" s="1087"/>
      <c r="HH389" s="1087"/>
      <c r="HI389" s="1087"/>
      <c r="HJ389" s="1087"/>
      <c r="HK389" s="1087"/>
      <c r="HL389" s="1087"/>
      <c r="HM389" s="1087"/>
      <c r="HN389" s="1087"/>
      <c r="HO389" s="1087"/>
      <c r="HP389" s="1087"/>
      <c r="HQ389" s="1087"/>
      <c r="HR389" s="1087"/>
      <c r="HS389" s="1087"/>
      <c r="HT389" s="1087"/>
      <c r="HU389" s="1087"/>
      <c r="HV389" s="1087"/>
      <c r="HW389" s="1087"/>
      <c r="HX389" s="1087"/>
      <c r="HY389" s="1087"/>
      <c r="HZ389" s="1087"/>
      <c r="IA389" s="1087"/>
      <c r="IB389" s="1087"/>
      <c r="IC389" s="1087"/>
      <c r="ID389" s="1087"/>
      <c r="IE389" s="1087"/>
      <c r="IF389" s="1087"/>
      <c r="IG389" s="1087"/>
      <c r="IH389" s="1087"/>
      <c r="II389" s="1087"/>
      <c r="IJ389" s="1087"/>
      <c r="IK389" s="1087"/>
      <c r="IL389" s="1087"/>
      <c r="IM389" s="1087"/>
      <c r="IN389" s="1087"/>
      <c r="IO389" s="1087"/>
      <c r="IP389" s="1087"/>
      <c r="IQ389" s="1087"/>
      <c r="IR389" s="1087"/>
      <c r="IS389" s="1087"/>
      <c r="IT389" s="1087"/>
      <c r="IU389" s="1087"/>
      <c r="IV389" s="1087"/>
      <c r="IW389" s="1087"/>
      <c r="IX389" s="1087"/>
      <c r="IY389" s="1087"/>
      <c r="IZ389" s="1087"/>
      <c r="JA389" s="1087"/>
      <c r="JB389" s="1087"/>
      <c r="JC389" s="1087"/>
      <c r="JD389" s="1087"/>
      <c r="JE389" s="1087"/>
      <c r="JF389" s="1087"/>
      <c r="JG389" s="1087"/>
      <c r="JH389" s="1087"/>
      <c r="JI389" s="1087"/>
      <c r="JJ389" s="1087"/>
      <c r="JK389" s="1087"/>
      <c r="JL389" s="1087"/>
      <c r="JM389" s="1087"/>
      <c r="JN389" s="1087"/>
      <c r="JO389" s="1087"/>
      <c r="JP389" s="1087"/>
      <c r="JQ389" s="1087"/>
      <c r="JR389" s="1087"/>
      <c r="JS389" s="1087"/>
      <c r="JT389" s="1087"/>
      <c r="JU389" s="1087"/>
      <c r="JV389" s="1087"/>
      <c r="JW389" s="1087"/>
      <c r="JX389" s="1087"/>
      <c r="JY389" s="1087"/>
      <c r="JZ389" s="1087"/>
      <c r="KA389" s="1087"/>
      <c r="KB389" s="1092"/>
    </row>
    <row r="390" spans="2:288" ht="15" customHeight="1" x14ac:dyDescent="0.35">
      <c r="B390" s="146" t="str">
        <f t="shared" si="30"/>
        <v>Desk 71</v>
      </c>
      <c r="C390" s="148" t="str">
        <v/>
      </c>
      <c r="D390" s="148" t="str">
        <v/>
      </c>
      <c r="E390" s="148" t="str">
        <v/>
      </c>
      <c r="F390" s="148" t="str">
        <v/>
      </c>
      <c r="G390" s="268" t="str">
        <v/>
      </c>
      <c r="H390" s="1087"/>
      <c r="I390" s="1087"/>
      <c r="J390" s="1087"/>
      <c r="K390" s="1087"/>
      <c r="L390" s="1087"/>
      <c r="M390" s="1087"/>
      <c r="N390" s="1087"/>
      <c r="O390" s="1087"/>
      <c r="P390" s="1087"/>
      <c r="Q390" s="1087"/>
      <c r="R390" s="1087"/>
      <c r="S390" s="1087"/>
      <c r="T390" s="1087"/>
      <c r="U390" s="1087"/>
      <c r="V390" s="1087"/>
      <c r="W390" s="1087"/>
      <c r="X390" s="1087"/>
      <c r="Y390" s="1087"/>
      <c r="Z390" s="1087"/>
      <c r="AA390" s="1087"/>
      <c r="AB390" s="1087"/>
      <c r="AC390" s="1087"/>
      <c r="AD390" s="1087"/>
      <c r="AE390" s="1087"/>
      <c r="AF390" s="1087"/>
      <c r="AG390" s="1087"/>
      <c r="AH390" s="1087"/>
      <c r="AI390" s="1087"/>
      <c r="AJ390" s="1087"/>
      <c r="AK390" s="1087"/>
      <c r="AL390" s="1087"/>
      <c r="AM390" s="1087"/>
      <c r="AN390" s="1087"/>
      <c r="AO390" s="1087"/>
      <c r="AP390" s="1087"/>
      <c r="AQ390" s="1087"/>
      <c r="AR390" s="1087"/>
      <c r="AS390" s="1087"/>
      <c r="AT390" s="1087"/>
      <c r="AU390" s="1087"/>
      <c r="AV390" s="1087"/>
      <c r="AW390" s="1087"/>
      <c r="AX390" s="1087"/>
      <c r="AY390" s="1087"/>
      <c r="AZ390" s="1087"/>
      <c r="BA390" s="1087"/>
      <c r="BB390" s="1087"/>
      <c r="BC390" s="1087"/>
      <c r="BD390" s="1087"/>
      <c r="BE390" s="1087"/>
      <c r="BF390" s="1087"/>
      <c r="BG390" s="1087"/>
      <c r="BH390" s="1087"/>
      <c r="BI390" s="1087"/>
      <c r="BJ390" s="1087"/>
      <c r="BK390" s="1087"/>
      <c r="BL390" s="1087"/>
      <c r="BM390" s="1087"/>
      <c r="BN390" s="1087"/>
      <c r="BO390" s="1087"/>
      <c r="BP390" s="1087"/>
      <c r="BQ390" s="1087"/>
      <c r="BR390" s="1087"/>
      <c r="BS390" s="1087"/>
      <c r="BT390" s="1087"/>
      <c r="BU390" s="1087"/>
      <c r="BV390" s="1087"/>
      <c r="BW390" s="1087"/>
      <c r="BX390" s="1087"/>
      <c r="BY390" s="1087"/>
      <c r="BZ390" s="1087"/>
      <c r="CA390" s="1087"/>
      <c r="CB390" s="1087"/>
      <c r="CC390" s="1087"/>
      <c r="CD390" s="1087"/>
      <c r="CE390" s="1087"/>
      <c r="CF390" s="1087"/>
      <c r="CG390" s="1087"/>
      <c r="CH390" s="1087"/>
      <c r="CI390" s="1087"/>
      <c r="CJ390" s="1087"/>
      <c r="CK390" s="1087"/>
      <c r="CL390" s="1087"/>
      <c r="CM390" s="1087"/>
      <c r="CN390" s="1087"/>
      <c r="CO390" s="1087"/>
      <c r="CP390" s="1087"/>
      <c r="CQ390" s="1087"/>
      <c r="CR390" s="1087"/>
      <c r="CS390" s="1087"/>
      <c r="CT390" s="1087"/>
      <c r="CU390" s="1087"/>
      <c r="CV390" s="1087"/>
      <c r="CW390" s="1087"/>
      <c r="CX390" s="1087"/>
      <c r="CY390" s="1087"/>
      <c r="CZ390" s="1087"/>
      <c r="DA390" s="1087"/>
      <c r="DB390" s="1087"/>
      <c r="DC390" s="1087"/>
      <c r="DD390" s="1087"/>
      <c r="DE390" s="1087"/>
      <c r="DF390" s="1087"/>
      <c r="DG390" s="1087"/>
      <c r="DH390" s="1087"/>
      <c r="DI390" s="1087"/>
      <c r="DJ390" s="1087"/>
      <c r="DK390" s="1087"/>
      <c r="DL390" s="1087"/>
      <c r="DM390" s="1087"/>
      <c r="DN390" s="1087"/>
      <c r="DO390" s="1087"/>
      <c r="DP390" s="1087"/>
      <c r="DQ390" s="1087"/>
      <c r="DR390" s="1087"/>
      <c r="DS390" s="1087"/>
      <c r="DT390" s="1087"/>
      <c r="DU390" s="1087"/>
      <c r="DV390" s="1087"/>
      <c r="DW390" s="1087"/>
      <c r="DX390" s="1087"/>
      <c r="DY390" s="1087"/>
      <c r="DZ390" s="1087"/>
      <c r="EA390" s="1087"/>
      <c r="EB390" s="1087"/>
      <c r="EC390" s="1087"/>
      <c r="ED390" s="1087"/>
      <c r="EE390" s="1087"/>
      <c r="EF390" s="1087"/>
      <c r="EG390" s="1087"/>
      <c r="EH390" s="1087"/>
      <c r="EI390" s="1087"/>
      <c r="EJ390" s="1087"/>
      <c r="EK390" s="1087"/>
      <c r="EL390" s="1087"/>
      <c r="EM390" s="1087"/>
      <c r="EN390" s="1087"/>
      <c r="EO390" s="1087"/>
      <c r="EP390" s="1087"/>
      <c r="EQ390" s="1087"/>
      <c r="ER390" s="1087"/>
      <c r="ES390" s="1087"/>
      <c r="ET390" s="1087"/>
      <c r="EU390" s="1087"/>
      <c r="EV390" s="1087"/>
      <c r="EW390" s="1087"/>
      <c r="EX390" s="1087"/>
      <c r="EY390" s="1087"/>
      <c r="EZ390" s="1087"/>
      <c r="FA390" s="1087"/>
      <c r="FB390" s="1087"/>
      <c r="FC390" s="1087"/>
      <c r="FD390" s="1087"/>
      <c r="FE390" s="1087"/>
      <c r="FF390" s="1087"/>
      <c r="FG390" s="1087"/>
      <c r="FH390" s="1087"/>
      <c r="FI390" s="1087"/>
      <c r="FJ390" s="1087"/>
      <c r="FK390" s="1087"/>
      <c r="FL390" s="1087"/>
      <c r="FM390" s="1087"/>
      <c r="FN390" s="1087"/>
      <c r="FO390" s="1087"/>
      <c r="FP390" s="1087"/>
      <c r="FQ390" s="1087"/>
      <c r="FR390" s="1087"/>
      <c r="FS390" s="1087"/>
      <c r="FT390" s="1087"/>
      <c r="FU390" s="1087"/>
      <c r="FV390" s="1087"/>
      <c r="FW390" s="1087"/>
      <c r="FX390" s="1087"/>
      <c r="FY390" s="1087"/>
      <c r="FZ390" s="1087"/>
      <c r="GA390" s="1087"/>
      <c r="GB390" s="1087"/>
      <c r="GC390" s="1087"/>
      <c r="GD390" s="1087"/>
      <c r="GE390" s="1087"/>
      <c r="GF390" s="1087"/>
      <c r="GG390" s="1087"/>
      <c r="GH390" s="1087"/>
      <c r="GI390" s="1087"/>
      <c r="GJ390" s="1087"/>
      <c r="GK390" s="1087"/>
      <c r="GL390" s="1087"/>
      <c r="GM390" s="1087"/>
      <c r="GN390" s="1087"/>
      <c r="GO390" s="1087"/>
      <c r="GP390" s="1087"/>
      <c r="GQ390" s="1087"/>
      <c r="GR390" s="1087"/>
      <c r="GS390" s="1087"/>
      <c r="GT390" s="1087"/>
      <c r="GU390" s="1087"/>
      <c r="GV390" s="1087"/>
      <c r="GW390" s="1087"/>
      <c r="GX390" s="1087"/>
      <c r="GY390" s="1087"/>
      <c r="GZ390" s="1087"/>
      <c r="HA390" s="1087"/>
      <c r="HB390" s="1087"/>
      <c r="HC390" s="1087"/>
      <c r="HD390" s="1087"/>
      <c r="HE390" s="1087"/>
      <c r="HF390" s="1087"/>
      <c r="HG390" s="1087"/>
      <c r="HH390" s="1087"/>
      <c r="HI390" s="1087"/>
      <c r="HJ390" s="1087"/>
      <c r="HK390" s="1087"/>
      <c r="HL390" s="1087"/>
      <c r="HM390" s="1087"/>
      <c r="HN390" s="1087"/>
      <c r="HO390" s="1087"/>
      <c r="HP390" s="1087"/>
      <c r="HQ390" s="1087"/>
      <c r="HR390" s="1087"/>
      <c r="HS390" s="1087"/>
      <c r="HT390" s="1087"/>
      <c r="HU390" s="1087"/>
      <c r="HV390" s="1087"/>
      <c r="HW390" s="1087"/>
      <c r="HX390" s="1087"/>
      <c r="HY390" s="1087"/>
      <c r="HZ390" s="1087"/>
      <c r="IA390" s="1087"/>
      <c r="IB390" s="1087"/>
      <c r="IC390" s="1087"/>
      <c r="ID390" s="1087"/>
      <c r="IE390" s="1087"/>
      <c r="IF390" s="1087"/>
      <c r="IG390" s="1087"/>
      <c r="IH390" s="1087"/>
      <c r="II390" s="1087"/>
      <c r="IJ390" s="1087"/>
      <c r="IK390" s="1087"/>
      <c r="IL390" s="1087"/>
      <c r="IM390" s="1087"/>
      <c r="IN390" s="1087"/>
      <c r="IO390" s="1087"/>
      <c r="IP390" s="1087"/>
      <c r="IQ390" s="1087"/>
      <c r="IR390" s="1087"/>
      <c r="IS390" s="1087"/>
      <c r="IT390" s="1087"/>
      <c r="IU390" s="1087"/>
      <c r="IV390" s="1087"/>
      <c r="IW390" s="1087"/>
      <c r="IX390" s="1087"/>
      <c r="IY390" s="1087"/>
      <c r="IZ390" s="1087"/>
      <c r="JA390" s="1087"/>
      <c r="JB390" s="1087"/>
      <c r="JC390" s="1087"/>
      <c r="JD390" s="1087"/>
      <c r="JE390" s="1087"/>
      <c r="JF390" s="1087"/>
      <c r="JG390" s="1087"/>
      <c r="JH390" s="1087"/>
      <c r="JI390" s="1087"/>
      <c r="JJ390" s="1087"/>
      <c r="JK390" s="1087"/>
      <c r="JL390" s="1087"/>
      <c r="JM390" s="1087"/>
      <c r="JN390" s="1087"/>
      <c r="JO390" s="1087"/>
      <c r="JP390" s="1087"/>
      <c r="JQ390" s="1087"/>
      <c r="JR390" s="1087"/>
      <c r="JS390" s="1087"/>
      <c r="JT390" s="1087"/>
      <c r="JU390" s="1087"/>
      <c r="JV390" s="1087"/>
      <c r="JW390" s="1087"/>
      <c r="JX390" s="1087"/>
      <c r="JY390" s="1087"/>
      <c r="JZ390" s="1087"/>
      <c r="KA390" s="1087"/>
      <c r="KB390" s="1092"/>
    </row>
    <row r="391" spans="2:288" ht="15" customHeight="1" x14ac:dyDescent="0.35">
      <c r="B391" s="146" t="str">
        <f t="shared" si="30"/>
        <v>Desk 72</v>
      </c>
      <c r="C391" s="148" t="str">
        <v/>
      </c>
      <c r="D391" s="148" t="str">
        <v/>
      </c>
      <c r="E391" s="148" t="str">
        <v/>
      </c>
      <c r="F391" s="148" t="str">
        <v/>
      </c>
      <c r="G391" s="268" t="str">
        <v/>
      </c>
      <c r="H391" s="1087"/>
      <c r="I391" s="1087"/>
      <c r="J391" s="1087"/>
      <c r="K391" s="1087"/>
      <c r="L391" s="1087"/>
      <c r="M391" s="1087"/>
      <c r="N391" s="1087"/>
      <c r="O391" s="1087"/>
      <c r="P391" s="1087"/>
      <c r="Q391" s="1087"/>
      <c r="R391" s="1087"/>
      <c r="S391" s="1087"/>
      <c r="T391" s="1087"/>
      <c r="U391" s="1087"/>
      <c r="V391" s="1087"/>
      <c r="W391" s="1087"/>
      <c r="X391" s="1087"/>
      <c r="Y391" s="1087"/>
      <c r="Z391" s="1087"/>
      <c r="AA391" s="1087"/>
      <c r="AB391" s="1087"/>
      <c r="AC391" s="1087"/>
      <c r="AD391" s="1087"/>
      <c r="AE391" s="1087"/>
      <c r="AF391" s="1087"/>
      <c r="AG391" s="1087"/>
      <c r="AH391" s="1087"/>
      <c r="AI391" s="1087"/>
      <c r="AJ391" s="1087"/>
      <c r="AK391" s="1087"/>
      <c r="AL391" s="1087"/>
      <c r="AM391" s="1087"/>
      <c r="AN391" s="1087"/>
      <c r="AO391" s="1087"/>
      <c r="AP391" s="1087"/>
      <c r="AQ391" s="1087"/>
      <c r="AR391" s="1087"/>
      <c r="AS391" s="1087"/>
      <c r="AT391" s="1087"/>
      <c r="AU391" s="1087"/>
      <c r="AV391" s="1087"/>
      <c r="AW391" s="1087"/>
      <c r="AX391" s="1087"/>
      <c r="AY391" s="1087"/>
      <c r="AZ391" s="1087"/>
      <c r="BA391" s="1087"/>
      <c r="BB391" s="1087"/>
      <c r="BC391" s="1087"/>
      <c r="BD391" s="1087"/>
      <c r="BE391" s="1087"/>
      <c r="BF391" s="1087"/>
      <c r="BG391" s="1087"/>
      <c r="BH391" s="1087"/>
      <c r="BI391" s="1087"/>
      <c r="BJ391" s="1087"/>
      <c r="BK391" s="1087"/>
      <c r="BL391" s="1087"/>
      <c r="BM391" s="1087"/>
      <c r="BN391" s="1087"/>
      <c r="BO391" s="1087"/>
      <c r="BP391" s="1087"/>
      <c r="BQ391" s="1087"/>
      <c r="BR391" s="1087"/>
      <c r="BS391" s="1087"/>
      <c r="BT391" s="1087"/>
      <c r="BU391" s="1087"/>
      <c r="BV391" s="1087"/>
      <c r="BW391" s="1087"/>
      <c r="BX391" s="1087"/>
      <c r="BY391" s="1087"/>
      <c r="BZ391" s="1087"/>
      <c r="CA391" s="1087"/>
      <c r="CB391" s="1087"/>
      <c r="CC391" s="1087"/>
      <c r="CD391" s="1087"/>
      <c r="CE391" s="1087"/>
      <c r="CF391" s="1087"/>
      <c r="CG391" s="1087"/>
      <c r="CH391" s="1087"/>
      <c r="CI391" s="1087"/>
      <c r="CJ391" s="1087"/>
      <c r="CK391" s="1087"/>
      <c r="CL391" s="1087"/>
      <c r="CM391" s="1087"/>
      <c r="CN391" s="1087"/>
      <c r="CO391" s="1087"/>
      <c r="CP391" s="1087"/>
      <c r="CQ391" s="1087"/>
      <c r="CR391" s="1087"/>
      <c r="CS391" s="1087"/>
      <c r="CT391" s="1087"/>
      <c r="CU391" s="1087"/>
      <c r="CV391" s="1087"/>
      <c r="CW391" s="1087"/>
      <c r="CX391" s="1087"/>
      <c r="CY391" s="1087"/>
      <c r="CZ391" s="1087"/>
      <c r="DA391" s="1087"/>
      <c r="DB391" s="1087"/>
      <c r="DC391" s="1087"/>
      <c r="DD391" s="1087"/>
      <c r="DE391" s="1087"/>
      <c r="DF391" s="1087"/>
      <c r="DG391" s="1087"/>
      <c r="DH391" s="1087"/>
      <c r="DI391" s="1087"/>
      <c r="DJ391" s="1087"/>
      <c r="DK391" s="1087"/>
      <c r="DL391" s="1087"/>
      <c r="DM391" s="1087"/>
      <c r="DN391" s="1087"/>
      <c r="DO391" s="1087"/>
      <c r="DP391" s="1087"/>
      <c r="DQ391" s="1087"/>
      <c r="DR391" s="1087"/>
      <c r="DS391" s="1087"/>
      <c r="DT391" s="1087"/>
      <c r="DU391" s="1087"/>
      <c r="DV391" s="1087"/>
      <c r="DW391" s="1087"/>
      <c r="DX391" s="1087"/>
      <c r="DY391" s="1087"/>
      <c r="DZ391" s="1087"/>
      <c r="EA391" s="1087"/>
      <c r="EB391" s="1087"/>
      <c r="EC391" s="1087"/>
      <c r="ED391" s="1087"/>
      <c r="EE391" s="1087"/>
      <c r="EF391" s="1087"/>
      <c r="EG391" s="1087"/>
      <c r="EH391" s="1087"/>
      <c r="EI391" s="1087"/>
      <c r="EJ391" s="1087"/>
      <c r="EK391" s="1087"/>
      <c r="EL391" s="1087"/>
      <c r="EM391" s="1087"/>
      <c r="EN391" s="1087"/>
      <c r="EO391" s="1087"/>
      <c r="EP391" s="1087"/>
      <c r="EQ391" s="1087"/>
      <c r="ER391" s="1087"/>
      <c r="ES391" s="1087"/>
      <c r="ET391" s="1087"/>
      <c r="EU391" s="1087"/>
      <c r="EV391" s="1087"/>
      <c r="EW391" s="1087"/>
      <c r="EX391" s="1087"/>
      <c r="EY391" s="1087"/>
      <c r="EZ391" s="1087"/>
      <c r="FA391" s="1087"/>
      <c r="FB391" s="1087"/>
      <c r="FC391" s="1087"/>
      <c r="FD391" s="1087"/>
      <c r="FE391" s="1087"/>
      <c r="FF391" s="1087"/>
      <c r="FG391" s="1087"/>
      <c r="FH391" s="1087"/>
      <c r="FI391" s="1087"/>
      <c r="FJ391" s="1087"/>
      <c r="FK391" s="1087"/>
      <c r="FL391" s="1087"/>
      <c r="FM391" s="1087"/>
      <c r="FN391" s="1087"/>
      <c r="FO391" s="1087"/>
      <c r="FP391" s="1087"/>
      <c r="FQ391" s="1087"/>
      <c r="FR391" s="1087"/>
      <c r="FS391" s="1087"/>
      <c r="FT391" s="1087"/>
      <c r="FU391" s="1087"/>
      <c r="FV391" s="1087"/>
      <c r="FW391" s="1087"/>
      <c r="FX391" s="1087"/>
      <c r="FY391" s="1087"/>
      <c r="FZ391" s="1087"/>
      <c r="GA391" s="1087"/>
      <c r="GB391" s="1087"/>
      <c r="GC391" s="1087"/>
      <c r="GD391" s="1087"/>
      <c r="GE391" s="1087"/>
      <c r="GF391" s="1087"/>
      <c r="GG391" s="1087"/>
      <c r="GH391" s="1087"/>
      <c r="GI391" s="1087"/>
      <c r="GJ391" s="1087"/>
      <c r="GK391" s="1087"/>
      <c r="GL391" s="1087"/>
      <c r="GM391" s="1087"/>
      <c r="GN391" s="1087"/>
      <c r="GO391" s="1087"/>
      <c r="GP391" s="1087"/>
      <c r="GQ391" s="1087"/>
      <c r="GR391" s="1087"/>
      <c r="GS391" s="1087"/>
      <c r="GT391" s="1087"/>
      <c r="GU391" s="1087"/>
      <c r="GV391" s="1087"/>
      <c r="GW391" s="1087"/>
      <c r="GX391" s="1087"/>
      <c r="GY391" s="1087"/>
      <c r="GZ391" s="1087"/>
      <c r="HA391" s="1087"/>
      <c r="HB391" s="1087"/>
      <c r="HC391" s="1087"/>
      <c r="HD391" s="1087"/>
      <c r="HE391" s="1087"/>
      <c r="HF391" s="1087"/>
      <c r="HG391" s="1087"/>
      <c r="HH391" s="1087"/>
      <c r="HI391" s="1087"/>
      <c r="HJ391" s="1087"/>
      <c r="HK391" s="1087"/>
      <c r="HL391" s="1087"/>
      <c r="HM391" s="1087"/>
      <c r="HN391" s="1087"/>
      <c r="HO391" s="1087"/>
      <c r="HP391" s="1087"/>
      <c r="HQ391" s="1087"/>
      <c r="HR391" s="1087"/>
      <c r="HS391" s="1087"/>
      <c r="HT391" s="1087"/>
      <c r="HU391" s="1087"/>
      <c r="HV391" s="1087"/>
      <c r="HW391" s="1087"/>
      <c r="HX391" s="1087"/>
      <c r="HY391" s="1087"/>
      <c r="HZ391" s="1087"/>
      <c r="IA391" s="1087"/>
      <c r="IB391" s="1087"/>
      <c r="IC391" s="1087"/>
      <c r="ID391" s="1087"/>
      <c r="IE391" s="1087"/>
      <c r="IF391" s="1087"/>
      <c r="IG391" s="1087"/>
      <c r="IH391" s="1087"/>
      <c r="II391" s="1087"/>
      <c r="IJ391" s="1087"/>
      <c r="IK391" s="1087"/>
      <c r="IL391" s="1087"/>
      <c r="IM391" s="1087"/>
      <c r="IN391" s="1087"/>
      <c r="IO391" s="1087"/>
      <c r="IP391" s="1087"/>
      <c r="IQ391" s="1087"/>
      <c r="IR391" s="1087"/>
      <c r="IS391" s="1087"/>
      <c r="IT391" s="1087"/>
      <c r="IU391" s="1087"/>
      <c r="IV391" s="1087"/>
      <c r="IW391" s="1087"/>
      <c r="IX391" s="1087"/>
      <c r="IY391" s="1087"/>
      <c r="IZ391" s="1087"/>
      <c r="JA391" s="1087"/>
      <c r="JB391" s="1087"/>
      <c r="JC391" s="1087"/>
      <c r="JD391" s="1087"/>
      <c r="JE391" s="1087"/>
      <c r="JF391" s="1087"/>
      <c r="JG391" s="1087"/>
      <c r="JH391" s="1087"/>
      <c r="JI391" s="1087"/>
      <c r="JJ391" s="1087"/>
      <c r="JK391" s="1087"/>
      <c r="JL391" s="1087"/>
      <c r="JM391" s="1087"/>
      <c r="JN391" s="1087"/>
      <c r="JO391" s="1087"/>
      <c r="JP391" s="1087"/>
      <c r="JQ391" s="1087"/>
      <c r="JR391" s="1087"/>
      <c r="JS391" s="1087"/>
      <c r="JT391" s="1087"/>
      <c r="JU391" s="1087"/>
      <c r="JV391" s="1087"/>
      <c r="JW391" s="1087"/>
      <c r="JX391" s="1087"/>
      <c r="JY391" s="1087"/>
      <c r="JZ391" s="1087"/>
      <c r="KA391" s="1087"/>
      <c r="KB391" s="1092"/>
    </row>
    <row r="392" spans="2:288" ht="15" customHeight="1" x14ac:dyDescent="0.35">
      <c r="B392" s="146" t="str">
        <f t="shared" si="30"/>
        <v>Desk 73</v>
      </c>
      <c r="C392" s="148" t="str">
        <v/>
      </c>
      <c r="D392" s="148" t="str">
        <v/>
      </c>
      <c r="E392" s="148" t="str">
        <v/>
      </c>
      <c r="F392" s="148" t="str">
        <v/>
      </c>
      <c r="G392" s="268" t="str">
        <v/>
      </c>
      <c r="H392" s="1087"/>
      <c r="I392" s="1087"/>
      <c r="J392" s="1087"/>
      <c r="K392" s="1087"/>
      <c r="L392" s="1087"/>
      <c r="M392" s="1087"/>
      <c r="N392" s="1087"/>
      <c r="O392" s="1087"/>
      <c r="P392" s="1087"/>
      <c r="Q392" s="1087"/>
      <c r="R392" s="1087"/>
      <c r="S392" s="1087"/>
      <c r="T392" s="1087"/>
      <c r="U392" s="1087"/>
      <c r="V392" s="1087"/>
      <c r="W392" s="1087"/>
      <c r="X392" s="1087"/>
      <c r="Y392" s="1087"/>
      <c r="Z392" s="1087"/>
      <c r="AA392" s="1087"/>
      <c r="AB392" s="1087"/>
      <c r="AC392" s="1087"/>
      <c r="AD392" s="1087"/>
      <c r="AE392" s="1087"/>
      <c r="AF392" s="1087"/>
      <c r="AG392" s="1087"/>
      <c r="AH392" s="1087"/>
      <c r="AI392" s="1087"/>
      <c r="AJ392" s="1087"/>
      <c r="AK392" s="1087"/>
      <c r="AL392" s="1087"/>
      <c r="AM392" s="1087"/>
      <c r="AN392" s="1087"/>
      <c r="AO392" s="1087"/>
      <c r="AP392" s="1087"/>
      <c r="AQ392" s="1087"/>
      <c r="AR392" s="1087"/>
      <c r="AS392" s="1087"/>
      <c r="AT392" s="1087"/>
      <c r="AU392" s="1087"/>
      <c r="AV392" s="1087"/>
      <c r="AW392" s="1087"/>
      <c r="AX392" s="1087"/>
      <c r="AY392" s="1087"/>
      <c r="AZ392" s="1087"/>
      <c r="BA392" s="1087"/>
      <c r="BB392" s="1087"/>
      <c r="BC392" s="1087"/>
      <c r="BD392" s="1087"/>
      <c r="BE392" s="1087"/>
      <c r="BF392" s="1087"/>
      <c r="BG392" s="1087"/>
      <c r="BH392" s="1087"/>
      <c r="BI392" s="1087"/>
      <c r="BJ392" s="1087"/>
      <c r="BK392" s="1087"/>
      <c r="BL392" s="1087"/>
      <c r="BM392" s="1087"/>
      <c r="BN392" s="1087"/>
      <c r="BO392" s="1087"/>
      <c r="BP392" s="1087"/>
      <c r="BQ392" s="1087"/>
      <c r="BR392" s="1087"/>
      <c r="BS392" s="1087"/>
      <c r="BT392" s="1087"/>
      <c r="BU392" s="1087"/>
      <c r="BV392" s="1087"/>
      <c r="BW392" s="1087"/>
      <c r="BX392" s="1087"/>
      <c r="BY392" s="1087"/>
      <c r="BZ392" s="1087"/>
      <c r="CA392" s="1087"/>
      <c r="CB392" s="1087"/>
      <c r="CC392" s="1087"/>
      <c r="CD392" s="1087"/>
      <c r="CE392" s="1087"/>
      <c r="CF392" s="1087"/>
      <c r="CG392" s="1087"/>
      <c r="CH392" s="1087"/>
      <c r="CI392" s="1087"/>
      <c r="CJ392" s="1087"/>
      <c r="CK392" s="1087"/>
      <c r="CL392" s="1087"/>
      <c r="CM392" s="1087"/>
      <c r="CN392" s="1087"/>
      <c r="CO392" s="1087"/>
      <c r="CP392" s="1087"/>
      <c r="CQ392" s="1087"/>
      <c r="CR392" s="1087"/>
      <c r="CS392" s="1087"/>
      <c r="CT392" s="1087"/>
      <c r="CU392" s="1087"/>
      <c r="CV392" s="1087"/>
      <c r="CW392" s="1087"/>
      <c r="CX392" s="1087"/>
      <c r="CY392" s="1087"/>
      <c r="CZ392" s="1087"/>
      <c r="DA392" s="1087"/>
      <c r="DB392" s="1087"/>
      <c r="DC392" s="1087"/>
      <c r="DD392" s="1087"/>
      <c r="DE392" s="1087"/>
      <c r="DF392" s="1087"/>
      <c r="DG392" s="1087"/>
      <c r="DH392" s="1087"/>
      <c r="DI392" s="1087"/>
      <c r="DJ392" s="1087"/>
      <c r="DK392" s="1087"/>
      <c r="DL392" s="1087"/>
      <c r="DM392" s="1087"/>
      <c r="DN392" s="1087"/>
      <c r="DO392" s="1087"/>
      <c r="DP392" s="1087"/>
      <c r="DQ392" s="1087"/>
      <c r="DR392" s="1087"/>
      <c r="DS392" s="1087"/>
      <c r="DT392" s="1087"/>
      <c r="DU392" s="1087"/>
      <c r="DV392" s="1087"/>
      <c r="DW392" s="1087"/>
      <c r="DX392" s="1087"/>
      <c r="DY392" s="1087"/>
      <c r="DZ392" s="1087"/>
      <c r="EA392" s="1087"/>
      <c r="EB392" s="1087"/>
      <c r="EC392" s="1087"/>
      <c r="ED392" s="1087"/>
      <c r="EE392" s="1087"/>
      <c r="EF392" s="1087"/>
      <c r="EG392" s="1087"/>
      <c r="EH392" s="1087"/>
      <c r="EI392" s="1087"/>
      <c r="EJ392" s="1087"/>
      <c r="EK392" s="1087"/>
      <c r="EL392" s="1087"/>
      <c r="EM392" s="1087"/>
      <c r="EN392" s="1087"/>
      <c r="EO392" s="1087"/>
      <c r="EP392" s="1087"/>
      <c r="EQ392" s="1087"/>
      <c r="ER392" s="1087"/>
      <c r="ES392" s="1087"/>
      <c r="ET392" s="1087"/>
      <c r="EU392" s="1087"/>
      <c r="EV392" s="1087"/>
      <c r="EW392" s="1087"/>
      <c r="EX392" s="1087"/>
      <c r="EY392" s="1087"/>
      <c r="EZ392" s="1087"/>
      <c r="FA392" s="1087"/>
      <c r="FB392" s="1087"/>
      <c r="FC392" s="1087"/>
      <c r="FD392" s="1087"/>
      <c r="FE392" s="1087"/>
      <c r="FF392" s="1087"/>
      <c r="FG392" s="1087"/>
      <c r="FH392" s="1087"/>
      <c r="FI392" s="1087"/>
      <c r="FJ392" s="1087"/>
      <c r="FK392" s="1087"/>
      <c r="FL392" s="1087"/>
      <c r="FM392" s="1087"/>
      <c r="FN392" s="1087"/>
      <c r="FO392" s="1087"/>
      <c r="FP392" s="1087"/>
      <c r="FQ392" s="1087"/>
      <c r="FR392" s="1087"/>
      <c r="FS392" s="1087"/>
      <c r="FT392" s="1087"/>
      <c r="FU392" s="1087"/>
      <c r="FV392" s="1087"/>
      <c r="FW392" s="1087"/>
      <c r="FX392" s="1087"/>
      <c r="FY392" s="1087"/>
      <c r="FZ392" s="1087"/>
      <c r="GA392" s="1087"/>
      <c r="GB392" s="1087"/>
      <c r="GC392" s="1087"/>
      <c r="GD392" s="1087"/>
      <c r="GE392" s="1087"/>
      <c r="GF392" s="1087"/>
      <c r="GG392" s="1087"/>
      <c r="GH392" s="1087"/>
      <c r="GI392" s="1087"/>
      <c r="GJ392" s="1087"/>
      <c r="GK392" s="1087"/>
      <c r="GL392" s="1087"/>
      <c r="GM392" s="1087"/>
      <c r="GN392" s="1087"/>
      <c r="GO392" s="1087"/>
      <c r="GP392" s="1087"/>
      <c r="GQ392" s="1087"/>
      <c r="GR392" s="1087"/>
      <c r="GS392" s="1087"/>
      <c r="GT392" s="1087"/>
      <c r="GU392" s="1087"/>
      <c r="GV392" s="1087"/>
      <c r="GW392" s="1087"/>
      <c r="GX392" s="1087"/>
      <c r="GY392" s="1087"/>
      <c r="GZ392" s="1087"/>
      <c r="HA392" s="1087"/>
      <c r="HB392" s="1087"/>
      <c r="HC392" s="1087"/>
      <c r="HD392" s="1087"/>
      <c r="HE392" s="1087"/>
      <c r="HF392" s="1087"/>
      <c r="HG392" s="1087"/>
      <c r="HH392" s="1087"/>
      <c r="HI392" s="1087"/>
      <c r="HJ392" s="1087"/>
      <c r="HK392" s="1087"/>
      <c r="HL392" s="1087"/>
      <c r="HM392" s="1087"/>
      <c r="HN392" s="1087"/>
      <c r="HO392" s="1087"/>
      <c r="HP392" s="1087"/>
      <c r="HQ392" s="1087"/>
      <c r="HR392" s="1087"/>
      <c r="HS392" s="1087"/>
      <c r="HT392" s="1087"/>
      <c r="HU392" s="1087"/>
      <c r="HV392" s="1087"/>
      <c r="HW392" s="1087"/>
      <c r="HX392" s="1087"/>
      <c r="HY392" s="1087"/>
      <c r="HZ392" s="1087"/>
      <c r="IA392" s="1087"/>
      <c r="IB392" s="1087"/>
      <c r="IC392" s="1087"/>
      <c r="ID392" s="1087"/>
      <c r="IE392" s="1087"/>
      <c r="IF392" s="1087"/>
      <c r="IG392" s="1087"/>
      <c r="IH392" s="1087"/>
      <c r="II392" s="1087"/>
      <c r="IJ392" s="1087"/>
      <c r="IK392" s="1087"/>
      <c r="IL392" s="1087"/>
      <c r="IM392" s="1087"/>
      <c r="IN392" s="1087"/>
      <c r="IO392" s="1087"/>
      <c r="IP392" s="1087"/>
      <c r="IQ392" s="1087"/>
      <c r="IR392" s="1087"/>
      <c r="IS392" s="1087"/>
      <c r="IT392" s="1087"/>
      <c r="IU392" s="1087"/>
      <c r="IV392" s="1087"/>
      <c r="IW392" s="1087"/>
      <c r="IX392" s="1087"/>
      <c r="IY392" s="1087"/>
      <c r="IZ392" s="1087"/>
      <c r="JA392" s="1087"/>
      <c r="JB392" s="1087"/>
      <c r="JC392" s="1087"/>
      <c r="JD392" s="1087"/>
      <c r="JE392" s="1087"/>
      <c r="JF392" s="1087"/>
      <c r="JG392" s="1087"/>
      <c r="JH392" s="1087"/>
      <c r="JI392" s="1087"/>
      <c r="JJ392" s="1087"/>
      <c r="JK392" s="1087"/>
      <c r="JL392" s="1087"/>
      <c r="JM392" s="1087"/>
      <c r="JN392" s="1087"/>
      <c r="JO392" s="1087"/>
      <c r="JP392" s="1087"/>
      <c r="JQ392" s="1087"/>
      <c r="JR392" s="1087"/>
      <c r="JS392" s="1087"/>
      <c r="JT392" s="1087"/>
      <c r="JU392" s="1087"/>
      <c r="JV392" s="1087"/>
      <c r="JW392" s="1087"/>
      <c r="JX392" s="1087"/>
      <c r="JY392" s="1087"/>
      <c r="JZ392" s="1087"/>
      <c r="KA392" s="1087"/>
      <c r="KB392" s="1092"/>
    </row>
    <row r="393" spans="2:288" ht="15" customHeight="1" x14ac:dyDescent="0.35">
      <c r="B393" s="146" t="str">
        <f t="shared" si="30"/>
        <v>Desk 74</v>
      </c>
      <c r="C393" s="148" t="str">
        <v/>
      </c>
      <c r="D393" s="148" t="str">
        <v/>
      </c>
      <c r="E393" s="148" t="str">
        <v/>
      </c>
      <c r="F393" s="148" t="str">
        <v/>
      </c>
      <c r="G393" s="268" t="str">
        <v/>
      </c>
      <c r="H393" s="1087"/>
      <c r="I393" s="1087"/>
      <c r="J393" s="1087"/>
      <c r="K393" s="1087"/>
      <c r="L393" s="1087"/>
      <c r="M393" s="1087"/>
      <c r="N393" s="1087"/>
      <c r="O393" s="1087"/>
      <c r="P393" s="1087"/>
      <c r="Q393" s="1087"/>
      <c r="R393" s="1087"/>
      <c r="S393" s="1087"/>
      <c r="T393" s="1087"/>
      <c r="U393" s="1087"/>
      <c r="V393" s="1087"/>
      <c r="W393" s="1087"/>
      <c r="X393" s="1087"/>
      <c r="Y393" s="1087"/>
      <c r="Z393" s="1087"/>
      <c r="AA393" s="1087"/>
      <c r="AB393" s="1087"/>
      <c r="AC393" s="1087"/>
      <c r="AD393" s="1087"/>
      <c r="AE393" s="1087"/>
      <c r="AF393" s="1087"/>
      <c r="AG393" s="1087"/>
      <c r="AH393" s="1087"/>
      <c r="AI393" s="1087"/>
      <c r="AJ393" s="1087"/>
      <c r="AK393" s="1087"/>
      <c r="AL393" s="1087"/>
      <c r="AM393" s="1087"/>
      <c r="AN393" s="1087"/>
      <c r="AO393" s="1087"/>
      <c r="AP393" s="1087"/>
      <c r="AQ393" s="1087"/>
      <c r="AR393" s="1087"/>
      <c r="AS393" s="1087"/>
      <c r="AT393" s="1087"/>
      <c r="AU393" s="1087"/>
      <c r="AV393" s="1087"/>
      <c r="AW393" s="1087"/>
      <c r="AX393" s="1087"/>
      <c r="AY393" s="1087"/>
      <c r="AZ393" s="1087"/>
      <c r="BA393" s="1087"/>
      <c r="BB393" s="1087"/>
      <c r="BC393" s="1087"/>
      <c r="BD393" s="1087"/>
      <c r="BE393" s="1087"/>
      <c r="BF393" s="1087"/>
      <c r="BG393" s="1087"/>
      <c r="BH393" s="1087"/>
      <c r="BI393" s="1087"/>
      <c r="BJ393" s="1087"/>
      <c r="BK393" s="1087"/>
      <c r="BL393" s="1087"/>
      <c r="BM393" s="1087"/>
      <c r="BN393" s="1087"/>
      <c r="BO393" s="1087"/>
      <c r="BP393" s="1087"/>
      <c r="BQ393" s="1087"/>
      <c r="BR393" s="1087"/>
      <c r="BS393" s="1087"/>
      <c r="BT393" s="1087"/>
      <c r="BU393" s="1087"/>
      <c r="BV393" s="1087"/>
      <c r="BW393" s="1087"/>
      <c r="BX393" s="1087"/>
      <c r="BY393" s="1087"/>
      <c r="BZ393" s="1087"/>
      <c r="CA393" s="1087"/>
      <c r="CB393" s="1087"/>
      <c r="CC393" s="1087"/>
      <c r="CD393" s="1087"/>
      <c r="CE393" s="1087"/>
      <c r="CF393" s="1087"/>
      <c r="CG393" s="1087"/>
      <c r="CH393" s="1087"/>
      <c r="CI393" s="1087"/>
      <c r="CJ393" s="1087"/>
      <c r="CK393" s="1087"/>
      <c r="CL393" s="1087"/>
      <c r="CM393" s="1087"/>
      <c r="CN393" s="1087"/>
      <c r="CO393" s="1087"/>
      <c r="CP393" s="1087"/>
      <c r="CQ393" s="1087"/>
      <c r="CR393" s="1087"/>
      <c r="CS393" s="1087"/>
      <c r="CT393" s="1087"/>
      <c r="CU393" s="1087"/>
      <c r="CV393" s="1087"/>
      <c r="CW393" s="1087"/>
      <c r="CX393" s="1087"/>
      <c r="CY393" s="1087"/>
      <c r="CZ393" s="1087"/>
      <c r="DA393" s="1087"/>
      <c r="DB393" s="1087"/>
      <c r="DC393" s="1087"/>
      <c r="DD393" s="1087"/>
      <c r="DE393" s="1087"/>
      <c r="DF393" s="1087"/>
      <c r="DG393" s="1087"/>
      <c r="DH393" s="1087"/>
      <c r="DI393" s="1087"/>
      <c r="DJ393" s="1087"/>
      <c r="DK393" s="1087"/>
      <c r="DL393" s="1087"/>
      <c r="DM393" s="1087"/>
      <c r="DN393" s="1087"/>
      <c r="DO393" s="1087"/>
      <c r="DP393" s="1087"/>
      <c r="DQ393" s="1087"/>
      <c r="DR393" s="1087"/>
      <c r="DS393" s="1087"/>
      <c r="DT393" s="1087"/>
      <c r="DU393" s="1087"/>
      <c r="DV393" s="1087"/>
      <c r="DW393" s="1087"/>
      <c r="DX393" s="1087"/>
      <c r="DY393" s="1087"/>
      <c r="DZ393" s="1087"/>
      <c r="EA393" s="1087"/>
      <c r="EB393" s="1087"/>
      <c r="EC393" s="1087"/>
      <c r="ED393" s="1087"/>
      <c r="EE393" s="1087"/>
      <c r="EF393" s="1087"/>
      <c r="EG393" s="1087"/>
      <c r="EH393" s="1087"/>
      <c r="EI393" s="1087"/>
      <c r="EJ393" s="1087"/>
      <c r="EK393" s="1087"/>
      <c r="EL393" s="1087"/>
      <c r="EM393" s="1087"/>
      <c r="EN393" s="1087"/>
      <c r="EO393" s="1087"/>
      <c r="EP393" s="1087"/>
      <c r="EQ393" s="1087"/>
      <c r="ER393" s="1087"/>
      <c r="ES393" s="1087"/>
      <c r="ET393" s="1087"/>
      <c r="EU393" s="1087"/>
      <c r="EV393" s="1087"/>
      <c r="EW393" s="1087"/>
      <c r="EX393" s="1087"/>
      <c r="EY393" s="1087"/>
      <c r="EZ393" s="1087"/>
      <c r="FA393" s="1087"/>
      <c r="FB393" s="1087"/>
      <c r="FC393" s="1087"/>
      <c r="FD393" s="1087"/>
      <c r="FE393" s="1087"/>
      <c r="FF393" s="1087"/>
      <c r="FG393" s="1087"/>
      <c r="FH393" s="1087"/>
      <c r="FI393" s="1087"/>
      <c r="FJ393" s="1087"/>
      <c r="FK393" s="1087"/>
      <c r="FL393" s="1087"/>
      <c r="FM393" s="1087"/>
      <c r="FN393" s="1087"/>
      <c r="FO393" s="1087"/>
      <c r="FP393" s="1087"/>
      <c r="FQ393" s="1087"/>
      <c r="FR393" s="1087"/>
      <c r="FS393" s="1087"/>
      <c r="FT393" s="1087"/>
      <c r="FU393" s="1087"/>
      <c r="FV393" s="1087"/>
      <c r="FW393" s="1087"/>
      <c r="FX393" s="1087"/>
      <c r="FY393" s="1087"/>
      <c r="FZ393" s="1087"/>
      <c r="GA393" s="1087"/>
      <c r="GB393" s="1087"/>
      <c r="GC393" s="1087"/>
      <c r="GD393" s="1087"/>
      <c r="GE393" s="1087"/>
      <c r="GF393" s="1087"/>
      <c r="GG393" s="1087"/>
      <c r="GH393" s="1087"/>
      <c r="GI393" s="1087"/>
      <c r="GJ393" s="1087"/>
      <c r="GK393" s="1087"/>
      <c r="GL393" s="1087"/>
      <c r="GM393" s="1087"/>
      <c r="GN393" s="1087"/>
      <c r="GO393" s="1087"/>
      <c r="GP393" s="1087"/>
      <c r="GQ393" s="1087"/>
      <c r="GR393" s="1087"/>
      <c r="GS393" s="1087"/>
      <c r="GT393" s="1087"/>
      <c r="GU393" s="1087"/>
      <c r="GV393" s="1087"/>
      <c r="GW393" s="1087"/>
      <c r="GX393" s="1087"/>
      <c r="GY393" s="1087"/>
      <c r="GZ393" s="1087"/>
      <c r="HA393" s="1087"/>
      <c r="HB393" s="1087"/>
      <c r="HC393" s="1087"/>
      <c r="HD393" s="1087"/>
      <c r="HE393" s="1087"/>
      <c r="HF393" s="1087"/>
      <c r="HG393" s="1087"/>
      <c r="HH393" s="1087"/>
      <c r="HI393" s="1087"/>
      <c r="HJ393" s="1087"/>
      <c r="HK393" s="1087"/>
      <c r="HL393" s="1087"/>
      <c r="HM393" s="1087"/>
      <c r="HN393" s="1087"/>
      <c r="HO393" s="1087"/>
      <c r="HP393" s="1087"/>
      <c r="HQ393" s="1087"/>
      <c r="HR393" s="1087"/>
      <c r="HS393" s="1087"/>
      <c r="HT393" s="1087"/>
      <c r="HU393" s="1087"/>
      <c r="HV393" s="1087"/>
      <c r="HW393" s="1087"/>
      <c r="HX393" s="1087"/>
      <c r="HY393" s="1087"/>
      <c r="HZ393" s="1087"/>
      <c r="IA393" s="1087"/>
      <c r="IB393" s="1087"/>
      <c r="IC393" s="1087"/>
      <c r="ID393" s="1087"/>
      <c r="IE393" s="1087"/>
      <c r="IF393" s="1087"/>
      <c r="IG393" s="1087"/>
      <c r="IH393" s="1087"/>
      <c r="II393" s="1087"/>
      <c r="IJ393" s="1087"/>
      <c r="IK393" s="1087"/>
      <c r="IL393" s="1087"/>
      <c r="IM393" s="1087"/>
      <c r="IN393" s="1087"/>
      <c r="IO393" s="1087"/>
      <c r="IP393" s="1087"/>
      <c r="IQ393" s="1087"/>
      <c r="IR393" s="1087"/>
      <c r="IS393" s="1087"/>
      <c r="IT393" s="1087"/>
      <c r="IU393" s="1087"/>
      <c r="IV393" s="1087"/>
      <c r="IW393" s="1087"/>
      <c r="IX393" s="1087"/>
      <c r="IY393" s="1087"/>
      <c r="IZ393" s="1087"/>
      <c r="JA393" s="1087"/>
      <c r="JB393" s="1087"/>
      <c r="JC393" s="1087"/>
      <c r="JD393" s="1087"/>
      <c r="JE393" s="1087"/>
      <c r="JF393" s="1087"/>
      <c r="JG393" s="1087"/>
      <c r="JH393" s="1087"/>
      <c r="JI393" s="1087"/>
      <c r="JJ393" s="1087"/>
      <c r="JK393" s="1087"/>
      <c r="JL393" s="1087"/>
      <c r="JM393" s="1087"/>
      <c r="JN393" s="1087"/>
      <c r="JO393" s="1087"/>
      <c r="JP393" s="1087"/>
      <c r="JQ393" s="1087"/>
      <c r="JR393" s="1087"/>
      <c r="JS393" s="1087"/>
      <c r="JT393" s="1087"/>
      <c r="JU393" s="1087"/>
      <c r="JV393" s="1087"/>
      <c r="JW393" s="1087"/>
      <c r="JX393" s="1087"/>
      <c r="JY393" s="1087"/>
      <c r="JZ393" s="1087"/>
      <c r="KA393" s="1087"/>
      <c r="KB393" s="1092"/>
    </row>
    <row r="394" spans="2:288" ht="15" customHeight="1" x14ac:dyDescent="0.35">
      <c r="B394" s="146" t="str">
        <f t="shared" si="30"/>
        <v>Desk 75</v>
      </c>
      <c r="C394" s="148" t="str">
        <v/>
      </c>
      <c r="D394" s="148" t="str">
        <v/>
      </c>
      <c r="E394" s="148" t="str">
        <v/>
      </c>
      <c r="F394" s="148" t="str">
        <v/>
      </c>
      <c r="G394" s="268" t="str">
        <v/>
      </c>
      <c r="H394" s="1087"/>
      <c r="I394" s="1087"/>
      <c r="J394" s="1087"/>
      <c r="K394" s="1087"/>
      <c r="L394" s="1087"/>
      <c r="M394" s="1087"/>
      <c r="N394" s="1087"/>
      <c r="O394" s="1087"/>
      <c r="P394" s="1087"/>
      <c r="Q394" s="1087"/>
      <c r="R394" s="1087"/>
      <c r="S394" s="1087"/>
      <c r="T394" s="1087"/>
      <c r="U394" s="1087"/>
      <c r="V394" s="1087"/>
      <c r="W394" s="1087"/>
      <c r="X394" s="1087"/>
      <c r="Y394" s="1087"/>
      <c r="Z394" s="1087"/>
      <c r="AA394" s="1087"/>
      <c r="AB394" s="1087"/>
      <c r="AC394" s="1087"/>
      <c r="AD394" s="1087"/>
      <c r="AE394" s="1087"/>
      <c r="AF394" s="1087"/>
      <c r="AG394" s="1087"/>
      <c r="AH394" s="1087"/>
      <c r="AI394" s="1087"/>
      <c r="AJ394" s="1087"/>
      <c r="AK394" s="1087"/>
      <c r="AL394" s="1087"/>
      <c r="AM394" s="1087"/>
      <c r="AN394" s="1087"/>
      <c r="AO394" s="1087"/>
      <c r="AP394" s="1087"/>
      <c r="AQ394" s="1087"/>
      <c r="AR394" s="1087"/>
      <c r="AS394" s="1087"/>
      <c r="AT394" s="1087"/>
      <c r="AU394" s="1087"/>
      <c r="AV394" s="1087"/>
      <c r="AW394" s="1087"/>
      <c r="AX394" s="1087"/>
      <c r="AY394" s="1087"/>
      <c r="AZ394" s="1087"/>
      <c r="BA394" s="1087"/>
      <c r="BB394" s="1087"/>
      <c r="BC394" s="1087"/>
      <c r="BD394" s="1087"/>
      <c r="BE394" s="1087"/>
      <c r="BF394" s="1087"/>
      <c r="BG394" s="1087"/>
      <c r="BH394" s="1087"/>
      <c r="BI394" s="1087"/>
      <c r="BJ394" s="1087"/>
      <c r="BK394" s="1087"/>
      <c r="BL394" s="1087"/>
      <c r="BM394" s="1087"/>
      <c r="BN394" s="1087"/>
      <c r="BO394" s="1087"/>
      <c r="BP394" s="1087"/>
      <c r="BQ394" s="1087"/>
      <c r="BR394" s="1087"/>
      <c r="BS394" s="1087"/>
      <c r="BT394" s="1087"/>
      <c r="BU394" s="1087"/>
      <c r="BV394" s="1087"/>
      <c r="BW394" s="1087"/>
      <c r="BX394" s="1087"/>
      <c r="BY394" s="1087"/>
      <c r="BZ394" s="1087"/>
      <c r="CA394" s="1087"/>
      <c r="CB394" s="1087"/>
      <c r="CC394" s="1087"/>
      <c r="CD394" s="1087"/>
      <c r="CE394" s="1087"/>
      <c r="CF394" s="1087"/>
      <c r="CG394" s="1087"/>
      <c r="CH394" s="1087"/>
      <c r="CI394" s="1087"/>
      <c r="CJ394" s="1087"/>
      <c r="CK394" s="1087"/>
      <c r="CL394" s="1087"/>
      <c r="CM394" s="1087"/>
      <c r="CN394" s="1087"/>
      <c r="CO394" s="1087"/>
      <c r="CP394" s="1087"/>
      <c r="CQ394" s="1087"/>
      <c r="CR394" s="1087"/>
      <c r="CS394" s="1087"/>
      <c r="CT394" s="1087"/>
      <c r="CU394" s="1087"/>
      <c r="CV394" s="1087"/>
      <c r="CW394" s="1087"/>
      <c r="CX394" s="1087"/>
      <c r="CY394" s="1087"/>
      <c r="CZ394" s="1087"/>
      <c r="DA394" s="1087"/>
      <c r="DB394" s="1087"/>
      <c r="DC394" s="1087"/>
      <c r="DD394" s="1087"/>
      <c r="DE394" s="1087"/>
      <c r="DF394" s="1087"/>
      <c r="DG394" s="1087"/>
      <c r="DH394" s="1087"/>
      <c r="DI394" s="1087"/>
      <c r="DJ394" s="1087"/>
      <c r="DK394" s="1087"/>
      <c r="DL394" s="1087"/>
      <c r="DM394" s="1087"/>
      <c r="DN394" s="1087"/>
      <c r="DO394" s="1087"/>
      <c r="DP394" s="1087"/>
      <c r="DQ394" s="1087"/>
      <c r="DR394" s="1087"/>
      <c r="DS394" s="1087"/>
      <c r="DT394" s="1087"/>
      <c r="DU394" s="1087"/>
      <c r="DV394" s="1087"/>
      <c r="DW394" s="1087"/>
      <c r="DX394" s="1087"/>
      <c r="DY394" s="1087"/>
      <c r="DZ394" s="1087"/>
      <c r="EA394" s="1087"/>
      <c r="EB394" s="1087"/>
      <c r="EC394" s="1087"/>
      <c r="ED394" s="1087"/>
      <c r="EE394" s="1087"/>
      <c r="EF394" s="1087"/>
      <c r="EG394" s="1087"/>
      <c r="EH394" s="1087"/>
      <c r="EI394" s="1087"/>
      <c r="EJ394" s="1087"/>
      <c r="EK394" s="1087"/>
      <c r="EL394" s="1087"/>
      <c r="EM394" s="1087"/>
      <c r="EN394" s="1087"/>
      <c r="EO394" s="1087"/>
      <c r="EP394" s="1087"/>
      <c r="EQ394" s="1087"/>
      <c r="ER394" s="1087"/>
      <c r="ES394" s="1087"/>
      <c r="ET394" s="1087"/>
      <c r="EU394" s="1087"/>
      <c r="EV394" s="1087"/>
      <c r="EW394" s="1087"/>
      <c r="EX394" s="1087"/>
      <c r="EY394" s="1087"/>
      <c r="EZ394" s="1087"/>
      <c r="FA394" s="1087"/>
      <c r="FB394" s="1087"/>
      <c r="FC394" s="1087"/>
      <c r="FD394" s="1087"/>
      <c r="FE394" s="1087"/>
      <c r="FF394" s="1087"/>
      <c r="FG394" s="1087"/>
      <c r="FH394" s="1087"/>
      <c r="FI394" s="1087"/>
      <c r="FJ394" s="1087"/>
      <c r="FK394" s="1087"/>
      <c r="FL394" s="1087"/>
      <c r="FM394" s="1087"/>
      <c r="FN394" s="1087"/>
      <c r="FO394" s="1087"/>
      <c r="FP394" s="1087"/>
      <c r="FQ394" s="1087"/>
      <c r="FR394" s="1087"/>
      <c r="FS394" s="1087"/>
      <c r="FT394" s="1087"/>
      <c r="FU394" s="1087"/>
      <c r="FV394" s="1087"/>
      <c r="FW394" s="1087"/>
      <c r="FX394" s="1087"/>
      <c r="FY394" s="1087"/>
      <c r="FZ394" s="1087"/>
      <c r="GA394" s="1087"/>
      <c r="GB394" s="1087"/>
      <c r="GC394" s="1087"/>
      <c r="GD394" s="1087"/>
      <c r="GE394" s="1087"/>
      <c r="GF394" s="1087"/>
      <c r="GG394" s="1087"/>
      <c r="GH394" s="1087"/>
      <c r="GI394" s="1087"/>
      <c r="GJ394" s="1087"/>
      <c r="GK394" s="1087"/>
      <c r="GL394" s="1087"/>
      <c r="GM394" s="1087"/>
      <c r="GN394" s="1087"/>
      <c r="GO394" s="1087"/>
      <c r="GP394" s="1087"/>
      <c r="GQ394" s="1087"/>
      <c r="GR394" s="1087"/>
      <c r="GS394" s="1087"/>
      <c r="GT394" s="1087"/>
      <c r="GU394" s="1087"/>
      <c r="GV394" s="1087"/>
      <c r="GW394" s="1087"/>
      <c r="GX394" s="1087"/>
      <c r="GY394" s="1087"/>
      <c r="GZ394" s="1087"/>
      <c r="HA394" s="1087"/>
      <c r="HB394" s="1087"/>
      <c r="HC394" s="1087"/>
      <c r="HD394" s="1087"/>
      <c r="HE394" s="1087"/>
      <c r="HF394" s="1087"/>
      <c r="HG394" s="1087"/>
      <c r="HH394" s="1087"/>
      <c r="HI394" s="1087"/>
      <c r="HJ394" s="1087"/>
      <c r="HK394" s="1087"/>
      <c r="HL394" s="1087"/>
      <c r="HM394" s="1087"/>
      <c r="HN394" s="1087"/>
      <c r="HO394" s="1087"/>
      <c r="HP394" s="1087"/>
      <c r="HQ394" s="1087"/>
      <c r="HR394" s="1087"/>
      <c r="HS394" s="1087"/>
      <c r="HT394" s="1087"/>
      <c r="HU394" s="1087"/>
      <c r="HV394" s="1087"/>
      <c r="HW394" s="1087"/>
      <c r="HX394" s="1087"/>
      <c r="HY394" s="1087"/>
      <c r="HZ394" s="1087"/>
      <c r="IA394" s="1087"/>
      <c r="IB394" s="1087"/>
      <c r="IC394" s="1087"/>
      <c r="ID394" s="1087"/>
      <c r="IE394" s="1087"/>
      <c r="IF394" s="1087"/>
      <c r="IG394" s="1087"/>
      <c r="IH394" s="1087"/>
      <c r="II394" s="1087"/>
      <c r="IJ394" s="1087"/>
      <c r="IK394" s="1087"/>
      <c r="IL394" s="1087"/>
      <c r="IM394" s="1087"/>
      <c r="IN394" s="1087"/>
      <c r="IO394" s="1087"/>
      <c r="IP394" s="1087"/>
      <c r="IQ394" s="1087"/>
      <c r="IR394" s="1087"/>
      <c r="IS394" s="1087"/>
      <c r="IT394" s="1087"/>
      <c r="IU394" s="1087"/>
      <c r="IV394" s="1087"/>
      <c r="IW394" s="1087"/>
      <c r="IX394" s="1087"/>
      <c r="IY394" s="1087"/>
      <c r="IZ394" s="1087"/>
      <c r="JA394" s="1087"/>
      <c r="JB394" s="1087"/>
      <c r="JC394" s="1087"/>
      <c r="JD394" s="1087"/>
      <c r="JE394" s="1087"/>
      <c r="JF394" s="1087"/>
      <c r="JG394" s="1087"/>
      <c r="JH394" s="1087"/>
      <c r="JI394" s="1087"/>
      <c r="JJ394" s="1087"/>
      <c r="JK394" s="1087"/>
      <c r="JL394" s="1087"/>
      <c r="JM394" s="1087"/>
      <c r="JN394" s="1087"/>
      <c r="JO394" s="1087"/>
      <c r="JP394" s="1087"/>
      <c r="JQ394" s="1087"/>
      <c r="JR394" s="1087"/>
      <c r="JS394" s="1087"/>
      <c r="JT394" s="1087"/>
      <c r="JU394" s="1087"/>
      <c r="JV394" s="1087"/>
      <c r="JW394" s="1087"/>
      <c r="JX394" s="1087"/>
      <c r="JY394" s="1087"/>
      <c r="JZ394" s="1087"/>
      <c r="KA394" s="1087"/>
      <c r="KB394" s="1092"/>
    </row>
    <row r="395" spans="2:288" ht="15" customHeight="1" x14ac:dyDescent="0.35">
      <c r="B395" s="146" t="str">
        <f t="shared" si="30"/>
        <v>Desk 76</v>
      </c>
      <c r="C395" s="148" t="str">
        <v/>
      </c>
      <c r="D395" s="148" t="str">
        <v/>
      </c>
      <c r="E395" s="148" t="str">
        <v/>
      </c>
      <c r="F395" s="148" t="str">
        <v/>
      </c>
      <c r="G395" s="268" t="str">
        <v/>
      </c>
      <c r="H395" s="1087"/>
      <c r="I395" s="1087"/>
      <c r="J395" s="1087"/>
      <c r="K395" s="1087"/>
      <c r="L395" s="1087"/>
      <c r="M395" s="1087"/>
      <c r="N395" s="1087"/>
      <c r="O395" s="1087"/>
      <c r="P395" s="1087"/>
      <c r="Q395" s="1087"/>
      <c r="R395" s="1087"/>
      <c r="S395" s="1087"/>
      <c r="T395" s="1087"/>
      <c r="U395" s="1087"/>
      <c r="V395" s="1087"/>
      <c r="W395" s="1087"/>
      <c r="X395" s="1087"/>
      <c r="Y395" s="1087"/>
      <c r="Z395" s="1087"/>
      <c r="AA395" s="1087"/>
      <c r="AB395" s="1087"/>
      <c r="AC395" s="1087"/>
      <c r="AD395" s="1087"/>
      <c r="AE395" s="1087"/>
      <c r="AF395" s="1087"/>
      <c r="AG395" s="1087"/>
      <c r="AH395" s="1087"/>
      <c r="AI395" s="1087"/>
      <c r="AJ395" s="1087"/>
      <c r="AK395" s="1087"/>
      <c r="AL395" s="1087"/>
      <c r="AM395" s="1087"/>
      <c r="AN395" s="1087"/>
      <c r="AO395" s="1087"/>
      <c r="AP395" s="1087"/>
      <c r="AQ395" s="1087"/>
      <c r="AR395" s="1087"/>
      <c r="AS395" s="1087"/>
      <c r="AT395" s="1087"/>
      <c r="AU395" s="1087"/>
      <c r="AV395" s="1087"/>
      <c r="AW395" s="1087"/>
      <c r="AX395" s="1087"/>
      <c r="AY395" s="1087"/>
      <c r="AZ395" s="1087"/>
      <c r="BA395" s="1087"/>
      <c r="BB395" s="1087"/>
      <c r="BC395" s="1087"/>
      <c r="BD395" s="1087"/>
      <c r="BE395" s="1087"/>
      <c r="BF395" s="1087"/>
      <c r="BG395" s="1087"/>
      <c r="BH395" s="1087"/>
      <c r="BI395" s="1087"/>
      <c r="BJ395" s="1087"/>
      <c r="BK395" s="1087"/>
      <c r="BL395" s="1087"/>
      <c r="BM395" s="1087"/>
      <c r="BN395" s="1087"/>
      <c r="BO395" s="1087"/>
      <c r="BP395" s="1087"/>
      <c r="BQ395" s="1087"/>
      <c r="BR395" s="1087"/>
      <c r="BS395" s="1087"/>
      <c r="BT395" s="1087"/>
      <c r="BU395" s="1087"/>
      <c r="BV395" s="1087"/>
      <c r="BW395" s="1087"/>
      <c r="BX395" s="1087"/>
      <c r="BY395" s="1087"/>
      <c r="BZ395" s="1087"/>
      <c r="CA395" s="1087"/>
      <c r="CB395" s="1087"/>
      <c r="CC395" s="1087"/>
      <c r="CD395" s="1087"/>
      <c r="CE395" s="1087"/>
      <c r="CF395" s="1087"/>
      <c r="CG395" s="1087"/>
      <c r="CH395" s="1087"/>
      <c r="CI395" s="1087"/>
      <c r="CJ395" s="1087"/>
      <c r="CK395" s="1087"/>
      <c r="CL395" s="1087"/>
      <c r="CM395" s="1087"/>
      <c r="CN395" s="1087"/>
      <c r="CO395" s="1087"/>
      <c r="CP395" s="1087"/>
      <c r="CQ395" s="1087"/>
      <c r="CR395" s="1087"/>
      <c r="CS395" s="1087"/>
      <c r="CT395" s="1087"/>
      <c r="CU395" s="1087"/>
      <c r="CV395" s="1087"/>
      <c r="CW395" s="1087"/>
      <c r="CX395" s="1087"/>
      <c r="CY395" s="1087"/>
      <c r="CZ395" s="1087"/>
      <c r="DA395" s="1087"/>
      <c r="DB395" s="1087"/>
      <c r="DC395" s="1087"/>
      <c r="DD395" s="1087"/>
      <c r="DE395" s="1087"/>
      <c r="DF395" s="1087"/>
      <c r="DG395" s="1087"/>
      <c r="DH395" s="1087"/>
      <c r="DI395" s="1087"/>
      <c r="DJ395" s="1087"/>
      <c r="DK395" s="1087"/>
      <c r="DL395" s="1087"/>
      <c r="DM395" s="1087"/>
      <c r="DN395" s="1087"/>
      <c r="DO395" s="1087"/>
      <c r="DP395" s="1087"/>
      <c r="DQ395" s="1087"/>
      <c r="DR395" s="1087"/>
      <c r="DS395" s="1087"/>
      <c r="DT395" s="1087"/>
      <c r="DU395" s="1087"/>
      <c r="DV395" s="1087"/>
      <c r="DW395" s="1087"/>
      <c r="DX395" s="1087"/>
      <c r="DY395" s="1087"/>
      <c r="DZ395" s="1087"/>
      <c r="EA395" s="1087"/>
      <c r="EB395" s="1087"/>
      <c r="EC395" s="1087"/>
      <c r="ED395" s="1087"/>
      <c r="EE395" s="1087"/>
      <c r="EF395" s="1087"/>
      <c r="EG395" s="1087"/>
      <c r="EH395" s="1087"/>
      <c r="EI395" s="1087"/>
      <c r="EJ395" s="1087"/>
      <c r="EK395" s="1087"/>
      <c r="EL395" s="1087"/>
      <c r="EM395" s="1087"/>
      <c r="EN395" s="1087"/>
      <c r="EO395" s="1087"/>
      <c r="EP395" s="1087"/>
      <c r="EQ395" s="1087"/>
      <c r="ER395" s="1087"/>
      <c r="ES395" s="1087"/>
      <c r="ET395" s="1087"/>
      <c r="EU395" s="1087"/>
      <c r="EV395" s="1087"/>
      <c r="EW395" s="1087"/>
      <c r="EX395" s="1087"/>
      <c r="EY395" s="1087"/>
      <c r="EZ395" s="1087"/>
      <c r="FA395" s="1087"/>
      <c r="FB395" s="1087"/>
      <c r="FC395" s="1087"/>
      <c r="FD395" s="1087"/>
      <c r="FE395" s="1087"/>
      <c r="FF395" s="1087"/>
      <c r="FG395" s="1087"/>
      <c r="FH395" s="1087"/>
      <c r="FI395" s="1087"/>
      <c r="FJ395" s="1087"/>
      <c r="FK395" s="1087"/>
      <c r="FL395" s="1087"/>
      <c r="FM395" s="1087"/>
      <c r="FN395" s="1087"/>
      <c r="FO395" s="1087"/>
      <c r="FP395" s="1087"/>
      <c r="FQ395" s="1087"/>
      <c r="FR395" s="1087"/>
      <c r="FS395" s="1087"/>
      <c r="FT395" s="1087"/>
      <c r="FU395" s="1087"/>
      <c r="FV395" s="1087"/>
      <c r="FW395" s="1087"/>
      <c r="FX395" s="1087"/>
      <c r="FY395" s="1087"/>
      <c r="FZ395" s="1087"/>
      <c r="GA395" s="1087"/>
      <c r="GB395" s="1087"/>
      <c r="GC395" s="1087"/>
      <c r="GD395" s="1087"/>
      <c r="GE395" s="1087"/>
      <c r="GF395" s="1087"/>
      <c r="GG395" s="1087"/>
      <c r="GH395" s="1087"/>
      <c r="GI395" s="1087"/>
      <c r="GJ395" s="1087"/>
      <c r="GK395" s="1087"/>
      <c r="GL395" s="1087"/>
      <c r="GM395" s="1087"/>
      <c r="GN395" s="1087"/>
      <c r="GO395" s="1087"/>
      <c r="GP395" s="1087"/>
      <c r="GQ395" s="1087"/>
      <c r="GR395" s="1087"/>
      <c r="GS395" s="1087"/>
      <c r="GT395" s="1087"/>
      <c r="GU395" s="1087"/>
      <c r="GV395" s="1087"/>
      <c r="GW395" s="1087"/>
      <c r="GX395" s="1087"/>
      <c r="GY395" s="1087"/>
      <c r="GZ395" s="1087"/>
      <c r="HA395" s="1087"/>
      <c r="HB395" s="1087"/>
      <c r="HC395" s="1087"/>
      <c r="HD395" s="1087"/>
      <c r="HE395" s="1087"/>
      <c r="HF395" s="1087"/>
      <c r="HG395" s="1087"/>
      <c r="HH395" s="1087"/>
      <c r="HI395" s="1087"/>
      <c r="HJ395" s="1087"/>
      <c r="HK395" s="1087"/>
      <c r="HL395" s="1087"/>
      <c r="HM395" s="1087"/>
      <c r="HN395" s="1087"/>
      <c r="HO395" s="1087"/>
      <c r="HP395" s="1087"/>
      <c r="HQ395" s="1087"/>
      <c r="HR395" s="1087"/>
      <c r="HS395" s="1087"/>
      <c r="HT395" s="1087"/>
      <c r="HU395" s="1087"/>
      <c r="HV395" s="1087"/>
      <c r="HW395" s="1087"/>
      <c r="HX395" s="1087"/>
      <c r="HY395" s="1087"/>
      <c r="HZ395" s="1087"/>
      <c r="IA395" s="1087"/>
      <c r="IB395" s="1087"/>
      <c r="IC395" s="1087"/>
      <c r="ID395" s="1087"/>
      <c r="IE395" s="1087"/>
      <c r="IF395" s="1087"/>
      <c r="IG395" s="1087"/>
      <c r="IH395" s="1087"/>
      <c r="II395" s="1087"/>
      <c r="IJ395" s="1087"/>
      <c r="IK395" s="1087"/>
      <c r="IL395" s="1087"/>
      <c r="IM395" s="1087"/>
      <c r="IN395" s="1087"/>
      <c r="IO395" s="1087"/>
      <c r="IP395" s="1087"/>
      <c r="IQ395" s="1087"/>
      <c r="IR395" s="1087"/>
      <c r="IS395" s="1087"/>
      <c r="IT395" s="1087"/>
      <c r="IU395" s="1087"/>
      <c r="IV395" s="1087"/>
      <c r="IW395" s="1087"/>
      <c r="IX395" s="1087"/>
      <c r="IY395" s="1087"/>
      <c r="IZ395" s="1087"/>
      <c r="JA395" s="1087"/>
      <c r="JB395" s="1087"/>
      <c r="JC395" s="1087"/>
      <c r="JD395" s="1087"/>
      <c r="JE395" s="1087"/>
      <c r="JF395" s="1087"/>
      <c r="JG395" s="1087"/>
      <c r="JH395" s="1087"/>
      <c r="JI395" s="1087"/>
      <c r="JJ395" s="1087"/>
      <c r="JK395" s="1087"/>
      <c r="JL395" s="1087"/>
      <c r="JM395" s="1087"/>
      <c r="JN395" s="1087"/>
      <c r="JO395" s="1087"/>
      <c r="JP395" s="1087"/>
      <c r="JQ395" s="1087"/>
      <c r="JR395" s="1087"/>
      <c r="JS395" s="1087"/>
      <c r="JT395" s="1087"/>
      <c r="JU395" s="1087"/>
      <c r="JV395" s="1087"/>
      <c r="JW395" s="1087"/>
      <c r="JX395" s="1087"/>
      <c r="JY395" s="1087"/>
      <c r="JZ395" s="1087"/>
      <c r="KA395" s="1087"/>
      <c r="KB395" s="1092"/>
    </row>
    <row r="396" spans="2:288" ht="15" customHeight="1" x14ac:dyDescent="0.35">
      <c r="B396" s="146" t="str">
        <f t="shared" si="30"/>
        <v>Desk 77</v>
      </c>
      <c r="C396" s="148" t="str">
        <v/>
      </c>
      <c r="D396" s="148" t="str">
        <v/>
      </c>
      <c r="E396" s="148" t="str">
        <v/>
      </c>
      <c r="F396" s="148" t="str">
        <v/>
      </c>
      <c r="G396" s="268" t="str">
        <v/>
      </c>
      <c r="H396" s="1087"/>
      <c r="I396" s="1087"/>
      <c r="J396" s="1087"/>
      <c r="K396" s="1087"/>
      <c r="L396" s="1087"/>
      <c r="M396" s="1087"/>
      <c r="N396" s="1087"/>
      <c r="O396" s="1087"/>
      <c r="P396" s="1087"/>
      <c r="Q396" s="1087"/>
      <c r="R396" s="1087"/>
      <c r="S396" s="1087"/>
      <c r="T396" s="1087"/>
      <c r="U396" s="1087"/>
      <c r="V396" s="1087"/>
      <c r="W396" s="1087"/>
      <c r="X396" s="1087"/>
      <c r="Y396" s="1087"/>
      <c r="Z396" s="1087"/>
      <c r="AA396" s="1087"/>
      <c r="AB396" s="1087"/>
      <c r="AC396" s="1087"/>
      <c r="AD396" s="1087"/>
      <c r="AE396" s="1087"/>
      <c r="AF396" s="1087"/>
      <c r="AG396" s="1087"/>
      <c r="AH396" s="1087"/>
      <c r="AI396" s="1087"/>
      <c r="AJ396" s="1087"/>
      <c r="AK396" s="1087"/>
      <c r="AL396" s="1087"/>
      <c r="AM396" s="1087"/>
      <c r="AN396" s="1087"/>
      <c r="AO396" s="1087"/>
      <c r="AP396" s="1087"/>
      <c r="AQ396" s="1087"/>
      <c r="AR396" s="1087"/>
      <c r="AS396" s="1087"/>
      <c r="AT396" s="1087"/>
      <c r="AU396" s="1087"/>
      <c r="AV396" s="1087"/>
      <c r="AW396" s="1087"/>
      <c r="AX396" s="1087"/>
      <c r="AY396" s="1087"/>
      <c r="AZ396" s="1087"/>
      <c r="BA396" s="1087"/>
      <c r="BB396" s="1087"/>
      <c r="BC396" s="1087"/>
      <c r="BD396" s="1087"/>
      <c r="BE396" s="1087"/>
      <c r="BF396" s="1087"/>
      <c r="BG396" s="1087"/>
      <c r="BH396" s="1087"/>
      <c r="BI396" s="1087"/>
      <c r="BJ396" s="1087"/>
      <c r="BK396" s="1087"/>
      <c r="BL396" s="1087"/>
      <c r="BM396" s="1087"/>
      <c r="BN396" s="1087"/>
      <c r="BO396" s="1087"/>
      <c r="BP396" s="1087"/>
      <c r="BQ396" s="1087"/>
      <c r="BR396" s="1087"/>
      <c r="BS396" s="1087"/>
      <c r="BT396" s="1087"/>
      <c r="BU396" s="1087"/>
      <c r="BV396" s="1087"/>
      <c r="BW396" s="1087"/>
      <c r="BX396" s="1087"/>
      <c r="BY396" s="1087"/>
      <c r="BZ396" s="1087"/>
      <c r="CA396" s="1087"/>
      <c r="CB396" s="1087"/>
      <c r="CC396" s="1087"/>
      <c r="CD396" s="1087"/>
      <c r="CE396" s="1087"/>
      <c r="CF396" s="1087"/>
      <c r="CG396" s="1087"/>
      <c r="CH396" s="1087"/>
      <c r="CI396" s="1087"/>
      <c r="CJ396" s="1087"/>
      <c r="CK396" s="1087"/>
      <c r="CL396" s="1087"/>
      <c r="CM396" s="1087"/>
      <c r="CN396" s="1087"/>
      <c r="CO396" s="1087"/>
      <c r="CP396" s="1087"/>
      <c r="CQ396" s="1087"/>
      <c r="CR396" s="1087"/>
      <c r="CS396" s="1087"/>
      <c r="CT396" s="1087"/>
      <c r="CU396" s="1087"/>
      <c r="CV396" s="1087"/>
      <c r="CW396" s="1087"/>
      <c r="CX396" s="1087"/>
      <c r="CY396" s="1087"/>
      <c r="CZ396" s="1087"/>
      <c r="DA396" s="1087"/>
      <c r="DB396" s="1087"/>
      <c r="DC396" s="1087"/>
      <c r="DD396" s="1087"/>
      <c r="DE396" s="1087"/>
      <c r="DF396" s="1087"/>
      <c r="DG396" s="1087"/>
      <c r="DH396" s="1087"/>
      <c r="DI396" s="1087"/>
      <c r="DJ396" s="1087"/>
      <c r="DK396" s="1087"/>
      <c r="DL396" s="1087"/>
      <c r="DM396" s="1087"/>
      <c r="DN396" s="1087"/>
      <c r="DO396" s="1087"/>
      <c r="DP396" s="1087"/>
      <c r="DQ396" s="1087"/>
      <c r="DR396" s="1087"/>
      <c r="DS396" s="1087"/>
      <c r="DT396" s="1087"/>
      <c r="DU396" s="1087"/>
      <c r="DV396" s="1087"/>
      <c r="DW396" s="1087"/>
      <c r="DX396" s="1087"/>
      <c r="DY396" s="1087"/>
      <c r="DZ396" s="1087"/>
      <c r="EA396" s="1087"/>
      <c r="EB396" s="1087"/>
      <c r="EC396" s="1087"/>
      <c r="ED396" s="1087"/>
      <c r="EE396" s="1087"/>
      <c r="EF396" s="1087"/>
      <c r="EG396" s="1087"/>
      <c r="EH396" s="1087"/>
      <c r="EI396" s="1087"/>
      <c r="EJ396" s="1087"/>
      <c r="EK396" s="1087"/>
      <c r="EL396" s="1087"/>
      <c r="EM396" s="1087"/>
      <c r="EN396" s="1087"/>
      <c r="EO396" s="1087"/>
      <c r="EP396" s="1087"/>
      <c r="EQ396" s="1087"/>
      <c r="ER396" s="1087"/>
      <c r="ES396" s="1087"/>
      <c r="ET396" s="1087"/>
      <c r="EU396" s="1087"/>
      <c r="EV396" s="1087"/>
      <c r="EW396" s="1087"/>
      <c r="EX396" s="1087"/>
      <c r="EY396" s="1087"/>
      <c r="EZ396" s="1087"/>
      <c r="FA396" s="1087"/>
      <c r="FB396" s="1087"/>
      <c r="FC396" s="1087"/>
      <c r="FD396" s="1087"/>
      <c r="FE396" s="1087"/>
      <c r="FF396" s="1087"/>
      <c r="FG396" s="1087"/>
      <c r="FH396" s="1087"/>
      <c r="FI396" s="1087"/>
      <c r="FJ396" s="1087"/>
      <c r="FK396" s="1087"/>
      <c r="FL396" s="1087"/>
      <c r="FM396" s="1087"/>
      <c r="FN396" s="1087"/>
      <c r="FO396" s="1087"/>
      <c r="FP396" s="1087"/>
      <c r="FQ396" s="1087"/>
      <c r="FR396" s="1087"/>
      <c r="FS396" s="1087"/>
      <c r="FT396" s="1087"/>
      <c r="FU396" s="1087"/>
      <c r="FV396" s="1087"/>
      <c r="FW396" s="1087"/>
      <c r="FX396" s="1087"/>
      <c r="FY396" s="1087"/>
      <c r="FZ396" s="1087"/>
      <c r="GA396" s="1087"/>
      <c r="GB396" s="1087"/>
      <c r="GC396" s="1087"/>
      <c r="GD396" s="1087"/>
      <c r="GE396" s="1087"/>
      <c r="GF396" s="1087"/>
      <c r="GG396" s="1087"/>
      <c r="GH396" s="1087"/>
      <c r="GI396" s="1087"/>
      <c r="GJ396" s="1087"/>
      <c r="GK396" s="1087"/>
      <c r="GL396" s="1087"/>
      <c r="GM396" s="1087"/>
      <c r="GN396" s="1087"/>
      <c r="GO396" s="1087"/>
      <c r="GP396" s="1087"/>
      <c r="GQ396" s="1087"/>
      <c r="GR396" s="1087"/>
      <c r="GS396" s="1087"/>
      <c r="GT396" s="1087"/>
      <c r="GU396" s="1087"/>
      <c r="GV396" s="1087"/>
      <c r="GW396" s="1087"/>
      <c r="GX396" s="1087"/>
      <c r="GY396" s="1087"/>
      <c r="GZ396" s="1087"/>
      <c r="HA396" s="1087"/>
      <c r="HB396" s="1087"/>
      <c r="HC396" s="1087"/>
      <c r="HD396" s="1087"/>
      <c r="HE396" s="1087"/>
      <c r="HF396" s="1087"/>
      <c r="HG396" s="1087"/>
      <c r="HH396" s="1087"/>
      <c r="HI396" s="1087"/>
      <c r="HJ396" s="1087"/>
      <c r="HK396" s="1087"/>
      <c r="HL396" s="1087"/>
      <c r="HM396" s="1087"/>
      <c r="HN396" s="1087"/>
      <c r="HO396" s="1087"/>
      <c r="HP396" s="1087"/>
      <c r="HQ396" s="1087"/>
      <c r="HR396" s="1087"/>
      <c r="HS396" s="1087"/>
      <c r="HT396" s="1087"/>
      <c r="HU396" s="1087"/>
      <c r="HV396" s="1087"/>
      <c r="HW396" s="1087"/>
      <c r="HX396" s="1087"/>
      <c r="HY396" s="1087"/>
      <c r="HZ396" s="1087"/>
      <c r="IA396" s="1087"/>
      <c r="IB396" s="1087"/>
      <c r="IC396" s="1087"/>
      <c r="ID396" s="1087"/>
      <c r="IE396" s="1087"/>
      <c r="IF396" s="1087"/>
      <c r="IG396" s="1087"/>
      <c r="IH396" s="1087"/>
      <c r="II396" s="1087"/>
      <c r="IJ396" s="1087"/>
      <c r="IK396" s="1087"/>
      <c r="IL396" s="1087"/>
      <c r="IM396" s="1087"/>
      <c r="IN396" s="1087"/>
      <c r="IO396" s="1087"/>
      <c r="IP396" s="1087"/>
      <c r="IQ396" s="1087"/>
      <c r="IR396" s="1087"/>
      <c r="IS396" s="1087"/>
      <c r="IT396" s="1087"/>
      <c r="IU396" s="1087"/>
      <c r="IV396" s="1087"/>
      <c r="IW396" s="1087"/>
      <c r="IX396" s="1087"/>
      <c r="IY396" s="1087"/>
      <c r="IZ396" s="1087"/>
      <c r="JA396" s="1087"/>
      <c r="JB396" s="1087"/>
      <c r="JC396" s="1087"/>
      <c r="JD396" s="1087"/>
      <c r="JE396" s="1087"/>
      <c r="JF396" s="1087"/>
      <c r="JG396" s="1087"/>
      <c r="JH396" s="1087"/>
      <c r="JI396" s="1087"/>
      <c r="JJ396" s="1087"/>
      <c r="JK396" s="1087"/>
      <c r="JL396" s="1087"/>
      <c r="JM396" s="1087"/>
      <c r="JN396" s="1087"/>
      <c r="JO396" s="1087"/>
      <c r="JP396" s="1087"/>
      <c r="JQ396" s="1087"/>
      <c r="JR396" s="1087"/>
      <c r="JS396" s="1087"/>
      <c r="JT396" s="1087"/>
      <c r="JU396" s="1087"/>
      <c r="JV396" s="1087"/>
      <c r="JW396" s="1087"/>
      <c r="JX396" s="1087"/>
      <c r="JY396" s="1087"/>
      <c r="JZ396" s="1087"/>
      <c r="KA396" s="1087"/>
      <c r="KB396" s="1092"/>
    </row>
    <row r="397" spans="2:288" ht="15" customHeight="1" x14ac:dyDescent="0.35">
      <c r="B397" s="146" t="str">
        <f t="shared" si="30"/>
        <v>Desk 78</v>
      </c>
      <c r="C397" s="148" t="str">
        <v/>
      </c>
      <c r="D397" s="148" t="str">
        <v/>
      </c>
      <c r="E397" s="148" t="str">
        <v/>
      </c>
      <c r="F397" s="148" t="str">
        <v/>
      </c>
      <c r="G397" s="268" t="str">
        <v/>
      </c>
      <c r="H397" s="1087"/>
      <c r="I397" s="1087"/>
      <c r="J397" s="1087"/>
      <c r="K397" s="1087"/>
      <c r="L397" s="1087"/>
      <c r="M397" s="1087"/>
      <c r="N397" s="1087"/>
      <c r="O397" s="1087"/>
      <c r="P397" s="1087"/>
      <c r="Q397" s="1087"/>
      <c r="R397" s="1087"/>
      <c r="S397" s="1087"/>
      <c r="T397" s="1087"/>
      <c r="U397" s="1087"/>
      <c r="V397" s="1087"/>
      <c r="W397" s="1087"/>
      <c r="X397" s="1087"/>
      <c r="Y397" s="1087"/>
      <c r="Z397" s="1087"/>
      <c r="AA397" s="1087"/>
      <c r="AB397" s="1087"/>
      <c r="AC397" s="1087"/>
      <c r="AD397" s="1087"/>
      <c r="AE397" s="1087"/>
      <c r="AF397" s="1087"/>
      <c r="AG397" s="1087"/>
      <c r="AH397" s="1087"/>
      <c r="AI397" s="1087"/>
      <c r="AJ397" s="1087"/>
      <c r="AK397" s="1087"/>
      <c r="AL397" s="1087"/>
      <c r="AM397" s="1087"/>
      <c r="AN397" s="1087"/>
      <c r="AO397" s="1087"/>
      <c r="AP397" s="1087"/>
      <c r="AQ397" s="1087"/>
      <c r="AR397" s="1087"/>
      <c r="AS397" s="1087"/>
      <c r="AT397" s="1087"/>
      <c r="AU397" s="1087"/>
      <c r="AV397" s="1087"/>
      <c r="AW397" s="1087"/>
      <c r="AX397" s="1087"/>
      <c r="AY397" s="1087"/>
      <c r="AZ397" s="1087"/>
      <c r="BA397" s="1087"/>
      <c r="BB397" s="1087"/>
      <c r="BC397" s="1087"/>
      <c r="BD397" s="1087"/>
      <c r="BE397" s="1087"/>
      <c r="BF397" s="1087"/>
      <c r="BG397" s="1087"/>
      <c r="BH397" s="1087"/>
      <c r="BI397" s="1087"/>
      <c r="BJ397" s="1087"/>
      <c r="BK397" s="1087"/>
      <c r="BL397" s="1087"/>
      <c r="BM397" s="1087"/>
      <c r="BN397" s="1087"/>
      <c r="BO397" s="1087"/>
      <c r="BP397" s="1087"/>
      <c r="BQ397" s="1087"/>
      <c r="BR397" s="1087"/>
      <c r="BS397" s="1087"/>
      <c r="BT397" s="1087"/>
      <c r="BU397" s="1087"/>
      <c r="BV397" s="1087"/>
      <c r="BW397" s="1087"/>
      <c r="BX397" s="1087"/>
      <c r="BY397" s="1087"/>
      <c r="BZ397" s="1087"/>
      <c r="CA397" s="1087"/>
      <c r="CB397" s="1087"/>
      <c r="CC397" s="1087"/>
      <c r="CD397" s="1087"/>
      <c r="CE397" s="1087"/>
      <c r="CF397" s="1087"/>
      <c r="CG397" s="1087"/>
      <c r="CH397" s="1087"/>
      <c r="CI397" s="1087"/>
      <c r="CJ397" s="1087"/>
      <c r="CK397" s="1087"/>
      <c r="CL397" s="1087"/>
      <c r="CM397" s="1087"/>
      <c r="CN397" s="1087"/>
      <c r="CO397" s="1087"/>
      <c r="CP397" s="1087"/>
      <c r="CQ397" s="1087"/>
      <c r="CR397" s="1087"/>
      <c r="CS397" s="1087"/>
      <c r="CT397" s="1087"/>
      <c r="CU397" s="1087"/>
      <c r="CV397" s="1087"/>
      <c r="CW397" s="1087"/>
      <c r="CX397" s="1087"/>
      <c r="CY397" s="1087"/>
      <c r="CZ397" s="1087"/>
      <c r="DA397" s="1087"/>
      <c r="DB397" s="1087"/>
      <c r="DC397" s="1087"/>
      <c r="DD397" s="1087"/>
      <c r="DE397" s="1087"/>
      <c r="DF397" s="1087"/>
      <c r="DG397" s="1087"/>
      <c r="DH397" s="1087"/>
      <c r="DI397" s="1087"/>
      <c r="DJ397" s="1087"/>
      <c r="DK397" s="1087"/>
      <c r="DL397" s="1087"/>
      <c r="DM397" s="1087"/>
      <c r="DN397" s="1087"/>
      <c r="DO397" s="1087"/>
      <c r="DP397" s="1087"/>
      <c r="DQ397" s="1087"/>
      <c r="DR397" s="1087"/>
      <c r="DS397" s="1087"/>
      <c r="DT397" s="1087"/>
      <c r="DU397" s="1087"/>
      <c r="DV397" s="1087"/>
      <c r="DW397" s="1087"/>
      <c r="DX397" s="1087"/>
      <c r="DY397" s="1087"/>
      <c r="DZ397" s="1087"/>
      <c r="EA397" s="1087"/>
      <c r="EB397" s="1087"/>
      <c r="EC397" s="1087"/>
      <c r="ED397" s="1087"/>
      <c r="EE397" s="1087"/>
      <c r="EF397" s="1087"/>
      <c r="EG397" s="1087"/>
      <c r="EH397" s="1087"/>
      <c r="EI397" s="1087"/>
      <c r="EJ397" s="1087"/>
      <c r="EK397" s="1087"/>
      <c r="EL397" s="1087"/>
      <c r="EM397" s="1087"/>
      <c r="EN397" s="1087"/>
      <c r="EO397" s="1087"/>
      <c r="EP397" s="1087"/>
      <c r="EQ397" s="1087"/>
      <c r="ER397" s="1087"/>
      <c r="ES397" s="1087"/>
      <c r="ET397" s="1087"/>
      <c r="EU397" s="1087"/>
      <c r="EV397" s="1087"/>
      <c r="EW397" s="1087"/>
      <c r="EX397" s="1087"/>
      <c r="EY397" s="1087"/>
      <c r="EZ397" s="1087"/>
      <c r="FA397" s="1087"/>
      <c r="FB397" s="1087"/>
      <c r="FC397" s="1087"/>
      <c r="FD397" s="1087"/>
      <c r="FE397" s="1087"/>
      <c r="FF397" s="1087"/>
      <c r="FG397" s="1087"/>
      <c r="FH397" s="1087"/>
      <c r="FI397" s="1087"/>
      <c r="FJ397" s="1087"/>
      <c r="FK397" s="1087"/>
      <c r="FL397" s="1087"/>
      <c r="FM397" s="1087"/>
      <c r="FN397" s="1087"/>
      <c r="FO397" s="1087"/>
      <c r="FP397" s="1087"/>
      <c r="FQ397" s="1087"/>
      <c r="FR397" s="1087"/>
      <c r="FS397" s="1087"/>
      <c r="FT397" s="1087"/>
      <c r="FU397" s="1087"/>
      <c r="FV397" s="1087"/>
      <c r="FW397" s="1087"/>
      <c r="FX397" s="1087"/>
      <c r="FY397" s="1087"/>
      <c r="FZ397" s="1087"/>
      <c r="GA397" s="1087"/>
      <c r="GB397" s="1087"/>
      <c r="GC397" s="1087"/>
      <c r="GD397" s="1087"/>
      <c r="GE397" s="1087"/>
      <c r="GF397" s="1087"/>
      <c r="GG397" s="1087"/>
      <c r="GH397" s="1087"/>
      <c r="GI397" s="1087"/>
      <c r="GJ397" s="1087"/>
      <c r="GK397" s="1087"/>
      <c r="GL397" s="1087"/>
      <c r="GM397" s="1087"/>
      <c r="GN397" s="1087"/>
      <c r="GO397" s="1087"/>
      <c r="GP397" s="1087"/>
      <c r="GQ397" s="1087"/>
      <c r="GR397" s="1087"/>
      <c r="GS397" s="1087"/>
      <c r="GT397" s="1087"/>
      <c r="GU397" s="1087"/>
      <c r="GV397" s="1087"/>
      <c r="GW397" s="1087"/>
      <c r="GX397" s="1087"/>
      <c r="GY397" s="1087"/>
      <c r="GZ397" s="1087"/>
      <c r="HA397" s="1087"/>
      <c r="HB397" s="1087"/>
      <c r="HC397" s="1087"/>
      <c r="HD397" s="1087"/>
      <c r="HE397" s="1087"/>
      <c r="HF397" s="1087"/>
      <c r="HG397" s="1087"/>
      <c r="HH397" s="1087"/>
      <c r="HI397" s="1087"/>
      <c r="HJ397" s="1087"/>
      <c r="HK397" s="1087"/>
      <c r="HL397" s="1087"/>
      <c r="HM397" s="1087"/>
      <c r="HN397" s="1087"/>
      <c r="HO397" s="1087"/>
      <c r="HP397" s="1087"/>
      <c r="HQ397" s="1087"/>
      <c r="HR397" s="1087"/>
      <c r="HS397" s="1087"/>
      <c r="HT397" s="1087"/>
      <c r="HU397" s="1087"/>
      <c r="HV397" s="1087"/>
      <c r="HW397" s="1087"/>
      <c r="HX397" s="1087"/>
      <c r="HY397" s="1087"/>
      <c r="HZ397" s="1087"/>
      <c r="IA397" s="1087"/>
      <c r="IB397" s="1087"/>
      <c r="IC397" s="1087"/>
      <c r="ID397" s="1087"/>
      <c r="IE397" s="1087"/>
      <c r="IF397" s="1087"/>
      <c r="IG397" s="1087"/>
      <c r="IH397" s="1087"/>
      <c r="II397" s="1087"/>
      <c r="IJ397" s="1087"/>
      <c r="IK397" s="1087"/>
      <c r="IL397" s="1087"/>
      <c r="IM397" s="1087"/>
      <c r="IN397" s="1087"/>
      <c r="IO397" s="1087"/>
      <c r="IP397" s="1087"/>
      <c r="IQ397" s="1087"/>
      <c r="IR397" s="1087"/>
      <c r="IS397" s="1087"/>
      <c r="IT397" s="1087"/>
      <c r="IU397" s="1087"/>
      <c r="IV397" s="1087"/>
      <c r="IW397" s="1087"/>
      <c r="IX397" s="1087"/>
      <c r="IY397" s="1087"/>
      <c r="IZ397" s="1087"/>
      <c r="JA397" s="1087"/>
      <c r="JB397" s="1087"/>
      <c r="JC397" s="1087"/>
      <c r="JD397" s="1087"/>
      <c r="JE397" s="1087"/>
      <c r="JF397" s="1087"/>
      <c r="JG397" s="1087"/>
      <c r="JH397" s="1087"/>
      <c r="JI397" s="1087"/>
      <c r="JJ397" s="1087"/>
      <c r="JK397" s="1087"/>
      <c r="JL397" s="1087"/>
      <c r="JM397" s="1087"/>
      <c r="JN397" s="1087"/>
      <c r="JO397" s="1087"/>
      <c r="JP397" s="1087"/>
      <c r="JQ397" s="1087"/>
      <c r="JR397" s="1087"/>
      <c r="JS397" s="1087"/>
      <c r="JT397" s="1087"/>
      <c r="JU397" s="1087"/>
      <c r="JV397" s="1087"/>
      <c r="JW397" s="1087"/>
      <c r="JX397" s="1087"/>
      <c r="JY397" s="1087"/>
      <c r="JZ397" s="1087"/>
      <c r="KA397" s="1087"/>
      <c r="KB397" s="1092"/>
    </row>
    <row r="398" spans="2:288" ht="15" customHeight="1" x14ac:dyDescent="0.35">
      <c r="B398" s="146" t="str">
        <f t="shared" si="30"/>
        <v>Desk 79</v>
      </c>
      <c r="C398" s="148" t="str">
        <v/>
      </c>
      <c r="D398" s="148" t="str">
        <v/>
      </c>
      <c r="E398" s="148" t="str">
        <v/>
      </c>
      <c r="F398" s="148" t="str">
        <v/>
      </c>
      <c r="G398" s="268" t="str">
        <v/>
      </c>
      <c r="H398" s="1087"/>
      <c r="I398" s="1087"/>
      <c r="J398" s="1087"/>
      <c r="K398" s="1087"/>
      <c r="L398" s="1087"/>
      <c r="M398" s="1087"/>
      <c r="N398" s="1087"/>
      <c r="O398" s="1087"/>
      <c r="P398" s="1087"/>
      <c r="Q398" s="1087"/>
      <c r="R398" s="1087"/>
      <c r="S398" s="1087"/>
      <c r="T398" s="1087"/>
      <c r="U398" s="1087"/>
      <c r="V398" s="1087"/>
      <c r="W398" s="1087"/>
      <c r="X398" s="1087"/>
      <c r="Y398" s="1087"/>
      <c r="Z398" s="1087"/>
      <c r="AA398" s="1087"/>
      <c r="AB398" s="1087"/>
      <c r="AC398" s="1087"/>
      <c r="AD398" s="1087"/>
      <c r="AE398" s="1087"/>
      <c r="AF398" s="1087"/>
      <c r="AG398" s="1087"/>
      <c r="AH398" s="1087"/>
      <c r="AI398" s="1087"/>
      <c r="AJ398" s="1087"/>
      <c r="AK398" s="1087"/>
      <c r="AL398" s="1087"/>
      <c r="AM398" s="1087"/>
      <c r="AN398" s="1087"/>
      <c r="AO398" s="1087"/>
      <c r="AP398" s="1087"/>
      <c r="AQ398" s="1087"/>
      <c r="AR398" s="1087"/>
      <c r="AS398" s="1087"/>
      <c r="AT398" s="1087"/>
      <c r="AU398" s="1087"/>
      <c r="AV398" s="1087"/>
      <c r="AW398" s="1087"/>
      <c r="AX398" s="1087"/>
      <c r="AY398" s="1087"/>
      <c r="AZ398" s="1087"/>
      <c r="BA398" s="1087"/>
      <c r="BB398" s="1087"/>
      <c r="BC398" s="1087"/>
      <c r="BD398" s="1087"/>
      <c r="BE398" s="1087"/>
      <c r="BF398" s="1087"/>
      <c r="BG398" s="1087"/>
      <c r="BH398" s="1087"/>
      <c r="BI398" s="1087"/>
      <c r="BJ398" s="1087"/>
      <c r="BK398" s="1087"/>
      <c r="BL398" s="1087"/>
      <c r="BM398" s="1087"/>
      <c r="BN398" s="1087"/>
      <c r="BO398" s="1087"/>
      <c r="BP398" s="1087"/>
      <c r="BQ398" s="1087"/>
      <c r="BR398" s="1087"/>
      <c r="BS398" s="1087"/>
      <c r="BT398" s="1087"/>
      <c r="BU398" s="1087"/>
      <c r="BV398" s="1087"/>
      <c r="BW398" s="1087"/>
      <c r="BX398" s="1087"/>
      <c r="BY398" s="1087"/>
      <c r="BZ398" s="1087"/>
      <c r="CA398" s="1087"/>
      <c r="CB398" s="1087"/>
      <c r="CC398" s="1087"/>
      <c r="CD398" s="1087"/>
      <c r="CE398" s="1087"/>
      <c r="CF398" s="1087"/>
      <c r="CG398" s="1087"/>
      <c r="CH398" s="1087"/>
      <c r="CI398" s="1087"/>
      <c r="CJ398" s="1087"/>
      <c r="CK398" s="1087"/>
      <c r="CL398" s="1087"/>
      <c r="CM398" s="1087"/>
      <c r="CN398" s="1087"/>
      <c r="CO398" s="1087"/>
      <c r="CP398" s="1087"/>
      <c r="CQ398" s="1087"/>
      <c r="CR398" s="1087"/>
      <c r="CS398" s="1087"/>
      <c r="CT398" s="1087"/>
      <c r="CU398" s="1087"/>
      <c r="CV398" s="1087"/>
      <c r="CW398" s="1087"/>
      <c r="CX398" s="1087"/>
      <c r="CY398" s="1087"/>
      <c r="CZ398" s="1087"/>
      <c r="DA398" s="1087"/>
      <c r="DB398" s="1087"/>
      <c r="DC398" s="1087"/>
      <c r="DD398" s="1087"/>
      <c r="DE398" s="1087"/>
      <c r="DF398" s="1087"/>
      <c r="DG398" s="1087"/>
      <c r="DH398" s="1087"/>
      <c r="DI398" s="1087"/>
      <c r="DJ398" s="1087"/>
      <c r="DK398" s="1087"/>
      <c r="DL398" s="1087"/>
      <c r="DM398" s="1087"/>
      <c r="DN398" s="1087"/>
      <c r="DO398" s="1087"/>
      <c r="DP398" s="1087"/>
      <c r="DQ398" s="1087"/>
      <c r="DR398" s="1087"/>
      <c r="DS398" s="1087"/>
      <c r="DT398" s="1087"/>
      <c r="DU398" s="1087"/>
      <c r="DV398" s="1087"/>
      <c r="DW398" s="1087"/>
      <c r="DX398" s="1087"/>
      <c r="DY398" s="1087"/>
      <c r="DZ398" s="1087"/>
      <c r="EA398" s="1087"/>
      <c r="EB398" s="1087"/>
      <c r="EC398" s="1087"/>
      <c r="ED398" s="1087"/>
      <c r="EE398" s="1087"/>
      <c r="EF398" s="1087"/>
      <c r="EG398" s="1087"/>
      <c r="EH398" s="1087"/>
      <c r="EI398" s="1087"/>
      <c r="EJ398" s="1087"/>
      <c r="EK398" s="1087"/>
      <c r="EL398" s="1087"/>
      <c r="EM398" s="1087"/>
      <c r="EN398" s="1087"/>
      <c r="EO398" s="1087"/>
      <c r="EP398" s="1087"/>
      <c r="EQ398" s="1087"/>
      <c r="ER398" s="1087"/>
      <c r="ES398" s="1087"/>
      <c r="ET398" s="1087"/>
      <c r="EU398" s="1087"/>
      <c r="EV398" s="1087"/>
      <c r="EW398" s="1087"/>
      <c r="EX398" s="1087"/>
      <c r="EY398" s="1087"/>
      <c r="EZ398" s="1087"/>
      <c r="FA398" s="1087"/>
      <c r="FB398" s="1087"/>
      <c r="FC398" s="1087"/>
      <c r="FD398" s="1087"/>
      <c r="FE398" s="1087"/>
      <c r="FF398" s="1087"/>
      <c r="FG398" s="1087"/>
      <c r="FH398" s="1087"/>
      <c r="FI398" s="1087"/>
      <c r="FJ398" s="1087"/>
      <c r="FK398" s="1087"/>
      <c r="FL398" s="1087"/>
      <c r="FM398" s="1087"/>
      <c r="FN398" s="1087"/>
      <c r="FO398" s="1087"/>
      <c r="FP398" s="1087"/>
      <c r="FQ398" s="1087"/>
      <c r="FR398" s="1087"/>
      <c r="FS398" s="1087"/>
      <c r="FT398" s="1087"/>
      <c r="FU398" s="1087"/>
      <c r="FV398" s="1087"/>
      <c r="FW398" s="1087"/>
      <c r="FX398" s="1087"/>
      <c r="FY398" s="1087"/>
      <c r="FZ398" s="1087"/>
      <c r="GA398" s="1087"/>
      <c r="GB398" s="1087"/>
      <c r="GC398" s="1087"/>
      <c r="GD398" s="1087"/>
      <c r="GE398" s="1087"/>
      <c r="GF398" s="1087"/>
      <c r="GG398" s="1087"/>
      <c r="GH398" s="1087"/>
      <c r="GI398" s="1087"/>
      <c r="GJ398" s="1087"/>
      <c r="GK398" s="1087"/>
      <c r="GL398" s="1087"/>
      <c r="GM398" s="1087"/>
      <c r="GN398" s="1087"/>
      <c r="GO398" s="1087"/>
      <c r="GP398" s="1087"/>
      <c r="GQ398" s="1087"/>
      <c r="GR398" s="1087"/>
      <c r="GS398" s="1087"/>
      <c r="GT398" s="1087"/>
      <c r="GU398" s="1087"/>
      <c r="GV398" s="1087"/>
      <c r="GW398" s="1087"/>
      <c r="GX398" s="1087"/>
      <c r="GY398" s="1087"/>
      <c r="GZ398" s="1087"/>
      <c r="HA398" s="1087"/>
      <c r="HB398" s="1087"/>
      <c r="HC398" s="1087"/>
      <c r="HD398" s="1087"/>
      <c r="HE398" s="1087"/>
      <c r="HF398" s="1087"/>
      <c r="HG398" s="1087"/>
      <c r="HH398" s="1087"/>
      <c r="HI398" s="1087"/>
      <c r="HJ398" s="1087"/>
      <c r="HK398" s="1087"/>
      <c r="HL398" s="1087"/>
      <c r="HM398" s="1087"/>
      <c r="HN398" s="1087"/>
      <c r="HO398" s="1087"/>
      <c r="HP398" s="1087"/>
      <c r="HQ398" s="1087"/>
      <c r="HR398" s="1087"/>
      <c r="HS398" s="1087"/>
      <c r="HT398" s="1087"/>
      <c r="HU398" s="1087"/>
      <c r="HV398" s="1087"/>
      <c r="HW398" s="1087"/>
      <c r="HX398" s="1087"/>
      <c r="HY398" s="1087"/>
      <c r="HZ398" s="1087"/>
      <c r="IA398" s="1087"/>
      <c r="IB398" s="1087"/>
      <c r="IC398" s="1087"/>
      <c r="ID398" s="1087"/>
      <c r="IE398" s="1087"/>
      <c r="IF398" s="1087"/>
      <c r="IG398" s="1087"/>
      <c r="IH398" s="1087"/>
      <c r="II398" s="1087"/>
      <c r="IJ398" s="1087"/>
      <c r="IK398" s="1087"/>
      <c r="IL398" s="1087"/>
      <c r="IM398" s="1087"/>
      <c r="IN398" s="1087"/>
      <c r="IO398" s="1087"/>
      <c r="IP398" s="1087"/>
      <c r="IQ398" s="1087"/>
      <c r="IR398" s="1087"/>
      <c r="IS398" s="1087"/>
      <c r="IT398" s="1087"/>
      <c r="IU398" s="1087"/>
      <c r="IV398" s="1087"/>
      <c r="IW398" s="1087"/>
      <c r="IX398" s="1087"/>
      <c r="IY398" s="1087"/>
      <c r="IZ398" s="1087"/>
      <c r="JA398" s="1087"/>
      <c r="JB398" s="1087"/>
      <c r="JC398" s="1087"/>
      <c r="JD398" s="1087"/>
      <c r="JE398" s="1087"/>
      <c r="JF398" s="1087"/>
      <c r="JG398" s="1087"/>
      <c r="JH398" s="1087"/>
      <c r="JI398" s="1087"/>
      <c r="JJ398" s="1087"/>
      <c r="JK398" s="1087"/>
      <c r="JL398" s="1087"/>
      <c r="JM398" s="1087"/>
      <c r="JN398" s="1087"/>
      <c r="JO398" s="1087"/>
      <c r="JP398" s="1087"/>
      <c r="JQ398" s="1087"/>
      <c r="JR398" s="1087"/>
      <c r="JS398" s="1087"/>
      <c r="JT398" s="1087"/>
      <c r="JU398" s="1087"/>
      <c r="JV398" s="1087"/>
      <c r="JW398" s="1087"/>
      <c r="JX398" s="1087"/>
      <c r="JY398" s="1087"/>
      <c r="JZ398" s="1087"/>
      <c r="KA398" s="1087"/>
      <c r="KB398" s="1092"/>
    </row>
    <row r="399" spans="2:288" ht="15" customHeight="1" x14ac:dyDescent="0.35">
      <c r="B399" s="146" t="str">
        <f t="shared" si="30"/>
        <v>Desk 80</v>
      </c>
      <c r="C399" s="148" t="str">
        <v/>
      </c>
      <c r="D399" s="148" t="str">
        <v/>
      </c>
      <c r="E399" s="148" t="str">
        <v/>
      </c>
      <c r="F399" s="148" t="str">
        <v/>
      </c>
      <c r="G399" s="268" t="str">
        <v/>
      </c>
      <c r="H399" s="1087"/>
      <c r="I399" s="1087"/>
      <c r="J399" s="1087"/>
      <c r="K399" s="1087"/>
      <c r="L399" s="1087"/>
      <c r="M399" s="1087"/>
      <c r="N399" s="1087"/>
      <c r="O399" s="1087"/>
      <c r="P399" s="1087"/>
      <c r="Q399" s="1087"/>
      <c r="R399" s="1087"/>
      <c r="S399" s="1087"/>
      <c r="T399" s="1087"/>
      <c r="U399" s="1087"/>
      <c r="V399" s="1087"/>
      <c r="W399" s="1087"/>
      <c r="X399" s="1087"/>
      <c r="Y399" s="1087"/>
      <c r="Z399" s="1087"/>
      <c r="AA399" s="1087"/>
      <c r="AB399" s="1087"/>
      <c r="AC399" s="1087"/>
      <c r="AD399" s="1087"/>
      <c r="AE399" s="1087"/>
      <c r="AF399" s="1087"/>
      <c r="AG399" s="1087"/>
      <c r="AH399" s="1087"/>
      <c r="AI399" s="1087"/>
      <c r="AJ399" s="1087"/>
      <c r="AK399" s="1087"/>
      <c r="AL399" s="1087"/>
      <c r="AM399" s="1087"/>
      <c r="AN399" s="1087"/>
      <c r="AO399" s="1087"/>
      <c r="AP399" s="1087"/>
      <c r="AQ399" s="1087"/>
      <c r="AR399" s="1087"/>
      <c r="AS399" s="1087"/>
      <c r="AT399" s="1087"/>
      <c r="AU399" s="1087"/>
      <c r="AV399" s="1087"/>
      <c r="AW399" s="1087"/>
      <c r="AX399" s="1087"/>
      <c r="AY399" s="1087"/>
      <c r="AZ399" s="1087"/>
      <c r="BA399" s="1087"/>
      <c r="BB399" s="1087"/>
      <c r="BC399" s="1087"/>
      <c r="BD399" s="1087"/>
      <c r="BE399" s="1087"/>
      <c r="BF399" s="1087"/>
      <c r="BG399" s="1087"/>
      <c r="BH399" s="1087"/>
      <c r="BI399" s="1087"/>
      <c r="BJ399" s="1087"/>
      <c r="BK399" s="1087"/>
      <c r="BL399" s="1087"/>
      <c r="BM399" s="1087"/>
      <c r="BN399" s="1087"/>
      <c r="BO399" s="1087"/>
      <c r="BP399" s="1087"/>
      <c r="BQ399" s="1087"/>
      <c r="BR399" s="1087"/>
      <c r="BS399" s="1087"/>
      <c r="BT399" s="1087"/>
      <c r="BU399" s="1087"/>
      <c r="BV399" s="1087"/>
      <c r="BW399" s="1087"/>
      <c r="BX399" s="1087"/>
      <c r="BY399" s="1087"/>
      <c r="BZ399" s="1087"/>
      <c r="CA399" s="1087"/>
      <c r="CB399" s="1087"/>
      <c r="CC399" s="1087"/>
      <c r="CD399" s="1087"/>
      <c r="CE399" s="1087"/>
      <c r="CF399" s="1087"/>
      <c r="CG399" s="1087"/>
      <c r="CH399" s="1087"/>
      <c r="CI399" s="1087"/>
      <c r="CJ399" s="1087"/>
      <c r="CK399" s="1087"/>
      <c r="CL399" s="1087"/>
      <c r="CM399" s="1087"/>
      <c r="CN399" s="1087"/>
      <c r="CO399" s="1087"/>
      <c r="CP399" s="1087"/>
      <c r="CQ399" s="1087"/>
      <c r="CR399" s="1087"/>
      <c r="CS399" s="1087"/>
      <c r="CT399" s="1087"/>
      <c r="CU399" s="1087"/>
      <c r="CV399" s="1087"/>
      <c r="CW399" s="1087"/>
      <c r="CX399" s="1087"/>
      <c r="CY399" s="1087"/>
      <c r="CZ399" s="1087"/>
      <c r="DA399" s="1087"/>
      <c r="DB399" s="1087"/>
      <c r="DC399" s="1087"/>
      <c r="DD399" s="1087"/>
      <c r="DE399" s="1087"/>
      <c r="DF399" s="1087"/>
      <c r="DG399" s="1087"/>
      <c r="DH399" s="1087"/>
      <c r="DI399" s="1087"/>
      <c r="DJ399" s="1087"/>
      <c r="DK399" s="1087"/>
      <c r="DL399" s="1087"/>
      <c r="DM399" s="1087"/>
      <c r="DN399" s="1087"/>
      <c r="DO399" s="1087"/>
      <c r="DP399" s="1087"/>
      <c r="DQ399" s="1087"/>
      <c r="DR399" s="1087"/>
      <c r="DS399" s="1087"/>
      <c r="DT399" s="1087"/>
      <c r="DU399" s="1087"/>
      <c r="DV399" s="1087"/>
      <c r="DW399" s="1087"/>
      <c r="DX399" s="1087"/>
      <c r="DY399" s="1087"/>
      <c r="DZ399" s="1087"/>
      <c r="EA399" s="1087"/>
      <c r="EB399" s="1087"/>
      <c r="EC399" s="1087"/>
      <c r="ED399" s="1087"/>
      <c r="EE399" s="1087"/>
      <c r="EF399" s="1087"/>
      <c r="EG399" s="1087"/>
      <c r="EH399" s="1087"/>
      <c r="EI399" s="1087"/>
      <c r="EJ399" s="1087"/>
      <c r="EK399" s="1087"/>
      <c r="EL399" s="1087"/>
      <c r="EM399" s="1087"/>
      <c r="EN399" s="1087"/>
      <c r="EO399" s="1087"/>
      <c r="EP399" s="1087"/>
      <c r="EQ399" s="1087"/>
      <c r="ER399" s="1087"/>
      <c r="ES399" s="1087"/>
      <c r="ET399" s="1087"/>
      <c r="EU399" s="1087"/>
      <c r="EV399" s="1087"/>
      <c r="EW399" s="1087"/>
      <c r="EX399" s="1087"/>
      <c r="EY399" s="1087"/>
      <c r="EZ399" s="1087"/>
      <c r="FA399" s="1087"/>
      <c r="FB399" s="1087"/>
      <c r="FC399" s="1087"/>
      <c r="FD399" s="1087"/>
      <c r="FE399" s="1087"/>
      <c r="FF399" s="1087"/>
      <c r="FG399" s="1087"/>
      <c r="FH399" s="1087"/>
      <c r="FI399" s="1087"/>
      <c r="FJ399" s="1087"/>
      <c r="FK399" s="1087"/>
      <c r="FL399" s="1087"/>
      <c r="FM399" s="1087"/>
      <c r="FN399" s="1087"/>
      <c r="FO399" s="1087"/>
      <c r="FP399" s="1087"/>
      <c r="FQ399" s="1087"/>
      <c r="FR399" s="1087"/>
      <c r="FS399" s="1087"/>
      <c r="FT399" s="1087"/>
      <c r="FU399" s="1087"/>
      <c r="FV399" s="1087"/>
      <c r="FW399" s="1087"/>
      <c r="FX399" s="1087"/>
      <c r="FY399" s="1087"/>
      <c r="FZ399" s="1087"/>
      <c r="GA399" s="1087"/>
      <c r="GB399" s="1087"/>
      <c r="GC399" s="1087"/>
      <c r="GD399" s="1087"/>
      <c r="GE399" s="1087"/>
      <c r="GF399" s="1087"/>
      <c r="GG399" s="1087"/>
      <c r="GH399" s="1087"/>
      <c r="GI399" s="1087"/>
      <c r="GJ399" s="1087"/>
      <c r="GK399" s="1087"/>
      <c r="GL399" s="1087"/>
      <c r="GM399" s="1087"/>
      <c r="GN399" s="1087"/>
      <c r="GO399" s="1087"/>
      <c r="GP399" s="1087"/>
      <c r="GQ399" s="1087"/>
      <c r="GR399" s="1087"/>
      <c r="GS399" s="1087"/>
      <c r="GT399" s="1087"/>
      <c r="GU399" s="1087"/>
      <c r="GV399" s="1087"/>
      <c r="GW399" s="1087"/>
      <c r="GX399" s="1087"/>
      <c r="GY399" s="1087"/>
      <c r="GZ399" s="1087"/>
      <c r="HA399" s="1087"/>
      <c r="HB399" s="1087"/>
      <c r="HC399" s="1087"/>
      <c r="HD399" s="1087"/>
      <c r="HE399" s="1087"/>
      <c r="HF399" s="1087"/>
      <c r="HG399" s="1087"/>
      <c r="HH399" s="1087"/>
      <c r="HI399" s="1087"/>
      <c r="HJ399" s="1087"/>
      <c r="HK399" s="1087"/>
      <c r="HL399" s="1087"/>
      <c r="HM399" s="1087"/>
      <c r="HN399" s="1087"/>
      <c r="HO399" s="1087"/>
      <c r="HP399" s="1087"/>
      <c r="HQ399" s="1087"/>
      <c r="HR399" s="1087"/>
      <c r="HS399" s="1087"/>
      <c r="HT399" s="1087"/>
      <c r="HU399" s="1087"/>
      <c r="HV399" s="1087"/>
      <c r="HW399" s="1087"/>
      <c r="HX399" s="1087"/>
      <c r="HY399" s="1087"/>
      <c r="HZ399" s="1087"/>
      <c r="IA399" s="1087"/>
      <c r="IB399" s="1087"/>
      <c r="IC399" s="1087"/>
      <c r="ID399" s="1087"/>
      <c r="IE399" s="1087"/>
      <c r="IF399" s="1087"/>
      <c r="IG399" s="1087"/>
      <c r="IH399" s="1087"/>
      <c r="II399" s="1087"/>
      <c r="IJ399" s="1087"/>
      <c r="IK399" s="1087"/>
      <c r="IL399" s="1087"/>
      <c r="IM399" s="1087"/>
      <c r="IN399" s="1087"/>
      <c r="IO399" s="1087"/>
      <c r="IP399" s="1087"/>
      <c r="IQ399" s="1087"/>
      <c r="IR399" s="1087"/>
      <c r="IS399" s="1087"/>
      <c r="IT399" s="1087"/>
      <c r="IU399" s="1087"/>
      <c r="IV399" s="1087"/>
      <c r="IW399" s="1087"/>
      <c r="IX399" s="1087"/>
      <c r="IY399" s="1087"/>
      <c r="IZ399" s="1087"/>
      <c r="JA399" s="1087"/>
      <c r="JB399" s="1087"/>
      <c r="JC399" s="1087"/>
      <c r="JD399" s="1087"/>
      <c r="JE399" s="1087"/>
      <c r="JF399" s="1087"/>
      <c r="JG399" s="1087"/>
      <c r="JH399" s="1087"/>
      <c r="JI399" s="1087"/>
      <c r="JJ399" s="1087"/>
      <c r="JK399" s="1087"/>
      <c r="JL399" s="1087"/>
      <c r="JM399" s="1087"/>
      <c r="JN399" s="1087"/>
      <c r="JO399" s="1087"/>
      <c r="JP399" s="1087"/>
      <c r="JQ399" s="1087"/>
      <c r="JR399" s="1087"/>
      <c r="JS399" s="1087"/>
      <c r="JT399" s="1087"/>
      <c r="JU399" s="1087"/>
      <c r="JV399" s="1087"/>
      <c r="JW399" s="1087"/>
      <c r="JX399" s="1087"/>
      <c r="JY399" s="1087"/>
      <c r="JZ399" s="1087"/>
      <c r="KA399" s="1087"/>
      <c r="KB399" s="1092"/>
    </row>
    <row r="400" spans="2:288" ht="15" customHeight="1" x14ac:dyDescent="0.35">
      <c r="B400" s="146" t="str">
        <f t="shared" si="30"/>
        <v>Desk 81</v>
      </c>
      <c r="C400" s="148" t="str">
        <v/>
      </c>
      <c r="D400" s="148" t="str">
        <v/>
      </c>
      <c r="E400" s="148" t="str">
        <v/>
      </c>
      <c r="F400" s="148" t="str">
        <v/>
      </c>
      <c r="G400" s="268" t="str">
        <v/>
      </c>
      <c r="H400" s="1087"/>
      <c r="I400" s="1087"/>
      <c r="J400" s="1087"/>
      <c r="K400" s="1087"/>
      <c r="L400" s="1087"/>
      <c r="M400" s="1087"/>
      <c r="N400" s="1087"/>
      <c r="O400" s="1087"/>
      <c r="P400" s="1087"/>
      <c r="Q400" s="1087"/>
      <c r="R400" s="1087"/>
      <c r="S400" s="1087"/>
      <c r="T400" s="1087"/>
      <c r="U400" s="1087"/>
      <c r="V400" s="1087"/>
      <c r="W400" s="1087"/>
      <c r="X400" s="1087"/>
      <c r="Y400" s="1087"/>
      <c r="Z400" s="1087"/>
      <c r="AA400" s="1087"/>
      <c r="AB400" s="1087"/>
      <c r="AC400" s="1087"/>
      <c r="AD400" s="1087"/>
      <c r="AE400" s="1087"/>
      <c r="AF400" s="1087"/>
      <c r="AG400" s="1087"/>
      <c r="AH400" s="1087"/>
      <c r="AI400" s="1087"/>
      <c r="AJ400" s="1087"/>
      <c r="AK400" s="1087"/>
      <c r="AL400" s="1087"/>
      <c r="AM400" s="1087"/>
      <c r="AN400" s="1087"/>
      <c r="AO400" s="1087"/>
      <c r="AP400" s="1087"/>
      <c r="AQ400" s="1087"/>
      <c r="AR400" s="1087"/>
      <c r="AS400" s="1087"/>
      <c r="AT400" s="1087"/>
      <c r="AU400" s="1087"/>
      <c r="AV400" s="1087"/>
      <c r="AW400" s="1087"/>
      <c r="AX400" s="1087"/>
      <c r="AY400" s="1087"/>
      <c r="AZ400" s="1087"/>
      <c r="BA400" s="1087"/>
      <c r="BB400" s="1087"/>
      <c r="BC400" s="1087"/>
      <c r="BD400" s="1087"/>
      <c r="BE400" s="1087"/>
      <c r="BF400" s="1087"/>
      <c r="BG400" s="1087"/>
      <c r="BH400" s="1087"/>
      <c r="BI400" s="1087"/>
      <c r="BJ400" s="1087"/>
      <c r="BK400" s="1087"/>
      <c r="BL400" s="1087"/>
      <c r="BM400" s="1087"/>
      <c r="BN400" s="1087"/>
      <c r="BO400" s="1087"/>
      <c r="BP400" s="1087"/>
      <c r="BQ400" s="1087"/>
      <c r="BR400" s="1087"/>
      <c r="BS400" s="1087"/>
      <c r="BT400" s="1087"/>
      <c r="BU400" s="1087"/>
      <c r="BV400" s="1087"/>
      <c r="BW400" s="1087"/>
      <c r="BX400" s="1087"/>
      <c r="BY400" s="1087"/>
      <c r="BZ400" s="1087"/>
      <c r="CA400" s="1087"/>
      <c r="CB400" s="1087"/>
      <c r="CC400" s="1087"/>
      <c r="CD400" s="1087"/>
      <c r="CE400" s="1087"/>
      <c r="CF400" s="1087"/>
      <c r="CG400" s="1087"/>
      <c r="CH400" s="1087"/>
      <c r="CI400" s="1087"/>
      <c r="CJ400" s="1087"/>
      <c r="CK400" s="1087"/>
      <c r="CL400" s="1087"/>
      <c r="CM400" s="1087"/>
      <c r="CN400" s="1087"/>
      <c r="CO400" s="1087"/>
      <c r="CP400" s="1087"/>
      <c r="CQ400" s="1087"/>
      <c r="CR400" s="1087"/>
      <c r="CS400" s="1087"/>
      <c r="CT400" s="1087"/>
      <c r="CU400" s="1087"/>
      <c r="CV400" s="1087"/>
      <c r="CW400" s="1087"/>
      <c r="CX400" s="1087"/>
      <c r="CY400" s="1087"/>
      <c r="CZ400" s="1087"/>
      <c r="DA400" s="1087"/>
      <c r="DB400" s="1087"/>
      <c r="DC400" s="1087"/>
      <c r="DD400" s="1087"/>
      <c r="DE400" s="1087"/>
      <c r="DF400" s="1087"/>
      <c r="DG400" s="1087"/>
      <c r="DH400" s="1087"/>
      <c r="DI400" s="1087"/>
      <c r="DJ400" s="1087"/>
      <c r="DK400" s="1087"/>
      <c r="DL400" s="1087"/>
      <c r="DM400" s="1087"/>
      <c r="DN400" s="1087"/>
      <c r="DO400" s="1087"/>
      <c r="DP400" s="1087"/>
      <c r="DQ400" s="1087"/>
      <c r="DR400" s="1087"/>
      <c r="DS400" s="1087"/>
      <c r="DT400" s="1087"/>
      <c r="DU400" s="1087"/>
      <c r="DV400" s="1087"/>
      <c r="DW400" s="1087"/>
      <c r="DX400" s="1087"/>
      <c r="DY400" s="1087"/>
      <c r="DZ400" s="1087"/>
      <c r="EA400" s="1087"/>
      <c r="EB400" s="1087"/>
      <c r="EC400" s="1087"/>
      <c r="ED400" s="1087"/>
      <c r="EE400" s="1087"/>
      <c r="EF400" s="1087"/>
      <c r="EG400" s="1087"/>
      <c r="EH400" s="1087"/>
      <c r="EI400" s="1087"/>
      <c r="EJ400" s="1087"/>
      <c r="EK400" s="1087"/>
      <c r="EL400" s="1087"/>
      <c r="EM400" s="1087"/>
      <c r="EN400" s="1087"/>
      <c r="EO400" s="1087"/>
      <c r="EP400" s="1087"/>
      <c r="EQ400" s="1087"/>
      <c r="ER400" s="1087"/>
      <c r="ES400" s="1087"/>
      <c r="ET400" s="1087"/>
      <c r="EU400" s="1087"/>
      <c r="EV400" s="1087"/>
      <c r="EW400" s="1087"/>
      <c r="EX400" s="1087"/>
      <c r="EY400" s="1087"/>
      <c r="EZ400" s="1087"/>
      <c r="FA400" s="1087"/>
      <c r="FB400" s="1087"/>
      <c r="FC400" s="1087"/>
      <c r="FD400" s="1087"/>
      <c r="FE400" s="1087"/>
      <c r="FF400" s="1087"/>
      <c r="FG400" s="1087"/>
      <c r="FH400" s="1087"/>
      <c r="FI400" s="1087"/>
      <c r="FJ400" s="1087"/>
      <c r="FK400" s="1087"/>
      <c r="FL400" s="1087"/>
      <c r="FM400" s="1087"/>
      <c r="FN400" s="1087"/>
      <c r="FO400" s="1087"/>
      <c r="FP400" s="1087"/>
      <c r="FQ400" s="1087"/>
      <c r="FR400" s="1087"/>
      <c r="FS400" s="1087"/>
      <c r="FT400" s="1087"/>
      <c r="FU400" s="1087"/>
      <c r="FV400" s="1087"/>
      <c r="FW400" s="1087"/>
      <c r="FX400" s="1087"/>
      <c r="FY400" s="1087"/>
      <c r="FZ400" s="1087"/>
      <c r="GA400" s="1087"/>
      <c r="GB400" s="1087"/>
      <c r="GC400" s="1087"/>
      <c r="GD400" s="1087"/>
      <c r="GE400" s="1087"/>
      <c r="GF400" s="1087"/>
      <c r="GG400" s="1087"/>
      <c r="GH400" s="1087"/>
      <c r="GI400" s="1087"/>
      <c r="GJ400" s="1087"/>
      <c r="GK400" s="1087"/>
      <c r="GL400" s="1087"/>
      <c r="GM400" s="1087"/>
      <c r="GN400" s="1087"/>
      <c r="GO400" s="1087"/>
      <c r="GP400" s="1087"/>
      <c r="GQ400" s="1087"/>
      <c r="GR400" s="1087"/>
      <c r="GS400" s="1087"/>
      <c r="GT400" s="1087"/>
      <c r="GU400" s="1087"/>
      <c r="GV400" s="1087"/>
      <c r="GW400" s="1087"/>
      <c r="GX400" s="1087"/>
      <c r="GY400" s="1087"/>
      <c r="GZ400" s="1087"/>
      <c r="HA400" s="1087"/>
      <c r="HB400" s="1087"/>
      <c r="HC400" s="1087"/>
      <c r="HD400" s="1087"/>
      <c r="HE400" s="1087"/>
      <c r="HF400" s="1087"/>
      <c r="HG400" s="1087"/>
      <c r="HH400" s="1087"/>
      <c r="HI400" s="1087"/>
      <c r="HJ400" s="1087"/>
      <c r="HK400" s="1087"/>
      <c r="HL400" s="1087"/>
      <c r="HM400" s="1087"/>
      <c r="HN400" s="1087"/>
      <c r="HO400" s="1087"/>
      <c r="HP400" s="1087"/>
      <c r="HQ400" s="1087"/>
      <c r="HR400" s="1087"/>
      <c r="HS400" s="1087"/>
      <c r="HT400" s="1087"/>
      <c r="HU400" s="1087"/>
      <c r="HV400" s="1087"/>
      <c r="HW400" s="1087"/>
      <c r="HX400" s="1087"/>
      <c r="HY400" s="1087"/>
      <c r="HZ400" s="1087"/>
      <c r="IA400" s="1087"/>
      <c r="IB400" s="1087"/>
      <c r="IC400" s="1087"/>
      <c r="ID400" s="1087"/>
      <c r="IE400" s="1087"/>
      <c r="IF400" s="1087"/>
      <c r="IG400" s="1087"/>
      <c r="IH400" s="1087"/>
      <c r="II400" s="1087"/>
      <c r="IJ400" s="1087"/>
      <c r="IK400" s="1087"/>
      <c r="IL400" s="1087"/>
      <c r="IM400" s="1087"/>
      <c r="IN400" s="1087"/>
      <c r="IO400" s="1087"/>
      <c r="IP400" s="1087"/>
      <c r="IQ400" s="1087"/>
      <c r="IR400" s="1087"/>
      <c r="IS400" s="1087"/>
      <c r="IT400" s="1087"/>
      <c r="IU400" s="1087"/>
      <c r="IV400" s="1087"/>
      <c r="IW400" s="1087"/>
      <c r="IX400" s="1087"/>
      <c r="IY400" s="1087"/>
      <c r="IZ400" s="1087"/>
      <c r="JA400" s="1087"/>
      <c r="JB400" s="1087"/>
      <c r="JC400" s="1087"/>
      <c r="JD400" s="1087"/>
      <c r="JE400" s="1087"/>
      <c r="JF400" s="1087"/>
      <c r="JG400" s="1087"/>
      <c r="JH400" s="1087"/>
      <c r="JI400" s="1087"/>
      <c r="JJ400" s="1087"/>
      <c r="JK400" s="1087"/>
      <c r="JL400" s="1087"/>
      <c r="JM400" s="1087"/>
      <c r="JN400" s="1087"/>
      <c r="JO400" s="1087"/>
      <c r="JP400" s="1087"/>
      <c r="JQ400" s="1087"/>
      <c r="JR400" s="1087"/>
      <c r="JS400" s="1087"/>
      <c r="JT400" s="1087"/>
      <c r="JU400" s="1087"/>
      <c r="JV400" s="1087"/>
      <c r="JW400" s="1087"/>
      <c r="JX400" s="1087"/>
      <c r="JY400" s="1087"/>
      <c r="JZ400" s="1087"/>
      <c r="KA400" s="1087"/>
      <c r="KB400" s="1092"/>
    </row>
    <row r="401" spans="2:288" ht="15" customHeight="1" x14ac:dyDescent="0.35">
      <c r="B401" s="146" t="str">
        <f t="shared" si="30"/>
        <v>Desk 82</v>
      </c>
      <c r="C401" s="148" t="str">
        <v/>
      </c>
      <c r="D401" s="148" t="str">
        <v/>
      </c>
      <c r="E401" s="148" t="str">
        <v/>
      </c>
      <c r="F401" s="148" t="str">
        <v/>
      </c>
      <c r="G401" s="268" t="str">
        <v/>
      </c>
      <c r="H401" s="1087"/>
      <c r="I401" s="1087"/>
      <c r="J401" s="1087"/>
      <c r="K401" s="1087"/>
      <c r="L401" s="1087"/>
      <c r="M401" s="1087"/>
      <c r="N401" s="1087"/>
      <c r="O401" s="1087"/>
      <c r="P401" s="1087"/>
      <c r="Q401" s="1087"/>
      <c r="R401" s="1087"/>
      <c r="S401" s="1087"/>
      <c r="T401" s="1087"/>
      <c r="U401" s="1087"/>
      <c r="V401" s="1087"/>
      <c r="W401" s="1087"/>
      <c r="X401" s="1087"/>
      <c r="Y401" s="1087"/>
      <c r="Z401" s="1087"/>
      <c r="AA401" s="1087"/>
      <c r="AB401" s="1087"/>
      <c r="AC401" s="1087"/>
      <c r="AD401" s="1087"/>
      <c r="AE401" s="1087"/>
      <c r="AF401" s="1087"/>
      <c r="AG401" s="1087"/>
      <c r="AH401" s="1087"/>
      <c r="AI401" s="1087"/>
      <c r="AJ401" s="1087"/>
      <c r="AK401" s="1087"/>
      <c r="AL401" s="1087"/>
      <c r="AM401" s="1087"/>
      <c r="AN401" s="1087"/>
      <c r="AO401" s="1087"/>
      <c r="AP401" s="1087"/>
      <c r="AQ401" s="1087"/>
      <c r="AR401" s="1087"/>
      <c r="AS401" s="1087"/>
      <c r="AT401" s="1087"/>
      <c r="AU401" s="1087"/>
      <c r="AV401" s="1087"/>
      <c r="AW401" s="1087"/>
      <c r="AX401" s="1087"/>
      <c r="AY401" s="1087"/>
      <c r="AZ401" s="1087"/>
      <c r="BA401" s="1087"/>
      <c r="BB401" s="1087"/>
      <c r="BC401" s="1087"/>
      <c r="BD401" s="1087"/>
      <c r="BE401" s="1087"/>
      <c r="BF401" s="1087"/>
      <c r="BG401" s="1087"/>
      <c r="BH401" s="1087"/>
      <c r="BI401" s="1087"/>
      <c r="BJ401" s="1087"/>
      <c r="BK401" s="1087"/>
      <c r="BL401" s="1087"/>
      <c r="BM401" s="1087"/>
      <c r="BN401" s="1087"/>
      <c r="BO401" s="1087"/>
      <c r="BP401" s="1087"/>
      <c r="BQ401" s="1087"/>
      <c r="BR401" s="1087"/>
      <c r="BS401" s="1087"/>
      <c r="BT401" s="1087"/>
      <c r="BU401" s="1087"/>
      <c r="BV401" s="1087"/>
      <c r="BW401" s="1087"/>
      <c r="BX401" s="1087"/>
      <c r="BY401" s="1087"/>
      <c r="BZ401" s="1087"/>
      <c r="CA401" s="1087"/>
      <c r="CB401" s="1087"/>
      <c r="CC401" s="1087"/>
      <c r="CD401" s="1087"/>
      <c r="CE401" s="1087"/>
      <c r="CF401" s="1087"/>
      <c r="CG401" s="1087"/>
      <c r="CH401" s="1087"/>
      <c r="CI401" s="1087"/>
      <c r="CJ401" s="1087"/>
      <c r="CK401" s="1087"/>
      <c r="CL401" s="1087"/>
      <c r="CM401" s="1087"/>
      <c r="CN401" s="1087"/>
      <c r="CO401" s="1087"/>
      <c r="CP401" s="1087"/>
      <c r="CQ401" s="1087"/>
      <c r="CR401" s="1087"/>
      <c r="CS401" s="1087"/>
      <c r="CT401" s="1087"/>
      <c r="CU401" s="1087"/>
      <c r="CV401" s="1087"/>
      <c r="CW401" s="1087"/>
      <c r="CX401" s="1087"/>
      <c r="CY401" s="1087"/>
      <c r="CZ401" s="1087"/>
      <c r="DA401" s="1087"/>
      <c r="DB401" s="1087"/>
      <c r="DC401" s="1087"/>
      <c r="DD401" s="1087"/>
      <c r="DE401" s="1087"/>
      <c r="DF401" s="1087"/>
      <c r="DG401" s="1087"/>
      <c r="DH401" s="1087"/>
      <c r="DI401" s="1087"/>
      <c r="DJ401" s="1087"/>
      <c r="DK401" s="1087"/>
      <c r="DL401" s="1087"/>
      <c r="DM401" s="1087"/>
      <c r="DN401" s="1087"/>
      <c r="DO401" s="1087"/>
      <c r="DP401" s="1087"/>
      <c r="DQ401" s="1087"/>
      <c r="DR401" s="1087"/>
      <c r="DS401" s="1087"/>
      <c r="DT401" s="1087"/>
      <c r="DU401" s="1087"/>
      <c r="DV401" s="1087"/>
      <c r="DW401" s="1087"/>
      <c r="DX401" s="1087"/>
      <c r="DY401" s="1087"/>
      <c r="DZ401" s="1087"/>
      <c r="EA401" s="1087"/>
      <c r="EB401" s="1087"/>
      <c r="EC401" s="1087"/>
      <c r="ED401" s="1087"/>
      <c r="EE401" s="1087"/>
      <c r="EF401" s="1087"/>
      <c r="EG401" s="1087"/>
      <c r="EH401" s="1087"/>
      <c r="EI401" s="1087"/>
      <c r="EJ401" s="1087"/>
      <c r="EK401" s="1087"/>
      <c r="EL401" s="1087"/>
      <c r="EM401" s="1087"/>
      <c r="EN401" s="1087"/>
      <c r="EO401" s="1087"/>
      <c r="EP401" s="1087"/>
      <c r="EQ401" s="1087"/>
      <c r="ER401" s="1087"/>
      <c r="ES401" s="1087"/>
      <c r="ET401" s="1087"/>
      <c r="EU401" s="1087"/>
      <c r="EV401" s="1087"/>
      <c r="EW401" s="1087"/>
      <c r="EX401" s="1087"/>
      <c r="EY401" s="1087"/>
      <c r="EZ401" s="1087"/>
      <c r="FA401" s="1087"/>
      <c r="FB401" s="1087"/>
      <c r="FC401" s="1087"/>
      <c r="FD401" s="1087"/>
      <c r="FE401" s="1087"/>
      <c r="FF401" s="1087"/>
      <c r="FG401" s="1087"/>
      <c r="FH401" s="1087"/>
      <c r="FI401" s="1087"/>
      <c r="FJ401" s="1087"/>
      <c r="FK401" s="1087"/>
      <c r="FL401" s="1087"/>
      <c r="FM401" s="1087"/>
      <c r="FN401" s="1087"/>
      <c r="FO401" s="1087"/>
      <c r="FP401" s="1087"/>
      <c r="FQ401" s="1087"/>
      <c r="FR401" s="1087"/>
      <c r="FS401" s="1087"/>
      <c r="FT401" s="1087"/>
      <c r="FU401" s="1087"/>
      <c r="FV401" s="1087"/>
      <c r="FW401" s="1087"/>
      <c r="FX401" s="1087"/>
      <c r="FY401" s="1087"/>
      <c r="FZ401" s="1087"/>
      <c r="GA401" s="1087"/>
      <c r="GB401" s="1087"/>
      <c r="GC401" s="1087"/>
      <c r="GD401" s="1087"/>
      <c r="GE401" s="1087"/>
      <c r="GF401" s="1087"/>
      <c r="GG401" s="1087"/>
      <c r="GH401" s="1087"/>
      <c r="GI401" s="1087"/>
      <c r="GJ401" s="1087"/>
      <c r="GK401" s="1087"/>
      <c r="GL401" s="1087"/>
      <c r="GM401" s="1087"/>
      <c r="GN401" s="1087"/>
      <c r="GO401" s="1087"/>
      <c r="GP401" s="1087"/>
      <c r="GQ401" s="1087"/>
      <c r="GR401" s="1087"/>
      <c r="GS401" s="1087"/>
      <c r="GT401" s="1087"/>
      <c r="GU401" s="1087"/>
      <c r="GV401" s="1087"/>
      <c r="GW401" s="1087"/>
      <c r="GX401" s="1087"/>
      <c r="GY401" s="1087"/>
      <c r="GZ401" s="1087"/>
      <c r="HA401" s="1087"/>
      <c r="HB401" s="1087"/>
      <c r="HC401" s="1087"/>
      <c r="HD401" s="1087"/>
      <c r="HE401" s="1087"/>
      <c r="HF401" s="1087"/>
      <c r="HG401" s="1087"/>
      <c r="HH401" s="1087"/>
      <c r="HI401" s="1087"/>
      <c r="HJ401" s="1087"/>
      <c r="HK401" s="1087"/>
      <c r="HL401" s="1087"/>
      <c r="HM401" s="1087"/>
      <c r="HN401" s="1087"/>
      <c r="HO401" s="1087"/>
      <c r="HP401" s="1087"/>
      <c r="HQ401" s="1087"/>
      <c r="HR401" s="1087"/>
      <c r="HS401" s="1087"/>
      <c r="HT401" s="1087"/>
      <c r="HU401" s="1087"/>
      <c r="HV401" s="1087"/>
      <c r="HW401" s="1087"/>
      <c r="HX401" s="1087"/>
      <c r="HY401" s="1087"/>
      <c r="HZ401" s="1087"/>
      <c r="IA401" s="1087"/>
      <c r="IB401" s="1087"/>
      <c r="IC401" s="1087"/>
      <c r="ID401" s="1087"/>
      <c r="IE401" s="1087"/>
      <c r="IF401" s="1087"/>
      <c r="IG401" s="1087"/>
      <c r="IH401" s="1087"/>
      <c r="II401" s="1087"/>
      <c r="IJ401" s="1087"/>
      <c r="IK401" s="1087"/>
      <c r="IL401" s="1087"/>
      <c r="IM401" s="1087"/>
      <c r="IN401" s="1087"/>
      <c r="IO401" s="1087"/>
      <c r="IP401" s="1087"/>
      <c r="IQ401" s="1087"/>
      <c r="IR401" s="1087"/>
      <c r="IS401" s="1087"/>
      <c r="IT401" s="1087"/>
      <c r="IU401" s="1087"/>
      <c r="IV401" s="1087"/>
      <c r="IW401" s="1087"/>
      <c r="IX401" s="1087"/>
      <c r="IY401" s="1087"/>
      <c r="IZ401" s="1087"/>
      <c r="JA401" s="1087"/>
      <c r="JB401" s="1087"/>
      <c r="JC401" s="1087"/>
      <c r="JD401" s="1087"/>
      <c r="JE401" s="1087"/>
      <c r="JF401" s="1087"/>
      <c r="JG401" s="1087"/>
      <c r="JH401" s="1087"/>
      <c r="JI401" s="1087"/>
      <c r="JJ401" s="1087"/>
      <c r="JK401" s="1087"/>
      <c r="JL401" s="1087"/>
      <c r="JM401" s="1087"/>
      <c r="JN401" s="1087"/>
      <c r="JO401" s="1087"/>
      <c r="JP401" s="1087"/>
      <c r="JQ401" s="1087"/>
      <c r="JR401" s="1087"/>
      <c r="JS401" s="1087"/>
      <c r="JT401" s="1087"/>
      <c r="JU401" s="1087"/>
      <c r="JV401" s="1087"/>
      <c r="JW401" s="1087"/>
      <c r="JX401" s="1087"/>
      <c r="JY401" s="1087"/>
      <c r="JZ401" s="1087"/>
      <c r="KA401" s="1087"/>
      <c r="KB401" s="1092"/>
    </row>
    <row r="402" spans="2:288" ht="15" customHeight="1" x14ac:dyDescent="0.35">
      <c r="B402" s="146" t="str">
        <f t="shared" si="30"/>
        <v>Desk 83</v>
      </c>
      <c r="C402" s="148" t="str">
        <v/>
      </c>
      <c r="D402" s="148" t="str">
        <v/>
      </c>
      <c r="E402" s="148" t="str">
        <v/>
      </c>
      <c r="F402" s="148" t="str">
        <v/>
      </c>
      <c r="G402" s="268" t="str">
        <v/>
      </c>
      <c r="H402" s="1087"/>
      <c r="I402" s="1087"/>
      <c r="J402" s="1087"/>
      <c r="K402" s="1087"/>
      <c r="L402" s="1087"/>
      <c r="M402" s="1087"/>
      <c r="N402" s="1087"/>
      <c r="O402" s="1087"/>
      <c r="P402" s="1087"/>
      <c r="Q402" s="1087"/>
      <c r="R402" s="1087"/>
      <c r="S402" s="1087"/>
      <c r="T402" s="1087"/>
      <c r="U402" s="1087"/>
      <c r="V402" s="1087"/>
      <c r="W402" s="1087"/>
      <c r="X402" s="1087"/>
      <c r="Y402" s="1087"/>
      <c r="Z402" s="1087"/>
      <c r="AA402" s="1087"/>
      <c r="AB402" s="1087"/>
      <c r="AC402" s="1087"/>
      <c r="AD402" s="1087"/>
      <c r="AE402" s="1087"/>
      <c r="AF402" s="1087"/>
      <c r="AG402" s="1087"/>
      <c r="AH402" s="1087"/>
      <c r="AI402" s="1087"/>
      <c r="AJ402" s="1087"/>
      <c r="AK402" s="1087"/>
      <c r="AL402" s="1087"/>
      <c r="AM402" s="1087"/>
      <c r="AN402" s="1087"/>
      <c r="AO402" s="1087"/>
      <c r="AP402" s="1087"/>
      <c r="AQ402" s="1087"/>
      <c r="AR402" s="1087"/>
      <c r="AS402" s="1087"/>
      <c r="AT402" s="1087"/>
      <c r="AU402" s="1087"/>
      <c r="AV402" s="1087"/>
      <c r="AW402" s="1087"/>
      <c r="AX402" s="1087"/>
      <c r="AY402" s="1087"/>
      <c r="AZ402" s="1087"/>
      <c r="BA402" s="1087"/>
      <c r="BB402" s="1087"/>
      <c r="BC402" s="1087"/>
      <c r="BD402" s="1087"/>
      <c r="BE402" s="1087"/>
      <c r="BF402" s="1087"/>
      <c r="BG402" s="1087"/>
      <c r="BH402" s="1087"/>
      <c r="BI402" s="1087"/>
      <c r="BJ402" s="1087"/>
      <c r="BK402" s="1087"/>
      <c r="BL402" s="1087"/>
      <c r="BM402" s="1087"/>
      <c r="BN402" s="1087"/>
      <c r="BO402" s="1087"/>
      <c r="BP402" s="1087"/>
      <c r="BQ402" s="1087"/>
      <c r="BR402" s="1087"/>
      <c r="BS402" s="1087"/>
      <c r="BT402" s="1087"/>
      <c r="BU402" s="1087"/>
      <c r="BV402" s="1087"/>
      <c r="BW402" s="1087"/>
      <c r="BX402" s="1087"/>
      <c r="BY402" s="1087"/>
      <c r="BZ402" s="1087"/>
      <c r="CA402" s="1087"/>
      <c r="CB402" s="1087"/>
      <c r="CC402" s="1087"/>
      <c r="CD402" s="1087"/>
      <c r="CE402" s="1087"/>
      <c r="CF402" s="1087"/>
      <c r="CG402" s="1087"/>
      <c r="CH402" s="1087"/>
      <c r="CI402" s="1087"/>
      <c r="CJ402" s="1087"/>
      <c r="CK402" s="1087"/>
      <c r="CL402" s="1087"/>
      <c r="CM402" s="1087"/>
      <c r="CN402" s="1087"/>
      <c r="CO402" s="1087"/>
      <c r="CP402" s="1087"/>
      <c r="CQ402" s="1087"/>
      <c r="CR402" s="1087"/>
      <c r="CS402" s="1087"/>
      <c r="CT402" s="1087"/>
      <c r="CU402" s="1087"/>
      <c r="CV402" s="1087"/>
      <c r="CW402" s="1087"/>
      <c r="CX402" s="1087"/>
      <c r="CY402" s="1087"/>
      <c r="CZ402" s="1087"/>
      <c r="DA402" s="1087"/>
      <c r="DB402" s="1087"/>
      <c r="DC402" s="1087"/>
      <c r="DD402" s="1087"/>
      <c r="DE402" s="1087"/>
      <c r="DF402" s="1087"/>
      <c r="DG402" s="1087"/>
      <c r="DH402" s="1087"/>
      <c r="DI402" s="1087"/>
      <c r="DJ402" s="1087"/>
      <c r="DK402" s="1087"/>
      <c r="DL402" s="1087"/>
      <c r="DM402" s="1087"/>
      <c r="DN402" s="1087"/>
      <c r="DO402" s="1087"/>
      <c r="DP402" s="1087"/>
      <c r="DQ402" s="1087"/>
      <c r="DR402" s="1087"/>
      <c r="DS402" s="1087"/>
      <c r="DT402" s="1087"/>
      <c r="DU402" s="1087"/>
      <c r="DV402" s="1087"/>
      <c r="DW402" s="1087"/>
      <c r="DX402" s="1087"/>
      <c r="DY402" s="1087"/>
      <c r="DZ402" s="1087"/>
      <c r="EA402" s="1087"/>
      <c r="EB402" s="1087"/>
      <c r="EC402" s="1087"/>
      <c r="ED402" s="1087"/>
      <c r="EE402" s="1087"/>
      <c r="EF402" s="1087"/>
      <c r="EG402" s="1087"/>
      <c r="EH402" s="1087"/>
      <c r="EI402" s="1087"/>
      <c r="EJ402" s="1087"/>
      <c r="EK402" s="1087"/>
      <c r="EL402" s="1087"/>
      <c r="EM402" s="1087"/>
      <c r="EN402" s="1087"/>
      <c r="EO402" s="1087"/>
      <c r="EP402" s="1087"/>
      <c r="EQ402" s="1087"/>
      <c r="ER402" s="1087"/>
      <c r="ES402" s="1087"/>
      <c r="ET402" s="1087"/>
      <c r="EU402" s="1087"/>
      <c r="EV402" s="1087"/>
      <c r="EW402" s="1087"/>
      <c r="EX402" s="1087"/>
      <c r="EY402" s="1087"/>
      <c r="EZ402" s="1087"/>
      <c r="FA402" s="1087"/>
      <c r="FB402" s="1087"/>
      <c r="FC402" s="1087"/>
      <c r="FD402" s="1087"/>
      <c r="FE402" s="1087"/>
      <c r="FF402" s="1087"/>
      <c r="FG402" s="1087"/>
      <c r="FH402" s="1087"/>
      <c r="FI402" s="1087"/>
      <c r="FJ402" s="1087"/>
      <c r="FK402" s="1087"/>
      <c r="FL402" s="1087"/>
      <c r="FM402" s="1087"/>
      <c r="FN402" s="1087"/>
      <c r="FO402" s="1087"/>
      <c r="FP402" s="1087"/>
      <c r="FQ402" s="1087"/>
      <c r="FR402" s="1087"/>
      <c r="FS402" s="1087"/>
      <c r="FT402" s="1087"/>
      <c r="FU402" s="1087"/>
      <c r="FV402" s="1087"/>
      <c r="FW402" s="1087"/>
      <c r="FX402" s="1087"/>
      <c r="FY402" s="1087"/>
      <c r="FZ402" s="1087"/>
      <c r="GA402" s="1087"/>
      <c r="GB402" s="1087"/>
      <c r="GC402" s="1087"/>
      <c r="GD402" s="1087"/>
      <c r="GE402" s="1087"/>
      <c r="GF402" s="1087"/>
      <c r="GG402" s="1087"/>
      <c r="GH402" s="1087"/>
      <c r="GI402" s="1087"/>
      <c r="GJ402" s="1087"/>
      <c r="GK402" s="1087"/>
      <c r="GL402" s="1087"/>
      <c r="GM402" s="1087"/>
      <c r="GN402" s="1087"/>
      <c r="GO402" s="1087"/>
      <c r="GP402" s="1087"/>
      <c r="GQ402" s="1087"/>
      <c r="GR402" s="1087"/>
      <c r="GS402" s="1087"/>
      <c r="GT402" s="1087"/>
      <c r="GU402" s="1087"/>
      <c r="GV402" s="1087"/>
      <c r="GW402" s="1087"/>
      <c r="GX402" s="1087"/>
      <c r="GY402" s="1087"/>
      <c r="GZ402" s="1087"/>
      <c r="HA402" s="1087"/>
      <c r="HB402" s="1087"/>
      <c r="HC402" s="1087"/>
      <c r="HD402" s="1087"/>
      <c r="HE402" s="1087"/>
      <c r="HF402" s="1087"/>
      <c r="HG402" s="1087"/>
      <c r="HH402" s="1087"/>
      <c r="HI402" s="1087"/>
      <c r="HJ402" s="1087"/>
      <c r="HK402" s="1087"/>
      <c r="HL402" s="1087"/>
      <c r="HM402" s="1087"/>
      <c r="HN402" s="1087"/>
      <c r="HO402" s="1087"/>
      <c r="HP402" s="1087"/>
      <c r="HQ402" s="1087"/>
      <c r="HR402" s="1087"/>
      <c r="HS402" s="1087"/>
      <c r="HT402" s="1087"/>
      <c r="HU402" s="1087"/>
      <c r="HV402" s="1087"/>
      <c r="HW402" s="1087"/>
      <c r="HX402" s="1087"/>
      <c r="HY402" s="1087"/>
      <c r="HZ402" s="1087"/>
      <c r="IA402" s="1087"/>
      <c r="IB402" s="1087"/>
      <c r="IC402" s="1087"/>
      <c r="ID402" s="1087"/>
      <c r="IE402" s="1087"/>
      <c r="IF402" s="1087"/>
      <c r="IG402" s="1087"/>
      <c r="IH402" s="1087"/>
      <c r="II402" s="1087"/>
      <c r="IJ402" s="1087"/>
      <c r="IK402" s="1087"/>
      <c r="IL402" s="1087"/>
      <c r="IM402" s="1087"/>
      <c r="IN402" s="1087"/>
      <c r="IO402" s="1087"/>
      <c r="IP402" s="1087"/>
      <c r="IQ402" s="1087"/>
      <c r="IR402" s="1087"/>
      <c r="IS402" s="1087"/>
      <c r="IT402" s="1087"/>
      <c r="IU402" s="1087"/>
      <c r="IV402" s="1087"/>
      <c r="IW402" s="1087"/>
      <c r="IX402" s="1087"/>
      <c r="IY402" s="1087"/>
      <c r="IZ402" s="1087"/>
      <c r="JA402" s="1087"/>
      <c r="JB402" s="1087"/>
      <c r="JC402" s="1087"/>
      <c r="JD402" s="1087"/>
      <c r="JE402" s="1087"/>
      <c r="JF402" s="1087"/>
      <c r="JG402" s="1087"/>
      <c r="JH402" s="1087"/>
      <c r="JI402" s="1087"/>
      <c r="JJ402" s="1087"/>
      <c r="JK402" s="1087"/>
      <c r="JL402" s="1087"/>
      <c r="JM402" s="1087"/>
      <c r="JN402" s="1087"/>
      <c r="JO402" s="1087"/>
      <c r="JP402" s="1087"/>
      <c r="JQ402" s="1087"/>
      <c r="JR402" s="1087"/>
      <c r="JS402" s="1087"/>
      <c r="JT402" s="1087"/>
      <c r="JU402" s="1087"/>
      <c r="JV402" s="1087"/>
      <c r="JW402" s="1087"/>
      <c r="JX402" s="1087"/>
      <c r="JY402" s="1087"/>
      <c r="JZ402" s="1087"/>
      <c r="KA402" s="1087"/>
      <c r="KB402" s="1092"/>
    </row>
    <row r="403" spans="2:288" ht="15" customHeight="1" x14ac:dyDescent="0.35">
      <c r="B403" s="146" t="str">
        <f t="shared" si="30"/>
        <v>Desk 84</v>
      </c>
      <c r="C403" s="148" t="str">
        <v/>
      </c>
      <c r="D403" s="148" t="str">
        <v/>
      </c>
      <c r="E403" s="148" t="str">
        <v/>
      </c>
      <c r="F403" s="148" t="str">
        <v/>
      </c>
      <c r="G403" s="268" t="str">
        <v/>
      </c>
      <c r="H403" s="1087"/>
      <c r="I403" s="1087"/>
      <c r="J403" s="1087"/>
      <c r="K403" s="1087"/>
      <c r="L403" s="1087"/>
      <c r="M403" s="1087"/>
      <c r="N403" s="1087"/>
      <c r="O403" s="1087"/>
      <c r="P403" s="1087"/>
      <c r="Q403" s="1087"/>
      <c r="R403" s="1087"/>
      <c r="S403" s="1087"/>
      <c r="T403" s="1087"/>
      <c r="U403" s="1087"/>
      <c r="V403" s="1087"/>
      <c r="W403" s="1087"/>
      <c r="X403" s="1087"/>
      <c r="Y403" s="1087"/>
      <c r="Z403" s="1087"/>
      <c r="AA403" s="1087"/>
      <c r="AB403" s="1087"/>
      <c r="AC403" s="1087"/>
      <c r="AD403" s="1087"/>
      <c r="AE403" s="1087"/>
      <c r="AF403" s="1087"/>
      <c r="AG403" s="1087"/>
      <c r="AH403" s="1087"/>
      <c r="AI403" s="1087"/>
      <c r="AJ403" s="1087"/>
      <c r="AK403" s="1087"/>
      <c r="AL403" s="1087"/>
      <c r="AM403" s="1087"/>
      <c r="AN403" s="1087"/>
      <c r="AO403" s="1087"/>
      <c r="AP403" s="1087"/>
      <c r="AQ403" s="1087"/>
      <c r="AR403" s="1087"/>
      <c r="AS403" s="1087"/>
      <c r="AT403" s="1087"/>
      <c r="AU403" s="1087"/>
      <c r="AV403" s="1087"/>
      <c r="AW403" s="1087"/>
      <c r="AX403" s="1087"/>
      <c r="AY403" s="1087"/>
      <c r="AZ403" s="1087"/>
      <c r="BA403" s="1087"/>
      <c r="BB403" s="1087"/>
      <c r="BC403" s="1087"/>
      <c r="BD403" s="1087"/>
      <c r="BE403" s="1087"/>
      <c r="BF403" s="1087"/>
      <c r="BG403" s="1087"/>
      <c r="BH403" s="1087"/>
      <c r="BI403" s="1087"/>
      <c r="BJ403" s="1087"/>
      <c r="BK403" s="1087"/>
      <c r="BL403" s="1087"/>
      <c r="BM403" s="1087"/>
      <c r="BN403" s="1087"/>
      <c r="BO403" s="1087"/>
      <c r="BP403" s="1087"/>
      <c r="BQ403" s="1087"/>
      <c r="BR403" s="1087"/>
      <c r="BS403" s="1087"/>
      <c r="BT403" s="1087"/>
      <c r="BU403" s="1087"/>
      <c r="BV403" s="1087"/>
      <c r="BW403" s="1087"/>
      <c r="BX403" s="1087"/>
      <c r="BY403" s="1087"/>
      <c r="BZ403" s="1087"/>
      <c r="CA403" s="1087"/>
      <c r="CB403" s="1087"/>
      <c r="CC403" s="1087"/>
      <c r="CD403" s="1087"/>
      <c r="CE403" s="1087"/>
      <c r="CF403" s="1087"/>
      <c r="CG403" s="1087"/>
      <c r="CH403" s="1087"/>
      <c r="CI403" s="1087"/>
      <c r="CJ403" s="1087"/>
      <c r="CK403" s="1087"/>
      <c r="CL403" s="1087"/>
      <c r="CM403" s="1087"/>
      <c r="CN403" s="1087"/>
      <c r="CO403" s="1087"/>
      <c r="CP403" s="1087"/>
      <c r="CQ403" s="1087"/>
      <c r="CR403" s="1087"/>
      <c r="CS403" s="1087"/>
      <c r="CT403" s="1087"/>
      <c r="CU403" s="1087"/>
      <c r="CV403" s="1087"/>
      <c r="CW403" s="1087"/>
      <c r="CX403" s="1087"/>
      <c r="CY403" s="1087"/>
      <c r="CZ403" s="1087"/>
      <c r="DA403" s="1087"/>
      <c r="DB403" s="1087"/>
      <c r="DC403" s="1087"/>
      <c r="DD403" s="1087"/>
      <c r="DE403" s="1087"/>
      <c r="DF403" s="1087"/>
      <c r="DG403" s="1087"/>
      <c r="DH403" s="1087"/>
      <c r="DI403" s="1087"/>
      <c r="DJ403" s="1087"/>
      <c r="DK403" s="1087"/>
      <c r="DL403" s="1087"/>
      <c r="DM403" s="1087"/>
      <c r="DN403" s="1087"/>
      <c r="DO403" s="1087"/>
      <c r="DP403" s="1087"/>
      <c r="DQ403" s="1087"/>
      <c r="DR403" s="1087"/>
      <c r="DS403" s="1087"/>
      <c r="DT403" s="1087"/>
      <c r="DU403" s="1087"/>
      <c r="DV403" s="1087"/>
      <c r="DW403" s="1087"/>
      <c r="DX403" s="1087"/>
      <c r="DY403" s="1087"/>
      <c r="DZ403" s="1087"/>
      <c r="EA403" s="1087"/>
      <c r="EB403" s="1087"/>
      <c r="EC403" s="1087"/>
      <c r="ED403" s="1087"/>
      <c r="EE403" s="1087"/>
      <c r="EF403" s="1087"/>
      <c r="EG403" s="1087"/>
      <c r="EH403" s="1087"/>
      <c r="EI403" s="1087"/>
      <c r="EJ403" s="1087"/>
      <c r="EK403" s="1087"/>
      <c r="EL403" s="1087"/>
      <c r="EM403" s="1087"/>
      <c r="EN403" s="1087"/>
      <c r="EO403" s="1087"/>
      <c r="EP403" s="1087"/>
      <c r="EQ403" s="1087"/>
      <c r="ER403" s="1087"/>
      <c r="ES403" s="1087"/>
      <c r="ET403" s="1087"/>
      <c r="EU403" s="1087"/>
      <c r="EV403" s="1087"/>
      <c r="EW403" s="1087"/>
      <c r="EX403" s="1087"/>
      <c r="EY403" s="1087"/>
      <c r="EZ403" s="1087"/>
      <c r="FA403" s="1087"/>
      <c r="FB403" s="1087"/>
      <c r="FC403" s="1087"/>
      <c r="FD403" s="1087"/>
      <c r="FE403" s="1087"/>
      <c r="FF403" s="1087"/>
      <c r="FG403" s="1087"/>
      <c r="FH403" s="1087"/>
      <c r="FI403" s="1087"/>
      <c r="FJ403" s="1087"/>
      <c r="FK403" s="1087"/>
      <c r="FL403" s="1087"/>
      <c r="FM403" s="1087"/>
      <c r="FN403" s="1087"/>
      <c r="FO403" s="1087"/>
      <c r="FP403" s="1087"/>
      <c r="FQ403" s="1087"/>
      <c r="FR403" s="1087"/>
      <c r="FS403" s="1087"/>
      <c r="FT403" s="1087"/>
      <c r="FU403" s="1087"/>
      <c r="FV403" s="1087"/>
      <c r="FW403" s="1087"/>
      <c r="FX403" s="1087"/>
      <c r="FY403" s="1087"/>
      <c r="FZ403" s="1087"/>
      <c r="GA403" s="1087"/>
      <c r="GB403" s="1087"/>
      <c r="GC403" s="1087"/>
      <c r="GD403" s="1087"/>
      <c r="GE403" s="1087"/>
      <c r="GF403" s="1087"/>
      <c r="GG403" s="1087"/>
      <c r="GH403" s="1087"/>
      <c r="GI403" s="1087"/>
      <c r="GJ403" s="1087"/>
      <c r="GK403" s="1087"/>
      <c r="GL403" s="1087"/>
      <c r="GM403" s="1087"/>
      <c r="GN403" s="1087"/>
      <c r="GO403" s="1087"/>
      <c r="GP403" s="1087"/>
      <c r="GQ403" s="1087"/>
      <c r="GR403" s="1087"/>
      <c r="GS403" s="1087"/>
      <c r="GT403" s="1087"/>
      <c r="GU403" s="1087"/>
      <c r="GV403" s="1087"/>
      <c r="GW403" s="1087"/>
      <c r="GX403" s="1087"/>
      <c r="GY403" s="1087"/>
      <c r="GZ403" s="1087"/>
      <c r="HA403" s="1087"/>
      <c r="HB403" s="1087"/>
      <c r="HC403" s="1087"/>
      <c r="HD403" s="1087"/>
      <c r="HE403" s="1087"/>
      <c r="HF403" s="1087"/>
      <c r="HG403" s="1087"/>
      <c r="HH403" s="1087"/>
      <c r="HI403" s="1087"/>
      <c r="HJ403" s="1087"/>
      <c r="HK403" s="1087"/>
      <c r="HL403" s="1087"/>
      <c r="HM403" s="1087"/>
      <c r="HN403" s="1087"/>
      <c r="HO403" s="1087"/>
      <c r="HP403" s="1087"/>
      <c r="HQ403" s="1087"/>
      <c r="HR403" s="1087"/>
      <c r="HS403" s="1087"/>
      <c r="HT403" s="1087"/>
      <c r="HU403" s="1087"/>
      <c r="HV403" s="1087"/>
      <c r="HW403" s="1087"/>
      <c r="HX403" s="1087"/>
      <c r="HY403" s="1087"/>
      <c r="HZ403" s="1087"/>
      <c r="IA403" s="1087"/>
      <c r="IB403" s="1087"/>
      <c r="IC403" s="1087"/>
      <c r="ID403" s="1087"/>
      <c r="IE403" s="1087"/>
      <c r="IF403" s="1087"/>
      <c r="IG403" s="1087"/>
      <c r="IH403" s="1087"/>
      <c r="II403" s="1087"/>
      <c r="IJ403" s="1087"/>
      <c r="IK403" s="1087"/>
      <c r="IL403" s="1087"/>
      <c r="IM403" s="1087"/>
      <c r="IN403" s="1087"/>
      <c r="IO403" s="1087"/>
      <c r="IP403" s="1087"/>
      <c r="IQ403" s="1087"/>
      <c r="IR403" s="1087"/>
      <c r="IS403" s="1087"/>
      <c r="IT403" s="1087"/>
      <c r="IU403" s="1087"/>
      <c r="IV403" s="1087"/>
      <c r="IW403" s="1087"/>
      <c r="IX403" s="1087"/>
      <c r="IY403" s="1087"/>
      <c r="IZ403" s="1087"/>
      <c r="JA403" s="1087"/>
      <c r="JB403" s="1087"/>
      <c r="JC403" s="1087"/>
      <c r="JD403" s="1087"/>
      <c r="JE403" s="1087"/>
      <c r="JF403" s="1087"/>
      <c r="JG403" s="1087"/>
      <c r="JH403" s="1087"/>
      <c r="JI403" s="1087"/>
      <c r="JJ403" s="1087"/>
      <c r="JK403" s="1087"/>
      <c r="JL403" s="1087"/>
      <c r="JM403" s="1087"/>
      <c r="JN403" s="1087"/>
      <c r="JO403" s="1087"/>
      <c r="JP403" s="1087"/>
      <c r="JQ403" s="1087"/>
      <c r="JR403" s="1087"/>
      <c r="JS403" s="1087"/>
      <c r="JT403" s="1087"/>
      <c r="JU403" s="1087"/>
      <c r="JV403" s="1087"/>
      <c r="JW403" s="1087"/>
      <c r="JX403" s="1087"/>
      <c r="JY403" s="1087"/>
      <c r="JZ403" s="1087"/>
      <c r="KA403" s="1087"/>
      <c r="KB403" s="1092"/>
    </row>
    <row r="404" spans="2:288" ht="15" customHeight="1" x14ac:dyDescent="0.35">
      <c r="B404" s="146" t="str">
        <f t="shared" si="30"/>
        <v>Desk 85</v>
      </c>
      <c r="C404" s="148" t="str">
        <v/>
      </c>
      <c r="D404" s="148" t="str">
        <v/>
      </c>
      <c r="E404" s="148" t="str">
        <v/>
      </c>
      <c r="F404" s="148" t="str">
        <v/>
      </c>
      <c r="G404" s="268" t="str">
        <v/>
      </c>
      <c r="H404" s="1087"/>
      <c r="I404" s="1087"/>
      <c r="J404" s="1087"/>
      <c r="K404" s="1087"/>
      <c r="L404" s="1087"/>
      <c r="M404" s="1087"/>
      <c r="N404" s="1087"/>
      <c r="O404" s="1087"/>
      <c r="P404" s="1087"/>
      <c r="Q404" s="1087"/>
      <c r="R404" s="1087"/>
      <c r="S404" s="1087"/>
      <c r="T404" s="1087"/>
      <c r="U404" s="1087"/>
      <c r="V404" s="1087"/>
      <c r="W404" s="1087"/>
      <c r="X404" s="1087"/>
      <c r="Y404" s="1087"/>
      <c r="Z404" s="1087"/>
      <c r="AA404" s="1087"/>
      <c r="AB404" s="1087"/>
      <c r="AC404" s="1087"/>
      <c r="AD404" s="1087"/>
      <c r="AE404" s="1087"/>
      <c r="AF404" s="1087"/>
      <c r="AG404" s="1087"/>
      <c r="AH404" s="1087"/>
      <c r="AI404" s="1087"/>
      <c r="AJ404" s="1087"/>
      <c r="AK404" s="1087"/>
      <c r="AL404" s="1087"/>
      <c r="AM404" s="1087"/>
      <c r="AN404" s="1087"/>
      <c r="AO404" s="1087"/>
      <c r="AP404" s="1087"/>
      <c r="AQ404" s="1087"/>
      <c r="AR404" s="1087"/>
      <c r="AS404" s="1087"/>
      <c r="AT404" s="1087"/>
      <c r="AU404" s="1087"/>
      <c r="AV404" s="1087"/>
      <c r="AW404" s="1087"/>
      <c r="AX404" s="1087"/>
      <c r="AY404" s="1087"/>
      <c r="AZ404" s="1087"/>
      <c r="BA404" s="1087"/>
      <c r="BB404" s="1087"/>
      <c r="BC404" s="1087"/>
      <c r="BD404" s="1087"/>
      <c r="BE404" s="1087"/>
      <c r="BF404" s="1087"/>
      <c r="BG404" s="1087"/>
      <c r="BH404" s="1087"/>
      <c r="BI404" s="1087"/>
      <c r="BJ404" s="1087"/>
      <c r="BK404" s="1087"/>
      <c r="BL404" s="1087"/>
      <c r="BM404" s="1087"/>
      <c r="BN404" s="1087"/>
      <c r="BO404" s="1087"/>
      <c r="BP404" s="1087"/>
      <c r="BQ404" s="1087"/>
      <c r="BR404" s="1087"/>
      <c r="BS404" s="1087"/>
      <c r="BT404" s="1087"/>
      <c r="BU404" s="1087"/>
      <c r="BV404" s="1087"/>
      <c r="BW404" s="1087"/>
      <c r="BX404" s="1087"/>
      <c r="BY404" s="1087"/>
      <c r="BZ404" s="1087"/>
      <c r="CA404" s="1087"/>
      <c r="CB404" s="1087"/>
      <c r="CC404" s="1087"/>
      <c r="CD404" s="1087"/>
      <c r="CE404" s="1087"/>
      <c r="CF404" s="1087"/>
      <c r="CG404" s="1087"/>
      <c r="CH404" s="1087"/>
      <c r="CI404" s="1087"/>
      <c r="CJ404" s="1087"/>
      <c r="CK404" s="1087"/>
      <c r="CL404" s="1087"/>
      <c r="CM404" s="1087"/>
      <c r="CN404" s="1087"/>
      <c r="CO404" s="1087"/>
      <c r="CP404" s="1087"/>
      <c r="CQ404" s="1087"/>
      <c r="CR404" s="1087"/>
      <c r="CS404" s="1087"/>
      <c r="CT404" s="1087"/>
      <c r="CU404" s="1087"/>
      <c r="CV404" s="1087"/>
      <c r="CW404" s="1087"/>
      <c r="CX404" s="1087"/>
      <c r="CY404" s="1087"/>
      <c r="CZ404" s="1087"/>
      <c r="DA404" s="1087"/>
      <c r="DB404" s="1087"/>
      <c r="DC404" s="1087"/>
      <c r="DD404" s="1087"/>
      <c r="DE404" s="1087"/>
      <c r="DF404" s="1087"/>
      <c r="DG404" s="1087"/>
      <c r="DH404" s="1087"/>
      <c r="DI404" s="1087"/>
      <c r="DJ404" s="1087"/>
      <c r="DK404" s="1087"/>
      <c r="DL404" s="1087"/>
      <c r="DM404" s="1087"/>
      <c r="DN404" s="1087"/>
      <c r="DO404" s="1087"/>
      <c r="DP404" s="1087"/>
      <c r="DQ404" s="1087"/>
      <c r="DR404" s="1087"/>
      <c r="DS404" s="1087"/>
      <c r="DT404" s="1087"/>
      <c r="DU404" s="1087"/>
      <c r="DV404" s="1087"/>
      <c r="DW404" s="1087"/>
      <c r="DX404" s="1087"/>
      <c r="DY404" s="1087"/>
      <c r="DZ404" s="1087"/>
      <c r="EA404" s="1087"/>
      <c r="EB404" s="1087"/>
      <c r="EC404" s="1087"/>
      <c r="ED404" s="1087"/>
      <c r="EE404" s="1087"/>
      <c r="EF404" s="1087"/>
      <c r="EG404" s="1087"/>
      <c r="EH404" s="1087"/>
      <c r="EI404" s="1087"/>
      <c r="EJ404" s="1087"/>
      <c r="EK404" s="1087"/>
      <c r="EL404" s="1087"/>
      <c r="EM404" s="1087"/>
      <c r="EN404" s="1087"/>
      <c r="EO404" s="1087"/>
      <c r="EP404" s="1087"/>
      <c r="EQ404" s="1087"/>
      <c r="ER404" s="1087"/>
      <c r="ES404" s="1087"/>
      <c r="ET404" s="1087"/>
      <c r="EU404" s="1087"/>
      <c r="EV404" s="1087"/>
      <c r="EW404" s="1087"/>
      <c r="EX404" s="1087"/>
      <c r="EY404" s="1087"/>
      <c r="EZ404" s="1087"/>
      <c r="FA404" s="1087"/>
      <c r="FB404" s="1087"/>
      <c r="FC404" s="1087"/>
      <c r="FD404" s="1087"/>
      <c r="FE404" s="1087"/>
      <c r="FF404" s="1087"/>
      <c r="FG404" s="1087"/>
      <c r="FH404" s="1087"/>
      <c r="FI404" s="1087"/>
      <c r="FJ404" s="1087"/>
      <c r="FK404" s="1087"/>
      <c r="FL404" s="1087"/>
      <c r="FM404" s="1087"/>
      <c r="FN404" s="1087"/>
      <c r="FO404" s="1087"/>
      <c r="FP404" s="1087"/>
      <c r="FQ404" s="1087"/>
      <c r="FR404" s="1087"/>
      <c r="FS404" s="1087"/>
      <c r="FT404" s="1087"/>
      <c r="FU404" s="1087"/>
      <c r="FV404" s="1087"/>
      <c r="FW404" s="1087"/>
      <c r="FX404" s="1087"/>
      <c r="FY404" s="1087"/>
      <c r="FZ404" s="1087"/>
      <c r="GA404" s="1087"/>
      <c r="GB404" s="1087"/>
      <c r="GC404" s="1087"/>
      <c r="GD404" s="1087"/>
      <c r="GE404" s="1087"/>
      <c r="GF404" s="1087"/>
      <c r="GG404" s="1087"/>
      <c r="GH404" s="1087"/>
      <c r="GI404" s="1087"/>
      <c r="GJ404" s="1087"/>
      <c r="GK404" s="1087"/>
      <c r="GL404" s="1087"/>
      <c r="GM404" s="1087"/>
      <c r="GN404" s="1087"/>
      <c r="GO404" s="1087"/>
      <c r="GP404" s="1087"/>
      <c r="GQ404" s="1087"/>
      <c r="GR404" s="1087"/>
      <c r="GS404" s="1087"/>
      <c r="GT404" s="1087"/>
      <c r="GU404" s="1087"/>
      <c r="GV404" s="1087"/>
      <c r="GW404" s="1087"/>
      <c r="GX404" s="1087"/>
      <c r="GY404" s="1087"/>
      <c r="GZ404" s="1087"/>
      <c r="HA404" s="1087"/>
      <c r="HB404" s="1087"/>
      <c r="HC404" s="1087"/>
      <c r="HD404" s="1087"/>
      <c r="HE404" s="1087"/>
      <c r="HF404" s="1087"/>
      <c r="HG404" s="1087"/>
      <c r="HH404" s="1087"/>
      <c r="HI404" s="1087"/>
      <c r="HJ404" s="1087"/>
      <c r="HK404" s="1087"/>
      <c r="HL404" s="1087"/>
      <c r="HM404" s="1087"/>
      <c r="HN404" s="1087"/>
      <c r="HO404" s="1087"/>
      <c r="HP404" s="1087"/>
      <c r="HQ404" s="1087"/>
      <c r="HR404" s="1087"/>
      <c r="HS404" s="1087"/>
      <c r="HT404" s="1087"/>
      <c r="HU404" s="1087"/>
      <c r="HV404" s="1087"/>
      <c r="HW404" s="1087"/>
      <c r="HX404" s="1087"/>
      <c r="HY404" s="1087"/>
      <c r="HZ404" s="1087"/>
      <c r="IA404" s="1087"/>
      <c r="IB404" s="1087"/>
      <c r="IC404" s="1087"/>
      <c r="ID404" s="1087"/>
      <c r="IE404" s="1087"/>
      <c r="IF404" s="1087"/>
      <c r="IG404" s="1087"/>
      <c r="IH404" s="1087"/>
      <c r="II404" s="1087"/>
      <c r="IJ404" s="1087"/>
      <c r="IK404" s="1087"/>
      <c r="IL404" s="1087"/>
      <c r="IM404" s="1087"/>
      <c r="IN404" s="1087"/>
      <c r="IO404" s="1087"/>
      <c r="IP404" s="1087"/>
      <c r="IQ404" s="1087"/>
      <c r="IR404" s="1087"/>
      <c r="IS404" s="1087"/>
      <c r="IT404" s="1087"/>
      <c r="IU404" s="1087"/>
      <c r="IV404" s="1087"/>
      <c r="IW404" s="1087"/>
      <c r="IX404" s="1087"/>
      <c r="IY404" s="1087"/>
      <c r="IZ404" s="1087"/>
      <c r="JA404" s="1087"/>
      <c r="JB404" s="1087"/>
      <c r="JC404" s="1087"/>
      <c r="JD404" s="1087"/>
      <c r="JE404" s="1087"/>
      <c r="JF404" s="1087"/>
      <c r="JG404" s="1087"/>
      <c r="JH404" s="1087"/>
      <c r="JI404" s="1087"/>
      <c r="JJ404" s="1087"/>
      <c r="JK404" s="1087"/>
      <c r="JL404" s="1087"/>
      <c r="JM404" s="1087"/>
      <c r="JN404" s="1087"/>
      <c r="JO404" s="1087"/>
      <c r="JP404" s="1087"/>
      <c r="JQ404" s="1087"/>
      <c r="JR404" s="1087"/>
      <c r="JS404" s="1087"/>
      <c r="JT404" s="1087"/>
      <c r="JU404" s="1087"/>
      <c r="JV404" s="1087"/>
      <c r="JW404" s="1087"/>
      <c r="JX404" s="1087"/>
      <c r="JY404" s="1087"/>
      <c r="JZ404" s="1087"/>
      <c r="KA404" s="1087"/>
      <c r="KB404" s="1092"/>
    </row>
    <row r="405" spans="2:288" ht="15" customHeight="1" x14ac:dyDescent="0.35">
      <c r="B405" s="146" t="str">
        <f t="shared" si="30"/>
        <v>Desk 86</v>
      </c>
      <c r="C405" s="148" t="str">
        <v/>
      </c>
      <c r="D405" s="148" t="str">
        <v/>
      </c>
      <c r="E405" s="148" t="str">
        <v/>
      </c>
      <c r="F405" s="148" t="str">
        <v/>
      </c>
      <c r="G405" s="268" t="str">
        <v/>
      </c>
      <c r="H405" s="1087"/>
      <c r="I405" s="1087"/>
      <c r="J405" s="1087"/>
      <c r="K405" s="1087"/>
      <c r="L405" s="1087"/>
      <c r="M405" s="1087"/>
      <c r="N405" s="1087"/>
      <c r="O405" s="1087"/>
      <c r="P405" s="1087"/>
      <c r="Q405" s="1087"/>
      <c r="R405" s="1087"/>
      <c r="S405" s="1087"/>
      <c r="T405" s="1087"/>
      <c r="U405" s="1087"/>
      <c r="V405" s="1087"/>
      <c r="W405" s="1087"/>
      <c r="X405" s="1087"/>
      <c r="Y405" s="1087"/>
      <c r="Z405" s="1087"/>
      <c r="AA405" s="1087"/>
      <c r="AB405" s="1087"/>
      <c r="AC405" s="1087"/>
      <c r="AD405" s="1087"/>
      <c r="AE405" s="1087"/>
      <c r="AF405" s="1087"/>
      <c r="AG405" s="1087"/>
      <c r="AH405" s="1087"/>
      <c r="AI405" s="1087"/>
      <c r="AJ405" s="1087"/>
      <c r="AK405" s="1087"/>
      <c r="AL405" s="1087"/>
      <c r="AM405" s="1087"/>
      <c r="AN405" s="1087"/>
      <c r="AO405" s="1087"/>
      <c r="AP405" s="1087"/>
      <c r="AQ405" s="1087"/>
      <c r="AR405" s="1087"/>
      <c r="AS405" s="1087"/>
      <c r="AT405" s="1087"/>
      <c r="AU405" s="1087"/>
      <c r="AV405" s="1087"/>
      <c r="AW405" s="1087"/>
      <c r="AX405" s="1087"/>
      <c r="AY405" s="1087"/>
      <c r="AZ405" s="1087"/>
      <c r="BA405" s="1087"/>
      <c r="BB405" s="1087"/>
      <c r="BC405" s="1087"/>
      <c r="BD405" s="1087"/>
      <c r="BE405" s="1087"/>
      <c r="BF405" s="1087"/>
      <c r="BG405" s="1087"/>
      <c r="BH405" s="1087"/>
      <c r="BI405" s="1087"/>
      <c r="BJ405" s="1087"/>
      <c r="BK405" s="1087"/>
      <c r="BL405" s="1087"/>
      <c r="BM405" s="1087"/>
      <c r="BN405" s="1087"/>
      <c r="BO405" s="1087"/>
      <c r="BP405" s="1087"/>
      <c r="BQ405" s="1087"/>
      <c r="BR405" s="1087"/>
      <c r="BS405" s="1087"/>
      <c r="BT405" s="1087"/>
      <c r="BU405" s="1087"/>
      <c r="BV405" s="1087"/>
      <c r="BW405" s="1087"/>
      <c r="BX405" s="1087"/>
      <c r="BY405" s="1087"/>
      <c r="BZ405" s="1087"/>
      <c r="CA405" s="1087"/>
      <c r="CB405" s="1087"/>
      <c r="CC405" s="1087"/>
      <c r="CD405" s="1087"/>
      <c r="CE405" s="1087"/>
      <c r="CF405" s="1087"/>
      <c r="CG405" s="1087"/>
      <c r="CH405" s="1087"/>
      <c r="CI405" s="1087"/>
      <c r="CJ405" s="1087"/>
      <c r="CK405" s="1087"/>
      <c r="CL405" s="1087"/>
      <c r="CM405" s="1087"/>
      <c r="CN405" s="1087"/>
      <c r="CO405" s="1087"/>
      <c r="CP405" s="1087"/>
      <c r="CQ405" s="1087"/>
      <c r="CR405" s="1087"/>
      <c r="CS405" s="1087"/>
      <c r="CT405" s="1087"/>
      <c r="CU405" s="1087"/>
      <c r="CV405" s="1087"/>
      <c r="CW405" s="1087"/>
      <c r="CX405" s="1087"/>
      <c r="CY405" s="1087"/>
      <c r="CZ405" s="1087"/>
      <c r="DA405" s="1087"/>
      <c r="DB405" s="1087"/>
      <c r="DC405" s="1087"/>
      <c r="DD405" s="1087"/>
      <c r="DE405" s="1087"/>
      <c r="DF405" s="1087"/>
      <c r="DG405" s="1087"/>
      <c r="DH405" s="1087"/>
      <c r="DI405" s="1087"/>
      <c r="DJ405" s="1087"/>
      <c r="DK405" s="1087"/>
      <c r="DL405" s="1087"/>
      <c r="DM405" s="1087"/>
      <c r="DN405" s="1087"/>
      <c r="DO405" s="1087"/>
      <c r="DP405" s="1087"/>
      <c r="DQ405" s="1087"/>
      <c r="DR405" s="1087"/>
      <c r="DS405" s="1087"/>
      <c r="DT405" s="1087"/>
      <c r="DU405" s="1087"/>
      <c r="DV405" s="1087"/>
      <c r="DW405" s="1087"/>
      <c r="DX405" s="1087"/>
      <c r="DY405" s="1087"/>
      <c r="DZ405" s="1087"/>
      <c r="EA405" s="1087"/>
      <c r="EB405" s="1087"/>
      <c r="EC405" s="1087"/>
      <c r="ED405" s="1087"/>
      <c r="EE405" s="1087"/>
      <c r="EF405" s="1087"/>
      <c r="EG405" s="1087"/>
      <c r="EH405" s="1087"/>
      <c r="EI405" s="1087"/>
      <c r="EJ405" s="1087"/>
      <c r="EK405" s="1087"/>
      <c r="EL405" s="1087"/>
      <c r="EM405" s="1087"/>
      <c r="EN405" s="1087"/>
      <c r="EO405" s="1087"/>
      <c r="EP405" s="1087"/>
      <c r="EQ405" s="1087"/>
      <c r="ER405" s="1087"/>
      <c r="ES405" s="1087"/>
      <c r="ET405" s="1087"/>
      <c r="EU405" s="1087"/>
      <c r="EV405" s="1087"/>
      <c r="EW405" s="1087"/>
      <c r="EX405" s="1087"/>
      <c r="EY405" s="1087"/>
      <c r="EZ405" s="1087"/>
      <c r="FA405" s="1087"/>
      <c r="FB405" s="1087"/>
      <c r="FC405" s="1087"/>
      <c r="FD405" s="1087"/>
      <c r="FE405" s="1087"/>
      <c r="FF405" s="1087"/>
      <c r="FG405" s="1087"/>
      <c r="FH405" s="1087"/>
      <c r="FI405" s="1087"/>
      <c r="FJ405" s="1087"/>
      <c r="FK405" s="1087"/>
      <c r="FL405" s="1087"/>
      <c r="FM405" s="1087"/>
      <c r="FN405" s="1087"/>
      <c r="FO405" s="1087"/>
      <c r="FP405" s="1087"/>
      <c r="FQ405" s="1087"/>
      <c r="FR405" s="1087"/>
      <c r="FS405" s="1087"/>
      <c r="FT405" s="1087"/>
      <c r="FU405" s="1087"/>
      <c r="FV405" s="1087"/>
      <c r="FW405" s="1087"/>
      <c r="FX405" s="1087"/>
      <c r="FY405" s="1087"/>
      <c r="FZ405" s="1087"/>
      <c r="GA405" s="1087"/>
      <c r="GB405" s="1087"/>
      <c r="GC405" s="1087"/>
      <c r="GD405" s="1087"/>
      <c r="GE405" s="1087"/>
      <c r="GF405" s="1087"/>
      <c r="GG405" s="1087"/>
      <c r="GH405" s="1087"/>
      <c r="GI405" s="1087"/>
      <c r="GJ405" s="1087"/>
      <c r="GK405" s="1087"/>
      <c r="GL405" s="1087"/>
      <c r="GM405" s="1087"/>
      <c r="GN405" s="1087"/>
      <c r="GO405" s="1087"/>
      <c r="GP405" s="1087"/>
      <c r="GQ405" s="1087"/>
      <c r="GR405" s="1087"/>
      <c r="GS405" s="1087"/>
      <c r="GT405" s="1087"/>
      <c r="GU405" s="1087"/>
      <c r="GV405" s="1087"/>
      <c r="GW405" s="1087"/>
      <c r="GX405" s="1087"/>
      <c r="GY405" s="1087"/>
      <c r="GZ405" s="1087"/>
      <c r="HA405" s="1087"/>
      <c r="HB405" s="1087"/>
      <c r="HC405" s="1087"/>
      <c r="HD405" s="1087"/>
      <c r="HE405" s="1087"/>
      <c r="HF405" s="1087"/>
      <c r="HG405" s="1087"/>
      <c r="HH405" s="1087"/>
      <c r="HI405" s="1087"/>
      <c r="HJ405" s="1087"/>
      <c r="HK405" s="1087"/>
      <c r="HL405" s="1087"/>
      <c r="HM405" s="1087"/>
      <c r="HN405" s="1087"/>
      <c r="HO405" s="1087"/>
      <c r="HP405" s="1087"/>
      <c r="HQ405" s="1087"/>
      <c r="HR405" s="1087"/>
      <c r="HS405" s="1087"/>
      <c r="HT405" s="1087"/>
      <c r="HU405" s="1087"/>
      <c r="HV405" s="1087"/>
      <c r="HW405" s="1087"/>
      <c r="HX405" s="1087"/>
      <c r="HY405" s="1087"/>
      <c r="HZ405" s="1087"/>
      <c r="IA405" s="1087"/>
      <c r="IB405" s="1087"/>
      <c r="IC405" s="1087"/>
      <c r="ID405" s="1087"/>
      <c r="IE405" s="1087"/>
      <c r="IF405" s="1087"/>
      <c r="IG405" s="1087"/>
      <c r="IH405" s="1087"/>
      <c r="II405" s="1087"/>
      <c r="IJ405" s="1087"/>
      <c r="IK405" s="1087"/>
      <c r="IL405" s="1087"/>
      <c r="IM405" s="1087"/>
      <c r="IN405" s="1087"/>
      <c r="IO405" s="1087"/>
      <c r="IP405" s="1087"/>
      <c r="IQ405" s="1087"/>
      <c r="IR405" s="1087"/>
      <c r="IS405" s="1087"/>
      <c r="IT405" s="1087"/>
      <c r="IU405" s="1087"/>
      <c r="IV405" s="1087"/>
      <c r="IW405" s="1087"/>
      <c r="IX405" s="1087"/>
      <c r="IY405" s="1087"/>
      <c r="IZ405" s="1087"/>
      <c r="JA405" s="1087"/>
      <c r="JB405" s="1087"/>
      <c r="JC405" s="1087"/>
      <c r="JD405" s="1087"/>
      <c r="JE405" s="1087"/>
      <c r="JF405" s="1087"/>
      <c r="JG405" s="1087"/>
      <c r="JH405" s="1087"/>
      <c r="JI405" s="1087"/>
      <c r="JJ405" s="1087"/>
      <c r="JK405" s="1087"/>
      <c r="JL405" s="1087"/>
      <c r="JM405" s="1087"/>
      <c r="JN405" s="1087"/>
      <c r="JO405" s="1087"/>
      <c r="JP405" s="1087"/>
      <c r="JQ405" s="1087"/>
      <c r="JR405" s="1087"/>
      <c r="JS405" s="1087"/>
      <c r="JT405" s="1087"/>
      <c r="JU405" s="1087"/>
      <c r="JV405" s="1087"/>
      <c r="JW405" s="1087"/>
      <c r="JX405" s="1087"/>
      <c r="JY405" s="1087"/>
      <c r="JZ405" s="1087"/>
      <c r="KA405" s="1087"/>
      <c r="KB405" s="1092"/>
    </row>
    <row r="406" spans="2:288" ht="15" customHeight="1" x14ac:dyDescent="0.35">
      <c r="B406" s="146" t="str">
        <f t="shared" si="30"/>
        <v>Desk 87</v>
      </c>
      <c r="C406" s="148" t="str">
        <v/>
      </c>
      <c r="D406" s="148" t="str">
        <v/>
      </c>
      <c r="E406" s="148" t="str">
        <v/>
      </c>
      <c r="F406" s="148" t="str">
        <v/>
      </c>
      <c r="G406" s="268" t="str">
        <v/>
      </c>
      <c r="H406" s="1087"/>
      <c r="I406" s="1087"/>
      <c r="J406" s="1087"/>
      <c r="K406" s="1087"/>
      <c r="L406" s="1087"/>
      <c r="M406" s="1087"/>
      <c r="N406" s="1087"/>
      <c r="O406" s="1087"/>
      <c r="P406" s="1087"/>
      <c r="Q406" s="1087"/>
      <c r="R406" s="1087"/>
      <c r="S406" s="1087"/>
      <c r="T406" s="1087"/>
      <c r="U406" s="1087"/>
      <c r="V406" s="1087"/>
      <c r="W406" s="1087"/>
      <c r="X406" s="1087"/>
      <c r="Y406" s="1087"/>
      <c r="Z406" s="1087"/>
      <c r="AA406" s="1087"/>
      <c r="AB406" s="1087"/>
      <c r="AC406" s="1087"/>
      <c r="AD406" s="1087"/>
      <c r="AE406" s="1087"/>
      <c r="AF406" s="1087"/>
      <c r="AG406" s="1087"/>
      <c r="AH406" s="1087"/>
      <c r="AI406" s="1087"/>
      <c r="AJ406" s="1087"/>
      <c r="AK406" s="1087"/>
      <c r="AL406" s="1087"/>
      <c r="AM406" s="1087"/>
      <c r="AN406" s="1087"/>
      <c r="AO406" s="1087"/>
      <c r="AP406" s="1087"/>
      <c r="AQ406" s="1087"/>
      <c r="AR406" s="1087"/>
      <c r="AS406" s="1087"/>
      <c r="AT406" s="1087"/>
      <c r="AU406" s="1087"/>
      <c r="AV406" s="1087"/>
      <c r="AW406" s="1087"/>
      <c r="AX406" s="1087"/>
      <c r="AY406" s="1087"/>
      <c r="AZ406" s="1087"/>
      <c r="BA406" s="1087"/>
      <c r="BB406" s="1087"/>
      <c r="BC406" s="1087"/>
      <c r="BD406" s="1087"/>
      <c r="BE406" s="1087"/>
      <c r="BF406" s="1087"/>
      <c r="BG406" s="1087"/>
      <c r="BH406" s="1087"/>
      <c r="BI406" s="1087"/>
      <c r="BJ406" s="1087"/>
      <c r="BK406" s="1087"/>
      <c r="BL406" s="1087"/>
      <c r="BM406" s="1087"/>
      <c r="BN406" s="1087"/>
      <c r="BO406" s="1087"/>
      <c r="BP406" s="1087"/>
      <c r="BQ406" s="1087"/>
      <c r="BR406" s="1087"/>
      <c r="BS406" s="1087"/>
      <c r="BT406" s="1087"/>
      <c r="BU406" s="1087"/>
      <c r="BV406" s="1087"/>
      <c r="BW406" s="1087"/>
      <c r="BX406" s="1087"/>
      <c r="BY406" s="1087"/>
      <c r="BZ406" s="1087"/>
      <c r="CA406" s="1087"/>
      <c r="CB406" s="1087"/>
      <c r="CC406" s="1087"/>
      <c r="CD406" s="1087"/>
      <c r="CE406" s="1087"/>
      <c r="CF406" s="1087"/>
      <c r="CG406" s="1087"/>
      <c r="CH406" s="1087"/>
      <c r="CI406" s="1087"/>
      <c r="CJ406" s="1087"/>
      <c r="CK406" s="1087"/>
      <c r="CL406" s="1087"/>
      <c r="CM406" s="1087"/>
      <c r="CN406" s="1087"/>
      <c r="CO406" s="1087"/>
      <c r="CP406" s="1087"/>
      <c r="CQ406" s="1087"/>
      <c r="CR406" s="1087"/>
      <c r="CS406" s="1087"/>
      <c r="CT406" s="1087"/>
      <c r="CU406" s="1087"/>
      <c r="CV406" s="1087"/>
      <c r="CW406" s="1087"/>
      <c r="CX406" s="1087"/>
      <c r="CY406" s="1087"/>
      <c r="CZ406" s="1087"/>
      <c r="DA406" s="1087"/>
      <c r="DB406" s="1087"/>
      <c r="DC406" s="1087"/>
      <c r="DD406" s="1087"/>
      <c r="DE406" s="1087"/>
      <c r="DF406" s="1087"/>
      <c r="DG406" s="1087"/>
      <c r="DH406" s="1087"/>
      <c r="DI406" s="1087"/>
      <c r="DJ406" s="1087"/>
      <c r="DK406" s="1087"/>
      <c r="DL406" s="1087"/>
      <c r="DM406" s="1087"/>
      <c r="DN406" s="1087"/>
      <c r="DO406" s="1087"/>
      <c r="DP406" s="1087"/>
      <c r="DQ406" s="1087"/>
      <c r="DR406" s="1087"/>
      <c r="DS406" s="1087"/>
      <c r="DT406" s="1087"/>
      <c r="DU406" s="1087"/>
      <c r="DV406" s="1087"/>
      <c r="DW406" s="1087"/>
      <c r="DX406" s="1087"/>
      <c r="DY406" s="1087"/>
      <c r="DZ406" s="1087"/>
      <c r="EA406" s="1087"/>
      <c r="EB406" s="1087"/>
      <c r="EC406" s="1087"/>
      <c r="ED406" s="1087"/>
      <c r="EE406" s="1087"/>
      <c r="EF406" s="1087"/>
      <c r="EG406" s="1087"/>
      <c r="EH406" s="1087"/>
      <c r="EI406" s="1087"/>
      <c r="EJ406" s="1087"/>
      <c r="EK406" s="1087"/>
      <c r="EL406" s="1087"/>
      <c r="EM406" s="1087"/>
      <c r="EN406" s="1087"/>
      <c r="EO406" s="1087"/>
      <c r="EP406" s="1087"/>
      <c r="EQ406" s="1087"/>
      <c r="ER406" s="1087"/>
      <c r="ES406" s="1087"/>
      <c r="ET406" s="1087"/>
      <c r="EU406" s="1087"/>
      <c r="EV406" s="1087"/>
      <c r="EW406" s="1087"/>
      <c r="EX406" s="1087"/>
      <c r="EY406" s="1087"/>
      <c r="EZ406" s="1087"/>
      <c r="FA406" s="1087"/>
      <c r="FB406" s="1087"/>
      <c r="FC406" s="1087"/>
      <c r="FD406" s="1087"/>
      <c r="FE406" s="1087"/>
      <c r="FF406" s="1087"/>
      <c r="FG406" s="1087"/>
      <c r="FH406" s="1087"/>
      <c r="FI406" s="1087"/>
      <c r="FJ406" s="1087"/>
      <c r="FK406" s="1087"/>
      <c r="FL406" s="1087"/>
      <c r="FM406" s="1087"/>
      <c r="FN406" s="1087"/>
      <c r="FO406" s="1087"/>
      <c r="FP406" s="1087"/>
      <c r="FQ406" s="1087"/>
      <c r="FR406" s="1087"/>
      <c r="FS406" s="1087"/>
      <c r="FT406" s="1087"/>
      <c r="FU406" s="1087"/>
      <c r="FV406" s="1087"/>
      <c r="FW406" s="1087"/>
      <c r="FX406" s="1087"/>
      <c r="FY406" s="1087"/>
      <c r="FZ406" s="1087"/>
      <c r="GA406" s="1087"/>
      <c r="GB406" s="1087"/>
      <c r="GC406" s="1087"/>
      <c r="GD406" s="1087"/>
      <c r="GE406" s="1087"/>
      <c r="GF406" s="1087"/>
      <c r="GG406" s="1087"/>
      <c r="GH406" s="1087"/>
      <c r="GI406" s="1087"/>
      <c r="GJ406" s="1087"/>
      <c r="GK406" s="1087"/>
      <c r="GL406" s="1087"/>
      <c r="GM406" s="1087"/>
      <c r="GN406" s="1087"/>
      <c r="GO406" s="1087"/>
      <c r="GP406" s="1087"/>
      <c r="GQ406" s="1087"/>
      <c r="GR406" s="1087"/>
      <c r="GS406" s="1087"/>
      <c r="GT406" s="1087"/>
      <c r="GU406" s="1087"/>
      <c r="GV406" s="1087"/>
      <c r="GW406" s="1087"/>
      <c r="GX406" s="1087"/>
      <c r="GY406" s="1087"/>
      <c r="GZ406" s="1087"/>
      <c r="HA406" s="1087"/>
      <c r="HB406" s="1087"/>
      <c r="HC406" s="1087"/>
      <c r="HD406" s="1087"/>
      <c r="HE406" s="1087"/>
      <c r="HF406" s="1087"/>
      <c r="HG406" s="1087"/>
      <c r="HH406" s="1087"/>
      <c r="HI406" s="1087"/>
      <c r="HJ406" s="1087"/>
      <c r="HK406" s="1087"/>
      <c r="HL406" s="1087"/>
      <c r="HM406" s="1087"/>
      <c r="HN406" s="1087"/>
      <c r="HO406" s="1087"/>
      <c r="HP406" s="1087"/>
      <c r="HQ406" s="1087"/>
      <c r="HR406" s="1087"/>
      <c r="HS406" s="1087"/>
      <c r="HT406" s="1087"/>
      <c r="HU406" s="1087"/>
      <c r="HV406" s="1087"/>
      <c r="HW406" s="1087"/>
      <c r="HX406" s="1087"/>
      <c r="HY406" s="1087"/>
      <c r="HZ406" s="1087"/>
      <c r="IA406" s="1087"/>
      <c r="IB406" s="1087"/>
      <c r="IC406" s="1087"/>
      <c r="ID406" s="1087"/>
      <c r="IE406" s="1087"/>
      <c r="IF406" s="1087"/>
      <c r="IG406" s="1087"/>
      <c r="IH406" s="1087"/>
      <c r="II406" s="1087"/>
      <c r="IJ406" s="1087"/>
      <c r="IK406" s="1087"/>
      <c r="IL406" s="1087"/>
      <c r="IM406" s="1087"/>
      <c r="IN406" s="1087"/>
      <c r="IO406" s="1087"/>
      <c r="IP406" s="1087"/>
      <c r="IQ406" s="1087"/>
      <c r="IR406" s="1087"/>
      <c r="IS406" s="1087"/>
      <c r="IT406" s="1087"/>
      <c r="IU406" s="1087"/>
      <c r="IV406" s="1087"/>
      <c r="IW406" s="1087"/>
      <c r="IX406" s="1087"/>
      <c r="IY406" s="1087"/>
      <c r="IZ406" s="1087"/>
      <c r="JA406" s="1087"/>
      <c r="JB406" s="1087"/>
      <c r="JC406" s="1087"/>
      <c r="JD406" s="1087"/>
      <c r="JE406" s="1087"/>
      <c r="JF406" s="1087"/>
      <c r="JG406" s="1087"/>
      <c r="JH406" s="1087"/>
      <c r="JI406" s="1087"/>
      <c r="JJ406" s="1087"/>
      <c r="JK406" s="1087"/>
      <c r="JL406" s="1087"/>
      <c r="JM406" s="1087"/>
      <c r="JN406" s="1087"/>
      <c r="JO406" s="1087"/>
      <c r="JP406" s="1087"/>
      <c r="JQ406" s="1087"/>
      <c r="JR406" s="1087"/>
      <c r="JS406" s="1087"/>
      <c r="JT406" s="1087"/>
      <c r="JU406" s="1087"/>
      <c r="JV406" s="1087"/>
      <c r="JW406" s="1087"/>
      <c r="JX406" s="1087"/>
      <c r="JY406" s="1087"/>
      <c r="JZ406" s="1087"/>
      <c r="KA406" s="1087"/>
      <c r="KB406" s="1092"/>
    </row>
    <row r="407" spans="2:288" ht="15" customHeight="1" x14ac:dyDescent="0.35">
      <c r="B407" s="146" t="str">
        <f t="shared" si="30"/>
        <v>Desk 88</v>
      </c>
      <c r="C407" s="148" t="str">
        <v/>
      </c>
      <c r="D407" s="148" t="str">
        <v/>
      </c>
      <c r="E407" s="148" t="str">
        <v/>
      </c>
      <c r="F407" s="148" t="str">
        <v/>
      </c>
      <c r="G407" s="268" t="str">
        <v/>
      </c>
      <c r="H407" s="1087"/>
      <c r="I407" s="1087"/>
      <c r="J407" s="1087"/>
      <c r="K407" s="1087"/>
      <c r="L407" s="1087"/>
      <c r="M407" s="1087"/>
      <c r="N407" s="1087"/>
      <c r="O407" s="1087"/>
      <c r="P407" s="1087"/>
      <c r="Q407" s="1087"/>
      <c r="R407" s="1087"/>
      <c r="S407" s="1087"/>
      <c r="T407" s="1087"/>
      <c r="U407" s="1087"/>
      <c r="V407" s="1087"/>
      <c r="W407" s="1087"/>
      <c r="X407" s="1087"/>
      <c r="Y407" s="1087"/>
      <c r="Z407" s="1087"/>
      <c r="AA407" s="1087"/>
      <c r="AB407" s="1087"/>
      <c r="AC407" s="1087"/>
      <c r="AD407" s="1087"/>
      <c r="AE407" s="1087"/>
      <c r="AF407" s="1087"/>
      <c r="AG407" s="1087"/>
      <c r="AH407" s="1087"/>
      <c r="AI407" s="1087"/>
      <c r="AJ407" s="1087"/>
      <c r="AK407" s="1087"/>
      <c r="AL407" s="1087"/>
      <c r="AM407" s="1087"/>
      <c r="AN407" s="1087"/>
      <c r="AO407" s="1087"/>
      <c r="AP407" s="1087"/>
      <c r="AQ407" s="1087"/>
      <c r="AR407" s="1087"/>
      <c r="AS407" s="1087"/>
      <c r="AT407" s="1087"/>
      <c r="AU407" s="1087"/>
      <c r="AV407" s="1087"/>
      <c r="AW407" s="1087"/>
      <c r="AX407" s="1087"/>
      <c r="AY407" s="1087"/>
      <c r="AZ407" s="1087"/>
      <c r="BA407" s="1087"/>
      <c r="BB407" s="1087"/>
      <c r="BC407" s="1087"/>
      <c r="BD407" s="1087"/>
      <c r="BE407" s="1087"/>
      <c r="BF407" s="1087"/>
      <c r="BG407" s="1087"/>
      <c r="BH407" s="1087"/>
      <c r="BI407" s="1087"/>
      <c r="BJ407" s="1087"/>
      <c r="BK407" s="1087"/>
      <c r="BL407" s="1087"/>
      <c r="BM407" s="1087"/>
      <c r="BN407" s="1087"/>
      <c r="BO407" s="1087"/>
      <c r="BP407" s="1087"/>
      <c r="BQ407" s="1087"/>
      <c r="BR407" s="1087"/>
      <c r="BS407" s="1087"/>
      <c r="BT407" s="1087"/>
      <c r="BU407" s="1087"/>
      <c r="BV407" s="1087"/>
      <c r="BW407" s="1087"/>
      <c r="BX407" s="1087"/>
      <c r="BY407" s="1087"/>
      <c r="BZ407" s="1087"/>
      <c r="CA407" s="1087"/>
      <c r="CB407" s="1087"/>
      <c r="CC407" s="1087"/>
      <c r="CD407" s="1087"/>
      <c r="CE407" s="1087"/>
      <c r="CF407" s="1087"/>
      <c r="CG407" s="1087"/>
      <c r="CH407" s="1087"/>
      <c r="CI407" s="1087"/>
      <c r="CJ407" s="1087"/>
      <c r="CK407" s="1087"/>
      <c r="CL407" s="1087"/>
      <c r="CM407" s="1087"/>
      <c r="CN407" s="1087"/>
      <c r="CO407" s="1087"/>
      <c r="CP407" s="1087"/>
      <c r="CQ407" s="1087"/>
      <c r="CR407" s="1087"/>
      <c r="CS407" s="1087"/>
      <c r="CT407" s="1087"/>
      <c r="CU407" s="1087"/>
      <c r="CV407" s="1087"/>
      <c r="CW407" s="1087"/>
      <c r="CX407" s="1087"/>
      <c r="CY407" s="1087"/>
      <c r="CZ407" s="1087"/>
      <c r="DA407" s="1087"/>
      <c r="DB407" s="1087"/>
      <c r="DC407" s="1087"/>
      <c r="DD407" s="1087"/>
      <c r="DE407" s="1087"/>
      <c r="DF407" s="1087"/>
      <c r="DG407" s="1087"/>
      <c r="DH407" s="1087"/>
      <c r="DI407" s="1087"/>
      <c r="DJ407" s="1087"/>
      <c r="DK407" s="1087"/>
      <c r="DL407" s="1087"/>
      <c r="DM407" s="1087"/>
      <c r="DN407" s="1087"/>
      <c r="DO407" s="1087"/>
      <c r="DP407" s="1087"/>
      <c r="DQ407" s="1087"/>
      <c r="DR407" s="1087"/>
      <c r="DS407" s="1087"/>
      <c r="DT407" s="1087"/>
      <c r="DU407" s="1087"/>
      <c r="DV407" s="1087"/>
      <c r="DW407" s="1087"/>
      <c r="DX407" s="1087"/>
      <c r="DY407" s="1087"/>
      <c r="DZ407" s="1087"/>
      <c r="EA407" s="1087"/>
      <c r="EB407" s="1087"/>
      <c r="EC407" s="1087"/>
      <c r="ED407" s="1087"/>
      <c r="EE407" s="1087"/>
      <c r="EF407" s="1087"/>
      <c r="EG407" s="1087"/>
      <c r="EH407" s="1087"/>
      <c r="EI407" s="1087"/>
      <c r="EJ407" s="1087"/>
      <c r="EK407" s="1087"/>
      <c r="EL407" s="1087"/>
      <c r="EM407" s="1087"/>
      <c r="EN407" s="1087"/>
      <c r="EO407" s="1087"/>
      <c r="EP407" s="1087"/>
      <c r="EQ407" s="1087"/>
      <c r="ER407" s="1087"/>
      <c r="ES407" s="1087"/>
      <c r="ET407" s="1087"/>
      <c r="EU407" s="1087"/>
      <c r="EV407" s="1087"/>
      <c r="EW407" s="1087"/>
      <c r="EX407" s="1087"/>
      <c r="EY407" s="1087"/>
      <c r="EZ407" s="1087"/>
      <c r="FA407" s="1087"/>
      <c r="FB407" s="1087"/>
      <c r="FC407" s="1087"/>
      <c r="FD407" s="1087"/>
      <c r="FE407" s="1087"/>
      <c r="FF407" s="1087"/>
      <c r="FG407" s="1087"/>
      <c r="FH407" s="1087"/>
      <c r="FI407" s="1087"/>
      <c r="FJ407" s="1087"/>
      <c r="FK407" s="1087"/>
      <c r="FL407" s="1087"/>
      <c r="FM407" s="1087"/>
      <c r="FN407" s="1087"/>
      <c r="FO407" s="1087"/>
      <c r="FP407" s="1087"/>
      <c r="FQ407" s="1087"/>
      <c r="FR407" s="1087"/>
      <c r="FS407" s="1087"/>
      <c r="FT407" s="1087"/>
      <c r="FU407" s="1087"/>
      <c r="FV407" s="1087"/>
      <c r="FW407" s="1087"/>
      <c r="FX407" s="1087"/>
      <c r="FY407" s="1087"/>
      <c r="FZ407" s="1087"/>
      <c r="GA407" s="1087"/>
      <c r="GB407" s="1087"/>
      <c r="GC407" s="1087"/>
      <c r="GD407" s="1087"/>
      <c r="GE407" s="1087"/>
      <c r="GF407" s="1087"/>
      <c r="GG407" s="1087"/>
      <c r="GH407" s="1087"/>
      <c r="GI407" s="1087"/>
      <c r="GJ407" s="1087"/>
      <c r="GK407" s="1087"/>
      <c r="GL407" s="1087"/>
      <c r="GM407" s="1087"/>
      <c r="GN407" s="1087"/>
      <c r="GO407" s="1087"/>
      <c r="GP407" s="1087"/>
      <c r="GQ407" s="1087"/>
      <c r="GR407" s="1087"/>
      <c r="GS407" s="1087"/>
      <c r="GT407" s="1087"/>
      <c r="GU407" s="1087"/>
      <c r="GV407" s="1087"/>
      <c r="GW407" s="1087"/>
      <c r="GX407" s="1087"/>
      <c r="GY407" s="1087"/>
      <c r="GZ407" s="1087"/>
      <c r="HA407" s="1087"/>
      <c r="HB407" s="1087"/>
      <c r="HC407" s="1087"/>
      <c r="HD407" s="1087"/>
      <c r="HE407" s="1087"/>
      <c r="HF407" s="1087"/>
      <c r="HG407" s="1087"/>
      <c r="HH407" s="1087"/>
      <c r="HI407" s="1087"/>
      <c r="HJ407" s="1087"/>
      <c r="HK407" s="1087"/>
      <c r="HL407" s="1087"/>
      <c r="HM407" s="1087"/>
      <c r="HN407" s="1087"/>
      <c r="HO407" s="1087"/>
      <c r="HP407" s="1087"/>
      <c r="HQ407" s="1087"/>
      <c r="HR407" s="1087"/>
      <c r="HS407" s="1087"/>
      <c r="HT407" s="1087"/>
      <c r="HU407" s="1087"/>
      <c r="HV407" s="1087"/>
      <c r="HW407" s="1087"/>
      <c r="HX407" s="1087"/>
      <c r="HY407" s="1087"/>
      <c r="HZ407" s="1087"/>
      <c r="IA407" s="1087"/>
      <c r="IB407" s="1087"/>
      <c r="IC407" s="1087"/>
      <c r="ID407" s="1087"/>
      <c r="IE407" s="1087"/>
      <c r="IF407" s="1087"/>
      <c r="IG407" s="1087"/>
      <c r="IH407" s="1087"/>
      <c r="II407" s="1087"/>
      <c r="IJ407" s="1087"/>
      <c r="IK407" s="1087"/>
      <c r="IL407" s="1087"/>
      <c r="IM407" s="1087"/>
      <c r="IN407" s="1087"/>
      <c r="IO407" s="1087"/>
      <c r="IP407" s="1087"/>
      <c r="IQ407" s="1087"/>
      <c r="IR407" s="1087"/>
      <c r="IS407" s="1087"/>
      <c r="IT407" s="1087"/>
      <c r="IU407" s="1087"/>
      <c r="IV407" s="1087"/>
      <c r="IW407" s="1087"/>
      <c r="IX407" s="1087"/>
      <c r="IY407" s="1087"/>
      <c r="IZ407" s="1087"/>
      <c r="JA407" s="1087"/>
      <c r="JB407" s="1087"/>
      <c r="JC407" s="1087"/>
      <c r="JD407" s="1087"/>
      <c r="JE407" s="1087"/>
      <c r="JF407" s="1087"/>
      <c r="JG407" s="1087"/>
      <c r="JH407" s="1087"/>
      <c r="JI407" s="1087"/>
      <c r="JJ407" s="1087"/>
      <c r="JK407" s="1087"/>
      <c r="JL407" s="1087"/>
      <c r="JM407" s="1087"/>
      <c r="JN407" s="1087"/>
      <c r="JO407" s="1087"/>
      <c r="JP407" s="1087"/>
      <c r="JQ407" s="1087"/>
      <c r="JR407" s="1087"/>
      <c r="JS407" s="1087"/>
      <c r="JT407" s="1087"/>
      <c r="JU407" s="1087"/>
      <c r="JV407" s="1087"/>
      <c r="JW407" s="1087"/>
      <c r="JX407" s="1087"/>
      <c r="JY407" s="1087"/>
      <c r="JZ407" s="1087"/>
      <c r="KA407" s="1087"/>
      <c r="KB407" s="1092"/>
    </row>
    <row r="408" spans="2:288" ht="15" customHeight="1" x14ac:dyDescent="0.35">
      <c r="B408" s="146" t="str">
        <f t="shared" si="30"/>
        <v>Desk 89</v>
      </c>
      <c r="C408" s="148" t="str">
        <v/>
      </c>
      <c r="D408" s="148" t="str">
        <v/>
      </c>
      <c r="E408" s="148" t="str">
        <v/>
      </c>
      <c r="F408" s="148" t="str">
        <v/>
      </c>
      <c r="G408" s="268" t="str">
        <v/>
      </c>
      <c r="H408" s="1087"/>
      <c r="I408" s="1087"/>
      <c r="J408" s="1087"/>
      <c r="K408" s="1087"/>
      <c r="L408" s="1087"/>
      <c r="M408" s="1087"/>
      <c r="N408" s="1087"/>
      <c r="O408" s="1087"/>
      <c r="P408" s="1087"/>
      <c r="Q408" s="1087"/>
      <c r="R408" s="1087"/>
      <c r="S408" s="1087"/>
      <c r="T408" s="1087"/>
      <c r="U408" s="1087"/>
      <c r="V408" s="1087"/>
      <c r="W408" s="1087"/>
      <c r="X408" s="1087"/>
      <c r="Y408" s="1087"/>
      <c r="Z408" s="1087"/>
      <c r="AA408" s="1087"/>
      <c r="AB408" s="1087"/>
      <c r="AC408" s="1087"/>
      <c r="AD408" s="1087"/>
      <c r="AE408" s="1087"/>
      <c r="AF408" s="1087"/>
      <c r="AG408" s="1087"/>
      <c r="AH408" s="1087"/>
      <c r="AI408" s="1087"/>
      <c r="AJ408" s="1087"/>
      <c r="AK408" s="1087"/>
      <c r="AL408" s="1087"/>
      <c r="AM408" s="1087"/>
      <c r="AN408" s="1087"/>
      <c r="AO408" s="1087"/>
      <c r="AP408" s="1087"/>
      <c r="AQ408" s="1087"/>
      <c r="AR408" s="1087"/>
      <c r="AS408" s="1087"/>
      <c r="AT408" s="1087"/>
      <c r="AU408" s="1087"/>
      <c r="AV408" s="1087"/>
      <c r="AW408" s="1087"/>
      <c r="AX408" s="1087"/>
      <c r="AY408" s="1087"/>
      <c r="AZ408" s="1087"/>
      <c r="BA408" s="1087"/>
      <c r="BB408" s="1087"/>
      <c r="BC408" s="1087"/>
      <c r="BD408" s="1087"/>
      <c r="BE408" s="1087"/>
      <c r="BF408" s="1087"/>
      <c r="BG408" s="1087"/>
      <c r="BH408" s="1087"/>
      <c r="BI408" s="1087"/>
      <c r="BJ408" s="1087"/>
      <c r="BK408" s="1087"/>
      <c r="BL408" s="1087"/>
      <c r="BM408" s="1087"/>
      <c r="BN408" s="1087"/>
      <c r="BO408" s="1087"/>
      <c r="BP408" s="1087"/>
      <c r="BQ408" s="1087"/>
      <c r="BR408" s="1087"/>
      <c r="BS408" s="1087"/>
      <c r="BT408" s="1087"/>
      <c r="BU408" s="1087"/>
      <c r="BV408" s="1087"/>
      <c r="BW408" s="1087"/>
      <c r="BX408" s="1087"/>
      <c r="BY408" s="1087"/>
      <c r="BZ408" s="1087"/>
      <c r="CA408" s="1087"/>
      <c r="CB408" s="1087"/>
      <c r="CC408" s="1087"/>
      <c r="CD408" s="1087"/>
      <c r="CE408" s="1087"/>
      <c r="CF408" s="1087"/>
      <c r="CG408" s="1087"/>
      <c r="CH408" s="1087"/>
      <c r="CI408" s="1087"/>
      <c r="CJ408" s="1087"/>
      <c r="CK408" s="1087"/>
      <c r="CL408" s="1087"/>
      <c r="CM408" s="1087"/>
      <c r="CN408" s="1087"/>
      <c r="CO408" s="1087"/>
      <c r="CP408" s="1087"/>
      <c r="CQ408" s="1087"/>
      <c r="CR408" s="1087"/>
      <c r="CS408" s="1087"/>
      <c r="CT408" s="1087"/>
      <c r="CU408" s="1087"/>
      <c r="CV408" s="1087"/>
      <c r="CW408" s="1087"/>
      <c r="CX408" s="1087"/>
      <c r="CY408" s="1087"/>
      <c r="CZ408" s="1087"/>
      <c r="DA408" s="1087"/>
      <c r="DB408" s="1087"/>
      <c r="DC408" s="1087"/>
      <c r="DD408" s="1087"/>
      <c r="DE408" s="1087"/>
      <c r="DF408" s="1087"/>
      <c r="DG408" s="1087"/>
      <c r="DH408" s="1087"/>
      <c r="DI408" s="1087"/>
      <c r="DJ408" s="1087"/>
      <c r="DK408" s="1087"/>
      <c r="DL408" s="1087"/>
      <c r="DM408" s="1087"/>
      <c r="DN408" s="1087"/>
      <c r="DO408" s="1087"/>
      <c r="DP408" s="1087"/>
      <c r="DQ408" s="1087"/>
      <c r="DR408" s="1087"/>
      <c r="DS408" s="1087"/>
      <c r="DT408" s="1087"/>
      <c r="DU408" s="1087"/>
      <c r="DV408" s="1087"/>
      <c r="DW408" s="1087"/>
      <c r="DX408" s="1087"/>
      <c r="DY408" s="1087"/>
      <c r="DZ408" s="1087"/>
      <c r="EA408" s="1087"/>
      <c r="EB408" s="1087"/>
      <c r="EC408" s="1087"/>
      <c r="ED408" s="1087"/>
      <c r="EE408" s="1087"/>
      <c r="EF408" s="1087"/>
      <c r="EG408" s="1087"/>
      <c r="EH408" s="1087"/>
      <c r="EI408" s="1087"/>
      <c r="EJ408" s="1087"/>
      <c r="EK408" s="1087"/>
      <c r="EL408" s="1087"/>
      <c r="EM408" s="1087"/>
      <c r="EN408" s="1087"/>
      <c r="EO408" s="1087"/>
      <c r="EP408" s="1087"/>
      <c r="EQ408" s="1087"/>
      <c r="ER408" s="1087"/>
      <c r="ES408" s="1087"/>
      <c r="ET408" s="1087"/>
      <c r="EU408" s="1087"/>
      <c r="EV408" s="1087"/>
      <c r="EW408" s="1087"/>
      <c r="EX408" s="1087"/>
      <c r="EY408" s="1087"/>
      <c r="EZ408" s="1087"/>
      <c r="FA408" s="1087"/>
      <c r="FB408" s="1087"/>
      <c r="FC408" s="1087"/>
      <c r="FD408" s="1087"/>
      <c r="FE408" s="1087"/>
      <c r="FF408" s="1087"/>
      <c r="FG408" s="1087"/>
      <c r="FH408" s="1087"/>
      <c r="FI408" s="1087"/>
      <c r="FJ408" s="1087"/>
      <c r="FK408" s="1087"/>
      <c r="FL408" s="1087"/>
      <c r="FM408" s="1087"/>
      <c r="FN408" s="1087"/>
      <c r="FO408" s="1087"/>
      <c r="FP408" s="1087"/>
      <c r="FQ408" s="1087"/>
      <c r="FR408" s="1087"/>
      <c r="FS408" s="1087"/>
      <c r="FT408" s="1087"/>
      <c r="FU408" s="1087"/>
      <c r="FV408" s="1087"/>
      <c r="FW408" s="1087"/>
      <c r="FX408" s="1087"/>
      <c r="FY408" s="1087"/>
      <c r="FZ408" s="1087"/>
      <c r="GA408" s="1087"/>
      <c r="GB408" s="1087"/>
      <c r="GC408" s="1087"/>
      <c r="GD408" s="1087"/>
      <c r="GE408" s="1087"/>
      <c r="GF408" s="1087"/>
      <c r="GG408" s="1087"/>
      <c r="GH408" s="1087"/>
      <c r="GI408" s="1087"/>
      <c r="GJ408" s="1087"/>
      <c r="GK408" s="1087"/>
      <c r="GL408" s="1087"/>
      <c r="GM408" s="1087"/>
      <c r="GN408" s="1087"/>
      <c r="GO408" s="1087"/>
      <c r="GP408" s="1087"/>
      <c r="GQ408" s="1087"/>
      <c r="GR408" s="1087"/>
      <c r="GS408" s="1087"/>
      <c r="GT408" s="1087"/>
      <c r="GU408" s="1087"/>
      <c r="GV408" s="1087"/>
      <c r="GW408" s="1087"/>
      <c r="GX408" s="1087"/>
      <c r="GY408" s="1087"/>
      <c r="GZ408" s="1087"/>
      <c r="HA408" s="1087"/>
      <c r="HB408" s="1087"/>
      <c r="HC408" s="1087"/>
      <c r="HD408" s="1087"/>
      <c r="HE408" s="1087"/>
      <c r="HF408" s="1087"/>
      <c r="HG408" s="1087"/>
      <c r="HH408" s="1087"/>
      <c r="HI408" s="1087"/>
      <c r="HJ408" s="1087"/>
      <c r="HK408" s="1087"/>
      <c r="HL408" s="1087"/>
      <c r="HM408" s="1087"/>
      <c r="HN408" s="1087"/>
      <c r="HO408" s="1087"/>
      <c r="HP408" s="1087"/>
      <c r="HQ408" s="1087"/>
      <c r="HR408" s="1087"/>
      <c r="HS408" s="1087"/>
      <c r="HT408" s="1087"/>
      <c r="HU408" s="1087"/>
      <c r="HV408" s="1087"/>
      <c r="HW408" s="1087"/>
      <c r="HX408" s="1087"/>
      <c r="HY408" s="1087"/>
      <c r="HZ408" s="1087"/>
      <c r="IA408" s="1087"/>
      <c r="IB408" s="1087"/>
      <c r="IC408" s="1087"/>
      <c r="ID408" s="1087"/>
      <c r="IE408" s="1087"/>
      <c r="IF408" s="1087"/>
      <c r="IG408" s="1087"/>
      <c r="IH408" s="1087"/>
      <c r="II408" s="1087"/>
      <c r="IJ408" s="1087"/>
      <c r="IK408" s="1087"/>
      <c r="IL408" s="1087"/>
      <c r="IM408" s="1087"/>
      <c r="IN408" s="1087"/>
      <c r="IO408" s="1087"/>
      <c r="IP408" s="1087"/>
      <c r="IQ408" s="1087"/>
      <c r="IR408" s="1087"/>
      <c r="IS408" s="1087"/>
      <c r="IT408" s="1087"/>
      <c r="IU408" s="1087"/>
      <c r="IV408" s="1087"/>
      <c r="IW408" s="1087"/>
      <c r="IX408" s="1087"/>
      <c r="IY408" s="1087"/>
      <c r="IZ408" s="1087"/>
      <c r="JA408" s="1087"/>
      <c r="JB408" s="1087"/>
      <c r="JC408" s="1087"/>
      <c r="JD408" s="1087"/>
      <c r="JE408" s="1087"/>
      <c r="JF408" s="1087"/>
      <c r="JG408" s="1087"/>
      <c r="JH408" s="1087"/>
      <c r="JI408" s="1087"/>
      <c r="JJ408" s="1087"/>
      <c r="JK408" s="1087"/>
      <c r="JL408" s="1087"/>
      <c r="JM408" s="1087"/>
      <c r="JN408" s="1087"/>
      <c r="JO408" s="1087"/>
      <c r="JP408" s="1087"/>
      <c r="JQ408" s="1087"/>
      <c r="JR408" s="1087"/>
      <c r="JS408" s="1087"/>
      <c r="JT408" s="1087"/>
      <c r="JU408" s="1087"/>
      <c r="JV408" s="1087"/>
      <c r="JW408" s="1087"/>
      <c r="JX408" s="1087"/>
      <c r="JY408" s="1087"/>
      <c r="JZ408" s="1087"/>
      <c r="KA408" s="1087"/>
      <c r="KB408" s="1092"/>
    </row>
    <row r="409" spans="2:288" ht="15" customHeight="1" x14ac:dyDescent="0.35">
      <c r="B409" s="146" t="str">
        <f t="shared" si="30"/>
        <v>Desk 90</v>
      </c>
      <c r="C409" s="148" t="str">
        <v/>
      </c>
      <c r="D409" s="148" t="str">
        <v/>
      </c>
      <c r="E409" s="148" t="str">
        <v/>
      </c>
      <c r="F409" s="148" t="str">
        <v/>
      </c>
      <c r="G409" s="268" t="str">
        <v/>
      </c>
      <c r="H409" s="1087"/>
      <c r="I409" s="1087"/>
      <c r="J409" s="1087"/>
      <c r="K409" s="1087"/>
      <c r="L409" s="1087"/>
      <c r="M409" s="1087"/>
      <c r="N409" s="1087"/>
      <c r="O409" s="1087"/>
      <c r="P409" s="1087"/>
      <c r="Q409" s="1087"/>
      <c r="R409" s="1087"/>
      <c r="S409" s="1087"/>
      <c r="T409" s="1087"/>
      <c r="U409" s="1087"/>
      <c r="V409" s="1087"/>
      <c r="W409" s="1087"/>
      <c r="X409" s="1087"/>
      <c r="Y409" s="1087"/>
      <c r="Z409" s="1087"/>
      <c r="AA409" s="1087"/>
      <c r="AB409" s="1087"/>
      <c r="AC409" s="1087"/>
      <c r="AD409" s="1087"/>
      <c r="AE409" s="1087"/>
      <c r="AF409" s="1087"/>
      <c r="AG409" s="1087"/>
      <c r="AH409" s="1087"/>
      <c r="AI409" s="1087"/>
      <c r="AJ409" s="1087"/>
      <c r="AK409" s="1087"/>
      <c r="AL409" s="1087"/>
      <c r="AM409" s="1087"/>
      <c r="AN409" s="1087"/>
      <c r="AO409" s="1087"/>
      <c r="AP409" s="1087"/>
      <c r="AQ409" s="1087"/>
      <c r="AR409" s="1087"/>
      <c r="AS409" s="1087"/>
      <c r="AT409" s="1087"/>
      <c r="AU409" s="1087"/>
      <c r="AV409" s="1087"/>
      <c r="AW409" s="1087"/>
      <c r="AX409" s="1087"/>
      <c r="AY409" s="1087"/>
      <c r="AZ409" s="1087"/>
      <c r="BA409" s="1087"/>
      <c r="BB409" s="1087"/>
      <c r="BC409" s="1087"/>
      <c r="BD409" s="1087"/>
      <c r="BE409" s="1087"/>
      <c r="BF409" s="1087"/>
      <c r="BG409" s="1087"/>
      <c r="BH409" s="1087"/>
      <c r="BI409" s="1087"/>
      <c r="BJ409" s="1087"/>
      <c r="BK409" s="1087"/>
      <c r="BL409" s="1087"/>
      <c r="BM409" s="1087"/>
      <c r="BN409" s="1087"/>
      <c r="BO409" s="1087"/>
      <c r="BP409" s="1087"/>
      <c r="BQ409" s="1087"/>
      <c r="BR409" s="1087"/>
      <c r="BS409" s="1087"/>
      <c r="BT409" s="1087"/>
      <c r="BU409" s="1087"/>
      <c r="BV409" s="1087"/>
      <c r="BW409" s="1087"/>
      <c r="BX409" s="1087"/>
      <c r="BY409" s="1087"/>
      <c r="BZ409" s="1087"/>
      <c r="CA409" s="1087"/>
      <c r="CB409" s="1087"/>
      <c r="CC409" s="1087"/>
      <c r="CD409" s="1087"/>
      <c r="CE409" s="1087"/>
      <c r="CF409" s="1087"/>
      <c r="CG409" s="1087"/>
      <c r="CH409" s="1087"/>
      <c r="CI409" s="1087"/>
      <c r="CJ409" s="1087"/>
      <c r="CK409" s="1087"/>
      <c r="CL409" s="1087"/>
      <c r="CM409" s="1087"/>
      <c r="CN409" s="1087"/>
      <c r="CO409" s="1087"/>
      <c r="CP409" s="1087"/>
      <c r="CQ409" s="1087"/>
      <c r="CR409" s="1087"/>
      <c r="CS409" s="1087"/>
      <c r="CT409" s="1087"/>
      <c r="CU409" s="1087"/>
      <c r="CV409" s="1087"/>
      <c r="CW409" s="1087"/>
      <c r="CX409" s="1087"/>
      <c r="CY409" s="1087"/>
      <c r="CZ409" s="1087"/>
      <c r="DA409" s="1087"/>
      <c r="DB409" s="1087"/>
      <c r="DC409" s="1087"/>
      <c r="DD409" s="1087"/>
      <c r="DE409" s="1087"/>
      <c r="DF409" s="1087"/>
      <c r="DG409" s="1087"/>
      <c r="DH409" s="1087"/>
      <c r="DI409" s="1087"/>
      <c r="DJ409" s="1087"/>
      <c r="DK409" s="1087"/>
      <c r="DL409" s="1087"/>
      <c r="DM409" s="1087"/>
      <c r="DN409" s="1087"/>
      <c r="DO409" s="1087"/>
      <c r="DP409" s="1087"/>
      <c r="DQ409" s="1087"/>
      <c r="DR409" s="1087"/>
      <c r="DS409" s="1087"/>
      <c r="DT409" s="1087"/>
      <c r="DU409" s="1087"/>
      <c r="DV409" s="1087"/>
      <c r="DW409" s="1087"/>
      <c r="DX409" s="1087"/>
      <c r="DY409" s="1087"/>
      <c r="DZ409" s="1087"/>
      <c r="EA409" s="1087"/>
      <c r="EB409" s="1087"/>
      <c r="EC409" s="1087"/>
      <c r="ED409" s="1087"/>
      <c r="EE409" s="1087"/>
      <c r="EF409" s="1087"/>
      <c r="EG409" s="1087"/>
      <c r="EH409" s="1087"/>
      <c r="EI409" s="1087"/>
      <c r="EJ409" s="1087"/>
      <c r="EK409" s="1087"/>
      <c r="EL409" s="1087"/>
      <c r="EM409" s="1087"/>
      <c r="EN409" s="1087"/>
      <c r="EO409" s="1087"/>
      <c r="EP409" s="1087"/>
      <c r="EQ409" s="1087"/>
      <c r="ER409" s="1087"/>
      <c r="ES409" s="1087"/>
      <c r="ET409" s="1087"/>
      <c r="EU409" s="1087"/>
      <c r="EV409" s="1087"/>
      <c r="EW409" s="1087"/>
      <c r="EX409" s="1087"/>
      <c r="EY409" s="1087"/>
      <c r="EZ409" s="1087"/>
      <c r="FA409" s="1087"/>
      <c r="FB409" s="1087"/>
      <c r="FC409" s="1087"/>
      <c r="FD409" s="1087"/>
      <c r="FE409" s="1087"/>
      <c r="FF409" s="1087"/>
      <c r="FG409" s="1087"/>
      <c r="FH409" s="1087"/>
      <c r="FI409" s="1087"/>
      <c r="FJ409" s="1087"/>
      <c r="FK409" s="1087"/>
      <c r="FL409" s="1087"/>
      <c r="FM409" s="1087"/>
      <c r="FN409" s="1087"/>
      <c r="FO409" s="1087"/>
      <c r="FP409" s="1087"/>
      <c r="FQ409" s="1087"/>
      <c r="FR409" s="1087"/>
      <c r="FS409" s="1087"/>
      <c r="FT409" s="1087"/>
      <c r="FU409" s="1087"/>
      <c r="FV409" s="1087"/>
      <c r="FW409" s="1087"/>
      <c r="FX409" s="1087"/>
      <c r="FY409" s="1087"/>
      <c r="FZ409" s="1087"/>
      <c r="GA409" s="1087"/>
      <c r="GB409" s="1087"/>
      <c r="GC409" s="1087"/>
      <c r="GD409" s="1087"/>
      <c r="GE409" s="1087"/>
      <c r="GF409" s="1087"/>
      <c r="GG409" s="1087"/>
      <c r="GH409" s="1087"/>
      <c r="GI409" s="1087"/>
      <c r="GJ409" s="1087"/>
      <c r="GK409" s="1087"/>
      <c r="GL409" s="1087"/>
      <c r="GM409" s="1087"/>
      <c r="GN409" s="1087"/>
      <c r="GO409" s="1087"/>
      <c r="GP409" s="1087"/>
      <c r="GQ409" s="1087"/>
      <c r="GR409" s="1087"/>
      <c r="GS409" s="1087"/>
      <c r="GT409" s="1087"/>
      <c r="GU409" s="1087"/>
      <c r="GV409" s="1087"/>
      <c r="GW409" s="1087"/>
      <c r="GX409" s="1087"/>
      <c r="GY409" s="1087"/>
      <c r="GZ409" s="1087"/>
      <c r="HA409" s="1087"/>
      <c r="HB409" s="1087"/>
      <c r="HC409" s="1087"/>
      <c r="HD409" s="1087"/>
      <c r="HE409" s="1087"/>
      <c r="HF409" s="1087"/>
      <c r="HG409" s="1087"/>
      <c r="HH409" s="1087"/>
      <c r="HI409" s="1087"/>
      <c r="HJ409" s="1087"/>
      <c r="HK409" s="1087"/>
      <c r="HL409" s="1087"/>
      <c r="HM409" s="1087"/>
      <c r="HN409" s="1087"/>
      <c r="HO409" s="1087"/>
      <c r="HP409" s="1087"/>
      <c r="HQ409" s="1087"/>
      <c r="HR409" s="1087"/>
      <c r="HS409" s="1087"/>
      <c r="HT409" s="1087"/>
      <c r="HU409" s="1087"/>
      <c r="HV409" s="1087"/>
      <c r="HW409" s="1087"/>
      <c r="HX409" s="1087"/>
      <c r="HY409" s="1087"/>
      <c r="HZ409" s="1087"/>
      <c r="IA409" s="1087"/>
      <c r="IB409" s="1087"/>
      <c r="IC409" s="1087"/>
      <c r="ID409" s="1087"/>
      <c r="IE409" s="1087"/>
      <c r="IF409" s="1087"/>
      <c r="IG409" s="1087"/>
      <c r="IH409" s="1087"/>
      <c r="II409" s="1087"/>
      <c r="IJ409" s="1087"/>
      <c r="IK409" s="1087"/>
      <c r="IL409" s="1087"/>
      <c r="IM409" s="1087"/>
      <c r="IN409" s="1087"/>
      <c r="IO409" s="1087"/>
      <c r="IP409" s="1087"/>
      <c r="IQ409" s="1087"/>
      <c r="IR409" s="1087"/>
      <c r="IS409" s="1087"/>
      <c r="IT409" s="1087"/>
      <c r="IU409" s="1087"/>
      <c r="IV409" s="1087"/>
      <c r="IW409" s="1087"/>
      <c r="IX409" s="1087"/>
      <c r="IY409" s="1087"/>
      <c r="IZ409" s="1087"/>
      <c r="JA409" s="1087"/>
      <c r="JB409" s="1087"/>
      <c r="JC409" s="1087"/>
      <c r="JD409" s="1087"/>
      <c r="JE409" s="1087"/>
      <c r="JF409" s="1087"/>
      <c r="JG409" s="1087"/>
      <c r="JH409" s="1087"/>
      <c r="JI409" s="1087"/>
      <c r="JJ409" s="1087"/>
      <c r="JK409" s="1087"/>
      <c r="JL409" s="1087"/>
      <c r="JM409" s="1087"/>
      <c r="JN409" s="1087"/>
      <c r="JO409" s="1087"/>
      <c r="JP409" s="1087"/>
      <c r="JQ409" s="1087"/>
      <c r="JR409" s="1087"/>
      <c r="JS409" s="1087"/>
      <c r="JT409" s="1087"/>
      <c r="JU409" s="1087"/>
      <c r="JV409" s="1087"/>
      <c r="JW409" s="1087"/>
      <c r="JX409" s="1087"/>
      <c r="JY409" s="1087"/>
      <c r="JZ409" s="1087"/>
      <c r="KA409" s="1087"/>
      <c r="KB409" s="1092"/>
    </row>
    <row r="410" spans="2:288" ht="15" customHeight="1" x14ac:dyDescent="0.35">
      <c r="B410" s="146" t="str">
        <f t="shared" si="30"/>
        <v>Desk 91</v>
      </c>
      <c r="C410" s="148" t="str">
        <v/>
      </c>
      <c r="D410" s="148" t="str">
        <v/>
      </c>
      <c r="E410" s="148" t="str">
        <v/>
      </c>
      <c r="F410" s="148" t="str">
        <v/>
      </c>
      <c r="G410" s="268" t="str">
        <v/>
      </c>
      <c r="H410" s="1087"/>
      <c r="I410" s="1087"/>
      <c r="J410" s="1087"/>
      <c r="K410" s="1087"/>
      <c r="L410" s="1087"/>
      <c r="M410" s="1087"/>
      <c r="N410" s="1087"/>
      <c r="O410" s="1087"/>
      <c r="P410" s="1087"/>
      <c r="Q410" s="1087"/>
      <c r="R410" s="1087"/>
      <c r="S410" s="1087"/>
      <c r="T410" s="1087"/>
      <c r="U410" s="1087"/>
      <c r="V410" s="1087"/>
      <c r="W410" s="1087"/>
      <c r="X410" s="1087"/>
      <c r="Y410" s="1087"/>
      <c r="Z410" s="1087"/>
      <c r="AA410" s="1087"/>
      <c r="AB410" s="1087"/>
      <c r="AC410" s="1087"/>
      <c r="AD410" s="1087"/>
      <c r="AE410" s="1087"/>
      <c r="AF410" s="1087"/>
      <c r="AG410" s="1087"/>
      <c r="AH410" s="1087"/>
      <c r="AI410" s="1087"/>
      <c r="AJ410" s="1087"/>
      <c r="AK410" s="1087"/>
      <c r="AL410" s="1087"/>
      <c r="AM410" s="1087"/>
      <c r="AN410" s="1087"/>
      <c r="AO410" s="1087"/>
      <c r="AP410" s="1087"/>
      <c r="AQ410" s="1087"/>
      <c r="AR410" s="1087"/>
      <c r="AS410" s="1087"/>
      <c r="AT410" s="1087"/>
      <c r="AU410" s="1087"/>
      <c r="AV410" s="1087"/>
      <c r="AW410" s="1087"/>
      <c r="AX410" s="1087"/>
      <c r="AY410" s="1087"/>
      <c r="AZ410" s="1087"/>
      <c r="BA410" s="1087"/>
      <c r="BB410" s="1087"/>
      <c r="BC410" s="1087"/>
      <c r="BD410" s="1087"/>
      <c r="BE410" s="1087"/>
      <c r="BF410" s="1087"/>
      <c r="BG410" s="1087"/>
      <c r="BH410" s="1087"/>
      <c r="BI410" s="1087"/>
      <c r="BJ410" s="1087"/>
      <c r="BK410" s="1087"/>
      <c r="BL410" s="1087"/>
      <c r="BM410" s="1087"/>
      <c r="BN410" s="1087"/>
      <c r="BO410" s="1087"/>
      <c r="BP410" s="1087"/>
      <c r="BQ410" s="1087"/>
      <c r="BR410" s="1087"/>
      <c r="BS410" s="1087"/>
      <c r="BT410" s="1087"/>
      <c r="BU410" s="1087"/>
      <c r="BV410" s="1087"/>
      <c r="BW410" s="1087"/>
      <c r="BX410" s="1087"/>
      <c r="BY410" s="1087"/>
      <c r="BZ410" s="1087"/>
      <c r="CA410" s="1087"/>
      <c r="CB410" s="1087"/>
      <c r="CC410" s="1087"/>
      <c r="CD410" s="1087"/>
      <c r="CE410" s="1087"/>
      <c r="CF410" s="1087"/>
      <c r="CG410" s="1087"/>
      <c r="CH410" s="1087"/>
      <c r="CI410" s="1087"/>
      <c r="CJ410" s="1087"/>
      <c r="CK410" s="1087"/>
      <c r="CL410" s="1087"/>
      <c r="CM410" s="1087"/>
      <c r="CN410" s="1087"/>
      <c r="CO410" s="1087"/>
      <c r="CP410" s="1087"/>
      <c r="CQ410" s="1087"/>
      <c r="CR410" s="1087"/>
      <c r="CS410" s="1087"/>
      <c r="CT410" s="1087"/>
      <c r="CU410" s="1087"/>
      <c r="CV410" s="1087"/>
      <c r="CW410" s="1087"/>
      <c r="CX410" s="1087"/>
      <c r="CY410" s="1087"/>
      <c r="CZ410" s="1087"/>
      <c r="DA410" s="1087"/>
      <c r="DB410" s="1087"/>
      <c r="DC410" s="1087"/>
      <c r="DD410" s="1087"/>
      <c r="DE410" s="1087"/>
      <c r="DF410" s="1087"/>
      <c r="DG410" s="1087"/>
      <c r="DH410" s="1087"/>
      <c r="DI410" s="1087"/>
      <c r="DJ410" s="1087"/>
      <c r="DK410" s="1087"/>
      <c r="DL410" s="1087"/>
      <c r="DM410" s="1087"/>
      <c r="DN410" s="1087"/>
      <c r="DO410" s="1087"/>
      <c r="DP410" s="1087"/>
      <c r="DQ410" s="1087"/>
      <c r="DR410" s="1087"/>
      <c r="DS410" s="1087"/>
      <c r="DT410" s="1087"/>
      <c r="DU410" s="1087"/>
      <c r="DV410" s="1087"/>
      <c r="DW410" s="1087"/>
      <c r="DX410" s="1087"/>
      <c r="DY410" s="1087"/>
      <c r="DZ410" s="1087"/>
      <c r="EA410" s="1087"/>
      <c r="EB410" s="1087"/>
      <c r="EC410" s="1087"/>
      <c r="ED410" s="1087"/>
      <c r="EE410" s="1087"/>
      <c r="EF410" s="1087"/>
      <c r="EG410" s="1087"/>
      <c r="EH410" s="1087"/>
      <c r="EI410" s="1087"/>
      <c r="EJ410" s="1087"/>
      <c r="EK410" s="1087"/>
      <c r="EL410" s="1087"/>
      <c r="EM410" s="1087"/>
      <c r="EN410" s="1087"/>
      <c r="EO410" s="1087"/>
      <c r="EP410" s="1087"/>
      <c r="EQ410" s="1087"/>
      <c r="ER410" s="1087"/>
      <c r="ES410" s="1087"/>
      <c r="ET410" s="1087"/>
      <c r="EU410" s="1087"/>
      <c r="EV410" s="1087"/>
      <c r="EW410" s="1087"/>
      <c r="EX410" s="1087"/>
      <c r="EY410" s="1087"/>
      <c r="EZ410" s="1087"/>
      <c r="FA410" s="1087"/>
      <c r="FB410" s="1087"/>
      <c r="FC410" s="1087"/>
      <c r="FD410" s="1087"/>
      <c r="FE410" s="1087"/>
      <c r="FF410" s="1087"/>
      <c r="FG410" s="1087"/>
      <c r="FH410" s="1087"/>
      <c r="FI410" s="1087"/>
      <c r="FJ410" s="1087"/>
      <c r="FK410" s="1087"/>
      <c r="FL410" s="1087"/>
      <c r="FM410" s="1087"/>
      <c r="FN410" s="1087"/>
      <c r="FO410" s="1087"/>
      <c r="FP410" s="1087"/>
      <c r="FQ410" s="1087"/>
      <c r="FR410" s="1087"/>
      <c r="FS410" s="1087"/>
      <c r="FT410" s="1087"/>
      <c r="FU410" s="1087"/>
      <c r="FV410" s="1087"/>
      <c r="FW410" s="1087"/>
      <c r="FX410" s="1087"/>
      <c r="FY410" s="1087"/>
      <c r="FZ410" s="1087"/>
      <c r="GA410" s="1087"/>
      <c r="GB410" s="1087"/>
      <c r="GC410" s="1087"/>
      <c r="GD410" s="1087"/>
      <c r="GE410" s="1087"/>
      <c r="GF410" s="1087"/>
      <c r="GG410" s="1087"/>
      <c r="GH410" s="1087"/>
      <c r="GI410" s="1087"/>
      <c r="GJ410" s="1087"/>
      <c r="GK410" s="1087"/>
      <c r="GL410" s="1087"/>
      <c r="GM410" s="1087"/>
      <c r="GN410" s="1087"/>
      <c r="GO410" s="1087"/>
      <c r="GP410" s="1087"/>
      <c r="GQ410" s="1087"/>
      <c r="GR410" s="1087"/>
      <c r="GS410" s="1087"/>
      <c r="GT410" s="1087"/>
      <c r="GU410" s="1087"/>
      <c r="GV410" s="1087"/>
      <c r="GW410" s="1087"/>
      <c r="GX410" s="1087"/>
      <c r="GY410" s="1087"/>
      <c r="GZ410" s="1087"/>
      <c r="HA410" s="1087"/>
      <c r="HB410" s="1087"/>
      <c r="HC410" s="1087"/>
      <c r="HD410" s="1087"/>
      <c r="HE410" s="1087"/>
      <c r="HF410" s="1087"/>
      <c r="HG410" s="1087"/>
      <c r="HH410" s="1087"/>
      <c r="HI410" s="1087"/>
      <c r="HJ410" s="1087"/>
      <c r="HK410" s="1087"/>
      <c r="HL410" s="1087"/>
      <c r="HM410" s="1087"/>
      <c r="HN410" s="1087"/>
      <c r="HO410" s="1087"/>
      <c r="HP410" s="1087"/>
      <c r="HQ410" s="1087"/>
      <c r="HR410" s="1087"/>
      <c r="HS410" s="1087"/>
      <c r="HT410" s="1087"/>
      <c r="HU410" s="1087"/>
      <c r="HV410" s="1087"/>
      <c r="HW410" s="1087"/>
      <c r="HX410" s="1087"/>
      <c r="HY410" s="1087"/>
      <c r="HZ410" s="1087"/>
      <c r="IA410" s="1087"/>
      <c r="IB410" s="1087"/>
      <c r="IC410" s="1087"/>
      <c r="ID410" s="1087"/>
      <c r="IE410" s="1087"/>
      <c r="IF410" s="1087"/>
      <c r="IG410" s="1087"/>
      <c r="IH410" s="1087"/>
      <c r="II410" s="1087"/>
      <c r="IJ410" s="1087"/>
      <c r="IK410" s="1087"/>
      <c r="IL410" s="1087"/>
      <c r="IM410" s="1087"/>
      <c r="IN410" s="1087"/>
      <c r="IO410" s="1087"/>
      <c r="IP410" s="1087"/>
      <c r="IQ410" s="1087"/>
      <c r="IR410" s="1087"/>
      <c r="IS410" s="1087"/>
      <c r="IT410" s="1087"/>
      <c r="IU410" s="1087"/>
      <c r="IV410" s="1087"/>
      <c r="IW410" s="1087"/>
      <c r="IX410" s="1087"/>
      <c r="IY410" s="1087"/>
      <c r="IZ410" s="1087"/>
      <c r="JA410" s="1087"/>
      <c r="JB410" s="1087"/>
      <c r="JC410" s="1087"/>
      <c r="JD410" s="1087"/>
      <c r="JE410" s="1087"/>
      <c r="JF410" s="1087"/>
      <c r="JG410" s="1087"/>
      <c r="JH410" s="1087"/>
      <c r="JI410" s="1087"/>
      <c r="JJ410" s="1087"/>
      <c r="JK410" s="1087"/>
      <c r="JL410" s="1087"/>
      <c r="JM410" s="1087"/>
      <c r="JN410" s="1087"/>
      <c r="JO410" s="1087"/>
      <c r="JP410" s="1087"/>
      <c r="JQ410" s="1087"/>
      <c r="JR410" s="1087"/>
      <c r="JS410" s="1087"/>
      <c r="JT410" s="1087"/>
      <c r="JU410" s="1087"/>
      <c r="JV410" s="1087"/>
      <c r="JW410" s="1087"/>
      <c r="JX410" s="1087"/>
      <c r="JY410" s="1087"/>
      <c r="JZ410" s="1087"/>
      <c r="KA410" s="1087"/>
      <c r="KB410" s="1092"/>
    </row>
    <row r="411" spans="2:288" ht="15" customHeight="1" x14ac:dyDescent="0.35">
      <c r="B411" s="146" t="str">
        <f t="shared" si="30"/>
        <v>Desk 92</v>
      </c>
      <c r="C411" s="148" t="str">
        <v/>
      </c>
      <c r="D411" s="148" t="str">
        <v/>
      </c>
      <c r="E411" s="148" t="str">
        <v/>
      </c>
      <c r="F411" s="148" t="str">
        <v/>
      </c>
      <c r="G411" s="268" t="str">
        <v/>
      </c>
      <c r="H411" s="1087"/>
      <c r="I411" s="1087"/>
      <c r="J411" s="1087"/>
      <c r="K411" s="1087"/>
      <c r="L411" s="1087"/>
      <c r="M411" s="1087"/>
      <c r="N411" s="1087"/>
      <c r="O411" s="1087"/>
      <c r="P411" s="1087"/>
      <c r="Q411" s="1087"/>
      <c r="R411" s="1087"/>
      <c r="S411" s="1087"/>
      <c r="T411" s="1087"/>
      <c r="U411" s="1087"/>
      <c r="V411" s="1087"/>
      <c r="W411" s="1087"/>
      <c r="X411" s="1087"/>
      <c r="Y411" s="1087"/>
      <c r="Z411" s="1087"/>
      <c r="AA411" s="1087"/>
      <c r="AB411" s="1087"/>
      <c r="AC411" s="1087"/>
      <c r="AD411" s="1087"/>
      <c r="AE411" s="1087"/>
      <c r="AF411" s="1087"/>
      <c r="AG411" s="1087"/>
      <c r="AH411" s="1087"/>
      <c r="AI411" s="1087"/>
      <c r="AJ411" s="1087"/>
      <c r="AK411" s="1087"/>
      <c r="AL411" s="1087"/>
      <c r="AM411" s="1087"/>
      <c r="AN411" s="1087"/>
      <c r="AO411" s="1087"/>
      <c r="AP411" s="1087"/>
      <c r="AQ411" s="1087"/>
      <c r="AR411" s="1087"/>
      <c r="AS411" s="1087"/>
      <c r="AT411" s="1087"/>
      <c r="AU411" s="1087"/>
      <c r="AV411" s="1087"/>
      <c r="AW411" s="1087"/>
      <c r="AX411" s="1087"/>
      <c r="AY411" s="1087"/>
      <c r="AZ411" s="1087"/>
      <c r="BA411" s="1087"/>
      <c r="BB411" s="1087"/>
      <c r="BC411" s="1087"/>
      <c r="BD411" s="1087"/>
      <c r="BE411" s="1087"/>
      <c r="BF411" s="1087"/>
      <c r="BG411" s="1087"/>
      <c r="BH411" s="1087"/>
      <c r="BI411" s="1087"/>
      <c r="BJ411" s="1087"/>
      <c r="BK411" s="1087"/>
      <c r="BL411" s="1087"/>
      <c r="BM411" s="1087"/>
      <c r="BN411" s="1087"/>
      <c r="BO411" s="1087"/>
      <c r="BP411" s="1087"/>
      <c r="BQ411" s="1087"/>
      <c r="BR411" s="1087"/>
      <c r="BS411" s="1087"/>
      <c r="BT411" s="1087"/>
      <c r="BU411" s="1087"/>
      <c r="BV411" s="1087"/>
      <c r="BW411" s="1087"/>
      <c r="BX411" s="1087"/>
      <c r="BY411" s="1087"/>
      <c r="BZ411" s="1087"/>
      <c r="CA411" s="1087"/>
      <c r="CB411" s="1087"/>
      <c r="CC411" s="1087"/>
      <c r="CD411" s="1087"/>
      <c r="CE411" s="1087"/>
      <c r="CF411" s="1087"/>
      <c r="CG411" s="1087"/>
      <c r="CH411" s="1087"/>
      <c r="CI411" s="1087"/>
      <c r="CJ411" s="1087"/>
      <c r="CK411" s="1087"/>
      <c r="CL411" s="1087"/>
      <c r="CM411" s="1087"/>
      <c r="CN411" s="1087"/>
      <c r="CO411" s="1087"/>
      <c r="CP411" s="1087"/>
      <c r="CQ411" s="1087"/>
      <c r="CR411" s="1087"/>
      <c r="CS411" s="1087"/>
      <c r="CT411" s="1087"/>
      <c r="CU411" s="1087"/>
      <c r="CV411" s="1087"/>
      <c r="CW411" s="1087"/>
      <c r="CX411" s="1087"/>
      <c r="CY411" s="1087"/>
      <c r="CZ411" s="1087"/>
      <c r="DA411" s="1087"/>
      <c r="DB411" s="1087"/>
      <c r="DC411" s="1087"/>
      <c r="DD411" s="1087"/>
      <c r="DE411" s="1087"/>
      <c r="DF411" s="1087"/>
      <c r="DG411" s="1087"/>
      <c r="DH411" s="1087"/>
      <c r="DI411" s="1087"/>
      <c r="DJ411" s="1087"/>
      <c r="DK411" s="1087"/>
      <c r="DL411" s="1087"/>
      <c r="DM411" s="1087"/>
      <c r="DN411" s="1087"/>
      <c r="DO411" s="1087"/>
      <c r="DP411" s="1087"/>
      <c r="DQ411" s="1087"/>
      <c r="DR411" s="1087"/>
      <c r="DS411" s="1087"/>
      <c r="DT411" s="1087"/>
      <c r="DU411" s="1087"/>
      <c r="DV411" s="1087"/>
      <c r="DW411" s="1087"/>
      <c r="DX411" s="1087"/>
      <c r="DY411" s="1087"/>
      <c r="DZ411" s="1087"/>
      <c r="EA411" s="1087"/>
      <c r="EB411" s="1087"/>
      <c r="EC411" s="1087"/>
      <c r="ED411" s="1087"/>
      <c r="EE411" s="1087"/>
      <c r="EF411" s="1087"/>
      <c r="EG411" s="1087"/>
      <c r="EH411" s="1087"/>
      <c r="EI411" s="1087"/>
      <c r="EJ411" s="1087"/>
      <c r="EK411" s="1087"/>
      <c r="EL411" s="1087"/>
      <c r="EM411" s="1087"/>
      <c r="EN411" s="1087"/>
      <c r="EO411" s="1087"/>
      <c r="EP411" s="1087"/>
      <c r="EQ411" s="1087"/>
      <c r="ER411" s="1087"/>
      <c r="ES411" s="1087"/>
      <c r="ET411" s="1087"/>
      <c r="EU411" s="1087"/>
      <c r="EV411" s="1087"/>
      <c r="EW411" s="1087"/>
      <c r="EX411" s="1087"/>
      <c r="EY411" s="1087"/>
      <c r="EZ411" s="1087"/>
      <c r="FA411" s="1087"/>
      <c r="FB411" s="1087"/>
      <c r="FC411" s="1087"/>
      <c r="FD411" s="1087"/>
      <c r="FE411" s="1087"/>
      <c r="FF411" s="1087"/>
      <c r="FG411" s="1087"/>
      <c r="FH411" s="1087"/>
      <c r="FI411" s="1087"/>
      <c r="FJ411" s="1087"/>
      <c r="FK411" s="1087"/>
      <c r="FL411" s="1087"/>
      <c r="FM411" s="1087"/>
      <c r="FN411" s="1087"/>
      <c r="FO411" s="1087"/>
      <c r="FP411" s="1087"/>
      <c r="FQ411" s="1087"/>
      <c r="FR411" s="1087"/>
      <c r="FS411" s="1087"/>
      <c r="FT411" s="1087"/>
      <c r="FU411" s="1087"/>
      <c r="FV411" s="1087"/>
      <c r="FW411" s="1087"/>
      <c r="FX411" s="1087"/>
      <c r="FY411" s="1087"/>
      <c r="FZ411" s="1087"/>
      <c r="GA411" s="1087"/>
      <c r="GB411" s="1087"/>
      <c r="GC411" s="1087"/>
      <c r="GD411" s="1087"/>
      <c r="GE411" s="1087"/>
      <c r="GF411" s="1087"/>
      <c r="GG411" s="1087"/>
      <c r="GH411" s="1087"/>
      <c r="GI411" s="1087"/>
      <c r="GJ411" s="1087"/>
      <c r="GK411" s="1087"/>
      <c r="GL411" s="1087"/>
      <c r="GM411" s="1087"/>
      <c r="GN411" s="1087"/>
      <c r="GO411" s="1087"/>
      <c r="GP411" s="1087"/>
      <c r="GQ411" s="1087"/>
      <c r="GR411" s="1087"/>
      <c r="GS411" s="1087"/>
      <c r="GT411" s="1087"/>
      <c r="GU411" s="1087"/>
      <c r="GV411" s="1087"/>
      <c r="GW411" s="1087"/>
      <c r="GX411" s="1087"/>
      <c r="GY411" s="1087"/>
      <c r="GZ411" s="1087"/>
      <c r="HA411" s="1087"/>
      <c r="HB411" s="1087"/>
      <c r="HC411" s="1087"/>
      <c r="HD411" s="1087"/>
      <c r="HE411" s="1087"/>
      <c r="HF411" s="1087"/>
      <c r="HG411" s="1087"/>
      <c r="HH411" s="1087"/>
      <c r="HI411" s="1087"/>
      <c r="HJ411" s="1087"/>
      <c r="HK411" s="1087"/>
      <c r="HL411" s="1087"/>
      <c r="HM411" s="1087"/>
      <c r="HN411" s="1087"/>
      <c r="HO411" s="1087"/>
      <c r="HP411" s="1087"/>
      <c r="HQ411" s="1087"/>
      <c r="HR411" s="1087"/>
      <c r="HS411" s="1087"/>
      <c r="HT411" s="1087"/>
      <c r="HU411" s="1087"/>
      <c r="HV411" s="1087"/>
      <c r="HW411" s="1087"/>
      <c r="HX411" s="1087"/>
      <c r="HY411" s="1087"/>
      <c r="HZ411" s="1087"/>
      <c r="IA411" s="1087"/>
      <c r="IB411" s="1087"/>
      <c r="IC411" s="1087"/>
      <c r="ID411" s="1087"/>
      <c r="IE411" s="1087"/>
      <c r="IF411" s="1087"/>
      <c r="IG411" s="1087"/>
      <c r="IH411" s="1087"/>
      <c r="II411" s="1087"/>
      <c r="IJ411" s="1087"/>
      <c r="IK411" s="1087"/>
      <c r="IL411" s="1087"/>
      <c r="IM411" s="1087"/>
      <c r="IN411" s="1087"/>
      <c r="IO411" s="1087"/>
      <c r="IP411" s="1087"/>
      <c r="IQ411" s="1087"/>
      <c r="IR411" s="1087"/>
      <c r="IS411" s="1087"/>
      <c r="IT411" s="1087"/>
      <c r="IU411" s="1087"/>
      <c r="IV411" s="1087"/>
      <c r="IW411" s="1087"/>
      <c r="IX411" s="1087"/>
      <c r="IY411" s="1087"/>
      <c r="IZ411" s="1087"/>
      <c r="JA411" s="1087"/>
      <c r="JB411" s="1087"/>
      <c r="JC411" s="1087"/>
      <c r="JD411" s="1087"/>
      <c r="JE411" s="1087"/>
      <c r="JF411" s="1087"/>
      <c r="JG411" s="1087"/>
      <c r="JH411" s="1087"/>
      <c r="JI411" s="1087"/>
      <c r="JJ411" s="1087"/>
      <c r="JK411" s="1087"/>
      <c r="JL411" s="1087"/>
      <c r="JM411" s="1087"/>
      <c r="JN411" s="1087"/>
      <c r="JO411" s="1087"/>
      <c r="JP411" s="1087"/>
      <c r="JQ411" s="1087"/>
      <c r="JR411" s="1087"/>
      <c r="JS411" s="1087"/>
      <c r="JT411" s="1087"/>
      <c r="JU411" s="1087"/>
      <c r="JV411" s="1087"/>
      <c r="JW411" s="1087"/>
      <c r="JX411" s="1087"/>
      <c r="JY411" s="1087"/>
      <c r="JZ411" s="1087"/>
      <c r="KA411" s="1087"/>
      <c r="KB411" s="1092"/>
    </row>
    <row r="412" spans="2:288" ht="15" customHeight="1" x14ac:dyDescent="0.35">
      <c r="B412" s="146" t="str">
        <f t="shared" si="30"/>
        <v>Desk 93</v>
      </c>
      <c r="C412" s="148" t="str">
        <v/>
      </c>
      <c r="D412" s="148" t="str">
        <v/>
      </c>
      <c r="E412" s="148" t="str">
        <v/>
      </c>
      <c r="F412" s="148" t="str">
        <v/>
      </c>
      <c r="G412" s="268" t="str">
        <v/>
      </c>
      <c r="H412" s="1087"/>
      <c r="I412" s="1087"/>
      <c r="J412" s="1087"/>
      <c r="K412" s="1087"/>
      <c r="L412" s="1087"/>
      <c r="M412" s="1087"/>
      <c r="N412" s="1087"/>
      <c r="O412" s="1087"/>
      <c r="P412" s="1087"/>
      <c r="Q412" s="1087"/>
      <c r="R412" s="1087"/>
      <c r="S412" s="1087"/>
      <c r="T412" s="1087"/>
      <c r="U412" s="1087"/>
      <c r="V412" s="1087"/>
      <c r="W412" s="1087"/>
      <c r="X412" s="1087"/>
      <c r="Y412" s="1087"/>
      <c r="Z412" s="1087"/>
      <c r="AA412" s="1087"/>
      <c r="AB412" s="1087"/>
      <c r="AC412" s="1087"/>
      <c r="AD412" s="1087"/>
      <c r="AE412" s="1087"/>
      <c r="AF412" s="1087"/>
      <c r="AG412" s="1087"/>
      <c r="AH412" s="1087"/>
      <c r="AI412" s="1087"/>
      <c r="AJ412" s="1087"/>
      <c r="AK412" s="1087"/>
      <c r="AL412" s="1087"/>
      <c r="AM412" s="1087"/>
      <c r="AN412" s="1087"/>
      <c r="AO412" s="1087"/>
      <c r="AP412" s="1087"/>
      <c r="AQ412" s="1087"/>
      <c r="AR412" s="1087"/>
      <c r="AS412" s="1087"/>
      <c r="AT412" s="1087"/>
      <c r="AU412" s="1087"/>
      <c r="AV412" s="1087"/>
      <c r="AW412" s="1087"/>
      <c r="AX412" s="1087"/>
      <c r="AY412" s="1087"/>
      <c r="AZ412" s="1087"/>
      <c r="BA412" s="1087"/>
      <c r="BB412" s="1087"/>
      <c r="BC412" s="1087"/>
      <c r="BD412" s="1087"/>
      <c r="BE412" s="1087"/>
      <c r="BF412" s="1087"/>
      <c r="BG412" s="1087"/>
      <c r="BH412" s="1087"/>
      <c r="BI412" s="1087"/>
      <c r="BJ412" s="1087"/>
      <c r="BK412" s="1087"/>
      <c r="BL412" s="1087"/>
      <c r="BM412" s="1087"/>
      <c r="BN412" s="1087"/>
      <c r="BO412" s="1087"/>
      <c r="BP412" s="1087"/>
      <c r="BQ412" s="1087"/>
      <c r="BR412" s="1087"/>
      <c r="BS412" s="1087"/>
      <c r="BT412" s="1087"/>
      <c r="BU412" s="1087"/>
      <c r="BV412" s="1087"/>
      <c r="BW412" s="1087"/>
      <c r="BX412" s="1087"/>
      <c r="BY412" s="1087"/>
      <c r="BZ412" s="1087"/>
      <c r="CA412" s="1087"/>
      <c r="CB412" s="1087"/>
      <c r="CC412" s="1087"/>
      <c r="CD412" s="1087"/>
      <c r="CE412" s="1087"/>
      <c r="CF412" s="1087"/>
      <c r="CG412" s="1087"/>
      <c r="CH412" s="1087"/>
      <c r="CI412" s="1087"/>
      <c r="CJ412" s="1087"/>
      <c r="CK412" s="1087"/>
      <c r="CL412" s="1087"/>
      <c r="CM412" s="1087"/>
      <c r="CN412" s="1087"/>
      <c r="CO412" s="1087"/>
      <c r="CP412" s="1087"/>
      <c r="CQ412" s="1087"/>
      <c r="CR412" s="1087"/>
      <c r="CS412" s="1087"/>
      <c r="CT412" s="1087"/>
      <c r="CU412" s="1087"/>
      <c r="CV412" s="1087"/>
      <c r="CW412" s="1087"/>
      <c r="CX412" s="1087"/>
      <c r="CY412" s="1087"/>
      <c r="CZ412" s="1087"/>
      <c r="DA412" s="1087"/>
      <c r="DB412" s="1087"/>
      <c r="DC412" s="1087"/>
      <c r="DD412" s="1087"/>
      <c r="DE412" s="1087"/>
      <c r="DF412" s="1087"/>
      <c r="DG412" s="1087"/>
      <c r="DH412" s="1087"/>
      <c r="DI412" s="1087"/>
      <c r="DJ412" s="1087"/>
      <c r="DK412" s="1087"/>
      <c r="DL412" s="1087"/>
      <c r="DM412" s="1087"/>
      <c r="DN412" s="1087"/>
      <c r="DO412" s="1087"/>
      <c r="DP412" s="1087"/>
      <c r="DQ412" s="1087"/>
      <c r="DR412" s="1087"/>
      <c r="DS412" s="1087"/>
      <c r="DT412" s="1087"/>
      <c r="DU412" s="1087"/>
      <c r="DV412" s="1087"/>
      <c r="DW412" s="1087"/>
      <c r="DX412" s="1087"/>
      <c r="DY412" s="1087"/>
      <c r="DZ412" s="1087"/>
      <c r="EA412" s="1087"/>
      <c r="EB412" s="1087"/>
      <c r="EC412" s="1087"/>
      <c r="ED412" s="1087"/>
      <c r="EE412" s="1087"/>
      <c r="EF412" s="1087"/>
      <c r="EG412" s="1087"/>
      <c r="EH412" s="1087"/>
      <c r="EI412" s="1087"/>
      <c r="EJ412" s="1087"/>
      <c r="EK412" s="1087"/>
      <c r="EL412" s="1087"/>
      <c r="EM412" s="1087"/>
      <c r="EN412" s="1087"/>
      <c r="EO412" s="1087"/>
      <c r="EP412" s="1087"/>
      <c r="EQ412" s="1087"/>
      <c r="ER412" s="1087"/>
      <c r="ES412" s="1087"/>
      <c r="ET412" s="1087"/>
      <c r="EU412" s="1087"/>
      <c r="EV412" s="1087"/>
      <c r="EW412" s="1087"/>
      <c r="EX412" s="1087"/>
      <c r="EY412" s="1087"/>
      <c r="EZ412" s="1087"/>
      <c r="FA412" s="1087"/>
      <c r="FB412" s="1087"/>
      <c r="FC412" s="1087"/>
      <c r="FD412" s="1087"/>
      <c r="FE412" s="1087"/>
      <c r="FF412" s="1087"/>
      <c r="FG412" s="1087"/>
      <c r="FH412" s="1087"/>
      <c r="FI412" s="1087"/>
      <c r="FJ412" s="1087"/>
      <c r="FK412" s="1087"/>
      <c r="FL412" s="1087"/>
      <c r="FM412" s="1087"/>
      <c r="FN412" s="1087"/>
      <c r="FO412" s="1087"/>
      <c r="FP412" s="1087"/>
      <c r="FQ412" s="1087"/>
      <c r="FR412" s="1087"/>
      <c r="FS412" s="1087"/>
      <c r="FT412" s="1087"/>
      <c r="FU412" s="1087"/>
      <c r="FV412" s="1087"/>
      <c r="FW412" s="1087"/>
      <c r="FX412" s="1087"/>
      <c r="FY412" s="1087"/>
      <c r="FZ412" s="1087"/>
      <c r="GA412" s="1087"/>
      <c r="GB412" s="1087"/>
      <c r="GC412" s="1087"/>
      <c r="GD412" s="1087"/>
      <c r="GE412" s="1087"/>
      <c r="GF412" s="1087"/>
      <c r="GG412" s="1087"/>
      <c r="GH412" s="1087"/>
      <c r="GI412" s="1087"/>
      <c r="GJ412" s="1087"/>
      <c r="GK412" s="1087"/>
      <c r="GL412" s="1087"/>
      <c r="GM412" s="1087"/>
      <c r="GN412" s="1087"/>
      <c r="GO412" s="1087"/>
      <c r="GP412" s="1087"/>
      <c r="GQ412" s="1087"/>
      <c r="GR412" s="1087"/>
      <c r="GS412" s="1087"/>
      <c r="GT412" s="1087"/>
      <c r="GU412" s="1087"/>
      <c r="GV412" s="1087"/>
      <c r="GW412" s="1087"/>
      <c r="GX412" s="1087"/>
      <c r="GY412" s="1087"/>
      <c r="GZ412" s="1087"/>
      <c r="HA412" s="1087"/>
      <c r="HB412" s="1087"/>
      <c r="HC412" s="1087"/>
      <c r="HD412" s="1087"/>
      <c r="HE412" s="1087"/>
      <c r="HF412" s="1087"/>
      <c r="HG412" s="1087"/>
      <c r="HH412" s="1087"/>
      <c r="HI412" s="1087"/>
      <c r="HJ412" s="1087"/>
      <c r="HK412" s="1087"/>
      <c r="HL412" s="1087"/>
      <c r="HM412" s="1087"/>
      <c r="HN412" s="1087"/>
      <c r="HO412" s="1087"/>
      <c r="HP412" s="1087"/>
      <c r="HQ412" s="1087"/>
      <c r="HR412" s="1087"/>
      <c r="HS412" s="1087"/>
      <c r="HT412" s="1087"/>
      <c r="HU412" s="1087"/>
      <c r="HV412" s="1087"/>
      <c r="HW412" s="1087"/>
      <c r="HX412" s="1087"/>
      <c r="HY412" s="1087"/>
      <c r="HZ412" s="1087"/>
      <c r="IA412" s="1087"/>
      <c r="IB412" s="1087"/>
      <c r="IC412" s="1087"/>
      <c r="ID412" s="1087"/>
      <c r="IE412" s="1087"/>
      <c r="IF412" s="1087"/>
      <c r="IG412" s="1087"/>
      <c r="IH412" s="1087"/>
      <c r="II412" s="1087"/>
      <c r="IJ412" s="1087"/>
      <c r="IK412" s="1087"/>
      <c r="IL412" s="1087"/>
      <c r="IM412" s="1087"/>
      <c r="IN412" s="1087"/>
      <c r="IO412" s="1087"/>
      <c r="IP412" s="1087"/>
      <c r="IQ412" s="1087"/>
      <c r="IR412" s="1087"/>
      <c r="IS412" s="1087"/>
      <c r="IT412" s="1087"/>
      <c r="IU412" s="1087"/>
      <c r="IV412" s="1087"/>
      <c r="IW412" s="1087"/>
      <c r="IX412" s="1087"/>
      <c r="IY412" s="1087"/>
      <c r="IZ412" s="1087"/>
      <c r="JA412" s="1087"/>
      <c r="JB412" s="1087"/>
      <c r="JC412" s="1087"/>
      <c r="JD412" s="1087"/>
      <c r="JE412" s="1087"/>
      <c r="JF412" s="1087"/>
      <c r="JG412" s="1087"/>
      <c r="JH412" s="1087"/>
      <c r="JI412" s="1087"/>
      <c r="JJ412" s="1087"/>
      <c r="JK412" s="1087"/>
      <c r="JL412" s="1087"/>
      <c r="JM412" s="1087"/>
      <c r="JN412" s="1087"/>
      <c r="JO412" s="1087"/>
      <c r="JP412" s="1087"/>
      <c r="JQ412" s="1087"/>
      <c r="JR412" s="1087"/>
      <c r="JS412" s="1087"/>
      <c r="JT412" s="1087"/>
      <c r="JU412" s="1087"/>
      <c r="JV412" s="1087"/>
      <c r="JW412" s="1087"/>
      <c r="JX412" s="1087"/>
      <c r="JY412" s="1087"/>
      <c r="JZ412" s="1087"/>
      <c r="KA412" s="1087"/>
      <c r="KB412" s="1092"/>
    </row>
    <row r="413" spans="2:288" ht="15" customHeight="1" x14ac:dyDescent="0.35">
      <c r="B413" s="146" t="str">
        <f t="shared" si="30"/>
        <v>Desk 94</v>
      </c>
      <c r="C413" s="148" t="str">
        <v/>
      </c>
      <c r="D413" s="148" t="str">
        <v/>
      </c>
      <c r="E413" s="148" t="str">
        <v/>
      </c>
      <c r="F413" s="148" t="str">
        <v/>
      </c>
      <c r="G413" s="268" t="str">
        <v/>
      </c>
      <c r="H413" s="1087"/>
      <c r="I413" s="1087"/>
      <c r="J413" s="1087"/>
      <c r="K413" s="1087"/>
      <c r="L413" s="1087"/>
      <c r="M413" s="1087"/>
      <c r="N413" s="1087"/>
      <c r="O413" s="1087"/>
      <c r="P413" s="1087"/>
      <c r="Q413" s="1087"/>
      <c r="R413" s="1087"/>
      <c r="S413" s="1087"/>
      <c r="T413" s="1087"/>
      <c r="U413" s="1087"/>
      <c r="V413" s="1087"/>
      <c r="W413" s="1087"/>
      <c r="X413" s="1087"/>
      <c r="Y413" s="1087"/>
      <c r="Z413" s="1087"/>
      <c r="AA413" s="1087"/>
      <c r="AB413" s="1087"/>
      <c r="AC413" s="1087"/>
      <c r="AD413" s="1087"/>
      <c r="AE413" s="1087"/>
      <c r="AF413" s="1087"/>
      <c r="AG413" s="1087"/>
      <c r="AH413" s="1087"/>
      <c r="AI413" s="1087"/>
      <c r="AJ413" s="1087"/>
      <c r="AK413" s="1087"/>
      <c r="AL413" s="1087"/>
      <c r="AM413" s="1087"/>
      <c r="AN413" s="1087"/>
      <c r="AO413" s="1087"/>
      <c r="AP413" s="1087"/>
      <c r="AQ413" s="1087"/>
      <c r="AR413" s="1087"/>
      <c r="AS413" s="1087"/>
      <c r="AT413" s="1087"/>
      <c r="AU413" s="1087"/>
      <c r="AV413" s="1087"/>
      <c r="AW413" s="1087"/>
      <c r="AX413" s="1087"/>
      <c r="AY413" s="1087"/>
      <c r="AZ413" s="1087"/>
      <c r="BA413" s="1087"/>
      <c r="BB413" s="1087"/>
      <c r="BC413" s="1087"/>
      <c r="BD413" s="1087"/>
      <c r="BE413" s="1087"/>
      <c r="BF413" s="1087"/>
      <c r="BG413" s="1087"/>
      <c r="BH413" s="1087"/>
      <c r="BI413" s="1087"/>
      <c r="BJ413" s="1087"/>
      <c r="BK413" s="1087"/>
      <c r="BL413" s="1087"/>
      <c r="BM413" s="1087"/>
      <c r="BN413" s="1087"/>
      <c r="BO413" s="1087"/>
      <c r="BP413" s="1087"/>
      <c r="BQ413" s="1087"/>
      <c r="BR413" s="1087"/>
      <c r="BS413" s="1087"/>
      <c r="BT413" s="1087"/>
      <c r="BU413" s="1087"/>
      <c r="BV413" s="1087"/>
      <c r="BW413" s="1087"/>
      <c r="BX413" s="1087"/>
      <c r="BY413" s="1087"/>
      <c r="BZ413" s="1087"/>
      <c r="CA413" s="1087"/>
      <c r="CB413" s="1087"/>
      <c r="CC413" s="1087"/>
      <c r="CD413" s="1087"/>
      <c r="CE413" s="1087"/>
      <c r="CF413" s="1087"/>
      <c r="CG413" s="1087"/>
      <c r="CH413" s="1087"/>
      <c r="CI413" s="1087"/>
      <c r="CJ413" s="1087"/>
      <c r="CK413" s="1087"/>
      <c r="CL413" s="1087"/>
      <c r="CM413" s="1087"/>
      <c r="CN413" s="1087"/>
      <c r="CO413" s="1087"/>
      <c r="CP413" s="1087"/>
      <c r="CQ413" s="1087"/>
      <c r="CR413" s="1087"/>
      <c r="CS413" s="1087"/>
      <c r="CT413" s="1087"/>
      <c r="CU413" s="1087"/>
      <c r="CV413" s="1087"/>
      <c r="CW413" s="1087"/>
      <c r="CX413" s="1087"/>
      <c r="CY413" s="1087"/>
      <c r="CZ413" s="1087"/>
      <c r="DA413" s="1087"/>
      <c r="DB413" s="1087"/>
      <c r="DC413" s="1087"/>
      <c r="DD413" s="1087"/>
      <c r="DE413" s="1087"/>
      <c r="DF413" s="1087"/>
      <c r="DG413" s="1087"/>
      <c r="DH413" s="1087"/>
      <c r="DI413" s="1087"/>
      <c r="DJ413" s="1087"/>
      <c r="DK413" s="1087"/>
      <c r="DL413" s="1087"/>
      <c r="DM413" s="1087"/>
      <c r="DN413" s="1087"/>
      <c r="DO413" s="1087"/>
      <c r="DP413" s="1087"/>
      <c r="DQ413" s="1087"/>
      <c r="DR413" s="1087"/>
      <c r="DS413" s="1087"/>
      <c r="DT413" s="1087"/>
      <c r="DU413" s="1087"/>
      <c r="DV413" s="1087"/>
      <c r="DW413" s="1087"/>
      <c r="DX413" s="1087"/>
      <c r="DY413" s="1087"/>
      <c r="DZ413" s="1087"/>
      <c r="EA413" s="1087"/>
      <c r="EB413" s="1087"/>
      <c r="EC413" s="1087"/>
      <c r="ED413" s="1087"/>
      <c r="EE413" s="1087"/>
      <c r="EF413" s="1087"/>
      <c r="EG413" s="1087"/>
      <c r="EH413" s="1087"/>
      <c r="EI413" s="1087"/>
      <c r="EJ413" s="1087"/>
      <c r="EK413" s="1087"/>
      <c r="EL413" s="1087"/>
      <c r="EM413" s="1087"/>
      <c r="EN413" s="1087"/>
      <c r="EO413" s="1087"/>
      <c r="EP413" s="1087"/>
      <c r="EQ413" s="1087"/>
      <c r="ER413" s="1087"/>
      <c r="ES413" s="1087"/>
      <c r="ET413" s="1087"/>
      <c r="EU413" s="1087"/>
      <c r="EV413" s="1087"/>
      <c r="EW413" s="1087"/>
      <c r="EX413" s="1087"/>
      <c r="EY413" s="1087"/>
      <c r="EZ413" s="1087"/>
      <c r="FA413" s="1087"/>
      <c r="FB413" s="1087"/>
      <c r="FC413" s="1087"/>
      <c r="FD413" s="1087"/>
      <c r="FE413" s="1087"/>
      <c r="FF413" s="1087"/>
      <c r="FG413" s="1087"/>
      <c r="FH413" s="1087"/>
      <c r="FI413" s="1087"/>
      <c r="FJ413" s="1087"/>
      <c r="FK413" s="1087"/>
      <c r="FL413" s="1087"/>
      <c r="FM413" s="1087"/>
      <c r="FN413" s="1087"/>
      <c r="FO413" s="1087"/>
      <c r="FP413" s="1087"/>
      <c r="FQ413" s="1087"/>
      <c r="FR413" s="1087"/>
      <c r="FS413" s="1087"/>
      <c r="FT413" s="1087"/>
      <c r="FU413" s="1087"/>
      <c r="FV413" s="1087"/>
      <c r="FW413" s="1087"/>
      <c r="FX413" s="1087"/>
      <c r="FY413" s="1087"/>
      <c r="FZ413" s="1087"/>
      <c r="GA413" s="1087"/>
      <c r="GB413" s="1087"/>
      <c r="GC413" s="1087"/>
      <c r="GD413" s="1087"/>
      <c r="GE413" s="1087"/>
      <c r="GF413" s="1087"/>
      <c r="GG413" s="1087"/>
      <c r="GH413" s="1087"/>
      <c r="GI413" s="1087"/>
      <c r="GJ413" s="1087"/>
      <c r="GK413" s="1087"/>
      <c r="GL413" s="1087"/>
      <c r="GM413" s="1087"/>
      <c r="GN413" s="1087"/>
      <c r="GO413" s="1087"/>
      <c r="GP413" s="1087"/>
      <c r="GQ413" s="1087"/>
      <c r="GR413" s="1087"/>
      <c r="GS413" s="1087"/>
      <c r="GT413" s="1087"/>
      <c r="GU413" s="1087"/>
      <c r="GV413" s="1087"/>
      <c r="GW413" s="1087"/>
      <c r="GX413" s="1087"/>
      <c r="GY413" s="1087"/>
      <c r="GZ413" s="1087"/>
      <c r="HA413" s="1087"/>
      <c r="HB413" s="1087"/>
      <c r="HC413" s="1087"/>
      <c r="HD413" s="1087"/>
      <c r="HE413" s="1087"/>
      <c r="HF413" s="1087"/>
      <c r="HG413" s="1087"/>
      <c r="HH413" s="1087"/>
      <c r="HI413" s="1087"/>
      <c r="HJ413" s="1087"/>
      <c r="HK413" s="1087"/>
      <c r="HL413" s="1087"/>
      <c r="HM413" s="1087"/>
      <c r="HN413" s="1087"/>
      <c r="HO413" s="1087"/>
      <c r="HP413" s="1087"/>
      <c r="HQ413" s="1087"/>
      <c r="HR413" s="1087"/>
      <c r="HS413" s="1087"/>
      <c r="HT413" s="1087"/>
      <c r="HU413" s="1087"/>
      <c r="HV413" s="1087"/>
      <c r="HW413" s="1087"/>
      <c r="HX413" s="1087"/>
      <c r="HY413" s="1087"/>
      <c r="HZ413" s="1087"/>
      <c r="IA413" s="1087"/>
      <c r="IB413" s="1087"/>
      <c r="IC413" s="1087"/>
      <c r="ID413" s="1087"/>
      <c r="IE413" s="1087"/>
      <c r="IF413" s="1087"/>
      <c r="IG413" s="1087"/>
      <c r="IH413" s="1087"/>
      <c r="II413" s="1087"/>
      <c r="IJ413" s="1087"/>
      <c r="IK413" s="1087"/>
      <c r="IL413" s="1087"/>
      <c r="IM413" s="1087"/>
      <c r="IN413" s="1087"/>
      <c r="IO413" s="1087"/>
      <c r="IP413" s="1087"/>
      <c r="IQ413" s="1087"/>
      <c r="IR413" s="1087"/>
      <c r="IS413" s="1087"/>
      <c r="IT413" s="1087"/>
      <c r="IU413" s="1087"/>
      <c r="IV413" s="1087"/>
      <c r="IW413" s="1087"/>
      <c r="IX413" s="1087"/>
      <c r="IY413" s="1087"/>
      <c r="IZ413" s="1087"/>
      <c r="JA413" s="1087"/>
      <c r="JB413" s="1087"/>
      <c r="JC413" s="1087"/>
      <c r="JD413" s="1087"/>
      <c r="JE413" s="1087"/>
      <c r="JF413" s="1087"/>
      <c r="JG413" s="1087"/>
      <c r="JH413" s="1087"/>
      <c r="JI413" s="1087"/>
      <c r="JJ413" s="1087"/>
      <c r="JK413" s="1087"/>
      <c r="JL413" s="1087"/>
      <c r="JM413" s="1087"/>
      <c r="JN413" s="1087"/>
      <c r="JO413" s="1087"/>
      <c r="JP413" s="1087"/>
      <c r="JQ413" s="1087"/>
      <c r="JR413" s="1087"/>
      <c r="JS413" s="1087"/>
      <c r="JT413" s="1087"/>
      <c r="JU413" s="1087"/>
      <c r="JV413" s="1087"/>
      <c r="JW413" s="1087"/>
      <c r="JX413" s="1087"/>
      <c r="JY413" s="1087"/>
      <c r="JZ413" s="1087"/>
      <c r="KA413" s="1087"/>
      <c r="KB413" s="1092"/>
    </row>
    <row r="414" spans="2:288" ht="15" customHeight="1" x14ac:dyDescent="0.35">
      <c r="B414" s="146" t="str">
        <f t="shared" si="30"/>
        <v>Desk 95</v>
      </c>
      <c r="C414" s="148" t="str">
        <v/>
      </c>
      <c r="D414" s="148" t="str">
        <v/>
      </c>
      <c r="E414" s="148" t="str">
        <v/>
      </c>
      <c r="F414" s="148" t="str">
        <v/>
      </c>
      <c r="G414" s="268" t="str">
        <v/>
      </c>
      <c r="H414" s="1087"/>
      <c r="I414" s="1087"/>
      <c r="J414" s="1087"/>
      <c r="K414" s="1087"/>
      <c r="L414" s="1087"/>
      <c r="M414" s="1087"/>
      <c r="N414" s="1087"/>
      <c r="O414" s="1087"/>
      <c r="P414" s="1087"/>
      <c r="Q414" s="1087"/>
      <c r="R414" s="1087"/>
      <c r="S414" s="1087"/>
      <c r="T414" s="1087"/>
      <c r="U414" s="1087"/>
      <c r="V414" s="1087"/>
      <c r="W414" s="1087"/>
      <c r="X414" s="1087"/>
      <c r="Y414" s="1087"/>
      <c r="Z414" s="1087"/>
      <c r="AA414" s="1087"/>
      <c r="AB414" s="1087"/>
      <c r="AC414" s="1087"/>
      <c r="AD414" s="1087"/>
      <c r="AE414" s="1087"/>
      <c r="AF414" s="1087"/>
      <c r="AG414" s="1087"/>
      <c r="AH414" s="1087"/>
      <c r="AI414" s="1087"/>
      <c r="AJ414" s="1087"/>
      <c r="AK414" s="1087"/>
      <c r="AL414" s="1087"/>
      <c r="AM414" s="1087"/>
      <c r="AN414" s="1087"/>
      <c r="AO414" s="1087"/>
      <c r="AP414" s="1087"/>
      <c r="AQ414" s="1087"/>
      <c r="AR414" s="1087"/>
      <c r="AS414" s="1087"/>
      <c r="AT414" s="1087"/>
      <c r="AU414" s="1087"/>
      <c r="AV414" s="1087"/>
      <c r="AW414" s="1087"/>
      <c r="AX414" s="1087"/>
      <c r="AY414" s="1087"/>
      <c r="AZ414" s="1087"/>
      <c r="BA414" s="1087"/>
      <c r="BB414" s="1087"/>
      <c r="BC414" s="1087"/>
      <c r="BD414" s="1087"/>
      <c r="BE414" s="1087"/>
      <c r="BF414" s="1087"/>
      <c r="BG414" s="1087"/>
      <c r="BH414" s="1087"/>
      <c r="BI414" s="1087"/>
      <c r="BJ414" s="1087"/>
      <c r="BK414" s="1087"/>
      <c r="BL414" s="1087"/>
      <c r="BM414" s="1087"/>
      <c r="BN414" s="1087"/>
      <c r="BO414" s="1087"/>
      <c r="BP414" s="1087"/>
      <c r="BQ414" s="1087"/>
      <c r="BR414" s="1087"/>
      <c r="BS414" s="1087"/>
      <c r="BT414" s="1087"/>
      <c r="BU414" s="1087"/>
      <c r="BV414" s="1087"/>
      <c r="BW414" s="1087"/>
      <c r="BX414" s="1087"/>
      <c r="BY414" s="1087"/>
      <c r="BZ414" s="1087"/>
      <c r="CA414" s="1087"/>
      <c r="CB414" s="1087"/>
      <c r="CC414" s="1087"/>
      <c r="CD414" s="1087"/>
      <c r="CE414" s="1087"/>
      <c r="CF414" s="1087"/>
      <c r="CG414" s="1087"/>
      <c r="CH414" s="1087"/>
      <c r="CI414" s="1087"/>
      <c r="CJ414" s="1087"/>
      <c r="CK414" s="1087"/>
      <c r="CL414" s="1087"/>
      <c r="CM414" s="1087"/>
      <c r="CN414" s="1087"/>
      <c r="CO414" s="1087"/>
      <c r="CP414" s="1087"/>
      <c r="CQ414" s="1087"/>
      <c r="CR414" s="1087"/>
      <c r="CS414" s="1087"/>
      <c r="CT414" s="1087"/>
      <c r="CU414" s="1087"/>
      <c r="CV414" s="1087"/>
      <c r="CW414" s="1087"/>
      <c r="CX414" s="1087"/>
      <c r="CY414" s="1087"/>
      <c r="CZ414" s="1087"/>
      <c r="DA414" s="1087"/>
      <c r="DB414" s="1087"/>
      <c r="DC414" s="1087"/>
      <c r="DD414" s="1087"/>
      <c r="DE414" s="1087"/>
      <c r="DF414" s="1087"/>
      <c r="DG414" s="1087"/>
      <c r="DH414" s="1087"/>
      <c r="DI414" s="1087"/>
      <c r="DJ414" s="1087"/>
      <c r="DK414" s="1087"/>
      <c r="DL414" s="1087"/>
      <c r="DM414" s="1087"/>
      <c r="DN414" s="1087"/>
      <c r="DO414" s="1087"/>
      <c r="DP414" s="1087"/>
      <c r="DQ414" s="1087"/>
      <c r="DR414" s="1087"/>
      <c r="DS414" s="1087"/>
      <c r="DT414" s="1087"/>
      <c r="DU414" s="1087"/>
      <c r="DV414" s="1087"/>
      <c r="DW414" s="1087"/>
      <c r="DX414" s="1087"/>
      <c r="DY414" s="1087"/>
      <c r="DZ414" s="1087"/>
      <c r="EA414" s="1087"/>
      <c r="EB414" s="1087"/>
      <c r="EC414" s="1087"/>
      <c r="ED414" s="1087"/>
      <c r="EE414" s="1087"/>
      <c r="EF414" s="1087"/>
      <c r="EG414" s="1087"/>
      <c r="EH414" s="1087"/>
      <c r="EI414" s="1087"/>
      <c r="EJ414" s="1087"/>
      <c r="EK414" s="1087"/>
      <c r="EL414" s="1087"/>
      <c r="EM414" s="1087"/>
      <c r="EN414" s="1087"/>
      <c r="EO414" s="1087"/>
      <c r="EP414" s="1087"/>
      <c r="EQ414" s="1087"/>
      <c r="ER414" s="1087"/>
      <c r="ES414" s="1087"/>
      <c r="ET414" s="1087"/>
      <c r="EU414" s="1087"/>
      <c r="EV414" s="1087"/>
      <c r="EW414" s="1087"/>
      <c r="EX414" s="1087"/>
      <c r="EY414" s="1087"/>
      <c r="EZ414" s="1087"/>
      <c r="FA414" s="1087"/>
      <c r="FB414" s="1087"/>
      <c r="FC414" s="1087"/>
      <c r="FD414" s="1087"/>
      <c r="FE414" s="1087"/>
      <c r="FF414" s="1087"/>
      <c r="FG414" s="1087"/>
      <c r="FH414" s="1087"/>
      <c r="FI414" s="1087"/>
      <c r="FJ414" s="1087"/>
      <c r="FK414" s="1087"/>
      <c r="FL414" s="1087"/>
      <c r="FM414" s="1087"/>
      <c r="FN414" s="1087"/>
      <c r="FO414" s="1087"/>
      <c r="FP414" s="1087"/>
      <c r="FQ414" s="1087"/>
      <c r="FR414" s="1087"/>
      <c r="FS414" s="1087"/>
      <c r="FT414" s="1087"/>
      <c r="FU414" s="1087"/>
      <c r="FV414" s="1087"/>
      <c r="FW414" s="1087"/>
      <c r="FX414" s="1087"/>
      <c r="FY414" s="1087"/>
      <c r="FZ414" s="1087"/>
      <c r="GA414" s="1087"/>
      <c r="GB414" s="1087"/>
      <c r="GC414" s="1087"/>
      <c r="GD414" s="1087"/>
      <c r="GE414" s="1087"/>
      <c r="GF414" s="1087"/>
      <c r="GG414" s="1087"/>
      <c r="GH414" s="1087"/>
      <c r="GI414" s="1087"/>
      <c r="GJ414" s="1087"/>
      <c r="GK414" s="1087"/>
      <c r="GL414" s="1087"/>
      <c r="GM414" s="1087"/>
      <c r="GN414" s="1087"/>
      <c r="GO414" s="1087"/>
      <c r="GP414" s="1087"/>
      <c r="GQ414" s="1087"/>
      <c r="GR414" s="1087"/>
      <c r="GS414" s="1087"/>
      <c r="GT414" s="1087"/>
      <c r="GU414" s="1087"/>
      <c r="GV414" s="1087"/>
      <c r="GW414" s="1087"/>
      <c r="GX414" s="1087"/>
      <c r="GY414" s="1087"/>
      <c r="GZ414" s="1087"/>
      <c r="HA414" s="1087"/>
      <c r="HB414" s="1087"/>
      <c r="HC414" s="1087"/>
      <c r="HD414" s="1087"/>
      <c r="HE414" s="1087"/>
      <c r="HF414" s="1087"/>
      <c r="HG414" s="1087"/>
      <c r="HH414" s="1087"/>
      <c r="HI414" s="1087"/>
      <c r="HJ414" s="1087"/>
      <c r="HK414" s="1087"/>
      <c r="HL414" s="1087"/>
      <c r="HM414" s="1087"/>
      <c r="HN414" s="1087"/>
      <c r="HO414" s="1087"/>
      <c r="HP414" s="1087"/>
      <c r="HQ414" s="1087"/>
      <c r="HR414" s="1087"/>
      <c r="HS414" s="1087"/>
      <c r="HT414" s="1087"/>
      <c r="HU414" s="1087"/>
      <c r="HV414" s="1087"/>
      <c r="HW414" s="1087"/>
      <c r="HX414" s="1087"/>
      <c r="HY414" s="1087"/>
      <c r="HZ414" s="1087"/>
      <c r="IA414" s="1087"/>
      <c r="IB414" s="1087"/>
      <c r="IC414" s="1087"/>
      <c r="ID414" s="1087"/>
      <c r="IE414" s="1087"/>
      <c r="IF414" s="1087"/>
      <c r="IG414" s="1087"/>
      <c r="IH414" s="1087"/>
      <c r="II414" s="1087"/>
      <c r="IJ414" s="1087"/>
      <c r="IK414" s="1087"/>
      <c r="IL414" s="1087"/>
      <c r="IM414" s="1087"/>
      <c r="IN414" s="1087"/>
      <c r="IO414" s="1087"/>
      <c r="IP414" s="1087"/>
      <c r="IQ414" s="1087"/>
      <c r="IR414" s="1087"/>
      <c r="IS414" s="1087"/>
      <c r="IT414" s="1087"/>
      <c r="IU414" s="1087"/>
      <c r="IV414" s="1087"/>
      <c r="IW414" s="1087"/>
      <c r="IX414" s="1087"/>
      <c r="IY414" s="1087"/>
      <c r="IZ414" s="1087"/>
      <c r="JA414" s="1087"/>
      <c r="JB414" s="1087"/>
      <c r="JC414" s="1087"/>
      <c r="JD414" s="1087"/>
      <c r="JE414" s="1087"/>
      <c r="JF414" s="1087"/>
      <c r="JG414" s="1087"/>
      <c r="JH414" s="1087"/>
      <c r="JI414" s="1087"/>
      <c r="JJ414" s="1087"/>
      <c r="JK414" s="1087"/>
      <c r="JL414" s="1087"/>
      <c r="JM414" s="1087"/>
      <c r="JN414" s="1087"/>
      <c r="JO414" s="1087"/>
      <c r="JP414" s="1087"/>
      <c r="JQ414" s="1087"/>
      <c r="JR414" s="1087"/>
      <c r="JS414" s="1087"/>
      <c r="JT414" s="1087"/>
      <c r="JU414" s="1087"/>
      <c r="JV414" s="1087"/>
      <c r="JW414" s="1087"/>
      <c r="JX414" s="1087"/>
      <c r="JY414" s="1087"/>
      <c r="JZ414" s="1087"/>
      <c r="KA414" s="1087"/>
      <c r="KB414" s="1092"/>
    </row>
    <row r="415" spans="2:288" ht="15" customHeight="1" x14ac:dyDescent="0.35">
      <c r="B415" s="146" t="str">
        <f t="shared" si="30"/>
        <v>Desk 96</v>
      </c>
      <c r="C415" s="148" t="str">
        <v/>
      </c>
      <c r="D415" s="148" t="str">
        <v/>
      </c>
      <c r="E415" s="148" t="str">
        <v/>
      </c>
      <c r="F415" s="148" t="str">
        <v/>
      </c>
      <c r="G415" s="268" t="str">
        <v/>
      </c>
      <c r="H415" s="1087"/>
      <c r="I415" s="1087"/>
      <c r="J415" s="1087"/>
      <c r="K415" s="1087"/>
      <c r="L415" s="1087"/>
      <c r="M415" s="1087"/>
      <c r="N415" s="1087"/>
      <c r="O415" s="1087"/>
      <c r="P415" s="1087"/>
      <c r="Q415" s="1087"/>
      <c r="R415" s="1087"/>
      <c r="S415" s="1087"/>
      <c r="T415" s="1087"/>
      <c r="U415" s="1087"/>
      <c r="V415" s="1087"/>
      <c r="W415" s="1087"/>
      <c r="X415" s="1087"/>
      <c r="Y415" s="1087"/>
      <c r="Z415" s="1087"/>
      <c r="AA415" s="1087"/>
      <c r="AB415" s="1087"/>
      <c r="AC415" s="1087"/>
      <c r="AD415" s="1087"/>
      <c r="AE415" s="1087"/>
      <c r="AF415" s="1087"/>
      <c r="AG415" s="1087"/>
      <c r="AH415" s="1087"/>
      <c r="AI415" s="1087"/>
      <c r="AJ415" s="1087"/>
      <c r="AK415" s="1087"/>
      <c r="AL415" s="1087"/>
      <c r="AM415" s="1087"/>
      <c r="AN415" s="1087"/>
      <c r="AO415" s="1087"/>
      <c r="AP415" s="1087"/>
      <c r="AQ415" s="1087"/>
      <c r="AR415" s="1087"/>
      <c r="AS415" s="1087"/>
      <c r="AT415" s="1087"/>
      <c r="AU415" s="1087"/>
      <c r="AV415" s="1087"/>
      <c r="AW415" s="1087"/>
      <c r="AX415" s="1087"/>
      <c r="AY415" s="1087"/>
      <c r="AZ415" s="1087"/>
      <c r="BA415" s="1087"/>
      <c r="BB415" s="1087"/>
      <c r="BC415" s="1087"/>
      <c r="BD415" s="1087"/>
      <c r="BE415" s="1087"/>
      <c r="BF415" s="1087"/>
      <c r="BG415" s="1087"/>
      <c r="BH415" s="1087"/>
      <c r="BI415" s="1087"/>
      <c r="BJ415" s="1087"/>
      <c r="BK415" s="1087"/>
      <c r="BL415" s="1087"/>
      <c r="BM415" s="1087"/>
      <c r="BN415" s="1087"/>
      <c r="BO415" s="1087"/>
      <c r="BP415" s="1087"/>
      <c r="BQ415" s="1087"/>
      <c r="BR415" s="1087"/>
      <c r="BS415" s="1087"/>
      <c r="BT415" s="1087"/>
      <c r="BU415" s="1087"/>
      <c r="BV415" s="1087"/>
      <c r="BW415" s="1087"/>
      <c r="BX415" s="1087"/>
      <c r="BY415" s="1087"/>
      <c r="BZ415" s="1087"/>
      <c r="CA415" s="1087"/>
      <c r="CB415" s="1087"/>
      <c r="CC415" s="1087"/>
      <c r="CD415" s="1087"/>
      <c r="CE415" s="1087"/>
      <c r="CF415" s="1087"/>
      <c r="CG415" s="1087"/>
      <c r="CH415" s="1087"/>
      <c r="CI415" s="1087"/>
      <c r="CJ415" s="1087"/>
      <c r="CK415" s="1087"/>
      <c r="CL415" s="1087"/>
      <c r="CM415" s="1087"/>
      <c r="CN415" s="1087"/>
      <c r="CO415" s="1087"/>
      <c r="CP415" s="1087"/>
      <c r="CQ415" s="1087"/>
      <c r="CR415" s="1087"/>
      <c r="CS415" s="1087"/>
      <c r="CT415" s="1087"/>
      <c r="CU415" s="1087"/>
      <c r="CV415" s="1087"/>
      <c r="CW415" s="1087"/>
      <c r="CX415" s="1087"/>
      <c r="CY415" s="1087"/>
      <c r="CZ415" s="1087"/>
      <c r="DA415" s="1087"/>
      <c r="DB415" s="1087"/>
      <c r="DC415" s="1087"/>
      <c r="DD415" s="1087"/>
      <c r="DE415" s="1087"/>
      <c r="DF415" s="1087"/>
      <c r="DG415" s="1087"/>
      <c r="DH415" s="1087"/>
      <c r="DI415" s="1087"/>
      <c r="DJ415" s="1087"/>
      <c r="DK415" s="1087"/>
      <c r="DL415" s="1087"/>
      <c r="DM415" s="1087"/>
      <c r="DN415" s="1087"/>
      <c r="DO415" s="1087"/>
      <c r="DP415" s="1087"/>
      <c r="DQ415" s="1087"/>
      <c r="DR415" s="1087"/>
      <c r="DS415" s="1087"/>
      <c r="DT415" s="1087"/>
      <c r="DU415" s="1087"/>
      <c r="DV415" s="1087"/>
      <c r="DW415" s="1087"/>
      <c r="DX415" s="1087"/>
      <c r="DY415" s="1087"/>
      <c r="DZ415" s="1087"/>
      <c r="EA415" s="1087"/>
      <c r="EB415" s="1087"/>
      <c r="EC415" s="1087"/>
      <c r="ED415" s="1087"/>
      <c r="EE415" s="1087"/>
      <c r="EF415" s="1087"/>
      <c r="EG415" s="1087"/>
      <c r="EH415" s="1087"/>
      <c r="EI415" s="1087"/>
      <c r="EJ415" s="1087"/>
      <c r="EK415" s="1087"/>
      <c r="EL415" s="1087"/>
      <c r="EM415" s="1087"/>
      <c r="EN415" s="1087"/>
      <c r="EO415" s="1087"/>
      <c r="EP415" s="1087"/>
      <c r="EQ415" s="1087"/>
      <c r="ER415" s="1087"/>
      <c r="ES415" s="1087"/>
      <c r="ET415" s="1087"/>
      <c r="EU415" s="1087"/>
      <c r="EV415" s="1087"/>
      <c r="EW415" s="1087"/>
      <c r="EX415" s="1087"/>
      <c r="EY415" s="1087"/>
      <c r="EZ415" s="1087"/>
      <c r="FA415" s="1087"/>
      <c r="FB415" s="1087"/>
      <c r="FC415" s="1087"/>
      <c r="FD415" s="1087"/>
      <c r="FE415" s="1087"/>
      <c r="FF415" s="1087"/>
      <c r="FG415" s="1087"/>
      <c r="FH415" s="1087"/>
      <c r="FI415" s="1087"/>
      <c r="FJ415" s="1087"/>
      <c r="FK415" s="1087"/>
      <c r="FL415" s="1087"/>
      <c r="FM415" s="1087"/>
      <c r="FN415" s="1087"/>
      <c r="FO415" s="1087"/>
      <c r="FP415" s="1087"/>
      <c r="FQ415" s="1087"/>
      <c r="FR415" s="1087"/>
      <c r="FS415" s="1087"/>
      <c r="FT415" s="1087"/>
      <c r="FU415" s="1087"/>
      <c r="FV415" s="1087"/>
      <c r="FW415" s="1087"/>
      <c r="FX415" s="1087"/>
      <c r="FY415" s="1087"/>
      <c r="FZ415" s="1087"/>
      <c r="GA415" s="1087"/>
      <c r="GB415" s="1087"/>
      <c r="GC415" s="1087"/>
      <c r="GD415" s="1087"/>
      <c r="GE415" s="1087"/>
      <c r="GF415" s="1087"/>
      <c r="GG415" s="1087"/>
      <c r="GH415" s="1087"/>
      <c r="GI415" s="1087"/>
      <c r="GJ415" s="1087"/>
      <c r="GK415" s="1087"/>
      <c r="GL415" s="1087"/>
      <c r="GM415" s="1087"/>
      <c r="GN415" s="1087"/>
      <c r="GO415" s="1087"/>
      <c r="GP415" s="1087"/>
      <c r="GQ415" s="1087"/>
      <c r="GR415" s="1087"/>
      <c r="GS415" s="1087"/>
      <c r="GT415" s="1087"/>
      <c r="GU415" s="1087"/>
      <c r="GV415" s="1087"/>
      <c r="GW415" s="1087"/>
      <c r="GX415" s="1087"/>
      <c r="GY415" s="1087"/>
      <c r="GZ415" s="1087"/>
      <c r="HA415" s="1087"/>
      <c r="HB415" s="1087"/>
      <c r="HC415" s="1087"/>
      <c r="HD415" s="1087"/>
      <c r="HE415" s="1087"/>
      <c r="HF415" s="1087"/>
      <c r="HG415" s="1087"/>
      <c r="HH415" s="1087"/>
      <c r="HI415" s="1087"/>
      <c r="HJ415" s="1087"/>
      <c r="HK415" s="1087"/>
      <c r="HL415" s="1087"/>
      <c r="HM415" s="1087"/>
      <c r="HN415" s="1087"/>
      <c r="HO415" s="1087"/>
      <c r="HP415" s="1087"/>
      <c r="HQ415" s="1087"/>
      <c r="HR415" s="1087"/>
      <c r="HS415" s="1087"/>
      <c r="HT415" s="1087"/>
      <c r="HU415" s="1087"/>
      <c r="HV415" s="1087"/>
      <c r="HW415" s="1087"/>
      <c r="HX415" s="1087"/>
      <c r="HY415" s="1087"/>
      <c r="HZ415" s="1087"/>
      <c r="IA415" s="1087"/>
      <c r="IB415" s="1087"/>
      <c r="IC415" s="1087"/>
      <c r="ID415" s="1087"/>
      <c r="IE415" s="1087"/>
      <c r="IF415" s="1087"/>
      <c r="IG415" s="1087"/>
      <c r="IH415" s="1087"/>
      <c r="II415" s="1087"/>
      <c r="IJ415" s="1087"/>
      <c r="IK415" s="1087"/>
      <c r="IL415" s="1087"/>
      <c r="IM415" s="1087"/>
      <c r="IN415" s="1087"/>
      <c r="IO415" s="1087"/>
      <c r="IP415" s="1087"/>
      <c r="IQ415" s="1087"/>
      <c r="IR415" s="1087"/>
      <c r="IS415" s="1087"/>
      <c r="IT415" s="1087"/>
      <c r="IU415" s="1087"/>
      <c r="IV415" s="1087"/>
      <c r="IW415" s="1087"/>
      <c r="IX415" s="1087"/>
      <c r="IY415" s="1087"/>
      <c r="IZ415" s="1087"/>
      <c r="JA415" s="1087"/>
      <c r="JB415" s="1087"/>
      <c r="JC415" s="1087"/>
      <c r="JD415" s="1087"/>
      <c r="JE415" s="1087"/>
      <c r="JF415" s="1087"/>
      <c r="JG415" s="1087"/>
      <c r="JH415" s="1087"/>
      <c r="JI415" s="1087"/>
      <c r="JJ415" s="1087"/>
      <c r="JK415" s="1087"/>
      <c r="JL415" s="1087"/>
      <c r="JM415" s="1087"/>
      <c r="JN415" s="1087"/>
      <c r="JO415" s="1087"/>
      <c r="JP415" s="1087"/>
      <c r="JQ415" s="1087"/>
      <c r="JR415" s="1087"/>
      <c r="JS415" s="1087"/>
      <c r="JT415" s="1087"/>
      <c r="JU415" s="1087"/>
      <c r="JV415" s="1087"/>
      <c r="JW415" s="1087"/>
      <c r="JX415" s="1087"/>
      <c r="JY415" s="1087"/>
      <c r="JZ415" s="1087"/>
      <c r="KA415" s="1087"/>
      <c r="KB415" s="1092"/>
    </row>
    <row r="416" spans="2:288" ht="15" customHeight="1" x14ac:dyDescent="0.35">
      <c r="B416" s="146" t="str">
        <f t="shared" si="30"/>
        <v>Desk 97</v>
      </c>
      <c r="C416" s="148" t="str">
        <v/>
      </c>
      <c r="D416" s="148" t="str">
        <v/>
      </c>
      <c r="E416" s="148" t="str">
        <v/>
      </c>
      <c r="F416" s="148" t="str">
        <v/>
      </c>
      <c r="G416" s="268" t="str">
        <v/>
      </c>
      <c r="H416" s="1087"/>
      <c r="I416" s="1087"/>
      <c r="J416" s="1087"/>
      <c r="K416" s="1087"/>
      <c r="L416" s="1087"/>
      <c r="M416" s="1087"/>
      <c r="N416" s="1087"/>
      <c r="O416" s="1087"/>
      <c r="P416" s="1087"/>
      <c r="Q416" s="1087"/>
      <c r="R416" s="1087"/>
      <c r="S416" s="1087"/>
      <c r="T416" s="1087"/>
      <c r="U416" s="1087"/>
      <c r="V416" s="1087"/>
      <c r="W416" s="1087"/>
      <c r="X416" s="1087"/>
      <c r="Y416" s="1087"/>
      <c r="Z416" s="1087"/>
      <c r="AA416" s="1087"/>
      <c r="AB416" s="1087"/>
      <c r="AC416" s="1087"/>
      <c r="AD416" s="1087"/>
      <c r="AE416" s="1087"/>
      <c r="AF416" s="1087"/>
      <c r="AG416" s="1087"/>
      <c r="AH416" s="1087"/>
      <c r="AI416" s="1087"/>
      <c r="AJ416" s="1087"/>
      <c r="AK416" s="1087"/>
      <c r="AL416" s="1087"/>
      <c r="AM416" s="1087"/>
      <c r="AN416" s="1087"/>
      <c r="AO416" s="1087"/>
      <c r="AP416" s="1087"/>
      <c r="AQ416" s="1087"/>
      <c r="AR416" s="1087"/>
      <c r="AS416" s="1087"/>
      <c r="AT416" s="1087"/>
      <c r="AU416" s="1087"/>
      <c r="AV416" s="1087"/>
      <c r="AW416" s="1087"/>
      <c r="AX416" s="1087"/>
      <c r="AY416" s="1087"/>
      <c r="AZ416" s="1087"/>
      <c r="BA416" s="1087"/>
      <c r="BB416" s="1087"/>
      <c r="BC416" s="1087"/>
      <c r="BD416" s="1087"/>
      <c r="BE416" s="1087"/>
      <c r="BF416" s="1087"/>
      <c r="BG416" s="1087"/>
      <c r="BH416" s="1087"/>
      <c r="BI416" s="1087"/>
      <c r="BJ416" s="1087"/>
      <c r="BK416" s="1087"/>
      <c r="BL416" s="1087"/>
      <c r="BM416" s="1087"/>
      <c r="BN416" s="1087"/>
      <c r="BO416" s="1087"/>
      <c r="BP416" s="1087"/>
      <c r="BQ416" s="1087"/>
      <c r="BR416" s="1087"/>
      <c r="BS416" s="1087"/>
      <c r="BT416" s="1087"/>
      <c r="BU416" s="1087"/>
      <c r="BV416" s="1087"/>
      <c r="BW416" s="1087"/>
      <c r="BX416" s="1087"/>
      <c r="BY416" s="1087"/>
      <c r="BZ416" s="1087"/>
      <c r="CA416" s="1087"/>
      <c r="CB416" s="1087"/>
      <c r="CC416" s="1087"/>
      <c r="CD416" s="1087"/>
      <c r="CE416" s="1087"/>
      <c r="CF416" s="1087"/>
      <c r="CG416" s="1087"/>
      <c r="CH416" s="1087"/>
      <c r="CI416" s="1087"/>
      <c r="CJ416" s="1087"/>
      <c r="CK416" s="1087"/>
      <c r="CL416" s="1087"/>
      <c r="CM416" s="1087"/>
      <c r="CN416" s="1087"/>
      <c r="CO416" s="1087"/>
      <c r="CP416" s="1087"/>
      <c r="CQ416" s="1087"/>
      <c r="CR416" s="1087"/>
      <c r="CS416" s="1087"/>
      <c r="CT416" s="1087"/>
      <c r="CU416" s="1087"/>
      <c r="CV416" s="1087"/>
      <c r="CW416" s="1087"/>
      <c r="CX416" s="1087"/>
      <c r="CY416" s="1087"/>
      <c r="CZ416" s="1087"/>
      <c r="DA416" s="1087"/>
      <c r="DB416" s="1087"/>
      <c r="DC416" s="1087"/>
      <c r="DD416" s="1087"/>
      <c r="DE416" s="1087"/>
      <c r="DF416" s="1087"/>
      <c r="DG416" s="1087"/>
      <c r="DH416" s="1087"/>
      <c r="DI416" s="1087"/>
      <c r="DJ416" s="1087"/>
      <c r="DK416" s="1087"/>
      <c r="DL416" s="1087"/>
      <c r="DM416" s="1087"/>
      <c r="DN416" s="1087"/>
      <c r="DO416" s="1087"/>
      <c r="DP416" s="1087"/>
      <c r="DQ416" s="1087"/>
      <c r="DR416" s="1087"/>
      <c r="DS416" s="1087"/>
      <c r="DT416" s="1087"/>
      <c r="DU416" s="1087"/>
      <c r="DV416" s="1087"/>
      <c r="DW416" s="1087"/>
      <c r="DX416" s="1087"/>
      <c r="DY416" s="1087"/>
      <c r="DZ416" s="1087"/>
      <c r="EA416" s="1087"/>
      <c r="EB416" s="1087"/>
      <c r="EC416" s="1087"/>
      <c r="ED416" s="1087"/>
      <c r="EE416" s="1087"/>
      <c r="EF416" s="1087"/>
      <c r="EG416" s="1087"/>
      <c r="EH416" s="1087"/>
      <c r="EI416" s="1087"/>
      <c r="EJ416" s="1087"/>
      <c r="EK416" s="1087"/>
      <c r="EL416" s="1087"/>
      <c r="EM416" s="1087"/>
      <c r="EN416" s="1087"/>
      <c r="EO416" s="1087"/>
      <c r="EP416" s="1087"/>
      <c r="EQ416" s="1087"/>
      <c r="ER416" s="1087"/>
      <c r="ES416" s="1087"/>
      <c r="ET416" s="1087"/>
      <c r="EU416" s="1087"/>
      <c r="EV416" s="1087"/>
      <c r="EW416" s="1087"/>
      <c r="EX416" s="1087"/>
      <c r="EY416" s="1087"/>
      <c r="EZ416" s="1087"/>
      <c r="FA416" s="1087"/>
      <c r="FB416" s="1087"/>
      <c r="FC416" s="1087"/>
      <c r="FD416" s="1087"/>
      <c r="FE416" s="1087"/>
      <c r="FF416" s="1087"/>
      <c r="FG416" s="1087"/>
      <c r="FH416" s="1087"/>
      <c r="FI416" s="1087"/>
      <c r="FJ416" s="1087"/>
      <c r="FK416" s="1087"/>
      <c r="FL416" s="1087"/>
      <c r="FM416" s="1087"/>
      <c r="FN416" s="1087"/>
      <c r="FO416" s="1087"/>
      <c r="FP416" s="1087"/>
      <c r="FQ416" s="1087"/>
      <c r="FR416" s="1087"/>
      <c r="FS416" s="1087"/>
      <c r="FT416" s="1087"/>
      <c r="FU416" s="1087"/>
      <c r="FV416" s="1087"/>
      <c r="FW416" s="1087"/>
      <c r="FX416" s="1087"/>
      <c r="FY416" s="1087"/>
      <c r="FZ416" s="1087"/>
      <c r="GA416" s="1087"/>
      <c r="GB416" s="1087"/>
      <c r="GC416" s="1087"/>
      <c r="GD416" s="1087"/>
      <c r="GE416" s="1087"/>
      <c r="GF416" s="1087"/>
      <c r="GG416" s="1087"/>
      <c r="GH416" s="1087"/>
      <c r="GI416" s="1087"/>
      <c r="GJ416" s="1087"/>
      <c r="GK416" s="1087"/>
      <c r="GL416" s="1087"/>
      <c r="GM416" s="1087"/>
      <c r="GN416" s="1087"/>
      <c r="GO416" s="1087"/>
      <c r="GP416" s="1087"/>
      <c r="GQ416" s="1087"/>
      <c r="GR416" s="1087"/>
      <c r="GS416" s="1087"/>
      <c r="GT416" s="1087"/>
      <c r="GU416" s="1087"/>
      <c r="GV416" s="1087"/>
      <c r="GW416" s="1087"/>
      <c r="GX416" s="1087"/>
      <c r="GY416" s="1087"/>
      <c r="GZ416" s="1087"/>
      <c r="HA416" s="1087"/>
      <c r="HB416" s="1087"/>
      <c r="HC416" s="1087"/>
      <c r="HD416" s="1087"/>
      <c r="HE416" s="1087"/>
      <c r="HF416" s="1087"/>
      <c r="HG416" s="1087"/>
      <c r="HH416" s="1087"/>
      <c r="HI416" s="1087"/>
      <c r="HJ416" s="1087"/>
      <c r="HK416" s="1087"/>
      <c r="HL416" s="1087"/>
      <c r="HM416" s="1087"/>
      <c r="HN416" s="1087"/>
      <c r="HO416" s="1087"/>
      <c r="HP416" s="1087"/>
      <c r="HQ416" s="1087"/>
      <c r="HR416" s="1087"/>
      <c r="HS416" s="1087"/>
      <c r="HT416" s="1087"/>
      <c r="HU416" s="1087"/>
      <c r="HV416" s="1087"/>
      <c r="HW416" s="1087"/>
      <c r="HX416" s="1087"/>
      <c r="HY416" s="1087"/>
      <c r="HZ416" s="1087"/>
      <c r="IA416" s="1087"/>
      <c r="IB416" s="1087"/>
      <c r="IC416" s="1087"/>
      <c r="ID416" s="1087"/>
      <c r="IE416" s="1087"/>
      <c r="IF416" s="1087"/>
      <c r="IG416" s="1087"/>
      <c r="IH416" s="1087"/>
      <c r="II416" s="1087"/>
      <c r="IJ416" s="1087"/>
      <c r="IK416" s="1087"/>
      <c r="IL416" s="1087"/>
      <c r="IM416" s="1087"/>
      <c r="IN416" s="1087"/>
      <c r="IO416" s="1087"/>
      <c r="IP416" s="1087"/>
      <c r="IQ416" s="1087"/>
      <c r="IR416" s="1087"/>
      <c r="IS416" s="1087"/>
      <c r="IT416" s="1087"/>
      <c r="IU416" s="1087"/>
      <c r="IV416" s="1087"/>
      <c r="IW416" s="1087"/>
      <c r="IX416" s="1087"/>
      <c r="IY416" s="1087"/>
      <c r="IZ416" s="1087"/>
      <c r="JA416" s="1087"/>
      <c r="JB416" s="1087"/>
      <c r="JC416" s="1087"/>
      <c r="JD416" s="1087"/>
      <c r="JE416" s="1087"/>
      <c r="JF416" s="1087"/>
      <c r="JG416" s="1087"/>
      <c r="JH416" s="1087"/>
      <c r="JI416" s="1087"/>
      <c r="JJ416" s="1087"/>
      <c r="JK416" s="1087"/>
      <c r="JL416" s="1087"/>
      <c r="JM416" s="1087"/>
      <c r="JN416" s="1087"/>
      <c r="JO416" s="1087"/>
      <c r="JP416" s="1087"/>
      <c r="JQ416" s="1087"/>
      <c r="JR416" s="1087"/>
      <c r="JS416" s="1087"/>
      <c r="JT416" s="1087"/>
      <c r="JU416" s="1087"/>
      <c r="JV416" s="1087"/>
      <c r="JW416" s="1087"/>
      <c r="JX416" s="1087"/>
      <c r="JY416" s="1087"/>
      <c r="JZ416" s="1087"/>
      <c r="KA416" s="1087"/>
      <c r="KB416" s="1092"/>
    </row>
    <row r="417" spans="1:289" ht="15" customHeight="1" x14ac:dyDescent="0.35">
      <c r="B417" s="146" t="str">
        <f t="shared" si="30"/>
        <v>Desk 98</v>
      </c>
      <c r="C417" s="148" t="str">
        <v/>
      </c>
      <c r="D417" s="148" t="str">
        <v/>
      </c>
      <c r="E417" s="148" t="str">
        <v/>
      </c>
      <c r="F417" s="148" t="str">
        <v/>
      </c>
      <c r="G417" s="268" t="str">
        <v/>
      </c>
      <c r="H417" s="1087"/>
      <c r="I417" s="1087"/>
      <c r="J417" s="1087"/>
      <c r="K417" s="1087"/>
      <c r="L417" s="1087"/>
      <c r="M417" s="1087"/>
      <c r="N417" s="1087"/>
      <c r="O417" s="1087"/>
      <c r="P417" s="1087"/>
      <c r="Q417" s="1087"/>
      <c r="R417" s="1087"/>
      <c r="S417" s="1087"/>
      <c r="T417" s="1087"/>
      <c r="U417" s="1087"/>
      <c r="V417" s="1087"/>
      <c r="W417" s="1087"/>
      <c r="X417" s="1087"/>
      <c r="Y417" s="1087"/>
      <c r="Z417" s="1087"/>
      <c r="AA417" s="1087"/>
      <c r="AB417" s="1087"/>
      <c r="AC417" s="1087"/>
      <c r="AD417" s="1087"/>
      <c r="AE417" s="1087"/>
      <c r="AF417" s="1087"/>
      <c r="AG417" s="1087"/>
      <c r="AH417" s="1087"/>
      <c r="AI417" s="1087"/>
      <c r="AJ417" s="1087"/>
      <c r="AK417" s="1087"/>
      <c r="AL417" s="1087"/>
      <c r="AM417" s="1087"/>
      <c r="AN417" s="1087"/>
      <c r="AO417" s="1087"/>
      <c r="AP417" s="1087"/>
      <c r="AQ417" s="1087"/>
      <c r="AR417" s="1087"/>
      <c r="AS417" s="1087"/>
      <c r="AT417" s="1087"/>
      <c r="AU417" s="1087"/>
      <c r="AV417" s="1087"/>
      <c r="AW417" s="1087"/>
      <c r="AX417" s="1087"/>
      <c r="AY417" s="1087"/>
      <c r="AZ417" s="1087"/>
      <c r="BA417" s="1087"/>
      <c r="BB417" s="1087"/>
      <c r="BC417" s="1087"/>
      <c r="BD417" s="1087"/>
      <c r="BE417" s="1087"/>
      <c r="BF417" s="1087"/>
      <c r="BG417" s="1087"/>
      <c r="BH417" s="1087"/>
      <c r="BI417" s="1087"/>
      <c r="BJ417" s="1087"/>
      <c r="BK417" s="1087"/>
      <c r="BL417" s="1087"/>
      <c r="BM417" s="1087"/>
      <c r="BN417" s="1087"/>
      <c r="BO417" s="1087"/>
      <c r="BP417" s="1087"/>
      <c r="BQ417" s="1087"/>
      <c r="BR417" s="1087"/>
      <c r="BS417" s="1087"/>
      <c r="BT417" s="1087"/>
      <c r="BU417" s="1087"/>
      <c r="BV417" s="1087"/>
      <c r="BW417" s="1087"/>
      <c r="BX417" s="1087"/>
      <c r="BY417" s="1087"/>
      <c r="BZ417" s="1087"/>
      <c r="CA417" s="1087"/>
      <c r="CB417" s="1087"/>
      <c r="CC417" s="1087"/>
      <c r="CD417" s="1087"/>
      <c r="CE417" s="1087"/>
      <c r="CF417" s="1087"/>
      <c r="CG417" s="1087"/>
      <c r="CH417" s="1087"/>
      <c r="CI417" s="1087"/>
      <c r="CJ417" s="1087"/>
      <c r="CK417" s="1087"/>
      <c r="CL417" s="1087"/>
      <c r="CM417" s="1087"/>
      <c r="CN417" s="1087"/>
      <c r="CO417" s="1087"/>
      <c r="CP417" s="1087"/>
      <c r="CQ417" s="1087"/>
      <c r="CR417" s="1087"/>
      <c r="CS417" s="1087"/>
      <c r="CT417" s="1087"/>
      <c r="CU417" s="1087"/>
      <c r="CV417" s="1087"/>
      <c r="CW417" s="1087"/>
      <c r="CX417" s="1087"/>
      <c r="CY417" s="1087"/>
      <c r="CZ417" s="1087"/>
      <c r="DA417" s="1087"/>
      <c r="DB417" s="1087"/>
      <c r="DC417" s="1087"/>
      <c r="DD417" s="1087"/>
      <c r="DE417" s="1087"/>
      <c r="DF417" s="1087"/>
      <c r="DG417" s="1087"/>
      <c r="DH417" s="1087"/>
      <c r="DI417" s="1087"/>
      <c r="DJ417" s="1087"/>
      <c r="DK417" s="1087"/>
      <c r="DL417" s="1087"/>
      <c r="DM417" s="1087"/>
      <c r="DN417" s="1087"/>
      <c r="DO417" s="1087"/>
      <c r="DP417" s="1087"/>
      <c r="DQ417" s="1087"/>
      <c r="DR417" s="1087"/>
      <c r="DS417" s="1087"/>
      <c r="DT417" s="1087"/>
      <c r="DU417" s="1087"/>
      <c r="DV417" s="1087"/>
      <c r="DW417" s="1087"/>
      <c r="DX417" s="1087"/>
      <c r="DY417" s="1087"/>
      <c r="DZ417" s="1087"/>
      <c r="EA417" s="1087"/>
      <c r="EB417" s="1087"/>
      <c r="EC417" s="1087"/>
      <c r="ED417" s="1087"/>
      <c r="EE417" s="1087"/>
      <c r="EF417" s="1087"/>
      <c r="EG417" s="1087"/>
      <c r="EH417" s="1087"/>
      <c r="EI417" s="1087"/>
      <c r="EJ417" s="1087"/>
      <c r="EK417" s="1087"/>
      <c r="EL417" s="1087"/>
      <c r="EM417" s="1087"/>
      <c r="EN417" s="1087"/>
      <c r="EO417" s="1087"/>
      <c r="EP417" s="1087"/>
      <c r="EQ417" s="1087"/>
      <c r="ER417" s="1087"/>
      <c r="ES417" s="1087"/>
      <c r="ET417" s="1087"/>
      <c r="EU417" s="1087"/>
      <c r="EV417" s="1087"/>
      <c r="EW417" s="1087"/>
      <c r="EX417" s="1087"/>
      <c r="EY417" s="1087"/>
      <c r="EZ417" s="1087"/>
      <c r="FA417" s="1087"/>
      <c r="FB417" s="1087"/>
      <c r="FC417" s="1087"/>
      <c r="FD417" s="1087"/>
      <c r="FE417" s="1087"/>
      <c r="FF417" s="1087"/>
      <c r="FG417" s="1087"/>
      <c r="FH417" s="1087"/>
      <c r="FI417" s="1087"/>
      <c r="FJ417" s="1087"/>
      <c r="FK417" s="1087"/>
      <c r="FL417" s="1087"/>
      <c r="FM417" s="1087"/>
      <c r="FN417" s="1087"/>
      <c r="FO417" s="1087"/>
      <c r="FP417" s="1087"/>
      <c r="FQ417" s="1087"/>
      <c r="FR417" s="1087"/>
      <c r="FS417" s="1087"/>
      <c r="FT417" s="1087"/>
      <c r="FU417" s="1087"/>
      <c r="FV417" s="1087"/>
      <c r="FW417" s="1087"/>
      <c r="FX417" s="1087"/>
      <c r="FY417" s="1087"/>
      <c r="FZ417" s="1087"/>
      <c r="GA417" s="1087"/>
      <c r="GB417" s="1087"/>
      <c r="GC417" s="1087"/>
      <c r="GD417" s="1087"/>
      <c r="GE417" s="1087"/>
      <c r="GF417" s="1087"/>
      <c r="GG417" s="1087"/>
      <c r="GH417" s="1087"/>
      <c r="GI417" s="1087"/>
      <c r="GJ417" s="1087"/>
      <c r="GK417" s="1087"/>
      <c r="GL417" s="1087"/>
      <c r="GM417" s="1087"/>
      <c r="GN417" s="1087"/>
      <c r="GO417" s="1087"/>
      <c r="GP417" s="1087"/>
      <c r="GQ417" s="1087"/>
      <c r="GR417" s="1087"/>
      <c r="GS417" s="1087"/>
      <c r="GT417" s="1087"/>
      <c r="GU417" s="1087"/>
      <c r="GV417" s="1087"/>
      <c r="GW417" s="1087"/>
      <c r="GX417" s="1087"/>
      <c r="GY417" s="1087"/>
      <c r="GZ417" s="1087"/>
      <c r="HA417" s="1087"/>
      <c r="HB417" s="1087"/>
      <c r="HC417" s="1087"/>
      <c r="HD417" s="1087"/>
      <c r="HE417" s="1087"/>
      <c r="HF417" s="1087"/>
      <c r="HG417" s="1087"/>
      <c r="HH417" s="1087"/>
      <c r="HI417" s="1087"/>
      <c r="HJ417" s="1087"/>
      <c r="HK417" s="1087"/>
      <c r="HL417" s="1087"/>
      <c r="HM417" s="1087"/>
      <c r="HN417" s="1087"/>
      <c r="HO417" s="1087"/>
      <c r="HP417" s="1087"/>
      <c r="HQ417" s="1087"/>
      <c r="HR417" s="1087"/>
      <c r="HS417" s="1087"/>
      <c r="HT417" s="1087"/>
      <c r="HU417" s="1087"/>
      <c r="HV417" s="1087"/>
      <c r="HW417" s="1087"/>
      <c r="HX417" s="1087"/>
      <c r="HY417" s="1087"/>
      <c r="HZ417" s="1087"/>
      <c r="IA417" s="1087"/>
      <c r="IB417" s="1087"/>
      <c r="IC417" s="1087"/>
      <c r="ID417" s="1087"/>
      <c r="IE417" s="1087"/>
      <c r="IF417" s="1087"/>
      <c r="IG417" s="1087"/>
      <c r="IH417" s="1087"/>
      <c r="II417" s="1087"/>
      <c r="IJ417" s="1087"/>
      <c r="IK417" s="1087"/>
      <c r="IL417" s="1087"/>
      <c r="IM417" s="1087"/>
      <c r="IN417" s="1087"/>
      <c r="IO417" s="1087"/>
      <c r="IP417" s="1087"/>
      <c r="IQ417" s="1087"/>
      <c r="IR417" s="1087"/>
      <c r="IS417" s="1087"/>
      <c r="IT417" s="1087"/>
      <c r="IU417" s="1087"/>
      <c r="IV417" s="1087"/>
      <c r="IW417" s="1087"/>
      <c r="IX417" s="1087"/>
      <c r="IY417" s="1087"/>
      <c r="IZ417" s="1087"/>
      <c r="JA417" s="1087"/>
      <c r="JB417" s="1087"/>
      <c r="JC417" s="1087"/>
      <c r="JD417" s="1087"/>
      <c r="JE417" s="1087"/>
      <c r="JF417" s="1087"/>
      <c r="JG417" s="1087"/>
      <c r="JH417" s="1087"/>
      <c r="JI417" s="1087"/>
      <c r="JJ417" s="1087"/>
      <c r="JK417" s="1087"/>
      <c r="JL417" s="1087"/>
      <c r="JM417" s="1087"/>
      <c r="JN417" s="1087"/>
      <c r="JO417" s="1087"/>
      <c r="JP417" s="1087"/>
      <c r="JQ417" s="1087"/>
      <c r="JR417" s="1087"/>
      <c r="JS417" s="1087"/>
      <c r="JT417" s="1087"/>
      <c r="JU417" s="1087"/>
      <c r="JV417" s="1087"/>
      <c r="JW417" s="1087"/>
      <c r="JX417" s="1087"/>
      <c r="JY417" s="1087"/>
      <c r="JZ417" s="1087"/>
      <c r="KA417" s="1087"/>
      <c r="KB417" s="1092"/>
    </row>
    <row r="418" spans="1:289" ht="15" customHeight="1" x14ac:dyDescent="0.35">
      <c r="B418" s="146" t="str">
        <f t="shared" si="30"/>
        <v>Desk 99</v>
      </c>
      <c r="C418" s="148" t="str">
        <v/>
      </c>
      <c r="D418" s="148" t="str">
        <v/>
      </c>
      <c r="E418" s="148" t="str">
        <v/>
      </c>
      <c r="F418" s="148" t="str">
        <v/>
      </c>
      <c r="G418" s="268" t="str">
        <v/>
      </c>
      <c r="H418" s="1087"/>
      <c r="I418" s="1087"/>
      <c r="J418" s="1087"/>
      <c r="K418" s="1087"/>
      <c r="L418" s="1087"/>
      <c r="M418" s="1087"/>
      <c r="N418" s="1087"/>
      <c r="O418" s="1087"/>
      <c r="P418" s="1087"/>
      <c r="Q418" s="1087"/>
      <c r="R418" s="1087"/>
      <c r="S418" s="1087"/>
      <c r="T418" s="1087"/>
      <c r="U418" s="1087"/>
      <c r="V418" s="1087"/>
      <c r="W418" s="1087"/>
      <c r="X418" s="1087"/>
      <c r="Y418" s="1087"/>
      <c r="Z418" s="1087"/>
      <c r="AA418" s="1087"/>
      <c r="AB418" s="1087"/>
      <c r="AC418" s="1087"/>
      <c r="AD418" s="1087"/>
      <c r="AE418" s="1087"/>
      <c r="AF418" s="1087"/>
      <c r="AG418" s="1087"/>
      <c r="AH418" s="1087"/>
      <c r="AI418" s="1087"/>
      <c r="AJ418" s="1087"/>
      <c r="AK418" s="1087"/>
      <c r="AL418" s="1087"/>
      <c r="AM418" s="1087"/>
      <c r="AN418" s="1087"/>
      <c r="AO418" s="1087"/>
      <c r="AP418" s="1087"/>
      <c r="AQ418" s="1087"/>
      <c r="AR418" s="1087"/>
      <c r="AS418" s="1087"/>
      <c r="AT418" s="1087"/>
      <c r="AU418" s="1087"/>
      <c r="AV418" s="1087"/>
      <c r="AW418" s="1087"/>
      <c r="AX418" s="1087"/>
      <c r="AY418" s="1087"/>
      <c r="AZ418" s="1087"/>
      <c r="BA418" s="1087"/>
      <c r="BB418" s="1087"/>
      <c r="BC418" s="1087"/>
      <c r="BD418" s="1087"/>
      <c r="BE418" s="1087"/>
      <c r="BF418" s="1087"/>
      <c r="BG418" s="1087"/>
      <c r="BH418" s="1087"/>
      <c r="BI418" s="1087"/>
      <c r="BJ418" s="1087"/>
      <c r="BK418" s="1087"/>
      <c r="BL418" s="1087"/>
      <c r="BM418" s="1087"/>
      <c r="BN418" s="1087"/>
      <c r="BO418" s="1087"/>
      <c r="BP418" s="1087"/>
      <c r="BQ418" s="1087"/>
      <c r="BR418" s="1087"/>
      <c r="BS418" s="1087"/>
      <c r="BT418" s="1087"/>
      <c r="BU418" s="1087"/>
      <c r="BV418" s="1087"/>
      <c r="BW418" s="1087"/>
      <c r="BX418" s="1087"/>
      <c r="BY418" s="1087"/>
      <c r="BZ418" s="1087"/>
      <c r="CA418" s="1087"/>
      <c r="CB418" s="1087"/>
      <c r="CC418" s="1087"/>
      <c r="CD418" s="1087"/>
      <c r="CE418" s="1087"/>
      <c r="CF418" s="1087"/>
      <c r="CG418" s="1087"/>
      <c r="CH418" s="1087"/>
      <c r="CI418" s="1087"/>
      <c r="CJ418" s="1087"/>
      <c r="CK418" s="1087"/>
      <c r="CL418" s="1087"/>
      <c r="CM418" s="1087"/>
      <c r="CN418" s="1087"/>
      <c r="CO418" s="1087"/>
      <c r="CP418" s="1087"/>
      <c r="CQ418" s="1087"/>
      <c r="CR418" s="1087"/>
      <c r="CS418" s="1087"/>
      <c r="CT418" s="1087"/>
      <c r="CU418" s="1087"/>
      <c r="CV418" s="1087"/>
      <c r="CW418" s="1087"/>
      <c r="CX418" s="1087"/>
      <c r="CY418" s="1087"/>
      <c r="CZ418" s="1087"/>
      <c r="DA418" s="1087"/>
      <c r="DB418" s="1087"/>
      <c r="DC418" s="1087"/>
      <c r="DD418" s="1087"/>
      <c r="DE418" s="1087"/>
      <c r="DF418" s="1087"/>
      <c r="DG418" s="1087"/>
      <c r="DH418" s="1087"/>
      <c r="DI418" s="1087"/>
      <c r="DJ418" s="1087"/>
      <c r="DK418" s="1087"/>
      <c r="DL418" s="1087"/>
      <c r="DM418" s="1087"/>
      <c r="DN418" s="1087"/>
      <c r="DO418" s="1087"/>
      <c r="DP418" s="1087"/>
      <c r="DQ418" s="1087"/>
      <c r="DR418" s="1087"/>
      <c r="DS418" s="1087"/>
      <c r="DT418" s="1087"/>
      <c r="DU418" s="1087"/>
      <c r="DV418" s="1087"/>
      <c r="DW418" s="1087"/>
      <c r="DX418" s="1087"/>
      <c r="DY418" s="1087"/>
      <c r="DZ418" s="1087"/>
      <c r="EA418" s="1087"/>
      <c r="EB418" s="1087"/>
      <c r="EC418" s="1087"/>
      <c r="ED418" s="1087"/>
      <c r="EE418" s="1087"/>
      <c r="EF418" s="1087"/>
      <c r="EG418" s="1087"/>
      <c r="EH418" s="1087"/>
      <c r="EI418" s="1087"/>
      <c r="EJ418" s="1087"/>
      <c r="EK418" s="1087"/>
      <c r="EL418" s="1087"/>
      <c r="EM418" s="1087"/>
      <c r="EN418" s="1087"/>
      <c r="EO418" s="1087"/>
      <c r="EP418" s="1087"/>
      <c r="EQ418" s="1087"/>
      <c r="ER418" s="1087"/>
      <c r="ES418" s="1087"/>
      <c r="ET418" s="1087"/>
      <c r="EU418" s="1087"/>
      <c r="EV418" s="1087"/>
      <c r="EW418" s="1087"/>
      <c r="EX418" s="1087"/>
      <c r="EY418" s="1087"/>
      <c r="EZ418" s="1087"/>
      <c r="FA418" s="1087"/>
      <c r="FB418" s="1087"/>
      <c r="FC418" s="1087"/>
      <c r="FD418" s="1087"/>
      <c r="FE418" s="1087"/>
      <c r="FF418" s="1087"/>
      <c r="FG418" s="1087"/>
      <c r="FH418" s="1087"/>
      <c r="FI418" s="1087"/>
      <c r="FJ418" s="1087"/>
      <c r="FK418" s="1087"/>
      <c r="FL418" s="1087"/>
      <c r="FM418" s="1087"/>
      <c r="FN418" s="1087"/>
      <c r="FO418" s="1087"/>
      <c r="FP418" s="1087"/>
      <c r="FQ418" s="1087"/>
      <c r="FR418" s="1087"/>
      <c r="FS418" s="1087"/>
      <c r="FT418" s="1087"/>
      <c r="FU418" s="1087"/>
      <c r="FV418" s="1087"/>
      <c r="FW418" s="1087"/>
      <c r="FX418" s="1087"/>
      <c r="FY418" s="1087"/>
      <c r="FZ418" s="1087"/>
      <c r="GA418" s="1087"/>
      <c r="GB418" s="1087"/>
      <c r="GC418" s="1087"/>
      <c r="GD418" s="1087"/>
      <c r="GE418" s="1087"/>
      <c r="GF418" s="1087"/>
      <c r="GG418" s="1087"/>
      <c r="GH418" s="1087"/>
      <c r="GI418" s="1087"/>
      <c r="GJ418" s="1087"/>
      <c r="GK418" s="1087"/>
      <c r="GL418" s="1087"/>
      <c r="GM418" s="1087"/>
      <c r="GN418" s="1087"/>
      <c r="GO418" s="1087"/>
      <c r="GP418" s="1087"/>
      <c r="GQ418" s="1087"/>
      <c r="GR418" s="1087"/>
      <c r="GS418" s="1087"/>
      <c r="GT418" s="1087"/>
      <c r="GU418" s="1087"/>
      <c r="GV418" s="1087"/>
      <c r="GW418" s="1087"/>
      <c r="GX418" s="1087"/>
      <c r="GY418" s="1087"/>
      <c r="GZ418" s="1087"/>
      <c r="HA418" s="1087"/>
      <c r="HB418" s="1087"/>
      <c r="HC418" s="1087"/>
      <c r="HD418" s="1087"/>
      <c r="HE418" s="1087"/>
      <c r="HF418" s="1087"/>
      <c r="HG418" s="1087"/>
      <c r="HH418" s="1087"/>
      <c r="HI418" s="1087"/>
      <c r="HJ418" s="1087"/>
      <c r="HK418" s="1087"/>
      <c r="HL418" s="1087"/>
      <c r="HM418" s="1087"/>
      <c r="HN418" s="1087"/>
      <c r="HO418" s="1087"/>
      <c r="HP418" s="1087"/>
      <c r="HQ418" s="1087"/>
      <c r="HR418" s="1087"/>
      <c r="HS418" s="1087"/>
      <c r="HT418" s="1087"/>
      <c r="HU418" s="1087"/>
      <c r="HV418" s="1087"/>
      <c r="HW418" s="1087"/>
      <c r="HX418" s="1087"/>
      <c r="HY418" s="1087"/>
      <c r="HZ418" s="1087"/>
      <c r="IA418" s="1087"/>
      <c r="IB418" s="1087"/>
      <c r="IC418" s="1087"/>
      <c r="ID418" s="1087"/>
      <c r="IE418" s="1087"/>
      <c r="IF418" s="1087"/>
      <c r="IG418" s="1087"/>
      <c r="IH418" s="1087"/>
      <c r="II418" s="1087"/>
      <c r="IJ418" s="1087"/>
      <c r="IK418" s="1087"/>
      <c r="IL418" s="1087"/>
      <c r="IM418" s="1087"/>
      <c r="IN418" s="1087"/>
      <c r="IO418" s="1087"/>
      <c r="IP418" s="1087"/>
      <c r="IQ418" s="1087"/>
      <c r="IR418" s="1087"/>
      <c r="IS418" s="1087"/>
      <c r="IT418" s="1087"/>
      <c r="IU418" s="1087"/>
      <c r="IV418" s="1087"/>
      <c r="IW418" s="1087"/>
      <c r="IX418" s="1087"/>
      <c r="IY418" s="1087"/>
      <c r="IZ418" s="1087"/>
      <c r="JA418" s="1087"/>
      <c r="JB418" s="1087"/>
      <c r="JC418" s="1087"/>
      <c r="JD418" s="1087"/>
      <c r="JE418" s="1087"/>
      <c r="JF418" s="1087"/>
      <c r="JG418" s="1087"/>
      <c r="JH418" s="1087"/>
      <c r="JI418" s="1087"/>
      <c r="JJ418" s="1087"/>
      <c r="JK418" s="1087"/>
      <c r="JL418" s="1087"/>
      <c r="JM418" s="1087"/>
      <c r="JN418" s="1087"/>
      <c r="JO418" s="1087"/>
      <c r="JP418" s="1087"/>
      <c r="JQ418" s="1087"/>
      <c r="JR418" s="1087"/>
      <c r="JS418" s="1087"/>
      <c r="JT418" s="1087"/>
      <c r="JU418" s="1087"/>
      <c r="JV418" s="1087"/>
      <c r="JW418" s="1087"/>
      <c r="JX418" s="1087"/>
      <c r="JY418" s="1087"/>
      <c r="JZ418" s="1087"/>
      <c r="KA418" s="1087"/>
      <c r="KB418" s="1092"/>
    </row>
    <row r="419" spans="1:289" ht="15" customHeight="1" x14ac:dyDescent="0.35">
      <c r="B419" s="149" t="str">
        <f t="shared" si="30"/>
        <v>Desk 100</v>
      </c>
      <c r="C419" s="150" t="str">
        <v/>
      </c>
      <c r="D419" s="150" t="str">
        <v/>
      </c>
      <c r="E419" s="150" t="str">
        <v/>
      </c>
      <c r="F419" s="150" t="str">
        <v/>
      </c>
      <c r="G419" s="268" t="str">
        <v/>
      </c>
      <c r="H419" s="1093"/>
      <c r="I419" s="1093"/>
      <c r="J419" s="1093"/>
      <c r="K419" s="1093"/>
      <c r="L419" s="1093"/>
      <c r="M419" s="1093"/>
      <c r="N419" s="1093"/>
      <c r="O419" s="1093"/>
      <c r="P419" s="1093"/>
      <c r="Q419" s="1093"/>
      <c r="R419" s="1093"/>
      <c r="S419" s="1093"/>
      <c r="T419" s="1093"/>
      <c r="U419" s="1093"/>
      <c r="V419" s="1093"/>
      <c r="W419" s="1093"/>
      <c r="X419" s="1093"/>
      <c r="Y419" s="1093"/>
      <c r="Z419" s="1093"/>
      <c r="AA419" s="1093"/>
      <c r="AB419" s="1093"/>
      <c r="AC419" s="1093"/>
      <c r="AD419" s="1093"/>
      <c r="AE419" s="1093"/>
      <c r="AF419" s="1093"/>
      <c r="AG419" s="1093"/>
      <c r="AH419" s="1093"/>
      <c r="AI419" s="1093"/>
      <c r="AJ419" s="1093"/>
      <c r="AK419" s="1093"/>
      <c r="AL419" s="1093"/>
      <c r="AM419" s="1093"/>
      <c r="AN419" s="1093"/>
      <c r="AO419" s="1093"/>
      <c r="AP419" s="1093"/>
      <c r="AQ419" s="1093"/>
      <c r="AR419" s="1093"/>
      <c r="AS419" s="1093"/>
      <c r="AT419" s="1093"/>
      <c r="AU419" s="1093"/>
      <c r="AV419" s="1093"/>
      <c r="AW419" s="1093"/>
      <c r="AX419" s="1093"/>
      <c r="AY419" s="1093"/>
      <c r="AZ419" s="1093"/>
      <c r="BA419" s="1093"/>
      <c r="BB419" s="1093"/>
      <c r="BC419" s="1093"/>
      <c r="BD419" s="1093"/>
      <c r="BE419" s="1093"/>
      <c r="BF419" s="1093"/>
      <c r="BG419" s="1093"/>
      <c r="BH419" s="1093"/>
      <c r="BI419" s="1093"/>
      <c r="BJ419" s="1093"/>
      <c r="BK419" s="1093"/>
      <c r="BL419" s="1093"/>
      <c r="BM419" s="1093"/>
      <c r="BN419" s="1093"/>
      <c r="BO419" s="1093"/>
      <c r="BP419" s="1093"/>
      <c r="BQ419" s="1093"/>
      <c r="BR419" s="1093"/>
      <c r="BS419" s="1093"/>
      <c r="BT419" s="1093"/>
      <c r="BU419" s="1093"/>
      <c r="BV419" s="1093"/>
      <c r="BW419" s="1093"/>
      <c r="BX419" s="1093"/>
      <c r="BY419" s="1093"/>
      <c r="BZ419" s="1093"/>
      <c r="CA419" s="1093"/>
      <c r="CB419" s="1093"/>
      <c r="CC419" s="1093"/>
      <c r="CD419" s="1093"/>
      <c r="CE419" s="1093"/>
      <c r="CF419" s="1093"/>
      <c r="CG419" s="1093"/>
      <c r="CH419" s="1093"/>
      <c r="CI419" s="1093"/>
      <c r="CJ419" s="1093"/>
      <c r="CK419" s="1093"/>
      <c r="CL419" s="1093"/>
      <c r="CM419" s="1093"/>
      <c r="CN419" s="1093"/>
      <c r="CO419" s="1093"/>
      <c r="CP419" s="1093"/>
      <c r="CQ419" s="1093"/>
      <c r="CR419" s="1093"/>
      <c r="CS419" s="1093"/>
      <c r="CT419" s="1093"/>
      <c r="CU419" s="1093"/>
      <c r="CV419" s="1093"/>
      <c r="CW419" s="1093"/>
      <c r="CX419" s="1093"/>
      <c r="CY419" s="1093"/>
      <c r="CZ419" s="1093"/>
      <c r="DA419" s="1093"/>
      <c r="DB419" s="1093"/>
      <c r="DC419" s="1093"/>
      <c r="DD419" s="1093"/>
      <c r="DE419" s="1093"/>
      <c r="DF419" s="1093"/>
      <c r="DG419" s="1093"/>
      <c r="DH419" s="1093"/>
      <c r="DI419" s="1093"/>
      <c r="DJ419" s="1093"/>
      <c r="DK419" s="1093"/>
      <c r="DL419" s="1093"/>
      <c r="DM419" s="1093"/>
      <c r="DN419" s="1093"/>
      <c r="DO419" s="1093"/>
      <c r="DP419" s="1093"/>
      <c r="DQ419" s="1093"/>
      <c r="DR419" s="1093"/>
      <c r="DS419" s="1093"/>
      <c r="DT419" s="1093"/>
      <c r="DU419" s="1093"/>
      <c r="DV419" s="1093"/>
      <c r="DW419" s="1093"/>
      <c r="DX419" s="1093"/>
      <c r="DY419" s="1093"/>
      <c r="DZ419" s="1093"/>
      <c r="EA419" s="1093"/>
      <c r="EB419" s="1093"/>
      <c r="EC419" s="1093"/>
      <c r="ED419" s="1093"/>
      <c r="EE419" s="1093"/>
      <c r="EF419" s="1093"/>
      <c r="EG419" s="1093"/>
      <c r="EH419" s="1093"/>
      <c r="EI419" s="1093"/>
      <c r="EJ419" s="1093"/>
      <c r="EK419" s="1093"/>
      <c r="EL419" s="1093"/>
      <c r="EM419" s="1093"/>
      <c r="EN419" s="1093"/>
      <c r="EO419" s="1093"/>
      <c r="EP419" s="1093"/>
      <c r="EQ419" s="1093"/>
      <c r="ER419" s="1093"/>
      <c r="ES419" s="1093"/>
      <c r="ET419" s="1093"/>
      <c r="EU419" s="1093"/>
      <c r="EV419" s="1093"/>
      <c r="EW419" s="1093"/>
      <c r="EX419" s="1093"/>
      <c r="EY419" s="1093"/>
      <c r="EZ419" s="1093"/>
      <c r="FA419" s="1093"/>
      <c r="FB419" s="1093"/>
      <c r="FC419" s="1093"/>
      <c r="FD419" s="1093"/>
      <c r="FE419" s="1093"/>
      <c r="FF419" s="1093"/>
      <c r="FG419" s="1093"/>
      <c r="FH419" s="1093"/>
      <c r="FI419" s="1093"/>
      <c r="FJ419" s="1093"/>
      <c r="FK419" s="1093"/>
      <c r="FL419" s="1093"/>
      <c r="FM419" s="1093"/>
      <c r="FN419" s="1093"/>
      <c r="FO419" s="1093"/>
      <c r="FP419" s="1093"/>
      <c r="FQ419" s="1093"/>
      <c r="FR419" s="1093"/>
      <c r="FS419" s="1093"/>
      <c r="FT419" s="1093"/>
      <c r="FU419" s="1093"/>
      <c r="FV419" s="1093"/>
      <c r="FW419" s="1093"/>
      <c r="FX419" s="1093"/>
      <c r="FY419" s="1093"/>
      <c r="FZ419" s="1093"/>
      <c r="GA419" s="1093"/>
      <c r="GB419" s="1093"/>
      <c r="GC419" s="1093"/>
      <c r="GD419" s="1093"/>
      <c r="GE419" s="1093"/>
      <c r="GF419" s="1093"/>
      <c r="GG419" s="1093"/>
      <c r="GH419" s="1093"/>
      <c r="GI419" s="1093"/>
      <c r="GJ419" s="1093"/>
      <c r="GK419" s="1093"/>
      <c r="GL419" s="1093"/>
      <c r="GM419" s="1093"/>
      <c r="GN419" s="1093"/>
      <c r="GO419" s="1093"/>
      <c r="GP419" s="1093"/>
      <c r="GQ419" s="1093"/>
      <c r="GR419" s="1093"/>
      <c r="GS419" s="1093"/>
      <c r="GT419" s="1093"/>
      <c r="GU419" s="1093"/>
      <c r="GV419" s="1093"/>
      <c r="GW419" s="1093"/>
      <c r="GX419" s="1093"/>
      <c r="GY419" s="1093"/>
      <c r="GZ419" s="1093"/>
      <c r="HA419" s="1093"/>
      <c r="HB419" s="1093"/>
      <c r="HC419" s="1093"/>
      <c r="HD419" s="1093"/>
      <c r="HE419" s="1093"/>
      <c r="HF419" s="1093"/>
      <c r="HG419" s="1093"/>
      <c r="HH419" s="1093"/>
      <c r="HI419" s="1093"/>
      <c r="HJ419" s="1093"/>
      <c r="HK419" s="1093"/>
      <c r="HL419" s="1093"/>
      <c r="HM419" s="1093"/>
      <c r="HN419" s="1093"/>
      <c r="HO419" s="1093"/>
      <c r="HP419" s="1093"/>
      <c r="HQ419" s="1093"/>
      <c r="HR419" s="1093"/>
      <c r="HS419" s="1093"/>
      <c r="HT419" s="1093"/>
      <c r="HU419" s="1093"/>
      <c r="HV419" s="1093"/>
      <c r="HW419" s="1093"/>
      <c r="HX419" s="1093"/>
      <c r="HY419" s="1093"/>
      <c r="HZ419" s="1093"/>
      <c r="IA419" s="1093"/>
      <c r="IB419" s="1093"/>
      <c r="IC419" s="1093"/>
      <c r="ID419" s="1093"/>
      <c r="IE419" s="1093"/>
      <c r="IF419" s="1093"/>
      <c r="IG419" s="1093"/>
      <c r="IH419" s="1093"/>
      <c r="II419" s="1093"/>
      <c r="IJ419" s="1093"/>
      <c r="IK419" s="1093"/>
      <c r="IL419" s="1093"/>
      <c r="IM419" s="1093"/>
      <c r="IN419" s="1093"/>
      <c r="IO419" s="1093"/>
      <c r="IP419" s="1093"/>
      <c r="IQ419" s="1093"/>
      <c r="IR419" s="1093"/>
      <c r="IS419" s="1093"/>
      <c r="IT419" s="1093"/>
      <c r="IU419" s="1093"/>
      <c r="IV419" s="1093"/>
      <c r="IW419" s="1093"/>
      <c r="IX419" s="1093"/>
      <c r="IY419" s="1093"/>
      <c r="IZ419" s="1093"/>
      <c r="JA419" s="1093"/>
      <c r="JB419" s="1093"/>
      <c r="JC419" s="1093"/>
      <c r="JD419" s="1093"/>
      <c r="JE419" s="1093"/>
      <c r="JF419" s="1093"/>
      <c r="JG419" s="1093"/>
      <c r="JH419" s="1093"/>
      <c r="JI419" s="1093"/>
      <c r="JJ419" s="1093"/>
      <c r="JK419" s="1093"/>
      <c r="JL419" s="1093"/>
      <c r="JM419" s="1093"/>
      <c r="JN419" s="1093"/>
      <c r="JO419" s="1093"/>
      <c r="JP419" s="1093"/>
      <c r="JQ419" s="1093"/>
      <c r="JR419" s="1093"/>
      <c r="JS419" s="1093"/>
      <c r="JT419" s="1093"/>
      <c r="JU419" s="1093"/>
      <c r="JV419" s="1093"/>
      <c r="JW419" s="1093"/>
      <c r="JX419" s="1093"/>
      <c r="JY419" s="1093"/>
      <c r="JZ419" s="1093"/>
      <c r="KA419" s="1093"/>
      <c r="KB419" s="1094"/>
    </row>
    <row r="420" spans="1:289" ht="15" customHeight="1" x14ac:dyDescent="0.35">
      <c r="B420" s="282" t="s">
        <v>1605</v>
      </c>
      <c r="C420" s="1102"/>
      <c r="D420" s="1102"/>
      <c r="E420" s="1102"/>
      <c r="F420" s="1102"/>
      <c r="G420" s="1102"/>
      <c r="H420" s="1095"/>
      <c r="I420" s="1095"/>
      <c r="J420" s="1095"/>
      <c r="K420" s="1095"/>
      <c r="L420" s="1095"/>
      <c r="M420" s="1095"/>
      <c r="N420" s="1095"/>
      <c r="O420" s="1095"/>
      <c r="P420" s="1095"/>
      <c r="Q420" s="1095"/>
      <c r="R420" s="1095"/>
      <c r="S420" s="1095"/>
      <c r="T420" s="1095"/>
      <c r="U420" s="1095"/>
      <c r="V420" s="1095"/>
      <c r="W420" s="1095"/>
      <c r="X420" s="1095"/>
      <c r="Y420" s="1095"/>
      <c r="Z420" s="1095"/>
      <c r="AA420" s="1095"/>
      <c r="AB420" s="1095"/>
      <c r="AC420" s="1095"/>
      <c r="AD420" s="1095"/>
      <c r="AE420" s="1095"/>
      <c r="AF420" s="1095"/>
      <c r="AG420" s="1095"/>
      <c r="AH420" s="1095"/>
      <c r="AI420" s="1095"/>
      <c r="AJ420" s="1095"/>
      <c r="AK420" s="1095"/>
      <c r="AL420" s="1095"/>
      <c r="AM420" s="1095"/>
      <c r="AN420" s="1095"/>
      <c r="AO420" s="1095"/>
      <c r="AP420" s="1095"/>
      <c r="AQ420" s="1095"/>
      <c r="AR420" s="1095"/>
      <c r="AS420" s="1095"/>
      <c r="AT420" s="1095"/>
      <c r="AU420" s="1095"/>
      <c r="AV420" s="1095"/>
      <c r="AW420" s="1095"/>
      <c r="AX420" s="1095"/>
      <c r="AY420" s="1095"/>
      <c r="AZ420" s="1095"/>
      <c r="BA420" s="1095"/>
      <c r="BB420" s="1095"/>
      <c r="BC420" s="1095"/>
      <c r="BD420" s="1095"/>
      <c r="BE420" s="1095"/>
      <c r="BF420" s="1095"/>
      <c r="BG420" s="1095"/>
      <c r="BH420" s="1095"/>
      <c r="BI420" s="1095"/>
      <c r="BJ420" s="1095"/>
      <c r="BK420" s="1095"/>
      <c r="BL420" s="1095"/>
      <c r="BM420" s="1095"/>
      <c r="BN420" s="1095"/>
      <c r="BO420" s="1095"/>
      <c r="BP420" s="1095"/>
      <c r="BQ420" s="1095"/>
      <c r="BR420" s="1095"/>
      <c r="BS420" s="1095"/>
      <c r="BT420" s="1095"/>
      <c r="BU420" s="1095"/>
      <c r="BV420" s="1095"/>
      <c r="BW420" s="1095"/>
      <c r="BX420" s="1095"/>
      <c r="BY420" s="1095"/>
      <c r="BZ420" s="1095"/>
      <c r="CA420" s="1095"/>
      <c r="CB420" s="1095"/>
      <c r="CC420" s="1095"/>
      <c r="CD420" s="1095"/>
      <c r="CE420" s="1095"/>
      <c r="CF420" s="1095"/>
      <c r="CG420" s="1095"/>
      <c r="CH420" s="1095"/>
      <c r="CI420" s="1095"/>
      <c r="CJ420" s="1095"/>
      <c r="CK420" s="1095"/>
      <c r="CL420" s="1095"/>
      <c r="CM420" s="1095"/>
      <c r="CN420" s="1095"/>
      <c r="CO420" s="1095"/>
      <c r="CP420" s="1095"/>
      <c r="CQ420" s="1095"/>
      <c r="CR420" s="1095"/>
      <c r="CS420" s="1095"/>
      <c r="CT420" s="1095"/>
      <c r="CU420" s="1095"/>
      <c r="CV420" s="1095"/>
      <c r="CW420" s="1095"/>
      <c r="CX420" s="1095"/>
      <c r="CY420" s="1095"/>
      <c r="CZ420" s="1095"/>
      <c r="DA420" s="1095"/>
      <c r="DB420" s="1095"/>
      <c r="DC420" s="1095"/>
      <c r="DD420" s="1095"/>
      <c r="DE420" s="1095"/>
      <c r="DF420" s="1095"/>
      <c r="DG420" s="1095"/>
      <c r="DH420" s="1095"/>
      <c r="DI420" s="1095"/>
      <c r="DJ420" s="1095"/>
      <c r="DK420" s="1095"/>
      <c r="DL420" s="1095"/>
      <c r="DM420" s="1095"/>
      <c r="DN420" s="1095"/>
      <c r="DO420" s="1095"/>
      <c r="DP420" s="1095"/>
      <c r="DQ420" s="1095"/>
      <c r="DR420" s="1095"/>
      <c r="DS420" s="1095"/>
      <c r="DT420" s="1095"/>
      <c r="DU420" s="1095"/>
      <c r="DV420" s="1095"/>
      <c r="DW420" s="1095"/>
      <c r="DX420" s="1095"/>
      <c r="DY420" s="1095"/>
      <c r="DZ420" s="1095"/>
      <c r="EA420" s="1095"/>
      <c r="EB420" s="1095"/>
      <c r="EC420" s="1095"/>
      <c r="ED420" s="1095"/>
      <c r="EE420" s="1095"/>
      <c r="EF420" s="1095"/>
      <c r="EG420" s="1095"/>
      <c r="EH420" s="1095"/>
      <c r="EI420" s="1095"/>
      <c r="EJ420" s="1095"/>
      <c r="EK420" s="1095"/>
      <c r="EL420" s="1095"/>
      <c r="EM420" s="1095"/>
      <c r="EN420" s="1095"/>
      <c r="EO420" s="1095"/>
      <c r="EP420" s="1095"/>
      <c r="EQ420" s="1095"/>
      <c r="ER420" s="1095"/>
      <c r="ES420" s="1095"/>
      <c r="ET420" s="1095"/>
      <c r="EU420" s="1095"/>
      <c r="EV420" s="1095"/>
      <c r="EW420" s="1095"/>
      <c r="EX420" s="1095"/>
      <c r="EY420" s="1095"/>
      <c r="EZ420" s="1095"/>
      <c r="FA420" s="1095"/>
      <c r="FB420" s="1095"/>
      <c r="FC420" s="1095"/>
      <c r="FD420" s="1095"/>
      <c r="FE420" s="1095"/>
      <c r="FF420" s="1095"/>
      <c r="FG420" s="1095"/>
      <c r="FH420" s="1095"/>
      <c r="FI420" s="1095"/>
      <c r="FJ420" s="1095"/>
      <c r="FK420" s="1095"/>
      <c r="FL420" s="1095"/>
      <c r="FM420" s="1095"/>
      <c r="FN420" s="1095"/>
      <c r="FO420" s="1095"/>
      <c r="FP420" s="1095"/>
      <c r="FQ420" s="1095"/>
      <c r="FR420" s="1095"/>
      <c r="FS420" s="1095"/>
      <c r="FT420" s="1095"/>
      <c r="FU420" s="1095"/>
      <c r="FV420" s="1095"/>
      <c r="FW420" s="1095"/>
      <c r="FX420" s="1095"/>
      <c r="FY420" s="1095"/>
      <c r="FZ420" s="1095"/>
      <c r="GA420" s="1095"/>
      <c r="GB420" s="1095"/>
      <c r="GC420" s="1095"/>
      <c r="GD420" s="1095"/>
      <c r="GE420" s="1095"/>
      <c r="GF420" s="1095"/>
      <c r="GG420" s="1095"/>
      <c r="GH420" s="1095"/>
      <c r="GI420" s="1095"/>
      <c r="GJ420" s="1095"/>
      <c r="GK420" s="1095"/>
      <c r="GL420" s="1095"/>
      <c r="GM420" s="1095"/>
      <c r="GN420" s="1095"/>
      <c r="GO420" s="1095"/>
      <c r="GP420" s="1095"/>
      <c r="GQ420" s="1095"/>
      <c r="GR420" s="1095"/>
      <c r="GS420" s="1095"/>
      <c r="GT420" s="1095"/>
      <c r="GU420" s="1095"/>
      <c r="GV420" s="1095"/>
      <c r="GW420" s="1095"/>
      <c r="GX420" s="1095"/>
      <c r="GY420" s="1095"/>
      <c r="GZ420" s="1095"/>
      <c r="HA420" s="1095"/>
      <c r="HB420" s="1095"/>
      <c r="HC420" s="1095"/>
      <c r="HD420" s="1095"/>
      <c r="HE420" s="1095"/>
      <c r="HF420" s="1095"/>
      <c r="HG420" s="1095"/>
      <c r="HH420" s="1095"/>
      <c r="HI420" s="1095"/>
      <c r="HJ420" s="1095"/>
      <c r="HK420" s="1095"/>
      <c r="HL420" s="1095"/>
      <c r="HM420" s="1095"/>
      <c r="HN420" s="1095"/>
      <c r="HO420" s="1095"/>
      <c r="HP420" s="1095"/>
      <c r="HQ420" s="1095"/>
      <c r="HR420" s="1095"/>
      <c r="HS420" s="1095"/>
      <c r="HT420" s="1095"/>
      <c r="HU420" s="1095"/>
      <c r="HV420" s="1095"/>
      <c r="HW420" s="1095"/>
      <c r="HX420" s="1095"/>
      <c r="HY420" s="1095"/>
      <c r="HZ420" s="1095"/>
      <c r="IA420" s="1095"/>
      <c r="IB420" s="1095"/>
      <c r="IC420" s="1095"/>
      <c r="ID420" s="1095"/>
      <c r="IE420" s="1095"/>
      <c r="IF420" s="1095"/>
      <c r="IG420" s="1095"/>
      <c r="IH420" s="1095"/>
      <c r="II420" s="1095"/>
      <c r="IJ420" s="1095"/>
      <c r="IK420" s="1095"/>
      <c r="IL420" s="1095"/>
      <c r="IM420" s="1095"/>
      <c r="IN420" s="1095"/>
      <c r="IO420" s="1095"/>
      <c r="IP420" s="1095"/>
      <c r="IQ420" s="1095"/>
      <c r="IR420" s="1095"/>
      <c r="IS420" s="1095"/>
      <c r="IT420" s="1095"/>
      <c r="IU420" s="1095"/>
      <c r="IV420" s="1095"/>
      <c r="IW420" s="1095"/>
      <c r="IX420" s="1095"/>
      <c r="IY420" s="1095"/>
      <c r="IZ420" s="1095"/>
      <c r="JA420" s="1095"/>
      <c r="JB420" s="1095"/>
      <c r="JC420" s="1095"/>
      <c r="JD420" s="1095"/>
      <c r="JE420" s="1095"/>
      <c r="JF420" s="1095"/>
      <c r="JG420" s="1095"/>
      <c r="JH420" s="1095"/>
      <c r="JI420" s="1095"/>
      <c r="JJ420" s="1095"/>
      <c r="JK420" s="1095"/>
      <c r="JL420" s="1095"/>
      <c r="JM420" s="1095"/>
      <c r="JN420" s="1095"/>
      <c r="JO420" s="1095"/>
      <c r="JP420" s="1095"/>
      <c r="JQ420" s="1095"/>
      <c r="JR420" s="1095"/>
      <c r="JS420" s="1095"/>
      <c r="JT420" s="1095"/>
      <c r="JU420" s="1095"/>
      <c r="JV420" s="1095"/>
      <c r="JW420" s="1095"/>
      <c r="JX420" s="1095"/>
      <c r="JY420" s="1095"/>
      <c r="JZ420" s="1095"/>
      <c r="KA420" s="1095"/>
      <c r="KB420" s="1096"/>
    </row>
    <row r="421" spans="1:289" ht="15" customHeight="1" x14ac:dyDescent="0.35">
      <c r="D421" s="103"/>
      <c r="E421" s="103"/>
      <c r="F421" s="103"/>
      <c r="G421" s="103"/>
    </row>
    <row r="422" spans="1:289" ht="45" customHeight="1" x14ac:dyDescent="0.35">
      <c r="A422" s="676" t="s">
        <v>1609</v>
      </c>
      <c r="B422" s="858"/>
      <c r="C422" s="858"/>
      <c r="D422" s="1825"/>
      <c r="E422" s="1825"/>
      <c r="F422" s="1825"/>
      <c r="G422" s="1825"/>
      <c r="H422" s="846"/>
      <c r="I422" s="846"/>
      <c r="J422" s="846"/>
      <c r="K422" s="846"/>
      <c r="L422" s="846"/>
      <c r="M422" s="846"/>
      <c r="N422" s="846"/>
      <c r="O422" s="846"/>
      <c r="P422" s="846"/>
      <c r="Q422" s="846"/>
      <c r="R422" s="846"/>
      <c r="S422" s="846"/>
      <c r="T422" s="846"/>
      <c r="U422" s="846"/>
      <c r="V422" s="846"/>
      <c r="W422" s="846"/>
      <c r="X422" s="846"/>
      <c r="Y422" s="846"/>
      <c r="Z422" s="846"/>
      <c r="AA422" s="846"/>
      <c r="AB422" s="846"/>
      <c r="AC422" s="846"/>
      <c r="AD422" s="846"/>
      <c r="AE422" s="846"/>
      <c r="AF422" s="846"/>
      <c r="AG422" s="846"/>
      <c r="AH422" s="846"/>
      <c r="AI422" s="846"/>
      <c r="AJ422" s="846"/>
      <c r="AK422" s="846"/>
      <c r="AL422" s="846"/>
      <c r="AM422" s="846"/>
      <c r="AN422" s="846"/>
      <c r="AO422" s="846"/>
      <c r="AP422" s="846"/>
      <c r="AQ422" s="846"/>
      <c r="AR422" s="846"/>
      <c r="AS422" s="846"/>
      <c r="AT422" s="846"/>
      <c r="AU422" s="846"/>
      <c r="AV422" s="846"/>
      <c r="AW422" s="846"/>
      <c r="AX422" s="846"/>
      <c r="AY422" s="846"/>
      <c r="AZ422" s="846"/>
      <c r="BA422" s="846"/>
      <c r="BB422" s="846"/>
      <c r="BC422" s="846"/>
      <c r="BD422" s="846"/>
      <c r="BE422" s="846"/>
      <c r="BF422" s="846"/>
      <c r="BG422" s="846"/>
      <c r="BH422" s="846"/>
      <c r="BI422" s="846"/>
      <c r="BJ422" s="846"/>
      <c r="BK422" s="846"/>
      <c r="BL422" s="846"/>
      <c r="BM422" s="846"/>
      <c r="BN422" s="846"/>
      <c r="BO422" s="846"/>
      <c r="BP422" s="846"/>
      <c r="BQ422" s="846"/>
      <c r="BR422" s="846"/>
      <c r="BS422" s="846"/>
      <c r="BT422" s="846"/>
      <c r="BU422" s="846"/>
      <c r="BV422" s="846"/>
      <c r="BW422" s="846"/>
      <c r="BX422" s="846"/>
      <c r="BY422" s="846"/>
      <c r="BZ422" s="846"/>
      <c r="CA422" s="846"/>
      <c r="CB422" s="846"/>
      <c r="CC422" s="846"/>
      <c r="CD422" s="846"/>
      <c r="CE422" s="846"/>
      <c r="CF422" s="846"/>
      <c r="CG422" s="846"/>
      <c r="CH422" s="846"/>
      <c r="CI422" s="846"/>
      <c r="CJ422" s="846"/>
      <c r="CK422" s="846"/>
      <c r="CL422" s="846"/>
      <c r="CM422" s="846"/>
      <c r="CN422" s="846"/>
      <c r="CO422" s="846"/>
      <c r="CP422" s="846"/>
      <c r="CQ422" s="846"/>
      <c r="CR422" s="846"/>
      <c r="CS422" s="846"/>
      <c r="CT422" s="846"/>
      <c r="CU422" s="846"/>
      <c r="CV422" s="846"/>
      <c r="CW422" s="846"/>
      <c r="CX422" s="846"/>
      <c r="CY422" s="846"/>
      <c r="CZ422" s="846"/>
      <c r="DA422" s="846"/>
      <c r="DB422" s="846"/>
      <c r="DC422" s="846"/>
      <c r="DD422" s="846"/>
      <c r="DE422" s="846"/>
      <c r="DF422" s="846"/>
      <c r="DG422" s="846"/>
      <c r="DH422" s="846"/>
      <c r="DI422" s="846"/>
      <c r="DJ422" s="846"/>
      <c r="DK422" s="846"/>
      <c r="DL422" s="846"/>
      <c r="DM422" s="846"/>
      <c r="DN422" s="846"/>
      <c r="DO422" s="846"/>
      <c r="DP422" s="846"/>
      <c r="DQ422" s="846"/>
      <c r="DR422" s="846"/>
      <c r="DS422" s="846"/>
      <c r="DT422" s="846"/>
      <c r="DU422" s="846"/>
      <c r="DV422" s="846"/>
      <c r="DW422" s="846"/>
      <c r="DX422" s="846"/>
      <c r="DY422" s="846"/>
      <c r="DZ422" s="846"/>
      <c r="EA422" s="846"/>
      <c r="EB422" s="846"/>
      <c r="EC422" s="846"/>
      <c r="ED422" s="846"/>
      <c r="EE422" s="846"/>
      <c r="EF422" s="846"/>
      <c r="EG422" s="846"/>
      <c r="EH422" s="846"/>
      <c r="EI422" s="846"/>
      <c r="EJ422" s="846"/>
      <c r="EK422" s="846"/>
      <c r="EL422" s="846"/>
      <c r="EM422" s="846"/>
      <c r="EN422" s="846"/>
      <c r="EO422" s="846"/>
      <c r="EP422" s="846"/>
      <c r="EQ422" s="846"/>
      <c r="ER422" s="846"/>
      <c r="ES422" s="846"/>
      <c r="ET422" s="846"/>
      <c r="EU422" s="846"/>
      <c r="EV422" s="846"/>
      <c r="EW422" s="846"/>
      <c r="EX422" s="846"/>
      <c r="EY422" s="846"/>
      <c r="EZ422" s="846"/>
      <c r="FA422" s="846"/>
      <c r="FB422" s="846"/>
      <c r="FC422" s="846"/>
      <c r="FD422" s="846"/>
      <c r="FE422" s="846"/>
      <c r="FF422" s="846"/>
      <c r="FG422" s="846"/>
      <c r="FH422" s="846"/>
      <c r="FI422" s="846"/>
      <c r="FJ422" s="846"/>
      <c r="FK422" s="846"/>
      <c r="FL422" s="846"/>
      <c r="FM422" s="846"/>
      <c r="FN422" s="846"/>
      <c r="FO422" s="846"/>
      <c r="FP422" s="846"/>
      <c r="FQ422" s="846"/>
      <c r="FR422" s="846"/>
      <c r="FS422" s="846"/>
      <c r="FT422" s="846"/>
      <c r="FU422" s="846"/>
      <c r="FV422" s="846"/>
      <c r="FW422" s="846"/>
      <c r="FX422" s="846"/>
      <c r="FY422" s="846"/>
      <c r="FZ422" s="846"/>
      <c r="GA422" s="846"/>
      <c r="GB422" s="846"/>
      <c r="GC422" s="846"/>
      <c r="GD422" s="846"/>
      <c r="GE422" s="846"/>
      <c r="GF422" s="846"/>
      <c r="GG422" s="846"/>
      <c r="GH422" s="846"/>
      <c r="GI422" s="846"/>
      <c r="GJ422" s="846"/>
      <c r="GK422" s="846"/>
      <c r="GL422" s="846"/>
      <c r="GM422" s="846"/>
      <c r="GN422" s="846"/>
      <c r="GO422" s="846"/>
      <c r="GP422" s="846"/>
      <c r="GQ422" s="846"/>
      <c r="GR422" s="846"/>
      <c r="GS422" s="846"/>
      <c r="GT422" s="846"/>
      <c r="GU422" s="846"/>
      <c r="GV422" s="846"/>
      <c r="GW422" s="846"/>
      <c r="GX422" s="846"/>
      <c r="GY422" s="846"/>
      <c r="GZ422" s="846"/>
      <c r="HA422" s="846"/>
      <c r="HB422" s="846"/>
      <c r="HC422" s="846"/>
      <c r="HD422" s="846"/>
      <c r="HE422" s="846"/>
      <c r="HF422" s="846"/>
      <c r="HG422" s="846"/>
      <c r="HH422" s="846"/>
      <c r="HI422" s="846"/>
      <c r="HJ422" s="846"/>
      <c r="HK422" s="846"/>
      <c r="HL422" s="846"/>
      <c r="HM422" s="846"/>
      <c r="HN422" s="846"/>
      <c r="HO422" s="846"/>
      <c r="HP422" s="846"/>
      <c r="HQ422" s="846"/>
      <c r="HR422" s="846"/>
      <c r="HS422" s="846"/>
      <c r="HT422" s="846"/>
      <c r="HU422" s="846"/>
      <c r="HV422" s="846"/>
      <c r="HW422" s="846"/>
      <c r="HX422" s="846"/>
      <c r="HY422" s="846"/>
      <c r="HZ422" s="846"/>
      <c r="IA422" s="846"/>
      <c r="IB422" s="846"/>
      <c r="IC422" s="846"/>
      <c r="ID422" s="846"/>
      <c r="IE422" s="846"/>
      <c r="IF422" s="846"/>
      <c r="IG422" s="846"/>
      <c r="IH422" s="846"/>
      <c r="II422" s="846"/>
      <c r="IJ422" s="846"/>
      <c r="IK422" s="846"/>
      <c r="IL422" s="846"/>
      <c r="IM422" s="846"/>
      <c r="IN422" s="846"/>
      <c r="IO422" s="846"/>
      <c r="IP422" s="846"/>
      <c r="IQ422" s="846"/>
      <c r="IR422" s="846"/>
      <c r="IS422" s="846"/>
      <c r="IT422" s="846"/>
      <c r="IU422" s="846"/>
      <c r="IV422" s="846"/>
      <c r="IW422" s="846"/>
      <c r="IX422" s="846"/>
      <c r="IY422" s="846"/>
      <c r="IZ422" s="846"/>
      <c r="JA422" s="846"/>
      <c r="JB422" s="846"/>
      <c r="JC422" s="846"/>
      <c r="JD422" s="846"/>
      <c r="JE422" s="846"/>
      <c r="JF422" s="846"/>
      <c r="JG422" s="846"/>
      <c r="JH422" s="846"/>
      <c r="JI422" s="846"/>
      <c r="JJ422" s="846"/>
      <c r="JK422" s="846"/>
      <c r="JL422" s="846"/>
      <c r="JM422" s="846"/>
      <c r="JN422" s="846"/>
      <c r="JO422" s="846"/>
      <c r="JP422" s="846"/>
      <c r="JQ422" s="846"/>
      <c r="JR422" s="846"/>
      <c r="JS422" s="846"/>
      <c r="JT422" s="846"/>
      <c r="JU422" s="846"/>
      <c r="JV422" s="846"/>
      <c r="JW422" s="846"/>
      <c r="JX422" s="846"/>
      <c r="JY422" s="846"/>
      <c r="JZ422" s="846"/>
      <c r="KA422" s="846"/>
      <c r="KB422" s="846"/>
      <c r="KC422" s="728"/>
    </row>
    <row r="423" spans="1:289" ht="45" customHeight="1" x14ac:dyDescent="0.35">
      <c r="A423" s="280" t="s">
        <v>1610</v>
      </c>
      <c r="B423" s="84"/>
      <c r="C423" s="84"/>
      <c r="D423" s="103"/>
      <c r="E423" s="103"/>
      <c r="F423" s="103"/>
      <c r="G423" s="103"/>
    </row>
    <row r="424" spans="1:289" ht="60" customHeight="1" x14ac:dyDescent="0.35">
      <c r="B424" s="1384" t="s">
        <v>1199</v>
      </c>
      <c r="C424" s="750" t="s">
        <v>1200</v>
      </c>
      <c r="D424" s="895" t="s">
        <v>1201</v>
      </c>
      <c r="E424" s="750" t="s">
        <v>1202</v>
      </c>
      <c r="F424" s="750" t="s">
        <v>1203</v>
      </c>
      <c r="G424" s="750" t="s">
        <v>1600</v>
      </c>
      <c r="H424" s="750" t="s">
        <v>1601</v>
      </c>
      <c r="I424" s="750" t="str">
        <f t="shared" ref="I424:BT424" si="31">"T+" &amp; (COLUMN(I424)-COLUMN($H424))</f>
        <v>T+1</v>
      </c>
      <c r="J424" s="750" t="str">
        <f t="shared" si="31"/>
        <v>T+2</v>
      </c>
      <c r="K424" s="750" t="str">
        <f t="shared" si="31"/>
        <v>T+3</v>
      </c>
      <c r="L424" s="750" t="str">
        <f t="shared" si="31"/>
        <v>T+4</v>
      </c>
      <c r="M424" s="750" t="str">
        <f t="shared" si="31"/>
        <v>T+5</v>
      </c>
      <c r="N424" s="750" t="str">
        <f t="shared" si="31"/>
        <v>T+6</v>
      </c>
      <c r="O424" s="750" t="str">
        <f t="shared" si="31"/>
        <v>T+7</v>
      </c>
      <c r="P424" s="750" t="str">
        <f t="shared" si="31"/>
        <v>T+8</v>
      </c>
      <c r="Q424" s="750" t="str">
        <f t="shared" si="31"/>
        <v>T+9</v>
      </c>
      <c r="R424" s="750" t="str">
        <f t="shared" si="31"/>
        <v>T+10</v>
      </c>
      <c r="S424" s="750" t="str">
        <f t="shared" si="31"/>
        <v>T+11</v>
      </c>
      <c r="T424" s="750" t="str">
        <f t="shared" si="31"/>
        <v>T+12</v>
      </c>
      <c r="U424" s="750" t="str">
        <f t="shared" si="31"/>
        <v>T+13</v>
      </c>
      <c r="V424" s="750" t="str">
        <f t="shared" si="31"/>
        <v>T+14</v>
      </c>
      <c r="W424" s="750" t="str">
        <f t="shared" si="31"/>
        <v>T+15</v>
      </c>
      <c r="X424" s="750" t="str">
        <f t="shared" si="31"/>
        <v>T+16</v>
      </c>
      <c r="Y424" s="750" t="str">
        <f t="shared" si="31"/>
        <v>T+17</v>
      </c>
      <c r="Z424" s="750" t="str">
        <f t="shared" si="31"/>
        <v>T+18</v>
      </c>
      <c r="AA424" s="750" t="str">
        <f t="shared" si="31"/>
        <v>T+19</v>
      </c>
      <c r="AB424" s="750" t="str">
        <f t="shared" si="31"/>
        <v>T+20</v>
      </c>
      <c r="AC424" s="750" t="str">
        <f t="shared" si="31"/>
        <v>T+21</v>
      </c>
      <c r="AD424" s="750" t="str">
        <f t="shared" si="31"/>
        <v>T+22</v>
      </c>
      <c r="AE424" s="750" t="str">
        <f t="shared" si="31"/>
        <v>T+23</v>
      </c>
      <c r="AF424" s="750" t="str">
        <f t="shared" si="31"/>
        <v>T+24</v>
      </c>
      <c r="AG424" s="750" t="str">
        <f t="shared" si="31"/>
        <v>T+25</v>
      </c>
      <c r="AH424" s="750" t="str">
        <f t="shared" si="31"/>
        <v>T+26</v>
      </c>
      <c r="AI424" s="750" t="str">
        <f t="shared" si="31"/>
        <v>T+27</v>
      </c>
      <c r="AJ424" s="750" t="str">
        <f t="shared" si="31"/>
        <v>T+28</v>
      </c>
      <c r="AK424" s="750" t="str">
        <f t="shared" si="31"/>
        <v>T+29</v>
      </c>
      <c r="AL424" s="750" t="str">
        <f t="shared" si="31"/>
        <v>T+30</v>
      </c>
      <c r="AM424" s="750" t="str">
        <f t="shared" si="31"/>
        <v>T+31</v>
      </c>
      <c r="AN424" s="750" t="str">
        <f t="shared" si="31"/>
        <v>T+32</v>
      </c>
      <c r="AO424" s="750" t="str">
        <f t="shared" si="31"/>
        <v>T+33</v>
      </c>
      <c r="AP424" s="750" t="str">
        <f t="shared" si="31"/>
        <v>T+34</v>
      </c>
      <c r="AQ424" s="750" t="str">
        <f t="shared" si="31"/>
        <v>T+35</v>
      </c>
      <c r="AR424" s="750" t="str">
        <f t="shared" si="31"/>
        <v>T+36</v>
      </c>
      <c r="AS424" s="750" t="str">
        <f t="shared" si="31"/>
        <v>T+37</v>
      </c>
      <c r="AT424" s="750" t="str">
        <f t="shared" si="31"/>
        <v>T+38</v>
      </c>
      <c r="AU424" s="750" t="str">
        <f t="shared" si="31"/>
        <v>T+39</v>
      </c>
      <c r="AV424" s="750" t="str">
        <f t="shared" si="31"/>
        <v>T+40</v>
      </c>
      <c r="AW424" s="750" t="str">
        <f t="shared" si="31"/>
        <v>T+41</v>
      </c>
      <c r="AX424" s="750" t="str">
        <f t="shared" si="31"/>
        <v>T+42</v>
      </c>
      <c r="AY424" s="750" t="str">
        <f t="shared" si="31"/>
        <v>T+43</v>
      </c>
      <c r="AZ424" s="750" t="str">
        <f t="shared" si="31"/>
        <v>T+44</v>
      </c>
      <c r="BA424" s="750" t="str">
        <f t="shared" si="31"/>
        <v>T+45</v>
      </c>
      <c r="BB424" s="750" t="str">
        <f t="shared" si="31"/>
        <v>T+46</v>
      </c>
      <c r="BC424" s="750" t="str">
        <f t="shared" si="31"/>
        <v>T+47</v>
      </c>
      <c r="BD424" s="750" t="str">
        <f t="shared" si="31"/>
        <v>T+48</v>
      </c>
      <c r="BE424" s="750" t="str">
        <f t="shared" si="31"/>
        <v>T+49</v>
      </c>
      <c r="BF424" s="750" t="str">
        <f t="shared" si="31"/>
        <v>T+50</v>
      </c>
      <c r="BG424" s="750" t="str">
        <f t="shared" si="31"/>
        <v>T+51</v>
      </c>
      <c r="BH424" s="750" t="str">
        <f t="shared" si="31"/>
        <v>T+52</v>
      </c>
      <c r="BI424" s="750" t="str">
        <f t="shared" si="31"/>
        <v>T+53</v>
      </c>
      <c r="BJ424" s="750" t="str">
        <f t="shared" si="31"/>
        <v>T+54</v>
      </c>
      <c r="BK424" s="750" t="str">
        <f t="shared" si="31"/>
        <v>T+55</v>
      </c>
      <c r="BL424" s="750" t="str">
        <f t="shared" si="31"/>
        <v>T+56</v>
      </c>
      <c r="BM424" s="750" t="str">
        <f t="shared" si="31"/>
        <v>T+57</v>
      </c>
      <c r="BN424" s="750" t="str">
        <f t="shared" si="31"/>
        <v>T+58</v>
      </c>
      <c r="BO424" s="750" t="str">
        <f t="shared" si="31"/>
        <v>T+59</v>
      </c>
      <c r="BP424" s="750" t="str">
        <f t="shared" si="31"/>
        <v>T+60</v>
      </c>
      <c r="BQ424" s="750" t="str">
        <f t="shared" si="31"/>
        <v>T+61</v>
      </c>
      <c r="BR424" s="750" t="str">
        <f t="shared" si="31"/>
        <v>T+62</v>
      </c>
      <c r="BS424" s="750" t="str">
        <f t="shared" si="31"/>
        <v>T+63</v>
      </c>
      <c r="BT424" s="750" t="str">
        <f t="shared" si="31"/>
        <v>T+64</v>
      </c>
      <c r="BU424" s="750" t="str">
        <f t="shared" ref="BU424:EF424" si="32">"T+" &amp; (COLUMN(BU424)-COLUMN($H424))</f>
        <v>T+65</v>
      </c>
      <c r="BV424" s="750" t="str">
        <f t="shared" si="32"/>
        <v>T+66</v>
      </c>
      <c r="BW424" s="750" t="str">
        <f t="shared" si="32"/>
        <v>T+67</v>
      </c>
      <c r="BX424" s="750" t="str">
        <f t="shared" si="32"/>
        <v>T+68</v>
      </c>
      <c r="BY424" s="750" t="str">
        <f t="shared" si="32"/>
        <v>T+69</v>
      </c>
      <c r="BZ424" s="750" t="str">
        <f t="shared" si="32"/>
        <v>T+70</v>
      </c>
      <c r="CA424" s="750" t="str">
        <f t="shared" si="32"/>
        <v>T+71</v>
      </c>
      <c r="CB424" s="750" t="str">
        <f t="shared" si="32"/>
        <v>T+72</v>
      </c>
      <c r="CC424" s="750" t="str">
        <f t="shared" si="32"/>
        <v>T+73</v>
      </c>
      <c r="CD424" s="750" t="str">
        <f t="shared" si="32"/>
        <v>T+74</v>
      </c>
      <c r="CE424" s="750" t="str">
        <f t="shared" si="32"/>
        <v>T+75</v>
      </c>
      <c r="CF424" s="750" t="str">
        <f t="shared" si="32"/>
        <v>T+76</v>
      </c>
      <c r="CG424" s="750" t="str">
        <f t="shared" si="32"/>
        <v>T+77</v>
      </c>
      <c r="CH424" s="750" t="str">
        <f t="shared" si="32"/>
        <v>T+78</v>
      </c>
      <c r="CI424" s="750" t="str">
        <f t="shared" si="32"/>
        <v>T+79</v>
      </c>
      <c r="CJ424" s="750" t="str">
        <f t="shared" si="32"/>
        <v>T+80</v>
      </c>
      <c r="CK424" s="750" t="str">
        <f t="shared" si="32"/>
        <v>T+81</v>
      </c>
      <c r="CL424" s="750" t="str">
        <f t="shared" si="32"/>
        <v>T+82</v>
      </c>
      <c r="CM424" s="750" t="str">
        <f t="shared" si="32"/>
        <v>T+83</v>
      </c>
      <c r="CN424" s="750" t="str">
        <f t="shared" si="32"/>
        <v>T+84</v>
      </c>
      <c r="CO424" s="750" t="str">
        <f t="shared" si="32"/>
        <v>T+85</v>
      </c>
      <c r="CP424" s="750" t="str">
        <f t="shared" si="32"/>
        <v>T+86</v>
      </c>
      <c r="CQ424" s="750" t="str">
        <f t="shared" si="32"/>
        <v>T+87</v>
      </c>
      <c r="CR424" s="750" t="str">
        <f t="shared" si="32"/>
        <v>T+88</v>
      </c>
      <c r="CS424" s="750" t="str">
        <f t="shared" si="32"/>
        <v>T+89</v>
      </c>
      <c r="CT424" s="750" t="str">
        <f t="shared" si="32"/>
        <v>T+90</v>
      </c>
      <c r="CU424" s="750" t="str">
        <f t="shared" si="32"/>
        <v>T+91</v>
      </c>
      <c r="CV424" s="750" t="str">
        <f t="shared" si="32"/>
        <v>T+92</v>
      </c>
      <c r="CW424" s="750" t="str">
        <f t="shared" si="32"/>
        <v>T+93</v>
      </c>
      <c r="CX424" s="750" t="str">
        <f t="shared" si="32"/>
        <v>T+94</v>
      </c>
      <c r="CY424" s="750" t="str">
        <f t="shared" si="32"/>
        <v>T+95</v>
      </c>
      <c r="CZ424" s="750" t="str">
        <f t="shared" si="32"/>
        <v>T+96</v>
      </c>
      <c r="DA424" s="750" t="str">
        <f t="shared" si="32"/>
        <v>T+97</v>
      </c>
      <c r="DB424" s="750" t="str">
        <f t="shared" si="32"/>
        <v>T+98</v>
      </c>
      <c r="DC424" s="750" t="str">
        <f t="shared" si="32"/>
        <v>T+99</v>
      </c>
      <c r="DD424" s="750" t="str">
        <f t="shared" si="32"/>
        <v>T+100</v>
      </c>
      <c r="DE424" s="750" t="str">
        <f t="shared" si="32"/>
        <v>T+101</v>
      </c>
      <c r="DF424" s="750" t="str">
        <f t="shared" si="32"/>
        <v>T+102</v>
      </c>
      <c r="DG424" s="750" t="str">
        <f t="shared" si="32"/>
        <v>T+103</v>
      </c>
      <c r="DH424" s="750" t="str">
        <f t="shared" si="32"/>
        <v>T+104</v>
      </c>
      <c r="DI424" s="750" t="str">
        <f t="shared" si="32"/>
        <v>T+105</v>
      </c>
      <c r="DJ424" s="750" t="str">
        <f t="shared" si="32"/>
        <v>T+106</v>
      </c>
      <c r="DK424" s="750" t="str">
        <f t="shared" si="32"/>
        <v>T+107</v>
      </c>
      <c r="DL424" s="750" t="str">
        <f t="shared" si="32"/>
        <v>T+108</v>
      </c>
      <c r="DM424" s="750" t="str">
        <f t="shared" si="32"/>
        <v>T+109</v>
      </c>
      <c r="DN424" s="750" t="str">
        <f t="shared" si="32"/>
        <v>T+110</v>
      </c>
      <c r="DO424" s="750" t="str">
        <f t="shared" si="32"/>
        <v>T+111</v>
      </c>
      <c r="DP424" s="750" t="str">
        <f t="shared" si="32"/>
        <v>T+112</v>
      </c>
      <c r="DQ424" s="750" t="str">
        <f t="shared" si="32"/>
        <v>T+113</v>
      </c>
      <c r="DR424" s="750" t="str">
        <f t="shared" si="32"/>
        <v>T+114</v>
      </c>
      <c r="DS424" s="750" t="str">
        <f t="shared" si="32"/>
        <v>T+115</v>
      </c>
      <c r="DT424" s="750" t="str">
        <f t="shared" si="32"/>
        <v>T+116</v>
      </c>
      <c r="DU424" s="750" t="str">
        <f t="shared" si="32"/>
        <v>T+117</v>
      </c>
      <c r="DV424" s="750" t="str">
        <f t="shared" si="32"/>
        <v>T+118</v>
      </c>
      <c r="DW424" s="750" t="str">
        <f t="shared" si="32"/>
        <v>T+119</v>
      </c>
      <c r="DX424" s="750" t="str">
        <f t="shared" si="32"/>
        <v>T+120</v>
      </c>
      <c r="DY424" s="750" t="str">
        <f t="shared" si="32"/>
        <v>T+121</v>
      </c>
      <c r="DZ424" s="750" t="str">
        <f t="shared" si="32"/>
        <v>T+122</v>
      </c>
      <c r="EA424" s="750" t="str">
        <f t="shared" si="32"/>
        <v>T+123</v>
      </c>
      <c r="EB424" s="750" t="str">
        <f t="shared" si="32"/>
        <v>T+124</v>
      </c>
      <c r="EC424" s="750" t="str">
        <f t="shared" si="32"/>
        <v>T+125</v>
      </c>
      <c r="ED424" s="750" t="str">
        <f t="shared" si="32"/>
        <v>T+126</v>
      </c>
      <c r="EE424" s="750" t="str">
        <f t="shared" si="32"/>
        <v>T+127</v>
      </c>
      <c r="EF424" s="750" t="str">
        <f t="shared" si="32"/>
        <v>T+128</v>
      </c>
      <c r="EG424" s="750" t="str">
        <f t="shared" ref="EG424:GR424" si="33">"T+" &amp; (COLUMN(EG424)-COLUMN($H424))</f>
        <v>T+129</v>
      </c>
      <c r="EH424" s="750" t="str">
        <f t="shared" si="33"/>
        <v>T+130</v>
      </c>
      <c r="EI424" s="750" t="str">
        <f t="shared" si="33"/>
        <v>T+131</v>
      </c>
      <c r="EJ424" s="750" t="str">
        <f t="shared" si="33"/>
        <v>T+132</v>
      </c>
      <c r="EK424" s="750" t="str">
        <f t="shared" si="33"/>
        <v>T+133</v>
      </c>
      <c r="EL424" s="750" t="str">
        <f t="shared" si="33"/>
        <v>T+134</v>
      </c>
      <c r="EM424" s="750" t="str">
        <f t="shared" si="33"/>
        <v>T+135</v>
      </c>
      <c r="EN424" s="750" t="str">
        <f t="shared" si="33"/>
        <v>T+136</v>
      </c>
      <c r="EO424" s="750" t="str">
        <f t="shared" si="33"/>
        <v>T+137</v>
      </c>
      <c r="EP424" s="750" t="str">
        <f t="shared" si="33"/>
        <v>T+138</v>
      </c>
      <c r="EQ424" s="750" t="str">
        <f t="shared" si="33"/>
        <v>T+139</v>
      </c>
      <c r="ER424" s="750" t="str">
        <f t="shared" si="33"/>
        <v>T+140</v>
      </c>
      <c r="ES424" s="750" t="str">
        <f t="shared" si="33"/>
        <v>T+141</v>
      </c>
      <c r="ET424" s="750" t="str">
        <f t="shared" si="33"/>
        <v>T+142</v>
      </c>
      <c r="EU424" s="750" t="str">
        <f t="shared" si="33"/>
        <v>T+143</v>
      </c>
      <c r="EV424" s="750" t="str">
        <f t="shared" si="33"/>
        <v>T+144</v>
      </c>
      <c r="EW424" s="750" t="str">
        <f t="shared" si="33"/>
        <v>T+145</v>
      </c>
      <c r="EX424" s="750" t="str">
        <f t="shared" si="33"/>
        <v>T+146</v>
      </c>
      <c r="EY424" s="750" t="str">
        <f t="shared" si="33"/>
        <v>T+147</v>
      </c>
      <c r="EZ424" s="750" t="str">
        <f t="shared" si="33"/>
        <v>T+148</v>
      </c>
      <c r="FA424" s="750" t="str">
        <f t="shared" si="33"/>
        <v>T+149</v>
      </c>
      <c r="FB424" s="750" t="str">
        <f t="shared" si="33"/>
        <v>T+150</v>
      </c>
      <c r="FC424" s="750" t="str">
        <f t="shared" si="33"/>
        <v>T+151</v>
      </c>
      <c r="FD424" s="750" t="str">
        <f t="shared" si="33"/>
        <v>T+152</v>
      </c>
      <c r="FE424" s="750" t="str">
        <f t="shared" si="33"/>
        <v>T+153</v>
      </c>
      <c r="FF424" s="750" t="str">
        <f t="shared" si="33"/>
        <v>T+154</v>
      </c>
      <c r="FG424" s="750" t="str">
        <f t="shared" si="33"/>
        <v>T+155</v>
      </c>
      <c r="FH424" s="750" t="str">
        <f t="shared" si="33"/>
        <v>T+156</v>
      </c>
      <c r="FI424" s="750" t="str">
        <f t="shared" si="33"/>
        <v>T+157</v>
      </c>
      <c r="FJ424" s="750" t="str">
        <f t="shared" si="33"/>
        <v>T+158</v>
      </c>
      <c r="FK424" s="750" t="str">
        <f t="shared" si="33"/>
        <v>T+159</v>
      </c>
      <c r="FL424" s="750" t="str">
        <f t="shared" si="33"/>
        <v>T+160</v>
      </c>
      <c r="FM424" s="750" t="str">
        <f t="shared" si="33"/>
        <v>T+161</v>
      </c>
      <c r="FN424" s="750" t="str">
        <f t="shared" si="33"/>
        <v>T+162</v>
      </c>
      <c r="FO424" s="750" t="str">
        <f t="shared" si="33"/>
        <v>T+163</v>
      </c>
      <c r="FP424" s="750" t="str">
        <f t="shared" si="33"/>
        <v>T+164</v>
      </c>
      <c r="FQ424" s="750" t="str">
        <f t="shared" si="33"/>
        <v>T+165</v>
      </c>
      <c r="FR424" s="750" t="str">
        <f t="shared" si="33"/>
        <v>T+166</v>
      </c>
      <c r="FS424" s="750" t="str">
        <f t="shared" si="33"/>
        <v>T+167</v>
      </c>
      <c r="FT424" s="750" t="str">
        <f t="shared" si="33"/>
        <v>T+168</v>
      </c>
      <c r="FU424" s="750" t="str">
        <f t="shared" si="33"/>
        <v>T+169</v>
      </c>
      <c r="FV424" s="750" t="str">
        <f t="shared" si="33"/>
        <v>T+170</v>
      </c>
      <c r="FW424" s="750" t="str">
        <f t="shared" si="33"/>
        <v>T+171</v>
      </c>
      <c r="FX424" s="750" t="str">
        <f t="shared" si="33"/>
        <v>T+172</v>
      </c>
      <c r="FY424" s="750" t="str">
        <f t="shared" si="33"/>
        <v>T+173</v>
      </c>
      <c r="FZ424" s="750" t="str">
        <f t="shared" si="33"/>
        <v>T+174</v>
      </c>
      <c r="GA424" s="750" t="str">
        <f t="shared" si="33"/>
        <v>T+175</v>
      </c>
      <c r="GB424" s="750" t="str">
        <f t="shared" si="33"/>
        <v>T+176</v>
      </c>
      <c r="GC424" s="750" t="str">
        <f t="shared" si="33"/>
        <v>T+177</v>
      </c>
      <c r="GD424" s="750" t="str">
        <f t="shared" si="33"/>
        <v>T+178</v>
      </c>
      <c r="GE424" s="750" t="str">
        <f t="shared" si="33"/>
        <v>T+179</v>
      </c>
      <c r="GF424" s="750" t="str">
        <f t="shared" si="33"/>
        <v>T+180</v>
      </c>
      <c r="GG424" s="750" t="str">
        <f t="shared" si="33"/>
        <v>T+181</v>
      </c>
      <c r="GH424" s="750" t="str">
        <f t="shared" si="33"/>
        <v>T+182</v>
      </c>
      <c r="GI424" s="750" t="str">
        <f t="shared" si="33"/>
        <v>T+183</v>
      </c>
      <c r="GJ424" s="750" t="str">
        <f t="shared" si="33"/>
        <v>T+184</v>
      </c>
      <c r="GK424" s="750" t="str">
        <f t="shared" si="33"/>
        <v>T+185</v>
      </c>
      <c r="GL424" s="750" t="str">
        <f t="shared" si="33"/>
        <v>T+186</v>
      </c>
      <c r="GM424" s="750" t="str">
        <f t="shared" si="33"/>
        <v>T+187</v>
      </c>
      <c r="GN424" s="750" t="str">
        <f t="shared" si="33"/>
        <v>T+188</v>
      </c>
      <c r="GO424" s="750" t="str">
        <f t="shared" si="33"/>
        <v>T+189</v>
      </c>
      <c r="GP424" s="750" t="str">
        <f t="shared" si="33"/>
        <v>T+190</v>
      </c>
      <c r="GQ424" s="750" t="str">
        <f t="shared" si="33"/>
        <v>T+191</v>
      </c>
      <c r="GR424" s="750" t="str">
        <f t="shared" si="33"/>
        <v>T+192</v>
      </c>
      <c r="GS424" s="750" t="str">
        <f t="shared" ref="GS424:JD424" si="34">"T+" &amp; (COLUMN(GS424)-COLUMN($H424))</f>
        <v>T+193</v>
      </c>
      <c r="GT424" s="750" t="str">
        <f t="shared" si="34"/>
        <v>T+194</v>
      </c>
      <c r="GU424" s="750" t="str">
        <f t="shared" si="34"/>
        <v>T+195</v>
      </c>
      <c r="GV424" s="750" t="str">
        <f t="shared" si="34"/>
        <v>T+196</v>
      </c>
      <c r="GW424" s="750" t="str">
        <f t="shared" si="34"/>
        <v>T+197</v>
      </c>
      <c r="GX424" s="750" t="str">
        <f t="shared" si="34"/>
        <v>T+198</v>
      </c>
      <c r="GY424" s="750" t="str">
        <f t="shared" si="34"/>
        <v>T+199</v>
      </c>
      <c r="GZ424" s="750" t="str">
        <f t="shared" si="34"/>
        <v>T+200</v>
      </c>
      <c r="HA424" s="750" t="str">
        <f t="shared" si="34"/>
        <v>T+201</v>
      </c>
      <c r="HB424" s="750" t="str">
        <f t="shared" si="34"/>
        <v>T+202</v>
      </c>
      <c r="HC424" s="750" t="str">
        <f t="shared" si="34"/>
        <v>T+203</v>
      </c>
      <c r="HD424" s="750" t="str">
        <f t="shared" si="34"/>
        <v>T+204</v>
      </c>
      <c r="HE424" s="750" t="str">
        <f t="shared" si="34"/>
        <v>T+205</v>
      </c>
      <c r="HF424" s="750" t="str">
        <f t="shared" si="34"/>
        <v>T+206</v>
      </c>
      <c r="HG424" s="750" t="str">
        <f t="shared" si="34"/>
        <v>T+207</v>
      </c>
      <c r="HH424" s="750" t="str">
        <f t="shared" si="34"/>
        <v>T+208</v>
      </c>
      <c r="HI424" s="750" t="str">
        <f t="shared" si="34"/>
        <v>T+209</v>
      </c>
      <c r="HJ424" s="750" t="str">
        <f t="shared" si="34"/>
        <v>T+210</v>
      </c>
      <c r="HK424" s="750" t="str">
        <f t="shared" si="34"/>
        <v>T+211</v>
      </c>
      <c r="HL424" s="750" t="str">
        <f t="shared" si="34"/>
        <v>T+212</v>
      </c>
      <c r="HM424" s="750" t="str">
        <f t="shared" si="34"/>
        <v>T+213</v>
      </c>
      <c r="HN424" s="750" t="str">
        <f t="shared" si="34"/>
        <v>T+214</v>
      </c>
      <c r="HO424" s="750" t="str">
        <f t="shared" si="34"/>
        <v>T+215</v>
      </c>
      <c r="HP424" s="750" t="str">
        <f t="shared" si="34"/>
        <v>T+216</v>
      </c>
      <c r="HQ424" s="750" t="str">
        <f t="shared" si="34"/>
        <v>T+217</v>
      </c>
      <c r="HR424" s="750" t="str">
        <f t="shared" si="34"/>
        <v>T+218</v>
      </c>
      <c r="HS424" s="750" t="str">
        <f t="shared" si="34"/>
        <v>T+219</v>
      </c>
      <c r="HT424" s="750" t="str">
        <f t="shared" si="34"/>
        <v>T+220</v>
      </c>
      <c r="HU424" s="750" t="str">
        <f t="shared" si="34"/>
        <v>T+221</v>
      </c>
      <c r="HV424" s="750" t="str">
        <f t="shared" si="34"/>
        <v>T+222</v>
      </c>
      <c r="HW424" s="750" t="str">
        <f t="shared" si="34"/>
        <v>T+223</v>
      </c>
      <c r="HX424" s="750" t="str">
        <f t="shared" si="34"/>
        <v>T+224</v>
      </c>
      <c r="HY424" s="750" t="str">
        <f t="shared" si="34"/>
        <v>T+225</v>
      </c>
      <c r="HZ424" s="750" t="str">
        <f t="shared" si="34"/>
        <v>T+226</v>
      </c>
      <c r="IA424" s="750" t="str">
        <f t="shared" si="34"/>
        <v>T+227</v>
      </c>
      <c r="IB424" s="750" t="str">
        <f t="shared" si="34"/>
        <v>T+228</v>
      </c>
      <c r="IC424" s="750" t="str">
        <f t="shared" si="34"/>
        <v>T+229</v>
      </c>
      <c r="ID424" s="750" t="str">
        <f t="shared" si="34"/>
        <v>T+230</v>
      </c>
      <c r="IE424" s="750" t="str">
        <f t="shared" si="34"/>
        <v>T+231</v>
      </c>
      <c r="IF424" s="750" t="str">
        <f t="shared" si="34"/>
        <v>T+232</v>
      </c>
      <c r="IG424" s="750" t="str">
        <f t="shared" si="34"/>
        <v>T+233</v>
      </c>
      <c r="IH424" s="750" t="str">
        <f t="shared" si="34"/>
        <v>T+234</v>
      </c>
      <c r="II424" s="750" t="str">
        <f t="shared" si="34"/>
        <v>T+235</v>
      </c>
      <c r="IJ424" s="750" t="str">
        <f t="shared" si="34"/>
        <v>T+236</v>
      </c>
      <c r="IK424" s="750" t="str">
        <f t="shared" si="34"/>
        <v>T+237</v>
      </c>
      <c r="IL424" s="750" t="str">
        <f t="shared" si="34"/>
        <v>T+238</v>
      </c>
      <c r="IM424" s="750" t="str">
        <f t="shared" si="34"/>
        <v>T+239</v>
      </c>
      <c r="IN424" s="750" t="str">
        <f t="shared" si="34"/>
        <v>T+240</v>
      </c>
      <c r="IO424" s="750" t="str">
        <f t="shared" si="34"/>
        <v>T+241</v>
      </c>
      <c r="IP424" s="750" t="str">
        <f t="shared" si="34"/>
        <v>T+242</v>
      </c>
      <c r="IQ424" s="750" t="str">
        <f t="shared" si="34"/>
        <v>T+243</v>
      </c>
      <c r="IR424" s="750" t="str">
        <f t="shared" si="34"/>
        <v>T+244</v>
      </c>
      <c r="IS424" s="750" t="str">
        <f t="shared" si="34"/>
        <v>T+245</v>
      </c>
      <c r="IT424" s="750" t="str">
        <f t="shared" si="34"/>
        <v>T+246</v>
      </c>
      <c r="IU424" s="750" t="str">
        <f t="shared" si="34"/>
        <v>T+247</v>
      </c>
      <c r="IV424" s="750" t="str">
        <f t="shared" si="34"/>
        <v>T+248</v>
      </c>
      <c r="IW424" s="750" t="str">
        <f t="shared" si="34"/>
        <v>T+249</v>
      </c>
      <c r="IX424" s="750" t="str">
        <f t="shared" si="34"/>
        <v>T+250</v>
      </c>
      <c r="IY424" s="750" t="str">
        <f t="shared" si="34"/>
        <v>T+251</v>
      </c>
      <c r="IZ424" s="750" t="str">
        <f t="shared" si="34"/>
        <v>T+252</v>
      </c>
      <c r="JA424" s="750" t="str">
        <f t="shared" si="34"/>
        <v>T+253</v>
      </c>
      <c r="JB424" s="750" t="str">
        <f t="shared" si="34"/>
        <v>T+254</v>
      </c>
      <c r="JC424" s="750" t="str">
        <f t="shared" si="34"/>
        <v>T+255</v>
      </c>
      <c r="JD424" s="750" t="str">
        <f t="shared" si="34"/>
        <v>T+256</v>
      </c>
      <c r="JE424" s="750" t="str">
        <f t="shared" ref="JE424:KB424" si="35">"T+" &amp; (COLUMN(JE424)-COLUMN($H424))</f>
        <v>T+257</v>
      </c>
      <c r="JF424" s="750" t="str">
        <f t="shared" si="35"/>
        <v>T+258</v>
      </c>
      <c r="JG424" s="750" t="str">
        <f t="shared" si="35"/>
        <v>T+259</v>
      </c>
      <c r="JH424" s="750" t="str">
        <f t="shared" si="35"/>
        <v>T+260</v>
      </c>
      <c r="JI424" s="750" t="str">
        <f t="shared" si="35"/>
        <v>T+261</v>
      </c>
      <c r="JJ424" s="750" t="str">
        <f t="shared" si="35"/>
        <v>T+262</v>
      </c>
      <c r="JK424" s="750" t="str">
        <f t="shared" si="35"/>
        <v>T+263</v>
      </c>
      <c r="JL424" s="750" t="str">
        <f t="shared" si="35"/>
        <v>T+264</v>
      </c>
      <c r="JM424" s="750" t="str">
        <f t="shared" si="35"/>
        <v>T+265</v>
      </c>
      <c r="JN424" s="750" t="str">
        <f t="shared" si="35"/>
        <v>T+266</v>
      </c>
      <c r="JO424" s="750" t="str">
        <f t="shared" si="35"/>
        <v>T+267</v>
      </c>
      <c r="JP424" s="750" t="str">
        <f t="shared" si="35"/>
        <v>T+268</v>
      </c>
      <c r="JQ424" s="750" t="str">
        <f t="shared" si="35"/>
        <v>T+269</v>
      </c>
      <c r="JR424" s="750" t="str">
        <f t="shared" si="35"/>
        <v>T+270</v>
      </c>
      <c r="JS424" s="750" t="str">
        <f t="shared" si="35"/>
        <v>T+271</v>
      </c>
      <c r="JT424" s="750" t="str">
        <f t="shared" si="35"/>
        <v>T+272</v>
      </c>
      <c r="JU424" s="750" t="str">
        <f t="shared" si="35"/>
        <v>T+273</v>
      </c>
      <c r="JV424" s="750" t="str">
        <f t="shared" si="35"/>
        <v>T+274</v>
      </c>
      <c r="JW424" s="750" t="str">
        <f t="shared" si="35"/>
        <v>T+275</v>
      </c>
      <c r="JX424" s="750" t="str">
        <f t="shared" si="35"/>
        <v>T+276</v>
      </c>
      <c r="JY424" s="750" t="str">
        <f t="shared" si="35"/>
        <v>T+277</v>
      </c>
      <c r="JZ424" s="750" t="str">
        <f t="shared" si="35"/>
        <v>T+278</v>
      </c>
      <c r="KA424" s="750" t="str">
        <f t="shared" si="35"/>
        <v>T+279</v>
      </c>
      <c r="KB424" s="750" t="str">
        <f t="shared" si="35"/>
        <v>T+280</v>
      </c>
    </row>
    <row r="425" spans="1:289" ht="15" customHeight="1" x14ac:dyDescent="0.35">
      <c r="B425" s="686" t="str">
        <f t="shared" ref="B425:B456" si="36">B11</f>
        <v>Desk 1</v>
      </c>
      <c r="C425" s="1828" t="str">
        <f t="array" ref="C425:D524" xml:space="preserve"> IF(ISBLANK(TB!C$170:'TB'!D$269), "", TB!C$170:'TB'!D$269)</f>
        <v/>
      </c>
      <c r="D425" s="1828" t="str">
        <v/>
      </c>
      <c r="E425" s="1828" t="str">
        <f t="array" ref="E425:E524" xml:space="preserve"> IF(ISBLANK(TB!G$170:'TB'!G$269), "", TB!G$170:'TB'!G$269)</f>
        <v/>
      </c>
      <c r="F425" s="1828" t="str">
        <f t="array" ref="F425:F524" xml:space="preserve"> IF(ISBLANK(TB!I$170:'TB'!I$269), "", TB!I$170:'TB'!I$269)</f>
        <v/>
      </c>
      <c r="G425" s="268" t="str">
        <f t="array" ref="G425:G524" xml:space="preserve"> IF(ISBLANK(TB!J$170:'TB'!J$269), "", TB!J$170:'TB'!J$269)</f>
        <v/>
      </c>
      <c r="H425" s="1097"/>
      <c r="I425" s="1097"/>
      <c r="J425" s="1097"/>
      <c r="K425" s="1097"/>
      <c r="L425" s="1097"/>
      <c r="M425" s="1097"/>
      <c r="N425" s="1097"/>
      <c r="O425" s="1097"/>
      <c r="P425" s="1097"/>
      <c r="Q425" s="1097"/>
      <c r="R425" s="1097"/>
      <c r="S425" s="1097"/>
      <c r="T425" s="1097"/>
      <c r="U425" s="1097"/>
      <c r="V425" s="1097"/>
      <c r="W425" s="1097"/>
      <c r="X425" s="1097"/>
      <c r="Y425" s="1097"/>
      <c r="Z425" s="1097"/>
      <c r="AA425" s="1097"/>
      <c r="AB425" s="1097"/>
      <c r="AC425" s="1097"/>
      <c r="AD425" s="1097"/>
      <c r="AE425" s="1097"/>
      <c r="AF425" s="1097"/>
      <c r="AG425" s="1097"/>
      <c r="AH425" s="1097"/>
      <c r="AI425" s="1097"/>
      <c r="AJ425" s="1097"/>
      <c r="AK425" s="1097"/>
      <c r="AL425" s="1097"/>
      <c r="AM425" s="1097"/>
      <c r="AN425" s="1097"/>
      <c r="AO425" s="1097"/>
      <c r="AP425" s="1097"/>
      <c r="AQ425" s="1097"/>
      <c r="AR425" s="1097"/>
      <c r="AS425" s="1097"/>
      <c r="AT425" s="1097"/>
      <c r="AU425" s="1097"/>
      <c r="AV425" s="1097"/>
      <c r="AW425" s="1097"/>
      <c r="AX425" s="1097"/>
      <c r="AY425" s="1097"/>
      <c r="AZ425" s="1097"/>
      <c r="BA425" s="1097"/>
      <c r="BB425" s="1097"/>
      <c r="BC425" s="1097"/>
      <c r="BD425" s="1097"/>
      <c r="BE425" s="1097"/>
      <c r="BF425" s="1097"/>
      <c r="BG425" s="1097"/>
      <c r="BH425" s="1097"/>
      <c r="BI425" s="1097"/>
      <c r="BJ425" s="1097"/>
      <c r="BK425" s="1097"/>
      <c r="BL425" s="1097"/>
      <c r="BM425" s="1097"/>
      <c r="BN425" s="1097"/>
      <c r="BO425" s="1097"/>
      <c r="BP425" s="1097"/>
      <c r="BQ425" s="1097"/>
      <c r="BR425" s="1097"/>
      <c r="BS425" s="1097"/>
      <c r="BT425" s="1097"/>
      <c r="BU425" s="1097"/>
      <c r="BV425" s="1097"/>
      <c r="BW425" s="1097"/>
      <c r="BX425" s="1097"/>
      <c r="BY425" s="1097"/>
      <c r="BZ425" s="1097"/>
      <c r="CA425" s="1097"/>
      <c r="CB425" s="1097"/>
      <c r="CC425" s="1097"/>
      <c r="CD425" s="1097"/>
      <c r="CE425" s="1097"/>
      <c r="CF425" s="1097"/>
      <c r="CG425" s="1097"/>
      <c r="CH425" s="1097"/>
      <c r="CI425" s="1097"/>
      <c r="CJ425" s="1097"/>
      <c r="CK425" s="1097"/>
      <c r="CL425" s="1097"/>
      <c r="CM425" s="1097"/>
      <c r="CN425" s="1097"/>
      <c r="CO425" s="1097"/>
      <c r="CP425" s="1097"/>
      <c r="CQ425" s="1097"/>
      <c r="CR425" s="1097"/>
      <c r="CS425" s="1097"/>
      <c r="CT425" s="1097"/>
      <c r="CU425" s="1097"/>
      <c r="CV425" s="1097"/>
      <c r="CW425" s="1097"/>
      <c r="CX425" s="1097"/>
      <c r="CY425" s="1097"/>
      <c r="CZ425" s="1097"/>
      <c r="DA425" s="1097"/>
      <c r="DB425" s="1097"/>
      <c r="DC425" s="1097"/>
      <c r="DD425" s="1097"/>
      <c r="DE425" s="1097"/>
      <c r="DF425" s="1097"/>
      <c r="DG425" s="1097"/>
      <c r="DH425" s="1097"/>
      <c r="DI425" s="1097"/>
      <c r="DJ425" s="1097"/>
      <c r="DK425" s="1097"/>
      <c r="DL425" s="1097"/>
      <c r="DM425" s="1097"/>
      <c r="DN425" s="1097"/>
      <c r="DO425" s="1097"/>
      <c r="DP425" s="1097"/>
      <c r="DQ425" s="1097"/>
      <c r="DR425" s="1097"/>
      <c r="DS425" s="1097"/>
      <c r="DT425" s="1097"/>
      <c r="DU425" s="1097"/>
      <c r="DV425" s="1097"/>
      <c r="DW425" s="1097"/>
      <c r="DX425" s="1097"/>
      <c r="DY425" s="1097"/>
      <c r="DZ425" s="1097"/>
      <c r="EA425" s="1097"/>
      <c r="EB425" s="1097"/>
      <c r="EC425" s="1097"/>
      <c r="ED425" s="1097"/>
      <c r="EE425" s="1097"/>
      <c r="EF425" s="1097"/>
      <c r="EG425" s="1097"/>
      <c r="EH425" s="1097"/>
      <c r="EI425" s="1097"/>
      <c r="EJ425" s="1097"/>
      <c r="EK425" s="1097"/>
      <c r="EL425" s="1097"/>
      <c r="EM425" s="1097"/>
      <c r="EN425" s="1097"/>
      <c r="EO425" s="1097"/>
      <c r="EP425" s="1097"/>
      <c r="EQ425" s="1097"/>
      <c r="ER425" s="1097"/>
      <c r="ES425" s="1097"/>
      <c r="ET425" s="1097"/>
      <c r="EU425" s="1097"/>
      <c r="EV425" s="1097"/>
      <c r="EW425" s="1097"/>
      <c r="EX425" s="1097"/>
      <c r="EY425" s="1097"/>
      <c r="EZ425" s="1097"/>
      <c r="FA425" s="1097"/>
      <c r="FB425" s="1097"/>
      <c r="FC425" s="1097"/>
      <c r="FD425" s="1097"/>
      <c r="FE425" s="1097"/>
      <c r="FF425" s="1097"/>
      <c r="FG425" s="1097"/>
      <c r="FH425" s="1097"/>
      <c r="FI425" s="1097"/>
      <c r="FJ425" s="1097"/>
      <c r="FK425" s="1097"/>
      <c r="FL425" s="1097"/>
      <c r="FM425" s="1097"/>
      <c r="FN425" s="1097"/>
      <c r="FO425" s="1097"/>
      <c r="FP425" s="1097"/>
      <c r="FQ425" s="1097"/>
      <c r="FR425" s="1097"/>
      <c r="FS425" s="1097"/>
      <c r="FT425" s="1097"/>
      <c r="FU425" s="1097"/>
      <c r="FV425" s="1097"/>
      <c r="FW425" s="1097"/>
      <c r="FX425" s="1097"/>
      <c r="FY425" s="1097"/>
      <c r="FZ425" s="1097"/>
      <c r="GA425" s="1097"/>
      <c r="GB425" s="1097"/>
      <c r="GC425" s="1097"/>
      <c r="GD425" s="1097"/>
      <c r="GE425" s="1097"/>
      <c r="GF425" s="1097"/>
      <c r="GG425" s="1097"/>
      <c r="GH425" s="1097"/>
      <c r="GI425" s="1097"/>
      <c r="GJ425" s="1097"/>
      <c r="GK425" s="1097"/>
      <c r="GL425" s="1097"/>
      <c r="GM425" s="1097"/>
      <c r="GN425" s="1097"/>
      <c r="GO425" s="1097"/>
      <c r="GP425" s="1097"/>
      <c r="GQ425" s="1097"/>
      <c r="GR425" s="1097"/>
      <c r="GS425" s="1097"/>
      <c r="GT425" s="1097"/>
      <c r="GU425" s="1097"/>
      <c r="GV425" s="1097"/>
      <c r="GW425" s="1097"/>
      <c r="GX425" s="1097"/>
      <c r="GY425" s="1097"/>
      <c r="GZ425" s="1097"/>
      <c r="HA425" s="1097"/>
      <c r="HB425" s="1097"/>
      <c r="HC425" s="1097"/>
      <c r="HD425" s="1097"/>
      <c r="HE425" s="1097"/>
      <c r="HF425" s="1097"/>
      <c r="HG425" s="1097"/>
      <c r="HH425" s="1097"/>
      <c r="HI425" s="1097"/>
      <c r="HJ425" s="1097"/>
      <c r="HK425" s="1097"/>
      <c r="HL425" s="1097"/>
      <c r="HM425" s="1097"/>
      <c r="HN425" s="1097"/>
      <c r="HO425" s="1097"/>
      <c r="HP425" s="1097"/>
      <c r="HQ425" s="1097"/>
      <c r="HR425" s="1097"/>
      <c r="HS425" s="1097"/>
      <c r="HT425" s="1097"/>
      <c r="HU425" s="1097"/>
      <c r="HV425" s="1097"/>
      <c r="HW425" s="1097"/>
      <c r="HX425" s="1097"/>
      <c r="HY425" s="1097"/>
      <c r="HZ425" s="1097"/>
      <c r="IA425" s="1097"/>
      <c r="IB425" s="1097"/>
      <c r="IC425" s="1097"/>
      <c r="ID425" s="1097"/>
      <c r="IE425" s="1097"/>
      <c r="IF425" s="1097"/>
      <c r="IG425" s="1097"/>
      <c r="IH425" s="1097"/>
      <c r="II425" s="1097"/>
      <c r="IJ425" s="1097"/>
      <c r="IK425" s="1097"/>
      <c r="IL425" s="1097"/>
      <c r="IM425" s="1097"/>
      <c r="IN425" s="1097"/>
      <c r="IO425" s="1097"/>
      <c r="IP425" s="1097"/>
      <c r="IQ425" s="1097"/>
      <c r="IR425" s="1097"/>
      <c r="IS425" s="1097"/>
      <c r="IT425" s="1097"/>
      <c r="IU425" s="1097"/>
      <c r="IV425" s="1097"/>
      <c r="IW425" s="1097"/>
      <c r="IX425" s="1097"/>
      <c r="IY425" s="1097"/>
      <c r="IZ425" s="1097"/>
      <c r="JA425" s="1097"/>
      <c r="JB425" s="1097"/>
      <c r="JC425" s="1097"/>
      <c r="JD425" s="1097"/>
      <c r="JE425" s="1097"/>
      <c r="JF425" s="1097"/>
      <c r="JG425" s="1097"/>
      <c r="JH425" s="1097"/>
      <c r="JI425" s="1097"/>
      <c r="JJ425" s="1097"/>
      <c r="JK425" s="1097"/>
      <c r="JL425" s="1097"/>
      <c r="JM425" s="1097"/>
      <c r="JN425" s="1097"/>
      <c r="JO425" s="1097"/>
      <c r="JP425" s="1097"/>
      <c r="JQ425" s="1097"/>
      <c r="JR425" s="1097"/>
      <c r="JS425" s="1097"/>
      <c r="JT425" s="1097"/>
      <c r="JU425" s="1097"/>
      <c r="JV425" s="1097"/>
      <c r="JW425" s="1097"/>
      <c r="JX425" s="1097"/>
      <c r="JY425" s="1097"/>
      <c r="JZ425" s="1097"/>
      <c r="KA425" s="1097"/>
      <c r="KB425" s="1833"/>
    </row>
    <row r="426" spans="1:289" ht="15" customHeight="1" x14ac:dyDescent="0.35">
      <c r="B426" s="146" t="str">
        <f t="shared" si="36"/>
        <v>Desk 2</v>
      </c>
      <c r="C426" s="148" t="str">
        <v/>
      </c>
      <c r="D426" s="148" t="str">
        <v/>
      </c>
      <c r="E426" s="148" t="str">
        <v/>
      </c>
      <c r="F426" s="148" t="str">
        <v/>
      </c>
      <c r="G426" s="268" t="str">
        <v/>
      </c>
      <c r="H426" s="1098"/>
      <c r="I426" s="1098"/>
      <c r="J426" s="1098"/>
      <c r="K426" s="1098"/>
      <c r="L426" s="1098"/>
      <c r="M426" s="1098"/>
      <c r="N426" s="1098"/>
      <c r="O426" s="1098"/>
      <c r="P426" s="1098"/>
      <c r="Q426" s="1098"/>
      <c r="R426" s="1098"/>
      <c r="S426" s="1098"/>
      <c r="T426" s="1098"/>
      <c r="U426" s="1098"/>
      <c r="V426" s="1098"/>
      <c r="W426" s="1098"/>
      <c r="X426" s="1098"/>
      <c r="Y426" s="1098"/>
      <c r="Z426" s="1098"/>
      <c r="AA426" s="1098"/>
      <c r="AB426" s="1098"/>
      <c r="AC426" s="1098"/>
      <c r="AD426" s="1098"/>
      <c r="AE426" s="1098"/>
      <c r="AF426" s="1098"/>
      <c r="AG426" s="1098"/>
      <c r="AH426" s="1098"/>
      <c r="AI426" s="1098"/>
      <c r="AJ426" s="1098"/>
      <c r="AK426" s="1098"/>
      <c r="AL426" s="1098"/>
      <c r="AM426" s="1098"/>
      <c r="AN426" s="1098"/>
      <c r="AO426" s="1098"/>
      <c r="AP426" s="1098"/>
      <c r="AQ426" s="1098"/>
      <c r="AR426" s="1098"/>
      <c r="AS426" s="1098"/>
      <c r="AT426" s="1098"/>
      <c r="AU426" s="1098"/>
      <c r="AV426" s="1098"/>
      <c r="AW426" s="1098"/>
      <c r="AX426" s="1098"/>
      <c r="AY426" s="1098"/>
      <c r="AZ426" s="1098"/>
      <c r="BA426" s="1098"/>
      <c r="BB426" s="1098"/>
      <c r="BC426" s="1098"/>
      <c r="BD426" s="1098"/>
      <c r="BE426" s="1098"/>
      <c r="BF426" s="1098"/>
      <c r="BG426" s="1098"/>
      <c r="BH426" s="1098"/>
      <c r="BI426" s="1098"/>
      <c r="BJ426" s="1098"/>
      <c r="BK426" s="1098"/>
      <c r="BL426" s="1098"/>
      <c r="BM426" s="1098"/>
      <c r="BN426" s="1098"/>
      <c r="BO426" s="1098"/>
      <c r="BP426" s="1098"/>
      <c r="BQ426" s="1098"/>
      <c r="BR426" s="1098"/>
      <c r="BS426" s="1098"/>
      <c r="BT426" s="1098"/>
      <c r="BU426" s="1098"/>
      <c r="BV426" s="1098"/>
      <c r="BW426" s="1098"/>
      <c r="BX426" s="1098"/>
      <c r="BY426" s="1098"/>
      <c r="BZ426" s="1098"/>
      <c r="CA426" s="1098"/>
      <c r="CB426" s="1098"/>
      <c r="CC426" s="1098"/>
      <c r="CD426" s="1098"/>
      <c r="CE426" s="1098"/>
      <c r="CF426" s="1098"/>
      <c r="CG426" s="1098"/>
      <c r="CH426" s="1098"/>
      <c r="CI426" s="1098"/>
      <c r="CJ426" s="1098"/>
      <c r="CK426" s="1098"/>
      <c r="CL426" s="1098"/>
      <c r="CM426" s="1098"/>
      <c r="CN426" s="1098"/>
      <c r="CO426" s="1098"/>
      <c r="CP426" s="1098"/>
      <c r="CQ426" s="1098"/>
      <c r="CR426" s="1098"/>
      <c r="CS426" s="1098"/>
      <c r="CT426" s="1098"/>
      <c r="CU426" s="1098"/>
      <c r="CV426" s="1098"/>
      <c r="CW426" s="1098"/>
      <c r="CX426" s="1098"/>
      <c r="CY426" s="1098"/>
      <c r="CZ426" s="1098"/>
      <c r="DA426" s="1098"/>
      <c r="DB426" s="1098"/>
      <c r="DC426" s="1098"/>
      <c r="DD426" s="1098"/>
      <c r="DE426" s="1098"/>
      <c r="DF426" s="1098"/>
      <c r="DG426" s="1098"/>
      <c r="DH426" s="1098"/>
      <c r="DI426" s="1098"/>
      <c r="DJ426" s="1098"/>
      <c r="DK426" s="1098"/>
      <c r="DL426" s="1098"/>
      <c r="DM426" s="1098"/>
      <c r="DN426" s="1098"/>
      <c r="DO426" s="1098"/>
      <c r="DP426" s="1098"/>
      <c r="DQ426" s="1098"/>
      <c r="DR426" s="1098"/>
      <c r="DS426" s="1098"/>
      <c r="DT426" s="1098"/>
      <c r="DU426" s="1098"/>
      <c r="DV426" s="1098"/>
      <c r="DW426" s="1098"/>
      <c r="DX426" s="1098"/>
      <c r="DY426" s="1098"/>
      <c r="DZ426" s="1098"/>
      <c r="EA426" s="1098"/>
      <c r="EB426" s="1098"/>
      <c r="EC426" s="1098"/>
      <c r="ED426" s="1098"/>
      <c r="EE426" s="1098"/>
      <c r="EF426" s="1098"/>
      <c r="EG426" s="1098"/>
      <c r="EH426" s="1098"/>
      <c r="EI426" s="1098"/>
      <c r="EJ426" s="1098"/>
      <c r="EK426" s="1098"/>
      <c r="EL426" s="1098"/>
      <c r="EM426" s="1098"/>
      <c r="EN426" s="1098"/>
      <c r="EO426" s="1098"/>
      <c r="EP426" s="1098"/>
      <c r="EQ426" s="1098"/>
      <c r="ER426" s="1098"/>
      <c r="ES426" s="1098"/>
      <c r="ET426" s="1098"/>
      <c r="EU426" s="1098"/>
      <c r="EV426" s="1098"/>
      <c r="EW426" s="1098"/>
      <c r="EX426" s="1098"/>
      <c r="EY426" s="1098"/>
      <c r="EZ426" s="1098"/>
      <c r="FA426" s="1098"/>
      <c r="FB426" s="1098"/>
      <c r="FC426" s="1098"/>
      <c r="FD426" s="1098"/>
      <c r="FE426" s="1098"/>
      <c r="FF426" s="1098"/>
      <c r="FG426" s="1098"/>
      <c r="FH426" s="1098"/>
      <c r="FI426" s="1098"/>
      <c r="FJ426" s="1098"/>
      <c r="FK426" s="1098"/>
      <c r="FL426" s="1098"/>
      <c r="FM426" s="1098"/>
      <c r="FN426" s="1098"/>
      <c r="FO426" s="1098"/>
      <c r="FP426" s="1098"/>
      <c r="FQ426" s="1098"/>
      <c r="FR426" s="1098"/>
      <c r="FS426" s="1098"/>
      <c r="FT426" s="1098"/>
      <c r="FU426" s="1098"/>
      <c r="FV426" s="1098"/>
      <c r="FW426" s="1098"/>
      <c r="FX426" s="1098"/>
      <c r="FY426" s="1098"/>
      <c r="FZ426" s="1098"/>
      <c r="GA426" s="1098"/>
      <c r="GB426" s="1098"/>
      <c r="GC426" s="1098"/>
      <c r="GD426" s="1098"/>
      <c r="GE426" s="1098"/>
      <c r="GF426" s="1098"/>
      <c r="GG426" s="1098"/>
      <c r="GH426" s="1098"/>
      <c r="GI426" s="1098"/>
      <c r="GJ426" s="1098"/>
      <c r="GK426" s="1098"/>
      <c r="GL426" s="1098"/>
      <c r="GM426" s="1098"/>
      <c r="GN426" s="1098"/>
      <c r="GO426" s="1098"/>
      <c r="GP426" s="1098"/>
      <c r="GQ426" s="1098"/>
      <c r="GR426" s="1098"/>
      <c r="GS426" s="1098"/>
      <c r="GT426" s="1098"/>
      <c r="GU426" s="1098"/>
      <c r="GV426" s="1098"/>
      <c r="GW426" s="1098"/>
      <c r="GX426" s="1098"/>
      <c r="GY426" s="1098"/>
      <c r="GZ426" s="1098"/>
      <c r="HA426" s="1098"/>
      <c r="HB426" s="1098"/>
      <c r="HC426" s="1098"/>
      <c r="HD426" s="1098"/>
      <c r="HE426" s="1098"/>
      <c r="HF426" s="1098"/>
      <c r="HG426" s="1098"/>
      <c r="HH426" s="1098"/>
      <c r="HI426" s="1098"/>
      <c r="HJ426" s="1098"/>
      <c r="HK426" s="1098"/>
      <c r="HL426" s="1098"/>
      <c r="HM426" s="1098"/>
      <c r="HN426" s="1098"/>
      <c r="HO426" s="1098"/>
      <c r="HP426" s="1098"/>
      <c r="HQ426" s="1098"/>
      <c r="HR426" s="1098"/>
      <c r="HS426" s="1098"/>
      <c r="HT426" s="1098"/>
      <c r="HU426" s="1098"/>
      <c r="HV426" s="1098"/>
      <c r="HW426" s="1098"/>
      <c r="HX426" s="1098"/>
      <c r="HY426" s="1098"/>
      <c r="HZ426" s="1098"/>
      <c r="IA426" s="1098"/>
      <c r="IB426" s="1098"/>
      <c r="IC426" s="1098"/>
      <c r="ID426" s="1098"/>
      <c r="IE426" s="1098"/>
      <c r="IF426" s="1098"/>
      <c r="IG426" s="1098"/>
      <c r="IH426" s="1098"/>
      <c r="II426" s="1098"/>
      <c r="IJ426" s="1098"/>
      <c r="IK426" s="1098"/>
      <c r="IL426" s="1098"/>
      <c r="IM426" s="1098"/>
      <c r="IN426" s="1098"/>
      <c r="IO426" s="1098"/>
      <c r="IP426" s="1098"/>
      <c r="IQ426" s="1098"/>
      <c r="IR426" s="1098"/>
      <c r="IS426" s="1098"/>
      <c r="IT426" s="1098"/>
      <c r="IU426" s="1098"/>
      <c r="IV426" s="1098"/>
      <c r="IW426" s="1098"/>
      <c r="IX426" s="1098"/>
      <c r="IY426" s="1098"/>
      <c r="IZ426" s="1098"/>
      <c r="JA426" s="1098"/>
      <c r="JB426" s="1098"/>
      <c r="JC426" s="1098"/>
      <c r="JD426" s="1098"/>
      <c r="JE426" s="1098"/>
      <c r="JF426" s="1098"/>
      <c r="JG426" s="1098"/>
      <c r="JH426" s="1098"/>
      <c r="JI426" s="1098"/>
      <c r="JJ426" s="1098"/>
      <c r="JK426" s="1098"/>
      <c r="JL426" s="1098"/>
      <c r="JM426" s="1098"/>
      <c r="JN426" s="1098"/>
      <c r="JO426" s="1098"/>
      <c r="JP426" s="1098"/>
      <c r="JQ426" s="1098"/>
      <c r="JR426" s="1098"/>
      <c r="JS426" s="1098"/>
      <c r="JT426" s="1098"/>
      <c r="JU426" s="1098"/>
      <c r="JV426" s="1098"/>
      <c r="JW426" s="1098"/>
      <c r="JX426" s="1098"/>
      <c r="JY426" s="1098"/>
      <c r="JZ426" s="1098"/>
      <c r="KA426" s="1098"/>
      <c r="KB426" s="1099"/>
    </row>
    <row r="427" spans="1:289" ht="15" customHeight="1" x14ac:dyDescent="0.35">
      <c r="B427" s="146" t="str">
        <f t="shared" si="36"/>
        <v>Desk 3</v>
      </c>
      <c r="C427" s="148" t="str">
        <v/>
      </c>
      <c r="D427" s="148" t="str">
        <v/>
      </c>
      <c r="E427" s="148" t="str">
        <v/>
      </c>
      <c r="F427" s="148" t="str">
        <v/>
      </c>
      <c r="G427" s="268" t="str">
        <v/>
      </c>
      <c r="H427" s="1098"/>
      <c r="I427" s="1098"/>
      <c r="J427" s="1098"/>
      <c r="K427" s="1098"/>
      <c r="L427" s="1098"/>
      <c r="M427" s="1098"/>
      <c r="N427" s="1098"/>
      <c r="O427" s="1098"/>
      <c r="P427" s="1098"/>
      <c r="Q427" s="1098"/>
      <c r="R427" s="1098"/>
      <c r="S427" s="1098"/>
      <c r="T427" s="1098"/>
      <c r="U427" s="1098"/>
      <c r="V427" s="1098"/>
      <c r="W427" s="1098"/>
      <c r="X427" s="1098"/>
      <c r="Y427" s="1098"/>
      <c r="Z427" s="1098"/>
      <c r="AA427" s="1098"/>
      <c r="AB427" s="1098"/>
      <c r="AC427" s="1098"/>
      <c r="AD427" s="1098"/>
      <c r="AE427" s="1098"/>
      <c r="AF427" s="1098"/>
      <c r="AG427" s="1098"/>
      <c r="AH427" s="1098"/>
      <c r="AI427" s="1098"/>
      <c r="AJ427" s="1098"/>
      <c r="AK427" s="1098"/>
      <c r="AL427" s="1098"/>
      <c r="AM427" s="1098"/>
      <c r="AN427" s="1098"/>
      <c r="AO427" s="1098"/>
      <c r="AP427" s="1098"/>
      <c r="AQ427" s="1098"/>
      <c r="AR427" s="1098"/>
      <c r="AS427" s="1098"/>
      <c r="AT427" s="1098"/>
      <c r="AU427" s="1098"/>
      <c r="AV427" s="1098"/>
      <c r="AW427" s="1098"/>
      <c r="AX427" s="1098"/>
      <c r="AY427" s="1098"/>
      <c r="AZ427" s="1098"/>
      <c r="BA427" s="1098"/>
      <c r="BB427" s="1098"/>
      <c r="BC427" s="1098"/>
      <c r="BD427" s="1098"/>
      <c r="BE427" s="1098"/>
      <c r="BF427" s="1098"/>
      <c r="BG427" s="1098"/>
      <c r="BH427" s="1098"/>
      <c r="BI427" s="1098"/>
      <c r="BJ427" s="1098"/>
      <c r="BK427" s="1098"/>
      <c r="BL427" s="1098"/>
      <c r="BM427" s="1098"/>
      <c r="BN427" s="1098"/>
      <c r="BO427" s="1098"/>
      <c r="BP427" s="1098"/>
      <c r="BQ427" s="1098"/>
      <c r="BR427" s="1098"/>
      <c r="BS427" s="1098"/>
      <c r="BT427" s="1098"/>
      <c r="BU427" s="1098"/>
      <c r="BV427" s="1098"/>
      <c r="BW427" s="1098"/>
      <c r="BX427" s="1098"/>
      <c r="BY427" s="1098"/>
      <c r="BZ427" s="1098"/>
      <c r="CA427" s="1098"/>
      <c r="CB427" s="1098"/>
      <c r="CC427" s="1098"/>
      <c r="CD427" s="1098"/>
      <c r="CE427" s="1098"/>
      <c r="CF427" s="1098"/>
      <c r="CG427" s="1098"/>
      <c r="CH427" s="1098"/>
      <c r="CI427" s="1098"/>
      <c r="CJ427" s="1098"/>
      <c r="CK427" s="1098"/>
      <c r="CL427" s="1098"/>
      <c r="CM427" s="1098"/>
      <c r="CN427" s="1098"/>
      <c r="CO427" s="1098"/>
      <c r="CP427" s="1098"/>
      <c r="CQ427" s="1098"/>
      <c r="CR427" s="1098"/>
      <c r="CS427" s="1098"/>
      <c r="CT427" s="1098"/>
      <c r="CU427" s="1098"/>
      <c r="CV427" s="1098"/>
      <c r="CW427" s="1098"/>
      <c r="CX427" s="1098"/>
      <c r="CY427" s="1098"/>
      <c r="CZ427" s="1098"/>
      <c r="DA427" s="1098"/>
      <c r="DB427" s="1098"/>
      <c r="DC427" s="1098"/>
      <c r="DD427" s="1098"/>
      <c r="DE427" s="1098"/>
      <c r="DF427" s="1098"/>
      <c r="DG427" s="1098"/>
      <c r="DH427" s="1098"/>
      <c r="DI427" s="1098"/>
      <c r="DJ427" s="1098"/>
      <c r="DK427" s="1098"/>
      <c r="DL427" s="1098"/>
      <c r="DM427" s="1098"/>
      <c r="DN427" s="1098"/>
      <c r="DO427" s="1098"/>
      <c r="DP427" s="1098"/>
      <c r="DQ427" s="1098"/>
      <c r="DR427" s="1098"/>
      <c r="DS427" s="1098"/>
      <c r="DT427" s="1098"/>
      <c r="DU427" s="1098"/>
      <c r="DV427" s="1098"/>
      <c r="DW427" s="1098"/>
      <c r="DX427" s="1098"/>
      <c r="DY427" s="1098"/>
      <c r="DZ427" s="1098"/>
      <c r="EA427" s="1098"/>
      <c r="EB427" s="1098"/>
      <c r="EC427" s="1098"/>
      <c r="ED427" s="1098"/>
      <c r="EE427" s="1098"/>
      <c r="EF427" s="1098"/>
      <c r="EG427" s="1098"/>
      <c r="EH427" s="1098"/>
      <c r="EI427" s="1098"/>
      <c r="EJ427" s="1098"/>
      <c r="EK427" s="1098"/>
      <c r="EL427" s="1098"/>
      <c r="EM427" s="1098"/>
      <c r="EN427" s="1098"/>
      <c r="EO427" s="1098"/>
      <c r="EP427" s="1098"/>
      <c r="EQ427" s="1098"/>
      <c r="ER427" s="1098"/>
      <c r="ES427" s="1098"/>
      <c r="ET427" s="1098"/>
      <c r="EU427" s="1098"/>
      <c r="EV427" s="1098"/>
      <c r="EW427" s="1098"/>
      <c r="EX427" s="1098"/>
      <c r="EY427" s="1098"/>
      <c r="EZ427" s="1098"/>
      <c r="FA427" s="1098"/>
      <c r="FB427" s="1098"/>
      <c r="FC427" s="1098"/>
      <c r="FD427" s="1098"/>
      <c r="FE427" s="1098"/>
      <c r="FF427" s="1098"/>
      <c r="FG427" s="1098"/>
      <c r="FH427" s="1098"/>
      <c r="FI427" s="1098"/>
      <c r="FJ427" s="1098"/>
      <c r="FK427" s="1098"/>
      <c r="FL427" s="1098"/>
      <c r="FM427" s="1098"/>
      <c r="FN427" s="1098"/>
      <c r="FO427" s="1098"/>
      <c r="FP427" s="1098"/>
      <c r="FQ427" s="1098"/>
      <c r="FR427" s="1098"/>
      <c r="FS427" s="1098"/>
      <c r="FT427" s="1098"/>
      <c r="FU427" s="1098"/>
      <c r="FV427" s="1098"/>
      <c r="FW427" s="1098"/>
      <c r="FX427" s="1098"/>
      <c r="FY427" s="1098"/>
      <c r="FZ427" s="1098"/>
      <c r="GA427" s="1098"/>
      <c r="GB427" s="1098"/>
      <c r="GC427" s="1098"/>
      <c r="GD427" s="1098"/>
      <c r="GE427" s="1098"/>
      <c r="GF427" s="1098"/>
      <c r="GG427" s="1098"/>
      <c r="GH427" s="1098"/>
      <c r="GI427" s="1098"/>
      <c r="GJ427" s="1098"/>
      <c r="GK427" s="1098"/>
      <c r="GL427" s="1098"/>
      <c r="GM427" s="1098"/>
      <c r="GN427" s="1098"/>
      <c r="GO427" s="1098"/>
      <c r="GP427" s="1098"/>
      <c r="GQ427" s="1098"/>
      <c r="GR427" s="1098"/>
      <c r="GS427" s="1098"/>
      <c r="GT427" s="1098"/>
      <c r="GU427" s="1098"/>
      <c r="GV427" s="1098"/>
      <c r="GW427" s="1098"/>
      <c r="GX427" s="1098"/>
      <c r="GY427" s="1098"/>
      <c r="GZ427" s="1098"/>
      <c r="HA427" s="1098"/>
      <c r="HB427" s="1098"/>
      <c r="HC427" s="1098"/>
      <c r="HD427" s="1098"/>
      <c r="HE427" s="1098"/>
      <c r="HF427" s="1098"/>
      <c r="HG427" s="1098"/>
      <c r="HH427" s="1098"/>
      <c r="HI427" s="1098"/>
      <c r="HJ427" s="1098"/>
      <c r="HK427" s="1098"/>
      <c r="HL427" s="1098"/>
      <c r="HM427" s="1098"/>
      <c r="HN427" s="1098"/>
      <c r="HO427" s="1098"/>
      <c r="HP427" s="1098"/>
      <c r="HQ427" s="1098"/>
      <c r="HR427" s="1098"/>
      <c r="HS427" s="1098"/>
      <c r="HT427" s="1098"/>
      <c r="HU427" s="1098"/>
      <c r="HV427" s="1098"/>
      <c r="HW427" s="1098"/>
      <c r="HX427" s="1098"/>
      <c r="HY427" s="1098"/>
      <c r="HZ427" s="1098"/>
      <c r="IA427" s="1098"/>
      <c r="IB427" s="1098"/>
      <c r="IC427" s="1098"/>
      <c r="ID427" s="1098"/>
      <c r="IE427" s="1098"/>
      <c r="IF427" s="1098"/>
      <c r="IG427" s="1098"/>
      <c r="IH427" s="1098"/>
      <c r="II427" s="1098"/>
      <c r="IJ427" s="1098"/>
      <c r="IK427" s="1098"/>
      <c r="IL427" s="1098"/>
      <c r="IM427" s="1098"/>
      <c r="IN427" s="1098"/>
      <c r="IO427" s="1098"/>
      <c r="IP427" s="1098"/>
      <c r="IQ427" s="1098"/>
      <c r="IR427" s="1098"/>
      <c r="IS427" s="1098"/>
      <c r="IT427" s="1098"/>
      <c r="IU427" s="1098"/>
      <c r="IV427" s="1098"/>
      <c r="IW427" s="1098"/>
      <c r="IX427" s="1098"/>
      <c r="IY427" s="1098"/>
      <c r="IZ427" s="1098"/>
      <c r="JA427" s="1098"/>
      <c r="JB427" s="1098"/>
      <c r="JC427" s="1098"/>
      <c r="JD427" s="1098"/>
      <c r="JE427" s="1098"/>
      <c r="JF427" s="1098"/>
      <c r="JG427" s="1098"/>
      <c r="JH427" s="1098"/>
      <c r="JI427" s="1098"/>
      <c r="JJ427" s="1098"/>
      <c r="JK427" s="1098"/>
      <c r="JL427" s="1098"/>
      <c r="JM427" s="1098"/>
      <c r="JN427" s="1098"/>
      <c r="JO427" s="1098"/>
      <c r="JP427" s="1098"/>
      <c r="JQ427" s="1098"/>
      <c r="JR427" s="1098"/>
      <c r="JS427" s="1098"/>
      <c r="JT427" s="1098"/>
      <c r="JU427" s="1098"/>
      <c r="JV427" s="1098"/>
      <c r="JW427" s="1098"/>
      <c r="JX427" s="1098"/>
      <c r="JY427" s="1098"/>
      <c r="JZ427" s="1098"/>
      <c r="KA427" s="1098"/>
      <c r="KB427" s="1099"/>
    </row>
    <row r="428" spans="1:289" ht="15" customHeight="1" x14ac:dyDescent="0.35">
      <c r="B428" s="146" t="str">
        <f t="shared" si="36"/>
        <v>Desk 4</v>
      </c>
      <c r="C428" s="148" t="str">
        <v/>
      </c>
      <c r="D428" s="148" t="str">
        <v/>
      </c>
      <c r="E428" s="148" t="str">
        <v/>
      </c>
      <c r="F428" s="148" t="str">
        <v/>
      </c>
      <c r="G428" s="268" t="str">
        <v/>
      </c>
      <c r="H428" s="1098"/>
      <c r="I428" s="1098"/>
      <c r="J428" s="1098"/>
      <c r="K428" s="1098"/>
      <c r="L428" s="1098"/>
      <c r="M428" s="1098"/>
      <c r="N428" s="1098"/>
      <c r="O428" s="1098"/>
      <c r="P428" s="1098"/>
      <c r="Q428" s="1098"/>
      <c r="R428" s="1098"/>
      <c r="S428" s="1098"/>
      <c r="T428" s="1098"/>
      <c r="U428" s="1098"/>
      <c r="V428" s="1098"/>
      <c r="W428" s="1098"/>
      <c r="X428" s="1098"/>
      <c r="Y428" s="1098"/>
      <c r="Z428" s="1098"/>
      <c r="AA428" s="1098"/>
      <c r="AB428" s="1098"/>
      <c r="AC428" s="1098"/>
      <c r="AD428" s="1098"/>
      <c r="AE428" s="1098"/>
      <c r="AF428" s="1098"/>
      <c r="AG428" s="1098"/>
      <c r="AH428" s="1098"/>
      <c r="AI428" s="1098"/>
      <c r="AJ428" s="1098"/>
      <c r="AK428" s="1098"/>
      <c r="AL428" s="1098"/>
      <c r="AM428" s="1098"/>
      <c r="AN428" s="1098"/>
      <c r="AO428" s="1098"/>
      <c r="AP428" s="1098"/>
      <c r="AQ428" s="1098"/>
      <c r="AR428" s="1098"/>
      <c r="AS428" s="1098"/>
      <c r="AT428" s="1098"/>
      <c r="AU428" s="1098"/>
      <c r="AV428" s="1098"/>
      <c r="AW428" s="1098"/>
      <c r="AX428" s="1098"/>
      <c r="AY428" s="1098"/>
      <c r="AZ428" s="1098"/>
      <c r="BA428" s="1098"/>
      <c r="BB428" s="1098"/>
      <c r="BC428" s="1098"/>
      <c r="BD428" s="1098"/>
      <c r="BE428" s="1098"/>
      <c r="BF428" s="1098"/>
      <c r="BG428" s="1098"/>
      <c r="BH428" s="1098"/>
      <c r="BI428" s="1098"/>
      <c r="BJ428" s="1098"/>
      <c r="BK428" s="1098"/>
      <c r="BL428" s="1098"/>
      <c r="BM428" s="1098"/>
      <c r="BN428" s="1098"/>
      <c r="BO428" s="1098"/>
      <c r="BP428" s="1098"/>
      <c r="BQ428" s="1098"/>
      <c r="BR428" s="1098"/>
      <c r="BS428" s="1098"/>
      <c r="BT428" s="1098"/>
      <c r="BU428" s="1098"/>
      <c r="BV428" s="1098"/>
      <c r="BW428" s="1098"/>
      <c r="BX428" s="1098"/>
      <c r="BY428" s="1098"/>
      <c r="BZ428" s="1098"/>
      <c r="CA428" s="1098"/>
      <c r="CB428" s="1098"/>
      <c r="CC428" s="1098"/>
      <c r="CD428" s="1098"/>
      <c r="CE428" s="1098"/>
      <c r="CF428" s="1098"/>
      <c r="CG428" s="1098"/>
      <c r="CH428" s="1098"/>
      <c r="CI428" s="1098"/>
      <c r="CJ428" s="1098"/>
      <c r="CK428" s="1098"/>
      <c r="CL428" s="1098"/>
      <c r="CM428" s="1098"/>
      <c r="CN428" s="1098"/>
      <c r="CO428" s="1098"/>
      <c r="CP428" s="1098"/>
      <c r="CQ428" s="1098"/>
      <c r="CR428" s="1098"/>
      <c r="CS428" s="1098"/>
      <c r="CT428" s="1098"/>
      <c r="CU428" s="1098"/>
      <c r="CV428" s="1098"/>
      <c r="CW428" s="1098"/>
      <c r="CX428" s="1098"/>
      <c r="CY428" s="1098"/>
      <c r="CZ428" s="1098"/>
      <c r="DA428" s="1098"/>
      <c r="DB428" s="1098"/>
      <c r="DC428" s="1098"/>
      <c r="DD428" s="1098"/>
      <c r="DE428" s="1098"/>
      <c r="DF428" s="1098"/>
      <c r="DG428" s="1098"/>
      <c r="DH428" s="1098"/>
      <c r="DI428" s="1098"/>
      <c r="DJ428" s="1098"/>
      <c r="DK428" s="1098"/>
      <c r="DL428" s="1098"/>
      <c r="DM428" s="1098"/>
      <c r="DN428" s="1098"/>
      <c r="DO428" s="1098"/>
      <c r="DP428" s="1098"/>
      <c r="DQ428" s="1098"/>
      <c r="DR428" s="1098"/>
      <c r="DS428" s="1098"/>
      <c r="DT428" s="1098"/>
      <c r="DU428" s="1098"/>
      <c r="DV428" s="1098"/>
      <c r="DW428" s="1098"/>
      <c r="DX428" s="1098"/>
      <c r="DY428" s="1098"/>
      <c r="DZ428" s="1098"/>
      <c r="EA428" s="1098"/>
      <c r="EB428" s="1098"/>
      <c r="EC428" s="1098"/>
      <c r="ED428" s="1098"/>
      <c r="EE428" s="1098"/>
      <c r="EF428" s="1098"/>
      <c r="EG428" s="1098"/>
      <c r="EH428" s="1098"/>
      <c r="EI428" s="1098"/>
      <c r="EJ428" s="1098"/>
      <c r="EK428" s="1098"/>
      <c r="EL428" s="1098"/>
      <c r="EM428" s="1098"/>
      <c r="EN428" s="1098"/>
      <c r="EO428" s="1098"/>
      <c r="EP428" s="1098"/>
      <c r="EQ428" s="1098"/>
      <c r="ER428" s="1098"/>
      <c r="ES428" s="1098"/>
      <c r="ET428" s="1098"/>
      <c r="EU428" s="1098"/>
      <c r="EV428" s="1098"/>
      <c r="EW428" s="1098"/>
      <c r="EX428" s="1098"/>
      <c r="EY428" s="1098"/>
      <c r="EZ428" s="1098"/>
      <c r="FA428" s="1098"/>
      <c r="FB428" s="1098"/>
      <c r="FC428" s="1098"/>
      <c r="FD428" s="1098"/>
      <c r="FE428" s="1098"/>
      <c r="FF428" s="1098"/>
      <c r="FG428" s="1098"/>
      <c r="FH428" s="1098"/>
      <c r="FI428" s="1098"/>
      <c r="FJ428" s="1098"/>
      <c r="FK428" s="1098"/>
      <c r="FL428" s="1098"/>
      <c r="FM428" s="1098"/>
      <c r="FN428" s="1098"/>
      <c r="FO428" s="1098"/>
      <c r="FP428" s="1098"/>
      <c r="FQ428" s="1098"/>
      <c r="FR428" s="1098"/>
      <c r="FS428" s="1098"/>
      <c r="FT428" s="1098"/>
      <c r="FU428" s="1098"/>
      <c r="FV428" s="1098"/>
      <c r="FW428" s="1098"/>
      <c r="FX428" s="1098"/>
      <c r="FY428" s="1098"/>
      <c r="FZ428" s="1098"/>
      <c r="GA428" s="1098"/>
      <c r="GB428" s="1098"/>
      <c r="GC428" s="1098"/>
      <c r="GD428" s="1098"/>
      <c r="GE428" s="1098"/>
      <c r="GF428" s="1098"/>
      <c r="GG428" s="1098"/>
      <c r="GH428" s="1098"/>
      <c r="GI428" s="1098"/>
      <c r="GJ428" s="1098"/>
      <c r="GK428" s="1098"/>
      <c r="GL428" s="1098"/>
      <c r="GM428" s="1098"/>
      <c r="GN428" s="1098"/>
      <c r="GO428" s="1098"/>
      <c r="GP428" s="1098"/>
      <c r="GQ428" s="1098"/>
      <c r="GR428" s="1098"/>
      <c r="GS428" s="1098"/>
      <c r="GT428" s="1098"/>
      <c r="GU428" s="1098"/>
      <c r="GV428" s="1098"/>
      <c r="GW428" s="1098"/>
      <c r="GX428" s="1098"/>
      <c r="GY428" s="1098"/>
      <c r="GZ428" s="1098"/>
      <c r="HA428" s="1098"/>
      <c r="HB428" s="1098"/>
      <c r="HC428" s="1098"/>
      <c r="HD428" s="1098"/>
      <c r="HE428" s="1098"/>
      <c r="HF428" s="1098"/>
      <c r="HG428" s="1098"/>
      <c r="HH428" s="1098"/>
      <c r="HI428" s="1098"/>
      <c r="HJ428" s="1098"/>
      <c r="HK428" s="1098"/>
      <c r="HL428" s="1098"/>
      <c r="HM428" s="1098"/>
      <c r="HN428" s="1098"/>
      <c r="HO428" s="1098"/>
      <c r="HP428" s="1098"/>
      <c r="HQ428" s="1098"/>
      <c r="HR428" s="1098"/>
      <c r="HS428" s="1098"/>
      <c r="HT428" s="1098"/>
      <c r="HU428" s="1098"/>
      <c r="HV428" s="1098"/>
      <c r="HW428" s="1098"/>
      <c r="HX428" s="1098"/>
      <c r="HY428" s="1098"/>
      <c r="HZ428" s="1098"/>
      <c r="IA428" s="1098"/>
      <c r="IB428" s="1098"/>
      <c r="IC428" s="1098"/>
      <c r="ID428" s="1098"/>
      <c r="IE428" s="1098"/>
      <c r="IF428" s="1098"/>
      <c r="IG428" s="1098"/>
      <c r="IH428" s="1098"/>
      <c r="II428" s="1098"/>
      <c r="IJ428" s="1098"/>
      <c r="IK428" s="1098"/>
      <c r="IL428" s="1098"/>
      <c r="IM428" s="1098"/>
      <c r="IN428" s="1098"/>
      <c r="IO428" s="1098"/>
      <c r="IP428" s="1098"/>
      <c r="IQ428" s="1098"/>
      <c r="IR428" s="1098"/>
      <c r="IS428" s="1098"/>
      <c r="IT428" s="1098"/>
      <c r="IU428" s="1098"/>
      <c r="IV428" s="1098"/>
      <c r="IW428" s="1098"/>
      <c r="IX428" s="1098"/>
      <c r="IY428" s="1098"/>
      <c r="IZ428" s="1098"/>
      <c r="JA428" s="1098"/>
      <c r="JB428" s="1098"/>
      <c r="JC428" s="1098"/>
      <c r="JD428" s="1098"/>
      <c r="JE428" s="1098"/>
      <c r="JF428" s="1098"/>
      <c r="JG428" s="1098"/>
      <c r="JH428" s="1098"/>
      <c r="JI428" s="1098"/>
      <c r="JJ428" s="1098"/>
      <c r="JK428" s="1098"/>
      <c r="JL428" s="1098"/>
      <c r="JM428" s="1098"/>
      <c r="JN428" s="1098"/>
      <c r="JO428" s="1098"/>
      <c r="JP428" s="1098"/>
      <c r="JQ428" s="1098"/>
      <c r="JR428" s="1098"/>
      <c r="JS428" s="1098"/>
      <c r="JT428" s="1098"/>
      <c r="JU428" s="1098"/>
      <c r="JV428" s="1098"/>
      <c r="JW428" s="1098"/>
      <c r="JX428" s="1098"/>
      <c r="JY428" s="1098"/>
      <c r="JZ428" s="1098"/>
      <c r="KA428" s="1098"/>
      <c r="KB428" s="1099"/>
    </row>
    <row r="429" spans="1:289" ht="15" customHeight="1" x14ac:dyDescent="0.35">
      <c r="B429" s="146" t="str">
        <f t="shared" si="36"/>
        <v>Desk 5</v>
      </c>
      <c r="C429" s="148" t="str">
        <v/>
      </c>
      <c r="D429" s="148" t="str">
        <v/>
      </c>
      <c r="E429" s="148" t="str">
        <v/>
      </c>
      <c r="F429" s="148" t="str">
        <v/>
      </c>
      <c r="G429" s="268" t="str">
        <v/>
      </c>
      <c r="H429" s="1098"/>
      <c r="I429" s="1098"/>
      <c r="J429" s="1098"/>
      <c r="K429" s="1098"/>
      <c r="L429" s="1098"/>
      <c r="M429" s="1098"/>
      <c r="N429" s="1098"/>
      <c r="O429" s="1098"/>
      <c r="P429" s="1098"/>
      <c r="Q429" s="1098"/>
      <c r="R429" s="1098"/>
      <c r="S429" s="1098"/>
      <c r="T429" s="1098"/>
      <c r="U429" s="1098"/>
      <c r="V429" s="1098"/>
      <c r="W429" s="1098"/>
      <c r="X429" s="1098"/>
      <c r="Y429" s="1098"/>
      <c r="Z429" s="1098"/>
      <c r="AA429" s="1098"/>
      <c r="AB429" s="1098"/>
      <c r="AC429" s="1098"/>
      <c r="AD429" s="1098"/>
      <c r="AE429" s="1098"/>
      <c r="AF429" s="1098"/>
      <c r="AG429" s="1098"/>
      <c r="AH429" s="1098"/>
      <c r="AI429" s="1098"/>
      <c r="AJ429" s="1098"/>
      <c r="AK429" s="1098"/>
      <c r="AL429" s="1098"/>
      <c r="AM429" s="1098"/>
      <c r="AN429" s="1098"/>
      <c r="AO429" s="1098"/>
      <c r="AP429" s="1098"/>
      <c r="AQ429" s="1098"/>
      <c r="AR429" s="1098"/>
      <c r="AS429" s="1098"/>
      <c r="AT429" s="1098"/>
      <c r="AU429" s="1098"/>
      <c r="AV429" s="1098"/>
      <c r="AW429" s="1098"/>
      <c r="AX429" s="1098"/>
      <c r="AY429" s="1098"/>
      <c r="AZ429" s="1098"/>
      <c r="BA429" s="1098"/>
      <c r="BB429" s="1098"/>
      <c r="BC429" s="1098"/>
      <c r="BD429" s="1098"/>
      <c r="BE429" s="1098"/>
      <c r="BF429" s="1098"/>
      <c r="BG429" s="1098"/>
      <c r="BH429" s="1098"/>
      <c r="BI429" s="1098"/>
      <c r="BJ429" s="1098"/>
      <c r="BK429" s="1098"/>
      <c r="BL429" s="1098"/>
      <c r="BM429" s="1098"/>
      <c r="BN429" s="1098"/>
      <c r="BO429" s="1098"/>
      <c r="BP429" s="1098"/>
      <c r="BQ429" s="1098"/>
      <c r="BR429" s="1098"/>
      <c r="BS429" s="1098"/>
      <c r="BT429" s="1098"/>
      <c r="BU429" s="1098"/>
      <c r="BV429" s="1098"/>
      <c r="BW429" s="1098"/>
      <c r="BX429" s="1098"/>
      <c r="BY429" s="1098"/>
      <c r="BZ429" s="1098"/>
      <c r="CA429" s="1098"/>
      <c r="CB429" s="1098"/>
      <c r="CC429" s="1098"/>
      <c r="CD429" s="1098"/>
      <c r="CE429" s="1098"/>
      <c r="CF429" s="1098"/>
      <c r="CG429" s="1098"/>
      <c r="CH429" s="1098"/>
      <c r="CI429" s="1098"/>
      <c r="CJ429" s="1098"/>
      <c r="CK429" s="1098"/>
      <c r="CL429" s="1098"/>
      <c r="CM429" s="1098"/>
      <c r="CN429" s="1098"/>
      <c r="CO429" s="1098"/>
      <c r="CP429" s="1098"/>
      <c r="CQ429" s="1098"/>
      <c r="CR429" s="1098"/>
      <c r="CS429" s="1098"/>
      <c r="CT429" s="1098"/>
      <c r="CU429" s="1098"/>
      <c r="CV429" s="1098"/>
      <c r="CW429" s="1098"/>
      <c r="CX429" s="1098"/>
      <c r="CY429" s="1098"/>
      <c r="CZ429" s="1098"/>
      <c r="DA429" s="1098"/>
      <c r="DB429" s="1098"/>
      <c r="DC429" s="1098"/>
      <c r="DD429" s="1098"/>
      <c r="DE429" s="1098"/>
      <c r="DF429" s="1098"/>
      <c r="DG429" s="1098"/>
      <c r="DH429" s="1098"/>
      <c r="DI429" s="1098"/>
      <c r="DJ429" s="1098"/>
      <c r="DK429" s="1098"/>
      <c r="DL429" s="1098"/>
      <c r="DM429" s="1098"/>
      <c r="DN429" s="1098"/>
      <c r="DO429" s="1098"/>
      <c r="DP429" s="1098"/>
      <c r="DQ429" s="1098"/>
      <c r="DR429" s="1098"/>
      <c r="DS429" s="1098"/>
      <c r="DT429" s="1098"/>
      <c r="DU429" s="1098"/>
      <c r="DV429" s="1098"/>
      <c r="DW429" s="1098"/>
      <c r="DX429" s="1098"/>
      <c r="DY429" s="1098"/>
      <c r="DZ429" s="1098"/>
      <c r="EA429" s="1098"/>
      <c r="EB429" s="1098"/>
      <c r="EC429" s="1098"/>
      <c r="ED429" s="1098"/>
      <c r="EE429" s="1098"/>
      <c r="EF429" s="1098"/>
      <c r="EG429" s="1098"/>
      <c r="EH429" s="1098"/>
      <c r="EI429" s="1098"/>
      <c r="EJ429" s="1098"/>
      <c r="EK429" s="1098"/>
      <c r="EL429" s="1098"/>
      <c r="EM429" s="1098"/>
      <c r="EN429" s="1098"/>
      <c r="EO429" s="1098"/>
      <c r="EP429" s="1098"/>
      <c r="EQ429" s="1098"/>
      <c r="ER429" s="1098"/>
      <c r="ES429" s="1098"/>
      <c r="ET429" s="1098"/>
      <c r="EU429" s="1098"/>
      <c r="EV429" s="1098"/>
      <c r="EW429" s="1098"/>
      <c r="EX429" s="1098"/>
      <c r="EY429" s="1098"/>
      <c r="EZ429" s="1098"/>
      <c r="FA429" s="1098"/>
      <c r="FB429" s="1098"/>
      <c r="FC429" s="1098"/>
      <c r="FD429" s="1098"/>
      <c r="FE429" s="1098"/>
      <c r="FF429" s="1098"/>
      <c r="FG429" s="1098"/>
      <c r="FH429" s="1098"/>
      <c r="FI429" s="1098"/>
      <c r="FJ429" s="1098"/>
      <c r="FK429" s="1098"/>
      <c r="FL429" s="1098"/>
      <c r="FM429" s="1098"/>
      <c r="FN429" s="1098"/>
      <c r="FO429" s="1098"/>
      <c r="FP429" s="1098"/>
      <c r="FQ429" s="1098"/>
      <c r="FR429" s="1098"/>
      <c r="FS429" s="1098"/>
      <c r="FT429" s="1098"/>
      <c r="FU429" s="1098"/>
      <c r="FV429" s="1098"/>
      <c r="FW429" s="1098"/>
      <c r="FX429" s="1098"/>
      <c r="FY429" s="1098"/>
      <c r="FZ429" s="1098"/>
      <c r="GA429" s="1098"/>
      <c r="GB429" s="1098"/>
      <c r="GC429" s="1098"/>
      <c r="GD429" s="1098"/>
      <c r="GE429" s="1098"/>
      <c r="GF429" s="1098"/>
      <c r="GG429" s="1098"/>
      <c r="GH429" s="1098"/>
      <c r="GI429" s="1098"/>
      <c r="GJ429" s="1098"/>
      <c r="GK429" s="1098"/>
      <c r="GL429" s="1098"/>
      <c r="GM429" s="1098"/>
      <c r="GN429" s="1098"/>
      <c r="GO429" s="1098"/>
      <c r="GP429" s="1098"/>
      <c r="GQ429" s="1098"/>
      <c r="GR429" s="1098"/>
      <c r="GS429" s="1098"/>
      <c r="GT429" s="1098"/>
      <c r="GU429" s="1098"/>
      <c r="GV429" s="1098"/>
      <c r="GW429" s="1098"/>
      <c r="GX429" s="1098"/>
      <c r="GY429" s="1098"/>
      <c r="GZ429" s="1098"/>
      <c r="HA429" s="1098"/>
      <c r="HB429" s="1098"/>
      <c r="HC429" s="1098"/>
      <c r="HD429" s="1098"/>
      <c r="HE429" s="1098"/>
      <c r="HF429" s="1098"/>
      <c r="HG429" s="1098"/>
      <c r="HH429" s="1098"/>
      <c r="HI429" s="1098"/>
      <c r="HJ429" s="1098"/>
      <c r="HK429" s="1098"/>
      <c r="HL429" s="1098"/>
      <c r="HM429" s="1098"/>
      <c r="HN429" s="1098"/>
      <c r="HO429" s="1098"/>
      <c r="HP429" s="1098"/>
      <c r="HQ429" s="1098"/>
      <c r="HR429" s="1098"/>
      <c r="HS429" s="1098"/>
      <c r="HT429" s="1098"/>
      <c r="HU429" s="1098"/>
      <c r="HV429" s="1098"/>
      <c r="HW429" s="1098"/>
      <c r="HX429" s="1098"/>
      <c r="HY429" s="1098"/>
      <c r="HZ429" s="1098"/>
      <c r="IA429" s="1098"/>
      <c r="IB429" s="1098"/>
      <c r="IC429" s="1098"/>
      <c r="ID429" s="1098"/>
      <c r="IE429" s="1098"/>
      <c r="IF429" s="1098"/>
      <c r="IG429" s="1098"/>
      <c r="IH429" s="1098"/>
      <c r="II429" s="1098"/>
      <c r="IJ429" s="1098"/>
      <c r="IK429" s="1098"/>
      <c r="IL429" s="1098"/>
      <c r="IM429" s="1098"/>
      <c r="IN429" s="1098"/>
      <c r="IO429" s="1098"/>
      <c r="IP429" s="1098"/>
      <c r="IQ429" s="1098"/>
      <c r="IR429" s="1098"/>
      <c r="IS429" s="1098"/>
      <c r="IT429" s="1098"/>
      <c r="IU429" s="1098"/>
      <c r="IV429" s="1098"/>
      <c r="IW429" s="1098"/>
      <c r="IX429" s="1098"/>
      <c r="IY429" s="1098"/>
      <c r="IZ429" s="1098"/>
      <c r="JA429" s="1098"/>
      <c r="JB429" s="1098"/>
      <c r="JC429" s="1098"/>
      <c r="JD429" s="1098"/>
      <c r="JE429" s="1098"/>
      <c r="JF429" s="1098"/>
      <c r="JG429" s="1098"/>
      <c r="JH429" s="1098"/>
      <c r="JI429" s="1098"/>
      <c r="JJ429" s="1098"/>
      <c r="JK429" s="1098"/>
      <c r="JL429" s="1098"/>
      <c r="JM429" s="1098"/>
      <c r="JN429" s="1098"/>
      <c r="JO429" s="1098"/>
      <c r="JP429" s="1098"/>
      <c r="JQ429" s="1098"/>
      <c r="JR429" s="1098"/>
      <c r="JS429" s="1098"/>
      <c r="JT429" s="1098"/>
      <c r="JU429" s="1098"/>
      <c r="JV429" s="1098"/>
      <c r="JW429" s="1098"/>
      <c r="JX429" s="1098"/>
      <c r="JY429" s="1098"/>
      <c r="JZ429" s="1098"/>
      <c r="KA429" s="1098"/>
      <c r="KB429" s="1099"/>
    </row>
    <row r="430" spans="1:289" ht="15" customHeight="1" x14ac:dyDescent="0.35">
      <c r="B430" s="146" t="str">
        <f t="shared" si="36"/>
        <v>Desk 6</v>
      </c>
      <c r="C430" s="148" t="str">
        <v/>
      </c>
      <c r="D430" s="148" t="str">
        <v/>
      </c>
      <c r="E430" s="148" t="str">
        <v/>
      </c>
      <c r="F430" s="148" t="str">
        <v/>
      </c>
      <c r="G430" s="268" t="str">
        <v/>
      </c>
      <c r="H430" s="1098"/>
      <c r="I430" s="1098"/>
      <c r="J430" s="1098"/>
      <c r="K430" s="1098"/>
      <c r="L430" s="1098"/>
      <c r="M430" s="1098"/>
      <c r="N430" s="1098"/>
      <c r="O430" s="1098"/>
      <c r="P430" s="1098"/>
      <c r="Q430" s="1098"/>
      <c r="R430" s="1098"/>
      <c r="S430" s="1098"/>
      <c r="T430" s="1098"/>
      <c r="U430" s="1098"/>
      <c r="V430" s="1098"/>
      <c r="W430" s="1098"/>
      <c r="X430" s="1098"/>
      <c r="Y430" s="1098"/>
      <c r="Z430" s="1098"/>
      <c r="AA430" s="1098"/>
      <c r="AB430" s="1098"/>
      <c r="AC430" s="1098"/>
      <c r="AD430" s="1098"/>
      <c r="AE430" s="1098"/>
      <c r="AF430" s="1098"/>
      <c r="AG430" s="1098"/>
      <c r="AH430" s="1098"/>
      <c r="AI430" s="1098"/>
      <c r="AJ430" s="1098"/>
      <c r="AK430" s="1098"/>
      <c r="AL430" s="1098"/>
      <c r="AM430" s="1098"/>
      <c r="AN430" s="1098"/>
      <c r="AO430" s="1098"/>
      <c r="AP430" s="1098"/>
      <c r="AQ430" s="1098"/>
      <c r="AR430" s="1098"/>
      <c r="AS430" s="1098"/>
      <c r="AT430" s="1098"/>
      <c r="AU430" s="1098"/>
      <c r="AV430" s="1098"/>
      <c r="AW430" s="1098"/>
      <c r="AX430" s="1098"/>
      <c r="AY430" s="1098"/>
      <c r="AZ430" s="1098"/>
      <c r="BA430" s="1098"/>
      <c r="BB430" s="1098"/>
      <c r="BC430" s="1098"/>
      <c r="BD430" s="1098"/>
      <c r="BE430" s="1098"/>
      <c r="BF430" s="1098"/>
      <c r="BG430" s="1098"/>
      <c r="BH430" s="1098"/>
      <c r="BI430" s="1098"/>
      <c r="BJ430" s="1098"/>
      <c r="BK430" s="1098"/>
      <c r="BL430" s="1098"/>
      <c r="BM430" s="1098"/>
      <c r="BN430" s="1098"/>
      <c r="BO430" s="1098"/>
      <c r="BP430" s="1098"/>
      <c r="BQ430" s="1098"/>
      <c r="BR430" s="1098"/>
      <c r="BS430" s="1098"/>
      <c r="BT430" s="1098"/>
      <c r="BU430" s="1098"/>
      <c r="BV430" s="1098"/>
      <c r="BW430" s="1098"/>
      <c r="BX430" s="1098"/>
      <c r="BY430" s="1098"/>
      <c r="BZ430" s="1098"/>
      <c r="CA430" s="1098"/>
      <c r="CB430" s="1098"/>
      <c r="CC430" s="1098"/>
      <c r="CD430" s="1098"/>
      <c r="CE430" s="1098"/>
      <c r="CF430" s="1098"/>
      <c r="CG430" s="1098"/>
      <c r="CH430" s="1098"/>
      <c r="CI430" s="1098"/>
      <c r="CJ430" s="1098"/>
      <c r="CK430" s="1098"/>
      <c r="CL430" s="1098"/>
      <c r="CM430" s="1098"/>
      <c r="CN430" s="1098"/>
      <c r="CO430" s="1098"/>
      <c r="CP430" s="1098"/>
      <c r="CQ430" s="1098"/>
      <c r="CR430" s="1098"/>
      <c r="CS430" s="1098"/>
      <c r="CT430" s="1098"/>
      <c r="CU430" s="1098"/>
      <c r="CV430" s="1098"/>
      <c r="CW430" s="1098"/>
      <c r="CX430" s="1098"/>
      <c r="CY430" s="1098"/>
      <c r="CZ430" s="1098"/>
      <c r="DA430" s="1098"/>
      <c r="DB430" s="1098"/>
      <c r="DC430" s="1098"/>
      <c r="DD430" s="1098"/>
      <c r="DE430" s="1098"/>
      <c r="DF430" s="1098"/>
      <c r="DG430" s="1098"/>
      <c r="DH430" s="1098"/>
      <c r="DI430" s="1098"/>
      <c r="DJ430" s="1098"/>
      <c r="DK430" s="1098"/>
      <c r="DL430" s="1098"/>
      <c r="DM430" s="1098"/>
      <c r="DN430" s="1098"/>
      <c r="DO430" s="1098"/>
      <c r="DP430" s="1098"/>
      <c r="DQ430" s="1098"/>
      <c r="DR430" s="1098"/>
      <c r="DS430" s="1098"/>
      <c r="DT430" s="1098"/>
      <c r="DU430" s="1098"/>
      <c r="DV430" s="1098"/>
      <c r="DW430" s="1098"/>
      <c r="DX430" s="1098"/>
      <c r="DY430" s="1098"/>
      <c r="DZ430" s="1098"/>
      <c r="EA430" s="1098"/>
      <c r="EB430" s="1098"/>
      <c r="EC430" s="1098"/>
      <c r="ED430" s="1098"/>
      <c r="EE430" s="1098"/>
      <c r="EF430" s="1098"/>
      <c r="EG430" s="1098"/>
      <c r="EH430" s="1098"/>
      <c r="EI430" s="1098"/>
      <c r="EJ430" s="1098"/>
      <c r="EK430" s="1098"/>
      <c r="EL430" s="1098"/>
      <c r="EM430" s="1098"/>
      <c r="EN430" s="1098"/>
      <c r="EO430" s="1098"/>
      <c r="EP430" s="1098"/>
      <c r="EQ430" s="1098"/>
      <c r="ER430" s="1098"/>
      <c r="ES430" s="1098"/>
      <c r="ET430" s="1098"/>
      <c r="EU430" s="1098"/>
      <c r="EV430" s="1098"/>
      <c r="EW430" s="1098"/>
      <c r="EX430" s="1098"/>
      <c r="EY430" s="1098"/>
      <c r="EZ430" s="1098"/>
      <c r="FA430" s="1098"/>
      <c r="FB430" s="1098"/>
      <c r="FC430" s="1098"/>
      <c r="FD430" s="1098"/>
      <c r="FE430" s="1098"/>
      <c r="FF430" s="1098"/>
      <c r="FG430" s="1098"/>
      <c r="FH430" s="1098"/>
      <c r="FI430" s="1098"/>
      <c r="FJ430" s="1098"/>
      <c r="FK430" s="1098"/>
      <c r="FL430" s="1098"/>
      <c r="FM430" s="1098"/>
      <c r="FN430" s="1098"/>
      <c r="FO430" s="1098"/>
      <c r="FP430" s="1098"/>
      <c r="FQ430" s="1098"/>
      <c r="FR430" s="1098"/>
      <c r="FS430" s="1098"/>
      <c r="FT430" s="1098"/>
      <c r="FU430" s="1098"/>
      <c r="FV430" s="1098"/>
      <c r="FW430" s="1098"/>
      <c r="FX430" s="1098"/>
      <c r="FY430" s="1098"/>
      <c r="FZ430" s="1098"/>
      <c r="GA430" s="1098"/>
      <c r="GB430" s="1098"/>
      <c r="GC430" s="1098"/>
      <c r="GD430" s="1098"/>
      <c r="GE430" s="1098"/>
      <c r="GF430" s="1098"/>
      <c r="GG430" s="1098"/>
      <c r="GH430" s="1098"/>
      <c r="GI430" s="1098"/>
      <c r="GJ430" s="1098"/>
      <c r="GK430" s="1098"/>
      <c r="GL430" s="1098"/>
      <c r="GM430" s="1098"/>
      <c r="GN430" s="1098"/>
      <c r="GO430" s="1098"/>
      <c r="GP430" s="1098"/>
      <c r="GQ430" s="1098"/>
      <c r="GR430" s="1098"/>
      <c r="GS430" s="1098"/>
      <c r="GT430" s="1098"/>
      <c r="GU430" s="1098"/>
      <c r="GV430" s="1098"/>
      <c r="GW430" s="1098"/>
      <c r="GX430" s="1098"/>
      <c r="GY430" s="1098"/>
      <c r="GZ430" s="1098"/>
      <c r="HA430" s="1098"/>
      <c r="HB430" s="1098"/>
      <c r="HC430" s="1098"/>
      <c r="HD430" s="1098"/>
      <c r="HE430" s="1098"/>
      <c r="HF430" s="1098"/>
      <c r="HG430" s="1098"/>
      <c r="HH430" s="1098"/>
      <c r="HI430" s="1098"/>
      <c r="HJ430" s="1098"/>
      <c r="HK430" s="1098"/>
      <c r="HL430" s="1098"/>
      <c r="HM430" s="1098"/>
      <c r="HN430" s="1098"/>
      <c r="HO430" s="1098"/>
      <c r="HP430" s="1098"/>
      <c r="HQ430" s="1098"/>
      <c r="HR430" s="1098"/>
      <c r="HS430" s="1098"/>
      <c r="HT430" s="1098"/>
      <c r="HU430" s="1098"/>
      <c r="HV430" s="1098"/>
      <c r="HW430" s="1098"/>
      <c r="HX430" s="1098"/>
      <c r="HY430" s="1098"/>
      <c r="HZ430" s="1098"/>
      <c r="IA430" s="1098"/>
      <c r="IB430" s="1098"/>
      <c r="IC430" s="1098"/>
      <c r="ID430" s="1098"/>
      <c r="IE430" s="1098"/>
      <c r="IF430" s="1098"/>
      <c r="IG430" s="1098"/>
      <c r="IH430" s="1098"/>
      <c r="II430" s="1098"/>
      <c r="IJ430" s="1098"/>
      <c r="IK430" s="1098"/>
      <c r="IL430" s="1098"/>
      <c r="IM430" s="1098"/>
      <c r="IN430" s="1098"/>
      <c r="IO430" s="1098"/>
      <c r="IP430" s="1098"/>
      <c r="IQ430" s="1098"/>
      <c r="IR430" s="1098"/>
      <c r="IS430" s="1098"/>
      <c r="IT430" s="1098"/>
      <c r="IU430" s="1098"/>
      <c r="IV430" s="1098"/>
      <c r="IW430" s="1098"/>
      <c r="IX430" s="1098"/>
      <c r="IY430" s="1098"/>
      <c r="IZ430" s="1098"/>
      <c r="JA430" s="1098"/>
      <c r="JB430" s="1098"/>
      <c r="JC430" s="1098"/>
      <c r="JD430" s="1098"/>
      <c r="JE430" s="1098"/>
      <c r="JF430" s="1098"/>
      <c r="JG430" s="1098"/>
      <c r="JH430" s="1098"/>
      <c r="JI430" s="1098"/>
      <c r="JJ430" s="1098"/>
      <c r="JK430" s="1098"/>
      <c r="JL430" s="1098"/>
      <c r="JM430" s="1098"/>
      <c r="JN430" s="1098"/>
      <c r="JO430" s="1098"/>
      <c r="JP430" s="1098"/>
      <c r="JQ430" s="1098"/>
      <c r="JR430" s="1098"/>
      <c r="JS430" s="1098"/>
      <c r="JT430" s="1098"/>
      <c r="JU430" s="1098"/>
      <c r="JV430" s="1098"/>
      <c r="JW430" s="1098"/>
      <c r="JX430" s="1098"/>
      <c r="JY430" s="1098"/>
      <c r="JZ430" s="1098"/>
      <c r="KA430" s="1098"/>
      <c r="KB430" s="1099"/>
    </row>
    <row r="431" spans="1:289" ht="15" customHeight="1" x14ac:dyDescent="0.35">
      <c r="B431" s="146" t="str">
        <f t="shared" si="36"/>
        <v>Desk 7</v>
      </c>
      <c r="C431" s="148" t="str">
        <v/>
      </c>
      <c r="D431" s="148" t="str">
        <v/>
      </c>
      <c r="E431" s="148" t="str">
        <v/>
      </c>
      <c r="F431" s="148" t="str">
        <v/>
      </c>
      <c r="G431" s="268" t="str">
        <v/>
      </c>
      <c r="H431" s="1098"/>
      <c r="I431" s="1098"/>
      <c r="J431" s="1098"/>
      <c r="K431" s="1098"/>
      <c r="L431" s="1098"/>
      <c r="M431" s="1098"/>
      <c r="N431" s="1098"/>
      <c r="O431" s="1098"/>
      <c r="P431" s="1098"/>
      <c r="Q431" s="1098"/>
      <c r="R431" s="1098"/>
      <c r="S431" s="1098"/>
      <c r="T431" s="1098"/>
      <c r="U431" s="1098"/>
      <c r="V431" s="1098"/>
      <c r="W431" s="1098"/>
      <c r="X431" s="1098"/>
      <c r="Y431" s="1098"/>
      <c r="Z431" s="1098"/>
      <c r="AA431" s="1098"/>
      <c r="AB431" s="1098"/>
      <c r="AC431" s="1098"/>
      <c r="AD431" s="1098"/>
      <c r="AE431" s="1098"/>
      <c r="AF431" s="1098"/>
      <c r="AG431" s="1098"/>
      <c r="AH431" s="1098"/>
      <c r="AI431" s="1098"/>
      <c r="AJ431" s="1098"/>
      <c r="AK431" s="1098"/>
      <c r="AL431" s="1098"/>
      <c r="AM431" s="1098"/>
      <c r="AN431" s="1098"/>
      <c r="AO431" s="1098"/>
      <c r="AP431" s="1098"/>
      <c r="AQ431" s="1098"/>
      <c r="AR431" s="1098"/>
      <c r="AS431" s="1098"/>
      <c r="AT431" s="1098"/>
      <c r="AU431" s="1098"/>
      <c r="AV431" s="1098"/>
      <c r="AW431" s="1098"/>
      <c r="AX431" s="1098"/>
      <c r="AY431" s="1098"/>
      <c r="AZ431" s="1098"/>
      <c r="BA431" s="1098"/>
      <c r="BB431" s="1098"/>
      <c r="BC431" s="1098"/>
      <c r="BD431" s="1098"/>
      <c r="BE431" s="1098"/>
      <c r="BF431" s="1098"/>
      <c r="BG431" s="1098"/>
      <c r="BH431" s="1098"/>
      <c r="BI431" s="1098"/>
      <c r="BJ431" s="1098"/>
      <c r="BK431" s="1098"/>
      <c r="BL431" s="1098"/>
      <c r="BM431" s="1098"/>
      <c r="BN431" s="1098"/>
      <c r="BO431" s="1098"/>
      <c r="BP431" s="1098"/>
      <c r="BQ431" s="1098"/>
      <c r="BR431" s="1098"/>
      <c r="BS431" s="1098"/>
      <c r="BT431" s="1098"/>
      <c r="BU431" s="1098"/>
      <c r="BV431" s="1098"/>
      <c r="BW431" s="1098"/>
      <c r="BX431" s="1098"/>
      <c r="BY431" s="1098"/>
      <c r="BZ431" s="1098"/>
      <c r="CA431" s="1098"/>
      <c r="CB431" s="1098"/>
      <c r="CC431" s="1098"/>
      <c r="CD431" s="1098"/>
      <c r="CE431" s="1098"/>
      <c r="CF431" s="1098"/>
      <c r="CG431" s="1098"/>
      <c r="CH431" s="1098"/>
      <c r="CI431" s="1098"/>
      <c r="CJ431" s="1098"/>
      <c r="CK431" s="1098"/>
      <c r="CL431" s="1098"/>
      <c r="CM431" s="1098"/>
      <c r="CN431" s="1098"/>
      <c r="CO431" s="1098"/>
      <c r="CP431" s="1098"/>
      <c r="CQ431" s="1098"/>
      <c r="CR431" s="1098"/>
      <c r="CS431" s="1098"/>
      <c r="CT431" s="1098"/>
      <c r="CU431" s="1098"/>
      <c r="CV431" s="1098"/>
      <c r="CW431" s="1098"/>
      <c r="CX431" s="1098"/>
      <c r="CY431" s="1098"/>
      <c r="CZ431" s="1098"/>
      <c r="DA431" s="1098"/>
      <c r="DB431" s="1098"/>
      <c r="DC431" s="1098"/>
      <c r="DD431" s="1098"/>
      <c r="DE431" s="1098"/>
      <c r="DF431" s="1098"/>
      <c r="DG431" s="1098"/>
      <c r="DH431" s="1098"/>
      <c r="DI431" s="1098"/>
      <c r="DJ431" s="1098"/>
      <c r="DK431" s="1098"/>
      <c r="DL431" s="1098"/>
      <c r="DM431" s="1098"/>
      <c r="DN431" s="1098"/>
      <c r="DO431" s="1098"/>
      <c r="DP431" s="1098"/>
      <c r="DQ431" s="1098"/>
      <c r="DR431" s="1098"/>
      <c r="DS431" s="1098"/>
      <c r="DT431" s="1098"/>
      <c r="DU431" s="1098"/>
      <c r="DV431" s="1098"/>
      <c r="DW431" s="1098"/>
      <c r="DX431" s="1098"/>
      <c r="DY431" s="1098"/>
      <c r="DZ431" s="1098"/>
      <c r="EA431" s="1098"/>
      <c r="EB431" s="1098"/>
      <c r="EC431" s="1098"/>
      <c r="ED431" s="1098"/>
      <c r="EE431" s="1098"/>
      <c r="EF431" s="1098"/>
      <c r="EG431" s="1098"/>
      <c r="EH431" s="1098"/>
      <c r="EI431" s="1098"/>
      <c r="EJ431" s="1098"/>
      <c r="EK431" s="1098"/>
      <c r="EL431" s="1098"/>
      <c r="EM431" s="1098"/>
      <c r="EN431" s="1098"/>
      <c r="EO431" s="1098"/>
      <c r="EP431" s="1098"/>
      <c r="EQ431" s="1098"/>
      <c r="ER431" s="1098"/>
      <c r="ES431" s="1098"/>
      <c r="ET431" s="1098"/>
      <c r="EU431" s="1098"/>
      <c r="EV431" s="1098"/>
      <c r="EW431" s="1098"/>
      <c r="EX431" s="1098"/>
      <c r="EY431" s="1098"/>
      <c r="EZ431" s="1098"/>
      <c r="FA431" s="1098"/>
      <c r="FB431" s="1098"/>
      <c r="FC431" s="1098"/>
      <c r="FD431" s="1098"/>
      <c r="FE431" s="1098"/>
      <c r="FF431" s="1098"/>
      <c r="FG431" s="1098"/>
      <c r="FH431" s="1098"/>
      <c r="FI431" s="1098"/>
      <c r="FJ431" s="1098"/>
      <c r="FK431" s="1098"/>
      <c r="FL431" s="1098"/>
      <c r="FM431" s="1098"/>
      <c r="FN431" s="1098"/>
      <c r="FO431" s="1098"/>
      <c r="FP431" s="1098"/>
      <c r="FQ431" s="1098"/>
      <c r="FR431" s="1098"/>
      <c r="FS431" s="1098"/>
      <c r="FT431" s="1098"/>
      <c r="FU431" s="1098"/>
      <c r="FV431" s="1098"/>
      <c r="FW431" s="1098"/>
      <c r="FX431" s="1098"/>
      <c r="FY431" s="1098"/>
      <c r="FZ431" s="1098"/>
      <c r="GA431" s="1098"/>
      <c r="GB431" s="1098"/>
      <c r="GC431" s="1098"/>
      <c r="GD431" s="1098"/>
      <c r="GE431" s="1098"/>
      <c r="GF431" s="1098"/>
      <c r="GG431" s="1098"/>
      <c r="GH431" s="1098"/>
      <c r="GI431" s="1098"/>
      <c r="GJ431" s="1098"/>
      <c r="GK431" s="1098"/>
      <c r="GL431" s="1098"/>
      <c r="GM431" s="1098"/>
      <c r="GN431" s="1098"/>
      <c r="GO431" s="1098"/>
      <c r="GP431" s="1098"/>
      <c r="GQ431" s="1098"/>
      <c r="GR431" s="1098"/>
      <c r="GS431" s="1098"/>
      <c r="GT431" s="1098"/>
      <c r="GU431" s="1098"/>
      <c r="GV431" s="1098"/>
      <c r="GW431" s="1098"/>
      <c r="GX431" s="1098"/>
      <c r="GY431" s="1098"/>
      <c r="GZ431" s="1098"/>
      <c r="HA431" s="1098"/>
      <c r="HB431" s="1098"/>
      <c r="HC431" s="1098"/>
      <c r="HD431" s="1098"/>
      <c r="HE431" s="1098"/>
      <c r="HF431" s="1098"/>
      <c r="HG431" s="1098"/>
      <c r="HH431" s="1098"/>
      <c r="HI431" s="1098"/>
      <c r="HJ431" s="1098"/>
      <c r="HK431" s="1098"/>
      <c r="HL431" s="1098"/>
      <c r="HM431" s="1098"/>
      <c r="HN431" s="1098"/>
      <c r="HO431" s="1098"/>
      <c r="HP431" s="1098"/>
      <c r="HQ431" s="1098"/>
      <c r="HR431" s="1098"/>
      <c r="HS431" s="1098"/>
      <c r="HT431" s="1098"/>
      <c r="HU431" s="1098"/>
      <c r="HV431" s="1098"/>
      <c r="HW431" s="1098"/>
      <c r="HX431" s="1098"/>
      <c r="HY431" s="1098"/>
      <c r="HZ431" s="1098"/>
      <c r="IA431" s="1098"/>
      <c r="IB431" s="1098"/>
      <c r="IC431" s="1098"/>
      <c r="ID431" s="1098"/>
      <c r="IE431" s="1098"/>
      <c r="IF431" s="1098"/>
      <c r="IG431" s="1098"/>
      <c r="IH431" s="1098"/>
      <c r="II431" s="1098"/>
      <c r="IJ431" s="1098"/>
      <c r="IK431" s="1098"/>
      <c r="IL431" s="1098"/>
      <c r="IM431" s="1098"/>
      <c r="IN431" s="1098"/>
      <c r="IO431" s="1098"/>
      <c r="IP431" s="1098"/>
      <c r="IQ431" s="1098"/>
      <c r="IR431" s="1098"/>
      <c r="IS431" s="1098"/>
      <c r="IT431" s="1098"/>
      <c r="IU431" s="1098"/>
      <c r="IV431" s="1098"/>
      <c r="IW431" s="1098"/>
      <c r="IX431" s="1098"/>
      <c r="IY431" s="1098"/>
      <c r="IZ431" s="1098"/>
      <c r="JA431" s="1098"/>
      <c r="JB431" s="1098"/>
      <c r="JC431" s="1098"/>
      <c r="JD431" s="1098"/>
      <c r="JE431" s="1098"/>
      <c r="JF431" s="1098"/>
      <c r="JG431" s="1098"/>
      <c r="JH431" s="1098"/>
      <c r="JI431" s="1098"/>
      <c r="JJ431" s="1098"/>
      <c r="JK431" s="1098"/>
      <c r="JL431" s="1098"/>
      <c r="JM431" s="1098"/>
      <c r="JN431" s="1098"/>
      <c r="JO431" s="1098"/>
      <c r="JP431" s="1098"/>
      <c r="JQ431" s="1098"/>
      <c r="JR431" s="1098"/>
      <c r="JS431" s="1098"/>
      <c r="JT431" s="1098"/>
      <c r="JU431" s="1098"/>
      <c r="JV431" s="1098"/>
      <c r="JW431" s="1098"/>
      <c r="JX431" s="1098"/>
      <c r="JY431" s="1098"/>
      <c r="JZ431" s="1098"/>
      <c r="KA431" s="1098"/>
      <c r="KB431" s="1099"/>
    </row>
    <row r="432" spans="1:289" ht="15" customHeight="1" x14ac:dyDescent="0.35">
      <c r="B432" s="146" t="str">
        <f t="shared" si="36"/>
        <v>Desk 8</v>
      </c>
      <c r="C432" s="148" t="str">
        <v/>
      </c>
      <c r="D432" s="148" t="str">
        <v/>
      </c>
      <c r="E432" s="148" t="str">
        <v/>
      </c>
      <c r="F432" s="148" t="str">
        <v/>
      </c>
      <c r="G432" s="268" t="str">
        <v/>
      </c>
      <c r="H432" s="1098"/>
      <c r="I432" s="1098"/>
      <c r="J432" s="1098"/>
      <c r="K432" s="1098"/>
      <c r="L432" s="1098"/>
      <c r="M432" s="1098"/>
      <c r="N432" s="1098"/>
      <c r="O432" s="1098"/>
      <c r="P432" s="1098"/>
      <c r="Q432" s="1098"/>
      <c r="R432" s="1098"/>
      <c r="S432" s="1098"/>
      <c r="T432" s="1098"/>
      <c r="U432" s="1098"/>
      <c r="V432" s="1098"/>
      <c r="W432" s="1098"/>
      <c r="X432" s="1098"/>
      <c r="Y432" s="1098"/>
      <c r="Z432" s="1098"/>
      <c r="AA432" s="1098"/>
      <c r="AB432" s="1098"/>
      <c r="AC432" s="1098"/>
      <c r="AD432" s="1098"/>
      <c r="AE432" s="1098"/>
      <c r="AF432" s="1098"/>
      <c r="AG432" s="1098"/>
      <c r="AH432" s="1098"/>
      <c r="AI432" s="1098"/>
      <c r="AJ432" s="1098"/>
      <c r="AK432" s="1098"/>
      <c r="AL432" s="1098"/>
      <c r="AM432" s="1098"/>
      <c r="AN432" s="1098"/>
      <c r="AO432" s="1098"/>
      <c r="AP432" s="1098"/>
      <c r="AQ432" s="1098"/>
      <c r="AR432" s="1098"/>
      <c r="AS432" s="1098"/>
      <c r="AT432" s="1098"/>
      <c r="AU432" s="1098"/>
      <c r="AV432" s="1098"/>
      <c r="AW432" s="1098"/>
      <c r="AX432" s="1098"/>
      <c r="AY432" s="1098"/>
      <c r="AZ432" s="1098"/>
      <c r="BA432" s="1098"/>
      <c r="BB432" s="1098"/>
      <c r="BC432" s="1098"/>
      <c r="BD432" s="1098"/>
      <c r="BE432" s="1098"/>
      <c r="BF432" s="1098"/>
      <c r="BG432" s="1098"/>
      <c r="BH432" s="1098"/>
      <c r="BI432" s="1098"/>
      <c r="BJ432" s="1098"/>
      <c r="BK432" s="1098"/>
      <c r="BL432" s="1098"/>
      <c r="BM432" s="1098"/>
      <c r="BN432" s="1098"/>
      <c r="BO432" s="1098"/>
      <c r="BP432" s="1098"/>
      <c r="BQ432" s="1098"/>
      <c r="BR432" s="1098"/>
      <c r="BS432" s="1098"/>
      <c r="BT432" s="1098"/>
      <c r="BU432" s="1098"/>
      <c r="BV432" s="1098"/>
      <c r="BW432" s="1098"/>
      <c r="BX432" s="1098"/>
      <c r="BY432" s="1098"/>
      <c r="BZ432" s="1098"/>
      <c r="CA432" s="1098"/>
      <c r="CB432" s="1098"/>
      <c r="CC432" s="1098"/>
      <c r="CD432" s="1098"/>
      <c r="CE432" s="1098"/>
      <c r="CF432" s="1098"/>
      <c r="CG432" s="1098"/>
      <c r="CH432" s="1098"/>
      <c r="CI432" s="1098"/>
      <c r="CJ432" s="1098"/>
      <c r="CK432" s="1098"/>
      <c r="CL432" s="1098"/>
      <c r="CM432" s="1098"/>
      <c r="CN432" s="1098"/>
      <c r="CO432" s="1098"/>
      <c r="CP432" s="1098"/>
      <c r="CQ432" s="1098"/>
      <c r="CR432" s="1098"/>
      <c r="CS432" s="1098"/>
      <c r="CT432" s="1098"/>
      <c r="CU432" s="1098"/>
      <c r="CV432" s="1098"/>
      <c r="CW432" s="1098"/>
      <c r="CX432" s="1098"/>
      <c r="CY432" s="1098"/>
      <c r="CZ432" s="1098"/>
      <c r="DA432" s="1098"/>
      <c r="DB432" s="1098"/>
      <c r="DC432" s="1098"/>
      <c r="DD432" s="1098"/>
      <c r="DE432" s="1098"/>
      <c r="DF432" s="1098"/>
      <c r="DG432" s="1098"/>
      <c r="DH432" s="1098"/>
      <c r="DI432" s="1098"/>
      <c r="DJ432" s="1098"/>
      <c r="DK432" s="1098"/>
      <c r="DL432" s="1098"/>
      <c r="DM432" s="1098"/>
      <c r="DN432" s="1098"/>
      <c r="DO432" s="1098"/>
      <c r="DP432" s="1098"/>
      <c r="DQ432" s="1098"/>
      <c r="DR432" s="1098"/>
      <c r="DS432" s="1098"/>
      <c r="DT432" s="1098"/>
      <c r="DU432" s="1098"/>
      <c r="DV432" s="1098"/>
      <c r="DW432" s="1098"/>
      <c r="DX432" s="1098"/>
      <c r="DY432" s="1098"/>
      <c r="DZ432" s="1098"/>
      <c r="EA432" s="1098"/>
      <c r="EB432" s="1098"/>
      <c r="EC432" s="1098"/>
      <c r="ED432" s="1098"/>
      <c r="EE432" s="1098"/>
      <c r="EF432" s="1098"/>
      <c r="EG432" s="1098"/>
      <c r="EH432" s="1098"/>
      <c r="EI432" s="1098"/>
      <c r="EJ432" s="1098"/>
      <c r="EK432" s="1098"/>
      <c r="EL432" s="1098"/>
      <c r="EM432" s="1098"/>
      <c r="EN432" s="1098"/>
      <c r="EO432" s="1098"/>
      <c r="EP432" s="1098"/>
      <c r="EQ432" s="1098"/>
      <c r="ER432" s="1098"/>
      <c r="ES432" s="1098"/>
      <c r="ET432" s="1098"/>
      <c r="EU432" s="1098"/>
      <c r="EV432" s="1098"/>
      <c r="EW432" s="1098"/>
      <c r="EX432" s="1098"/>
      <c r="EY432" s="1098"/>
      <c r="EZ432" s="1098"/>
      <c r="FA432" s="1098"/>
      <c r="FB432" s="1098"/>
      <c r="FC432" s="1098"/>
      <c r="FD432" s="1098"/>
      <c r="FE432" s="1098"/>
      <c r="FF432" s="1098"/>
      <c r="FG432" s="1098"/>
      <c r="FH432" s="1098"/>
      <c r="FI432" s="1098"/>
      <c r="FJ432" s="1098"/>
      <c r="FK432" s="1098"/>
      <c r="FL432" s="1098"/>
      <c r="FM432" s="1098"/>
      <c r="FN432" s="1098"/>
      <c r="FO432" s="1098"/>
      <c r="FP432" s="1098"/>
      <c r="FQ432" s="1098"/>
      <c r="FR432" s="1098"/>
      <c r="FS432" s="1098"/>
      <c r="FT432" s="1098"/>
      <c r="FU432" s="1098"/>
      <c r="FV432" s="1098"/>
      <c r="FW432" s="1098"/>
      <c r="FX432" s="1098"/>
      <c r="FY432" s="1098"/>
      <c r="FZ432" s="1098"/>
      <c r="GA432" s="1098"/>
      <c r="GB432" s="1098"/>
      <c r="GC432" s="1098"/>
      <c r="GD432" s="1098"/>
      <c r="GE432" s="1098"/>
      <c r="GF432" s="1098"/>
      <c r="GG432" s="1098"/>
      <c r="GH432" s="1098"/>
      <c r="GI432" s="1098"/>
      <c r="GJ432" s="1098"/>
      <c r="GK432" s="1098"/>
      <c r="GL432" s="1098"/>
      <c r="GM432" s="1098"/>
      <c r="GN432" s="1098"/>
      <c r="GO432" s="1098"/>
      <c r="GP432" s="1098"/>
      <c r="GQ432" s="1098"/>
      <c r="GR432" s="1098"/>
      <c r="GS432" s="1098"/>
      <c r="GT432" s="1098"/>
      <c r="GU432" s="1098"/>
      <c r="GV432" s="1098"/>
      <c r="GW432" s="1098"/>
      <c r="GX432" s="1098"/>
      <c r="GY432" s="1098"/>
      <c r="GZ432" s="1098"/>
      <c r="HA432" s="1098"/>
      <c r="HB432" s="1098"/>
      <c r="HC432" s="1098"/>
      <c r="HD432" s="1098"/>
      <c r="HE432" s="1098"/>
      <c r="HF432" s="1098"/>
      <c r="HG432" s="1098"/>
      <c r="HH432" s="1098"/>
      <c r="HI432" s="1098"/>
      <c r="HJ432" s="1098"/>
      <c r="HK432" s="1098"/>
      <c r="HL432" s="1098"/>
      <c r="HM432" s="1098"/>
      <c r="HN432" s="1098"/>
      <c r="HO432" s="1098"/>
      <c r="HP432" s="1098"/>
      <c r="HQ432" s="1098"/>
      <c r="HR432" s="1098"/>
      <c r="HS432" s="1098"/>
      <c r="HT432" s="1098"/>
      <c r="HU432" s="1098"/>
      <c r="HV432" s="1098"/>
      <c r="HW432" s="1098"/>
      <c r="HX432" s="1098"/>
      <c r="HY432" s="1098"/>
      <c r="HZ432" s="1098"/>
      <c r="IA432" s="1098"/>
      <c r="IB432" s="1098"/>
      <c r="IC432" s="1098"/>
      <c r="ID432" s="1098"/>
      <c r="IE432" s="1098"/>
      <c r="IF432" s="1098"/>
      <c r="IG432" s="1098"/>
      <c r="IH432" s="1098"/>
      <c r="II432" s="1098"/>
      <c r="IJ432" s="1098"/>
      <c r="IK432" s="1098"/>
      <c r="IL432" s="1098"/>
      <c r="IM432" s="1098"/>
      <c r="IN432" s="1098"/>
      <c r="IO432" s="1098"/>
      <c r="IP432" s="1098"/>
      <c r="IQ432" s="1098"/>
      <c r="IR432" s="1098"/>
      <c r="IS432" s="1098"/>
      <c r="IT432" s="1098"/>
      <c r="IU432" s="1098"/>
      <c r="IV432" s="1098"/>
      <c r="IW432" s="1098"/>
      <c r="IX432" s="1098"/>
      <c r="IY432" s="1098"/>
      <c r="IZ432" s="1098"/>
      <c r="JA432" s="1098"/>
      <c r="JB432" s="1098"/>
      <c r="JC432" s="1098"/>
      <c r="JD432" s="1098"/>
      <c r="JE432" s="1098"/>
      <c r="JF432" s="1098"/>
      <c r="JG432" s="1098"/>
      <c r="JH432" s="1098"/>
      <c r="JI432" s="1098"/>
      <c r="JJ432" s="1098"/>
      <c r="JK432" s="1098"/>
      <c r="JL432" s="1098"/>
      <c r="JM432" s="1098"/>
      <c r="JN432" s="1098"/>
      <c r="JO432" s="1098"/>
      <c r="JP432" s="1098"/>
      <c r="JQ432" s="1098"/>
      <c r="JR432" s="1098"/>
      <c r="JS432" s="1098"/>
      <c r="JT432" s="1098"/>
      <c r="JU432" s="1098"/>
      <c r="JV432" s="1098"/>
      <c r="JW432" s="1098"/>
      <c r="JX432" s="1098"/>
      <c r="JY432" s="1098"/>
      <c r="JZ432" s="1098"/>
      <c r="KA432" s="1098"/>
      <c r="KB432" s="1099"/>
    </row>
    <row r="433" spans="2:288" ht="15" customHeight="1" x14ac:dyDescent="0.35">
      <c r="B433" s="146" t="str">
        <f t="shared" si="36"/>
        <v>Desk 9</v>
      </c>
      <c r="C433" s="148" t="str">
        <v/>
      </c>
      <c r="D433" s="148" t="str">
        <v/>
      </c>
      <c r="E433" s="148" t="str">
        <v/>
      </c>
      <c r="F433" s="148" t="str">
        <v/>
      </c>
      <c r="G433" s="268" t="str">
        <v/>
      </c>
      <c r="H433" s="1098"/>
      <c r="I433" s="1098"/>
      <c r="J433" s="1098"/>
      <c r="K433" s="1098"/>
      <c r="L433" s="1098"/>
      <c r="M433" s="1098"/>
      <c r="N433" s="1098"/>
      <c r="O433" s="1098"/>
      <c r="P433" s="1098"/>
      <c r="Q433" s="1098"/>
      <c r="R433" s="1098"/>
      <c r="S433" s="1098"/>
      <c r="T433" s="1098"/>
      <c r="U433" s="1098"/>
      <c r="V433" s="1098"/>
      <c r="W433" s="1098"/>
      <c r="X433" s="1098"/>
      <c r="Y433" s="1098"/>
      <c r="Z433" s="1098"/>
      <c r="AA433" s="1098"/>
      <c r="AB433" s="1098"/>
      <c r="AC433" s="1098"/>
      <c r="AD433" s="1098"/>
      <c r="AE433" s="1098"/>
      <c r="AF433" s="1098"/>
      <c r="AG433" s="1098"/>
      <c r="AH433" s="1098"/>
      <c r="AI433" s="1098"/>
      <c r="AJ433" s="1098"/>
      <c r="AK433" s="1098"/>
      <c r="AL433" s="1098"/>
      <c r="AM433" s="1098"/>
      <c r="AN433" s="1098"/>
      <c r="AO433" s="1098"/>
      <c r="AP433" s="1098"/>
      <c r="AQ433" s="1098"/>
      <c r="AR433" s="1098"/>
      <c r="AS433" s="1098"/>
      <c r="AT433" s="1098"/>
      <c r="AU433" s="1098"/>
      <c r="AV433" s="1098"/>
      <c r="AW433" s="1098"/>
      <c r="AX433" s="1098"/>
      <c r="AY433" s="1098"/>
      <c r="AZ433" s="1098"/>
      <c r="BA433" s="1098"/>
      <c r="BB433" s="1098"/>
      <c r="BC433" s="1098"/>
      <c r="BD433" s="1098"/>
      <c r="BE433" s="1098"/>
      <c r="BF433" s="1098"/>
      <c r="BG433" s="1098"/>
      <c r="BH433" s="1098"/>
      <c r="BI433" s="1098"/>
      <c r="BJ433" s="1098"/>
      <c r="BK433" s="1098"/>
      <c r="BL433" s="1098"/>
      <c r="BM433" s="1098"/>
      <c r="BN433" s="1098"/>
      <c r="BO433" s="1098"/>
      <c r="BP433" s="1098"/>
      <c r="BQ433" s="1098"/>
      <c r="BR433" s="1098"/>
      <c r="BS433" s="1098"/>
      <c r="BT433" s="1098"/>
      <c r="BU433" s="1098"/>
      <c r="BV433" s="1098"/>
      <c r="BW433" s="1098"/>
      <c r="BX433" s="1098"/>
      <c r="BY433" s="1098"/>
      <c r="BZ433" s="1098"/>
      <c r="CA433" s="1098"/>
      <c r="CB433" s="1098"/>
      <c r="CC433" s="1098"/>
      <c r="CD433" s="1098"/>
      <c r="CE433" s="1098"/>
      <c r="CF433" s="1098"/>
      <c r="CG433" s="1098"/>
      <c r="CH433" s="1098"/>
      <c r="CI433" s="1098"/>
      <c r="CJ433" s="1098"/>
      <c r="CK433" s="1098"/>
      <c r="CL433" s="1098"/>
      <c r="CM433" s="1098"/>
      <c r="CN433" s="1098"/>
      <c r="CO433" s="1098"/>
      <c r="CP433" s="1098"/>
      <c r="CQ433" s="1098"/>
      <c r="CR433" s="1098"/>
      <c r="CS433" s="1098"/>
      <c r="CT433" s="1098"/>
      <c r="CU433" s="1098"/>
      <c r="CV433" s="1098"/>
      <c r="CW433" s="1098"/>
      <c r="CX433" s="1098"/>
      <c r="CY433" s="1098"/>
      <c r="CZ433" s="1098"/>
      <c r="DA433" s="1098"/>
      <c r="DB433" s="1098"/>
      <c r="DC433" s="1098"/>
      <c r="DD433" s="1098"/>
      <c r="DE433" s="1098"/>
      <c r="DF433" s="1098"/>
      <c r="DG433" s="1098"/>
      <c r="DH433" s="1098"/>
      <c r="DI433" s="1098"/>
      <c r="DJ433" s="1098"/>
      <c r="DK433" s="1098"/>
      <c r="DL433" s="1098"/>
      <c r="DM433" s="1098"/>
      <c r="DN433" s="1098"/>
      <c r="DO433" s="1098"/>
      <c r="DP433" s="1098"/>
      <c r="DQ433" s="1098"/>
      <c r="DR433" s="1098"/>
      <c r="DS433" s="1098"/>
      <c r="DT433" s="1098"/>
      <c r="DU433" s="1098"/>
      <c r="DV433" s="1098"/>
      <c r="DW433" s="1098"/>
      <c r="DX433" s="1098"/>
      <c r="DY433" s="1098"/>
      <c r="DZ433" s="1098"/>
      <c r="EA433" s="1098"/>
      <c r="EB433" s="1098"/>
      <c r="EC433" s="1098"/>
      <c r="ED433" s="1098"/>
      <c r="EE433" s="1098"/>
      <c r="EF433" s="1098"/>
      <c r="EG433" s="1098"/>
      <c r="EH433" s="1098"/>
      <c r="EI433" s="1098"/>
      <c r="EJ433" s="1098"/>
      <c r="EK433" s="1098"/>
      <c r="EL433" s="1098"/>
      <c r="EM433" s="1098"/>
      <c r="EN433" s="1098"/>
      <c r="EO433" s="1098"/>
      <c r="EP433" s="1098"/>
      <c r="EQ433" s="1098"/>
      <c r="ER433" s="1098"/>
      <c r="ES433" s="1098"/>
      <c r="ET433" s="1098"/>
      <c r="EU433" s="1098"/>
      <c r="EV433" s="1098"/>
      <c r="EW433" s="1098"/>
      <c r="EX433" s="1098"/>
      <c r="EY433" s="1098"/>
      <c r="EZ433" s="1098"/>
      <c r="FA433" s="1098"/>
      <c r="FB433" s="1098"/>
      <c r="FC433" s="1098"/>
      <c r="FD433" s="1098"/>
      <c r="FE433" s="1098"/>
      <c r="FF433" s="1098"/>
      <c r="FG433" s="1098"/>
      <c r="FH433" s="1098"/>
      <c r="FI433" s="1098"/>
      <c r="FJ433" s="1098"/>
      <c r="FK433" s="1098"/>
      <c r="FL433" s="1098"/>
      <c r="FM433" s="1098"/>
      <c r="FN433" s="1098"/>
      <c r="FO433" s="1098"/>
      <c r="FP433" s="1098"/>
      <c r="FQ433" s="1098"/>
      <c r="FR433" s="1098"/>
      <c r="FS433" s="1098"/>
      <c r="FT433" s="1098"/>
      <c r="FU433" s="1098"/>
      <c r="FV433" s="1098"/>
      <c r="FW433" s="1098"/>
      <c r="FX433" s="1098"/>
      <c r="FY433" s="1098"/>
      <c r="FZ433" s="1098"/>
      <c r="GA433" s="1098"/>
      <c r="GB433" s="1098"/>
      <c r="GC433" s="1098"/>
      <c r="GD433" s="1098"/>
      <c r="GE433" s="1098"/>
      <c r="GF433" s="1098"/>
      <c r="GG433" s="1098"/>
      <c r="GH433" s="1098"/>
      <c r="GI433" s="1098"/>
      <c r="GJ433" s="1098"/>
      <c r="GK433" s="1098"/>
      <c r="GL433" s="1098"/>
      <c r="GM433" s="1098"/>
      <c r="GN433" s="1098"/>
      <c r="GO433" s="1098"/>
      <c r="GP433" s="1098"/>
      <c r="GQ433" s="1098"/>
      <c r="GR433" s="1098"/>
      <c r="GS433" s="1098"/>
      <c r="GT433" s="1098"/>
      <c r="GU433" s="1098"/>
      <c r="GV433" s="1098"/>
      <c r="GW433" s="1098"/>
      <c r="GX433" s="1098"/>
      <c r="GY433" s="1098"/>
      <c r="GZ433" s="1098"/>
      <c r="HA433" s="1098"/>
      <c r="HB433" s="1098"/>
      <c r="HC433" s="1098"/>
      <c r="HD433" s="1098"/>
      <c r="HE433" s="1098"/>
      <c r="HF433" s="1098"/>
      <c r="HG433" s="1098"/>
      <c r="HH433" s="1098"/>
      <c r="HI433" s="1098"/>
      <c r="HJ433" s="1098"/>
      <c r="HK433" s="1098"/>
      <c r="HL433" s="1098"/>
      <c r="HM433" s="1098"/>
      <c r="HN433" s="1098"/>
      <c r="HO433" s="1098"/>
      <c r="HP433" s="1098"/>
      <c r="HQ433" s="1098"/>
      <c r="HR433" s="1098"/>
      <c r="HS433" s="1098"/>
      <c r="HT433" s="1098"/>
      <c r="HU433" s="1098"/>
      <c r="HV433" s="1098"/>
      <c r="HW433" s="1098"/>
      <c r="HX433" s="1098"/>
      <c r="HY433" s="1098"/>
      <c r="HZ433" s="1098"/>
      <c r="IA433" s="1098"/>
      <c r="IB433" s="1098"/>
      <c r="IC433" s="1098"/>
      <c r="ID433" s="1098"/>
      <c r="IE433" s="1098"/>
      <c r="IF433" s="1098"/>
      <c r="IG433" s="1098"/>
      <c r="IH433" s="1098"/>
      <c r="II433" s="1098"/>
      <c r="IJ433" s="1098"/>
      <c r="IK433" s="1098"/>
      <c r="IL433" s="1098"/>
      <c r="IM433" s="1098"/>
      <c r="IN433" s="1098"/>
      <c r="IO433" s="1098"/>
      <c r="IP433" s="1098"/>
      <c r="IQ433" s="1098"/>
      <c r="IR433" s="1098"/>
      <c r="IS433" s="1098"/>
      <c r="IT433" s="1098"/>
      <c r="IU433" s="1098"/>
      <c r="IV433" s="1098"/>
      <c r="IW433" s="1098"/>
      <c r="IX433" s="1098"/>
      <c r="IY433" s="1098"/>
      <c r="IZ433" s="1098"/>
      <c r="JA433" s="1098"/>
      <c r="JB433" s="1098"/>
      <c r="JC433" s="1098"/>
      <c r="JD433" s="1098"/>
      <c r="JE433" s="1098"/>
      <c r="JF433" s="1098"/>
      <c r="JG433" s="1098"/>
      <c r="JH433" s="1098"/>
      <c r="JI433" s="1098"/>
      <c r="JJ433" s="1098"/>
      <c r="JK433" s="1098"/>
      <c r="JL433" s="1098"/>
      <c r="JM433" s="1098"/>
      <c r="JN433" s="1098"/>
      <c r="JO433" s="1098"/>
      <c r="JP433" s="1098"/>
      <c r="JQ433" s="1098"/>
      <c r="JR433" s="1098"/>
      <c r="JS433" s="1098"/>
      <c r="JT433" s="1098"/>
      <c r="JU433" s="1098"/>
      <c r="JV433" s="1098"/>
      <c r="JW433" s="1098"/>
      <c r="JX433" s="1098"/>
      <c r="JY433" s="1098"/>
      <c r="JZ433" s="1098"/>
      <c r="KA433" s="1098"/>
      <c r="KB433" s="1099"/>
    </row>
    <row r="434" spans="2:288" ht="15" customHeight="1" x14ac:dyDescent="0.35">
      <c r="B434" s="146" t="str">
        <f t="shared" si="36"/>
        <v>Desk 10</v>
      </c>
      <c r="C434" s="148" t="str">
        <v/>
      </c>
      <c r="D434" s="148" t="str">
        <v/>
      </c>
      <c r="E434" s="148" t="str">
        <v/>
      </c>
      <c r="F434" s="148" t="str">
        <v/>
      </c>
      <c r="G434" s="268" t="str">
        <v/>
      </c>
      <c r="H434" s="1098"/>
      <c r="I434" s="1098"/>
      <c r="J434" s="1098"/>
      <c r="K434" s="1098"/>
      <c r="L434" s="1098"/>
      <c r="M434" s="1098"/>
      <c r="N434" s="1098"/>
      <c r="O434" s="1098"/>
      <c r="P434" s="1098"/>
      <c r="Q434" s="1098"/>
      <c r="R434" s="1098"/>
      <c r="S434" s="1098"/>
      <c r="T434" s="1098"/>
      <c r="U434" s="1098"/>
      <c r="V434" s="1098"/>
      <c r="W434" s="1098"/>
      <c r="X434" s="1098"/>
      <c r="Y434" s="1098"/>
      <c r="Z434" s="1098"/>
      <c r="AA434" s="1098"/>
      <c r="AB434" s="1098"/>
      <c r="AC434" s="1098"/>
      <c r="AD434" s="1098"/>
      <c r="AE434" s="1098"/>
      <c r="AF434" s="1098"/>
      <c r="AG434" s="1098"/>
      <c r="AH434" s="1098"/>
      <c r="AI434" s="1098"/>
      <c r="AJ434" s="1098"/>
      <c r="AK434" s="1098"/>
      <c r="AL434" s="1098"/>
      <c r="AM434" s="1098"/>
      <c r="AN434" s="1098"/>
      <c r="AO434" s="1098"/>
      <c r="AP434" s="1098"/>
      <c r="AQ434" s="1098"/>
      <c r="AR434" s="1098"/>
      <c r="AS434" s="1098"/>
      <c r="AT434" s="1098"/>
      <c r="AU434" s="1098"/>
      <c r="AV434" s="1098"/>
      <c r="AW434" s="1098"/>
      <c r="AX434" s="1098"/>
      <c r="AY434" s="1098"/>
      <c r="AZ434" s="1098"/>
      <c r="BA434" s="1098"/>
      <c r="BB434" s="1098"/>
      <c r="BC434" s="1098"/>
      <c r="BD434" s="1098"/>
      <c r="BE434" s="1098"/>
      <c r="BF434" s="1098"/>
      <c r="BG434" s="1098"/>
      <c r="BH434" s="1098"/>
      <c r="BI434" s="1098"/>
      <c r="BJ434" s="1098"/>
      <c r="BK434" s="1098"/>
      <c r="BL434" s="1098"/>
      <c r="BM434" s="1098"/>
      <c r="BN434" s="1098"/>
      <c r="BO434" s="1098"/>
      <c r="BP434" s="1098"/>
      <c r="BQ434" s="1098"/>
      <c r="BR434" s="1098"/>
      <c r="BS434" s="1098"/>
      <c r="BT434" s="1098"/>
      <c r="BU434" s="1098"/>
      <c r="BV434" s="1098"/>
      <c r="BW434" s="1098"/>
      <c r="BX434" s="1098"/>
      <c r="BY434" s="1098"/>
      <c r="BZ434" s="1098"/>
      <c r="CA434" s="1098"/>
      <c r="CB434" s="1098"/>
      <c r="CC434" s="1098"/>
      <c r="CD434" s="1098"/>
      <c r="CE434" s="1098"/>
      <c r="CF434" s="1098"/>
      <c r="CG434" s="1098"/>
      <c r="CH434" s="1098"/>
      <c r="CI434" s="1098"/>
      <c r="CJ434" s="1098"/>
      <c r="CK434" s="1098"/>
      <c r="CL434" s="1098"/>
      <c r="CM434" s="1098"/>
      <c r="CN434" s="1098"/>
      <c r="CO434" s="1098"/>
      <c r="CP434" s="1098"/>
      <c r="CQ434" s="1098"/>
      <c r="CR434" s="1098"/>
      <c r="CS434" s="1098"/>
      <c r="CT434" s="1098"/>
      <c r="CU434" s="1098"/>
      <c r="CV434" s="1098"/>
      <c r="CW434" s="1098"/>
      <c r="CX434" s="1098"/>
      <c r="CY434" s="1098"/>
      <c r="CZ434" s="1098"/>
      <c r="DA434" s="1098"/>
      <c r="DB434" s="1098"/>
      <c r="DC434" s="1098"/>
      <c r="DD434" s="1098"/>
      <c r="DE434" s="1098"/>
      <c r="DF434" s="1098"/>
      <c r="DG434" s="1098"/>
      <c r="DH434" s="1098"/>
      <c r="DI434" s="1098"/>
      <c r="DJ434" s="1098"/>
      <c r="DK434" s="1098"/>
      <c r="DL434" s="1098"/>
      <c r="DM434" s="1098"/>
      <c r="DN434" s="1098"/>
      <c r="DO434" s="1098"/>
      <c r="DP434" s="1098"/>
      <c r="DQ434" s="1098"/>
      <c r="DR434" s="1098"/>
      <c r="DS434" s="1098"/>
      <c r="DT434" s="1098"/>
      <c r="DU434" s="1098"/>
      <c r="DV434" s="1098"/>
      <c r="DW434" s="1098"/>
      <c r="DX434" s="1098"/>
      <c r="DY434" s="1098"/>
      <c r="DZ434" s="1098"/>
      <c r="EA434" s="1098"/>
      <c r="EB434" s="1098"/>
      <c r="EC434" s="1098"/>
      <c r="ED434" s="1098"/>
      <c r="EE434" s="1098"/>
      <c r="EF434" s="1098"/>
      <c r="EG434" s="1098"/>
      <c r="EH434" s="1098"/>
      <c r="EI434" s="1098"/>
      <c r="EJ434" s="1098"/>
      <c r="EK434" s="1098"/>
      <c r="EL434" s="1098"/>
      <c r="EM434" s="1098"/>
      <c r="EN434" s="1098"/>
      <c r="EO434" s="1098"/>
      <c r="EP434" s="1098"/>
      <c r="EQ434" s="1098"/>
      <c r="ER434" s="1098"/>
      <c r="ES434" s="1098"/>
      <c r="ET434" s="1098"/>
      <c r="EU434" s="1098"/>
      <c r="EV434" s="1098"/>
      <c r="EW434" s="1098"/>
      <c r="EX434" s="1098"/>
      <c r="EY434" s="1098"/>
      <c r="EZ434" s="1098"/>
      <c r="FA434" s="1098"/>
      <c r="FB434" s="1098"/>
      <c r="FC434" s="1098"/>
      <c r="FD434" s="1098"/>
      <c r="FE434" s="1098"/>
      <c r="FF434" s="1098"/>
      <c r="FG434" s="1098"/>
      <c r="FH434" s="1098"/>
      <c r="FI434" s="1098"/>
      <c r="FJ434" s="1098"/>
      <c r="FK434" s="1098"/>
      <c r="FL434" s="1098"/>
      <c r="FM434" s="1098"/>
      <c r="FN434" s="1098"/>
      <c r="FO434" s="1098"/>
      <c r="FP434" s="1098"/>
      <c r="FQ434" s="1098"/>
      <c r="FR434" s="1098"/>
      <c r="FS434" s="1098"/>
      <c r="FT434" s="1098"/>
      <c r="FU434" s="1098"/>
      <c r="FV434" s="1098"/>
      <c r="FW434" s="1098"/>
      <c r="FX434" s="1098"/>
      <c r="FY434" s="1098"/>
      <c r="FZ434" s="1098"/>
      <c r="GA434" s="1098"/>
      <c r="GB434" s="1098"/>
      <c r="GC434" s="1098"/>
      <c r="GD434" s="1098"/>
      <c r="GE434" s="1098"/>
      <c r="GF434" s="1098"/>
      <c r="GG434" s="1098"/>
      <c r="GH434" s="1098"/>
      <c r="GI434" s="1098"/>
      <c r="GJ434" s="1098"/>
      <c r="GK434" s="1098"/>
      <c r="GL434" s="1098"/>
      <c r="GM434" s="1098"/>
      <c r="GN434" s="1098"/>
      <c r="GO434" s="1098"/>
      <c r="GP434" s="1098"/>
      <c r="GQ434" s="1098"/>
      <c r="GR434" s="1098"/>
      <c r="GS434" s="1098"/>
      <c r="GT434" s="1098"/>
      <c r="GU434" s="1098"/>
      <c r="GV434" s="1098"/>
      <c r="GW434" s="1098"/>
      <c r="GX434" s="1098"/>
      <c r="GY434" s="1098"/>
      <c r="GZ434" s="1098"/>
      <c r="HA434" s="1098"/>
      <c r="HB434" s="1098"/>
      <c r="HC434" s="1098"/>
      <c r="HD434" s="1098"/>
      <c r="HE434" s="1098"/>
      <c r="HF434" s="1098"/>
      <c r="HG434" s="1098"/>
      <c r="HH434" s="1098"/>
      <c r="HI434" s="1098"/>
      <c r="HJ434" s="1098"/>
      <c r="HK434" s="1098"/>
      <c r="HL434" s="1098"/>
      <c r="HM434" s="1098"/>
      <c r="HN434" s="1098"/>
      <c r="HO434" s="1098"/>
      <c r="HP434" s="1098"/>
      <c r="HQ434" s="1098"/>
      <c r="HR434" s="1098"/>
      <c r="HS434" s="1098"/>
      <c r="HT434" s="1098"/>
      <c r="HU434" s="1098"/>
      <c r="HV434" s="1098"/>
      <c r="HW434" s="1098"/>
      <c r="HX434" s="1098"/>
      <c r="HY434" s="1098"/>
      <c r="HZ434" s="1098"/>
      <c r="IA434" s="1098"/>
      <c r="IB434" s="1098"/>
      <c r="IC434" s="1098"/>
      <c r="ID434" s="1098"/>
      <c r="IE434" s="1098"/>
      <c r="IF434" s="1098"/>
      <c r="IG434" s="1098"/>
      <c r="IH434" s="1098"/>
      <c r="II434" s="1098"/>
      <c r="IJ434" s="1098"/>
      <c r="IK434" s="1098"/>
      <c r="IL434" s="1098"/>
      <c r="IM434" s="1098"/>
      <c r="IN434" s="1098"/>
      <c r="IO434" s="1098"/>
      <c r="IP434" s="1098"/>
      <c r="IQ434" s="1098"/>
      <c r="IR434" s="1098"/>
      <c r="IS434" s="1098"/>
      <c r="IT434" s="1098"/>
      <c r="IU434" s="1098"/>
      <c r="IV434" s="1098"/>
      <c r="IW434" s="1098"/>
      <c r="IX434" s="1098"/>
      <c r="IY434" s="1098"/>
      <c r="IZ434" s="1098"/>
      <c r="JA434" s="1098"/>
      <c r="JB434" s="1098"/>
      <c r="JC434" s="1098"/>
      <c r="JD434" s="1098"/>
      <c r="JE434" s="1098"/>
      <c r="JF434" s="1098"/>
      <c r="JG434" s="1098"/>
      <c r="JH434" s="1098"/>
      <c r="JI434" s="1098"/>
      <c r="JJ434" s="1098"/>
      <c r="JK434" s="1098"/>
      <c r="JL434" s="1098"/>
      <c r="JM434" s="1098"/>
      <c r="JN434" s="1098"/>
      <c r="JO434" s="1098"/>
      <c r="JP434" s="1098"/>
      <c r="JQ434" s="1098"/>
      <c r="JR434" s="1098"/>
      <c r="JS434" s="1098"/>
      <c r="JT434" s="1098"/>
      <c r="JU434" s="1098"/>
      <c r="JV434" s="1098"/>
      <c r="JW434" s="1098"/>
      <c r="JX434" s="1098"/>
      <c r="JY434" s="1098"/>
      <c r="JZ434" s="1098"/>
      <c r="KA434" s="1098"/>
      <c r="KB434" s="1099"/>
    </row>
    <row r="435" spans="2:288" ht="15" customHeight="1" x14ac:dyDescent="0.35">
      <c r="B435" s="146" t="str">
        <f t="shared" si="36"/>
        <v>Desk 11</v>
      </c>
      <c r="C435" s="148" t="str">
        <v/>
      </c>
      <c r="D435" s="148" t="str">
        <v/>
      </c>
      <c r="E435" s="148" t="str">
        <v/>
      </c>
      <c r="F435" s="148" t="str">
        <v/>
      </c>
      <c r="G435" s="268" t="str">
        <v/>
      </c>
      <c r="H435" s="1098"/>
      <c r="I435" s="1098"/>
      <c r="J435" s="1098"/>
      <c r="K435" s="1098"/>
      <c r="L435" s="1098"/>
      <c r="M435" s="1098"/>
      <c r="N435" s="1098"/>
      <c r="O435" s="1098"/>
      <c r="P435" s="1098"/>
      <c r="Q435" s="1098"/>
      <c r="R435" s="1098"/>
      <c r="S435" s="1098"/>
      <c r="T435" s="1098"/>
      <c r="U435" s="1098"/>
      <c r="V435" s="1098"/>
      <c r="W435" s="1098"/>
      <c r="X435" s="1098"/>
      <c r="Y435" s="1098"/>
      <c r="Z435" s="1098"/>
      <c r="AA435" s="1098"/>
      <c r="AB435" s="1098"/>
      <c r="AC435" s="1098"/>
      <c r="AD435" s="1098"/>
      <c r="AE435" s="1098"/>
      <c r="AF435" s="1098"/>
      <c r="AG435" s="1098"/>
      <c r="AH435" s="1098"/>
      <c r="AI435" s="1098"/>
      <c r="AJ435" s="1098"/>
      <c r="AK435" s="1098"/>
      <c r="AL435" s="1098"/>
      <c r="AM435" s="1098"/>
      <c r="AN435" s="1098"/>
      <c r="AO435" s="1098"/>
      <c r="AP435" s="1098"/>
      <c r="AQ435" s="1098"/>
      <c r="AR435" s="1098"/>
      <c r="AS435" s="1098"/>
      <c r="AT435" s="1098"/>
      <c r="AU435" s="1098"/>
      <c r="AV435" s="1098"/>
      <c r="AW435" s="1098"/>
      <c r="AX435" s="1098"/>
      <c r="AY435" s="1098"/>
      <c r="AZ435" s="1098"/>
      <c r="BA435" s="1098"/>
      <c r="BB435" s="1098"/>
      <c r="BC435" s="1098"/>
      <c r="BD435" s="1098"/>
      <c r="BE435" s="1098"/>
      <c r="BF435" s="1098"/>
      <c r="BG435" s="1098"/>
      <c r="BH435" s="1098"/>
      <c r="BI435" s="1098"/>
      <c r="BJ435" s="1098"/>
      <c r="BK435" s="1098"/>
      <c r="BL435" s="1098"/>
      <c r="BM435" s="1098"/>
      <c r="BN435" s="1098"/>
      <c r="BO435" s="1098"/>
      <c r="BP435" s="1098"/>
      <c r="BQ435" s="1098"/>
      <c r="BR435" s="1098"/>
      <c r="BS435" s="1098"/>
      <c r="BT435" s="1098"/>
      <c r="BU435" s="1098"/>
      <c r="BV435" s="1098"/>
      <c r="BW435" s="1098"/>
      <c r="BX435" s="1098"/>
      <c r="BY435" s="1098"/>
      <c r="BZ435" s="1098"/>
      <c r="CA435" s="1098"/>
      <c r="CB435" s="1098"/>
      <c r="CC435" s="1098"/>
      <c r="CD435" s="1098"/>
      <c r="CE435" s="1098"/>
      <c r="CF435" s="1098"/>
      <c r="CG435" s="1098"/>
      <c r="CH435" s="1098"/>
      <c r="CI435" s="1098"/>
      <c r="CJ435" s="1098"/>
      <c r="CK435" s="1098"/>
      <c r="CL435" s="1098"/>
      <c r="CM435" s="1098"/>
      <c r="CN435" s="1098"/>
      <c r="CO435" s="1098"/>
      <c r="CP435" s="1098"/>
      <c r="CQ435" s="1098"/>
      <c r="CR435" s="1098"/>
      <c r="CS435" s="1098"/>
      <c r="CT435" s="1098"/>
      <c r="CU435" s="1098"/>
      <c r="CV435" s="1098"/>
      <c r="CW435" s="1098"/>
      <c r="CX435" s="1098"/>
      <c r="CY435" s="1098"/>
      <c r="CZ435" s="1098"/>
      <c r="DA435" s="1098"/>
      <c r="DB435" s="1098"/>
      <c r="DC435" s="1098"/>
      <c r="DD435" s="1098"/>
      <c r="DE435" s="1098"/>
      <c r="DF435" s="1098"/>
      <c r="DG435" s="1098"/>
      <c r="DH435" s="1098"/>
      <c r="DI435" s="1098"/>
      <c r="DJ435" s="1098"/>
      <c r="DK435" s="1098"/>
      <c r="DL435" s="1098"/>
      <c r="DM435" s="1098"/>
      <c r="DN435" s="1098"/>
      <c r="DO435" s="1098"/>
      <c r="DP435" s="1098"/>
      <c r="DQ435" s="1098"/>
      <c r="DR435" s="1098"/>
      <c r="DS435" s="1098"/>
      <c r="DT435" s="1098"/>
      <c r="DU435" s="1098"/>
      <c r="DV435" s="1098"/>
      <c r="DW435" s="1098"/>
      <c r="DX435" s="1098"/>
      <c r="DY435" s="1098"/>
      <c r="DZ435" s="1098"/>
      <c r="EA435" s="1098"/>
      <c r="EB435" s="1098"/>
      <c r="EC435" s="1098"/>
      <c r="ED435" s="1098"/>
      <c r="EE435" s="1098"/>
      <c r="EF435" s="1098"/>
      <c r="EG435" s="1098"/>
      <c r="EH435" s="1098"/>
      <c r="EI435" s="1098"/>
      <c r="EJ435" s="1098"/>
      <c r="EK435" s="1098"/>
      <c r="EL435" s="1098"/>
      <c r="EM435" s="1098"/>
      <c r="EN435" s="1098"/>
      <c r="EO435" s="1098"/>
      <c r="EP435" s="1098"/>
      <c r="EQ435" s="1098"/>
      <c r="ER435" s="1098"/>
      <c r="ES435" s="1098"/>
      <c r="ET435" s="1098"/>
      <c r="EU435" s="1098"/>
      <c r="EV435" s="1098"/>
      <c r="EW435" s="1098"/>
      <c r="EX435" s="1098"/>
      <c r="EY435" s="1098"/>
      <c r="EZ435" s="1098"/>
      <c r="FA435" s="1098"/>
      <c r="FB435" s="1098"/>
      <c r="FC435" s="1098"/>
      <c r="FD435" s="1098"/>
      <c r="FE435" s="1098"/>
      <c r="FF435" s="1098"/>
      <c r="FG435" s="1098"/>
      <c r="FH435" s="1098"/>
      <c r="FI435" s="1098"/>
      <c r="FJ435" s="1098"/>
      <c r="FK435" s="1098"/>
      <c r="FL435" s="1098"/>
      <c r="FM435" s="1098"/>
      <c r="FN435" s="1098"/>
      <c r="FO435" s="1098"/>
      <c r="FP435" s="1098"/>
      <c r="FQ435" s="1098"/>
      <c r="FR435" s="1098"/>
      <c r="FS435" s="1098"/>
      <c r="FT435" s="1098"/>
      <c r="FU435" s="1098"/>
      <c r="FV435" s="1098"/>
      <c r="FW435" s="1098"/>
      <c r="FX435" s="1098"/>
      <c r="FY435" s="1098"/>
      <c r="FZ435" s="1098"/>
      <c r="GA435" s="1098"/>
      <c r="GB435" s="1098"/>
      <c r="GC435" s="1098"/>
      <c r="GD435" s="1098"/>
      <c r="GE435" s="1098"/>
      <c r="GF435" s="1098"/>
      <c r="GG435" s="1098"/>
      <c r="GH435" s="1098"/>
      <c r="GI435" s="1098"/>
      <c r="GJ435" s="1098"/>
      <c r="GK435" s="1098"/>
      <c r="GL435" s="1098"/>
      <c r="GM435" s="1098"/>
      <c r="GN435" s="1098"/>
      <c r="GO435" s="1098"/>
      <c r="GP435" s="1098"/>
      <c r="GQ435" s="1098"/>
      <c r="GR435" s="1098"/>
      <c r="GS435" s="1098"/>
      <c r="GT435" s="1098"/>
      <c r="GU435" s="1098"/>
      <c r="GV435" s="1098"/>
      <c r="GW435" s="1098"/>
      <c r="GX435" s="1098"/>
      <c r="GY435" s="1098"/>
      <c r="GZ435" s="1098"/>
      <c r="HA435" s="1098"/>
      <c r="HB435" s="1098"/>
      <c r="HC435" s="1098"/>
      <c r="HD435" s="1098"/>
      <c r="HE435" s="1098"/>
      <c r="HF435" s="1098"/>
      <c r="HG435" s="1098"/>
      <c r="HH435" s="1098"/>
      <c r="HI435" s="1098"/>
      <c r="HJ435" s="1098"/>
      <c r="HK435" s="1098"/>
      <c r="HL435" s="1098"/>
      <c r="HM435" s="1098"/>
      <c r="HN435" s="1098"/>
      <c r="HO435" s="1098"/>
      <c r="HP435" s="1098"/>
      <c r="HQ435" s="1098"/>
      <c r="HR435" s="1098"/>
      <c r="HS435" s="1098"/>
      <c r="HT435" s="1098"/>
      <c r="HU435" s="1098"/>
      <c r="HV435" s="1098"/>
      <c r="HW435" s="1098"/>
      <c r="HX435" s="1098"/>
      <c r="HY435" s="1098"/>
      <c r="HZ435" s="1098"/>
      <c r="IA435" s="1098"/>
      <c r="IB435" s="1098"/>
      <c r="IC435" s="1098"/>
      <c r="ID435" s="1098"/>
      <c r="IE435" s="1098"/>
      <c r="IF435" s="1098"/>
      <c r="IG435" s="1098"/>
      <c r="IH435" s="1098"/>
      <c r="II435" s="1098"/>
      <c r="IJ435" s="1098"/>
      <c r="IK435" s="1098"/>
      <c r="IL435" s="1098"/>
      <c r="IM435" s="1098"/>
      <c r="IN435" s="1098"/>
      <c r="IO435" s="1098"/>
      <c r="IP435" s="1098"/>
      <c r="IQ435" s="1098"/>
      <c r="IR435" s="1098"/>
      <c r="IS435" s="1098"/>
      <c r="IT435" s="1098"/>
      <c r="IU435" s="1098"/>
      <c r="IV435" s="1098"/>
      <c r="IW435" s="1098"/>
      <c r="IX435" s="1098"/>
      <c r="IY435" s="1098"/>
      <c r="IZ435" s="1098"/>
      <c r="JA435" s="1098"/>
      <c r="JB435" s="1098"/>
      <c r="JC435" s="1098"/>
      <c r="JD435" s="1098"/>
      <c r="JE435" s="1098"/>
      <c r="JF435" s="1098"/>
      <c r="JG435" s="1098"/>
      <c r="JH435" s="1098"/>
      <c r="JI435" s="1098"/>
      <c r="JJ435" s="1098"/>
      <c r="JK435" s="1098"/>
      <c r="JL435" s="1098"/>
      <c r="JM435" s="1098"/>
      <c r="JN435" s="1098"/>
      <c r="JO435" s="1098"/>
      <c r="JP435" s="1098"/>
      <c r="JQ435" s="1098"/>
      <c r="JR435" s="1098"/>
      <c r="JS435" s="1098"/>
      <c r="JT435" s="1098"/>
      <c r="JU435" s="1098"/>
      <c r="JV435" s="1098"/>
      <c r="JW435" s="1098"/>
      <c r="JX435" s="1098"/>
      <c r="JY435" s="1098"/>
      <c r="JZ435" s="1098"/>
      <c r="KA435" s="1098"/>
      <c r="KB435" s="1099"/>
    </row>
    <row r="436" spans="2:288" ht="15" customHeight="1" x14ac:dyDescent="0.35">
      <c r="B436" s="146" t="str">
        <f t="shared" si="36"/>
        <v>Desk 12</v>
      </c>
      <c r="C436" s="148" t="str">
        <v/>
      </c>
      <c r="D436" s="148" t="str">
        <v/>
      </c>
      <c r="E436" s="148" t="str">
        <v/>
      </c>
      <c r="F436" s="148" t="str">
        <v/>
      </c>
      <c r="G436" s="268" t="str">
        <v/>
      </c>
      <c r="H436" s="1098"/>
      <c r="I436" s="1098"/>
      <c r="J436" s="1098"/>
      <c r="K436" s="1098"/>
      <c r="L436" s="1098"/>
      <c r="M436" s="1098"/>
      <c r="N436" s="1098"/>
      <c r="O436" s="1098"/>
      <c r="P436" s="1098"/>
      <c r="Q436" s="1098"/>
      <c r="R436" s="1098"/>
      <c r="S436" s="1098"/>
      <c r="T436" s="1098"/>
      <c r="U436" s="1098"/>
      <c r="V436" s="1098"/>
      <c r="W436" s="1098"/>
      <c r="X436" s="1098"/>
      <c r="Y436" s="1098"/>
      <c r="Z436" s="1098"/>
      <c r="AA436" s="1098"/>
      <c r="AB436" s="1098"/>
      <c r="AC436" s="1098"/>
      <c r="AD436" s="1098"/>
      <c r="AE436" s="1098"/>
      <c r="AF436" s="1098"/>
      <c r="AG436" s="1098"/>
      <c r="AH436" s="1098"/>
      <c r="AI436" s="1098"/>
      <c r="AJ436" s="1098"/>
      <c r="AK436" s="1098"/>
      <c r="AL436" s="1098"/>
      <c r="AM436" s="1098"/>
      <c r="AN436" s="1098"/>
      <c r="AO436" s="1098"/>
      <c r="AP436" s="1098"/>
      <c r="AQ436" s="1098"/>
      <c r="AR436" s="1098"/>
      <c r="AS436" s="1098"/>
      <c r="AT436" s="1098"/>
      <c r="AU436" s="1098"/>
      <c r="AV436" s="1098"/>
      <c r="AW436" s="1098"/>
      <c r="AX436" s="1098"/>
      <c r="AY436" s="1098"/>
      <c r="AZ436" s="1098"/>
      <c r="BA436" s="1098"/>
      <c r="BB436" s="1098"/>
      <c r="BC436" s="1098"/>
      <c r="BD436" s="1098"/>
      <c r="BE436" s="1098"/>
      <c r="BF436" s="1098"/>
      <c r="BG436" s="1098"/>
      <c r="BH436" s="1098"/>
      <c r="BI436" s="1098"/>
      <c r="BJ436" s="1098"/>
      <c r="BK436" s="1098"/>
      <c r="BL436" s="1098"/>
      <c r="BM436" s="1098"/>
      <c r="BN436" s="1098"/>
      <c r="BO436" s="1098"/>
      <c r="BP436" s="1098"/>
      <c r="BQ436" s="1098"/>
      <c r="BR436" s="1098"/>
      <c r="BS436" s="1098"/>
      <c r="BT436" s="1098"/>
      <c r="BU436" s="1098"/>
      <c r="BV436" s="1098"/>
      <c r="BW436" s="1098"/>
      <c r="BX436" s="1098"/>
      <c r="BY436" s="1098"/>
      <c r="BZ436" s="1098"/>
      <c r="CA436" s="1098"/>
      <c r="CB436" s="1098"/>
      <c r="CC436" s="1098"/>
      <c r="CD436" s="1098"/>
      <c r="CE436" s="1098"/>
      <c r="CF436" s="1098"/>
      <c r="CG436" s="1098"/>
      <c r="CH436" s="1098"/>
      <c r="CI436" s="1098"/>
      <c r="CJ436" s="1098"/>
      <c r="CK436" s="1098"/>
      <c r="CL436" s="1098"/>
      <c r="CM436" s="1098"/>
      <c r="CN436" s="1098"/>
      <c r="CO436" s="1098"/>
      <c r="CP436" s="1098"/>
      <c r="CQ436" s="1098"/>
      <c r="CR436" s="1098"/>
      <c r="CS436" s="1098"/>
      <c r="CT436" s="1098"/>
      <c r="CU436" s="1098"/>
      <c r="CV436" s="1098"/>
      <c r="CW436" s="1098"/>
      <c r="CX436" s="1098"/>
      <c r="CY436" s="1098"/>
      <c r="CZ436" s="1098"/>
      <c r="DA436" s="1098"/>
      <c r="DB436" s="1098"/>
      <c r="DC436" s="1098"/>
      <c r="DD436" s="1098"/>
      <c r="DE436" s="1098"/>
      <c r="DF436" s="1098"/>
      <c r="DG436" s="1098"/>
      <c r="DH436" s="1098"/>
      <c r="DI436" s="1098"/>
      <c r="DJ436" s="1098"/>
      <c r="DK436" s="1098"/>
      <c r="DL436" s="1098"/>
      <c r="DM436" s="1098"/>
      <c r="DN436" s="1098"/>
      <c r="DO436" s="1098"/>
      <c r="DP436" s="1098"/>
      <c r="DQ436" s="1098"/>
      <c r="DR436" s="1098"/>
      <c r="DS436" s="1098"/>
      <c r="DT436" s="1098"/>
      <c r="DU436" s="1098"/>
      <c r="DV436" s="1098"/>
      <c r="DW436" s="1098"/>
      <c r="DX436" s="1098"/>
      <c r="DY436" s="1098"/>
      <c r="DZ436" s="1098"/>
      <c r="EA436" s="1098"/>
      <c r="EB436" s="1098"/>
      <c r="EC436" s="1098"/>
      <c r="ED436" s="1098"/>
      <c r="EE436" s="1098"/>
      <c r="EF436" s="1098"/>
      <c r="EG436" s="1098"/>
      <c r="EH436" s="1098"/>
      <c r="EI436" s="1098"/>
      <c r="EJ436" s="1098"/>
      <c r="EK436" s="1098"/>
      <c r="EL436" s="1098"/>
      <c r="EM436" s="1098"/>
      <c r="EN436" s="1098"/>
      <c r="EO436" s="1098"/>
      <c r="EP436" s="1098"/>
      <c r="EQ436" s="1098"/>
      <c r="ER436" s="1098"/>
      <c r="ES436" s="1098"/>
      <c r="ET436" s="1098"/>
      <c r="EU436" s="1098"/>
      <c r="EV436" s="1098"/>
      <c r="EW436" s="1098"/>
      <c r="EX436" s="1098"/>
      <c r="EY436" s="1098"/>
      <c r="EZ436" s="1098"/>
      <c r="FA436" s="1098"/>
      <c r="FB436" s="1098"/>
      <c r="FC436" s="1098"/>
      <c r="FD436" s="1098"/>
      <c r="FE436" s="1098"/>
      <c r="FF436" s="1098"/>
      <c r="FG436" s="1098"/>
      <c r="FH436" s="1098"/>
      <c r="FI436" s="1098"/>
      <c r="FJ436" s="1098"/>
      <c r="FK436" s="1098"/>
      <c r="FL436" s="1098"/>
      <c r="FM436" s="1098"/>
      <c r="FN436" s="1098"/>
      <c r="FO436" s="1098"/>
      <c r="FP436" s="1098"/>
      <c r="FQ436" s="1098"/>
      <c r="FR436" s="1098"/>
      <c r="FS436" s="1098"/>
      <c r="FT436" s="1098"/>
      <c r="FU436" s="1098"/>
      <c r="FV436" s="1098"/>
      <c r="FW436" s="1098"/>
      <c r="FX436" s="1098"/>
      <c r="FY436" s="1098"/>
      <c r="FZ436" s="1098"/>
      <c r="GA436" s="1098"/>
      <c r="GB436" s="1098"/>
      <c r="GC436" s="1098"/>
      <c r="GD436" s="1098"/>
      <c r="GE436" s="1098"/>
      <c r="GF436" s="1098"/>
      <c r="GG436" s="1098"/>
      <c r="GH436" s="1098"/>
      <c r="GI436" s="1098"/>
      <c r="GJ436" s="1098"/>
      <c r="GK436" s="1098"/>
      <c r="GL436" s="1098"/>
      <c r="GM436" s="1098"/>
      <c r="GN436" s="1098"/>
      <c r="GO436" s="1098"/>
      <c r="GP436" s="1098"/>
      <c r="GQ436" s="1098"/>
      <c r="GR436" s="1098"/>
      <c r="GS436" s="1098"/>
      <c r="GT436" s="1098"/>
      <c r="GU436" s="1098"/>
      <c r="GV436" s="1098"/>
      <c r="GW436" s="1098"/>
      <c r="GX436" s="1098"/>
      <c r="GY436" s="1098"/>
      <c r="GZ436" s="1098"/>
      <c r="HA436" s="1098"/>
      <c r="HB436" s="1098"/>
      <c r="HC436" s="1098"/>
      <c r="HD436" s="1098"/>
      <c r="HE436" s="1098"/>
      <c r="HF436" s="1098"/>
      <c r="HG436" s="1098"/>
      <c r="HH436" s="1098"/>
      <c r="HI436" s="1098"/>
      <c r="HJ436" s="1098"/>
      <c r="HK436" s="1098"/>
      <c r="HL436" s="1098"/>
      <c r="HM436" s="1098"/>
      <c r="HN436" s="1098"/>
      <c r="HO436" s="1098"/>
      <c r="HP436" s="1098"/>
      <c r="HQ436" s="1098"/>
      <c r="HR436" s="1098"/>
      <c r="HS436" s="1098"/>
      <c r="HT436" s="1098"/>
      <c r="HU436" s="1098"/>
      <c r="HV436" s="1098"/>
      <c r="HW436" s="1098"/>
      <c r="HX436" s="1098"/>
      <c r="HY436" s="1098"/>
      <c r="HZ436" s="1098"/>
      <c r="IA436" s="1098"/>
      <c r="IB436" s="1098"/>
      <c r="IC436" s="1098"/>
      <c r="ID436" s="1098"/>
      <c r="IE436" s="1098"/>
      <c r="IF436" s="1098"/>
      <c r="IG436" s="1098"/>
      <c r="IH436" s="1098"/>
      <c r="II436" s="1098"/>
      <c r="IJ436" s="1098"/>
      <c r="IK436" s="1098"/>
      <c r="IL436" s="1098"/>
      <c r="IM436" s="1098"/>
      <c r="IN436" s="1098"/>
      <c r="IO436" s="1098"/>
      <c r="IP436" s="1098"/>
      <c r="IQ436" s="1098"/>
      <c r="IR436" s="1098"/>
      <c r="IS436" s="1098"/>
      <c r="IT436" s="1098"/>
      <c r="IU436" s="1098"/>
      <c r="IV436" s="1098"/>
      <c r="IW436" s="1098"/>
      <c r="IX436" s="1098"/>
      <c r="IY436" s="1098"/>
      <c r="IZ436" s="1098"/>
      <c r="JA436" s="1098"/>
      <c r="JB436" s="1098"/>
      <c r="JC436" s="1098"/>
      <c r="JD436" s="1098"/>
      <c r="JE436" s="1098"/>
      <c r="JF436" s="1098"/>
      <c r="JG436" s="1098"/>
      <c r="JH436" s="1098"/>
      <c r="JI436" s="1098"/>
      <c r="JJ436" s="1098"/>
      <c r="JK436" s="1098"/>
      <c r="JL436" s="1098"/>
      <c r="JM436" s="1098"/>
      <c r="JN436" s="1098"/>
      <c r="JO436" s="1098"/>
      <c r="JP436" s="1098"/>
      <c r="JQ436" s="1098"/>
      <c r="JR436" s="1098"/>
      <c r="JS436" s="1098"/>
      <c r="JT436" s="1098"/>
      <c r="JU436" s="1098"/>
      <c r="JV436" s="1098"/>
      <c r="JW436" s="1098"/>
      <c r="JX436" s="1098"/>
      <c r="JY436" s="1098"/>
      <c r="JZ436" s="1098"/>
      <c r="KA436" s="1098"/>
      <c r="KB436" s="1099"/>
    </row>
    <row r="437" spans="2:288" ht="15" customHeight="1" x14ac:dyDescent="0.35">
      <c r="B437" s="146" t="str">
        <f t="shared" si="36"/>
        <v>Desk 13</v>
      </c>
      <c r="C437" s="148" t="str">
        <v/>
      </c>
      <c r="D437" s="148" t="str">
        <v/>
      </c>
      <c r="E437" s="148" t="str">
        <v/>
      </c>
      <c r="F437" s="148" t="str">
        <v/>
      </c>
      <c r="G437" s="268" t="str">
        <v/>
      </c>
      <c r="H437" s="1098"/>
      <c r="I437" s="1098"/>
      <c r="J437" s="1098"/>
      <c r="K437" s="1098"/>
      <c r="L437" s="1098"/>
      <c r="M437" s="1098"/>
      <c r="N437" s="1098"/>
      <c r="O437" s="1098"/>
      <c r="P437" s="1098"/>
      <c r="Q437" s="1098"/>
      <c r="R437" s="1098"/>
      <c r="S437" s="1098"/>
      <c r="T437" s="1098"/>
      <c r="U437" s="1098"/>
      <c r="V437" s="1098"/>
      <c r="W437" s="1098"/>
      <c r="X437" s="1098"/>
      <c r="Y437" s="1098"/>
      <c r="Z437" s="1098"/>
      <c r="AA437" s="1098"/>
      <c r="AB437" s="1098"/>
      <c r="AC437" s="1098"/>
      <c r="AD437" s="1098"/>
      <c r="AE437" s="1098"/>
      <c r="AF437" s="1098"/>
      <c r="AG437" s="1098"/>
      <c r="AH437" s="1098"/>
      <c r="AI437" s="1098"/>
      <c r="AJ437" s="1098"/>
      <c r="AK437" s="1098"/>
      <c r="AL437" s="1098"/>
      <c r="AM437" s="1098"/>
      <c r="AN437" s="1098"/>
      <c r="AO437" s="1098"/>
      <c r="AP437" s="1098"/>
      <c r="AQ437" s="1098"/>
      <c r="AR437" s="1098"/>
      <c r="AS437" s="1098"/>
      <c r="AT437" s="1098"/>
      <c r="AU437" s="1098"/>
      <c r="AV437" s="1098"/>
      <c r="AW437" s="1098"/>
      <c r="AX437" s="1098"/>
      <c r="AY437" s="1098"/>
      <c r="AZ437" s="1098"/>
      <c r="BA437" s="1098"/>
      <c r="BB437" s="1098"/>
      <c r="BC437" s="1098"/>
      <c r="BD437" s="1098"/>
      <c r="BE437" s="1098"/>
      <c r="BF437" s="1098"/>
      <c r="BG437" s="1098"/>
      <c r="BH437" s="1098"/>
      <c r="BI437" s="1098"/>
      <c r="BJ437" s="1098"/>
      <c r="BK437" s="1098"/>
      <c r="BL437" s="1098"/>
      <c r="BM437" s="1098"/>
      <c r="BN437" s="1098"/>
      <c r="BO437" s="1098"/>
      <c r="BP437" s="1098"/>
      <c r="BQ437" s="1098"/>
      <c r="BR437" s="1098"/>
      <c r="BS437" s="1098"/>
      <c r="BT437" s="1098"/>
      <c r="BU437" s="1098"/>
      <c r="BV437" s="1098"/>
      <c r="BW437" s="1098"/>
      <c r="BX437" s="1098"/>
      <c r="BY437" s="1098"/>
      <c r="BZ437" s="1098"/>
      <c r="CA437" s="1098"/>
      <c r="CB437" s="1098"/>
      <c r="CC437" s="1098"/>
      <c r="CD437" s="1098"/>
      <c r="CE437" s="1098"/>
      <c r="CF437" s="1098"/>
      <c r="CG437" s="1098"/>
      <c r="CH437" s="1098"/>
      <c r="CI437" s="1098"/>
      <c r="CJ437" s="1098"/>
      <c r="CK437" s="1098"/>
      <c r="CL437" s="1098"/>
      <c r="CM437" s="1098"/>
      <c r="CN437" s="1098"/>
      <c r="CO437" s="1098"/>
      <c r="CP437" s="1098"/>
      <c r="CQ437" s="1098"/>
      <c r="CR437" s="1098"/>
      <c r="CS437" s="1098"/>
      <c r="CT437" s="1098"/>
      <c r="CU437" s="1098"/>
      <c r="CV437" s="1098"/>
      <c r="CW437" s="1098"/>
      <c r="CX437" s="1098"/>
      <c r="CY437" s="1098"/>
      <c r="CZ437" s="1098"/>
      <c r="DA437" s="1098"/>
      <c r="DB437" s="1098"/>
      <c r="DC437" s="1098"/>
      <c r="DD437" s="1098"/>
      <c r="DE437" s="1098"/>
      <c r="DF437" s="1098"/>
      <c r="DG437" s="1098"/>
      <c r="DH437" s="1098"/>
      <c r="DI437" s="1098"/>
      <c r="DJ437" s="1098"/>
      <c r="DK437" s="1098"/>
      <c r="DL437" s="1098"/>
      <c r="DM437" s="1098"/>
      <c r="DN437" s="1098"/>
      <c r="DO437" s="1098"/>
      <c r="DP437" s="1098"/>
      <c r="DQ437" s="1098"/>
      <c r="DR437" s="1098"/>
      <c r="DS437" s="1098"/>
      <c r="DT437" s="1098"/>
      <c r="DU437" s="1098"/>
      <c r="DV437" s="1098"/>
      <c r="DW437" s="1098"/>
      <c r="DX437" s="1098"/>
      <c r="DY437" s="1098"/>
      <c r="DZ437" s="1098"/>
      <c r="EA437" s="1098"/>
      <c r="EB437" s="1098"/>
      <c r="EC437" s="1098"/>
      <c r="ED437" s="1098"/>
      <c r="EE437" s="1098"/>
      <c r="EF437" s="1098"/>
      <c r="EG437" s="1098"/>
      <c r="EH437" s="1098"/>
      <c r="EI437" s="1098"/>
      <c r="EJ437" s="1098"/>
      <c r="EK437" s="1098"/>
      <c r="EL437" s="1098"/>
      <c r="EM437" s="1098"/>
      <c r="EN437" s="1098"/>
      <c r="EO437" s="1098"/>
      <c r="EP437" s="1098"/>
      <c r="EQ437" s="1098"/>
      <c r="ER437" s="1098"/>
      <c r="ES437" s="1098"/>
      <c r="ET437" s="1098"/>
      <c r="EU437" s="1098"/>
      <c r="EV437" s="1098"/>
      <c r="EW437" s="1098"/>
      <c r="EX437" s="1098"/>
      <c r="EY437" s="1098"/>
      <c r="EZ437" s="1098"/>
      <c r="FA437" s="1098"/>
      <c r="FB437" s="1098"/>
      <c r="FC437" s="1098"/>
      <c r="FD437" s="1098"/>
      <c r="FE437" s="1098"/>
      <c r="FF437" s="1098"/>
      <c r="FG437" s="1098"/>
      <c r="FH437" s="1098"/>
      <c r="FI437" s="1098"/>
      <c r="FJ437" s="1098"/>
      <c r="FK437" s="1098"/>
      <c r="FL437" s="1098"/>
      <c r="FM437" s="1098"/>
      <c r="FN437" s="1098"/>
      <c r="FO437" s="1098"/>
      <c r="FP437" s="1098"/>
      <c r="FQ437" s="1098"/>
      <c r="FR437" s="1098"/>
      <c r="FS437" s="1098"/>
      <c r="FT437" s="1098"/>
      <c r="FU437" s="1098"/>
      <c r="FV437" s="1098"/>
      <c r="FW437" s="1098"/>
      <c r="FX437" s="1098"/>
      <c r="FY437" s="1098"/>
      <c r="FZ437" s="1098"/>
      <c r="GA437" s="1098"/>
      <c r="GB437" s="1098"/>
      <c r="GC437" s="1098"/>
      <c r="GD437" s="1098"/>
      <c r="GE437" s="1098"/>
      <c r="GF437" s="1098"/>
      <c r="GG437" s="1098"/>
      <c r="GH437" s="1098"/>
      <c r="GI437" s="1098"/>
      <c r="GJ437" s="1098"/>
      <c r="GK437" s="1098"/>
      <c r="GL437" s="1098"/>
      <c r="GM437" s="1098"/>
      <c r="GN437" s="1098"/>
      <c r="GO437" s="1098"/>
      <c r="GP437" s="1098"/>
      <c r="GQ437" s="1098"/>
      <c r="GR437" s="1098"/>
      <c r="GS437" s="1098"/>
      <c r="GT437" s="1098"/>
      <c r="GU437" s="1098"/>
      <c r="GV437" s="1098"/>
      <c r="GW437" s="1098"/>
      <c r="GX437" s="1098"/>
      <c r="GY437" s="1098"/>
      <c r="GZ437" s="1098"/>
      <c r="HA437" s="1098"/>
      <c r="HB437" s="1098"/>
      <c r="HC437" s="1098"/>
      <c r="HD437" s="1098"/>
      <c r="HE437" s="1098"/>
      <c r="HF437" s="1098"/>
      <c r="HG437" s="1098"/>
      <c r="HH437" s="1098"/>
      <c r="HI437" s="1098"/>
      <c r="HJ437" s="1098"/>
      <c r="HK437" s="1098"/>
      <c r="HL437" s="1098"/>
      <c r="HM437" s="1098"/>
      <c r="HN437" s="1098"/>
      <c r="HO437" s="1098"/>
      <c r="HP437" s="1098"/>
      <c r="HQ437" s="1098"/>
      <c r="HR437" s="1098"/>
      <c r="HS437" s="1098"/>
      <c r="HT437" s="1098"/>
      <c r="HU437" s="1098"/>
      <c r="HV437" s="1098"/>
      <c r="HW437" s="1098"/>
      <c r="HX437" s="1098"/>
      <c r="HY437" s="1098"/>
      <c r="HZ437" s="1098"/>
      <c r="IA437" s="1098"/>
      <c r="IB437" s="1098"/>
      <c r="IC437" s="1098"/>
      <c r="ID437" s="1098"/>
      <c r="IE437" s="1098"/>
      <c r="IF437" s="1098"/>
      <c r="IG437" s="1098"/>
      <c r="IH437" s="1098"/>
      <c r="II437" s="1098"/>
      <c r="IJ437" s="1098"/>
      <c r="IK437" s="1098"/>
      <c r="IL437" s="1098"/>
      <c r="IM437" s="1098"/>
      <c r="IN437" s="1098"/>
      <c r="IO437" s="1098"/>
      <c r="IP437" s="1098"/>
      <c r="IQ437" s="1098"/>
      <c r="IR437" s="1098"/>
      <c r="IS437" s="1098"/>
      <c r="IT437" s="1098"/>
      <c r="IU437" s="1098"/>
      <c r="IV437" s="1098"/>
      <c r="IW437" s="1098"/>
      <c r="IX437" s="1098"/>
      <c r="IY437" s="1098"/>
      <c r="IZ437" s="1098"/>
      <c r="JA437" s="1098"/>
      <c r="JB437" s="1098"/>
      <c r="JC437" s="1098"/>
      <c r="JD437" s="1098"/>
      <c r="JE437" s="1098"/>
      <c r="JF437" s="1098"/>
      <c r="JG437" s="1098"/>
      <c r="JH437" s="1098"/>
      <c r="JI437" s="1098"/>
      <c r="JJ437" s="1098"/>
      <c r="JK437" s="1098"/>
      <c r="JL437" s="1098"/>
      <c r="JM437" s="1098"/>
      <c r="JN437" s="1098"/>
      <c r="JO437" s="1098"/>
      <c r="JP437" s="1098"/>
      <c r="JQ437" s="1098"/>
      <c r="JR437" s="1098"/>
      <c r="JS437" s="1098"/>
      <c r="JT437" s="1098"/>
      <c r="JU437" s="1098"/>
      <c r="JV437" s="1098"/>
      <c r="JW437" s="1098"/>
      <c r="JX437" s="1098"/>
      <c r="JY437" s="1098"/>
      <c r="JZ437" s="1098"/>
      <c r="KA437" s="1098"/>
      <c r="KB437" s="1099"/>
    </row>
    <row r="438" spans="2:288" ht="15" customHeight="1" x14ac:dyDescent="0.35">
      <c r="B438" s="146" t="str">
        <f t="shared" si="36"/>
        <v>Desk 14</v>
      </c>
      <c r="C438" s="148" t="str">
        <v/>
      </c>
      <c r="D438" s="148" t="str">
        <v/>
      </c>
      <c r="E438" s="148" t="str">
        <v/>
      </c>
      <c r="F438" s="148" t="str">
        <v/>
      </c>
      <c r="G438" s="268" t="str">
        <v/>
      </c>
      <c r="H438" s="1098"/>
      <c r="I438" s="1098"/>
      <c r="J438" s="1098"/>
      <c r="K438" s="1098"/>
      <c r="L438" s="1098"/>
      <c r="M438" s="1098"/>
      <c r="N438" s="1098"/>
      <c r="O438" s="1098"/>
      <c r="P438" s="1098"/>
      <c r="Q438" s="1098"/>
      <c r="R438" s="1098"/>
      <c r="S438" s="1098"/>
      <c r="T438" s="1098"/>
      <c r="U438" s="1098"/>
      <c r="V438" s="1098"/>
      <c r="W438" s="1098"/>
      <c r="X438" s="1098"/>
      <c r="Y438" s="1098"/>
      <c r="Z438" s="1098"/>
      <c r="AA438" s="1098"/>
      <c r="AB438" s="1098"/>
      <c r="AC438" s="1098"/>
      <c r="AD438" s="1098"/>
      <c r="AE438" s="1098"/>
      <c r="AF438" s="1098"/>
      <c r="AG438" s="1098"/>
      <c r="AH438" s="1098"/>
      <c r="AI438" s="1098"/>
      <c r="AJ438" s="1098"/>
      <c r="AK438" s="1098"/>
      <c r="AL438" s="1098"/>
      <c r="AM438" s="1098"/>
      <c r="AN438" s="1098"/>
      <c r="AO438" s="1098"/>
      <c r="AP438" s="1098"/>
      <c r="AQ438" s="1098"/>
      <c r="AR438" s="1098"/>
      <c r="AS438" s="1098"/>
      <c r="AT438" s="1098"/>
      <c r="AU438" s="1098"/>
      <c r="AV438" s="1098"/>
      <c r="AW438" s="1098"/>
      <c r="AX438" s="1098"/>
      <c r="AY438" s="1098"/>
      <c r="AZ438" s="1098"/>
      <c r="BA438" s="1098"/>
      <c r="BB438" s="1098"/>
      <c r="BC438" s="1098"/>
      <c r="BD438" s="1098"/>
      <c r="BE438" s="1098"/>
      <c r="BF438" s="1098"/>
      <c r="BG438" s="1098"/>
      <c r="BH438" s="1098"/>
      <c r="BI438" s="1098"/>
      <c r="BJ438" s="1098"/>
      <c r="BK438" s="1098"/>
      <c r="BL438" s="1098"/>
      <c r="BM438" s="1098"/>
      <c r="BN438" s="1098"/>
      <c r="BO438" s="1098"/>
      <c r="BP438" s="1098"/>
      <c r="BQ438" s="1098"/>
      <c r="BR438" s="1098"/>
      <c r="BS438" s="1098"/>
      <c r="BT438" s="1098"/>
      <c r="BU438" s="1098"/>
      <c r="BV438" s="1098"/>
      <c r="BW438" s="1098"/>
      <c r="BX438" s="1098"/>
      <c r="BY438" s="1098"/>
      <c r="BZ438" s="1098"/>
      <c r="CA438" s="1098"/>
      <c r="CB438" s="1098"/>
      <c r="CC438" s="1098"/>
      <c r="CD438" s="1098"/>
      <c r="CE438" s="1098"/>
      <c r="CF438" s="1098"/>
      <c r="CG438" s="1098"/>
      <c r="CH438" s="1098"/>
      <c r="CI438" s="1098"/>
      <c r="CJ438" s="1098"/>
      <c r="CK438" s="1098"/>
      <c r="CL438" s="1098"/>
      <c r="CM438" s="1098"/>
      <c r="CN438" s="1098"/>
      <c r="CO438" s="1098"/>
      <c r="CP438" s="1098"/>
      <c r="CQ438" s="1098"/>
      <c r="CR438" s="1098"/>
      <c r="CS438" s="1098"/>
      <c r="CT438" s="1098"/>
      <c r="CU438" s="1098"/>
      <c r="CV438" s="1098"/>
      <c r="CW438" s="1098"/>
      <c r="CX438" s="1098"/>
      <c r="CY438" s="1098"/>
      <c r="CZ438" s="1098"/>
      <c r="DA438" s="1098"/>
      <c r="DB438" s="1098"/>
      <c r="DC438" s="1098"/>
      <c r="DD438" s="1098"/>
      <c r="DE438" s="1098"/>
      <c r="DF438" s="1098"/>
      <c r="DG438" s="1098"/>
      <c r="DH438" s="1098"/>
      <c r="DI438" s="1098"/>
      <c r="DJ438" s="1098"/>
      <c r="DK438" s="1098"/>
      <c r="DL438" s="1098"/>
      <c r="DM438" s="1098"/>
      <c r="DN438" s="1098"/>
      <c r="DO438" s="1098"/>
      <c r="DP438" s="1098"/>
      <c r="DQ438" s="1098"/>
      <c r="DR438" s="1098"/>
      <c r="DS438" s="1098"/>
      <c r="DT438" s="1098"/>
      <c r="DU438" s="1098"/>
      <c r="DV438" s="1098"/>
      <c r="DW438" s="1098"/>
      <c r="DX438" s="1098"/>
      <c r="DY438" s="1098"/>
      <c r="DZ438" s="1098"/>
      <c r="EA438" s="1098"/>
      <c r="EB438" s="1098"/>
      <c r="EC438" s="1098"/>
      <c r="ED438" s="1098"/>
      <c r="EE438" s="1098"/>
      <c r="EF438" s="1098"/>
      <c r="EG438" s="1098"/>
      <c r="EH438" s="1098"/>
      <c r="EI438" s="1098"/>
      <c r="EJ438" s="1098"/>
      <c r="EK438" s="1098"/>
      <c r="EL438" s="1098"/>
      <c r="EM438" s="1098"/>
      <c r="EN438" s="1098"/>
      <c r="EO438" s="1098"/>
      <c r="EP438" s="1098"/>
      <c r="EQ438" s="1098"/>
      <c r="ER438" s="1098"/>
      <c r="ES438" s="1098"/>
      <c r="ET438" s="1098"/>
      <c r="EU438" s="1098"/>
      <c r="EV438" s="1098"/>
      <c r="EW438" s="1098"/>
      <c r="EX438" s="1098"/>
      <c r="EY438" s="1098"/>
      <c r="EZ438" s="1098"/>
      <c r="FA438" s="1098"/>
      <c r="FB438" s="1098"/>
      <c r="FC438" s="1098"/>
      <c r="FD438" s="1098"/>
      <c r="FE438" s="1098"/>
      <c r="FF438" s="1098"/>
      <c r="FG438" s="1098"/>
      <c r="FH438" s="1098"/>
      <c r="FI438" s="1098"/>
      <c r="FJ438" s="1098"/>
      <c r="FK438" s="1098"/>
      <c r="FL438" s="1098"/>
      <c r="FM438" s="1098"/>
      <c r="FN438" s="1098"/>
      <c r="FO438" s="1098"/>
      <c r="FP438" s="1098"/>
      <c r="FQ438" s="1098"/>
      <c r="FR438" s="1098"/>
      <c r="FS438" s="1098"/>
      <c r="FT438" s="1098"/>
      <c r="FU438" s="1098"/>
      <c r="FV438" s="1098"/>
      <c r="FW438" s="1098"/>
      <c r="FX438" s="1098"/>
      <c r="FY438" s="1098"/>
      <c r="FZ438" s="1098"/>
      <c r="GA438" s="1098"/>
      <c r="GB438" s="1098"/>
      <c r="GC438" s="1098"/>
      <c r="GD438" s="1098"/>
      <c r="GE438" s="1098"/>
      <c r="GF438" s="1098"/>
      <c r="GG438" s="1098"/>
      <c r="GH438" s="1098"/>
      <c r="GI438" s="1098"/>
      <c r="GJ438" s="1098"/>
      <c r="GK438" s="1098"/>
      <c r="GL438" s="1098"/>
      <c r="GM438" s="1098"/>
      <c r="GN438" s="1098"/>
      <c r="GO438" s="1098"/>
      <c r="GP438" s="1098"/>
      <c r="GQ438" s="1098"/>
      <c r="GR438" s="1098"/>
      <c r="GS438" s="1098"/>
      <c r="GT438" s="1098"/>
      <c r="GU438" s="1098"/>
      <c r="GV438" s="1098"/>
      <c r="GW438" s="1098"/>
      <c r="GX438" s="1098"/>
      <c r="GY438" s="1098"/>
      <c r="GZ438" s="1098"/>
      <c r="HA438" s="1098"/>
      <c r="HB438" s="1098"/>
      <c r="HC438" s="1098"/>
      <c r="HD438" s="1098"/>
      <c r="HE438" s="1098"/>
      <c r="HF438" s="1098"/>
      <c r="HG438" s="1098"/>
      <c r="HH438" s="1098"/>
      <c r="HI438" s="1098"/>
      <c r="HJ438" s="1098"/>
      <c r="HK438" s="1098"/>
      <c r="HL438" s="1098"/>
      <c r="HM438" s="1098"/>
      <c r="HN438" s="1098"/>
      <c r="HO438" s="1098"/>
      <c r="HP438" s="1098"/>
      <c r="HQ438" s="1098"/>
      <c r="HR438" s="1098"/>
      <c r="HS438" s="1098"/>
      <c r="HT438" s="1098"/>
      <c r="HU438" s="1098"/>
      <c r="HV438" s="1098"/>
      <c r="HW438" s="1098"/>
      <c r="HX438" s="1098"/>
      <c r="HY438" s="1098"/>
      <c r="HZ438" s="1098"/>
      <c r="IA438" s="1098"/>
      <c r="IB438" s="1098"/>
      <c r="IC438" s="1098"/>
      <c r="ID438" s="1098"/>
      <c r="IE438" s="1098"/>
      <c r="IF438" s="1098"/>
      <c r="IG438" s="1098"/>
      <c r="IH438" s="1098"/>
      <c r="II438" s="1098"/>
      <c r="IJ438" s="1098"/>
      <c r="IK438" s="1098"/>
      <c r="IL438" s="1098"/>
      <c r="IM438" s="1098"/>
      <c r="IN438" s="1098"/>
      <c r="IO438" s="1098"/>
      <c r="IP438" s="1098"/>
      <c r="IQ438" s="1098"/>
      <c r="IR438" s="1098"/>
      <c r="IS438" s="1098"/>
      <c r="IT438" s="1098"/>
      <c r="IU438" s="1098"/>
      <c r="IV438" s="1098"/>
      <c r="IW438" s="1098"/>
      <c r="IX438" s="1098"/>
      <c r="IY438" s="1098"/>
      <c r="IZ438" s="1098"/>
      <c r="JA438" s="1098"/>
      <c r="JB438" s="1098"/>
      <c r="JC438" s="1098"/>
      <c r="JD438" s="1098"/>
      <c r="JE438" s="1098"/>
      <c r="JF438" s="1098"/>
      <c r="JG438" s="1098"/>
      <c r="JH438" s="1098"/>
      <c r="JI438" s="1098"/>
      <c r="JJ438" s="1098"/>
      <c r="JK438" s="1098"/>
      <c r="JL438" s="1098"/>
      <c r="JM438" s="1098"/>
      <c r="JN438" s="1098"/>
      <c r="JO438" s="1098"/>
      <c r="JP438" s="1098"/>
      <c r="JQ438" s="1098"/>
      <c r="JR438" s="1098"/>
      <c r="JS438" s="1098"/>
      <c r="JT438" s="1098"/>
      <c r="JU438" s="1098"/>
      <c r="JV438" s="1098"/>
      <c r="JW438" s="1098"/>
      <c r="JX438" s="1098"/>
      <c r="JY438" s="1098"/>
      <c r="JZ438" s="1098"/>
      <c r="KA438" s="1098"/>
      <c r="KB438" s="1099"/>
    </row>
    <row r="439" spans="2:288" ht="15" customHeight="1" x14ac:dyDescent="0.35">
      <c r="B439" s="146" t="str">
        <f t="shared" si="36"/>
        <v>Desk 15</v>
      </c>
      <c r="C439" s="148" t="str">
        <v/>
      </c>
      <c r="D439" s="148" t="str">
        <v/>
      </c>
      <c r="E439" s="148" t="str">
        <v/>
      </c>
      <c r="F439" s="148" t="str">
        <v/>
      </c>
      <c r="G439" s="268" t="str">
        <v/>
      </c>
      <c r="H439" s="1098"/>
      <c r="I439" s="1098"/>
      <c r="J439" s="1098"/>
      <c r="K439" s="1098"/>
      <c r="L439" s="1098"/>
      <c r="M439" s="1098"/>
      <c r="N439" s="1098"/>
      <c r="O439" s="1098"/>
      <c r="P439" s="1098"/>
      <c r="Q439" s="1098"/>
      <c r="R439" s="1098"/>
      <c r="S439" s="1098"/>
      <c r="T439" s="1098"/>
      <c r="U439" s="1098"/>
      <c r="V439" s="1098"/>
      <c r="W439" s="1098"/>
      <c r="X439" s="1098"/>
      <c r="Y439" s="1098"/>
      <c r="Z439" s="1098"/>
      <c r="AA439" s="1098"/>
      <c r="AB439" s="1098"/>
      <c r="AC439" s="1098"/>
      <c r="AD439" s="1098"/>
      <c r="AE439" s="1098"/>
      <c r="AF439" s="1098"/>
      <c r="AG439" s="1098"/>
      <c r="AH439" s="1098"/>
      <c r="AI439" s="1098"/>
      <c r="AJ439" s="1098"/>
      <c r="AK439" s="1098"/>
      <c r="AL439" s="1098"/>
      <c r="AM439" s="1098"/>
      <c r="AN439" s="1098"/>
      <c r="AO439" s="1098"/>
      <c r="AP439" s="1098"/>
      <c r="AQ439" s="1098"/>
      <c r="AR439" s="1098"/>
      <c r="AS439" s="1098"/>
      <c r="AT439" s="1098"/>
      <c r="AU439" s="1098"/>
      <c r="AV439" s="1098"/>
      <c r="AW439" s="1098"/>
      <c r="AX439" s="1098"/>
      <c r="AY439" s="1098"/>
      <c r="AZ439" s="1098"/>
      <c r="BA439" s="1098"/>
      <c r="BB439" s="1098"/>
      <c r="BC439" s="1098"/>
      <c r="BD439" s="1098"/>
      <c r="BE439" s="1098"/>
      <c r="BF439" s="1098"/>
      <c r="BG439" s="1098"/>
      <c r="BH439" s="1098"/>
      <c r="BI439" s="1098"/>
      <c r="BJ439" s="1098"/>
      <c r="BK439" s="1098"/>
      <c r="BL439" s="1098"/>
      <c r="BM439" s="1098"/>
      <c r="BN439" s="1098"/>
      <c r="BO439" s="1098"/>
      <c r="BP439" s="1098"/>
      <c r="BQ439" s="1098"/>
      <c r="BR439" s="1098"/>
      <c r="BS439" s="1098"/>
      <c r="BT439" s="1098"/>
      <c r="BU439" s="1098"/>
      <c r="BV439" s="1098"/>
      <c r="BW439" s="1098"/>
      <c r="BX439" s="1098"/>
      <c r="BY439" s="1098"/>
      <c r="BZ439" s="1098"/>
      <c r="CA439" s="1098"/>
      <c r="CB439" s="1098"/>
      <c r="CC439" s="1098"/>
      <c r="CD439" s="1098"/>
      <c r="CE439" s="1098"/>
      <c r="CF439" s="1098"/>
      <c r="CG439" s="1098"/>
      <c r="CH439" s="1098"/>
      <c r="CI439" s="1098"/>
      <c r="CJ439" s="1098"/>
      <c r="CK439" s="1098"/>
      <c r="CL439" s="1098"/>
      <c r="CM439" s="1098"/>
      <c r="CN439" s="1098"/>
      <c r="CO439" s="1098"/>
      <c r="CP439" s="1098"/>
      <c r="CQ439" s="1098"/>
      <c r="CR439" s="1098"/>
      <c r="CS439" s="1098"/>
      <c r="CT439" s="1098"/>
      <c r="CU439" s="1098"/>
      <c r="CV439" s="1098"/>
      <c r="CW439" s="1098"/>
      <c r="CX439" s="1098"/>
      <c r="CY439" s="1098"/>
      <c r="CZ439" s="1098"/>
      <c r="DA439" s="1098"/>
      <c r="DB439" s="1098"/>
      <c r="DC439" s="1098"/>
      <c r="DD439" s="1098"/>
      <c r="DE439" s="1098"/>
      <c r="DF439" s="1098"/>
      <c r="DG439" s="1098"/>
      <c r="DH439" s="1098"/>
      <c r="DI439" s="1098"/>
      <c r="DJ439" s="1098"/>
      <c r="DK439" s="1098"/>
      <c r="DL439" s="1098"/>
      <c r="DM439" s="1098"/>
      <c r="DN439" s="1098"/>
      <c r="DO439" s="1098"/>
      <c r="DP439" s="1098"/>
      <c r="DQ439" s="1098"/>
      <c r="DR439" s="1098"/>
      <c r="DS439" s="1098"/>
      <c r="DT439" s="1098"/>
      <c r="DU439" s="1098"/>
      <c r="DV439" s="1098"/>
      <c r="DW439" s="1098"/>
      <c r="DX439" s="1098"/>
      <c r="DY439" s="1098"/>
      <c r="DZ439" s="1098"/>
      <c r="EA439" s="1098"/>
      <c r="EB439" s="1098"/>
      <c r="EC439" s="1098"/>
      <c r="ED439" s="1098"/>
      <c r="EE439" s="1098"/>
      <c r="EF439" s="1098"/>
      <c r="EG439" s="1098"/>
      <c r="EH439" s="1098"/>
      <c r="EI439" s="1098"/>
      <c r="EJ439" s="1098"/>
      <c r="EK439" s="1098"/>
      <c r="EL439" s="1098"/>
      <c r="EM439" s="1098"/>
      <c r="EN439" s="1098"/>
      <c r="EO439" s="1098"/>
      <c r="EP439" s="1098"/>
      <c r="EQ439" s="1098"/>
      <c r="ER439" s="1098"/>
      <c r="ES439" s="1098"/>
      <c r="ET439" s="1098"/>
      <c r="EU439" s="1098"/>
      <c r="EV439" s="1098"/>
      <c r="EW439" s="1098"/>
      <c r="EX439" s="1098"/>
      <c r="EY439" s="1098"/>
      <c r="EZ439" s="1098"/>
      <c r="FA439" s="1098"/>
      <c r="FB439" s="1098"/>
      <c r="FC439" s="1098"/>
      <c r="FD439" s="1098"/>
      <c r="FE439" s="1098"/>
      <c r="FF439" s="1098"/>
      <c r="FG439" s="1098"/>
      <c r="FH439" s="1098"/>
      <c r="FI439" s="1098"/>
      <c r="FJ439" s="1098"/>
      <c r="FK439" s="1098"/>
      <c r="FL439" s="1098"/>
      <c r="FM439" s="1098"/>
      <c r="FN439" s="1098"/>
      <c r="FO439" s="1098"/>
      <c r="FP439" s="1098"/>
      <c r="FQ439" s="1098"/>
      <c r="FR439" s="1098"/>
      <c r="FS439" s="1098"/>
      <c r="FT439" s="1098"/>
      <c r="FU439" s="1098"/>
      <c r="FV439" s="1098"/>
      <c r="FW439" s="1098"/>
      <c r="FX439" s="1098"/>
      <c r="FY439" s="1098"/>
      <c r="FZ439" s="1098"/>
      <c r="GA439" s="1098"/>
      <c r="GB439" s="1098"/>
      <c r="GC439" s="1098"/>
      <c r="GD439" s="1098"/>
      <c r="GE439" s="1098"/>
      <c r="GF439" s="1098"/>
      <c r="GG439" s="1098"/>
      <c r="GH439" s="1098"/>
      <c r="GI439" s="1098"/>
      <c r="GJ439" s="1098"/>
      <c r="GK439" s="1098"/>
      <c r="GL439" s="1098"/>
      <c r="GM439" s="1098"/>
      <c r="GN439" s="1098"/>
      <c r="GO439" s="1098"/>
      <c r="GP439" s="1098"/>
      <c r="GQ439" s="1098"/>
      <c r="GR439" s="1098"/>
      <c r="GS439" s="1098"/>
      <c r="GT439" s="1098"/>
      <c r="GU439" s="1098"/>
      <c r="GV439" s="1098"/>
      <c r="GW439" s="1098"/>
      <c r="GX439" s="1098"/>
      <c r="GY439" s="1098"/>
      <c r="GZ439" s="1098"/>
      <c r="HA439" s="1098"/>
      <c r="HB439" s="1098"/>
      <c r="HC439" s="1098"/>
      <c r="HD439" s="1098"/>
      <c r="HE439" s="1098"/>
      <c r="HF439" s="1098"/>
      <c r="HG439" s="1098"/>
      <c r="HH439" s="1098"/>
      <c r="HI439" s="1098"/>
      <c r="HJ439" s="1098"/>
      <c r="HK439" s="1098"/>
      <c r="HL439" s="1098"/>
      <c r="HM439" s="1098"/>
      <c r="HN439" s="1098"/>
      <c r="HO439" s="1098"/>
      <c r="HP439" s="1098"/>
      <c r="HQ439" s="1098"/>
      <c r="HR439" s="1098"/>
      <c r="HS439" s="1098"/>
      <c r="HT439" s="1098"/>
      <c r="HU439" s="1098"/>
      <c r="HV439" s="1098"/>
      <c r="HW439" s="1098"/>
      <c r="HX439" s="1098"/>
      <c r="HY439" s="1098"/>
      <c r="HZ439" s="1098"/>
      <c r="IA439" s="1098"/>
      <c r="IB439" s="1098"/>
      <c r="IC439" s="1098"/>
      <c r="ID439" s="1098"/>
      <c r="IE439" s="1098"/>
      <c r="IF439" s="1098"/>
      <c r="IG439" s="1098"/>
      <c r="IH439" s="1098"/>
      <c r="II439" s="1098"/>
      <c r="IJ439" s="1098"/>
      <c r="IK439" s="1098"/>
      <c r="IL439" s="1098"/>
      <c r="IM439" s="1098"/>
      <c r="IN439" s="1098"/>
      <c r="IO439" s="1098"/>
      <c r="IP439" s="1098"/>
      <c r="IQ439" s="1098"/>
      <c r="IR439" s="1098"/>
      <c r="IS439" s="1098"/>
      <c r="IT439" s="1098"/>
      <c r="IU439" s="1098"/>
      <c r="IV439" s="1098"/>
      <c r="IW439" s="1098"/>
      <c r="IX439" s="1098"/>
      <c r="IY439" s="1098"/>
      <c r="IZ439" s="1098"/>
      <c r="JA439" s="1098"/>
      <c r="JB439" s="1098"/>
      <c r="JC439" s="1098"/>
      <c r="JD439" s="1098"/>
      <c r="JE439" s="1098"/>
      <c r="JF439" s="1098"/>
      <c r="JG439" s="1098"/>
      <c r="JH439" s="1098"/>
      <c r="JI439" s="1098"/>
      <c r="JJ439" s="1098"/>
      <c r="JK439" s="1098"/>
      <c r="JL439" s="1098"/>
      <c r="JM439" s="1098"/>
      <c r="JN439" s="1098"/>
      <c r="JO439" s="1098"/>
      <c r="JP439" s="1098"/>
      <c r="JQ439" s="1098"/>
      <c r="JR439" s="1098"/>
      <c r="JS439" s="1098"/>
      <c r="JT439" s="1098"/>
      <c r="JU439" s="1098"/>
      <c r="JV439" s="1098"/>
      <c r="JW439" s="1098"/>
      <c r="JX439" s="1098"/>
      <c r="JY439" s="1098"/>
      <c r="JZ439" s="1098"/>
      <c r="KA439" s="1098"/>
      <c r="KB439" s="1099"/>
    </row>
    <row r="440" spans="2:288" ht="15" customHeight="1" x14ac:dyDescent="0.35">
      <c r="B440" s="146" t="str">
        <f t="shared" si="36"/>
        <v>Desk 16</v>
      </c>
      <c r="C440" s="148" t="str">
        <v/>
      </c>
      <c r="D440" s="148" t="str">
        <v/>
      </c>
      <c r="E440" s="148" t="str">
        <v/>
      </c>
      <c r="F440" s="148" t="str">
        <v/>
      </c>
      <c r="G440" s="268" t="str">
        <v/>
      </c>
      <c r="H440" s="1098"/>
      <c r="I440" s="1098"/>
      <c r="J440" s="1098"/>
      <c r="K440" s="1098"/>
      <c r="L440" s="1098"/>
      <c r="M440" s="1098"/>
      <c r="N440" s="1098"/>
      <c r="O440" s="1098"/>
      <c r="P440" s="1098"/>
      <c r="Q440" s="1098"/>
      <c r="R440" s="1098"/>
      <c r="S440" s="1098"/>
      <c r="T440" s="1098"/>
      <c r="U440" s="1098"/>
      <c r="V440" s="1098"/>
      <c r="W440" s="1098"/>
      <c r="X440" s="1098"/>
      <c r="Y440" s="1098"/>
      <c r="Z440" s="1098"/>
      <c r="AA440" s="1098"/>
      <c r="AB440" s="1098"/>
      <c r="AC440" s="1098"/>
      <c r="AD440" s="1098"/>
      <c r="AE440" s="1098"/>
      <c r="AF440" s="1098"/>
      <c r="AG440" s="1098"/>
      <c r="AH440" s="1098"/>
      <c r="AI440" s="1098"/>
      <c r="AJ440" s="1098"/>
      <c r="AK440" s="1098"/>
      <c r="AL440" s="1098"/>
      <c r="AM440" s="1098"/>
      <c r="AN440" s="1098"/>
      <c r="AO440" s="1098"/>
      <c r="AP440" s="1098"/>
      <c r="AQ440" s="1098"/>
      <c r="AR440" s="1098"/>
      <c r="AS440" s="1098"/>
      <c r="AT440" s="1098"/>
      <c r="AU440" s="1098"/>
      <c r="AV440" s="1098"/>
      <c r="AW440" s="1098"/>
      <c r="AX440" s="1098"/>
      <c r="AY440" s="1098"/>
      <c r="AZ440" s="1098"/>
      <c r="BA440" s="1098"/>
      <c r="BB440" s="1098"/>
      <c r="BC440" s="1098"/>
      <c r="BD440" s="1098"/>
      <c r="BE440" s="1098"/>
      <c r="BF440" s="1098"/>
      <c r="BG440" s="1098"/>
      <c r="BH440" s="1098"/>
      <c r="BI440" s="1098"/>
      <c r="BJ440" s="1098"/>
      <c r="BK440" s="1098"/>
      <c r="BL440" s="1098"/>
      <c r="BM440" s="1098"/>
      <c r="BN440" s="1098"/>
      <c r="BO440" s="1098"/>
      <c r="BP440" s="1098"/>
      <c r="BQ440" s="1098"/>
      <c r="BR440" s="1098"/>
      <c r="BS440" s="1098"/>
      <c r="BT440" s="1098"/>
      <c r="BU440" s="1098"/>
      <c r="BV440" s="1098"/>
      <c r="BW440" s="1098"/>
      <c r="BX440" s="1098"/>
      <c r="BY440" s="1098"/>
      <c r="BZ440" s="1098"/>
      <c r="CA440" s="1098"/>
      <c r="CB440" s="1098"/>
      <c r="CC440" s="1098"/>
      <c r="CD440" s="1098"/>
      <c r="CE440" s="1098"/>
      <c r="CF440" s="1098"/>
      <c r="CG440" s="1098"/>
      <c r="CH440" s="1098"/>
      <c r="CI440" s="1098"/>
      <c r="CJ440" s="1098"/>
      <c r="CK440" s="1098"/>
      <c r="CL440" s="1098"/>
      <c r="CM440" s="1098"/>
      <c r="CN440" s="1098"/>
      <c r="CO440" s="1098"/>
      <c r="CP440" s="1098"/>
      <c r="CQ440" s="1098"/>
      <c r="CR440" s="1098"/>
      <c r="CS440" s="1098"/>
      <c r="CT440" s="1098"/>
      <c r="CU440" s="1098"/>
      <c r="CV440" s="1098"/>
      <c r="CW440" s="1098"/>
      <c r="CX440" s="1098"/>
      <c r="CY440" s="1098"/>
      <c r="CZ440" s="1098"/>
      <c r="DA440" s="1098"/>
      <c r="DB440" s="1098"/>
      <c r="DC440" s="1098"/>
      <c r="DD440" s="1098"/>
      <c r="DE440" s="1098"/>
      <c r="DF440" s="1098"/>
      <c r="DG440" s="1098"/>
      <c r="DH440" s="1098"/>
      <c r="DI440" s="1098"/>
      <c r="DJ440" s="1098"/>
      <c r="DK440" s="1098"/>
      <c r="DL440" s="1098"/>
      <c r="DM440" s="1098"/>
      <c r="DN440" s="1098"/>
      <c r="DO440" s="1098"/>
      <c r="DP440" s="1098"/>
      <c r="DQ440" s="1098"/>
      <c r="DR440" s="1098"/>
      <c r="DS440" s="1098"/>
      <c r="DT440" s="1098"/>
      <c r="DU440" s="1098"/>
      <c r="DV440" s="1098"/>
      <c r="DW440" s="1098"/>
      <c r="DX440" s="1098"/>
      <c r="DY440" s="1098"/>
      <c r="DZ440" s="1098"/>
      <c r="EA440" s="1098"/>
      <c r="EB440" s="1098"/>
      <c r="EC440" s="1098"/>
      <c r="ED440" s="1098"/>
      <c r="EE440" s="1098"/>
      <c r="EF440" s="1098"/>
      <c r="EG440" s="1098"/>
      <c r="EH440" s="1098"/>
      <c r="EI440" s="1098"/>
      <c r="EJ440" s="1098"/>
      <c r="EK440" s="1098"/>
      <c r="EL440" s="1098"/>
      <c r="EM440" s="1098"/>
      <c r="EN440" s="1098"/>
      <c r="EO440" s="1098"/>
      <c r="EP440" s="1098"/>
      <c r="EQ440" s="1098"/>
      <c r="ER440" s="1098"/>
      <c r="ES440" s="1098"/>
      <c r="ET440" s="1098"/>
      <c r="EU440" s="1098"/>
      <c r="EV440" s="1098"/>
      <c r="EW440" s="1098"/>
      <c r="EX440" s="1098"/>
      <c r="EY440" s="1098"/>
      <c r="EZ440" s="1098"/>
      <c r="FA440" s="1098"/>
      <c r="FB440" s="1098"/>
      <c r="FC440" s="1098"/>
      <c r="FD440" s="1098"/>
      <c r="FE440" s="1098"/>
      <c r="FF440" s="1098"/>
      <c r="FG440" s="1098"/>
      <c r="FH440" s="1098"/>
      <c r="FI440" s="1098"/>
      <c r="FJ440" s="1098"/>
      <c r="FK440" s="1098"/>
      <c r="FL440" s="1098"/>
      <c r="FM440" s="1098"/>
      <c r="FN440" s="1098"/>
      <c r="FO440" s="1098"/>
      <c r="FP440" s="1098"/>
      <c r="FQ440" s="1098"/>
      <c r="FR440" s="1098"/>
      <c r="FS440" s="1098"/>
      <c r="FT440" s="1098"/>
      <c r="FU440" s="1098"/>
      <c r="FV440" s="1098"/>
      <c r="FW440" s="1098"/>
      <c r="FX440" s="1098"/>
      <c r="FY440" s="1098"/>
      <c r="FZ440" s="1098"/>
      <c r="GA440" s="1098"/>
      <c r="GB440" s="1098"/>
      <c r="GC440" s="1098"/>
      <c r="GD440" s="1098"/>
      <c r="GE440" s="1098"/>
      <c r="GF440" s="1098"/>
      <c r="GG440" s="1098"/>
      <c r="GH440" s="1098"/>
      <c r="GI440" s="1098"/>
      <c r="GJ440" s="1098"/>
      <c r="GK440" s="1098"/>
      <c r="GL440" s="1098"/>
      <c r="GM440" s="1098"/>
      <c r="GN440" s="1098"/>
      <c r="GO440" s="1098"/>
      <c r="GP440" s="1098"/>
      <c r="GQ440" s="1098"/>
      <c r="GR440" s="1098"/>
      <c r="GS440" s="1098"/>
      <c r="GT440" s="1098"/>
      <c r="GU440" s="1098"/>
      <c r="GV440" s="1098"/>
      <c r="GW440" s="1098"/>
      <c r="GX440" s="1098"/>
      <c r="GY440" s="1098"/>
      <c r="GZ440" s="1098"/>
      <c r="HA440" s="1098"/>
      <c r="HB440" s="1098"/>
      <c r="HC440" s="1098"/>
      <c r="HD440" s="1098"/>
      <c r="HE440" s="1098"/>
      <c r="HF440" s="1098"/>
      <c r="HG440" s="1098"/>
      <c r="HH440" s="1098"/>
      <c r="HI440" s="1098"/>
      <c r="HJ440" s="1098"/>
      <c r="HK440" s="1098"/>
      <c r="HL440" s="1098"/>
      <c r="HM440" s="1098"/>
      <c r="HN440" s="1098"/>
      <c r="HO440" s="1098"/>
      <c r="HP440" s="1098"/>
      <c r="HQ440" s="1098"/>
      <c r="HR440" s="1098"/>
      <c r="HS440" s="1098"/>
      <c r="HT440" s="1098"/>
      <c r="HU440" s="1098"/>
      <c r="HV440" s="1098"/>
      <c r="HW440" s="1098"/>
      <c r="HX440" s="1098"/>
      <c r="HY440" s="1098"/>
      <c r="HZ440" s="1098"/>
      <c r="IA440" s="1098"/>
      <c r="IB440" s="1098"/>
      <c r="IC440" s="1098"/>
      <c r="ID440" s="1098"/>
      <c r="IE440" s="1098"/>
      <c r="IF440" s="1098"/>
      <c r="IG440" s="1098"/>
      <c r="IH440" s="1098"/>
      <c r="II440" s="1098"/>
      <c r="IJ440" s="1098"/>
      <c r="IK440" s="1098"/>
      <c r="IL440" s="1098"/>
      <c r="IM440" s="1098"/>
      <c r="IN440" s="1098"/>
      <c r="IO440" s="1098"/>
      <c r="IP440" s="1098"/>
      <c r="IQ440" s="1098"/>
      <c r="IR440" s="1098"/>
      <c r="IS440" s="1098"/>
      <c r="IT440" s="1098"/>
      <c r="IU440" s="1098"/>
      <c r="IV440" s="1098"/>
      <c r="IW440" s="1098"/>
      <c r="IX440" s="1098"/>
      <c r="IY440" s="1098"/>
      <c r="IZ440" s="1098"/>
      <c r="JA440" s="1098"/>
      <c r="JB440" s="1098"/>
      <c r="JC440" s="1098"/>
      <c r="JD440" s="1098"/>
      <c r="JE440" s="1098"/>
      <c r="JF440" s="1098"/>
      <c r="JG440" s="1098"/>
      <c r="JH440" s="1098"/>
      <c r="JI440" s="1098"/>
      <c r="JJ440" s="1098"/>
      <c r="JK440" s="1098"/>
      <c r="JL440" s="1098"/>
      <c r="JM440" s="1098"/>
      <c r="JN440" s="1098"/>
      <c r="JO440" s="1098"/>
      <c r="JP440" s="1098"/>
      <c r="JQ440" s="1098"/>
      <c r="JR440" s="1098"/>
      <c r="JS440" s="1098"/>
      <c r="JT440" s="1098"/>
      <c r="JU440" s="1098"/>
      <c r="JV440" s="1098"/>
      <c r="JW440" s="1098"/>
      <c r="JX440" s="1098"/>
      <c r="JY440" s="1098"/>
      <c r="JZ440" s="1098"/>
      <c r="KA440" s="1098"/>
      <c r="KB440" s="1099"/>
    </row>
    <row r="441" spans="2:288" ht="15" customHeight="1" x14ac:dyDescent="0.35">
      <c r="B441" s="146" t="str">
        <f t="shared" si="36"/>
        <v>Desk 17</v>
      </c>
      <c r="C441" s="148" t="str">
        <v/>
      </c>
      <c r="D441" s="148" t="str">
        <v/>
      </c>
      <c r="E441" s="148" t="str">
        <v/>
      </c>
      <c r="F441" s="148" t="str">
        <v/>
      </c>
      <c r="G441" s="268" t="str">
        <v/>
      </c>
      <c r="H441" s="1098"/>
      <c r="I441" s="1098"/>
      <c r="J441" s="1098"/>
      <c r="K441" s="1098"/>
      <c r="L441" s="1098"/>
      <c r="M441" s="1098"/>
      <c r="N441" s="1098"/>
      <c r="O441" s="1098"/>
      <c r="P441" s="1098"/>
      <c r="Q441" s="1098"/>
      <c r="R441" s="1098"/>
      <c r="S441" s="1098"/>
      <c r="T441" s="1098"/>
      <c r="U441" s="1098"/>
      <c r="V441" s="1098"/>
      <c r="W441" s="1098"/>
      <c r="X441" s="1098"/>
      <c r="Y441" s="1098"/>
      <c r="Z441" s="1098"/>
      <c r="AA441" s="1098"/>
      <c r="AB441" s="1098"/>
      <c r="AC441" s="1098"/>
      <c r="AD441" s="1098"/>
      <c r="AE441" s="1098"/>
      <c r="AF441" s="1098"/>
      <c r="AG441" s="1098"/>
      <c r="AH441" s="1098"/>
      <c r="AI441" s="1098"/>
      <c r="AJ441" s="1098"/>
      <c r="AK441" s="1098"/>
      <c r="AL441" s="1098"/>
      <c r="AM441" s="1098"/>
      <c r="AN441" s="1098"/>
      <c r="AO441" s="1098"/>
      <c r="AP441" s="1098"/>
      <c r="AQ441" s="1098"/>
      <c r="AR441" s="1098"/>
      <c r="AS441" s="1098"/>
      <c r="AT441" s="1098"/>
      <c r="AU441" s="1098"/>
      <c r="AV441" s="1098"/>
      <c r="AW441" s="1098"/>
      <c r="AX441" s="1098"/>
      <c r="AY441" s="1098"/>
      <c r="AZ441" s="1098"/>
      <c r="BA441" s="1098"/>
      <c r="BB441" s="1098"/>
      <c r="BC441" s="1098"/>
      <c r="BD441" s="1098"/>
      <c r="BE441" s="1098"/>
      <c r="BF441" s="1098"/>
      <c r="BG441" s="1098"/>
      <c r="BH441" s="1098"/>
      <c r="BI441" s="1098"/>
      <c r="BJ441" s="1098"/>
      <c r="BK441" s="1098"/>
      <c r="BL441" s="1098"/>
      <c r="BM441" s="1098"/>
      <c r="BN441" s="1098"/>
      <c r="BO441" s="1098"/>
      <c r="BP441" s="1098"/>
      <c r="BQ441" s="1098"/>
      <c r="BR441" s="1098"/>
      <c r="BS441" s="1098"/>
      <c r="BT441" s="1098"/>
      <c r="BU441" s="1098"/>
      <c r="BV441" s="1098"/>
      <c r="BW441" s="1098"/>
      <c r="BX441" s="1098"/>
      <c r="BY441" s="1098"/>
      <c r="BZ441" s="1098"/>
      <c r="CA441" s="1098"/>
      <c r="CB441" s="1098"/>
      <c r="CC441" s="1098"/>
      <c r="CD441" s="1098"/>
      <c r="CE441" s="1098"/>
      <c r="CF441" s="1098"/>
      <c r="CG441" s="1098"/>
      <c r="CH441" s="1098"/>
      <c r="CI441" s="1098"/>
      <c r="CJ441" s="1098"/>
      <c r="CK441" s="1098"/>
      <c r="CL441" s="1098"/>
      <c r="CM441" s="1098"/>
      <c r="CN441" s="1098"/>
      <c r="CO441" s="1098"/>
      <c r="CP441" s="1098"/>
      <c r="CQ441" s="1098"/>
      <c r="CR441" s="1098"/>
      <c r="CS441" s="1098"/>
      <c r="CT441" s="1098"/>
      <c r="CU441" s="1098"/>
      <c r="CV441" s="1098"/>
      <c r="CW441" s="1098"/>
      <c r="CX441" s="1098"/>
      <c r="CY441" s="1098"/>
      <c r="CZ441" s="1098"/>
      <c r="DA441" s="1098"/>
      <c r="DB441" s="1098"/>
      <c r="DC441" s="1098"/>
      <c r="DD441" s="1098"/>
      <c r="DE441" s="1098"/>
      <c r="DF441" s="1098"/>
      <c r="DG441" s="1098"/>
      <c r="DH441" s="1098"/>
      <c r="DI441" s="1098"/>
      <c r="DJ441" s="1098"/>
      <c r="DK441" s="1098"/>
      <c r="DL441" s="1098"/>
      <c r="DM441" s="1098"/>
      <c r="DN441" s="1098"/>
      <c r="DO441" s="1098"/>
      <c r="DP441" s="1098"/>
      <c r="DQ441" s="1098"/>
      <c r="DR441" s="1098"/>
      <c r="DS441" s="1098"/>
      <c r="DT441" s="1098"/>
      <c r="DU441" s="1098"/>
      <c r="DV441" s="1098"/>
      <c r="DW441" s="1098"/>
      <c r="DX441" s="1098"/>
      <c r="DY441" s="1098"/>
      <c r="DZ441" s="1098"/>
      <c r="EA441" s="1098"/>
      <c r="EB441" s="1098"/>
      <c r="EC441" s="1098"/>
      <c r="ED441" s="1098"/>
      <c r="EE441" s="1098"/>
      <c r="EF441" s="1098"/>
      <c r="EG441" s="1098"/>
      <c r="EH441" s="1098"/>
      <c r="EI441" s="1098"/>
      <c r="EJ441" s="1098"/>
      <c r="EK441" s="1098"/>
      <c r="EL441" s="1098"/>
      <c r="EM441" s="1098"/>
      <c r="EN441" s="1098"/>
      <c r="EO441" s="1098"/>
      <c r="EP441" s="1098"/>
      <c r="EQ441" s="1098"/>
      <c r="ER441" s="1098"/>
      <c r="ES441" s="1098"/>
      <c r="ET441" s="1098"/>
      <c r="EU441" s="1098"/>
      <c r="EV441" s="1098"/>
      <c r="EW441" s="1098"/>
      <c r="EX441" s="1098"/>
      <c r="EY441" s="1098"/>
      <c r="EZ441" s="1098"/>
      <c r="FA441" s="1098"/>
      <c r="FB441" s="1098"/>
      <c r="FC441" s="1098"/>
      <c r="FD441" s="1098"/>
      <c r="FE441" s="1098"/>
      <c r="FF441" s="1098"/>
      <c r="FG441" s="1098"/>
      <c r="FH441" s="1098"/>
      <c r="FI441" s="1098"/>
      <c r="FJ441" s="1098"/>
      <c r="FK441" s="1098"/>
      <c r="FL441" s="1098"/>
      <c r="FM441" s="1098"/>
      <c r="FN441" s="1098"/>
      <c r="FO441" s="1098"/>
      <c r="FP441" s="1098"/>
      <c r="FQ441" s="1098"/>
      <c r="FR441" s="1098"/>
      <c r="FS441" s="1098"/>
      <c r="FT441" s="1098"/>
      <c r="FU441" s="1098"/>
      <c r="FV441" s="1098"/>
      <c r="FW441" s="1098"/>
      <c r="FX441" s="1098"/>
      <c r="FY441" s="1098"/>
      <c r="FZ441" s="1098"/>
      <c r="GA441" s="1098"/>
      <c r="GB441" s="1098"/>
      <c r="GC441" s="1098"/>
      <c r="GD441" s="1098"/>
      <c r="GE441" s="1098"/>
      <c r="GF441" s="1098"/>
      <c r="GG441" s="1098"/>
      <c r="GH441" s="1098"/>
      <c r="GI441" s="1098"/>
      <c r="GJ441" s="1098"/>
      <c r="GK441" s="1098"/>
      <c r="GL441" s="1098"/>
      <c r="GM441" s="1098"/>
      <c r="GN441" s="1098"/>
      <c r="GO441" s="1098"/>
      <c r="GP441" s="1098"/>
      <c r="GQ441" s="1098"/>
      <c r="GR441" s="1098"/>
      <c r="GS441" s="1098"/>
      <c r="GT441" s="1098"/>
      <c r="GU441" s="1098"/>
      <c r="GV441" s="1098"/>
      <c r="GW441" s="1098"/>
      <c r="GX441" s="1098"/>
      <c r="GY441" s="1098"/>
      <c r="GZ441" s="1098"/>
      <c r="HA441" s="1098"/>
      <c r="HB441" s="1098"/>
      <c r="HC441" s="1098"/>
      <c r="HD441" s="1098"/>
      <c r="HE441" s="1098"/>
      <c r="HF441" s="1098"/>
      <c r="HG441" s="1098"/>
      <c r="HH441" s="1098"/>
      <c r="HI441" s="1098"/>
      <c r="HJ441" s="1098"/>
      <c r="HK441" s="1098"/>
      <c r="HL441" s="1098"/>
      <c r="HM441" s="1098"/>
      <c r="HN441" s="1098"/>
      <c r="HO441" s="1098"/>
      <c r="HP441" s="1098"/>
      <c r="HQ441" s="1098"/>
      <c r="HR441" s="1098"/>
      <c r="HS441" s="1098"/>
      <c r="HT441" s="1098"/>
      <c r="HU441" s="1098"/>
      <c r="HV441" s="1098"/>
      <c r="HW441" s="1098"/>
      <c r="HX441" s="1098"/>
      <c r="HY441" s="1098"/>
      <c r="HZ441" s="1098"/>
      <c r="IA441" s="1098"/>
      <c r="IB441" s="1098"/>
      <c r="IC441" s="1098"/>
      <c r="ID441" s="1098"/>
      <c r="IE441" s="1098"/>
      <c r="IF441" s="1098"/>
      <c r="IG441" s="1098"/>
      <c r="IH441" s="1098"/>
      <c r="II441" s="1098"/>
      <c r="IJ441" s="1098"/>
      <c r="IK441" s="1098"/>
      <c r="IL441" s="1098"/>
      <c r="IM441" s="1098"/>
      <c r="IN441" s="1098"/>
      <c r="IO441" s="1098"/>
      <c r="IP441" s="1098"/>
      <c r="IQ441" s="1098"/>
      <c r="IR441" s="1098"/>
      <c r="IS441" s="1098"/>
      <c r="IT441" s="1098"/>
      <c r="IU441" s="1098"/>
      <c r="IV441" s="1098"/>
      <c r="IW441" s="1098"/>
      <c r="IX441" s="1098"/>
      <c r="IY441" s="1098"/>
      <c r="IZ441" s="1098"/>
      <c r="JA441" s="1098"/>
      <c r="JB441" s="1098"/>
      <c r="JC441" s="1098"/>
      <c r="JD441" s="1098"/>
      <c r="JE441" s="1098"/>
      <c r="JF441" s="1098"/>
      <c r="JG441" s="1098"/>
      <c r="JH441" s="1098"/>
      <c r="JI441" s="1098"/>
      <c r="JJ441" s="1098"/>
      <c r="JK441" s="1098"/>
      <c r="JL441" s="1098"/>
      <c r="JM441" s="1098"/>
      <c r="JN441" s="1098"/>
      <c r="JO441" s="1098"/>
      <c r="JP441" s="1098"/>
      <c r="JQ441" s="1098"/>
      <c r="JR441" s="1098"/>
      <c r="JS441" s="1098"/>
      <c r="JT441" s="1098"/>
      <c r="JU441" s="1098"/>
      <c r="JV441" s="1098"/>
      <c r="JW441" s="1098"/>
      <c r="JX441" s="1098"/>
      <c r="JY441" s="1098"/>
      <c r="JZ441" s="1098"/>
      <c r="KA441" s="1098"/>
      <c r="KB441" s="1099"/>
    </row>
    <row r="442" spans="2:288" ht="15" customHeight="1" x14ac:dyDescent="0.35">
      <c r="B442" s="146" t="str">
        <f t="shared" si="36"/>
        <v>Desk 18</v>
      </c>
      <c r="C442" s="148" t="str">
        <v/>
      </c>
      <c r="D442" s="148" t="str">
        <v/>
      </c>
      <c r="E442" s="148" t="str">
        <v/>
      </c>
      <c r="F442" s="148" t="str">
        <v/>
      </c>
      <c r="G442" s="268" t="str">
        <v/>
      </c>
      <c r="H442" s="1098"/>
      <c r="I442" s="1098"/>
      <c r="J442" s="1098"/>
      <c r="K442" s="1098"/>
      <c r="L442" s="1098"/>
      <c r="M442" s="1098"/>
      <c r="N442" s="1098"/>
      <c r="O442" s="1098"/>
      <c r="P442" s="1098"/>
      <c r="Q442" s="1098"/>
      <c r="R442" s="1098"/>
      <c r="S442" s="1098"/>
      <c r="T442" s="1098"/>
      <c r="U442" s="1098"/>
      <c r="V442" s="1098"/>
      <c r="W442" s="1098"/>
      <c r="X442" s="1098"/>
      <c r="Y442" s="1098"/>
      <c r="Z442" s="1098"/>
      <c r="AA442" s="1098"/>
      <c r="AB442" s="1098"/>
      <c r="AC442" s="1098"/>
      <c r="AD442" s="1098"/>
      <c r="AE442" s="1098"/>
      <c r="AF442" s="1098"/>
      <c r="AG442" s="1098"/>
      <c r="AH442" s="1098"/>
      <c r="AI442" s="1098"/>
      <c r="AJ442" s="1098"/>
      <c r="AK442" s="1098"/>
      <c r="AL442" s="1098"/>
      <c r="AM442" s="1098"/>
      <c r="AN442" s="1098"/>
      <c r="AO442" s="1098"/>
      <c r="AP442" s="1098"/>
      <c r="AQ442" s="1098"/>
      <c r="AR442" s="1098"/>
      <c r="AS442" s="1098"/>
      <c r="AT442" s="1098"/>
      <c r="AU442" s="1098"/>
      <c r="AV442" s="1098"/>
      <c r="AW442" s="1098"/>
      <c r="AX442" s="1098"/>
      <c r="AY442" s="1098"/>
      <c r="AZ442" s="1098"/>
      <c r="BA442" s="1098"/>
      <c r="BB442" s="1098"/>
      <c r="BC442" s="1098"/>
      <c r="BD442" s="1098"/>
      <c r="BE442" s="1098"/>
      <c r="BF442" s="1098"/>
      <c r="BG442" s="1098"/>
      <c r="BH442" s="1098"/>
      <c r="BI442" s="1098"/>
      <c r="BJ442" s="1098"/>
      <c r="BK442" s="1098"/>
      <c r="BL442" s="1098"/>
      <c r="BM442" s="1098"/>
      <c r="BN442" s="1098"/>
      <c r="BO442" s="1098"/>
      <c r="BP442" s="1098"/>
      <c r="BQ442" s="1098"/>
      <c r="BR442" s="1098"/>
      <c r="BS442" s="1098"/>
      <c r="BT442" s="1098"/>
      <c r="BU442" s="1098"/>
      <c r="BV442" s="1098"/>
      <c r="BW442" s="1098"/>
      <c r="BX442" s="1098"/>
      <c r="BY442" s="1098"/>
      <c r="BZ442" s="1098"/>
      <c r="CA442" s="1098"/>
      <c r="CB442" s="1098"/>
      <c r="CC442" s="1098"/>
      <c r="CD442" s="1098"/>
      <c r="CE442" s="1098"/>
      <c r="CF442" s="1098"/>
      <c r="CG442" s="1098"/>
      <c r="CH442" s="1098"/>
      <c r="CI442" s="1098"/>
      <c r="CJ442" s="1098"/>
      <c r="CK442" s="1098"/>
      <c r="CL442" s="1098"/>
      <c r="CM442" s="1098"/>
      <c r="CN442" s="1098"/>
      <c r="CO442" s="1098"/>
      <c r="CP442" s="1098"/>
      <c r="CQ442" s="1098"/>
      <c r="CR442" s="1098"/>
      <c r="CS442" s="1098"/>
      <c r="CT442" s="1098"/>
      <c r="CU442" s="1098"/>
      <c r="CV442" s="1098"/>
      <c r="CW442" s="1098"/>
      <c r="CX442" s="1098"/>
      <c r="CY442" s="1098"/>
      <c r="CZ442" s="1098"/>
      <c r="DA442" s="1098"/>
      <c r="DB442" s="1098"/>
      <c r="DC442" s="1098"/>
      <c r="DD442" s="1098"/>
      <c r="DE442" s="1098"/>
      <c r="DF442" s="1098"/>
      <c r="DG442" s="1098"/>
      <c r="DH442" s="1098"/>
      <c r="DI442" s="1098"/>
      <c r="DJ442" s="1098"/>
      <c r="DK442" s="1098"/>
      <c r="DL442" s="1098"/>
      <c r="DM442" s="1098"/>
      <c r="DN442" s="1098"/>
      <c r="DO442" s="1098"/>
      <c r="DP442" s="1098"/>
      <c r="DQ442" s="1098"/>
      <c r="DR442" s="1098"/>
      <c r="DS442" s="1098"/>
      <c r="DT442" s="1098"/>
      <c r="DU442" s="1098"/>
      <c r="DV442" s="1098"/>
      <c r="DW442" s="1098"/>
      <c r="DX442" s="1098"/>
      <c r="DY442" s="1098"/>
      <c r="DZ442" s="1098"/>
      <c r="EA442" s="1098"/>
      <c r="EB442" s="1098"/>
      <c r="EC442" s="1098"/>
      <c r="ED442" s="1098"/>
      <c r="EE442" s="1098"/>
      <c r="EF442" s="1098"/>
      <c r="EG442" s="1098"/>
      <c r="EH442" s="1098"/>
      <c r="EI442" s="1098"/>
      <c r="EJ442" s="1098"/>
      <c r="EK442" s="1098"/>
      <c r="EL442" s="1098"/>
      <c r="EM442" s="1098"/>
      <c r="EN442" s="1098"/>
      <c r="EO442" s="1098"/>
      <c r="EP442" s="1098"/>
      <c r="EQ442" s="1098"/>
      <c r="ER442" s="1098"/>
      <c r="ES442" s="1098"/>
      <c r="ET442" s="1098"/>
      <c r="EU442" s="1098"/>
      <c r="EV442" s="1098"/>
      <c r="EW442" s="1098"/>
      <c r="EX442" s="1098"/>
      <c r="EY442" s="1098"/>
      <c r="EZ442" s="1098"/>
      <c r="FA442" s="1098"/>
      <c r="FB442" s="1098"/>
      <c r="FC442" s="1098"/>
      <c r="FD442" s="1098"/>
      <c r="FE442" s="1098"/>
      <c r="FF442" s="1098"/>
      <c r="FG442" s="1098"/>
      <c r="FH442" s="1098"/>
      <c r="FI442" s="1098"/>
      <c r="FJ442" s="1098"/>
      <c r="FK442" s="1098"/>
      <c r="FL442" s="1098"/>
      <c r="FM442" s="1098"/>
      <c r="FN442" s="1098"/>
      <c r="FO442" s="1098"/>
      <c r="FP442" s="1098"/>
      <c r="FQ442" s="1098"/>
      <c r="FR442" s="1098"/>
      <c r="FS442" s="1098"/>
      <c r="FT442" s="1098"/>
      <c r="FU442" s="1098"/>
      <c r="FV442" s="1098"/>
      <c r="FW442" s="1098"/>
      <c r="FX442" s="1098"/>
      <c r="FY442" s="1098"/>
      <c r="FZ442" s="1098"/>
      <c r="GA442" s="1098"/>
      <c r="GB442" s="1098"/>
      <c r="GC442" s="1098"/>
      <c r="GD442" s="1098"/>
      <c r="GE442" s="1098"/>
      <c r="GF442" s="1098"/>
      <c r="GG442" s="1098"/>
      <c r="GH442" s="1098"/>
      <c r="GI442" s="1098"/>
      <c r="GJ442" s="1098"/>
      <c r="GK442" s="1098"/>
      <c r="GL442" s="1098"/>
      <c r="GM442" s="1098"/>
      <c r="GN442" s="1098"/>
      <c r="GO442" s="1098"/>
      <c r="GP442" s="1098"/>
      <c r="GQ442" s="1098"/>
      <c r="GR442" s="1098"/>
      <c r="GS442" s="1098"/>
      <c r="GT442" s="1098"/>
      <c r="GU442" s="1098"/>
      <c r="GV442" s="1098"/>
      <c r="GW442" s="1098"/>
      <c r="GX442" s="1098"/>
      <c r="GY442" s="1098"/>
      <c r="GZ442" s="1098"/>
      <c r="HA442" s="1098"/>
      <c r="HB442" s="1098"/>
      <c r="HC442" s="1098"/>
      <c r="HD442" s="1098"/>
      <c r="HE442" s="1098"/>
      <c r="HF442" s="1098"/>
      <c r="HG442" s="1098"/>
      <c r="HH442" s="1098"/>
      <c r="HI442" s="1098"/>
      <c r="HJ442" s="1098"/>
      <c r="HK442" s="1098"/>
      <c r="HL442" s="1098"/>
      <c r="HM442" s="1098"/>
      <c r="HN442" s="1098"/>
      <c r="HO442" s="1098"/>
      <c r="HP442" s="1098"/>
      <c r="HQ442" s="1098"/>
      <c r="HR442" s="1098"/>
      <c r="HS442" s="1098"/>
      <c r="HT442" s="1098"/>
      <c r="HU442" s="1098"/>
      <c r="HV442" s="1098"/>
      <c r="HW442" s="1098"/>
      <c r="HX442" s="1098"/>
      <c r="HY442" s="1098"/>
      <c r="HZ442" s="1098"/>
      <c r="IA442" s="1098"/>
      <c r="IB442" s="1098"/>
      <c r="IC442" s="1098"/>
      <c r="ID442" s="1098"/>
      <c r="IE442" s="1098"/>
      <c r="IF442" s="1098"/>
      <c r="IG442" s="1098"/>
      <c r="IH442" s="1098"/>
      <c r="II442" s="1098"/>
      <c r="IJ442" s="1098"/>
      <c r="IK442" s="1098"/>
      <c r="IL442" s="1098"/>
      <c r="IM442" s="1098"/>
      <c r="IN442" s="1098"/>
      <c r="IO442" s="1098"/>
      <c r="IP442" s="1098"/>
      <c r="IQ442" s="1098"/>
      <c r="IR442" s="1098"/>
      <c r="IS442" s="1098"/>
      <c r="IT442" s="1098"/>
      <c r="IU442" s="1098"/>
      <c r="IV442" s="1098"/>
      <c r="IW442" s="1098"/>
      <c r="IX442" s="1098"/>
      <c r="IY442" s="1098"/>
      <c r="IZ442" s="1098"/>
      <c r="JA442" s="1098"/>
      <c r="JB442" s="1098"/>
      <c r="JC442" s="1098"/>
      <c r="JD442" s="1098"/>
      <c r="JE442" s="1098"/>
      <c r="JF442" s="1098"/>
      <c r="JG442" s="1098"/>
      <c r="JH442" s="1098"/>
      <c r="JI442" s="1098"/>
      <c r="JJ442" s="1098"/>
      <c r="JK442" s="1098"/>
      <c r="JL442" s="1098"/>
      <c r="JM442" s="1098"/>
      <c r="JN442" s="1098"/>
      <c r="JO442" s="1098"/>
      <c r="JP442" s="1098"/>
      <c r="JQ442" s="1098"/>
      <c r="JR442" s="1098"/>
      <c r="JS442" s="1098"/>
      <c r="JT442" s="1098"/>
      <c r="JU442" s="1098"/>
      <c r="JV442" s="1098"/>
      <c r="JW442" s="1098"/>
      <c r="JX442" s="1098"/>
      <c r="JY442" s="1098"/>
      <c r="JZ442" s="1098"/>
      <c r="KA442" s="1098"/>
      <c r="KB442" s="1099"/>
    </row>
    <row r="443" spans="2:288" ht="15" customHeight="1" x14ac:dyDescent="0.35">
      <c r="B443" s="146" t="str">
        <f t="shared" si="36"/>
        <v>Desk 19</v>
      </c>
      <c r="C443" s="148" t="str">
        <v/>
      </c>
      <c r="D443" s="148" t="str">
        <v/>
      </c>
      <c r="E443" s="148" t="str">
        <v/>
      </c>
      <c r="F443" s="148" t="str">
        <v/>
      </c>
      <c r="G443" s="268" t="str">
        <v/>
      </c>
      <c r="H443" s="1098"/>
      <c r="I443" s="1098"/>
      <c r="J443" s="1098"/>
      <c r="K443" s="1098"/>
      <c r="L443" s="1098"/>
      <c r="M443" s="1098"/>
      <c r="N443" s="1098"/>
      <c r="O443" s="1098"/>
      <c r="P443" s="1098"/>
      <c r="Q443" s="1098"/>
      <c r="R443" s="1098"/>
      <c r="S443" s="1098"/>
      <c r="T443" s="1098"/>
      <c r="U443" s="1098"/>
      <c r="V443" s="1098"/>
      <c r="W443" s="1098"/>
      <c r="X443" s="1098"/>
      <c r="Y443" s="1098"/>
      <c r="Z443" s="1098"/>
      <c r="AA443" s="1098"/>
      <c r="AB443" s="1098"/>
      <c r="AC443" s="1098"/>
      <c r="AD443" s="1098"/>
      <c r="AE443" s="1098"/>
      <c r="AF443" s="1098"/>
      <c r="AG443" s="1098"/>
      <c r="AH443" s="1098"/>
      <c r="AI443" s="1098"/>
      <c r="AJ443" s="1098"/>
      <c r="AK443" s="1098"/>
      <c r="AL443" s="1098"/>
      <c r="AM443" s="1098"/>
      <c r="AN443" s="1098"/>
      <c r="AO443" s="1098"/>
      <c r="AP443" s="1098"/>
      <c r="AQ443" s="1098"/>
      <c r="AR443" s="1098"/>
      <c r="AS443" s="1098"/>
      <c r="AT443" s="1098"/>
      <c r="AU443" s="1098"/>
      <c r="AV443" s="1098"/>
      <c r="AW443" s="1098"/>
      <c r="AX443" s="1098"/>
      <c r="AY443" s="1098"/>
      <c r="AZ443" s="1098"/>
      <c r="BA443" s="1098"/>
      <c r="BB443" s="1098"/>
      <c r="BC443" s="1098"/>
      <c r="BD443" s="1098"/>
      <c r="BE443" s="1098"/>
      <c r="BF443" s="1098"/>
      <c r="BG443" s="1098"/>
      <c r="BH443" s="1098"/>
      <c r="BI443" s="1098"/>
      <c r="BJ443" s="1098"/>
      <c r="BK443" s="1098"/>
      <c r="BL443" s="1098"/>
      <c r="BM443" s="1098"/>
      <c r="BN443" s="1098"/>
      <c r="BO443" s="1098"/>
      <c r="BP443" s="1098"/>
      <c r="BQ443" s="1098"/>
      <c r="BR443" s="1098"/>
      <c r="BS443" s="1098"/>
      <c r="BT443" s="1098"/>
      <c r="BU443" s="1098"/>
      <c r="BV443" s="1098"/>
      <c r="BW443" s="1098"/>
      <c r="BX443" s="1098"/>
      <c r="BY443" s="1098"/>
      <c r="BZ443" s="1098"/>
      <c r="CA443" s="1098"/>
      <c r="CB443" s="1098"/>
      <c r="CC443" s="1098"/>
      <c r="CD443" s="1098"/>
      <c r="CE443" s="1098"/>
      <c r="CF443" s="1098"/>
      <c r="CG443" s="1098"/>
      <c r="CH443" s="1098"/>
      <c r="CI443" s="1098"/>
      <c r="CJ443" s="1098"/>
      <c r="CK443" s="1098"/>
      <c r="CL443" s="1098"/>
      <c r="CM443" s="1098"/>
      <c r="CN443" s="1098"/>
      <c r="CO443" s="1098"/>
      <c r="CP443" s="1098"/>
      <c r="CQ443" s="1098"/>
      <c r="CR443" s="1098"/>
      <c r="CS443" s="1098"/>
      <c r="CT443" s="1098"/>
      <c r="CU443" s="1098"/>
      <c r="CV443" s="1098"/>
      <c r="CW443" s="1098"/>
      <c r="CX443" s="1098"/>
      <c r="CY443" s="1098"/>
      <c r="CZ443" s="1098"/>
      <c r="DA443" s="1098"/>
      <c r="DB443" s="1098"/>
      <c r="DC443" s="1098"/>
      <c r="DD443" s="1098"/>
      <c r="DE443" s="1098"/>
      <c r="DF443" s="1098"/>
      <c r="DG443" s="1098"/>
      <c r="DH443" s="1098"/>
      <c r="DI443" s="1098"/>
      <c r="DJ443" s="1098"/>
      <c r="DK443" s="1098"/>
      <c r="DL443" s="1098"/>
      <c r="DM443" s="1098"/>
      <c r="DN443" s="1098"/>
      <c r="DO443" s="1098"/>
      <c r="DP443" s="1098"/>
      <c r="DQ443" s="1098"/>
      <c r="DR443" s="1098"/>
      <c r="DS443" s="1098"/>
      <c r="DT443" s="1098"/>
      <c r="DU443" s="1098"/>
      <c r="DV443" s="1098"/>
      <c r="DW443" s="1098"/>
      <c r="DX443" s="1098"/>
      <c r="DY443" s="1098"/>
      <c r="DZ443" s="1098"/>
      <c r="EA443" s="1098"/>
      <c r="EB443" s="1098"/>
      <c r="EC443" s="1098"/>
      <c r="ED443" s="1098"/>
      <c r="EE443" s="1098"/>
      <c r="EF443" s="1098"/>
      <c r="EG443" s="1098"/>
      <c r="EH443" s="1098"/>
      <c r="EI443" s="1098"/>
      <c r="EJ443" s="1098"/>
      <c r="EK443" s="1098"/>
      <c r="EL443" s="1098"/>
      <c r="EM443" s="1098"/>
      <c r="EN443" s="1098"/>
      <c r="EO443" s="1098"/>
      <c r="EP443" s="1098"/>
      <c r="EQ443" s="1098"/>
      <c r="ER443" s="1098"/>
      <c r="ES443" s="1098"/>
      <c r="ET443" s="1098"/>
      <c r="EU443" s="1098"/>
      <c r="EV443" s="1098"/>
      <c r="EW443" s="1098"/>
      <c r="EX443" s="1098"/>
      <c r="EY443" s="1098"/>
      <c r="EZ443" s="1098"/>
      <c r="FA443" s="1098"/>
      <c r="FB443" s="1098"/>
      <c r="FC443" s="1098"/>
      <c r="FD443" s="1098"/>
      <c r="FE443" s="1098"/>
      <c r="FF443" s="1098"/>
      <c r="FG443" s="1098"/>
      <c r="FH443" s="1098"/>
      <c r="FI443" s="1098"/>
      <c r="FJ443" s="1098"/>
      <c r="FK443" s="1098"/>
      <c r="FL443" s="1098"/>
      <c r="FM443" s="1098"/>
      <c r="FN443" s="1098"/>
      <c r="FO443" s="1098"/>
      <c r="FP443" s="1098"/>
      <c r="FQ443" s="1098"/>
      <c r="FR443" s="1098"/>
      <c r="FS443" s="1098"/>
      <c r="FT443" s="1098"/>
      <c r="FU443" s="1098"/>
      <c r="FV443" s="1098"/>
      <c r="FW443" s="1098"/>
      <c r="FX443" s="1098"/>
      <c r="FY443" s="1098"/>
      <c r="FZ443" s="1098"/>
      <c r="GA443" s="1098"/>
      <c r="GB443" s="1098"/>
      <c r="GC443" s="1098"/>
      <c r="GD443" s="1098"/>
      <c r="GE443" s="1098"/>
      <c r="GF443" s="1098"/>
      <c r="GG443" s="1098"/>
      <c r="GH443" s="1098"/>
      <c r="GI443" s="1098"/>
      <c r="GJ443" s="1098"/>
      <c r="GK443" s="1098"/>
      <c r="GL443" s="1098"/>
      <c r="GM443" s="1098"/>
      <c r="GN443" s="1098"/>
      <c r="GO443" s="1098"/>
      <c r="GP443" s="1098"/>
      <c r="GQ443" s="1098"/>
      <c r="GR443" s="1098"/>
      <c r="GS443" s="1098"/>
      <c r="GT443" s="1098"/>
      <c r="GU443" s="1098"/>
      <c r="GV443" s="1098"/>
      <c r="GW443" s="1098"/>
      <c r="GX443" s="1098"/>
      <c r="GY443" s="1098"/>
      <c r="GZ443" s="1098"/>
      <c r="HA443" s="1098"/>
      <c r="HB443" s="1098"/>
      <c r="HC443" s="1098"/>
      <c r="HD443" s="1098"/>
      <c r="HE443" s="1098"/>
      <c r="HF443" s="1098"/>
      <c r="HG443" s="1098"/>
      <c r="HH443" s="1098"/>
      <c r="HI443" s="1098"/>
      <c r="HJ443" s="1098"/>
      <c r="HK443" s="1098"/>
      <c r="HL443" s="1098"/>
      <c r="HM443" s="1098"/>
      <c r="HN443" s="1098"/>
      <c r="HO443" s="1098"/>
      <c r="HP443" s="1098"/>
      <c r="HQ443" s="1098"/>
      <c r="HR443" s="1098"/>
      <c r="HS443" s="1098"/>
      <c r="HT443" s="1098"/>
      <c r="HU443" s="1098"/>
      <c r="HV443" s="1098"/>
      <c r="HW443" s="1098"/>
      <c r="HX443" s="1098"/>
      <c r="HY443" s="1098"/>
      <c r="HZ443" s="1098"/>
      <c r="IA443" s="1098"/>
      <c r="IB443" s="1098"/>
      <c r="IC443" s="1098"/>
      <c r="ID443" s="1098"/>
      <c r="IE443" s="1098"/>
      <c r="IF443" s="1098"/>
      <c r="IG443" s="1098"/>
      <c r="IH443" s="1098"/>
      <c r="II443" s="1098"/>
      <c r="IJ443" s="1098"/>
      <c r="IK443" s="1098"/>
      <c r="IL443" s="1098"/>
      <c r="IM443" s="1098"/>
      <c r="IN443" s="1098"/>
      <c r="IO443" s="1098"/>
      <c r="IP443" s="1098"/>
      <c r="IQ443" s="1098"/>
      <c r="IR443" s="1098"/>
      <c r="IS443" s="1098"/>
      <c r="IT443" s="1098"/>
      <c r="IU443" s="1098"/>
      <c r="IV443" s="1098"/>
      <c r="IW443" s="1098"/>
      <c r="IX443" s="1098"/>
      <c r="IY443" s="1098"/>
      <c r="IZ443" s="1098"/>
      <c r="JA443" s="1098"/>
      <c r="JB443" s="1098"/>
      <c r="JC443" s="1098"/>
      <c r="JD443" s="1098"/>
      <c r="JE443" s="1098"/>
      <c r="JF443" s="1098"/>
      <c r="JG443" s="1098"/>
      <c r="JH443" s="1098"/>
      <c r="JI443" s="1098"/>
      <c r="JJ443" s="1098"/>
      <c r="JK443" s="1098"/>
      <c r="JL443" s="1098"/>
      <c r="JM443" s="1098"/>
      <c r="JN443" s="1098"/>
      <c r="JO443" s="1098"/>
      <c r="JP443" s="1098"/>
      <c r="JQ443" s="1098"/>
      <c r="JR443" s="1098"/>
      <c r="JS443" s="1098"/>
      <c r="JT443" s="1098"/>
      <c r="JU443" s="1098"/>
      <c r="JV443" s="1098"/>
      <c r="JW443" s="1098"/>
      <c r="JX443" s="1098"/>
      <c r="JY443" s="1098"/>
      <c r="JZ443" s="1098"/>
      <c r="KA443" s="1098"/>
      <c r="KB443" s="1099"/>
    </row>
    <row r="444" spans="2:288" ht="15" customHeight="1" x14ac:dyDescent="0.35">
      <c r="B444" s="146" t="str">
        <f t="shared" si="36"/>
        <v>Desk 20</v>
      </c>
      <c r="C444" s="148" t="str">
        <v/>
      </c>
      <c r="D444" s="148" t="str">
        <v/>
      </c>
      <c r="E444" s="148" t="str">
        <v/>
      </c>
      <c r="F444" s="148" t="str">
        <v/>
      </c>
      <c r="G444" s="268" t="str">
        <v/>
      </c>
      <c r="H444" s="1098"/>
      <c r="I444" s="1098"/>
      <c r="J444" s="1098"/>
      <c r="K444" s="1098"/>
      <c r="L444" s="1098"/>
      <c r="M444" s="1098"/>
      <c r="N444" s="1098"/>
      <c r="O444" s="1098"/>
      <c r="P444" s="1098"/>
      <c r="Q444" s="1098"/>
      <c r="R444" s="1098"/>
      <c r="S444" s="1098"/>
      <c r="T444" s="1098"/>
      <c r="U444" s="1098"/>
      <c r="V444" s="1098"/>
      <c r="W444" s="1098"/>
      <c r="X444" s="1098"/>
      <c r="Y444" s="1098"/>
      <c r="Z444" s="1098"/>
      <c r="AA444" s="1098"/>
      <c r="AB444" s="1098"/>
      <c r="AC444" s="1098"/>
      <c r="AD444" s="1098"/>
      <c r="AE444" s="1098"/>
      <c r="AF444" s="1098"/>
      <c r="AG444" s="1098"/>
      <c r="AH444" s="1098"/>
      <c r="AI444" s="1098"/>
      <c r="AJ444" s="1098"/>
      <c r="AK444" s="1098"/>
      <c r="AL444" s="1098"/>
      <c r="AM444" s="1098"/>
      <c r="AN444" s="1098"/>
      <c r="AO444" s="1098"/>
      <c r="AP444" s="1098"/>
      <c r="AQ444" s="1098"/>
      <c r="AR444" s="1098"/>
      <c r="AS444" s="1098"/>
      <c r="AT444" s="1098"/>
      <c r="AU444" s="1098"/>
      <c r="AV444" s="1098"/>
      <c r="AW444" s="1098"/>
      <c r="AX444" s="1098"/>
      <c r="AY444" s="1098"/>
      <c r="AZ444" s="1098"/>
      <c r="BA444" s="1098"/>
      <c r="BB444" s="1098"/>
      <c r="BC444" s="1098"/>
      <c r="BD444" s="1098"/>
      <c r="BE444" s="1098"/>
      <c r="BF444" s="1098"/>
      <c r="BG444" s="1098"/>
      <c r="BH444" s="1098"/>
      <c r="BI444" s="1098"/>
      <c r="BJ444" s="1098"/>
      <c r="BK444" s="1098"/>
      <c r="BL444" s="1098"/>
      <c r="BM444" s="1098"/>
      <c r="BN444" s="1098"/>
      <c r="BO444" s="1098"/>
      <c r="BP444" s="1098"/>
      <c r="BQ444" s="1098"/>
      <c r="BR444" s="1098"/>
      <c r="BS444" s="1098"/>
      <c r="BT444" s="1098"/>
      <c r="BU444" s="1098"/>
      <c r="BV444" s="1098"/>
      <c r="BW444" s="1098"/>
      <c r="BX444" s="1098"/>
      <c r="BY444" s="1098"/>
      <c r="BZ444" s="1098"/>
      <c r="CA444" s="1098"/>
      <c r="CB444" s="1098"/>
      <c r="CC444" s="1098"/>
      <c r="CD444" s="1098"/>
      <c r="CE444" s="1098"/>
      <c r="CF444" s="1098"/>
      <c r="CG444" s="1098"/>
      <c r="CH444" s="1098"/>
      <c r="CI444" s="1098"/>
      <c r="CJ444" s="1098"/>
      <c r="CK444" s="1098"/>
      <c r="CL444" s="1098"/>
      <c r="CM444" s="1098"/>
      <c r="CN444" s="1098"/>
      <c r="CO444" s="1098"/>
      <c r="CP444" s="1098"/>
      <c r="CQ444" s="1098"/>
      <c r="CR444" s="1098"/>
      <c r="CS444" s="1098"/>
      <c r="CT444" s="1098"/>
      <c r="CU444" s="1098"/>
      <c r="CV444" s="1098"/>
      <c r="CW444" s="1098"/>
      <c r="CX444" s="1098"/>
      <c r="CY444" s="1098"/>
      <c r="CZ444" s="1098"/>
      <c r="DA444" s="1098"/>
      <c r="DB444" s="1098"/>
      <c r="DC444" s="1098"/>
      <c r="DD444" s="1098"/>
      <c r="DE444" s="1098"/>
      <c r="DF444" s="1098"/>
      <c r="DG444" s="1098"/>
      <c r="DH444" s="1098"/>
      <c r="DI444" s="1098"/>
      <c r="DJ444" s="1098"/>
      <c r="DK444" s="1098"/>
      <c r="DL444" s="1098"/>
      <c r="DM444" s="1098"/>
      <c r="DN444" s="1098"/>
      <c r="DO444" s="1098"/>
      <c r="DP444" s="1098"/>
      <c r="DQ444" s="1098"/>
      <c r="DR444" s="1098"/>
      <c r="DS444" s="1098"/>
      <c r="DT444" s="1098"/>
      <c r="DU444" s="1098"/>
      <c r="DV444" s="1098"/>
      <c r="DW444" s="1098"/>
      <c r="DX444" s="1098"/>
      <c r="DY444" s="1098"/>
      <c r="DZ444" s="1098"/>
      <c r="EA444" s="1098"/>
      <c r="EB444" s="1098"/>
      <c r="EC444" s="1098"/>
      <c r="ED444" s="1098"/>
      <c r="EE444" s="1098"/>
      <c r="EF444" s="1098"/>
      <c r="EG444" s="1098"/>
      <c r="EH444" s="1098"/>
      <c r="EI444" s="1098"/>
      <c r="EJ444" s="1098"/>
      <c r="EK444" s="1098"/>
      <c r="EL444" s="1098"/>
      <c r="EM444" s="1098"/>
      <c r="EN444" s="1098"/>
      <c r="EO444" s="1098"/>
      <c r="EP444" s="1098"/>
      <c r="EQ444" s="1098"/>
      <c r="ER444" s="1098"/>
      <c r="ES444" s="1098"/>
      <c r="ET444" s="1098"/>
      <c r="EU444" s="1098"/>
      <c r="EV444" s="1098"/>
      <c r="EW444" s="1098"/>
      <c r="EX444" s="1098"/>
      <c r="EY444" s="1098"/>
      <c r="EZ444" s="1098"/>
      <c r="FA444" s="1098"/>
      <c r="FB444" s="1098"/>
      <c r="FC444" s="1098"/>
      <c r="FD444" s="1098"/>
      <c r="FE444" s="1098"/>
      <c r="FF444" s="1098"/>
      <c r="FG444" s="1098"/>
      <c r="FH444" s="1098"/>
      <c r="FI444" s="1098"/>
      <c r="FJ444" s="1098"/>
      <c r="FK444" s="1098"/>
      <c r="FL444" s="1098"/>
      <c r="FM444" s="1098"/>
      <c r="FN444" s="1098"/>
      <c r="FO444" s="1098"/>
      <c r="FP444" s="1098"/>
      <c r="FQ444" s="1098"/>
      <c r="FR444" s="1098"/>
      <c r="FS444" s="1098"/>
      <c r="FT444" s="1098"/>
      <c r="FU444" s="1098"/>
      <c r="FV444" s="1098"/>
      <c r="FW444" s="1098"/>
      <c r="FX444" s="1098"/>
      <c r="FY444" s="1098"/>
      <c r="FZ444" s="1098"/>
      <c r="GA444" s="1098"/>
      <c r="GB444" s="1098"/>
      <c r="GC444" s="1098"/>
      <c r="GD444" s="1098"/>
      <c r="GE444" s="1098"/>
      <c r="GF444" s="1098"/>
      <c r="GG444" s="1098"/>
      <c r="GH444" s="1098"/>
      <c r="GI444" s="1098"/>
      <c r="GJ444" s="1098"/>
      <c r="GK444" s="1098"/>
      <c r="GL444" s="1098"/>
      <c r="GM444" s="1098"/>
      <c r="GN444" s="1098"/>
      <c r="GO444" s="1098"/>
      <c r="GP444" s="1098"/>
      <c r="GQ444" s="1098"/>
      <c r="GR444" s="1098"/>
      <c r="GS444" s="1098"/>
      <c r="GT444" s="1098"/>
      <c r="GU444" s="1098"/>
      <c r="GV444" s="1098"/>
      <c r="GW444" s="1098"/>
      <c r="GX444" s="1098"/>
      <c r="GY444" s="1098"/>
      <c r="GZ444" s="1098"/>
      <c r="HA444" s="1098"/>
      <c r="HB444" s="1098"/>
      <c r="HC444" s="1098"/>
      <c r="HD444" s="1098"/>
      <c r="HE444" s="1098"/>
      <c r="HF444" s="1098"/>
      <c r="HG444" s="1098"/>
      <c r="HH444" s="1098"/>
      <c r="HI444" s="1098"/>
      <c r="HJ444" s="1098"/>
      <c r="HK444" s="1098"/>
      <c r="HL444" s="1098"/>
      <c r="HM444" s="1098"/>
      <c r="HN444" s="1098"/>
      <c r="HO444" s="1098"/>
      <c r="HP444" s="1098"/>
      <c r="HQ444" s="1098"/>
      <c r="HR444" s="1098"/>
      <c r="HS444" s="1098"/>
      <c r="HT444" s="1098"/>
      <c r="HU444" s="1098"/>
      <c r="HV444" s="1098"/>
      <c r="HW444" s="1098"/>
      <c r="HX444" s="1098"/>
      <c r="HY444" s="1098"/>
      <c r="HZ444" s="1098"/>
      <c r="IA444" s="1098"/>
      <c r="IB444" s="1098"/>
      <c r="IC444" s="1098"/>
      <c r="ID444" s="1098"/>
      <c r="IE444" s="1098"/>
      <c r="IF444" s="1098"/>
      <c r="IG444" s="1098"/>
      <c r="IH444" s="1098"/>
      <c r="II444" s="1098"/>
      <c r="IJ444" s="1098"/>
      <c r="IK444" s="1098"/>
      <c r="IL444" s="1098"/>
      <c r="IM444" s="1098"/>
      <c r="IN444" s="1098"/>
      <c r="IO444" s="1098"/>
      <c r="IP444" s="1098"/>
      <c r="IQ444" s="1098"/>
      <c r="IR444" s="1098"/>
      <c r="IS444" s="1098"/>
      <c r="IT444" s="1098"/>
      <c r="IU444" s="1098"/>
      <c r="IV444" s="1098"/>
      <c r="IW444" s="1098"/>
      <c r="IX444" s="1098"/>
      <c r="IY444" s="1098"/>
      <c r="IZ444" s="1098"/>
      <c r="JA444" s="1098"/>
      <c r="JB444" s="1098"/>
      <c r="JC444" s="1098"/>
      <c r="JD444" s="1098"/>
      <c r="JE444" s="1098"/>
      <c r="JF444" s="1098"/>
      <c r="JG444" s="1098"/>
      <c r="JH444" s="1098"/>
      <c r="JI444" s="1098"/>
      <c r="JJ444" s="1098"/>
      <c r="JK444" s="1098"/>
      <c r="JL444" s="1098"/>
      <c r="JM444" s="1098"/>
      <c r="JN444" s="1098"/>
      <c r="JO444" s="1098"/>
      <c r="JP444" s="1098"/>
      <c r="JQ444" s="1098"/>
      <c r="JR444" s="1098"/>
      <c r="JS444" s="1098"/>
      <c r="JT444" s="1098"/>
      <c r="JU444" s="1098"/>
      <c r="JV444" s="1098"/>
      <c r="JW444" s="1098"/>
      <c r="JX444" s="1098"/>
      <c r="JY444" s="1098"/>
      <c r="JZ444" s="1098"/>
      <c r="KA444" s="1098"/>
      <c r="KB444" s="1099"/>
    </row>
    <row r="445" spans="2:288" ht="15" customHeight="1" x14ac:dyDescent="0.35">
      <c r="B445" s="146" t="str">
        <f t="shared" si="36"/>
        <v>Desk 21</v>
      </c>
      <c r="C445" s="148" t="str">
        <v/>
      </c>
      <c r="D445" s="148" t="str">
        <v/>
      </c>
      <c r="E445" s="148" t="str">
        <v/>
      </c>
      <c r="F445" s="148" t="str">
        <v/>
      </c>
      <c r="G445" s="268" t="str">
        <v/>
      </c>
      <c r="H445" s="1098"/>
      <c r="I445" s="1098"/>
      <c r="J445" s="1098"/>
      <c r="K445" s="1098"/>
      <c r="L445" s="1098"/>
      <c r="M445" s="1098"/>
      <c r="N445" s="1098"/>
      <c r="O445" s="1098"/>
      <c r="P445" s="1098"/>
      <c r="Q445" s="1098"/>
      <c r="R445" s="1098"/>
      <c r="S445" s="1098"/>
      <c r="T445" s="1098"/>
      <c r="U445" s="1098"/>
      <c r="V445" s="1098"/>
      <c r="W445" s="1098"/>
      <c r="X445" s="1098"/>
      <c r="Y445" s="1098"/>
      <c r="Z445" s="1098"/>
      <c r="AA445" s="1098"/>
      <c r="AB445" s="1098"/>
      <c r="AC445" s="1098"/>
      <c r="AD445" s="1098"/>
      <c r="AE445" s="1098"/>
      <c r="AF445" s="1098"/>
      <c r="AG445" s="1098"/>
      <c r="AH445" s="1098"/>
      <c r="AI445" s="1098"/>
      <c r="AJ445" s="1098"/>
      <c r="AK445" s="1098"/>
      <c r="AL445" s="1098"/>
      <c r="AM445" s="1098"/>
      <c r="AN445" s="1098"/>
      <c r="AO445" s="1098"/>
      <c r="AP445" s="1098"/>
      <c r="AQ445" s="1098"/>
      <c r="AR445" s="1098"/>
      <c r="AS445" s="1098"/>
      <c r="AT445" s="1098"/>
      <c r="AU445" s="1098"/>
      <c r="AV445" s="1098"/>
      <c r="AW445" s="1098"/>
      <c r="AX445" s="1098"/>
      <c r="AY445" s="1098"/>
      <c r="AZ445" s="1098"/>
      <c r="BA445" s="1098"/>
      <c r="BB445" s="1098"/>
      <c r="BC445" s="1098"/>
      <c r="BD445" s="1098"/>
      <c r="BE445" s="1098"/>
      <c r="BF445" s="1098"/>
      <c r="BG445" s="1098"/>
      <c r="BH445" s="1098"/>
      <c r="BI445" s="1098"/>
      <c r="BJ445" s="1098"/>
      <c r="BK445" s="1098"/>
      <c r="BL445" s="1098"/>
      <c r="BM445" s="1098"/>
      <c r="BN445" s="1098"/>
      <c r="BO445" s="1098"/>
      <c r="BP445" s="1098"/>
      <c r="BQ445" s="1098"/>
      <c r="BR445" s="1098"/>
      <c r="BS445" s="1098"/>
      <c r="BT445" s="1098"/>
      <c r="BU445" s="1098"/>
      <c r="BV445" s="1098"/>
      <c r="BW445" s="1098"/>
      <c r="BX445" s="1098"/>
      <c r="BY445" s="1098"/>
      <c r="BZ445" s="1098"/>
      <c r="CA445" s="1098"/>
      <c r="CB445" s="1098"/>
      <c r="CC445" s="1098"/>
      <c r="CD445" s="1098"/>
      <c r="CE445" s="1098"/>
      <c r="CF445" s="1098"/>
      <c r="CG445" s="1098"/>
      <c r="CH445" s="1098"/>
      <c r="CI445" s="1098"/>
      <c r="CJ445" s="1098"/>
      <c r="CK445" s="1098"/>
      <c r="CL445" s="1098"/>
      <c r="CM445" s="1098"/>
      <c r="CN445" s="1098"/>
      <c r="CO445" s="1098"/>
      <c r="CP445" s="1098"/>
      <c r="CQ445" s="1098"/>
      <c r="CR445" s="1098"/>
      <c r="CS445" s="1098"/>
      <c r="CT445" s="1098"/>
      <c r="CU445" s="1098"/>
      <c r="CV445" s="1098"/>
      <c r="CW445" s="1098"/>
      <c r="CX445" s="1098"/>
      <c r="CY445" s="1098"/>
      <c r="CZ445" s="1098"/>
      <c r="DA445" s="1098"/>
      <c r="DB445" s="1098"/>
      <c r="DC445" s="1098"/>
      <c r="DD445" s="1098"/>
      <c r="DE445" s="1098"/>
      <c r="DF445" s="1098"/>
      <c r="DG445" s="1098"/>
      <c r="DH445" s="1098"/>
      <c r="DI445" s="1098"/>
      <c r="DJ445" s="1098"/>
      <c r="DK445" s="1098"/>
      <c r="DL445" s="1098"/>
      <c r="DM445" s="1098"/>
      <c r="DN445" s="1098"/>
      <c r="DO445" s="1098"/>
      <c r="DP445" s="1098"/>
      <c r="DQ445" s="1098"/>
      <c r="DR445" s="1098"/>
      <c r="DS445" s="1098"/>
      <c r="DT445" s="1098"/>
      <c r="DU445" s="1098"/>
      <c r="DV445" s="1098"/>
      <c r="DW445" s="1098"/>
      <c r="DX445" s="1098"/>
      <c r="DY445" s="1098"/>
      <c r="DZ445" s="1098"/>
      <c r="EA445" s="1098"/>
      <c r="EB445" s="1098"/>
      <c r="EC445" s="1098"/>
      <c r="ED445" s="1098"/>
      <c r="EE445" s="1098"/>
      <c r="EF445" s="1098"/>
      <c r="EG445" s="1098"/>
      <c r="EH445" s="1098"/>
      <c r="EI445" s="1098"/>
      <c r="EJ445" s="1098"/>
      <c r="EK445" s="1098"/>
      <c r="EL445" s="1098"/>
      <c r="EM445" s="1098"/>
      <c r="EN445" s="1098"/>
      <c r="EO445" s="1098"/>
      <c r="EP445" s="1098"/>
      <c r="EQ445" s="1098"/>
      <c r="ER445" s="1098"/>
      <c r="ES445" s="1098"/>
      <c r="ET445" s="1098"/>
      <c r="EU445" s="1098"/>
      <c r="EV445" s="1098"/>
      <c r="EW445" s="1098"/>
      <c r="EX445" s="1098"/>
      <c r="EY445" s="1098"/>
      <c r="EZ445" s="1098"/>
      <c r="FA445" s="1098"/>
      <c r="FB445" s="1098"/>
      <c r="FC445" s="1098"/>
      <c r="FD445" s="1098"/>
      <c r="FE445" s="1098"/>
      <c r="FF445" s="1098"/>
      <c r="FG445" s="1098"/>
      <c r="FH445" s="1098"/>
      <c r="FI445" s="1098"/>
      <c r="FJ445" s="1098"/>
      <c r="FK445" s="1098"/>
      <c r="FL445" s="1098"/>
      <c r="FM445" s="1098"/>
      <c r="FN445" s="1098"/>
      <c r="FO445" s="1098"/>
      <c r="FP445" s="1098"/>
      <c r="FQ445" s="1098"/>
      <c r="FR445" s="1098"/>
      <c r="FS445" s="1098"/>
      <c r="FT445" s="1098"/>
      <c r="FU445" s="1098"/>
      <c r="FV445" s="1098"/>
      <c r="FW445" s="1098"/>
      <c r="FX445" s="1098"/>
      <c r="FY445" s="1098"/>
      <c r="FZ445" s="1098"/>
      <c r="GA445" s="1098"/>
      <c r="GB445" s="1098"/>
      <c r="GC445" s="1098"/>
      <c r="GD445" s="1098"/>
      <c r="GE445" s="1098"/>
      <c r="GF445" s="1098"/>
      <c r="GG445" s="1098"/>
      <c r="GH445" s="1098"/>
      <c r="GI445" s="1098"/>
      <c r="GJ445" s="1098"/>
      <c r="GK445" s="1098"/>
      <c r="GL445" s="1098"/>
      <c r="GM445" s="1098"/>
      <c r="GN445" s="1098"/>
      <c r="GO445" s="1098"/>
      <c r="GP445" s="1098"/>
      <c r="GQ445" s="1098"/>
      <c r="GR445" s="1098"/>
      <c r="GS445" s="1098"/>
      <c r="GT445" s="1098"/>
      <c r="GU445" s="1098"/>
      <c r="GV445" s="1098"/>
      <c r="GW445" s="1098"/>
      <c r="GX445" s="1098"/>
      <c r="GY445" s="1098"/>
      <c r="GZ445" s="1098"/>
      <c r="HA445" s="1098"/>
      <c r="HB445" s="1098"/>
      <c r="HC445" s="1098"/>
      <c r="HD445" s="1098"/>
      <c r="HE445" s="1098"/>
      <c r="HF445" s="1098"/>
      <c r="HG445" s="1098"/>
      <c r="HH445" s="1098"/>
      <c r="HI445" s="1098"/>
      <c r="HJ445" s="1098"/>
      <c r="HK445" s="1098"/>
      <c r="HL445" s="1098"/>
      <c r="HM445" s="1098"/>
      <c r="HN445" s="1098"/>
      <c r="HO445" s="1098"/>
      <c r="HP445" s="1098"/>
      <c r="HQ445" s="1098"/>
      <c r="HR445" s="1098"/>
      <c r="HS445" s="1098"/>
      <c r="HT445" s="1098"/>
      <c r="HU445" s="1098"/>
      <c r="HV445" s="1098"/>
      <c r="HW445" s="1098"/>
      <c r="HX445" s="1098"/>
      <c r="HY445" s="1098"/>
      <c r="HZ445" s="1098"/>
      <c r="IA445" s="1098"/>
      <c r="IB445" s="1098"/>
      <c r="IC445" s="1098"/>
      <c r="ID445" s="1098"/>
      <c r="IE445" s="1098"/>
      <c r="IF445" s="1098"/>
      <c r="IG445" s="1098"/>
      <c r="IH445" s="1098"/>
      <c r="II445" s="1098"/>
      <c r="IJ445" s="1098"/>
      <c r="IK445" s="1098"/>
      <c r="IL445" s="1098"/>
      <c r="IM445" s="1098"/>
      <c r="IN445" s="1098"/>
      <c r="IO445" s="1098"/>
      <c r="IP445" s="1098"/>
      <c r="IQ445" s="1098"/>
      <c r="IR445" s="1098"/>
      <c r="IS445" s="1098"/>
      <c r="IT445" s="1098"/>
      <c r="IU445" s="1098"/>
      <c r="IV445" s="1098"/>
      <c r="IW445" s="1098"/>
      <c r="IX445" s="1098"/>
      <c r="IY445" s="1098"/>
      <c r="IZ445" s="1098"/>
      <c r="JA445" s="1098"/>
      <c r="JB445" s="1098"/>
      <c r="JC445" s="1098"/>
      <c r="JD445" s="1098"/>
      <c r="JE445" s="1098"/>
      <c r="JF445" s="1098"/>
      <c r="JG445" s="1098"/>
      <c r="JH445" s="1098"/>
      <c r="JI445" s="1098"/>
      <c r="JJ445" s="1098"/>
      <c r="JK445" s="1098"/>
      <c r="JL445" s="1098"/>
      <c r="JM445" s="1098"/>
      <c r="JN445" s="1098"/>
      <c r="JO445" s="1098"/>
      <c r="JP445" s="1098"/>
      <c r="JQ445" s="1098"/>
      <c r="JR445" s="1098"/>
      <c r="JS445" s="1098"/>
      <c r="JT445" s="1098"/>
      <c r="JU445" s="1098"/>
      <c r="JV445" s="1098"/>
      <c r="JW445" s="1098"/>
      <c r="JX445" s="1098"/>
      <c r="JY445" s="1098"/>
      <c r="JZ445" s="1098"/>
      <c r="KA445" s="1098"/>
      <c r="KB445" s="1099"/>
    </row>
    <row r="446" spans="2:288" ht="15" customHeight="1" x14ac:dyDescent="0.35">
      <c r="B446" s="146" t="str">
        <f t="shared" si="36"/>
        <v>Desk 22</v>
      </c>
      <c r="C446" s="148" t="str">
        <v/>
      </c>
      <c r="D446" s="148" t="str">
        <v/>
      </c>
      <c r="E446" s="148" t="str">
        <v/>
      </c>
      <c r="F446" s="148" t="str">
        <v/>
      </c>
      <c r="G446" s="268" t="str">
        <v/>
      </c>
      <c r="H446" s="1098"/>
      <c r="I446" s="1098"/>
      <c r="J446" s="1098"/>
      <c r="K446" s="1098"/>
      <c r="L446" s="1098"/>
      <c r="M446" s="1098"/>
      <c r="N446" s="1098"/>
      <c r="O446" s="1098"/>
      <c r="P446" s="1098"/>
      <c r="Q446" s="1098"/>
      <c r="R446" s="1098"/>
      <c r="S446" s="1098"/>
      <c r="T446" s="1098"/>
      <c r="U446" s="1098"/>
      <c r="V446" s="1098"/>
      <c r="W446" s="1098"/>
      <c r="X446" s="1098"/>
      <c r="Y446" s="1098"/>
      <c r="Z446" s="1098"/>
      <c r="AA446" s="1098"/>
      <c r="AB446" s="1098"/>
      <c r="AC446" s="1098"/>
      <c r="AD446" s="1098"/>
      <c r="AE446" s="1098"/>
      <c r="AF446" s="1098"/>
      <c r="AG446" s="1098"/>
      <c r="AH446" s="1098"/>
      <c r="AI446" s="1098"/>
      <c r="AJ446" s="1098"/>
      <c r="AK446" s="1098"/>
      <c r="AL446" s="1098"/>
      <c r="AM446" s="1098"/>
      <c r="AN446" s="1098"/>
      <c r="AO446" s="1098"/>
      <c r="AP446" s="1098"/>
      <c r="AQ446" s="1098"/>
      <c r="AR446" s="1098"/>
      <c r="AS446" s="1098"/>
      <c r="AT446" s="1098"/>
      <c r="AU446" s="1098"/>
      <c r="AV446" s="1098"/>
      <c r="AW446" s="1098"/>
      <c r="AX446" s="1098"/>
      <c r="AY446" s="1098"/>
      <c r="AZ446" s="1098"/>
      <c r="BA446" s="1098"/>
      <c r="BB446" s="1098"/>
      <c r="BC446" s="1098"/>
      <c r="BD446" s="1098"/>
      <c r="BE446" s="1098"/>
      <c r="BF446" s="1098"/>
      <c r="BG446" s="1098"/>
      <c r="BH446" s="1098"/>
      <c r="BI446" s="1098"/>
      <c r="BJ446" s="1098"/>
      <c r="BK446" s="1098"/>
      <c r="BL446" s="1098"/>
      <c r="BM446" s="1098"/>
      <c r="BN446" s="1098"/>
      <c r="BO446" s="1098"/>
      <c r="BP446" s="1098"/>
      <c r="BQ446" s="1098"/>
      <c r="BR446" s="1098"/>
      <c r="BS446" s="1098"/>
      <c r="BT446" s="1098"/>
      <c r="BU446" s="1098"/>
      <c r="BV446" s="1098"/>
      <c r="BW446" s="1098"/>
      <c r="BX446" s="1098"/>
      <c r="BY446" s="1098"/>
      <c r="BZ446" s="1098"/>
      <c r="CA446" s="1098"/>
      <c r="CB446" s="1098"/>
      <c r="CC446" s="1098"/>
      <c r="CD446" s="1098"/>
      <c r="CE446" s="1098"/>
      <c r="CF446" s="1098"/>
      <c r="CG446" s="1098"/>
      <c r="CH446" s="1098"/>
      <c r="CI446" s="1098"/>
      <c r="CJ446" s="1098"/>
      <c r="CK446" s="1098"/>
      <c r="CL446" s="1098"/>
      <c r="CM446" s="1098"/>
      <c r="CN446" s="1098"/>
      <c r="CO446" s="1098"/>
      <c r="CP446" s="1098"/>
      <c r="CQ446" s="1098"/>
      <c r="CR446" s="1098"/>
      <c r="CS446" s="1098"/>
      <c r="CT446" s="1098"/>
      <c r="CU446" s="1098"/>
      <c r="CV446" s="1098"/>
      <c r="CW446" s="1098"/>
      <c r="CX446" s="1098"/>
      <c r="CY446" s="1098"/>
      <c r="CZ446" s="1098"/>
      <c r="DA446" s="1098"/>
      <c r="DB446" s="1098"/>
      <c r="DC446" s="1098"/>
      <c r="DD446" s="1098"/>
      <c r="DE446" s="1098"/>
      <c r="DF446" s="1098"/>
      <c r="DG446" s="1098"/>
      <c r="DH446" s="1098"/>
      <c r="DI446" s="1098"/>
      <c r="DJ446" s="1098"/>
      <c r="DK446" s="1098"/>
      <c r="DL446" s="1098"/>
      <c r="DM446" s="1098"/>
      <c r="DN446" s="1098"/>
      <c r="DO446" s="1098"/>
      <c r="DP446" s="1098"/>
      <c r="DQ446" s="1098"/>
      <c r="DR446" s="1098"/>
      <c r="DS446" s="1098"/>
      <c r="DT446" s="1098"/>
      <c r="DU446" s="1098"/>
      <c r="DV446" s="1098"/>
      <c r="DW446" s="1098"/>
      <c r="DX446" s="1098"/>
      <c r="DY446" s="1098"/>
      <c r="DZ446" s="1098"/>
      <c r="EA446" s="1098"/>
      <c r="EB446" s="1098"/>
      <c r="EC446" s="1098"/>
      <c r="ED446" s="1098"/>
      <c r="EE446" s="1098"/>
      <c r="EF446" s="1098"/>
      <c r="EG446" s="1098"/>
      <c r="EH446" s="1098"/>
      <c r="EI446" s="1098"/>
      <c r="EJ446" s="1098"/>
      <c r="EK446" s="1098"/>
      <c r="EL446" s="1098"/>
      <c r="EM446" s="1098"/>
      <c r="EN446" s="1098"/>
      <c r="EO446" s="1098"/>
      <c r="EP446" s="1098"/>
      <c r="EQ446" s="1098"/>
      <c r="ER446" s="1098"/>
      <c r="ES446" s="1098"/>
      <c r="ET446" s="1098"/>
      <c r="EU446" s="1098"/>
      <c r="EV446" s="1098"/>
      <c r="EW446" s="1098"/>
      <c r="EX446" s="1098"/>
      <c r="EY446" s="1098"/>
      <c r="EZ446" s="1098"/>
      <c r="FA446" s="1098"/>
      <c r="FB446" s="1098"/>
      <c r="FC446" s="1098"/>
      <c r="FD446" s="1098"/>
      <c r="FE446" s="1098"/>
      <c r="FF446" s="1098"/>
      <c r="FG446" s="1098"/>
      <c r="FH446" s="1098"/>
      <c r="FI446" s="1098"/>
      <c r="FJ446" s="1098"/>
      <c r="FK446" s="1098"/>
      <c r="FL446" s="1098"/>
      <c r="FM446" s="1098"/>
      <c r="FN446" s="1098"/>
      <c r="FO446" s="1098"/>
      <c r="FP446" s="1098"/>
      <c r="FQ446" s="1098"/>
      <c r="FR446" s="1098"/>
      <c r="FS446" s="1098"/>
      <c r="FT446" s="1098"/>
      <c r="FU446" s="1098"/>
      <c r="FV446" s="1098"/>
      <c r="FW446" s="1098"/>
      <c r="FX446" s="1098"/>
      <c r="FY446" s="1098"/>
      <c r="FZ446" s="1098"/>
      <c r="GA446" s="1098"/>
      <c r="GB446" s="1098"/>
      <c r="GC446" s="1098"/>
      <c r="GD446" s="1098"/>
      <c r="GE446" s="1098"/>
      <c r="GF446" s="1098"/>
      <c r="GG446" s="1098"/>
      <c r="GH446" s="1098"/>
      <c r="GI446" s="1098"/>
      <c r="GJ446" s="1098"/>
      <c r="GK446" s="1098"/>
      <c r="GL446" s="1098"/>
      <c r="GM446" s="1098"/>
      <c r="GN446" s="1098"/>
      <c r="GO446" s="1098"/>
      <c r="GP446" s="1098"/>
      <c r="GQ446" s="1098"/>
      <c r="GR446" s="1098"/>
      <c r="GS446" s="1098"/>
      <c r="GT446" s="1098"/>
      <c r="GU446" s="1098"/>
      <c r="GV446" s="1098"/>
      <c r="GW446" s="1098"/>
      <c r="GX446" s="1098"/>
      <c r="GY446" s="1098"/>
      <c r="GZ446" s="1098"/>
      <c r="HA446" s="1098"/>
      <c r="HB446" s="1098"/>
      <c r="HC446" s="1098"/>
      <c r="HD446" s="1098"/>
      <c r="HE446" s="1098"/>
      <c r="HF446" s="1098"/>
      <c r="HG446" s="1098"/>
      <c r="HH446" s="1098"/>
      <c r="HI446" s="1098"/>
      <c r="HJ446" s="1098"/>
      <c r="HK446" s="1098"/>
      <c r="HL446" s="1098"/>
      <c r="HM446" s="1098"/>
      <c r="HN446" s="1098"/>
      <c r="HO446" s="1098"/>
      <c r="HP446" s="1098"/>
      <c r="HQ446" s="1098"/>
      <c r="HR446" s="1098"/>
      <c r="HS446" s="1098"/>
      <c r="HT446" s="1098"/>
      <c r="HU446" s="1098"/>
      <c r="HV446" s="1098"/>
      <c r="HW446" s="1098"/>
      <c r="HX446" s="1098"/>
      <c r="HY446" s="1098"/>
      <c r="HZ446" s="1098"/>
      <c r="IA446" s="1098"/>
      <c r="IB446" s="1098"/>
      <c r="IC446" s="1098"/>
      <c r="ID446" s="1098"/>
      <c r="IE446" s="1098"/>
      <c r="IF446" s="1098"/>
      <c r="IG446" s="1098"/>
      <c r="IH446" s="1098"/>
      <c r="II446" s="1098"/>
      <c r="IJ446" s="1098"/>
      <c r="IK446" s="1098"/>
      <c r="IL446" s="1098"/>
      <c r="IM446" s="1098"/>
      <c r="IN446" s="1098"/>
      <c r="IO446" s="1098"/>
      <c r="IP446" s="1098"/>
      <c r="IQ446" s="1098"/>
      <c r="IR446" s="1098"/>
      <c r="IS446" s="1098"/>
      <c r="IT446" s="1098"/>
      <c r="IU446" s="1098"/>
      <c r="IV446" s="1098"/>
      <c r="IW446" s="1098"/>
      <c r="IX446" s="1098"/>
      <c r="IY446" s="1098"/>
      <c r="IZ446" s="1098"/>
      <c r="JA446" s="1098"/>
      <c r="JB446" s="1098"/>
      <c r="JC446" s="1098"/>
      <c r="JD446" s="1098"/>
      <c r="JE446" s="1098"/>
      <c r="JF446" s="1098"/>
      <c r="JG446" s="1098"/>
      <c r="JH446" s="1098"/>
      <c r="JI446" s="1098"/>
      <c r="JJ446" s="1098"/>
      <c r="JK446" s="1098"/>
      <c r="JL446" s="1098"/>
      <c r="JM446" s="1098"/>
      <c r="JN446" s="1098"/>
      <c r="JO446" s="1098"/>
      <c r="JP446" s="1098"/>
      <c r="JQ446" s="1098"/>
      <c r="JR446" s="1098"/>
      <c r="JS446" s="1098"/>
      <c r="JT446" s="1098"/>
      <c r="JU446" s="1098"/>
      <c r="JV446" s="1098"/>
      <c r="JW446" s="1098"/>
      <c r="JX446" s="1098"/>
      <c r="JY446" s="1098"/>
      <c r="JZ446" s="1098"/>
      <c r="KA446" s="1098"/>
      <c r="KB446" s="1099"/>
    </row>
    <row r="447" spans="2:288" ht="15" customHeight="1" x14ac:dyDescent="0.35">
      <c r="B447" s="146" t="str">
        <f t="shared" si="36"/>
        <v>Desk 23</v>
      </c>
      <c r="C447" s="148" t="str">
        <v/>
      </c>
      <c r="D447" s="148" t="str">
        <v/>
      </c>
      <c r="E447" s="148" t="str">
        <v/>
      </c>
      <c r="F447" s="148" t="str">
        <v/>
      </c>
      <c r="G447" s="268" t="str">
        <v/>
      </c>
      <c r="H447" s="1098"/>
      <c r="I447" s="1098"/>
      <c r="J447" s="1098"/>
      <c r="K447" s="1098"/>
      <c r="L447" s="1098"/>
      <c r="M447" s="1098"/>
      <c r="N447" s="1098"/>
      <c r="O447" s="1098"/>
      <c r="P447" s="1098"/>
      <c r="Q447" s="1098"/>
      <c r="R447" s="1098"/>
      <c r="S447" s="1098"/>
      <c r="T447" s="1098"/>
      <c r="U447" s="1098"/>
      <c r="V447" s="1098"/>
      <c r="W447" s="1098"/>
      <c r="X447" s="1098"/>
      <c r="Y447" s="1098"/>
      <c r="Z447" s="1098"/>
      <c r="AA447" s="1098"/>
      <c r="AB447" s="1098"/>
      <c r="AC447" s="1098"/>
      <c r="AD447" s="1098"/>
      <c r="AE447" s="1098"/>
      <c r="AF447" s="1098"/>
      <c r="AG447" s="1098"/>
      <c r="AH447" s="1098"/>
      <c r="AI447" s="1098"/>
      <c r="AJ447" s="1098"/>
      <c r="AK447" s="1098"/>
      <c r="AL447" s="1098"/>
      <c r="AM447" s="1098"/>
      <c r="AN447" s="1098"/>
      <c r="AO447" s="1098"/>
      <c r="AP447" s="1098"/>
      <c r="AQ447" s="1098"/>
      <c r="AR447" s="1098"/>
      <c r="AS447" s="1098"/>
      <c r="AT447" s="1098"/>
      <c r="AU447" s="1098"/>
      <c r="AV447" s="1098"/>
      <c r="AW447" s="1098"/>
      <c r="AX447" s="1098"/>
      <c r="AY447" s="1098"/>
      <c r="AZ447" s="1098"/>
      <c r="BA447" s="1098"/>
      <c r="BB447" s="1098"/>
      <c r="BC447" s="1098"/>
      <c r="BD447" s="1098"/>
      <c r="BE447" s="1098"/>
      <c r="BF447" s="1098"/>
      <c r="BG447" s="1098"/>
      <c r="BH447" s="1098"/>
      <c r="BI447" s="1098"/>
      <c r="BJ447" s="1098"/>
      <c r="BK447" s="1098"/>
      <c r="BL447" s="1098"/>
      <c r="BM447" s="1098"/>
      <c r="BN447" s="1098"/>
      <c r="BO447" s="1098"/>
      <c r="BP447" s="1098"/>
      <c r="BQ447" s="1098"/>
      <c r="BR447" s="1098"/>
      <c r="BS447" s="1098"/>
      <c r="BT447" s="1098"/>
      <c r="BU447" s="1098"/>
      <c r="BV447" s="1098"/>
      <c r="BW447" s="1098"/>
      <c r="BX447" s="1098"/>
      <c r="BY447" s="1098"/>
      <c r="BZ447" s="1098"/>
      <c r="CA447" s="1098"/>
      <c r="CB447" s="1098"/>
      <c r="CC447" s="1098"/>
      <c r="CD447" s="1098"/>
      <c r="CE447" s="1098"/>
      <c r="CF447" s="1098"/>
      <c r="CG447" s="1098"/>
      <c r="CH447" s="1098"/>
      <c r="CI447" s="1098"/>
      <c r="CJ447" s="1098"/>
      <c r="CK447" s="1098"/>
      <c r="CL447" s="1098"/>
      <c r="CM447" s="1098"/>
      <c r="CN447" s="1098"/>
      <c r="CO447" s="1098"/>
      <c r="CP447" s="1098"/>
      <c r="CQ447" s="1098"/>
      <c r="CR447" s="1098"/>
      <c r="CS447" s="1098"/>
      <c r="CT447" s="1098"/>
      <c r="CU447" s="1098"/>
      <c r="CV447" s="1098"/>
      <c r="CW447" s="1098"/>
      <c r="CX447" s="1098"/>
      <c r="CY447" s="1098"/>
      <c r="CZ447" s="1098"/>
      <c r="DA447" s="1098"/>
      <c r="DB447" s="1098"/>
      <c r="DC447" s="1098"/>
      <c r="DD447" s="1098"/>
      <c r="DE447" s="1098"/>
      <c r="DF447" s="1098"/>
      <c r="DG447" s="1098"/>
      <c r="DH447" s="1098"/>
      <c r="DI447" s="1098"/>
      <c r="DJ447" s="1098"/>
      <c r="DK447" s="1098"/>
      <c r="DL447" s="1098"/>
      <c r="DM447" s="1098"/>
      <c r="DN447" s="1098"/>
      <c r="DO447" s="1098"/>
      <c r="DP447" s="1098"/>
      <c r="DQ447" s="1098"/>
      <c r="DR447" s="1098"/>
      <c r="DS447" s="1098"/>
      <c r="DT447" s="1098"/>
      <c r="DU447" s="1098"/>
      <c r="DV447" s="1098"/>
      <c r="DW447" s="1098"/>
      <c r="DX447" s="1098"/>
      <c r="DY447" s="1098"/>
      <c r="DZ447" s="1098"/>
      <c r="EA447" s="1098"/>
      <c r="EB447" s="1098"/>
      <c r="EC447" s="1098"/>
      <c r="ED447" s="1098"/>
      <c r="EE447" s="1098"/>
      <c r="EF447" s="1098"/>
      <c r="EG447" s="1098"/>
      <c r="EH447" s="1098"/>
      <c r="EI447" s="1098"/>
      <c r="EJ447" s="1098"/>
      <c r="EK447" s="1098"/>
      <c r="EL447" s="1098"/>
      <c r="EM447" s="1098"/>
      <c r="EN447" s="1098"/>
      <c r="EO447" s="1098"/>
      <c r="EP447" s="1098"/>
      <c r="EQ447" s="1098"/>
      <c r="ER447" s="1098"/>
      <c r="ES447" s="1098"/>
      <c r="ET447" s="1098"/>
      <c r="EU447" s="1098"/>
      <c r="EV447" s="1098"/>
      <c r="EW447" s="1098"/>
      <c r="EX447" s="1098"/>
      <c r="EY447" s="1098"/>
      <c r="EZ447" s="1098"/>
      <c r="FA447" s="1098"/>
      <c r="FB447" s="1098"/>
      <c r="FC447" s="1098"/>
      <c r="FD447" s="1098"/>
      <c r="FE447" s="1098"/>
      <c r="FF447" s="1098"/>
      <c r="FG447" s="1098"/>
      <c r="FH447" s="1098"/>
      <c r="FI447" s="1098"/>
      <c r="FJ447" s="1098"/>
      <c r="FK447" s="1098"/>
      <c r="FL447" s="1098"/>
      <c r="FM447" s="1098"/>
      <c r="FN447" s="1098"/>
      <c r="FO447" s="1098"/>
      <c r="FP447" s="1098"/>
      <c r="FQ447" s="1098"/>
      <c r="FR447" s="1098"/>
      <c r="FS447" s="1098"/>
      <c r="FT447" s="1098"/>
      <c r="FU447" s="1098"/>
      <c r="FV447" s="1098"/>
      <c r="FW447" s="1098"/>
      <c r="FX447" s="1098"/>
      <c r="FY447" s="1098"/>
      <c r="FZ447" s="1098"/>
      <c r="GA447" s="1098"/>
      <c r="GB447" s="1098"/>
      <c r="GC447" s="1098"/>
      <c r="GD447" s="1098"/>
      <c r="GE447" s="1098"/>
      <c r="GF447" s="1098"/>
      <c r="GG447" s="1098"/>
      <c r="GH447" s="1098"/>
      <c r="GI447" s="1098"/>
      <c r="GJ447" s="1098"/>
      <c r="GK447" s="1098"/>
      <c r="GL447" s="1098"/>
      <c r="GM447" s="1098"/>
      <c r="GN447" s="1098"/>
      <c r="GO447" s="1098"/>
      <c r="GP447" s="1098"/>
      <c r="GQ447" s="1098"/>
      <c r="GR447" s="1098"/>
      <c r="GS447" s="1098"/>
      <c r="GT447" s="1098"/>
      <c r="GU447" s="1098"/>
      <c r="GV447" s="1098"/>
      <c r="GW447" s="1098"/>
      <c r="GX447" s="1098"/>
      <c r="GY447" s="1098"/>
      <c r="GZ447" s="1098"/>
      <c r="HA447" s="1098"/>
      <c r="HB447" s="1098"/>
      <c r="HC447" s="1098"/>
      <c r="HD447" s="1098"/>
      <c r="HE447" s="1098"/>
      <c r="HF447" s="1098"/>
      <c r="HG447" s="1098"/>
      <c r="HH447" s="1098"/>
      <c r="HI447" s="1098"/>
      <c r="HJ447" s="1098"/>
      <c r="HK447" s="1098"/>
      <c r="HL447" s="1098"/>
      <c r="HM447" s="1098"/>
      <c r="HN447" s="1098"/>
      <c r="HO447" s="1098"/>
      <c r="HP447" s="1098"/>
      <c r="HQ447" s="1098"/>
      <c r="HR447" s="1098"/>
      <c r="HS447" s="1098"/>
      <c r="HT447" s="1098"/>
      <c r="HU447" s="1098"/>
      <c r="HV447" s="1098"/>
      <c r="HW447" s="1098"/>
      <c r="HX447" s="1098"/>
      <c r="HY447" s="1098"/>
      <c r="HZ447" s="1098"/>
      <c r="IA447" s="1098"/>
      <c r="IB447" s="1098"/>
      <c r="IC447" s="1098"/>
      <c r="ID447" s="1098"/>
      <c r="IE447" s="1098"/>
      <c r="IF447" s="1098"/>
      <c r="IG447" s="1098"/>
      <c r="IH447" s="1098"/>
      <c r="II447" s="1098"/>
      <c r="IJ447" s="1098"/>
      <c r="IK447" s="1098"/>
      <c r="IL447" s="1098"/>
      <c r="IM447" s="1098"/>
      <c r="IN447" s="1098"/>
      <c r="IO447" s="1098"/>
      <c r="IP447" s="1098"/>
      <c r="IQ447" s="1098"/>
      <c r="IR447" s="1098"/>
      <c r="IS447" s="1098"/>
      <c r="IT447" s="1098"/>
      <c r="IU447" s="1098"/>
      <c r="IV447" s="1098"/>
      <c r="IW447" s="1098"/>
      <c r="IX447" s="1098"/>
      <c r="IY447" s="1098"/>
      <c r="IZ447" s="1098"/>
      <c r="JA447" s="1098"/>
      <c r="JB447" s="1098"/>
      <c r="JC447" s="1098"/>
      <c r="JD447" s="1098"/>
      <c r="JE447" s="1098"/>
      <c r="JF447" s="1098"/>
      <c r="JG447" s="1098"/>
      <c r="JH447" s="1098"/>
      <c r="JI447" s="1098"/>
      <c r="JJ447" s="1098"/>
      <c r="JK447" s="1098"/>
      <c r="JL447" s="1098"/>
      <c r="JM447" s="1098"/>
      <c r="JN447" s="1098"/>
      <c r="JO447" s="1098"/>
      <c r="JP447" s="1098"/>
      <c r="JQ447" s="1098"/>
      <c r="JR447" s="1098"/>
      <c r="JS447" s="1098"/>
      <c r="JT447" s="1098"/>
      <c r="JU447" s="1098"/>
      <c r="JV447" s="1098"/>
      <c r="JW447" s="1098"/>
      <c r="JX447" s="1098"/>
      <c r="JY447" s="1098"/>
      <c r="JZ447" s="1098"/>
      <c r="KA447" s="1098"/>
      <c r="KB447" s="1099"/>
    </row>
    <row r="448" spans="2:288" ht="15" customHeight="1" x14ac:dyDescent="0.35">
      <c r="B448" s="146" t="str">
        <f t="shared" si="36"/>
        <v>Desk 24</v>
      </c>
      <c r="C448" s="148" t="str">
        <v/>
      </c>
      <c r="D448" s="148" t="str">
        <v/>
      </c>
      <c r="E448" s="148" t="str">
        <v/>
      </c>
      <c r="F448" s="148" t="str">
        <v/>
      </c>
      <c r="G448" s="268" t="str">
        <v/>
      </c>
      <c r="H448" s="1098"/>
      <c r="I448" s="1098"/>
      <c r="J448" s="1098"/>
      <c r="K448" s="1098"/>
      <c r="L448" s="1098"/>
      <c r="M448" s="1098"/>
      <c r="N448" s="1098"/>
      <c r="O448" s="1098"/>
      <c r="P448" s="1098"/>
      <c r="Q448" s="1098"/>
      <c r="R448" s="1098"/>
      <c r="S448" s="1098"/>
      <c r="T448" s="1098"/>
      <c r="U448" s="1098"/>
      <c r="V448" s="1098"/>
      <c r="W448" s="1098"/>
      <c r="X448" s="1098"/>
      <c r="Y448" s="1098"/>
      <c r="Z448" s="1098"/>
      <c r="AA448" s="1098"/>
      <c r="AB448" s="1098"/>
      <c r="AC448" s="1098"/>
      <c r="AD448" s="1098"/>
      <c r="AE448" s="1098"/>
      <c r="AF448" s="1098"/>
      <c r="AG448" s="1098"/>
      <c r="AH448" s="1098"/>
      <c r="AI448" s="1098"/>
      <c r="AJ448" s="1098"/>
      <c r="AK448" s="1098"/>
      <c r="AL448" s="1098"/>
      <c r="AM448" s="1098"/>
      <c r="AN448" s="1098"/>
      <c r="AO448" s="1098"/>
      <c r="AP448" s="1098"/>
      <c r="AQ448" s="1098"/>
      <c r="AR448" s="1098"/>
      <c r="AS448" s="1098"/>
      <c r="AT448" s="1098"/>
      <c r="AU448" s="1098"/>
      <c r="AV448" s="1098"/>
      <c r="AW448" s="1098"/>
      <c r="AX448" s="1098"/>
      <c r="AY448" s="1098"/>
      <c r="AZ448" s="1098"/>
      <c r="BA448" s="1098"/>
      <c r="BB448" s="1098"/>
      <c r="BC448" s="1098"/>
      <c r="BD448" s="1098"/>
      <c r="BE448" s="1098"/>
      <c r="BF448" s="1098"/>
      <c r="BG448" s="1098"/>
      <c r="BH448" s="1098"/>
      <c r="BI448" s="1098"/>
      <c r="BJ448" s="1098"/>
      <c r="BK448" s="1098"/>
      <c r="BL448" s="1098"/>
      <c r="BM448" s="1098"/>
      <c r="BN448" s="1098"/>
      <c r="BO448" s="1098"/>
      <c r="BP448" s="1098"/>
      <c r="BQ448" s="1098"/>
      <c r="BR448" s="1098"/>
      <c r="BS448" s="1098"/>
      <c r="BT448" s="1098"/>
      <c r="BU448" s="1098"/>
      <c r="BV448" s="1098"/>
      <c r="BW448" s="1098"/>
      <c r="BX448" s="1098"/>
      <c r="BY448" s="1098"/>
      <c r="BZ448" s="1098"/>
      <c r="CA448" s="1098"/>
      <c r="CB448" s="1098"/>
      <c r="CC448" s="1098"/>
      <c r="CD448" s="1098"/>
      <c r="CE448" s="1098"/>
      <c r="CF448" s="1098"/>
      <c r="CG448" s="1098"/>
      <c r="CH448" s="1098"/>
      <c r="CI448" s="1098"/>
      <c r="CJ448" s="1098"/>
      <c r="CK448" s="1098"/>
      <c r="CL448" s="1098"/>
      <c r="CM448" s="1098"/>
      <c r="CN448" s="1098"/>
      <c r="CO448" s="1098"/>
      <c r="CP448" s="1098"/>
      <c r="CQ448" s="1098"/>
      <c r="CR448" s="1098"/>
      <c r="CS448" s="1098"/>
      <c r="CT448" s="1098"/>
      <c r="CU448" s="1098"/>
      <c r="CV448" s="1098"/>
      <c r="CW448" s="1098"/>
      <c r="CX448" s="1098"/>
      <c r="CY448" s="1098"/>
      <c r="CZ448" s="1098"/>
      <c r="DA448" s="1098"/>
      <c r="DB448" s="1098"/>
      <c r="DC448" s="1098"/>
      <c r="DD448" s="1098"/>
      <c r="DE448" s="1098"/>
      <c r="DF448" s="1098"/>
      <c r="DG448" s="1098"/>
      <c r="DH448" s="1098"/>
      <c r="DI448" s="1098"/>
      <c r="DJ448" s="1098"/>
      <c r="DK448" s="1098"/>
      <c r="DL448" s="1098"/>
      <c r="DM448" s="1098"/>
      <c r="DN448" s="1098"/>
      <c r="DO448" s="1098"/>
      <c r="DP448" s="1098"/>
      <c r="DQ448" s="1098"/>
      <c r="DR448" s="1098"/>
      <c r="DS448" s="1098"/>
      <c r="DT448" s="1098"/>
      <c r="DU448" s="1098"/>
      <c r="DV448" s="1098"/>
      <c r="DW448" s="1098"/>
      <c r="DX448" s="1098"/>
      <c r="DY448" s="1098"/>
      <c r="DZ448" s="1098"/>
      <c r="EA448" s="1098"/>
      <c r="EB448" s="1098"/>
      <c r="EC448" s="1098"/>
      <c r="ED448" s="1098"/>
      <c r="EE448" s="1098"/>
      <c r="EF448" s="1098"/>
      <c r="EG448" s="1098"/>
      <c r="EH448" s="1098"/>
      <c r="EI448" s="1098"/>
      <c r="EJ448" s="1098"/>
      <c r="EK448" s="1098"/>
      <c r="EL448" s="1098"/>
      <c r="EM448" s="1098"/>
      <c r="EN448" s="1098"/>
      <c r="EO448" s="1098"/>
      <c r="EP448" s="1098"/>
      <c r="EQ448" s="1098"/>
      <c r="ER448" s="1098"/>
      <c r="ES448" s="1098"/>
      <c r="ET448" s="1098"/>
      <c r="EU448" s="1098"/>
      <c r="EV448" s="1098"/>
      <c r="EW448" s="1098"/>
      <c r="EX448" s="1098"/>
      <c r="EY448" s="1098"/>
      <c r="EZ448" s="1098"/>
      <c r="FA448" s="1098"/>
      <c r="FB448" s="1098"/>
      <c r="FC448" s="1098"/>
      <c r="FD448" s="1098"/>
      <c r="FE448" s="1098"/>
      <c r="FF448" s="1098"/>
      <c r="FG448" s="1098"/>
      <c r="FH448" s="1098"/>
      <c r="FI448" s="1098"/>
      <c r="FJ448" s="1098"/>
      <c r="FK448" s="1098"/>
      <c r="FL448" s="1098"/>
      <c r="FM448" s="1098"/>
      <c r="FN448" s="1098"/>
      <c r="FO448" s="1098"/>
      <c r="FP448" s="1098"/>
      <c r="FQ448" s="1098"/>
      <c r="FR448" s="1098"/>
      <c r="FS448" s="1098"/>
      <c r="FT448" s="1098"/>
      <c r="FU448" s="1098"/>
      <c r="FV448" s="1098"/>
      <c r="FW448" s="1098"/>
      <c r="FX448" s="1098"/>
      <c r="FY448" s="1098"/>
      <c r="FZ448" s="1098"/>
      <c r="GA448" s="1098"/>
      <c r="GB448" s="1098"/>
      <c r="GC448" s="1098"/>
      <c r="GD448" s="1098"/>
      <c r="GE448" s="1098"/>
      <c r="GF448" s="1098"/>
      <c r="GG448" s="1098"/>
      <c r="GH448" s="1098"/>
      <c r="GI448" s="1098"/>
      <c r="GJ448" s="1098"/>
      <c r="GK448" s="1098"/>
      <c r="GL448" s="1098"/>
      <c r="GM448" s="1098"/>
      <c r="GN448" s="1098"/>
      <c r="GO448" s="1098"/>
      <c r="GP448" s="1098"/>
      <c r="GQ448" s="1098"/>
      <c r="GR448" s="1098"/>
      <c r="GS448" s="1098"/>
      <c r="GT448" s="1098"/>
      <c r="GU448" s="1098"/>
      <c r="GV448" s="1098"/>
      <c r="GW448" s="1098"/>
      <c r="GX448" s="1098"/>
      <c r="GY448" s="1098"/>
      <c r="GZ448" s="1098"/>
      <c r="HA448" s="1098"/>
      <c r="HB448" s="1098"/>
      <c r="HC448" s="1098"/>
      <c r="HD448" s="1098"/>
      <c r="HE448" s="1098"/>
      <c r="HF448" s="1098"/>
      <c r="HG448" s="1098"/>
      <c r="HH448" s="1098"/>
      <c r="HI448" s="1098"/>
      <c r="HJ448" s="1098"/>
      <c r="HK448" s="1098"/>
      <c r="HL448" s="1098"/>
      <c r="HM448" s="1098"/>
      <c r="HN448" s="1098"/>
      <c r="HO448" s="1098"/>
      <c r="HP448" s="1098"/>
      <c r="HQ448" s="1098"/>
      <c r="HR448" s="1098"/>
      <c r="HS448" s="1098"/>
      <c r="HT448" s="1098"/>
      <c r="HU448" s="1098"/>
      <c r="HV448" s="1098"/>
      <c r="HW448" s="1098"/>
      <c r="HX448" s="1098"/>
      <c r="HY448" s="1098"/>
      <c r="HZ448" s="1098"/>
      <c r="IA448" s="1098"/>
      <c r="IB448" s="1098"/>
      <c r="IC448" s="1098"/>
      <c r="ID448" s="1098"/>
      <c r="IE448" s="1098"/>
      <c r="IF448" s="1098"/>
      <c r="IG448" s="1098"/>
      <c r="IH448" s="1098"/>
      <c r="II448" s="1098"/>
      <c r="IJ448" s="1098"/>
      <c r="IK448" s="1098"/>
      <c r="IL448" s="1098"/>
      <c r="IM448" s="1098"/>
      <c r="IN448" s="1098"/>
      <c r="IO448" s="1098"/>
      <c r="IP448" s="1098"/>
      <c r="IQ448" s="1098"/>
      <c r="IR448" s="1098"/>
      <c r="IS448" s="1098"/>
      <c r="IT448" s="1098"/>
      <c r="IU448" s="1098"/>
      <c r="IV448" s="1098"/>
      <c r="IW448" s="1098"/>
      <c r="IX448" s="1098"/>
      <c r="IY448" s="1098"/>
      <c r="IZ448" s="1098"/>
      <c r="JA448" s="1098"/>
      <c r="JB448" s="1098"/>
      <c r="JC448" s="1098"/>
      <c r="JD448" s="1098"/>
      <c r="JE448" s="1098"/>
      <c r="JF448" s="1098"/>
      <c r="JG448" s="1098"/>
      <c r="JH448" s="1098"/>
      <c r="JI448" s="1098"/>
      <c r="JJ448" s="1098"/>
      <c r="JK448" s="1098"/>
      <c r="JL448" s="1098"/>
      <c r="JM448" s="1098"/>
      <c r="JN448" s="1098"/>
      <c r="JO448" s="1098"/>
      <c r="JP448" s="1098"/>
      <c r="JQ448" s="1098"/>
      <c r="JR448" s="1098"/>
      <c r="JS448" s="1098"/>
      <c r="JT448" s="1098"/>
      <c r="JU448" s="1098"/>
      <c r="JV448" s="1098"/>
      <c r="JW448" s="1098"/>
      <c r="JX448" s="1098"/>
      <c r="JY448" s="1098"/>
      <c r="JZ448" s="1098"/>
      <c r="KA448" s="1098"/>
      <c r="KB448" s="1099"/>
    </row>
    <row r="449" spans="2:288" ht="15" customHeight="1" x14ac:dyDescent="0.35">
      <c r="B449" s="146" t="str">
        <f t="shared" si="36"/>
        <v>Desk 25</v>
      </c>
      <c r="C449" s="148" t="str">
        <v/>
      </c>
      <c r="D449" s="148" t="str">
        <v/>
      </c>
      <c r="E449" s="148" t="str">
        <v/>
      </c>
      <c r="F449" s="148" t="str">
        <v/>
      </c>
      <c r="G449" s="268" t="str">
        <v/>
      </c>
      <c r="H449" s="1098"/>
      <c r="I449" s="1098"/>
      <c r="J449" s="1098"/>
      <c r="K449" s="1098"/>
      <c r="L449" s="1098"/>
      <c r="M449" s="1098"/>
      <c r="N449" s="1098"/>
      <c r="O449" s="1098"/>
      <c r="P449" s="1098"/>
      <c r="Q449" s="1098"/>
      <c r="R449" s="1098"/>
      <c r="S449" s="1098"/>
      <c r="T449" s="1098"/>
      <c r="U449" s="1098"/>
      <c r="V449" s="1098"/>
      <c r="W449" s="1098"/>
      <c r="X449" s="1098"/>
      <c r="Y449" s="1098"/>
      <c r="Z449" s="1098"/>
      <c r="AA449" s="1098"/>
      <c r="AB449" s="1098"/>
      <c r="AC449" s="1098"/>
      <c r="AD449" s="1098"/>
      <c r="AE449" s="1098"/>
      <c r="AF449" s="1098"/>
      <c r="AG449" s="1098"/>
      <c r="AH449" s="1098"/>
      <c r="AI449" s="1098"/>
      <c r="AJ449" s="1098"/>
      <c r="AK449" s="1098"/>
      <c r="AL449" s="1098"/>
      <c r="AM449" s="1098"/>
      <c r="AN449" s="1098"/>
      <c r="AO449" s="1098"/>
      <c r="AP449" s="1098"/>
      <c r="AQ449" s="1098"/>
      <c r="AR449" s="1098"/>
      <c r="AS449" s="1098"/>
      <c r="AT449" s="1098"/>
      <c r="AU449" s="1098"/>
      <c r="AV449" s="1098"/>
      <c r="AW449" s="1098"/>
      <c r="AX449" s="1098"/>
      <c r="AY449" s="1098"/>
      <c r="AZ449" s="1098"/>
      <c r="BA449" s="1098"/>
      <c r="BB449" s="1098"/>
      <c r="BC449" s="1098"/>
      <c r="BD449" s="1098"/>
      <c r="BE449" s="1098"/>
      <c r="BF449" s="1098"/>
      <c r="BG449" s="1098"/>
      <c r="BH449" s="1098"/>
      <c r="BI449" s="1098"/>
      <c r="BJ449" s="1098"/>
      <c r="BK449" s="1098"/>
      <c r="BL449" s="1098"/>
      <c r="BM449" s="1098"/>
      <c r="BN449" s="1098"/>
      <c r="BO449" s="1098"/>
      <c r="BP449" s="1098"/>
      <c r="BQ449" s="1098"/>
      <c r="BR449" s="1098"/>
      <c r="BS449" s="1098"/>
      <c r="BT449" s="1098"/>
      <c r="BU449" s="1098"/>
      <c r="BV449" s="1098"/>
      <c r="BW449" s="1098"/>
      <c r="BX449" s="1098"/>
      <c r="BY449" s="1098"/>
      <c r="BZ449" s="1098"/>
      <c r="CA449" s="1098"/>
      <c r="CB449" s="1098"/>
      <c r="CC449" s="1098"/>
      <c r="CD449" s="1098"/>
      <c r="CE449" s="1098"/>
      <c r="CF449" s="1098"/>
      <c r="CG449" s="1098"/>
      <c r="CH449" s="1098"/>
      <c r="CI449" s="1098"/>
      <c r="CJ449" s="1098"/>
      <c r="CK449" s="1098"/>
      <c r="CL449" s="1098"/>
      <c r="CM449" s="1098"/>
      <c r="CN449" s="1098"/>
      <c r="CO449" s="1098"/>
      <c r="CP449" s="1098"/>
      <c r="CQ449" s="1098"/>
      <c r="CR449" s="1098"/>
      <c r="CS449" s="1098"/>
      <c r="CT449" s="1098"/>
      <c r="CU449" s="1098"/>
      <c r="CV449" s="1098"/>
      <c r="CW449" s="1098"/>
      <c r="CX449" s="1098"/>
      <c r="CY449" s="1098"/>
      <c r="CZ449" s="1098"/>
      <c r="DA449" s="1098"/>
      <c r="DB449" s="1098"/>
      <c r="DC449" s="1098"/>
      <c r="DD449" s="1098"/>
      <c r="DE449" s="1098"/>
      <c r="DF449" s="1098"/>
      <c r="DG449" s="1098"/>
      <c r="DH449" s="1098"/>
      <c r="DI449" s="1098"/>
      <c r="DJ449" s="1098"/>
      <c r="DK449" s="1098"/>
      <c r="DL449" s="1098"/>
      <c r="DM449" s="1098"/>
      <c r="DN449" s="1098"/>
      <c r="DO449" s="1098"/>
      <c r="DP449" s="1098"/>
      <c r="DQ449" s="1098"/>
      <c r="DR449" s="1098"/>
      <c r="DS449" s="1098"/>
      <c r="DT449" s="1098"/>
      <c r="DU449" s="1098"/>
      <c r="DV449" s="1098"/>
      <c r="DW449" s="1098"/>
      <c r="DX449" s="1098"/>
      <c r="DY449" s="1098"/>
      <c r="DZ449" s="1098"/>
      <c r="EA449" s="1098"/>
      <c r="EB449" s="1098"/>
      <c r="EC449" s="1098"/>
      <c r="ED449" s="1098"/>
      <c r="EE449" s="1098"/>
      <c r="EF449" s="1098"/>
      <c r="EG449" s="1098"/>
      <c r="EH449" s="1098"/>
      <c r="EI449" s="1098"/>
      <c r="EJ449" s="1098"/>
      <c r="EK449" s="1098"/>
      <c r="EL449" s="1098"/>
      <c r="EM449" s="1098"/>
      <c r="EN449" s="1098"/>
      <c r="EO449" s="1098"/>
      <c r="EP449" s="1098"/>
      <c r="EQ449" s="1098"/>
      <c r="ER449" s="1098"/>
      <c r="ES449" s="1098"/>
      <c r="ET449" s="1098"/>
      <c r="EU449" s="1098"/>
      <c r="EV449" s="1098"/>
      <c r="EW449" s="1098"/>
      <c r="EX449" s="1098"/>
      <c r="EY449" s="1098"/>
      <c r="EZ449" s="1098"/>
      <c r="FA449" s="1098"/>
      <c r="FB449" s="1098"/>
      <c r="FC449" s="1098"/>
      <c r="FD449" s="1098"/>
      <c r="FE449" s="1098"/>
      <c r="FF449" s="1098"/>
      <c r="FG449" s="1098"/>
      <c r="FH449" s="1098"/>
      <c r="FI449" s="1098"/>
      <c r="FJ449" s="1098"/>
      <c r="FK449" s="1098"/>
      <c r="FL449" s="1098"/>
      <c r="FM449" s="1098"/>
      <c r="FN449" s="1098"/>
      <c r="FO449" s="1098"/>
      <c r="FP449" s="1098"/>
      <c r="FQ449" s="1098"/>
      <c r="FR449" s="1098"/>
      <c r="FS449" s="1098"/>
      <c r="FT449" s="1098"/>
      <c r="FU449" s="1098"/>
      <c r="FV449" s="1098"/>
      <c r="FW449" s="1098"/>
      <c r="FX449" s="1098"/>
      <c r="FY449" s="1098"/>
      <c r="FZ449" s="1098"/>
      <c r="GA449" s="1098"/>
      <c r="GB449" s="1098"/>
      <c r="GC449" s="1098"/>
      <c r="GD449" s="1098"/>
      <c r="GE449" s="1098"/>
      <c r="GF449" s="1098"/>
      <c r="GG449" s="1098"/>
      <c r="GH449" s="1098"/>
      <c r="GI449" s="1098"/>
      <c r="GJ449" s="1098"/>
      <c r="GK449" s="1098"/>
      <c r="GL449" s="1098"/>
      <c r="GM449" s="1098"/>
      <c r="GN449" s="1098"/>
      <c r="GO449" s="1098"/>
      <c r="GP449" s="1098"/>
      <c r="GQ449" s="1098"/>
      <c r="GR449" s="1098"/>
      <c r="GS449" s="1098"/>
      <c r="GT449" s="1098"/>
      <c r="GU449" s="1098"/>
      <c r="GV449" s="1098"/>
      <c r="GW449" s="1098"/>
      <c r="GX449" s="1098"/>
      <c r="GY449" s="1098"/>
      <c r="GZ449" s="1098"/>
      <c r="HA449" s="1098"/>
      <c r="HB449" s="1098"/>
      <c r="HC449" s="1098"/>
      <c r="HD449" s="1098"/>
      <c r="HE449" s="1098"/>
      <c r="HF449" s="1098"/>
      <c r="HG449" s="1098"/>
      <c r="HH449" s="1098"/>
      <c r="HI449" s="1098"/>
      <c r="HJ449" s="1098"/>
      <c r="HK449" s="1098"/>
      <c r="HL449" s="1098"/>
      <c r="HM449" s="1098"/>
      <c r="HN449" s="1098"/>
      <c r="HO449" s="1098"/>
      <c r="HP449" s="1098"/>
      <c r="HQ449" s="1098"/>
      <c r="HR449" s="1098"/>
      <c r="HS449" s="1098"/>
      <c r="HT449" s="1098"/>
      <c r="HU449" s="1098"/>
      <c r="HV449" s="1098"/>
      <c r="HW449" s="1098"/>
      <c r="HX449" s="1098"/>
      <c r="HY449" s="1098"/>
      <c r="HZ449" s="1098"/>
      <c r="IA449" s="1098"/>
      <c r="IB449" s="1098"/>
      <c r="IC449" s="1098"/>
      <c r="ID449" s="1098"/>
      <c r="IE449" s="1098"/>
      <c r="IF449" s="1098"/>
      <c r="IG449" s="1098"/>
      <c r="IH449" s="1098"/>
      <c r="II449" s="1098"/>
      <c r="IJ449" s="1098"/>
      <c r="IK449" s="1098"/>
      <c r="IL449" s="1098"/>
      <c r="IM449" s="1098"/>
      <c r="IN449" s="1098"/>
      <c r="IO449" s="1098"/>
      <c r="IP449" s="1098"/>
      <c r="IQ449" s="1098"/>
      <c r="IR449" s="1098"/>
      <c r="IS449" s="1098"/>
      <c r="IT449" s="1098"/>
      <c r="IU449" s="1098"/>
      <c r="IV449" s="1098"/>
      <c r="IW449" s="1098"/>
      <c r="IX449" s="1098"/>
      <c r="IY449" s="1098"/>
      <c r="IZ449" s="1098"/>
      <c r="JA449" s="1098"/>
      <c r="JB449" s="1098"/>
      <c r="JC449" s="1098"/>
      <c r="JD449" s="1098"/>
      <c r="JE449" s="1098"/>
      <c r="JF449" s="1098"/>
      <c r="JG449" s="1098"/>
      <c r="JH449" s="1098"/>
      <c r="JI449" s="1098"/>
      <c r="JJ449" s="1098"/>
      <c r="JK449" s="1098"/>
      <c r="JL449" s="1098"/>
      <c r="JM449" s="1098"/>
      <c r="JN449" s="1098"/>
      <c r="JO449" s="1098"/>
      <c r="JP449" s="1098"/>
      <c r="JQ449" s="1098"/>
      <c r="JR449" s="1098"/>
      <c r="JS449" s="1098"/>
      <c r="JT449" s="1098"/>
      <c r="JU449" s="1098"/>
      <c r="JV449" s="1098"/>
      <c r="JW449" s="1098"/>
      <c r="JX449" s="1098"/>
      <c r="JY449" s="1098"/>
      <c r="JZ449" s="1098"/>
      <c r="KA449" s="1098"/>
      <c r="KB449" s="1099"/>
    </row>
    <row r="450" spans="2:288" ht="15" customHeight="1" x14ac:dyDescent="0.35">
      <c r="B450" s="146" t="str">
        <f t="shared" si="36"/>
        <v>Desk 26</v>
      </c>
      <c r="C450" s="148" t="str">
        <v/>
      </c>
      <c r="D450" s="148" t="str">
        <v/>
      </c>
      <c r="E450" s="148" t="str">
        <v/>
      </c>
      <c r="F450" s="148" t="str">
        <v/>
      </c>
      <c r="G450" s="268" t="str">
        <v/>
      </c>
      <c r="H450" s="1098"/>
      <c r="I450" s="1098"/>
      <c r="J450" s="1098"/>
      <c r="K450" s="1098"/>
      <c r="L450" s="1098"/>
      <c r="M450" s="1098"/>
      <c r="N450" s="1098"/>
      <c r="O450" s="1098"/>
      <c r="P450" s="1098"/>
      <c r="Q450" s="1098"/>
      <c r="R450" s="1098"/>
      <c r="S450" s="1098"/>
      <c r="T450" s="1098"/>
      <c r="U450" s="1098"/>
      <c r="V450" s="1098"/>
      <c r="W450" s="1098"/>
      <c r="X450" s="1098"/>
      <c r="Y450" s="1098"/>
      <c r="Z450" s="1098"/>
      <c r="AA450" s="1098"/>
      <c r="AB450" s="1098"/>
      <c r="AC450" s="1098"/>
      <c r="AD450" s="1098"/>
      <c r="AE450" s="1098"/>
      <c r="AF450" s="1098"/>
      <c r="AG450" s="1098"/>
      <c r="AH450" s="1098"/>
      <c r="AI450" s="1098"/>
      <c r="AJ450" s="1098"/>
      <c r="AK450" s="1098"/>
      <c r="AL450" s="1098"/>
      <c r="AM450" s="1098"/>
      <c r="AN450" s="1098"/>
      <c r="AO450" s="1098"/>
      <c r="AP450" s="1098"/>
      <c r="AQ450" s="1098"/>
      <c r="AR450" s="1098"/>
      <c r="AS450" s="1098"/>
      <c r="AT450" s="1098"/>
      <c r="AU450" s="1098"/>
      <c r="AV450" s="1098"/>
      <c r="AW450" s="1098"/>
      <c r="AX450" s="1098"/>
      <c r="AY450" s="1098"/>
      <c r="AZ450" s="1098"/>
      <c r="BA450" s="1098"/>
      <c r="BB450" s="1098"/>
      <c r="BC450" s="1098"/>
      <c r="BD450" s="1098"/>
      <c r="BE450" s="1098"/>
      <c r="BF450" s="1098"/>
      <c r="BG450" s="1098"/>
      <c r="BH450" s="1098"/>
      <c r="BI450" s="1098"/>
      <c r="BJ450" s="1098"/>
      <c r="BK450" s="1098"/>
      <c r="BL450" s="1098"/>
      <c r="BM450" s="1098"/>
      <c r="BN450" s="1098"/>
      <c r="BO450" s="1098"/>
      <c r="BP450" s="1098"/>
      <c r="BQ450" s="1098"/>
      <c r="BR450" s="1098"/>
      <c r="BS450" s="1098"/>
      <c r="BT450" s="1098"/>
      <c r="BU450" s="1098"/>
      <c r="BV450" s="1098"/>
      <c r="BW450" s="1098"/>
      <c r="BX450" s="1098"/>
      <c r="BY450" s="1098"/>
      <c r="BZ450" s="1098"/>
      <c r="CA450" s="1098"/>
      <c r="CB450" s="1098"/>
      <c r="CC450" s="1098"/>
      <c r="CD450" s="1098"/>
      <c r="CE450" s="1098"/>
      <c r="CF450" s="1098"/>
      <c r="CG450" s="1098"/>
      <c r="CH450" s="1098"/>
      <c r="CI450" s="1098"/>
      <c r="CJ450" s="1098"/>
      <c r="CK450" s="1098"/>
      <c r="CL450" s="1098"/>
      <c r="CM450" s="1098"/>
      <c r="CN450" s="1098"/>
      <c r="CO450" s="1098"/>
      <c r="CP450" s="1098"/>
      <c r="CQ450" s="1098"/>
      <c r="CR450" s="1098"/>
      <c r="CS450" s="1098"/>
      <c r="CT450" s="1098"/>
      <c r="CU450" s="1098"/>
      <c r="CV450" s="1098"/>
      <c r="CW450" s="1098"/>
      <c r="CX450" s="1098"/>
      <c r="CY450" s="1098"/>
      <c r="CZ450" s="1098"/>
      <c r="DA450" s="1098"/>
      <c r="DB450" s="1098"/>
      <c r="DC450" s="1098"/>
      <c r="DD450" s="1098"/>
      <c r="DE450" s="1098"/>
      <c r="DF450" s="1098"/>
      <c r="DG450" s="1098"/>
      <c r="DH450" s="1098"/>
      <c r="DI450" s="1098"/>
      <c r="DJ450" s="1098"/>
      <c r="DK450" s="1098"/>
      <c r="DL450" s="1098"/>
      <c r="DM450" s="1098"/>
      <c r="DN450" s="1098"/>
      <c r="DO450" s="1098"/>
      <c r="DP450" s="1098"/>
      <c r="DQ450" s="1098"/>
      <c r="DR450" s="1098"/>
      <c r="DS450" s="1098"/>
      <c r="DT450" s="1098"/>
      <c r="DU450" s="1098"/>
      <c r="DV450" s="1098"/>
      <c r="DW450" s="1098"/>
      <c r="DX450" s="1098"/>
      <c r="DY450" s="1098"/>
      <c r="DZ450" s="1098"/>
      <c r="EA450" s="1098"/>
      <c r="EB450" s="1098"/>
      <c r="EC450" s="1098"/>
      <c r="ED450" s="1098"/>
      <c r="EE450" s="1098"/>
      <c r="EF450" s="1098"/>
      <c r="EG450" s="1098"/>
      <c r="EH450" s="1098"/>
      <c r="EI450" s="1098"/>
      <c r="EJ450" s="1098"/>
      <c r="EK450" s="1098"/>
      <c r="EL450" s="1098"/>
      <c r="EM450" s="1098"/>
      <c r="EN450" s="1098"/>
      <c r="EO450" s="1098"/>
      <c r="EP450" s="1098"/>
      <c r="EQ450" s="1098"/>
      <c r="ER450" s="1098"/>
      <c r="ES450" s="1098"/>
      <c r="ET450" s="1098"/>
      <c r="EU450" s="1098"/>
      <c r="EV450" s="1098"/>
      <c r="EW450" s="1098"/>
      <c r="EX450" s="1098"/>
      <c r="EY450" s="1098"/>
      <c r="EZ450" s="1098"/>
      <c r="FA450" s="1098"/>
      <c r="FB450" s="1098"/>
      <c r="FC450" s="1098"/>
      <c r="FD450" s="1098"/>
      <c r="FE450" s="1098"/>
      <c r="FF450" s="1098"/>
      <c r="FG450" s="1098"/>
      <c r="FH450" s="1098"/>
      <c r="FI450" s="1098"/>
      <c r="FJ450" s="1098"/>
      <c r="FK450" s="1098"/>
      <c r="FL450" s="1098"/>
      <c r="FM450" s="1098"/>
      <c r="FN450" s="1098"/>
      <c r="FO450" s="1098"/>
      <c r="FP450" s="1098"/>
      <c r="FQ450" s="1098"/>
      <c r="FR450" s="1098"/>
      <c r="FS450" s="1098"/>
      <c r="FT450" s="1098"/>
      <c r="FU450" s="1098"/>
      <c r="FV450" s="1098"/>
      <c r="FW450" s="1098"/>
      <c r="FX450" s="1098"/>
      <c r="FY450" s="1098"/>
      <c r="FZ450" s="1098"/>
      <c r="GA450" s="1098"/>
      <c r="GB450" s="1098"/>
      <c r="GC450" s="1098"/>
      <c r="GD450" s="1098"/>
      <c r="GE450" s="1098"/>
      <c r="GF450" s="1098"/>
      <c r="GG450" s="1098"/>
      <c r="GH450" s="1098"/>
      <c r="GI450" s="1098"/>
      <c r="GJ450" s="1098"/>
      <c r="GK450" s="1098"/>
      <c r="GL450" s="1098"/>
      <c r="GM450" s="1098"/>
      <c r="GN450" s="1098"/>
      <c r="GO450" s="1098"/>
      <c r="GP450" s="1098"/>
      <c r="GQ450" s="1098"/>
      <c r="GR450" s="1098"/>
      <c r="GS450" s="1098"/>
      <c r="GT450" s="1098"/>
      <c r="GU450" s="1098"/>
      <c r="GV450" s="1098"/>
      <c r="GW450" s="1098"/>
      <c r="GX450" s="1098"/>
      <c r="GY450" s="1098"/>
      <c r="GZ450" s="1098"/>
      <c r="HA450" s="1098"/>
      <c r="HB450" s="1098"/>
      <c r="HC450" s="1098"/>
      <c r="HD450" s="1098"/>
      <c r="HE450" s="1098"/>
      <c r="HF450" s="1098"/>
      <c r="HG450" s="1098"/>
      <c r="HH450" s="1098"/>
      <c r="HI450" s="1098"/>
      <c r="HJ450" s="1098"/>
      <c r="HK450" s="1098"/>
      <c r="HL450" s="1098"/>
      <c r="HM450" s="1098"/>
      <c r="HN450" s="1098"/>
      <c r="HO450" s="1098"/>
      <c r="HP450" s="1098"/>
      <c r="HQ450" s="1098"/>
      <c r="HR450" s="1098"/>
      <c r="HS450" s="1098"/>
      <c r="HT450" s="1098"/>
      <c r="HU450" s="1098"/>
      <c r="HV450" s="1098"/>
      <c r="HW450" s="1098"/>
      <c r="HX450" s="1098"/>
      <c r="HY450" s="1098"/>
      <c r="HZ450" s="1098"/>
      <c r="IA450" s="1098"/>
      <c r="IB450" s="1098"/>
      <c r="IC450" s="1098"/>
      <c r="ID450" s="1098"/>
      <c r="IE450" s="1098"/>
      <c r="IF450" s="1098"/>
      <c r="IG450" s="1098"/>
      <c r="IH450" s="1098"/>
      <c r="II450" s="1098"/>
      <c r="IJ450" s="1098"/>
      <c r="IK450" s="1098"/>
      <c r="IL450" s="1098"/>
      <c r="IM450" s="1098"/>
      <c r="IN450" s="1098"/>
      <c r="IO450" s="1098"/>
      <c r="IP450" s="1098"/>
      <c r="IQ450" s="1098"/>
      <c r="IR450" s="1098"/>
      <c r="IS450" s="1098"/>
      <c r="IT450" s="1098"/>
      <c r="IU450" s="1098"/>
      <c r="IV450" s="1098"/>
      <c r="IW450" s="1098"/>
      <c r="IX450" s="1098"/>
      <c r="IY450" s="1098"/>
      <c r="IZ450" s="1098"/>
      <c r="JA450" s="1098"/>
      <c r="JB450" s="1098"/>
      <c r="JC450" s="1098"/>
      <c r="JD450" s="1098"/>
      <c r="JE450" s="1098"/>
      <c r="JF450" s="1098"/>
      <c r="JG450" s="1098"/>
      <c r="JH450" s="1098"/>
      <c r="JI450" s="1098"/>
      <c r="JJ450" s="1098"/>
      <c r="JK450" s="1098"/>
      <c r="JL450" s="1098"/>
      <c r="JM450" s="1098"/>
      <c r="JN450" s="1098"/>
      <c r="JO450" s="1098"/>
      <c r="JP450" s="1098"/>
      <c r="JQ450" s="1098"/>
      <c r="JR450" s="1098"/>
      <c r="JS450" s="1098"/>
      <c r="JT450" s="1098"/>
      <c r="JU450" s="1098"/>
      <c r="JV450" s="1098"/>
      <c r="JW450" s="1098"/>
      <c r="JX450" s="1098"/>
      <c r="JY450" s="1098"/>
      <c r="JZ450" s="1098"/>
      <c r="KA450" s="1098"/>
      <c r="KB450" s="1099"/>
    </row>
    <row r="451" spans="2:288" ht="15" customHeight="1" x14ac:dyDescent="0.35">
      <c r="B451" s="146" t="str">
        <f t="shared" si="36"/>
        <v>Desk 27</v>
      </c>
      <c r="C451" s="148" t="str">
        <v/>
      </c>
      <c r="D451" s="148" t="str">
        <v/>
      </c>
      <c r="E451" s="148" t="str">
        <v/>
      </c>
      <c r="F451" s="148" t="str">
        <v/>
      </c>
      <c r="G451" s="268" t="str">
        <v/>
      </c>
      <c r="H451" s="1098"/>
      <c r="I451" s="1098"/>
      <c r="J451" s="1098"/>
      <c r="K451" s="1098"/>
      <c r="L451" s="1098"/>
      <c r="M451" s="1098"/>
      <c r="N451" s="1098"/>
      <c r="O451" s="1098"/>
      <c r="P451" s="1098"/>
      <c r="Q451" s="1098"/>
      <c r="R451" s="1098"/>
      <c r="S451" s="1098"/>
      <c r="T451" s="1098"/>
      <c r="U451" s="1098"/>
      <c r="V451" s="1098"/>
      <c r="W451" s="1098"/>
      <c r="X451" s="1098"/>
      <c r="Y451" s="1098"/>
      <c r="Z451" s="1098"/>
      <c r="AA451" s="1098"/>
      <c r="AB451" s="1098"/>
      <c r="AC451" s="1098"/>
      <c r="AD451" s="1098"/>
      <c r="AE451" s="1098"/>
      <c r="AF451" s="1098"/>
      <c r="AG451" s="1098"/>
      <c r="AH451" s="1098"/>
      <c r="AI451" s="1098"/>
      <c r="AJ451" s="1098"/>
      <c r="AK451" s="1098"/>
      <c r="AL451" s="1098"/>
      <c r="AM451" s="1098"/>
      <c r="AN451" s="1098"/>
      <c r="AO451" s="1098"/>
      <c r="AP451" s="1098"/>
      <c r="AQ451" s="1098"/>
      <c r="AR451" s="1098"/>
      <c r="AS451" s="1098"/>
      <c r="AT451" s="1098"/>
      <c r="AU451" s="1098"/>
      <c r="AV451" s="1098"/>
      <c r="AW451" s="1098"/>
      <c r="AX451" s="1098"/>
      <c r="AY451" s="1098"/>
      <c r="AZ451" s="1098"/>
      <c r="BA451" s="1098"/>
      <c r="BB451" s="1098"/>
      <c r="BC451" s="1098"/>
      <c r="BD451" s="1098"/>
      <c r="BE451" s="1098"/>
      <c r="BF451" s="1098"/>
      <c r="BG451" s="1098"/>
      <c r="BH451" s="1098"/>
      <c r="BI451" s="1098"/>
      <c r="BJ451" s="1098"/>
      <c r="BK451" s="1098"/>
      <c r="BL451" s="1098"/>
      <c r="BM451" s="1098"/>
      <c r="BN451" s="1098"/>
      <c r="BO451" s="1098"/>
      <c r="BP451" s="1098"/>
      <c r="BQ451" s="1098"/>
      <c r="BR451" s="1098"/>
      <c r="BS451" s="1098"/>
      <c r="BT451" s="1098"/>
      <c r="BU451" s="1098"/>
      <c r="BV451" s="1098"/>
      <c r="BW451" s="1098"/>
      <c r="BX451" s="1098"/>
      <c r="BY451" s="1098"/>
      <c r="BZ451" s="1098"/>
      <c r="CA451" s="1098"/>
      <c r="CB451" s="1098"/>
      <c r="CC451" s="1098"/>
      <c r="CD451" s="1098"/>
      <c r="CE451" s="1098"/>
      <c r="CF451" s="1098"/>
      <c r="CG451" s="1098"/>
      <c r="CH451" s="1098"/>
      <c r="CI451" s="1098"/>
      <c r="CJ451" s="1098"/>
      <c r="CK451" s="1098"/>
      <c r="CL451" s="1098"/>
      <c r="CM451" s="1098"/>
      <c r="CN451" s="1098"/>
      <c r="CO451" s="1098"/>
      <c r="CP451" s="1098"/>
      <c r="CQ451" s="1098"/>
      <c r="CR451" s="1098"/>
      <c r="CS451" s="1098"/>
      <c r="CT451" s="1098"/>
      <c r="CU451" s="1098"/>
      <c r="CV451" s="1098"/>
      <c r="CW451" s="1098"/>
      <c r="CX451" s="1098"/>
      <c r="CY451" s="1098"/>
      <c r="CZ451" s="1098"/>
      <c r="DA451" s="1098"/>
      <c r="DB451" s="1098"/>
      <c r="DC451" s="1098"/>
      <c r="DD451" s="1098"/>
      <c r="DE451" s="1098"/>
      <c r="DF451" s="1098"/>
      <c r="DG451" s="1098"/>
      <c r="DH451" s="1098"/>
      <c r="DI451" s="1098"/>
      <c r="DJ451" s="1098"/>
      <c r="DK451" s="1098"/>
      <c r="DL451" s="1098"/>
      <c r="DM451" s="1098"/>
      <c r="DN451" s="1098"/>
      <c r="DO451" s="1098"/>
      <c r="DP451" s="1098"/>
      <c r="DQ451" s="1098"/>
      <c r="DR451" s="1098"/>
      <c r="DS451" s="1098"/>
      <c r="DT451" s="1098"/>
      <c r="DU451" s="1098"/>
      <c r="DV451" s="1098"/>
      <c r="DW451" s="1098"/>
      <c r="DX451" s="1098"/>
      <c r="DY451" s="1098"/>
      <c r="DZ451" s="1098"/>
      <c r="EA451" s="1098"/>
      <c r="EB451" s="1098"/>
      <c r="EC451" s="1098"/>
      <c r="ED451" s="1098"/>
      <c r="EE451" s="1098"/>
      <c r="EF451" s="1098"/>
      <c r="EG451" s="1098"/>
      <c r="EH451" s="1098"/>
      <c r="EI451" s="1098"/>
      <c r="EJ451" s="1098"/>
      <c r="EK451" s="1098"/>
      <c r="EL451" s="1098"/>
      <c r="EM451" s="1098"/>
      <c r="EN451" s="1098"/>
      <c r="EO451" s="1098"/>
      <c r="EP451" s="1098"/>
      <c r="EQ451" s="1098"/>
      <c r="ER451" s="1098"/>
      <c r="ES451" s="1098"/>
      <c r="ET451" s="1098"/>
      <c r="EU451" s="1098"/>
      <c r="EV451" s="1098"/>
      <c r="EW451" s="1098"/>
      <c r="EX451" s="1098"/>
      <c r="EY451" s="1098"/>
      <c r="EZ451" s="1098"/>
      <c r="FA451" s="1098"/>
      <c r="FB451" s="1098"/>
      <c r="FC451" s="1098"/>
      <c r="FD451" s="1098"/>
      <c r="FE451" s="1098"/>
      <c r="FF451" s="1098"/>
      <c r="FG451" s="1098"/>
      <c r="FH451" s="1098"/>
      <c r="FI451" s="1098"/>
      <c r="FJ451" s="1098"/>
      <c r="FK451" s="1098"/>
      <c r="FL451" s="1098"/>
      <c r="FM451" s="1098"/>
      <c r="FN451" s="1098"/>
      <c r="FO451" s="1098"/>
      <c r="FP451" s="1098"/>
      <c r="FQ451" s="1098"/>
      <c r="FR451" s="1098"/>
      <c r="FS451" s="1098"/>
      <c r="FT451" s="1098"/>
      <c r="FU451" s="1098"/>
      <c r="FV451" s="1098"/>
      <c r="FW451" s="1098"/>
      <c r="FX451" s="1098"/>
      <c r="FY451" s="1098"/>
      <c r="FZ451" s="1098"/>
      <c r="GA451" s="1098"/>
      <c r="GB451" s="1098"/>
      <c r="GC451" s="1098"/>
      <c r="GD451" s="1098"/>
      <c r="GE451" s="1098"/>
      <c r="GF451" s="1098"/>
      <c r="GG451" s="1098"/>
      <c r="GH451" s="1098"/>
      <c r="GI451" s="1098"/>
      <c r="GJ451" s="1098"/>
      <c r="GK451" s="1098"/>
      <c r="GL451" s="1098"/>
      <c r="GM451" s="1098"/>
      <c r="GN451" s="1098"/>
      <c r="GO451" s="1098"/>
      <c r="GP451" s="1098"/>
      <c r="GQ451" s="1098"/>
      <c r="GR451" s="1098"/>
      <c r="GS451" s="1098"/>
      <c r="GT451" s="1098"/>
      <c r="GU451" s="1098"/>
      <c r="GV451" s="1098"/>
      <c r="GW451" s="1098"/>
      <c r="GX451" s="1098"/>
      <c r="GY451" s="1098"/>
      <c r="GZ451" s="1098"/>
      <c r="HA451" s="1098"/>
      <c r="HB451" s="1098"/>
      <c r="HC451" s="1098"/>
      <c r="HD451" s="1098"/>
      <c r="HE451" s="1098"/>
      <c r="HF451" s="1098"/>
      <c r="HG451" s="1098"/>
      <c r="HH451" s="1098"/>
      <c r="HI451" s="1098"/>
      <c r="HJ451" s="1098"/>
      <c r="HK451" s="1098"/>
      <c r="HL451" s="1098"/>
      <c r="HM451" s="1098"/>
      <c r="HN451" s="1098"/>
      <c r="HO451" s="1098"/>
      <c r="HP451" s="1098"/>
      <c r="HQ451" s="1098"/>
      <c r="HR451" s="1098"/>
      <c r="HS451" s="1098"/>
      <c r="HT451" s="1098"/>
      <c r="HU451" s="1098"/>
      <c r="HV451" s="1098"/>
      <c r="HW451" s="1098"/>
      <c r="HX451" s="1098"/>
      <c r="HY451" s="1098"/>
      <c r="HZ451" s="1098"/>
      <c r="IA451" s="1098"/>
      <c r="IB451" s="1098"/>
      <c r="IC451" s="1098"/>
      <c r="ID451" s="1098"/>
      <c r="IE451" s="1098"/>
      <c r="IF451" s="1098"/>
      <c r="IG451" s="1098"/>
      <c r="IH451" s="1098"/>
      <c r="II451" s="1098"/>
      <c r="IJ451" s="1098"/>
      <c r="IK451" s="1098"/>
      <c r="IL451" s="1098"/>
      <c r="IM451" s="1098"/>
      <c r="IN451" s="1098"/>
      <c r="IO451" s="1098"/>
      <c r="IP451" s="1098"/>
      <c r="IQ451" s="1098"/>
      <c r="IR451" s="1098"/>
      <c r="IS451" s="1098"/>
      <c r="IT451" s="1098"/>
      <c r="IU451" s="1098"/>
      <c r="IV451" s="1098"/>
      <c r="IW451" s="1098"/>
      <c r="IX451" s="1098"/>
      <c r="IY451" s="1098"/>
      <c r="IZ451" s="1098"/>
      <c r="JA451" s="1098"/>
      <c r="JB451" s="1098"/>
      <c r="JC451" s="1098"/>
      <c r="JD451" s="1098"/>
      <c r="JE451" s="1098"/>
      <c r="JF451" s="1098"/>
      <c r="JG451" s="1098"/>
      <c r="JH451" s="1098"/>
      <c r="JI451" s="1098"/>
      <c r="JJ451" s="1098"/>
      <c r="JK451" s="1098"/>
      <c r="JL451" s="1098"/>
      <c r="JM451" s="1098"/>
      <c r="JN451" s="1098"/>
      <c r="JO451" s="1098"/>
      <c r="JP451" s="1098"/>
      <c r="JQ451" s="1098"/>
      <c r="JR451" s="1098"/>
      <c r="JS451" s="1098"/>
      <c r="JT451" s="1098"/>
      <c r="JU451" s="1098"/>
      <c r="JV451" s="1098"/>
      <c r="JW451" s="1098"/>
      <c r="JX451" s="1098"/>
      <c r="JY451" s="1098"/>
      <c r="JZ451" s="1098"/>
      <c r="KA451" s="1098"/>
      <c r="KB451" s="1099"/>
    </row>
    <row r="452" spans="2:288" ht="15" customHeight="1" x14ac:dyDescent="0.35">
      <c r="B452" s="146" t="str">
        <f t="shared" si="36"/>
        <v>Desk 28</v>
      </c>
      <c r="C452" s="148" t="str">
        <v/>
      </c>
      <c r="D452" s="148" t="str">
        <v/>
      </c>
      <c r="E452" s="148" t="str">
        <v/>
      </c>
      <c r="F452" s="148" t="str">
        <v/>
      </c>
      <c r="G452" s="268" t="str">
        <v/>
      </c>
      <c r="H452" s="1098"/>
      <c r="I452" s="1098"/>
      <c r="J452" s="1098"/>
      <c r="K452" s="1098"/>
      <c r="L452" s="1098"/>
      <c r="M452" s="1098"/>
      <c r="N452" s="1098"/>
      <c r="O452" s="1098"/>
      <c r="P452" s="1098"/>
      <c r="Q452" s="1098"/>
      <c r="R452" s="1098"/>
      <c r="S452" s="1098"/>
      <c r="T452" s="1098"/>
      <c r="U452" s="1098"/>
      <c r="V452" s="1098"/>
      <c r="W452" s="1098"/>
      <c r="X452" s="1098"/>
      <c r="Y452" s="1098"/>
      <c r="Z452" s="1098"/>
      <c r="AA452" s="1098"/>
      <c r="AB452" s="1098"/>
      <c r="AC452" s="1098"/>
      <c r="AD452" s="1098"/>
      <c r="AE452" s="1098"/>
      <c r="AF452" s="1098"/>
      <c r="AG452" s="1098"/>
      <c r="AH452" s="1098"/>
      <c r="AI452" s="1098"/>
      <c r="AJ452" s="1098"/>
      <c r="AK452" s="1098"/>
      <c r="AL452" s="1098"/>
      <c r="AM452" s="1098"/>
      <c r="AN452" s="1098"/>
      <c r="AO452" s="1098"/>
      <c r="AP452" s="1098"/>
      <c r="AQ452" s="1098"/>
      <c r="AR452" s="1098"/>
      <c r="AS452" s="1098"/>
      <c r="AT452" s="1098"/>
      <c r="AU452" s="1098"/>
      <c r="AV452" s="1098"/>
      <c r="AW452" s="1098"/>
      <c r="AX452" s="1098"/>
      <c r="AY452" s="1098"/>
      <c r="AZ452" s="1098"/>
      <c r="BA452" s="1098"/>
      <c r="BB452" s="1098"/>
      <c r="BC452" s="1098"/>
      <c r="BD452" s="1098"/>
      <c r="BE452" s="1098"/>
      <c r="BF452" s="1098"/>
      <c r="BG452" s="1098"/>
      <c r="BH452" s="1098"/>
      <c r="BI452" s="1098"/>
      <c r="BJ452" s="1098"/>
      <c r="BK452" s="1098"/>
      <c r="BL452" s="1098"/>
      <c r="BM452" s="1098"/>
      <c r="BN452" s="1098"/>
      <c r="BO452" s="1098"/>
      <c r="BP452" s="1098"/>
      <c r="BQ452" s="1098"/>
      <c r="BR452" s="1098"/>
      <c r="BS452" s="1098"/>
      <c r="BT452" s="1098"/>
      <c r="BU452" s="1098"/>
      <c r="BV452" s="1098"/>
      <c r="BW452" s="1098"/>
      <c r="BX452" s="1098"/>
      <c r="BY452" s="1098"/>
      <c r="BZ452" s="1098"/>
      <c r="CA452" s="1098"/>
      <c r="CB452" s="1098"/>
      <c r="CC452" s="1098"/>
      <c r="CD452" s="1098"/>
      <c r="CE452" s="1098"/>
      <c r="CF452" s="1098"/>
      <c r="CG452" s="1098"/>
      <c r="CH452" s="1098"/>
      <c r="CI452" s="1098"/>
      <c r="CJ452" s="1098"/>
      <c r="CK452" s="1098"/>
      <c r="CL452" s="1098"/>
      <c r="CM452" s="1098"/>
      <c r="CN452" s="1098"/>
      <c r="CO452" s="1098"/>
      <c r="CP452" s="1098"/>
      <c r="CQ452" s="1098"/>
      <c r="CR452" s="1098"/>
      <c r="CS452" s="1098"/>
      <c r="CT452" s="1098"/>
      <c r="CU452" s="1098"/>
      <c r="CV452" s="1098"/>
      <c r="CW452" s="1098"/>
      <c r="CX452" s="1098"/>
      <c r="CY452" s="1098"/>
      <c r="CZ452" s="1098"/>
      <c r="DA452" s="1098"/>
      <c r="DB452" s="1098"/>
      <c r="DC452" s="1098"/>
      <c r="DD452" s="1098"/>
      <c r="DE452" s="1098"/>
      <c r="DF452" s="1098"/>
      <c r="DG452" s="1098"/>
      <c r="DH452" s="1098"/>
      <c r="DI452" s="1098"/>
      <c r="DJ452" s="1098"/>
      <c r="DK452" s="1098"/>
      <c r="DL452" s="1098"/>
      <c r="DM452" s="1098"/>
      <c r="DN452" s="1098"/>
      <c r="DO452" s="1098"/>
      <c r="DP452" s="1098"/>
      <c r="DQ452" s="1098"/>
      <c r="DR452" s="1098"/>
      <c r="DS452" s="1098"/>
      <c r="DT452" s="1098"/>
      <c r="DU452" s="1098"/>
      <c r="DV452" s="1098"/>
      <c r="DW452" s="1098"/>
      <c r="DX452" s="1098"/>
      <c r="DY452" s="1098"/>
      <c r="DZ452" s="1098"/>
      <c r="EA452" s="1098"/>
      <c r="EB452" s="1098"/>
      <c r="EC452" s="1098"/>
      <c r="ED452" s="1098"/>
      <c r="EE452" s="1098"/>
      <c r="EF452" s="1098"/>
      <c r="EG452" s="1098"/>
      <c r="EH452" s="1098"/>
      <c r="EI452" s="1098"/>
      <c r="EJ452" s="1098"/>
      <c r="EK452" s="1098"/>
      <c r="EL452" s="1098"/>
      <c r="EM452" s="1098"/>
      <c r="EN452" s="1098"/>
      <c r="EO452" s="1098"/>
      <c r="EP452" s="1098"/>
      <c r="EQ452" s="1098"/>
      <c r="ER452" s="1098"/>
      <c r="ES452" s="1098"/>
      <c r="ET452" s="1098"/>
      <c r="EU452" s="1098"/>
      <c r="EV452" s="1098"/>
      <c r="EW452" s="1098"/>
      <c r="EX452" s="1098"/>
      <c r="EY452" s="1098"/>
      <c r="EZ452" s="1098"/>
      <c r="FA452" s="1098"/>
      <c r="FB452" s="1098"/>
      <c r="FC452" s="1098"/>
      <c r="FD452" s="1098"/>
      <c r="FE452" s="1098"/>
      <c r="FF452" s="1098"/>
      <c r="FG452" s="1098"/>
      <c r="FH452" s="1098"/>
      <c r="FI452" s="1098"/>
      <c r="FJ452" s="1098"/>
      <c r="FK452" s="1098"/>
      <c r="FL452" s="1098"/>
      <c r="FM452" s="1098"/>
      <c r="FN452" s="1098"/>
      <c r="FO452" s="1098"/>
      <c r="FP452" s="1098"/>
      <c r="FQ452" s="1098"/>
      <c r="FR452" s="1098"/>
      <c r="FS452" s="1098"/>
      <c r="FT452" s="1098"/>
      <c r="FU452" s="1098"/>
      <c r="FV452" s="1098"/>
      <c r="FW452" s="1098"/>
      <c r="FX452" s="1098"/>
      <c r="FY452" s="1098"/>
      <c r="FZ452" s="1098"/>
      <c r="GA452" s="1098"/>
      <c r="GB452" s="1098"/>
      <c r="GC452" s="1098"/>
      <c r="GD452" s="1098"/>
      <c r="GE452" s="1098"/>
      <c r="GF452" s="1098"/>
      <c r="GG452" s="1098"/>
      <c r="GH452" s="1098"/>
      <c r="GI452" s="1098"/>
      <c r="GJ452" s="1098"/>
      <c r="GK452" s="1098"/>
      <c r="GL452" s="1098"/>
      <c r="GM452" s="1098"/>
      <c r="GN452" s="1098"/>
      <c r="GO452" s="1098"/>
      <c r="GP452" s="1098"/>
      <c r="GQ452" s="1098"/>
      <c r="GR452" s="1098"/>
      <c r="GS452" s="1098"/>
      <c r="GT452" s="1098"/>
      <c r="GU452" s="1098"/>
      <c r="GV452" s="1098"/>
      <c r="GW452" s="1098"/>
      <c r="GX452" s="1098"/>
      <c r="GY452" s="1098"/>
      <c r="GZ452" s="1098"/>
      <c r="HA452" s="1098"/>
      <c r="HB452" s="1098"/>
      <c r="HC452" s="1098"/>
      <c r="HD452" s="1098"/>
      <c r="HE452" s="1098"/>
      <c r="HF452" s="1098"/>
      <c r="HG452" s="1098"/>
      <c r="HH452" s="1098"/>
      <c r="HI452" s="1098"/>
      <c r="HJ452" s="1098"/>
      <c r="HK452" s="1098"/>
      <c r="HL452" s="1098"/>
      <c r="HM452" s="1098"/>
      <c r="HN452" s="1098"/>
      <c r="HO452" s="1098"/>
      <c r="HP452" s="1098"/>
      <c r="HQ452" s="1098"/>
      <c r="HR452" s="1098"/>
      <c r="HS452" s="1098"/>
      <c r="HT452" s="1098"/>
      <c r="HU452" s="1098"/>
      <c r="HV452" s="1098"/>
      <c r="HW452" s="1098"/>
      <c r="HX452" s="1098"/>
      <c r="HY452" s="1098"/>
      <c r="HZ452" s="1098"/>
      <c r="IA452" s="1098"/>
      <c r="IB452" s="1098"/>
      <c r="IC452" s="1098"/>
      <c r="ID452" s="1098"/>
      <c r="IE452" s="1098"/>
      <c r="IF452" s="1098"/>
      <c r="IG452" s="1098"/>
      <c r="IH452" s="1098"/>
      <c r="II452" s="1098"/>
      <c r="IJ452" s="1098"/>
      <c r="IK452" s="1098"/>
      <c r="IL452" s="1098"/>
      <c r="IM452" s="1098"/>
      <c r="IN452" s="1098"/>
      <c r="IO452" s="1098"/>
      <c r="IP452" s="1098"/>
      <c r="IQ452" s="1098"/>
      <c r="IR452" s="1098"/>
      <c r="IS452" s="1098"/>
      <c r="IT452" s="1098"/>
      <c r="IU452" s="1098"/>
      <c r="IV452" s="1098"/>
      <c r="IW452" s="1098"/>
      <c r="IX452" s="1098"/>
      <c r="IY452" s="1098"/>
      <c r="IZ452" s="1098"/>
      <c r="JA452" s="1098"/>
      <c r="JB452" s="1098"/>
      <c r="JC452" s="1098"/>
      <c r="JD452" s="1098"/>
      <c r="JE452" s="1098"/>
      <c r="JF452" s="1098"/>
      <c r="JG452" s="1098"/>
      <c r="JH452" s="1098"/>
      <c r="JI452" s="1098"/>
      <c r="JJ452" s="1098"/>
      <c r="JK452" s="1098"/>
      <c r="JL452" s="1098"/>
      <c r="JM452" s="1098"/>
      <c r="JN452" s="1098"/>
      <c r="JO452" s="1098"/>
      <c r="JP452" s="1098"/>
      <c r="JQ452" s="1098"/>
      <c r="JR452" s="1098"/>
      <c r="JS452" s="1098"/>
      <c r="JT452" s="1098"/>
      <c r="JU452" s="1098"/>
      <c r="JV452" s="1098"/>
      <c r="JW452" s="1098"/>
      <c r="JX452" s="1098"/>
      <c r="JY452" s="1098"/>
      <c r="JZ452" s="1098"/>
      <c r="KA452" s="1098"/>
      <c r="KB452" s="1099"/>
    </row>
    <row r="453" spans="2:288" ht="15" customHeight="1" x14ac:dyDescent="0.35">
      <c r="B453" s="146" t="str">
        <f t="shared" si="36"/>
        <v>Desk 29</v>
      </c>
      <c r="C453" s="148" t="str">
        <v/>
      </c>
      <c r="D453" s="148" t="str">
        <v/>
      </c>
      <c r="E453" s="148" t="str">
        <v/>
      </c>
      <c r="F453" s="148" t="str">
        <v/>
      </c>
      <c r="G453" s="268" t="str">
        <v/>
      </c>
      <c r="H453" s="1098"/>
      <c r="I453" s="1098"/>
      <c r="J453" s="1098"/>
      <c r="K453" s="1098"/>
      <c r="L453" s="1098"/>
      <c r="M453" s="1098"/>
      <c r="N453" s="1098"/>
      <c r="O453" s="1098"/>
      <c r="P453" s="1098"/>
      <c r="Q453" s="1098"/>
      <c r="R453" s="1098"/>
      <c r="S453" s="1098"/>
      <c r="T453" s="1098"/>
      <c r="U453" s="1098"/>
      <c r="V453" s="1098"/>
      <c r="W453" s="1098"/>
      <c r="X453" s="1098"/>
      <c r="Y453" s="1098"/>
      <c r="Z453" s="1098"/>
      <c r="AA453" s="1098"/>
      <c r="AB453" s="1098"/>
      <c r="AC453" s="1098"/>
      <c r="AD453" s="1098"/>
      <c r="AE453" s="1098"/>
      <c r="AF453" s="1098"/>
      <c r="AG453" s="1098"/>
      <c r="AH453" s="1098"/>
      <c r="AI453" s="1098"/>
      <c r="AJ453" s="1098"/>
      <c r="AK453" s="1098"/>
      <c r="AL453" s="1098"/>
      <c r="AM453" s="1098"/>
      <c r="AN453" s="1098"/>
      <c r="AO453" s="1098"/>
      <c r="AP453" s="1098"/>
      <c r="AQ453" s="1098"/>
      <c r="AR453" s="1098"/>
      <c r="AS453" s="1098"/>
      <c r="AT453" s="1098"/>
      <c r="AU453" s="1098"/>
      <c r="AV453" s="1098"/>
      <c r="AW453" s="1098"/>
      <c r="AX453" s="1098"/>
      <c r="AY453" s="1098"/>
      <c r="AZ453" s="1098"/>
      <c r="BA453" s="1098"/>
      <c r="BB453" s="1098"/>
      <c r="BC453" s="1098"/>
      <c r="BD453" s="1098"/>
      <c r="BE453" s="1098"/>
      <c r="BF453" s="1098"/>
      <c r="BG453" s="1098"/>
      <c r="BH453" s="1098"/>
      <c r="BI453" s="1098"/>
      <c r="BJ453" s="1098"/>
      <c r="BK453" s="1098"/>
      <c r="BL453" s="1098"/>
      <c r="BM453" s="1098"/>
      <c r="BN453" s="1098"/>
      <c r="BO453" s="1098"/>
      <c r="BP453" s="1098"/>
      <c r="BQ453" s="1098"/>
      <c r="BR453" s="1098"/>
      <c r="BS453" s="1098"/>
      <c r="BT453" s="1098"/>
      <c r="BU453" s="1098"/>
      <c r="BV453" s="1098"/>
      <c r="BW453" s="1098"/>
      <c r="BX453" s="1098"/>
      <c r="BY453" s="1098"/>
      <c r="BZ453" s="1098"/>
      <c r="CA453" s="1098"/>
      <c r="CB453" s="1098"/>
      <c r="CC453" s="1098"/>
      <c r="CD453" s="1098"/>
      <c r="CE453" s="1098"/>
      <c r="CF453" s="1098"/>
      <c r="CG453" s="1098"/>
      <c r="CH453" s="1098"/>
      <c r="CI453" s="1098"/>
      <c r="CJ453" s="1098"/>
      <c r="CK453" s="1098"/>
      <c r="CL453" s="1098"/>
      <c r="CM453" s="1098"/>
      <c r="CN453" s="1098"/>
      <c r="CO453" s="1098"/>
      <c r="CP453" s="1098"/>
      <c r="CQ453" s="1098"/>
      <c r="CR453" s="1098"/>
      <c r="CS453" s="1098"/>
      <c r="CT453" s="1098"/>
      <c r="CU453" s="1098"/>
      <c r="CV453" s="1098"/>
      <c r="CW453" s="1098"/>
      <c r="CX453" s="1098"/>
      <c r="CY453" s="1098"/>
      <c r="CZ453" s="1098"/>
      <c r="DA453" s="1098"/>
      <c r="DB453" s="1098"/>
      <c r="DC453" s="1098"/>
      <c r="DD453" s="1098"/>
      <c r="DE453" s="1098"/>
      <c r="DF453" s="1098"/>
      <c r="DG453" s="1098"/>
      <c r="DH453" s="1098"/>
      <c r="DI453" s="1098"/>
      <c r="DJ453" s="1098"/>
      <c r="DK453" s="1098"/>
      <c r="DL453" s="1098"/>
      <c r="DM453" s="1098"/>
      <c r="DN453" s="1098"/>
      <c r="DO453" s="1098"/>
      <c r="DP453" s="1098"/>
      <c r="DQ453" s="1098"/>
      <c r="DR453" s="1098"/>
      <c r="DS453" s="1098"/>
      <c r="DT453" s="1098"/>
      <c r="DU453" s="1098"/>
      <c r="DV453" s="1098"/>
      <c r="DW453" s="1098"/>
      <c r="DX453" s="1098"/>
      <c r="DY453" s="1098"/>
      <c r="DZ453" s="1098"/>
      <c r="EA453" s="1098"/>
      <c r="EB453" s="1098"/>
      <c r="EC453" s="1098"/>
      <c r="ED453" s="1098"/>
      <c r="EE453" s="1098"/>
      <c r="EF453" s="1098"/>
      <c r="EG453" s="1098"/>
      <c r="EH453" s="1098"/>
      <c r="EI453" s="1098"/>
      <c r="EJ453" s="1098"/>
      <c r="EK453" s="1098"/>
      <c r="EL453" s="1098"/>
      <c r="EM453" s="1098"/>
      <c r="EN453" s="1098"/>
      <c r="EO453" s="1098"/>
      <c r="EP453" s="1098"/>
      <c r="EQ453" s="1098"/>
      <c r="ER453" s="1098"/>
      <c r="ES453" s="1098"/>
      <c r="ET453" s="1098"/>
      <c r="EU453" s="1098"/>
      <c r="EV453" s="1098"/>
      <c r="EW453" s="1098"/>
      <c r="EX453" s="1098"/>
      <c r="EY453" s="1098"/>
      <c r="EZ453" s="1098"/>
      <c r="FA453" s="1098"/>
      <c r="FB453" s="1098"/>
      <c r="FC453" s="1098"/>
      <c r="FD453" s="1098"/>
      <c r="FE453" s="1098"/>
      <c r="FF453" s="1098"/>
      <c r="FG453" s="1098"/>
      <c r="FH453" s="1098"/>
      <c r="FI453" s="1098"/>
      <c r="FJ453" s="1098"/>
      <c r="FK453" s="1098"/>
      <c r="FL453" s="1098"/>
      <c r="FM453" s="1098"/>
      <c r="FN453" s="1098"/>
      <c r="FO453" s="1098"/>
      <c r="FP453" s="1098"/>
      <c r="FQ453" s="1098"/>
      <c r="FR453" s="1098"/>
      <c r="FS453" s="1098"/>
      <c r="FT453" s="1098"/>
      <c r="FU453" s="1098"/>
      <c r="FV453" s="1098"/>
      <c r="FW453" s="1098"/>
      <c r="FX453" s="1098"/>
      <c r="FY453" s="1098"/>
      <c r="FZ453" s="1098"/>
      <c r="GA453" s="1098"/>
      <c r="GB453" s="1098"/>
      <c r="GC453" s="1098"/>
      <c r="GD453" s="1098"/>
      <c r="GE453" s="1098"/>
      <c r="GF453" s="1098"/>
      <c r="GG453" s="1098"/>
      <c r="GH453" s="1098"/>
      <c r="GI453" s="1098"/>
      <c r="GJ453" s="1098"/>
      <c r="GK453" s="1098"/>
      <c r="GL453" s="1098"/>
      <c r="GM453" s="1098"/>
      <c r="GN453" s="1098"/>
      <c r="GO453" s="1098"/>
      <c r="GP453" s="1098"/>
      <c r="GQ453" s="1098"/>
      <c r="GR453" s="1098"/>
      <c r="GS453" s="1098"/>
      <c r="GT453" s="1098"/>
      <c r="GU453" s="1098"/>
      <c r="GV453" s="1098"/>
      <c r="GW453" s="1098"/>
      <c r="GX453" s="1098"/>
      <c r="GY453" s="1098"/>
      <c r="GZ453" s="1098"/>
      <c r="HA453" s="1098"/>
      <c r="HB453" s="1098"/>
      <c r="HC453" s="1098"/>
      <c r="HD453" s="1098"/>
      <c r="HE453" s="1098"/>
      <c r="HF453" s="1098"/>
      <c r="HG453" s="1098"/>
      <c r="HH453" s="1098"/>
      <c r="HI453" s="1098"/>
      <c r="HJ453" s="1098"/>
      <c r="HK453" s="1098"/>
      <c r="HL453" s="1098"/>
      <c r="HM453" s="1098"/>
      <c r="HN453" s="1098"/>
      <c r="HO453" s="1098"/>
      <c r="HP453" s="1098"/>
      <c r="HQ453" s="1098"/>
      <c r="HR453" s="1098"/>
      <c r="HS453" s="1098"/>
      <c r="HT453" s="1098"/>
      <c r="HU453" s="1098"/>
      <c r="HV453" s="1098"/>
      <c r="HW453" s="1098"/>
      <c r="HX453" s="1098"/>
      <c r="HY453" s="1098"/>
      <c r="HZ453" s="1098"/>
      <c r="IA453" s="1098"/>
      <c r="IB453" s="1098"/>
      <c r="IC453" s="1098"/>
      <c r="ID453" s="1098"/>
      <c r="IE453" s="1098"/>
      <c r="IF453" s="1098"/>
      <c r="IG453" s="1098"/>
      <c r="IH453" s="1098"/>
      <c r="II453" s="1098"/>
      <c r="IJ453" s="1098"/>
      <c r="IK453" s="1098"/>
      <c r="IL453" s="1098"/>
      <c r="IM453" s="1098"/>
      <c r="IN453" s="1098"/>
      <c r="IO453" s="1098"/>
      <c r="IP453" s="1098"/>
      <c r="IQ453" s="1098"/>
      <c r="IR453" s="1098"/>
      <c r="IS453" s="1098"/>
      <c r="IT453" s="1098"/>
      <c r="IU453" s="1098"/>
      <c r="IV453" s="1098"/>
      <c r="IW453" s="1098"/>
      <c r="IX453" s="1098"/>
      <c r="IY453" s="1098"/>
      <c r="IZ453" s="1098"/>
      <c r="JA453" s="1098"/>
      <c r="JB453" s="1098"/>
      <c r="JC453" s="1098"/>
      <c r="JD453" s="1098"/>
      <c r="JE453" s="1098"/>
      <c r="JF453" s="1098"/>
      <c r="JG453" s="1098"/>
      <c r="JH453" s="1098"/>
      <c r="JI453" s="1098"/>
      <c r="JJ453" s="1098"/>
      <c r="JK453" s="1098"/>
      <c r="JL453" s="1098"/>
      <c r="JM453" s="1098"/>
      <c r="JN453" s="1098"/>
      <c r="JO453" s="1098"/>
      <c r="JP453" s="1098"/>
      <c r="JQ453" s="1098"/>
      <c r="JR453" s="1098"/>
      <c r="JS453" s="1098"/>
      <c r="JT453" s="1098"/>
      <c r="JU453" s="1098"/>
      <c r="JV453" s="1098"/>
      <c r="JW453" s="1098"/>
      <c r="JX453" s="1098"/>
      <c r="JY453" s="1098"/>
      <c r="JZ453" s="1098"/>
      <c r="KA453" s="1098"/>
      <c r="KB453" s="1099"/>
    </row>
    <row r="454" spans="2:288" ht="15" customHeight="1" x14ac:dyDescent="0.35">
      <c r="B454" s="146" t="str">
        <f t="shared" si="36"/>
        <v>Desk 30</v>
      </c>
      <c r="C454" s="148" t="str">
        <v/>
      </c>
      <c r="D454" s="148" t="str">
        <v/>
      </c>
      <c r="E454" s="148" t="str">
        <v/>
      </c>
      <c r="F454" s="148" t="str">
        <v/>
      </c>
      <c r="G454" s="268" t="str">
        <v/>
      </c>
      <c r="H454" s="1098"/>
      <c r="I454" s="1098"/>
      <c r="J454" s="1098"/>
      <c r="K454" s="1098"/>
      <c r="L454" s="1098"/>
      <c r="M454" s="1098"/>
      <c r="N454" s="1098"/>
      <c r="O454" s="1098"/>
      <c r="P454" s="1098"/>
      <c r="Q454" s="1098"/>
      <c r="R454" s="1098"/>
      <c r="S454" s="1098"/>
      <c r="T454" s="1098"/>
      <c r="U454" s="1098"/>
      <c r="V454" s="1098"/>
      <c r="W454" s="1098"/>
      <c r="X454" s="1098"/>
      <c r="Y454" s="1098"/>
      <c r="Z454" s="1098"/>
      <c r="AA454" s="1098"/>
      <c r="AB454" s="1098"/>
      <c r="AC454" s="1098"/>
      <c r="AD454" s="1098"/>
      <c r="AE454" s="1098"/>
      <c r="AF454" s="1098"/>
      <c r="AG454" s="1098"/>
      <c r="AH454" s="1098"/>
      <c r="AI454" s="1098"/>
      <c r="AJ454" s="1098"/>
      <c r="AK454" s="1098"/>
      <c r="AL454" s="1098"/>
      <c r="AM454" s="1098"/>
      <c r="AN454" s="1098"/>
      <c r="AO454" s="1098"/>
      <c r="AP454" s="1098"/>
      <c r="AQ454" s="1098"/>
      <c r="AR454" s="1098"/>
      <c r="AS454" s="1098"/>
      <c r="AT454" s="1098"/>
      <c r="AU454" s="1098"/>
      <c r="AV454" s="1098"/>
      <c r="AW454" s="1098"/>
      <c r="AX454" s="1098"/>
      <c r="AY454" s="1098"/>
      <c r="AZ454" s="1098"/>
      <c r="BA454" s="1098"/>
      <c r="BB454" s="1098"/>
      <c r="BC454" s="1098"/>
      <c r="BD454" s="1098"/>
      <c r="BE454" s="1098"/>
      <c r="BF454" s="1098"/>
      <c r="BG454" s="1098"/>
      <c r="BH454" s="1098"/>
      <c r="BI454" s="1098"/>
      <c r="BJ454" s="1098"/>
      <c r="BK454" s="1098"/>
      <c r="BL454" s="1098"/>
      <c r="BM454" s="1098"/>
      <c r="BN454" s="1098"/>
      <c r="BO454" s="1098"/>
      <c r="BP454" s="1098"/>
      <c r="BQ454" s="1098"/>
      <c r="BR454" s="1098"/>
      <c r="BS454" s="1098"/>
      <c r="BT454" s="1098"/>
      <c r="BU454" s="1098"/>
      <c r="BV454" s="1098"/>
      <c r="BW454" s="1098"/>
      <c r="BX454" s="1098"/>
      <c r="BY454" s="1098"/>
      <c r="BZ454" s="1098"/>
      <c r="CA454" s="1098"/>
      <c r="CB454" s="1098"/>
      <c r="CC454" s="1098"/>
      <c r="CD454" s="1098"/>
      <c r="CE454" s="1098"/>
      <c r="CF454" s="1098"/>
      <c r="CG454" s="1098"/>
      <c r="CH454" s="1098"/>
      <c r="CI454" s="1098"/>
      <c r="CJ454" s="1098"/>
      <c r="CK454" s="1098"/>
      <c r="CL454" s="1098"/>
      <c r="CM454" s="1098"/>
      <c r="CN454" s="1098"/>
      <c r="CO454" s="1098"/>
      <c r="CP454" s="1098"/>
      <c r="CQ454" s="1098"/>
      <c r="CR454" s="1098"/>
      <c r="CS454" s="1098"/>
      <c r="CT454" s="1098"/>
      <c r="CU454" s="1098"/>
      <c r="CV454" s="1098"/>
      <c r="CW454" s="1098"/>
      <c r="CX454" s="1098"/>
      <c r="CY454" s="1098"/>
      <c r="CZ454" s="1098"/>
      <c r="DA454" s="1098"/>
      <c r="DB454" s="1098"/>
      <c r="DC454" s="1098"/>
      <c r="DD454" s="1098"/>
      <c r="DE454" s="1098"/>
      <c r="DF454" s="1098"/>
      <c r="DG454" s="1098"/>
      <c r="DH454" s="1098"/>
      <c r="DI454" s="1098"/>
      <c r="DJ454" s="1098"/>
      <c r="DK454" s="1098"/>
      <c r="DL454" s="1098"/>
      <c r="DM454" s="1098"/>
      <c r="DN454" s="1098"/>
      <c r="DO454" s="1098"/>
      <c r="DP454" s="1098"/>
      <c r="DQ454" s="1098"/>
      <c r="DR454" s="1098"/>
      <c r="DS454" s="1098"/>
      <c r="DT454" s="1098"/>
      <c r="DU454" s="1098"/>
      <c r="DV454" s="1098"/>
      <c r="DW454" s="1098"/>
      <c r="DX454" s="1098"/>
      <c r="DY454" s="1098"/>
      <c r="DZ454" s="1098"/>
      <c r="EA454" s="1098"/>
      <c r="EB454" s="1098"/>
      <c r="EC454" s="1098"/>
      <c r="ED454" s="1098"/>
      <c r="EE454" s="1098"/>
      <c r="EF454" s="1098"/>
      <c r="EG454" s="1098"/>
      <c r="EH454" s="1098"/>
      <c r="EI454" s="1098"/>
      <c r="EJ454" s="1098"/>
      <c r="EK454" s="1098"/>
      <c r="EL454" s="1098"/>
      <c r="EM454" s="1098"/>
      <c r="EN454" s="1098"/>
      <c r="EO454" s="1098"/>
      <c r="EP454" s="1098"/>
      <c r="EQ454" s="1098"/>
      <c r="ER454" s="1098"/>
      <c r="ES454" s="1098"/>
      <c r="ET454" s="1098"/>
      <c r="EU454" s="1098"/>
      <c r="EV454" s="1098"/>
      <c r="EW454" s="1098"/>
      <c r="EX454" s="1098"/>
      <c r="EY454" s="1098"/>
      <c r="EZ454" s="1098"/>
      <c r="FA454" s="1098"/>
      <c r="FB454" s="1098"/>
      <c r="FC454" s="1098"/>
      <c r="FD454" s="1098"/>
      <c r="FE454" s="1098"/>
      <c r="FF454" s="1098"/>
      <c r="FG454" s="1098"/>
      <c r="FH454" s="1098"/>
      <c r="FI454" s="1098"/>
      <c r="FJ454" s="1098"/>
      <c r="FK454" s="1098"/>
      <c r="FL454" s="1098"/>
      <c r="FM454" s="1098"/>
      <c r="FN454" s="1098"/>
      <c r="FO454" s="1098"/>
      <c r="FP454" s="1098"/>
      <c r="FQ454" s="1098"/>
      <c r="FR454" s="1098"/>
      <c r="FS454" s="1098"/>
      <c r="FT454" s="1098"/>
      <c r="FU454" s="1098"/>
      <c r="FV454" s="1098"/>
      <c r="FW454" s="1098"/>
      <c r="FX454" s="1098"/>
      <c r="FY454" s="1098"/>
      <c r="FZ454" s="1098"/>
      <c r="GA454" s="1098"/>
      <c r="GB454" s="1098"/>
      <c r="GC454" s="1098"/>
      <c r="GD454" s="1098"/>
      <c r="GE454" s="1098"/>
      <c r="GF454" s="1098"/>
      <c r="GG454" s="1098"/>
      <c r="GH454" s="1098"/>
      <c r="GI454" s="1098"/>
      <c r="GJ454" s="1098"/>
      <c r="GK454" s="1098"/>
      <c r="GL454" s="1098"/>
      <c r="GM454" s="1098"/>
      <c r="GN454" s="1098"/>
      <c r="GO454" s="1098"/>
      <c r="GP454" s="1098"/>
      <c r="GQ454" s="1098"/>
      <c r="GR454" s="1098"/>
      <c r="GS454" s="1098"/>
      <c r="GT454" s="1098"/>
      <c r="GU454" s="1098"/>
      <c r="GV454" s="1098"/>
      <c r="GW454" s="1098"/>
      <c r="GX454" s="1098"/>
      <c r="GY454" s="1098"/>
      <c r="GZ454" s="1098"/>
      <c r="HA454" s="1098"/>
      <c r="HB454" s="1098"/>
      <c r="HC454" s="1098"/>
      <c r="HD454" s="1098"/>
      <c r="HE454" s="1098"/>
      <c r="HF454" s="1098"/>
      <c r="HG454" s="1098"/>
      <c r="HH454" s="1098"/>
      <c r="HI454" s="1098"/>
      <c r="HJ454" s="1098"/>
      <c r="HK454" s="1098"/>
      <c r="HL454" s="1098"/>
      <c r="HM454" s="1098"/>
      <c r="HN454" s="1098"/>
      <c r="HO454" s="1098"/>
      <c r="HP454" s="1098"/>
      <c r="HQ454" s="1098"/>
      <c r="HR454" s="1098"/>
      <c r="HS454" s="1098"/>
      <c r="HT454" s="1098"/>
      <c r="HU454" s="1098"/>
      <c r="HV454" s="1098"/>
      <c r="HW454" s="1098"/>
      <c r="HX454" s="1098"/>
      <c r="HY454" s="1098"/>
      <c r="HZ454" s="1098"/>
      <c r="IA454" s="1098"/>
      <c r="IB454" s="1098"/>
      <c r="IC454" s="1098"/>
      <c r="ID454" s="1098"/>
      <c r="IE454" s="1098"/>
      <c r="IF454" s="1098"/>
      <c r="IG454" s="1098"/>
      <c r="IH454" s="1098"/>
      <c r="II454" s="1098"/>
      <c r="IJ454" s="1098"/>
      <c r="IK454" s="1098"/>
      <c r="IL454" s="1098"/>
      <c r="IM454" s="1098"/>
      <c r="IN454" s="1098"/>
      <c r="IO454" s="1098"/>
      <c r="IP454" s="1098"/>
      <c r="IQ454" s="1098"/>
      <c r="IR454" s="1098"/>
      <c r="IS454" s="1098"/>
      <c r="IT454" s="1098"/>
      <c r="IU454" s="1098"/>
      <c r="IV454" s="1098"/>
      <c r="IW454" s="1098"/>
      <c r="IX454" s="1098"/>
      <c r="IY454" s="1098"/>
      <c r="IZ454" s="1098"/>
      <c r="JA454" s="1098"/>
      <c r="JB454" s="1098"/>
      <c r="JC454" s="1098"/>
      <c r="JD454" s="1098"/>
      <c r="JE454" s="1098"/>
      <c r="JF454" s="1098"/>
      <c r="JG454" s="1098"/>
      <c r="JH454" s="1098"/>
      <c r="JI454" s="1098"/>
      <c r="JJ454" s="1098"/>
      <c r="JK454" s="1098"/>
      <c r="JL454" s="1098"/>
      <c r="JM454" s="1098"/>
      <c r="JN454" s="1098"/>
      <c r="JO454" s="1098"/>
      <c r="JP454" s="1098"/>
      <c r="JQ454" s="1098"/>
      <c r="JR454" s="1098"/>
      <c r="JS454" s="1098"/>
      <c r="JT454" s="1098"/>
      <c r="JU454" s="1098"/>
      <c r="JV454" s="1098"/>
      <c r="JW454" s="1098"/>
      <c r="JX454" s="1098"/>
      <c r="JY454" s="1098"/>
      <c r="JZ454" s="1098"/>
      <c r="KA454" s="1098"/>
      <c r="KB454" s="1099"/>
    </row>
    <row r="455" spans="2:288" ht="15" customHeight="1" x14ac:dyDescent="0.35">
      <c r="B455" s="146" t="str">
        <f t="shared" si="36"/>
        <v>Desk 31</v>
      </c>
      <c r="C455" s="148" t="str">
        <v/>
      </c>
      <c r="D455" s="148" t="str">
        <v/>
      </c>
      <c r="E455" s="148" t="str">
        <v/>
      </c>
      <c r="F455" s="148" t="str">
        <v/>
      </c>
      <c r="G455" s="268" t="str">
        <v/>
      </c>
      <c r="H455" s="1098"/>
      <c r="I455" s="1098"/>
      <c r="J455" s="1098"/>
      <c r="K455" s="1098"/>
      <c r="L455" s="1098"/>
      <c r="M455" s="1098"/>
      <c r="N455" s="1098"/>
      <c r="O455" s="1098"/>
      <c r="P455" s="1098"/>
      <c r="Q455" s="1098"/>
      <c r="R455" s="1098"/>
      <c r="S455" s="1098"/>
      <c r="T455" s="1098"/>
      <c r="U455" s="1098"/>
      <c r="V455" s="1098"/>
      <c r="W455" s="1098"/>
      <c r="X455" s="1098"/>
      <c r="Y455" s="1098"/>
      <c r="Z455" s="1098"/>
      <c r="AA455" s="1098"/>
      <c r="AB455" s="1098"/>
      <c r="AC455" s="1098"/>
      <c r="AD455" s="1098"/>
      <c r="AE455" s="1098"/>
      <c r="AF455" s="1098"/>
      <c r="AG455" s="1098"/>
      <c r="AH455" s="1098"/>
      <c r="AI455" s="1098"/>
      <c r="AJ455" s="1098"/>
      <c r="AK455" s="1098"/>
      <c r="AL455" s="1098"/>
      <c r="AM455" s="1098"/>
      <c r="AN455" s="1098"/>
      <c r="AO455" s="1098"/>
      <c r="AP455" s="1098"/>
      <c r="AQ455" s="1098"/>
      <c r="AR455" s="1098"/>
      <c r="AS455" s="1098"/>
      <c r="AT455" s="1098"/>
      <c r="AU455" s="1098"/>
      <c r="AV455" s="1098"/>
      <c r="AW455" s="1098"/>
      <c r="AX455" s="1098"/>
      <c r="AY455" s="1098"/>
      <c r="AZ455" s="1098"/>
      <c r="BA455" s="1098"/>
      <c r="BB455" s="1098"/>
      <c r="BC455" s="1098"/>
      <c r="BD455" s="1098"/>
      <c r="BE455" s="1098"/>
      <c r="BF455" s="1098"/>
      <c r="BG455" s="1098"/>
      <c r="BH455" s="1098"/>
      <c r="BI455" s="1098"/>
      <c r="BJ455" s="1098"/>
      <c r="BK455" s="1098"/>
      <c r="BL455" s="1098"/>
      <c r="BM455" s="1098"/>
      <c r="BN455" s="1098"/>
      <c r="BO455" s="1098"/>
      <c r="BP455" s="1098"/>
      <c r="BQ455" s="1098"/>
      <c r="BR455" s="1098"/>
      <c r="BS455" s="1098"/>
      <c r="BT455" s="1098"/>
      <c r="BU455" s="1098"/>
      <c r="BV455" s="1098"/>
      <c r="BW455" s="1098"/>
      <c r="BX455" s="1098"/>
      <c r="BY455" s="1098"/>
      <c r="BZ455" s="1098"/>
      <c r="CA455" s="1098"/>
      <c r="CB455" s="1098"/>
      <c r="CC455" s="1098"/>
      <c r="CD455" s="1098"/>
      <c r="CE455" s="1098"/>
      <c r="CF455" s="1098"/>
      <c r="CG455" s="1098"/>
      <c r="CH455" s="1098"/>
      <c r="CI455" s="1098"/>
      <c r="CJ455" s="1098"/>
      <c r="CK455" s="1098"/>
      <c r="CL455" s="1098"/>
      <c r="CM455" s="1098"/>
      <c r="CN455" s="1098"/>
      <c r="CO455" s="1098"/>
      <c r="CP455" s="1098"/>
      <c r="CQ455" s="1098"/>
      <c r="CR455" s="1098"/>
      <c r="CS455" s="1098"/>
      <c r="CT455" s="1098"/>
      <c r="CU455" s="1098"/>
      <c r="CV455" s="1098"/>
      <c r="CW455" s="1098"/>
      <c r="CX455" s="1098"/>
      <c r="CY455" s="1098"/>
      <c r="CZ455" s="1098"/>
      <c r="DA455" s="1098"/>
      <c r="DB455" s="1098"/>
      <c r="DC455" s="1098"/>
      <c r="DD455" s="1098"/>
      <c r="DE455" s="1098"/>
      <c r="DF455" s="1098"/>
      <c r="DG455" s="1098"/>
      <c r="DH455" s="1098"/>
      <c r="DI455" s="1098"/>
      <c r="DJ455" s="1098"/>
      <c r="DK455" s="1098"/>
      <c r="DL455" s="1098"/>
      <c r="DM455" s="1098"/>
      <c r="DN455" s="1098"/>
      <c r="DO455" s="1098"/>
      <c r="DP455" s="1098"/>
      <c r="DQ455" s="1098"/>
      <c r="DR455" s="1098"/>
      <c r="DS455" s="1098"/>
      <c r="DT455" s="1098"/>
      <c r="DU455" s="1098"/>
      <c r="DV455" s="1098"/>
      <c r="DW455" s="1098"/>
      <c r="DX455" s="1098"/>
      <c r="DY455" s="1098"/>
      <c r="DZ455" s="1098"/>
      <c r="EA455" s="1098"/>
      <c r="EB455" s="1098"/>
      <c r="EC455" s="1098"/>
      <c r="ED455" s="1098"/>
      <c r="EE455" s="1098"/>
      <c r="EF455" s="1098"/>
      <c r="EG455" s="1098"/>
      <c r="EH455" s="1098"/>
      <c r="EI455" s="1098"/>
      <c r="EJ455" s="1098"/>
      <c r="EK455" s="1098"/>
      <c r="EL455" s="1098"/>
      <c r="EM455" s="1098"/>
      <c r="EN455" s="1098"/>
      <c r="EO455" s="1098"/>
      <c r="EP455" s="1098"/>
      <c r="EQ455" s="1098"/>
      <c r="ER455" s="1098"/>
      <c r="ES455" s="1098"/>
      <c r="ET455" s="1098"/>
      <c r="EU455" s="1098"/>
      <c r="EV455" s="1098"/>
      <c r="EW455" s="1098"/>
      <c r="EX455" s="1098"/>
      <c r="EY455" s="1098"/>
      <c r="EZ455" s="1098"/>
      <c r="FA455" s="1098"/>
      <c r="FB455" s="1098"/>
      <c r="FC455" s="1098"/>
      <c r="FD455" s="1098"/>
      <c r="FE455" s="1098"/>
      <c r="FF455" s="1098"/>
      <c r="FG455" s="1098"/>
      <c r="FH455" s="1098"/>
      <c r="FI455" s="1098"/>
      <c r="FJ455" s="1098"/>
      <c r="FK455" s="1098"/>
      <c r="FL455" s="1098"/>
      <c r="FM455" s="1098"/>
      <c r="FN455" s="1098"/>
      <c r="FO455" s="1098"/>
      <c r="FP455" s="1098"/>
      <c r="FQ455" s="1098"/>
      <c r="FR455" s="1098"/>
      <c r="FS455" s="1098"/>
      <c r="FT455" s="1098"/>
      <c r="FU455" s="1098"/>
      <c r="FV455" s="1098"/>
      <c r="FW455" s="1098"/>
      <c r="FX455" s="1098"/>
      <c r="FY455" s="1098"/>
      <c r="FZ455" s="1098"/>
      <c r="GA455" s="1098"/>
      <c r="GB455" s="1098"/>
      <c r="GC455" s="1098"/>
      <c r="GD455" s="1098"/>
      <c r="GE455" s="1098"/>
      <c r="GF455" s="1098"/>
      <c r="GG455" s="1098"/>
      <c r="GH455" s="1098"/>
      <c r="GI455" s="1098"/>
      <c r="GJ455" s="1098"/>
      <c r="GK455" s="1098"/>
      <c r="GL455" s="1098"/>
      <c r="GM455" s="1098"/>
      <c r="GN455" s="1098"/>
      <c r="GO455" s="1098"/>
      <c r="GP455" s="1098"/>
      <c r="GQ455" s="1098"/>
      <c r="GR455" s="1098"/>
      <c r="GS455" s="1098"/>
      <c r="GT455" s="1098"/>
      <c r="GU455" s="1098"/>
      <c r="GV455" s="1098"/>
      <c r="GW455" s="1098"/>
      <c r="GX455" s="1098"/>
      <c r="GY455" s="1098"/>
      <c r="GZ455" s="1098"/>
      <c r="HA455" s="1098"/>
      <c r="HB455" s="1098"/>
      <c r="HC455" s="1098"/>
      <c r="HD455" s="1098"/>
      <c r="HE455" s="1098"/>
      <c r="HF455" s="1098"/>
      <c r="HG455" s="1098"/>
      <c r="HH455" s="1098"/>
      <c r="HI455" s="1098"/>
      <c r="HJ455" s="1098"/>
      <c r="HK455" s="1098"/>
      <c r="HL455" s="1098"/>
      <c r="HM455" s="1098"/>
      <c r="HN455" s="1098"/>
      <c r="HO455" s="1098"/>
      <c r="HP455" s="1098"/>
      <c r="HQ455" s="1098"/>
      <c r="HR455" s="1098"/>
      <c r="HS455" s="1098"/>
      <c r="HT455" s="1098"/>
      <c r="HU455" s="1098"/>
      <c r="HV455" s="1098"/>
      <c r="HW455" s="1098"/>
      <c r="HX455" s="1098"/>
      <c r="HY455" s="1098"/>
      <c r="HZ455" s="1098"/>
      <c r="IA455" s="1098"/>
      <c r="IB455" s="1098"/>
      <c r="IC455" s="1098"/>
      <c r="ID455" s="1098"/>
      <c r="IE455" s="1098"/>
      <c r="IF455" s="1098"/>
      <c r="IG455" s="1098"/>
      <c r="IH455" s="1098"/>
      <c r="II455" s="1098"/>
      <c r="IJ455" s="1098"/>
      <c r="IK455" s="1098"/>
      <c r="IL455" s="1098"/>
      <c r="IM455" s="1098"/>
      <c r="IN455" s="1098"/>
      <c r="IO455" s="1098"/>
      <c r="IP455" s="1098"/>
      <c r="IQ455" s="1098"/>
      <c r="IR455" s="1098"/>
      <c r="IS455" s="1098"/>
      <c r="IT455" s="1098"/>
      <c r="IU455" s="1098"/>
      <c r="IV455" s="1098"/>
      <c r="IW455" s="1098"/>
      <c r="IX455" s="1098"/>
      <c r="IY455" s="1098"/>
      <c r="IZ455" s="1098"/>
      <c r="JA455" s="1098"/>
      <c r="JB455" s="1098"/>
      <c r="JC455" s="1098"/>
      <c r="JD455" s="1098"/>
      <c r="JE455" s="1098"/>
      <c r="JF455" s="1098"/>
      <c r="JG455" s="1098"/>
      <c r="JH455" s="1098"/>
      <c r="JI455" s="1098"/>
      <c r="JJ455" s="1098"/>
      <c r="JK455" s="1098"/>
      <c r="JL455" s="1098"/>
      <c r="JM455" s="1098"/>
      <c r="JN455" s="1098"/>
      <c r="JO455" s="1098"/>
      <c r="JP455" s="1098"/>
      <c r="JQ455" s="1098"/>
      <c r="JR455" s="1098"/>
      <c r="JS455" s="1098"/>
      <c r="JT455" s="1098"/>
      <c r="JU455" s="1098"/>
      <c r="JV455" s="1098"/>
      <c r="JW455" s="1098"/>
      <c r="JX455" s="1098"/>
      <c r="JY455" s="1098"/>
      <c r="JZ455" s="1098"/>
      <c r="KA455" s="1098"/>
      <c r="KB455" s="1099"/>
    </row>
    <row r="456" spans="2:288" ht="15" customHeight="1" x14ac:dyDescent="0.35">
      <c r="B456" s="146" t="str">
        <f t="shared" si="36"/>
        <v>Desk 32</v>
      </c>
      <c r="C456" s="148" t="str">
        <v/>
      </c>
      <c r="D456" s="148" t="str">
        <v/>
      </c>
      <c r="E456" s="148" t="str">
        <v/>
      </c>
      <c r="F456" s="148" t="str">
        <v/>
      </c>
      <c r="G456" s="268" t="str">
        <v/>
      </c>
      <c r="H456" s="1098"/>
      <c r="I456" s="1098"/>
      <c r="J456" s="1098"/>
      <c r="K456" s="1098"/>
      <c r="L456" s="1098"/>
      <c r="M456" s="1098"/>
      <c r="N456" s="1098"/>
      <c r="O456" s="1098"/>
      <c r="P456" s="1098"/>
      <c r="Q456" s="1098"/>
      <c r="R456" s="1098"/>
      <c r="S456" s="1098"/>
      <c r="T456" s="1098"/>
      <c r="U456" s="1098"/>
      <c r="V456" s="1098"/>
      <c r="W456" s="1098"/>
      <c r="X456" s="1098"/>
      <c r="Y456" s="1098"/>
      <c r="Z456" s="1098"/>
      <c r="AA456" s="1098"/>
      <c r="AB456" s="1098"/>
      <c r="AC456" s="1098"/>
      <c r="AD456" s="1098"/>
      <c r="AE456" s="1098"/>
      <c r="AF456" s="1098"/>
      <c r="AG456" s="1098"/>
      <c r="AH456" s="1098"/>
      <c r="AI456" s="1098"/>
      <c r="AJ456" s="1098"/>
      <c r="AK456" s="1098"/>
      <c r="AL456" s="1098"/>
      <c r="AM456" s="1098"/>
      <c r="AN456" s="1098"/>
      <c r="AO456" s="1098"/>
      <c r="AP456" s="1098"/>
      <c r="AQ456" s="1098"/>
      <c r="AR456" s="1098"/>
      <c r="AS456" s="1098"/>
      <c r="AT456" s="1098"/>
      <c r="AU456" s="1098"/>
      <c r="AV456" s="1098"/>
      <c r="AW456" s="1098"/>
      <c r="AX456" s="1098"/>
      <c r="AY456" s="1098"/>
      <c r="AZ456" s="1098"/>
      <c r="BA456" s="1098"/>
      <c r="BB456" s="1098"/>
      <c r="BC456" s="1098"/>
      <c r="BD456" s="1098"/>
      <c r="BE456" s="1098"/>
      <c r="BF456" s="1098"/>
      <c r="BG456" s="1098"/>
      <c r="BH456" s="1098"/>
      <c r="BI456" s="1098"/>
      <c r="BJ456" s="1098"/>
      <c r="BK456" s="1098"/>
      <c r="BL456" s="1098"/>
      <c r="BM456" s="1098"/>
      <c r="BN456" s="1098"/>
      <c r="BO456" s="1098"/>
      <c r="BP456" s="1098"/>
      <c r="BQ456" s="1098"/>
      <c r="BR456" s="1098"/>
      <c r="BS456" s="1098"/>
      <c r="BT456" s="1098"/>
      <c r="BU456" s="1098"/>
      <c r="BV456" s="1098"/>
      <c r="BW456" s="1098"/>
      <c r="BX456" s="1098"/>
      <c r="BY456" s="1098"/>
      <c r="BZ456" s="1098"/>
      <c r="CA456" s="1098"/>
      <c r="CB456" s="1098"/>
      <c r="CC456" s="1098"/>
      <c r="CD456" s="1098"/>
      <c r="CE456" s="1098"/>
      <c r="CF456" s="1098"/>
      <c r="CG456" s="1098"/>
      <c r="CH456" s="1098"/>
      <c r="CI456" s="1098"/>
      <c r="CJ456" s="1098"/>
      <c r="CK456" s="1098"/>
      <c r="CL456" s="1098"/>
      <c r="CM456" s="1098"/>
      <c r="CN456" s="1098"/>
      <c r="CO456" s="1098"/>
      <c r="CP456" s="1098"/>
      <c r="CQ456" s="1098"/>
      <c r="CR456" s="1098"/>
      <c r="CS456" s="1098"/>
      <c r="CT456" s="1098"/>
      <c r="CU456" s="1098"/>
      <c r="CV456" s="1098"/>
      <c r="CW456" s="1098"/>
      <c r="CX456" s="1098"/>
      <c r="CY456" s="1098"/>
      <c r="CZ456" s="1098"/>
      <c r="DA456" s="1098"/>
      <c r="DB456" s="1098"/>
      <c r="DC456" s="1098"/>
      <c r="DD456" s="1098"/>
      <c r="DE456" s="1098"/>
      <c r="DF456" s="1098"/>
      <c r="DG456" s="1098"/>
      <c r="DH456" s="1098"/>
      <c r="DI456" s="1098"/>
      <c r="DJ456" s="1098"/>
      <c r="DK456" s="1098"/>
      <c r="DL456" s="1098"/>
      <c r="DM456" s="1098"/>
      <c r="DN456" s="1098"/>
      <c r="DO456" s="1098"/>
      <c r="DP456" s="1098"/>
      <c r="DQ456" s="1098"/>
      <c r="DR456" s="1098"/>
      <c r="DS456" s="1098"/>
      <c r="DT456" s="1098"/>
      <c r="DU456" s="1098"/>
      <c r="DV456" s="1098"/>
      <c r="DW456" s="1098"/>
      <c r="DX456" s="1098"/>
      <c r="DY456" s="1098"/>
      <c r="DZ456" s="1098"/>
      <c r="EA456" s="1098"/>
      <c r="EB456" s="1098"/>
      <c r="EC456" s="1098"/>
      <c r="ED456" s="1098"/>
      <c r="EE456" s="1098"/>
      <c r="EF456" s="1098"/>
      <c r="EG456" s="1098"/>
      <c r="EH456" s="1098"/>
      <c r="EI456" s="1098"/>
      <c r="EJ456" s="1098"/>
      <c r="EK456" s="1098"/>
      <c r="EL456" s="1098"/>
      <c r="EM456" s="1098"/>
      <c r="EN456" s="1098"/>
      <c r="EO456" s="1098"/>
      <c r="EP456" s="1098"/>
      <c r="EQ456" s="1098"/>
      <c r="ER456" s="1098"/>
      <c r="ES456" s="1098"/>
      <c r="ET456" s="1098"/>
      <c r="EU456" s="1098"/>
      <c r="EV456" s="1098"/>
      <c r="EW456" s="1098"/>
      <c r="EX456" s="1098"/>
      <c r="EY456" s="1098"/>
      <c r="EZ456" s="1098"/>
      <c r="FA456" s="1098"/>
      <c r="FB456" s="1098"/>
      <c r="FC456" s="1098"/>
      <c r="FD456" s="1098"/>
      <c r="FE456" s="1098"/>
      <c r="FF456" s="1098"/>
      <c r="FG456" s="1098"/>
      <c r="FH456" s="1098"/>
      <c r="FI456" s="1098"/>
      <c r="FJ456" s="1098"/>
      <c r="FK456" s="1098"/>
      <c r="FL456" s="1098"/>
      <c r="FM456" s="1098"/>
      <c r="FN456" s="1098"/>
      <c r="FO456" s="1098"/>
      <c r="FP456" s="1098"/>
      <c r="FQ456" s="1098"/>
      <c r="FR456" s="1098"/>
      <c r="FS456" s="1098"/>
      <c r="FT456" s="1098"/>
      <c r="FU456" s="1098"/>
      <c r="FV456" s="1098"/>
      <c r="FW456" s="1098"/>
      <c r="FX456" s="1098"/>
      <c r="FY456" s="1098"/>
      <c r="FZ456" s="1098"/>
      <c r="GA456" s="1098"/>
      <c r="GB456" s="1098"/>
      <c r="GC456" s="1098"/>
      <c r="GD456" s="1098"/>
      <c r="GE456" s="1098"/>
      <c r="GF456" s="1098"/>
      <c r="GG456" s="1098"/>
      <c r="GH456" s="1098"/>
      <c r="GI456" s="1098"/>
      <c r="GJ456" s="1098"/>
      <c r="GK456" s="1098"/>
      <c r="GL456" s="1098"/>
      <c r="GM456" s="1098"/>
      <c r="GN456" s="1098"/>
      <c r="GO456" s="1098"/>
      <c r="GP456" s="1098"/>
      <c r="GQ456" s="1098"/>
      <c r="GR456" s="1098"/>
      <c r="GS456" s="1098"/>
      <c r="GT456" s="1098"/>
      <c r="GU456" s="1098"/>
      <c r="GV456" s="1098"/>
      <c r="GW456" s="1098"/>
      <c r="GX456" s="1098"/>
      <c r="GY456" s="1098"/>
      <c r="GZ456" s="1098"/>
      <c r="HA456" s="1098"/>
      <c r="HB456" s="1098"/>
      <c r="HC456" s="1098"/>
      <c r="HD456" s="1098"/>
      <c r="HE456" s="1098"/>
      <c r="HF456" s="1098"/>
      <c r="HG456" s="1098"/>
      <c r="HH456" s="1098"/>
      <c r="HI456" s="1098"/>
      <c r="HJ456" s="1098"/>
      <c r="HK456" s="1098"/>
      <c r="HL456" s="1098"/>
      <c r="HM456" s="1098"/>
      <c r="HN456" s="1098"/>
      <c r="HO456" s="1098"/>
      <c r="HP456" s="1098"/>
      <c r="HQ456" s="1098"/>
      <c r="HR456" s="1098"/>
      <c r="HS456" s="1098"/>
      <c r="HT456" s="1098"/>
      <c r="HU456" s="1098"/>
      <c r="HV456" s="1098"/>
      <c r="HW456" s="1098"/>
      <c r="HX456" s="1098"/>
      <c r="HY456" s="1098"/>
      <c r="HZ456" s="1098"/>
      <c r="IA456" s="1098"/>
      <c r="IB456" s="1098"/>
      <c r="IC456" s="1098"/>
      <c r="ID456" s="1098"/>
      <c r="IE456" s="1098"/>
      <c r="IF456" s="1098"/>
      <c r="IG456" s="1098"/>
      <c r="IH456" s="1098"/>
      <c r="II456" s="1098"/>
      <c r="IJ456" s="1098"/>
      <c r="IK456" s="1098"/>
      <c r="IL456" s="1098"/>
      <c r="IM456" s="1098"/>
      <c r="IN456" s="1098"/>
      <c r="IO456" s="1098"/>
      <c r="IP456" s="1098"/>
      <c r="IQ456" s="1098"/>
      <c r="IR456" s="1098"/>
      <c r="IS456" s="1098"/>
      <c r="IT456" s="1098"/>
      <c r="IU456" s="1098"/>
      <c r="IV456" s="1098"/>
      <c r="IW456" s="1098"/>
      <c r="IX456" s="1098"/>
      <c r="IY456" s="1098"/>
      <c r="IZ456" s="1098"/>
      <c r="JA456" s="1098"/>
      <c r="JB456" s="1098"/>
      <c r="JC456" s="1098"/>
      <c r="JD456" s="1098"/>
      <c r="JE456" s="1098"/>
      <c r="JF456" s="1098"/>
      <c r="JG456" s="1098"/>
      <c r="JH456" s="1098"/>
      <c r="JI456" s="1098"/>
      <c r="JJ456" s="1098"/>
      <c r="JK456" s="1098"/>
      <c r="JL456" s="1098"/>
      <c r="JM456" s="1098"/>
      <c r="JN456" s="1098"/>
      <c r="JO456" s="1098"/>
      <c r="JP456" s="1098"/>
      <c r="JQ456" s="1098"/>
      <c r="JR456" s="1098"/>
      <c r="JS456" s="1098"/>
      <c r="JT456" s="1098"/>
      <c r="JU456" s="1098"/>
      <c r="JV456" s="1098"/>
      <c r="JW456" s="1098"/>
      <c r="JX456" s="1098"/>
      <c r="JY456" s="1098"/>
      <c r="JZ456" s="1098"/>
      <c r="KA456" s="1098"/>
      <c r="KB456" s="1099"/>
    </row>
    <row r="457" spans="2:288" ht="15" customHeight="1" x14ac:dyDescent="0.35">
      <c r="B457" s="146" t="str">
        <f t="shared" ref="B457:B488" si="37">B43</f>
        <v>Desk 33</v>
      </c>
      <c r="C457" s="148" t="str">
        <v/>
      </c>
      <c r="D457" s="148" t="str">
        <v/>
      </c>
      <c r="E457" s="148" t="str">
        <v/>
      </c>
      <c r="F457" s="148" t="str">
        <v/>
      </c>
      <c r="G457" s="268" t="str">
        <v/>
      </c>
      <c r="H457" s="1098"/>
      <c r="I457" s="1098"/>
      <c r="J457" s="1098"/>
      <c r="K457" s="1098"/>
      <c r="L457" s="1098"/>
      <c r="M457" s="1098"/>
      <c r="N457" s="1098"/>
      <c r="O457" s="1098"/>
      <c r="P457" s="1098"/>
      <c r="Q457" s="1098"/>
      <c r="R457" s="1098"/>
      <c r="S457" s="1098"/>
      <c r="T457" s="1098"/>
      <c r="U457" s="1098"/>
      <c r="V457" s="1098"/>
      <c r="W457" s="1098"/>
      <c r="X457" s="1098"/>
      <c r="Y457" s="1098"/>
      <c r="Z457" s="1098"/>
      <c r="AA457" s="1098"/>
      <c r="AB457" s="1098"/>
      <c r="AC457" s="1098"/>
      <c r="AD457" s="1098"/>
      <c r="AE457" s="1098"/>
      <c r="AF457" s="1098"/>
      <c r="AG457" s="1098"/>
      <c r="AH457" s="1098"/>
      <c r="AI457" s="1098"/>
      <c r="AJ457" s="1098"/>
      <c r="AK457" s="1098"/>
      <c r="AL457" s="1098"/>
      <c r="AM457" s="1098"/>
      <c r="AN457" s="1098"/>
      <c r="AO457" s="1098"/>
      <c r="AP457" s="1098"/>
      <c r="AQ457" s="1098"/>
      <c r="AR457" s="1098"/>
      <c r="AS457" s="1098"/>
      <c r="AT457" s="1098"/>
      <c r="AU457" s="1098"/>
      <c r="AV457" s="1098"/>
      <c r="AW457" s="1098"/>
      <c r="AX457" s="1098"/>
      <c r="AY457" s="1098"/>
      <c r="AZ457" s="1098"/>
      <c r="BA457" s="1098"/>
      <c r="BB457" s="1098"/>
      <c r="BC457" s="1098"/>
      <c r="BD457" s="1098"/>
      <c r="BE457" s="1098"/>
      <c r="BF457" s="1098"/>
      <c r="BG457" s="1098"/>
      <c r="BH457" s="1098"/>
      <c r="BI457" s="1098"/>
      <c r="BJ457" s="1098"/>
      <c r="BK457" s="1098"/>
      <c r="BL457" s="1098"/>
      <c r="BM457" s="1098"/>
      <c r="BN457" s="1098"/>
      <c r="BO457" s="1098"/>
      <c r="BP457" s="1098"/>
      <c r="BQ457" s="1098"/>
      <c r="BR457" s="1098"/>
      <c r="BS457" s="1098"/>
      <c r="BT457" s="1098"/>
      <c r="BU457" s="1098"/>
      <c r="BV457" s="1098"/>
      <c r="BW457" s="1098"/>
      <c r="BX457" s="1098"/>
      <c r="BY457" s="1098"/>
      <c r="BZ457" s="1098"/>
      <c r="CA457" s="1098"/>
      <c r="CB457" s="1098"/>
      <c r="CC457" s="1098"/>
      <c r="CD457" s="1098"/>
      <c r="CE457" s="1098"/>
      <c r="CF457" s="1098"/>
      <c r="CG457" s="1098"/>
      <c r="CH457" s="1098"/>
      <c r="CI457" s="1098"/>
      <c r="CJ457" s="1098"/>
      <c r="CK457" s="1098"/>
      <c r="CL457" s="1098"/>
      <c r="CM457" s="1098"/>
      <c r="CN457" s="1098"/>
      <c r="CO457" s="1098"/>
      <c r="CP457" s="1098"/>
      <c r="CQ457" s="1098"/>
      <c r="CR457" s="1098"/>
      <c r="CS457" s="1098"/>
      <c r="CT457" s="1098"/>
      <c r="CU457" s="1098"/>
      <c r="CV457" s="1098"/>
      <c r="CW457" s="1098"/>
      <c r="CX457" s="1098"/>
      <c r="CY457" s="1098"/>
      <c r="CZ457" s="1098"/>
      <c r="DA457" s="1098"/>
      <c r="DB457" s="1098"/>
      <c r="DC457" s="1098"/>
      <c r="DD457" s="1098"/>
      <c r="DE457" s="1098"/>
      <c r="DF457" s="1098"/>
      <c r="DG457" s="1098"/>
      <c r="DH457" s="1098"/>
      <c r="DI457" s="1098"/>
      <c r="DJ457" s="1098"/>
      <c r="DK457" s="1098"/>
      <c r="DL457" s="1098"/>
      <c r="DM457" s="1098"/>
      <c r="DN457" s="1098"/>
      <c r="DO457" s="1098"/>
      <c r="DP457" s="1098"/>
      <c r="DQ457" s="1098"/>
      <c r="DR457" s="1098"/>
      <c r="DS457" s="1098"/>
      <c r="DT457" s="1098"/>
      <c r="DU457" s="1098"/>
      <c r="DV457" s="1098"/>
      <c r="DW457" s="1098"/>
      <c r="DX457" s="1098"/>
      <c r="DY457" s="1098"/>
      <c r="DZ457" s="1098"/>
      <c r="EA457" s="1098"/>
      <c r="EB457" s="1098"/>
      <c r="EC457" s="1098"/>
      <c r="ED457" s="1098"/>
      <c r="EE457" s="1098"/>
      <c r="EF457" s="1098"/>
      <c r="EG457" s="1098"/>
      <c r="EH457" s="1098"/>
      <c r="EI457" s="1098"/>
      <c r="EJ457" s="1098"/>
      <c r="EK457" s="1098"/>
      <c r="EL457" s="1098"/>
      <c r="EM457" s="1098"/>
      <c r="EN457" s="1098"/>
      <c r="EO457" s="1098"/>
      <c r="EP457" s="1098"/>
      <c r="EQ457" s="1098"/>
      <c r="ER457" s="1098"/>
      <c r="ES457" s="1098"/>
      <c r="ET457" s="1098"/>
      <c r="EU457" s="1098"/>
      <c r="EV457" s="1098"/>
      <c r="EW457" s="1098"/>
      <c r="EX457" s="1098"/>
      <c r="EY457" s="1098"/>
      <c r="EZ457" s="1098"/>
      <c r="FA457" s="1098"/>
      <c r="FB457" s="1098"/>
      <c r="FC457" s="1098"/>
      <c r="FD457" s="1098"/>
      <c r="FE457" s="1098"/>
      <c r="FF457" s="1098"/>
      <c r="FG457" s="1098"/>
      <c r="FH457" s="1098"/>
      <c r="FI457" s="1098"/>
      <c r="FJ457" s="1098"/>
      <c r="FK457" s="1098"/>
      <c r="FL457" s="1098"/>
      <c r="FM457" s="1098"/>
      <c r="FN457" s="1098"/>
      <c r="FO457" s="1098"/>
      <c r="FP457" s="1098"/>
      <c r="FQ457" s="1098"/>
      <c r="FR457" s="1098"/>
      <c r="FS457" s="1098"/>
      <c r="FT457" s="1098"/>
      <c r="FU457" s="1098"/>
      <c r="FV457" s="1098"/>
      <c r="FW457" s="1098"/>
      <c r="FX457" s="1098"/>
      <c r="FY457" s="1098"/>
      <c r="FZ457" s="1098"/>
      <c r="GA457" s="1098"/>
      <c r="GB457" s="1098"/>
      <c r="GC457" s="1098"/>
      <c r="GD457" s="1098"/>
      <c r="GE457" s="1098"/>
      <c r="GF457" s="1098"/>
      <c r="GG457" s="1098"/>
      <c r="GH457" s="1098"/>
      <c r="GI457" s="1098"/>
      <c r="GJ457" s="1098"/>
      <c r="GK457" s="1098"/>
      <c r="GL457" s="1098"/>
      <c r="GM457" s="1098"/>
      <c r="GN457" s="1098"/>
      <c r="GO457" s="1098"/>
      <c r="GP457" s="1098"/>
      <c r="GQ457" s="1098"/>
      <c r="GR457" s="1098"/>
      <c r="GS457" s="1098"/>
      <c r="GT457" s="1098"/>
      <c r="GU457" s="1098"/>
      <c r="GV457" s="1098"/>
      <c r="GW457" s="1098"/>
      <c r="GX457" s="1098"/>
      <c r="GY457" s="1098"/>
      <c r="GZ457" s="1098"/>
      <c r="HA457" s="1098"/>
      <c r="HB457" s="1098"/>
      <c r="HC457" s="1098"/>
      <c r="HD457" s="1098"/>
      <c r="HE457" s="1098"/>
      <c r="HF457" s="1098"/>
      <c r="HG457" s="1098"/>
      <c r="HH457" s="1098"/>
      <c r="HI457" s="1098"/>
      <c r="HJ457" s="1098"/>
      <c r="HK457" s="1098"/>
      <c r="HL457" s="1098"/>
      <c r="HM457" s="1098"/>
      <c r="HN457" s="1098"/>
      <c r="HO457" s="1098"/>
      <c r="HP457" s="1098"/>
      <c r="HQ457" s="1098"/>
      <c r="HR457" s="1098"/>
      <c r="HS457" s="1098"/>
      <c r="HT457" s="1098"/>
      <c r="HU457" s="1098"/>
      <c r="HV457" s="1098"/>
      <c r="HW457" s="1098"/>
      <c r="HX457" s="1098"/>
      <c r="HY457" s="1098"/>
      <c r="HZ457" s="1098"/>
      <c r="IA457" s="1098"/>
      <c r="IB457" s="1098"/>
      <c r="IC457" s="1098"/>
      <c r="ID457" s="1098"/>
      <c r="IE457" s="1098"/>
      <c r="IF457" s="1098"/>
      <c r="IG457" s="1098"/>
      <c r="IH457" s="1098"/>
      <c r="II457" s="1098"/>
      <c r="IJ457" s="1098"/>
      <c r="IK457" s="1098"/>
      <c r="IL457" s="1098"/>
      <c r="IM457" s="1098"/>
      <c r="IN457" s="1098"/>
      <c r="IO457" s="1098"/>
      <c r="IP457" s="1098"/>
      <c r="IQ457" s="1098"/>
      <c r="IR457" s="1098"/>
      <c r="IS457" s="1098"/>
      <c r="IT457" s="1098"/>
      <c r="IU457" s="1098"/>
      <c r="IV457" s="1098"/>
      <c r="IW457" s="1098"/>
      <c r="IX457" s="1098"/>
      <c r="IY457" s="1098"/>
      <c r="IZ457" s="1098"/>
      <c r="JA457" s="1098"/>
      <c r="JB457" s="1098"/>
      <c r="JC457" s="1098"/>
      <c r="JD457" s="1098"/>
      <c r="JE457" s="1098"/>
      <c r="JF457" s="1098"/>
      <c r="JG457" s="1098"/>
      <c r="JH457" s="1098"/>
      <c r="JI457" s="1098"/>
      <c r="JJ457" s="1098"/>
      <c r="JK457" s="1098"/>
      <c r="JL457" s="1098"/>
      <c r="JM457" s="1098"/>
      <c r="JN457" s="1098"/>
      <c r="JO457" s="1098"/>
      <c r="JP457" s="1098"/>
      <c r="JQ457" s="1098"/>
      <c r="JR457" s="1098"/>
      <c r="JS457" s="1098"/>
      <c r="JT457" s="1098"/>
      <c r="JU457" s="1098"/>
      <c r="JV457" s="1098"/>
      <c r="JW457" s="1098"/>
      <c r="JX457" s="1098"/>
      <c r="JY457" s="1098"/>
      <c r="JZ457" s="1098"/>
      <c r="KA457" s="1098"/>
      <c r="KB457" s="1099"/>
    </row>
    <row r="458" spans="2:288" ht="15" customHeight="1" x14ac:dyDescent="0.35">
      <c r="B458" s="146" t="str">
        <f t="shared" si="37"/>
        <v>Desk 34</v>
      </c>
      <c r="C458" s="148" t="str">
        <v/>
      </c>
      <c r="D458" s="148" t="str">
        <v/>
      </c>
      <c r="E458" s="148" t="str">
        <v/>
      </c>
      <c r="F458" s="148" t="str">
        <v/>
      </c>
      <c r="G458" s="268" t="str">
        <v/>
      </c>
      <c r="H458" s="1098"/>
      <c r="I458" s="1098"/>
      <c r="J458" s="1098"/>
      <c r="K458" s="1098"/>
      <c r="L458" s="1098"/>
      <c r="M458" s="1098"/>
      <c r="N458" s="1098"/>
      <c r="O458" s="1098"/>
      <c r="P458" s="1098"/>
      <c r="Q458" s="1098"/>
      <c r="R458" s="1098"/>
      <c r="S458" s="1098"/>
      <c r="T458" s="1098"/>
      <c r="U458" s="1098"/>
      <c r="V458" s="1098"/>
      <c r="W458" s="1098"/>
      <c r="X458" s="1098"/>
      <c r="Y458" s="1098"/>
      <c r="Z458" s="1098"/>
      <c r="AA458" s="1098"/>
      <c r="AB458" s="1098"/>
      <c r="AC458" s="1098"/>
      <c r="AD458" s="1098"/>
      <c r="AE458" s="1098"/>
      <c r="AF458" s="1098"/>
      <c r="AG458" s="1098"/>
      <c r="AH458" s="1098"/>
      <c r="AI458" s="1098"/>
      <c r="AJ458" s="1098"/>
      <c r="AK458" s="1098"/>
      <c r="AL458" s="1098"/>
      <c r="AM458" s="1098"/>
      <c r="AN458" s="1098"/>
      <c r="AO458" s="1098"/>
      <c r="AP458" s="1098"/>
      <c r="AQ458" s="1098"/>
      <c r="AR458" s="1098"/>
      <c r="AS458" s="1098"/>
      <c r="AT458" s="1098"/>
      <c r="AU458" s="1098"/>
      <c r="AV458" s="1098"/>
      <c r="AW458" s="1098"/>
      <c r="AX458" s="1098"/>
      <c r="AY458" s="1098"/>
      <c r="AZ458" s="1098"/>
      <c r="BA458" s="1098"/>
      <c r="BB458" s="1098"/>
      <c r="BC458" s="1098"/>
      <c r="BD458" s="1098"/>
      <c r="BE458" s="1098"/>
      <c r="BF458" s="1098"/>
      <c r="BG458" s="1098"/>
      <c r="BH458" s="1098"/>
      <c r="BI458" s="1098"/>
      <c r="BJ458" s="1098"/>
      <c r="BK458" s="1098"/>
      <c r="BL458" s="1098"/>
      <c r="BM458" s="1098"/>
      <c r="BN458" s="1098"/>
      <c r="BO458" s="1098"/>
      <c r="BP458" s="1098"/>
      <c r="BQ458" s="1098"/>
      <c r="BR458" s="1098"/>
      <c r="BS458" s="1098"/>
      <c r="BT458" s="1098"/>
      <c r="BU458" s="1098"/>
      <c r="BV458" s="1098"/>
      <c r="BW458" s="1098"/>
      <c r="BX458" s="1098"/>
      <c r="BY458" s="1098"/>
      <c r="BZ458" s="1098"/>
      <c r="CA458" s="1098"/>
      <c r="CB458" s="1098"/>
      <c r="CC458" s="1098"/>
      <c r="CD458" s="1098"/>
      <c r="CE458" s="1098"/>
      <c r="CF458" s="1098"/>
      <c r="CG458" s="1098"/>
      <c r="CH458" s="1098"/>
      <c r="CI458" s="1098"/>
      <c r="CJ458" s="1098"/>
      <c r="CK458" s="1098"/>
      <c r="CL458" s="1098"/>
      <c r="CM458" s="1098"/>
      <c r="CN458" s="1098"/>
      <c r="CO458" s="1098"/>
      <c r="CP458" s="1098"/>
      <c r="CQ458" s="1098"/>
      <c r="CR458" s="1098"/>
      <c r="CS458" s="1098"/>
      <c r="CT458" s="1098"/>
      <c r="CU458" s="1098"/>
      <c r="CV458" s="1098"/>
      <c r="CW458" s="1098"/>
      <c r="CX458" s="1098"/>
      <c r="CY458" s="1098"/>
      <c r="CZ458" s="1098"/>
      <c r="DA458" s="1098"/>
      <c r="DB458" s="1098"/>
      <c r="DC458" s="1098"/>
      <c r="DD458" s="1098"/>
      <c r="DE458" s="1098"/>
      <c r="DF458" s="1098"/>
      <c r="DG458" s="1098"/>
      <c r="DH458" s="1098"/>
      <c r="DI458" s="1098"/>
      <c r="DJ458" s="1098"/>
      <c r="DK458" s="1098"/>
      <c r="DL458" s="1098"/>
      <c r="DM458" s="1098"/>
      <c r="DN458" s="1098"/>
      <c r="DO458" s="1098"/>
      <c r="DP458" s="1098"/>
      <c r="DQ458" s="1098"/>
      <c r="DR458" s="1098"/>
      <c r="DS458" s="1098"/>
      <c r="DT458" s="1098"/>
      <c r="DU458" s="1098"/>
      <c r="DV458" s="1098"/>
      <c r="DW458" s="1098"/>
      <c r="DX458" s="1098"/>
      <c r="DY458" s="1098"/>
      <c r="DZ458" s="1098"/>
      <c r="EA458" s="1098"/>
      <c r="EB458" s="1098"/>
      <c r="EC458" s="1098"/>
      <c r="ED458" s="1098"/>
      <c r="EE458" s="1098"/>
      <c r="EF458" s="1098"/>
      <c r="EG458" s="1098"/>
      <c r="EH458" s="1098"/>
      <c r="EI458" s="1098"/>
      <c r="EJ458" s="1098"/>
      <c r="EK458" s="1098"/>
      <c r="EL458" s="1098"/>
      <c r="EM458" s="1098"/>
      <c r="EN458" s="1098"/>
      <c r="EO458" s="1098"/>
      <c r="EP458" s="1098"/>
      <c r="EQ458" s="1098"/>
      <c r="ER458" s="1098"/>
      <c r="ES458" s="1098"/>
      <c r="ET458" s="1098"/>
      <c r="EU458" s="1098"/>
      <c r="EV458" s="1098"/>
      <c r="EW458" s="1098"/>
      <c r="EX458" s="1098"/>
      <c r="EY458" s="1098"/>
      <c r="EZ458" s="1098"/>
      <c r="FA458" s="1098"/>
      <c r="FB458" s="1098"/>
      <c r="FC458" s="1098"/>
      <c r="FD458" s="1098"/>
      <c r="FE458" s="1098"/>
      <c r="FF458" s="1098"/>
      <c r="FG458" s="1098"/>
      <c r="FH458" s="1098"/>
      <c r="FI458" s="1098"/>
      <c r="FJ458" s="1098"/>
      <c r="FK458" s="1098"/>
      <c r="FL458" s="1098"/>
      <c r="FM458" s="1098"/>
      <c r="FN458" s="1098"/>
      <c r="FO458" s="1098"/>
      <c r="FP458" s="1098"/>
      <c r="FQ458" s="1098"/>
      <c r="FR458" s="1098"/>
      <c r="FS458" s="1098"/>
      <c r="FT458" s="1098"/>
      <c r="FU458" s="1098"/>
      <c r="FV458" s="1098"/>
      <c r="FW458" s="1098"/>
      <c r="FX458" s="1098"/>
      <c r="FY458" s="1098"/>
      <c r="FZ458" s="1098"/>
      <c r="GA458" s="1098"/>
      <c r="GB458" s="1098"/>
      <c r="GC458" s="1098"/>
      <c r="GD458" s="1098"/>
      <c r="GE458" s="1098"/>
      <c r="GF458" s="1098"/>
      <c r="GG458" s="1098"/>
      <c r="GH458" s="1098"/>
      <c r="GI458" s="1098"/>
      <c r="GJ458" s="1098"/>
      <c r="GK458" s="1098"/>
      <c r="GL458" s="1098"/>
      <c r="GM458" s="1098"/>
      <c r="GN458" s="1098"/>
      <c r="GO458" s="1098"/>
      <c r="GP458" s="1098"/>
      <c r="GQ458" s="1098"/>
      <c r="GR458" s="1098"/>
      <c r="GS458" s="1098"/>
      <c r="GT458" s="1098"/>
      <c r="GU458" s="1098"/>
      <c r="GV458" s="1098"/>
      <c r="GW458" s="1098"/>
      <c r="GX458" s="1098"/>
      <c r="GY458" s="1098"/>
      <c r="GZ458" s="1098"/>
      <c r="HA458" s="1098"/>
      <c r="HB458" s="1098"/>
      <c r="HC458" s="1098"/>
      <c r="HD458" s="1098"/>
      <c r="HE458" s="1098"/>
      <c r="HF458" s="1098"/>
      <c r="HG458" s="1098"/>
      <c r="HH458" s="1098"/>
      <c r="HI458" s="1098"/>
      <c r="HJ458" s="1098"/>
      <c r="HK458" s="1098"/>
      <c r="HL458" s="1098"/>
      <c r="HM458" s="1098"/>
      <c r="HN458" s="1098"/>
      <c r="HO458" s="1098"/>
      <c r="HP458" s="1098"/>
      <c r="HQ458" s="1098"/>
      <c r="HR458" s="1098"/>
      <c r="HS458" s="1098"/>
      <c r="HT458" s="1098"/>
      <c r="HU458" s="1098"/>
      <c r="HV458" s="1098"/>
      <c r="HW458" s="1098"/>
      <c r="HX458" s="1098"/>
      <c r="HY458" s="1098"/>
      <c r="HZ458" s="1098"/>
      <c r="IA458" s="1098"/>
      <c r="IB458" s="1098"/>
      <c r="IC458" s="1098"/>
      <c r="ID458" s="1098"/>
      <c r="IE458" s="1098"/>
      <c r="IF458" s="1098"/>
      <c r="IG458" s="1098"/>
      <c r="IH458" s="1098"/>
      <c r="II458" s="1098"/>
      <c r="IJ458" s="1098"/>
      <c r="IK458" s="1098"/>
      <c r="IL458" s="1098"/>
      <c r="IM458" s="1098"/>
      <c r="IN458" s="1098"/>
      <c r="IO458" s="1098"/>
      <c r="IP458" s="1098"/>
      <c r="IQ458" s="1098"/>
      <c r="IR458" s="1098"/>
      <c r="IS458" s="1098"/>
      <c r="IT458" s="1098"/>
      <c r="IU458" s="1098"/>
      <c r="IV458" s="1098"/>
      <c r="IW458" s="1098"/>
      <c r="IX458" s="1098"/>
      <c r="IY458" s="1098"/>
      <c r="IZ458" s="1098"/>
      <c r="JA458" s="1098"/>
      <c r="JB458" s="1098"/>
      <c r="JC458" s="1098"/>
      <c r="JD458" s="1098"/>
      <c r="JE458" s="1098"/>
      <c r="JF458" s="1098"/>
      <c r="JG458" s="1098"/>
      <c r="JH458" s="1098"/>
      <c r="JI458" s="1098"/>
      <c r="JJ458" s="1098"/>
      <c r="JK458" s="1098"/>
      <c r="JL458" s="1098"/>
      <c r="JM458" s="1098"/>
      <c r="JN458" s="1098"/>
      <c r="JO458" s="1098"/>
      <c r="JP458" s="1098"/>
      <c r="JQ458" s="1098"/>
      <c r="JR458" s="1098"/>
      <c r="JS458" s="1098"/>
      <c r="JT458" s="1098"/>
      <c r="JU458" s="1098"/>
      <c r="JV458" s="1098"/>
      <c r="JW458" s="1098"/>
      <c r="JX458" s="1098"/>
      <c r="JY458" s="1098"/>
      <c r="JZ458" s="1098"/>
      <c r="KA458" s="1098"/>
      <c r="KB458" s="1099"/>
    </row>
    <row r="459" spans="2:288" ht="15" customHeight="1" x14ac:dyDescent="0.35">
      <c r="B459" s="146" t="str">
        <f t="shared" si="37"/>
        <v>Desk 35</v>
      </c>
      <c r="C459" s="148" t="str">
        <v/>
      </c>
      <c r="D459" s="148" t="str">
        <v/>
      </c>
      <c r="E459" s="148" t="str">
        <v/>
      </c>
      <c r="F459" s="148" t="str">
        <v/>
      </c>
      <c r="G459" s="268" t="str">
        <v/>
      </c>
      <c r="H459" s="1098"/>
      <c r="I459" s="1098"/>
      <c r="J459" s="1098"/>
      <c r="K459" s="1098"/>
      <c r="L459" s="1098"/>
      <c r="M459" s="1098"/>
      <c r="N459" s="1098"/>
      <c r="O459" s="1098"/>
      <c r="P459" s="1098"/>
      <c r="Q459" s="1098"/>
      <c r="R459" s="1098"/>
      <c r="S459" s="1098"/>
      <c r="T459" s="1098"/>
      <c r="U459" s="1098"/>
      <c r="V459" s="1098"/>
      <c r="W459" s="1098"/>
      <c r="X459" s="1098"/>
      <c r="Y459" s="1098"/>
      <c r="Z459" s="1098"/>
      <c r="AA459" s="1098"/>
      <c r="AB459" s="1098"/>
      <c r="AC459" s="1098"/>
      <c r="AD459" s="1098"/>
      <c r="AE459" s="1098"/>
      <c r="AF459" s="1098"/>
      <c r="AG459" s="1098"/>
      <c r="AH459" s="1098"/>
      <c r="AI459" s="1098"/>
      <c r="AJ459" s="1098"/>
      <c r="AK459" s="1098"/>
      <c r="AL459" s="1098"/>
      <c r="AM459" s="1098"/>
      <c r="AN459" s="1098"/>
      <c r="AO459" s="1098"/>
      <c r="AP459" s="1098"/>
      <c r="AQ459" s="1098"/>
      <c r="AR459" s="1098"/>
      <c r="AS459" s="1098"/>
      <c r="AT459" s="1098"/>
      <c r="AU459" s="1098"/>
      <c r="AV459" s="1098"/>
      <c r="AW459" s="1098"/>
      <c r="AX459" s="1098"/>
      <c r="AY459" s="1098"/>
      <c r="AZ459" s="1098"/>
      <c r="BA459" s="1098"/>
      <c r="BB459" s="1098"/>
      <c r="BC459" s="1098"/>
      <c r="BD459" s="1098"/>
      <c r="BE459" s="1098"/>
      <c r="BF459" s="1098"/>
      <c r="BG459" s="1098"/>
      <c r="BH459" s="1098"/>
      <c r="BI459" s="1098"/>
      <c r="BJ459" s="1098"/>
      <c r="BK459" s="1098"/>
      <c r="BL459" s="1098"/>
      <c r="BM459" s="1098"/>
      <c r="BN459" s="1098"/>
      <c r="BO459" s="1098"/>
      <c r="BP459" s="1098"/>
      <c r="BQ459" s="1098"/>
      <c r="BR459" s="1098"/>
      <c r="BS459" s="1098"/>
      <c r="BT459" s="1098"/>
      <c r="BU459" s="1098"/>
      <c r="BV459" s="1098"/>
      <c r="BW459" s="1098"/>
      <c r="BX459" s="1098"/>
      <c r="BY459" s="1098"/>
      <c r="BZ459" s="1098"/>
      <c r="CA459" s="1098"/>
      <c r="CB459" s="1098"/>
      <c r="CC459" s="1098"/>
      <c r="CD459" s="1098"/>
      <c r="CE459" s="1098"/>
      <c r="CF459" s="1098"/>
      <c r="CG459" s="1098"/>
      <c r="CH459" s="1098"/>
      <c r="CI459" s="1098"/>
      <c r="CJ459" s="1098"/>
      <c r="CK459" s="1098"/>
      <c r="CL459" s="1098"/>
      <c r="CM459" s="1098"/>
      <c r="CN459" s="1098"/>
      <c r="CO459" s="1098"/>
      <c r="CP459" s="1098"/>
      <c r="CQ459" s="1098"/>
      <c r="CR459" s="1098"/>
      <c r="CS459" s="1098"/>
      <c r="CT459" s="1098"/>
      <c r="CU459" s="1098"/>
      <c r="CV459" s="1098"/>
      <c r="CW459" s="1098"/>
      <c r="CX459" s="1098"/>
      <c r="CY459" s="1098"/>
      <c r="CZ459" s="1098"/>
      <c r="DA459" s="1098"/>
      <c r="DB459" s="1098"/>
      <c r="DC459" s="1098"/>
      <c r="DD459" s="1098"/>
      <c r="DE459" s="1098"/>
      <c r="DF459" s="1098"/>
      <c r="DG459" s="1098"/>
      <c r="DH459" s="1098"/>
      <c r="DI459" s="1098"/>
      <c r="DJ459" s="1098"/>
      <c r="DK459" s="1098"/>
      <c r="DL459" s="1098"/>
      <c r="DM459" s="1098"/>
      <c r="DN459" s="1098"/>
      <c r="DO459" s="1098"/>
      <c r="DP459" s="1098"/>
      <c r="DQ459" s="1098"/>
      <c r="DR459" s="1098"/>
      <c r="DS459" s="1098"/>
      <c r="DT459" s="1098"/>
      <c r="DU459" s="1098"/>
      <c r="DV459" s="1098"/>
      <c r="DW459" s="1098"/>
      <c r="DX459" s="1098"/>
      <c r="DY459" s="1098"/>
      <c r="DZ459" s="1098"/>
      <c r="EA459" s="1098"/>
      <c r="EB459" s="1098"/>
      <c r="EC459" s="1098"/>
      <c r="ED459" s="1098"/>
      <c r="EE459" s="1098"/>
      <c r="EF459" s="1098"/>
      <c r="EG459" s="1098"/>
      <c r="EH459" s="1098"/>
      <c r="EI459" s="1098"/>
      <c r="EJ459" s="1098"/>
      <c r="EK459" s="1098"/>
      <c r="EL459" s="1098"/>
      <c r="EM459" s="1098"/>
      <c r="EN459" s="1098"/>
      <c r="EO459" s="1098"/>
      <c r="EP459" s="1098"/>
      <c r="EQ459" s="1098"/>
      <c r="ER459" s="1098"/>
      <c r="ES459" s="1098"/>
      <c r="ET459" s="1098"/>
      <c r="EU459" s="1098"/>
      <c r="EV459" s="1098"/>
      <c r="EW459" s="1098"/>
      <c r="EX459" s="1098"/>
      <c r="EY459" s="1098"/>
      <c r="EZ459" s="1098"/>
      <c r="FA459" s="1098"/>
      <c r="FB459" s="1098"/>
      <c r="FC459" s="1098"/>
      <c r="FD459" s="1098"/>
      <c r="FE459" s="1098"/>
      <c r="FF459" s="1098"/>
      <c r="FG459" s="1098"/>
      <c r="FH459" s="1098"/>
      <c r="FI459" s="1098"/>
      <c r="FJ459" s="1098"/>
      <c r="FK459" s="1098"/>
      <c r="FL459" s="1098"/>
      <c r="FM459" s="1098"/>
      <c r="FN459" s="1098"/>
      <c r="FO459" s="1098"/>
      <c r="FP459" s="1098"/>
      <c r="FQ459" s="1098"/>
      <c r="FR459" s="1098"/>
      <c r="FS459" s="1098"/>
      <c r="FT459" s="1098"/>
      <c r="FU459" s="1098"/>
      <c r="FV459" s="1098"/>
      <c r="FW459" s="1098"/>
      <c r="FX459" s="1098"/>
      <c r="FY459" s="1098"/>
      <c r="FZ459" s="1098"/>
      <c r="GA459" s="1098"/>
      <c r="GB459" s="1098"/>
      <c r="GC459" s="1098"/>
      <c r="GD459" s="1098"/>
      <c r="GE459" s="1098"/>
      <c r="GF459" s="1098"/>
      <c r="GG459" s="1098"/>
      <c r="GH459" s="1098"/>
      <c r="GI459" s="1098"/>
      <c r="GJ459" s="1098"/>
      <c r="GK459" s="1098"/>
      <c r="GL459" s="1098"/>
      <c r="GM459" s="1098"/>
      <c r="GN459" s="1098"/>
      <c r="GO459" s="1098"/>
      <c r="GP459" s="1098"/>
      <c r="GQ459" s="1098"/>
      <c r="GR459" s="1098"/>
      <c r="GS459" s="1098"/>
      <c r="GT459" s="1098"/>
      <c r="GU459" s="1098"/>
      <c r="GV459" s="1098"/>
      <c r="GW459" s="1098"/>
      <c r="GX459" s="1098"/>
      <c r="GY459" s="1098"/>
      <c r="GZ459" s="1098"/>
      <c r="HA459" s="1098"/>
      <c r="HB459" s="1098"/>
      <c r="HC459" s="1098"/>
      <c r="HD459" s="1098"/>
      <c r="HE459" s="1098"/>
      <c r="HF459" s="1098"/>
      <c r="HG459" s="1098"/>
      <c r="HH459" s="1098"/>
      <c r="HI459" s="1098"/>
      <c r="HJ459" s="1098"/>
      <c r="HK459" s="1098"/>
      <c r="HL459" s="1098"/>
      <c r="HM459" s="1098"/>
      <c r="HN459" s="1098"/>
      <c r="HO459" s="1098"/>
      <c r="HP459" s="1098"/>
      <c r="HQ459" s="1098"/>
      <c r="HR459" s="1098"/>
      <c r="HS459" s="1098"/>
      <c r="HT459" s="1098"/>
      <c r="HU459" s="1098"/>
      <c r="HV459" s="1098"/>
      <c r="HW459" s="1098"/>
      <c r="HX459" s="1098"/>
      <c r="HY459" s="1098"/>
      <c r="HZ459" s="1098"/>
      <c r="IA459" s="1098"/>
      <c r="IB459" s="1098"/>
      <c r="IC459" s="1098"/>
      <c r="ID459" s="1098"/>
      <c r="IE459" s="1098"/>
      <c r="IF459" s="1098"/>
      <c r="IG459" s="1098"/>
      <c r="IH459" s="1098"/>
      <c r="II459" s="1098"/>
      <c r="IJ459" s="1098"/>
      <c r="IK459" s="1098"/>
      <c r="IL459" s="1098"/>
      <c r="IM459" s="1098"/>
      <c r="IN459" s="1098"/>
      <c r="IO459" s="1098"/>
      <c r="IP459" s="1098"/>
      <c r="IQ459" s="1098"/>
      <c r="IR459" s="1098"/>
      <c r="IS459" s="1098"/>
      <c r="IT459" s="1098"/>
      <c r="IU459" s="1098"/>
      <c r="IV459" s="1098"/>
      <c r="IW459" s="1098"/>
      <c r="IX459" s="1098"/>
      <c r="IY459" s="1098"/>
      <c r="IZ459" s="1098"/>
      <c r="JA459" s="1098"/>
      <c r="JB459" s="1098"/>
      <c r="JC459" s="1098"/>
      <c r="JD459" s="1098"/>
      <c r="JE459" s="1098"/>
      <c r="JF459" s="1098"/>
      <c r="JG459" s="1098"/>
      <c r="JH459" s="1098"/>
      <c r="JI459" s="1098"/>
      <c r="JJ459" s="1098"/>
      <c r="JK459" s="1098"/>
      <c r="JL459" s="1098"/>
      <c r="JM459" s="1098"/>
      <c r="JN459" s="1098"/>
      <c r="JO459" s="1098"/>
      <c r="JP459" s="1098"/>
      <c r="JQ459" s="1098"/>
      <c r="JR459" s="1098"/>
      <c r="JS459" s="1098"/>
      <c r="JT459" s="1098"/>
      <c r="JU459" s="1098"/>
      <c r="JV459" s="1098"/>
      <c r="JW459" s="1098"/>
      <c r="JX459" s="1098"/>
      <c r="JY459" s="1098"/>
      <c r="JZ459" s="1098"/>
      <c r="KA459" s="1098"/>
      <c r="KB459" s="1099"/>
    </row>
    <row r="460" spans="2:288" ht="15" customHeight="1" x14ac:dyDescent="0.35">
      <c r="B460" s="146" t="str">
        <f t="shared" si="37"/>
        <v>Desk 36</v>
      </c>
      <c r="C460" s="148" t="str">
        <v/>
      </c>
      <c r="D460" s="148" t="str">
        <v/>
      </c>
      <c r="E460" s="148" t="str">
        <v/>
      </c>
      <c r="F460" s="148" t="str">
        <v/>
      </c>
      <c r="G460" s="268" t="str">
        <v/>
      </c>
      <c r="H460" s="1098"/>
      <c r="I460" s="1098"/>
      <c r="J460" s="1098"/>
      <c r="K460" s="1098"/>
      <c r="L460" s="1098"/>
      <c r="M460" s="1098"/>
      <c r="N460" s="1098"/>
      <c r="O460" s="1098"/>
      <c r="P460" s="1098"/>
      <c r="Q460" s="1098"/>
      <c r="R460" s="1098"/>
      <c r="S460" s="1098"/>
      <c r="T460" s="1098"/>
      <c r="U460" s="1098"/>
      <c r="V460" s="1098"/>
      <c r="W460" s="1098"/>
      <c r="X460" s="1098"/>
      <c r="Y460" s="1098"/>
      <c r="Z460" s="1098"/>
      <c r="AA460" s="1098"/>
      <c r="AB460" s="1098"/>
      <c r="AC460" s="1098"/>
      <c r="AD460" s="1098"/>
      <c r="AE460" s="1098"/>
      <c r="AF460" s="1098"/>
      <c r="AG460" s="1098"/>
      <c r="AH460" s="1098"/>
      <c r="AI460" s="1098"/>
      <c r="AJ460" s="1098"/>
      <c r="AK460" s="1098"/>
      <c r="AL460" s="1098"/>
      <c r="AM460" s="1098"/>
      <c r="AN460" s="1098"/>
      <c r="AO460" s="1098"/>
      <c r="AP460" s="1098"/>
      <c r="AQ460" s="1098"/>
      <c r="AR460" s="1098"/>
      <c r="AS460" s="1098"/>
      <c r="AT460" s="1098"/>
      <c r="AU460" s="1098"/>
      <c r="AV460" s="1098"/>
      <c r="AW460" s="1098"/>
      <c r="AX460" s="1098"/>
      <c r="AY460" s="1098"/>
      <c r="AZ460" s="1098"/>
      <c r="BA460" s="1098"/>
      <c r="BB460" s="1098"/>
      <c r="BC460" s="1098"/>
      <c r="BD460" s="1098"/>
      <c r="BE460" s="1098"/>
      <c r="BF460" s="1098"/>
      <c r="BG460" s="1098"/>
      <c r="BH460" s="1098"/>
      <c r="BI460" s="1098"/>
      <c r="BJ460" s="1098"/>
      <c r="BK460" s="1098"/>
      <c r="BL460" s="1098"/>
      <c r="BM460" s="1098"/>
      <c r="BN460" s="1098"/>
      <c r="BO460" s="1098"/>
      <c r="BP460" s="1098"/>
      <c r="BQ460" s="1098"/>
      <c r="BR460" s="1098"/>
      <c r="BS460" s="1098"/>
      <c r="BT460" s="1098"/>
      <c r="BU460" s="1098"/>
      <c r="BV460" s="1098"/>
      <c r="BW460" s="1098"/>
      <c r="BX460" s="1098"/>
      <c r="BY460" s="1098"/>
      <c r="BZ460" s="1098"/>
      <c r="CA460" s="1098"/>
      <c r="CB460" s="1098"/>
      <c r="CC460" s="1098"/>
      <c r="CD460" s="1098"/>
      <c r="CE460" s="1098"/>
      <c r="CF460" s="1098"/>
      <c r="CG460" s="1098"/>
      <c r="CH460" s="1098"/>
      <c r="CI460" s="1098"/>
      <c r="CJ460" s="1098"/>
      <c r="CK460" s="1098"/>
      <c r="CL460" s="1098"/>
      <c r="CM460" s="1098"/>
      <c r="CN460" s="1098"/>
      <c r="CO460" s="1098"/>
      <c r="CP460" s="1098"/>
      <c r="CQ460" s="1098"/>
      <c r="CR460" s="1098"/>
      <c r="CS460" s="1098"/>
      <c r="CT460" s="1098"/>
      <c r="CU460" s="1098"/>
      <c r="CV460" s="1098"/>
      <c r="CW460" s="1098"/>
      <c r="CX460" s="1098"/>
      <c r="CY460" s="1098"/>
      <c r="CZ460" s="1098"/>
      <c r="DA460" s="1098"/>
      <c r="DB460" s="1098"/>
      <c r="DC460" s="1098"/>
      <c r="DD460" s="1098"/>
      <c r="DE460" s="1098"/>
      <c r="DF460" s="1098"/>
      <c r="DG460" s="1098"/>
      <c r="DH460" s="1098"/>
      <c r="DI460" s="1098"/>
      <c r="DJ460" s="1098"/>
      <c r="DK460" s="1098"/>
      <c r="DL460" s="1098"/>
      <c r="DM460" s="1098"/>
      <c r="DN460" s="1098"/>
      <c r="DO460" s="1098"/>
      <c r="DP460" s="1098"/>
      <c r="DQ460" s="1098"/>
      <c r="DR460" s="1098"/>
      <c r="DS460" s="1098"/>
      <c r="DT460" s="1098"/>
      <c r="DU460" s="1098"/>
      <c r="DV460" s="1098"/>
      <c r="DW460" s="1098"/>
      <c r="DX460" s="1098"/>
      <c r="DY460" s="1098"/>
      <c r="DZ460" s="1098"/>
      <c r="EA460" s="1098"/>
      <c r="EB460" s="1098"/>
      <c r="EC460" s="1098"/>
      <c r="ED460" s="1098"/>
      <c r="EE460" s="1098"/>
      <c r="EF460" s="1098"/>
      <c r="EG460" s="1098"/>
      <c r="EH460" s="1098"/>
      <c r="EI460" s="1098"/>
      <c r="EJ460" s="1098"/>
      <c r="EK460" s="1098"/>
      <c r="EL460" s="1098"/>
      <c r="EM460" s="1098"/>
      <c r="EN460" s="1098"/>
      <c r="EO460" s="1098"/>
      <c r="EP460" s="1098"/>
      <c r="EQ460" s="1098"/>
      <c r="ER460" s="1098"/>
      <c r="ES460" s="1098"/>
      <c r="ET460" s="1098"/>
      <c r="EU460" s="1098"/>
      <c r="EV460" s="1098"/>
      <c r="EW460" s="1098"/>
      <c r="EX460" s="1098"/>
      <c r="EY460" s="1098"/>
      <c r="EZ460" s="1098"/>
      <c r="FA460" s="1098"/>
      <c r="FB460" s="1098"/>
      <c r="FC460" s="1098"/>
      <c r="FD460" s="1098"/>
      <c r="FE460" s="1098"/>
      <c r="FF460" s="1098"/>
      <c r="FG460" s="1098"/>
      <c r="FH460" s="1098"/>
      <c r="FI460" s="1098"/>
      <c r="FJ460" s="1098"/>
      <c r="FK460" s="1098"/>
      <c r="FL460" s="1098"/>
      <c r="FM460" s="1098"/>
      <c r="FN460" s="1098"/>
      <c r="FO460" s="1098"/>
      <c r="FP460" s="1098"/>
      <c r="FQ460" s="1098"/>
      <c r="FR460" s="1098"/>
      <c r="FS460" s="1098"/>
      <c r="FT460" s="1098"/>
      <c r="FU460" s="1098"/>
      <c r="FV460" s="1098"/>
      <c r="FW460" s="1098"/>
      <c r="FX460" s="1098"/>
      <c r="FY460" s="1098"/>
      <c r="FZ460" s="1098"/>
      <c r="GA460" s="1098"/>
      <c r="GB460" s="1098"/>
      <c r="GC460" s="1098"/>
      <c r="GD460" s="1098"/>
      <c r="GE460" s="1098"/>
      <c r="GF460" s="1098"/>
      <c r="GG460" s="1098"/>
      <c r="GH460" s="1098"/>
      <c r="GI460" s="1098"/>
      <c r="GJ460" s="1098"/>
      <c r="GK460" s="1098"/>
      <c r="GL460" s="1098"/>
      <c r="GM460" s="1098"/>
      <c r="GN460" s="1098"/>
      <c r="GO460" s="1098"/>
      <c r="GP460" s="1098"/>
      <c r="GQ460" s="1098"/>
      <c r="GR460" s="1098"/>
      <c r="GS460" s="1098"/>
      <c r="GT460" s="1098"/>
      <c r="GU460" s="1098"/>
      <c r="GV460" s="1098"/>
      <c r="GW460" s="1098"/>
      <c r="GX460" s="1098"/>
      <c r="GY460" s="1098"/>
      <c r="GZ460" s="1098"/>
      <c r="HA460" s="1098"/>
      <c r="HB460" s="1098"/>
      <c r="HC460" s="1098"/>
      <c r="HD460" s="1098"/>
      <c r="HE460" s="1098"/>
      <c r="HF460" s="1098"/>
      <c r="HG460" s="1098"/>
      <c r="HH460" s="1098"/>
      <c r="HI460" s="1098"/>
      <c r="HJ460" s="1098"/>
      <c r="HK460" s="1098"/>
      <c r="HL460" s="1098"/>
      <c r="HM460" s="1098"/>
      <c r="HN460" s="1098"/>
      <c r="HO460" s="1098"/>
      <c r="HP460" s="1098"/>
      <c r="HQ460" s="1098"/>
      <c r="HR460" s="1098"/>
      <c r="HS460" s="1098"/>
      <c r="HT460" s="1098"/>
      <c r="HU460" s="1098"/>
      <c r="HV460" s="1098"/>
      <c r="HW460" s="1098"/>
      <c r="HX460" s="1098"/>
      <c r="HY460" s="1098"/>
      <c r="HZ460" s="1098"/>
      <c r="IA460" s="1098"/>
      <c r="IB460" s="1098"/>
      <c r="IC460" s="1098"/>
      <c r="ID460" s="1098"/>
      <c r="IE460" s="1098"/>
      <c r="IF460" s="1098"/>
      <c r="IG460" s="1098"/>
      <c r="IH460" s="1098"/>
      <c r="II460" s="1098"/>
      <c r="IJ460" s="1098"/>
      <c r="IK460" s="1098"/>
      <c r="IL460" s="1098"/>
      <c r="IM460" s="1098"/>
      <c r="IN460" s="1098"/>
      <c r="IO460" s="1098"/>
      <c r="IP460" s="1098"/>
      <c r="IQ460" s="1098"/>
      <c r="IR460" s="1098"/>
      <c r="IS460" s="1098"/>
      <c r="IT460" s="1098"/>
      <c r="IU460" s="1098"/>
      <c r="IV460" s="1098"/>
      <c r="IW460" s="1098"/>
      <c r="IX460" s="1098"/>
      <c r="IY460" s="1098"/>
      <c r="IZ460" s="1098"/>
      <c r="JA460" s="1098"/>
      <c r="JB460" s="1098"/>
      <c r="JC460" s="1098"/>
      <c r="JD460" s="1098"/>
      <c r="JE460" s="1098"/>
      <c r="JF460" s="1098"/>
      <c r="JG460" s="1098"/>
      <c r="JH460" s="1098"/>
      <c r="JI460" s="1098"/>
      <c r="JJ460" s="1098"/>
      <c r="JK460" s="1098"/>
      <c r="JL460" s="1098"/>
      <c r="JM460" s="1098"/>
      <c r="JN460" s="1098"/>
      <c r="JO460" s="1098"/>
      <c r="JP460" s="1098"/>
      <c r="JQ460" s="1098"/>
      <c r="JR460" s="1098"/>
      <c r="JS460" s="1098"/>
      <c r="JT460" s="1098"/>
      <c r="JU460" s="1098"/>
      <c r="JV460" s="1098"/>
      <c r="JW460" s="1098"/>
      <c r="JX460" s="1098"/>
      <c r="JY460" s="1098"/>
      <c r="JZ460" s="1098"/>
      <c r="KA460" s="1098"/>
      <c r="KB460" s="1099"/>
    </row>
    <row r="461" spans="2:288" ht="15" customHeight="1" x14ac:dyDescent="0.35">
      <c r="B461" s="146" t="str">
        <f t="shared" si="37"/>
        <v>Desk 37</v>
      </c>
      <c r="C461" s="148" t="str">
        <v/>
      </c>
      <c r="D461" s="148" t="str">
        <v/>
      </c>
      <c r="E461" s="148" t="str">
        <v/>
      </c>
      <c r="F461" s="148" t="str">
        <v/>
      </c>
      <c r="G461" s="268" t="str">
        <v/>
      </c>
      <c r="H461" s="1098"/>
      <c r="I461" s="1098"/>
      <c r="J461" s="1098"/>
      <c r="K461" s="1098"/>
      <c r="L461" s="1098"/>
      <c r="M461" s="1098"/>
      <c r="N461" s="1098"/>
      <c r="O461" s="1098"/>
      <c r="P461" s="1098"/>
      <c r="Q461" s="1098"/>
      <c r="R461" s="1098"/>
      <c r="S461" s="1098"/>
      <c r="T461" s="1098"/>
      <c r="U461" s="1098"/>
      <c r="V461" s="1098"/>
      <c r="W461" s="1098"/>
      <c r="X461" s="1098"/>
      <c r="Y461" s="1098"/>
      <c r="Z461" s="1098"/>
      <c r="AA461" s="1098"/>
      <c r="AB461" s="1098"/>
      <c r="AC461" s="1098"/>
      <c r="AD461" s="1098"/>
      <c r="AE461" s="1098"/>
      <c r="AF461" s="1098"/>
      <c r="AG461" s="1098"/>
      <c r="AH461" s="1098"/>
      <c r="AI461" s="1098"/>
      <c r="AJ461" s="1098"/>
      <c r="AK461" s="1098"/>
      <c r="AL461" s="1098"/>
      <c r="AM461" s="1098"/>
      <c r="AN461" s="1098"/>
      <c r="AO461" s="1098"/>
      <c r="AP461" s="1098"/>
      <c r="AQ461" s="1098"/>
      <c r="AR461" s="1098"/>
      <c r="AS461" s="1098"/>
      <c r="AT461" s="1098"/>
      <c r="AU461" s="1098"/>
      <c r="AV461" s="1098"/>
      <c r="AW461" s="1098"/>
      <c r="AX461" s="1098"/>
      <c r="AY461" s="1098"/>
      <c r="AZ461" s="1098"/>
      <c r="BA461" s="1098"/>
      <c r="BB461" s="1098"/>
      <c r="BC461" s="1098"/>
      <c r="BD461" s="1098"/>
      <c r="BE461" s="1098"/>
      <c r="BF461" s="1098"/>
      <c r="BG461" s="1098"/>
      <c r="BH461" s="1098"/>
      <c r="BI461" s="1098"/>
      <c r="BJ461" s="1098"/>
      <c r="BK461" s="1098"/>
      <c r="BL461" s="1098"/>
      <c r="BM461" s="1098"/>
      <c r="BN461" s="1098"/>
      <c r="BO461" s="1098"/>
      <c r="BP461" s="1098"/>
      <c r="BQ461" s="1098"/>
      <c r="BR461" s="1098"/>
      <c r="BS461" s="1098"/>
      <c r="BT461" s="1098"/>
      <c r="BU461" s="1098"/>
      <c r="BV461" s="1098"/>
      <c r="BW461" s="1098"/>
      <c r="BX461" s="1098"/>
      <c r="BY461" s="1098"/>
      <c r="BZ461" s="1098"/>
      <c r="CA461" s="1098"/>
      <c r="CB461" s="1098"/>
      <c r="CC461" s="1098"/>
      <c r="CD461" s="1098"/>
      <c r="CE461" s="1098"/>
      <c r="CF461" s="1098"/>
      <c r="CG461" s="1098"/>
      <c r="CH461" s="1098"/>
      <c r="CI461" s="1098"/>
      <c r="CJ461" s="1098"/>
      <c r="CK461" s="1098"/>
      <c r="CL461" s="1098"/>
      <c r="CM461" s="1098"/>
      <c r="CN461" s="1098"/>
      <c r="CO461" s="1098"/>
      <c r="CP461" s="1098"/>
      <c r="CQ461" s="1098"/>
      <c r="CR461" s="1098"/>
      <c r="CS461" s="1098"/>
      <c r="CT461" s="1098"/>
      <c r="CU461" s="1098"/>
      <c r="CV461" s="1098"/>
      <c r="CW461" s="1098"/>
      <c r="CX461" s="1098"/>
      <c r="CY461" s="1098"/>
      <c r="CZ461" s="1098"/>
      <c r="DA461" s="1098"/>
      <c r="DB461" s="1098"/>
      <c r="DC461" s="1098"/>
      <c r="DD461" s="1098"/>
      <c r="DE461" s="1098"/>
      <c r="DF461" s="1098"/>
      <c r="DG461" s="1098"/>
      <c r="DH461" s="1098"/>
      <c r="DI461" s="1098"/>
      <c r="DJ461" s="1098"/>
      <c r="DK461" s="1098"/>
      <c r="DL461" s="1098"/>
      <c r="DM461" s="1098"/>
      <c r="DN461" s="1098"/>
      <c r="DO461" s="1098"/>
      <c r="DP461" s="1098"/>
      <c r="DQ461" s="1098"/>
      <c r="DR461" s="1098"/>
      <c r="DS461" s="1098"/>
      <c r="DT461" s="1098"/>
      <c r="DU461" s="1098"/>
      <c r="DV461" s="1098"/>
      <c r="DW461" s="1098"/>
      <c r="DX461" s="1098"/>
      <c r="DY461" s="1098"/>
      <c r="DZ461" s="1098"/>
      <c r="EA461" s="1098"/>
      <c r="EB461" s="1098"/>
      <c r="EC461" s="1098"/>
      <c r="ED461" s="1098"/>
      <c r="EE461" s="1098"/>
      <c r="EF461" s="1098"/>
      <c r="EG461" s="1098"/>
      <c r="EH461" s="1098"/>
      <c r="EI461" s="1098"/>
      <c r="EJ461" s="1098"/>
      <c r="EK461" s="1098"/>
      <c r="EL461" s="1098"/>
      <c r="EM461" s="1098"/>
      <c r="EN461" s="1098"/>
      <c r="EO461" s="1098"/>
      <c r="EP461" s="1098"/>
      <c r="EQ461" s="1098"/>
      <c r="ER461" s="1098"/>
      <c r="ES461" s="1098"/>
      <c r="ET461" s="1098"/>
      <c r="EU461" s="1098"/>
      <c r="EV461" s="1098"/>
      <c r="EW461" s="1098"/>
      <c r="EX461" s="1098"/>
      <c r="EY461" s="1098"/>
      <c r="EZ461" s="1098"/>
      <c r="FA461" s="1098"/>
      <c r="FB461" s="1098"/>
      <c r="FC461" s="1098"/>
      <c r="FD461" s="1098"/>
      <c r="FE461" s="1098"/>
      <c r="FF461" s="1098"/>
      <c r="FG461" s="1098"/>
      <c r="FH461" s="1098"/>
      <c r="FI461" s="1098"/>
      <c r="FJ461" s="1098"/>
      <c r="FK461" s="1098"/>
      <c r="FL461" s="1098"/>
      <c r="FM461" s="1098"/>
      <c r="FN461" s="1098"/>
      <c r="FO461" s="1098"/>
      <c r="FP461" s="1098"/>
      <c r="FQ461" s="1098"/>
      <c r="FR461" s="1098"/>
      <c r="FS461" s="1098"/>
      <c r="FT461" s="1098"/>
      <c r="FU461" s="1098"/>
      <c r="FV461" s="1098"/>
      <c r="FW461" s="1098"/>
      <c r="FX461" s="1098"/>
      <c r="FY461" s="1098"/>
      <c r="FZ461" s="1098"/>
      <c r="GA461" s="1098"/>
      <c r="GB461" s="1098"/>
      <c r="GC461" s="1098"/>
      <c r="GD461" s="1098"/>
      <c r="GE461" s="1098"/>
      <c r="GF461" s="1098"/>
      <c r="GG461" s="1098"/>
      <c r="GH461" s="1098"/>
      <c r="GI461" s="1098"/>
      <c r="GJ461" s="1098"/>
      <c r="GK461" s="1098"/>
      <c r="GL461" s="1098"/>
      <c r="GM461" s="1098"/>
      <c r="GN461" s="1098"/>
      <c r="GO461" s="1098"/>
      <c r="GP461" s="1098"/>
      <c r="GQ461" s="1098"/>
      <c r="GR461" s="1098"/>
      <c r="GS461" s="1098"/>
      <c r="GT461" s="1098"/>
      <c r="GU461" s="1098"/>
      <c r="GV461" s="1098"/>
      <c r="GW461" s="1098"/>
      <c r="GX461" s="1098"/>
      <c r="GY461" s="1098"/>
      <c r="GZ461" s="1098"/>
      <c r="HA461" s="1098"/>
      <c r="HB461" s="1098"/>
      <c r="HC461" s="1098"/>
      <c r="HD461" s="1098"/>
      <c r="HE461" s="1098"/>
      <c r="HF461" s="1098"/>
      <c r="HG461" s="1098"/>
      <c r="HH461" s="1098"/>
      <c r="HI461" s="1098"/>
      <c r="HJ461" s="1098"/>
      <c r="HK461" s="1098"/>
      <c r="HL461" s="1098"/>
      <c r="HM461" s="1098"/>
      <c r="HN461" s="1098"/>
      <c r="HO461" s="1098"/>
      <c r="HP461" s="1098"/>
      <c r="HQ461" s="1098"/>
      <c r="HR461" s="1098"/>
      <c r="HS461" s="1098"/>
      <c r="HT461" s="1098"/>
      <c r="HU461" s="1098"/>
      <c r="HV461" s="1098"/>
      <c r="HW461" s="1098"/>
      <c r="HX461" s="1098"/>
      <c r="HY461" s="1098"/>
      <c r="HZ461" s="1098"/>
      <c r="IA461" s="1098"/>
      <c r="IB461" s="1098"/>
      <c r="IC461" s="1098"/>
      <c r="ID461" s="1098"/>
      <c r="IE461" s="1098"/>
      <c r="IF461" s="1098"/>
      <c r="IG461" s="1098"/>
      <c r="IH461" s="1098"/>
      <c r="II461" s="1098"/>
      <c r="IJ461" s="1098"/>
      <c r="IK461" s="1098"/>
      <c r="IL461" s="1098"/>
      <c r="IM461" s="1098"/>
      <c r="IN461" s="1098"/>
      <c r="IO461" s="1098"/>
      <c r="IP461" s="1098"/>
      <c r="IQ461" s="1098"/>
      <c r="IR461" s="1098"/>
      <c r="IS461" s="1098"/>
      <c r="IT461" s="1098"/>
      <c r="IU461" s="1098"/>
      <c r="IV461" s="1098"/>
      <c r="IW461" s="1098"/>
      <c r="IX461" s="1098"/>
      <c r="IY461" s="1098"/>
      <c r="IZ461" s="1098"/>
      <c r="JA461" s="1098"/>
      <c r="JB461" s="1098"/>
      <c r="JC461" s="1098"/>
      <c r="JD461" s="1098"/>
      <c r="JE461" s="1098"/>
      <c r="JF461" s="1098"/>
      <c r="JG461" s="1098"/>
      <c r="JH461" s="1098"/>
      <c r="JI461" s="1098"/>
      <c r="JJ461" s="1098"/>
      <c r="JK461" s="1098"/>
      <c r="JL461" s="1098"/>
      <c r="JM461" s="1098"/>
      <c r="JN461" s="1098"/>
      <c r="JO461" s="1098"/>
      <c r="JP461" s="1098"/>
      <c r="JQ461" s="1098"/>
      <c r="JR461" s="1098"/>
      <c r="JS461" s="1098"/>
      <c r="JT461" s="1098"/>
      <c r="JU461" s="1098"/>
      <c r="JV461" s="1098"/>
      <c r="JW461" s="1098"/>
      <c r="JX461" s="1098"/>
      <c r="JY461" s="1098"/>
      <c r="JZ461" s="1098"/>
      <c r="KA461" s="1098"/>
      <c r="KB461" s="1099"/>
    </row>
    <row r="462" spans="2:288" ht="15" customHeight="1" x14ac:dyDescent="0.35">
      <c r="B462" s="146" t="str">
        <f t="shared" si="37"/>
        <v>Desk 38</v>
      </c>
      <c r="C462" s="148" t="str">
        <v/>
      </c>
      <c r="D462" s="148" t="str">
        <v/>
      </c>
      <c r="E462" s="148" t="str">
        <v/>
      </c>
      <c r="F462" s="148" t="str">
        <v/>
      </c>
      <c r="G462" s="268" t="str">
        <v/>
      </c>
      <c r="H462" s="1098"/>
      <c r="I462" s="1098"/>
      <c r="J462" s="1098"/>
      <c r="K462" s="1098"/>
      <c r="L462" s="1098"/>
      <c r="M462" s="1098"/>
      <c r="N462" s="1098"/>
      <c r="O462" s="1098"/>
      <c r="P462" s="1098"/>
      <c r="Q462" s="1098"/>
      <c r="R462" s="1098"/>
      <c r="S462" s="1098"/>
      <c r="T462" s="1098"/>
      <c r="U462" s="1098"/>
      <c r="V462" s="1098"/>
      <c r="W462" s="1098"/>
      <c r="X462" s="1098"/>
      <c r="Y462" s="1098"/>
      <c r="Z462" s="1098"/>
      <c r="AA462" s="1098"/>
      <c r="AB462" s="1098"/>
      <c r="AC462" s="1098"/>
      <c r="AD462" s="1098"/>
      <c r="AE462" s="1098"/>
      <c r="AF462" s="1098"/>
      <c r="AG462" s="1098"/>
      <c r="AH462" s="1098"/>
      <c r="AI462" s="1098"/>
      <c r="AJ462" s="1098"/>
      <c r="AK462" s="1098"/>
      <c r="AL462" s="1098"/>
      <c r="AM462" s="1098"/>
      <c r="AN462" s="1098"/>
      <c r="AO462" s="1098"/>
      <c r="AP462" s="1098"/>
      <c r="AQ462" s="1098"/>
      <c r="AR462" s="1098"/>
      <c r="AS462" s="1098"/>
      <c r="AT462" s="1098"/>
      <c r="AU462" s="1098"/>
      <c r="AV462" s="1098"/>
      <c r="AW462" s="1098"/>
      <c r="AX462" s="1098"/>
      <c r="AY462" s="1098"/>
      <c r="AZ462" s="1098"/>
      <c r="BA462" s="1098"/>
      <c r="BB462" s="1098"/>
      <c r="BC462" s="1098"/>
      <c r="BD462" s="1098"/>
      <c r="BE462" s="1098"/>
      <c r="BF462" s="1098"/>
      <c r="BG462" s="1098"/>
      <c r="BH462" s="1098"/>
      <c r="BI462" s="1098"/>
      <c r="BJ462" s="1098"/>
      <c r="BK462" s="1098"/>
      <c r="BL462" s="1098"/>
      <c r="BM462" s="1098"/>
      <c r="BN462" s="1098"/>
      <c r="BO462" s="1098"/>
      <c r="BP462" s="1098"/>
      <c r="BQ462" s="1098"/>
      <c r="BR462" s="1098"/>
      <c r="BS462" s="1098"/>
      <c r="BT462" s="1098"/>
      <c r="BU462" s="1098"/>
      <c r="BV462" s="1098"/>
      <c r="BW462" s="1098"/>
      <c r="BX462" s="1098"/>
      <c r="BY462" s="1098"/>
      <c r="BZ462" s="1098"/>
      <c r="CA462" s="1098"/>
      <c r="CB462" s="1098"/>
      <c r="CC462" s="1098"/>
      <c r="CD462" s="1098"/>
      <c r="CE462" s="1098"/>
      <c r="CF462" s="1098"/>
      <c r="CG462" s="1098"/>
      <c r="CH462" s="1098"/>
      <c r="CI462" s="1098"/>
      <c r="CJ462" s="1098"/>
      <c r="CK462" s="1098"/>
      <c r="CL462" s="1098"/>
      <c r="CM462" s="1098"/>
      <c r="CN462" s="1098"/>
      <c r="CO462" s="1098"/>
      <c r="CP462" s="1098"/>
      <c r="CQ462" s="1098"/>
      <c r="CR462" s="1098"/>
      <c r="CS462" s="1098"/>
      <c r="CT462" s="1098"/>
      <c r="CU462" s="1098"/>
      <c r="CV462" s="1098"/>
      <c r="CW462" s="1098"/>
      <c r="CX462" s="1098"/>
      <c r="CY462" s="1098"/>
      <c r="CZ462" s="1098"/>
      <c r="DA462" s="1098"/>
      <c r="DB462" s="1098"/>
      <c r="DC462" s="1098"/>
      <c r="DD462" s="1098"/>
      <c r="DE462" s="1098"/>
      <c r="DF462" s="1098"/>
      <c r="DG462" s="1098"/>
      <c r="DH462" s="1098"/>
      <c r="DI462" s="1098"/>
      <c r="DJ462" s="1098"/>
      <c r="DK462" s="1098"/>
      <c r="DL462" s="1098"/>
      <c r="DM462" s="1098"/>
      <c r="DN462" s="1098"/>
      <c r="DO462" s="1098"/>
      <c r="DP462" s="1098"/>
      <c r="DQ462" s="1098"/>
      <c r="DR462" s="1098"/>
      <c r="DS462" s="1098"/>
      <c r="DT462" s="1098"/>
      <c r="DU462" s="1098"/>
      <c r="DV462" s="1098"/>
      <c r="DW462" s="1098"/>
      <c r="DX462" s="1098"/>
      <c r="DY462" s="1098"/>
      <c r="DZ462" s="1098"/>
      <c r="EA462" s="1098"/>
      <c r="EB462" s="1098"/>
      <c r="EC462" s="1098"/>
      <c r="ED462" s="1098"/>
      <c r="EE462" s="1098"/>
      <c r="EF462" s="1098"/>
      <c r="EG462" s="1098"/>
      <c r="EH462" s="1098"/>
      <c r="EI462" s="1098"/>
      <c r="EJ462" s="1098"/>
      <c r="EK462" s="1098"/>
      <c r="EL462" s="1098"/>
      <c r="EM462" s="1098"/>
      <c r="EN462" s="1098"/>
      <c r="EO462" s="1098"/>
      <c r="EP462" s="1098"/>
      <c r="EQ462" s="1098"/>
      <c r="ER462" s="1098"/>
      <c r="ES462" s="1098"/>
      <c r="ET462" s="1098"/>
      <c r="EU462" s="1098"/>
      <c r="EV462" s="1098"/>
      <c r="EW462" s="1098"/>
      <c r="EX462" s="1098"/>
      <c r="EY462" s="1098"/>
      <c r="EZ462" s="1098"/>
      <c r="FA462" s="1098"/>
      <c r="FB462" s="1098"/>
      <c r="FC462" s="1098"/>
      <c r="FD462" s="1098"/>
      <c r="FE462" s="1098"/>
      <c r="FF462" s="1098"/>
      <c r="FG462" s="1098"/>
      <c r="FH462" s="1098"/>
      <c r="FI462" s="1098"/>
      <c r="FJ462" s="1098"/>
      <c r="FK462" s="1098"/>
      <c r="FL462" s="1098"/>
      <c r="FM462" s="1098"/>
      <c r="FN462" s="1098"/>
      <c r="FO462" s="1098"/>
      <c r="FP462" s="1098"/>
      <c r="FQ462" s="1098"/>
      <c r="FR462" s="1098"/>
      <c r="FS462" s="1098"/>
      <c r="FT462" s="1098"/>
      <c r="FU462" s="1098"/>
      <c r="FV462" s="1098"/>
      <c r="FW462" s="1098"/>
      <c r="FX462" s="1098"/>
      <c r="FY462" s="1098"/>
      <c r="FZ462" s="1098"/>
      <c r="GA462" s="1098"/>
      <c r="GB462" s="1098"/>
      <c r="GC462" s="1098"/>
      <c r="GD462" s="1098"/>
      <c r="GE462" s="1098"/>
      <c r="GF462" s="1098"/>
      <c r="GG462" s="1098"/>
      <c r="GH462" s="1098"/>
      <c r="GI462" s="1098"/>
      <c r="GJ462" s="1098"/>
      <c r="GK462" s="1098"/>
      <c r="GL462" s="1098"/>
      <c r="GM462" s="1098"/>
      <c r="GN462" s="1098"/>
      <c r="GO462" s="1098"/>
      <c r="GP462" s="1098"/>
      <c r="GQ462" s="1098"/>
      <c r="GR462" s="1098"/>
      <c r="GS462" s="1098"/>
      <c r="GT462" s="1098"/>
      <c r="GU462" s="1098"/>
      <c r="GV462" s="1098"/>
      <c r="GW462" s="1098"/>
      <c r="GX462" s="1098"/>
      <c r="GY462" s="1098"/>
      <c r="GZ462" s="1098"/>
      <c r="HA462" s="1098"/>
      <c r="HB462" s="1098"/>
      <c r="HC462" s="1098"/>
      <c r="HD462" s="1098"/>
      <c r="HE462" s="1098"/>
      <c r="HF462" s="1098"/>
      <c r="HG462" s="1098"/>
      <c r="HH462" s="1098"/>
      <c r="HI462" s="1098"/>
      <c r="HJ462" s="1098"/>
      <c r="HK462" s="1098"/>
      <c r="HL462" s="1098"/>
      <c r="HM462" s="1098"/>
      <c r="HN462" s="1098"/>
      <c r="HO462" s="1098"/>
      <c r="HP462" s="1098"/>
      <c r="HQ462" s="1098"/>
      <c r="HR462" s="1098"/>
      <c r="HS462" s="1098"/>
      <c r="HT462" s="1098"/>
      <c r="HU462" s="1098"/>
      <c r="HV462" s="1098"/>
      <c r="HW462" s="1098"/>
      <c r="HX462" s="1098"/>
      <c r="HY462" s="1098"/>
      <c r="HZ462" s="1098"/>
      <c r="IA462" s="1098"/>
      <c r="IB462" s="1098"/>
      <c r="IC462" s="1098"/>
      <c r="ID462" s="1098"/>
      <c r="IE462" s="1098"/>
      <c r="IF462" s="1098"/>
      <c r="IG462" s="1098"/>
      <c r="IH462" s="1098"/>
      <c r="II462" s="1098"/>
      <c r="IJ462" s="1098"/>
      <c r="IK462" s="1098"/>
      <c r="IL462" s="1098"/>
      <c r="IM462" s="1098"/>
      <c r="IN462" s="1098"/>
      <c r="IO462" s="1098"/>
      <c r="IP462" s="1098"/>
      <c r="IQ462" s="1098"/>
      <c r="IR462" s="1098"/>
      <c r="IS462" s="1098"/>
      <c r="IT462" s="1098"/>
      <c r="IU462" s="1098"/>
      <c r="IV462" s="1098"/>
      <c r="IW462" s="1098"/>
      <c r="IX462" s="1098"/>
      <c r="IY462" s="1098"/>
      <c r="IZ462" s="1098"/>
      <c r="JA462" s="1098"/>
      <c r="JB462" s="1098"/>
      <c r="JC462" s="1098"/>
      <c r="JD462" s="1098"/>
      <c r="JE462" s="1098"/>
      <c r="JF462" s="1098"/>
      <c r="JG462" s="1098"/>
      <c r="JH462" s="1098"/>
      <c r="JI462" s="1098"/>
      <c r="JJ462" s="1098"/>
      <c r="JK462" s="1098"/>
      <c r="JL462" s="1098"/>
      <c r="JM462" s="1098"/>
      <c r="JN462" s="1098"/>
      <c r="JO462" s="1098"/>
      <c r="JP462" s="1098"/>
      <c r="JQ462" s="1098"/>
      <c r="JR462" s="1098"/>
      <c r="JS462" s="1098"/>
      <c r="JT462" s="1098"/>
      <c r="JU462" s="1098"/>
      <c r="JV462" s="1098"/>
      <c r="JW462" s="1098"/>
      <c r="JX462" s="1098"/>
      <c r="JY462" s="1098"/>
      <c r="JZ462" s="1098"/>
      <c r="KA462" s="1098"/>
      <c r="KB462" s="1099"/>
    </row>
    <row r="463" spans="2:288" ht="15" customHeight="1" x14ac:dyDescent="0.35">
      <c r="B463" s="146" t="str">
        <f t="shared" si="37"/>
        <v>Desk 39</v>
      </c>
      <c r="C463" s="148" t="str">
        <v/>
      </c>
      <c r="D463" s="148" t="str">
        <v/>
      </c>
      <c r="E463" s="148" t="str">
        <v/>
      </c>
      <c r="F463" s="148" t="str">
        <v/>
      </c>
      <c r="G463" s="268" t="str">
        <v/>
      </c>
      <c r="H463" s="1098"/>
      <c r="I463" s="1098"/>
      <c r="J463" s="1098"/>
      <c r="K463" s="1098"/>
      <c r="L463" s="1098"/>
      <c r="M463" s="1098"/>
      <c r="N463" s="1098"/>
      <c r="O463" s="1098"/>
      <c r="P463" s="1098"/>
      <c r="Q463" s="1098"/>
      <c r="R463" s="1098"/>
      <c r="S463" s="1098"/>
      <c r="T463" s="1098"/>
      <c r="U463" s="1098"/>
      <c r="V463" s="1098"/>
      <c r="W463" s="1098"/>
      <c r="X463" s="1098"/>
      <c r="Y463" s="1098"/>
      <c r="Z463" s="1098"/>
      <c r="AA463" s="1098"/>
      <c r="AB463" s="1098"/>
      <c r="AC463" s="1098"/>
      <c r="AD463" s="1098"/>
      <c r="AE463" s="1098"/>
      <c r="AF463" s="1098"/>
      <c r="AG463" s="1098"/>
      <c r="AH463" s="1098"/>
      <c r="AI463" s="1098"/>
      <c r="AJ463" s="1098"/>
      <c r="AK463" s="1098"/>
      <c r="AL463" s="1098"/>
      <c r="AM463" s="1098"/>
      <c r="AN463" s="1098"/>
      <c r="AO463" s="1098"/>
      <c r="AP463" s="1098"/>
      <c r="AQ463" s="1098"/>
      <c r="AR463" s="1098"/>
      <c r="AS463" s="1098"/>
      <c r="AT463" s="1098"/>
      <c r="AU463" s="1098"/>
      <c r="AV463" s="1098"/>
      <c r="AW463" s="1098"/>
      <c r="AX463" s="1098"/>
      <c r="AY463" s="1098"/>
      <c r="AZ463" s="1098"/>
      <c r="BA463" s="1098"/>
      <c r="BB463" s="1098"/>
      <c r="BC463" s="1098"/>
      <c r="BD463" s="1098"/>
      <c r="BE463" s="1098"/>
      <c r="BF463" s="1098"/>
      <c r="BG463" s="1098"/>
      <c r="BH463" s="1098"/>
      <c r="BI463" s="1098"/>
      <c r="BJ463" s="1098"/>
      <c r="BK463" s="1098"/>
      <c r="BL463" s="1098"/>
      <c r="BM463" s="1098"/>
      <c r="BN463" s="1098"/>
      <c r="BO463" s="1098"/>
      <c r="BP463" s="1098"/>
      <c r="BQ463" s="1098"/>
      <c r="BR463" s="1098"/>
      <c r="BS463" s="1098"/>
      <c r="BT463" s="1098"/>
      <c r="BU463" s="1098"/>
      <c r="BV463" s="1098"/>
      <c r="BW463" s="1098"/>
      <c r="BX463" s="1098"/>
      <c r="BY463" s="1098"/>
      <c r="BZ463" s="1098"/>
      <c r="CA463" s="1098"/>
      <c r="CB463" s="1098"/>
      <c r="CC463" s="1098"/>
      <c r="CD463" s="1098"/>
      <c r="CE463" s="1098"/>
      <c r="CF463" s="1098"/>
      <c r="CG463" s="1098"/>
      <c r="CH463" s="1098"/>
      <c r="CI463" s="1098"/>
      <c r="CJ463" s="1098"/>
      <c r="CK463" s="1098"/>
      <c r="CL463" s="1098"/>
      <c r="CM463" s="1098"/>
      <c r="CN463" s="1098"/>
      <c r="CO463" s="1098"/>
      <c r="CP463" s="1098"/>
      <c r="CQ463" s="1098"/>
      <c r="CR463" s="1098"/>
      <c r="CS463" s="1098"/>
      <c r="CT463" s="1098"/>
      <c r="CU463" s="1098"/>
      <c r="CV463" s="1098"/>
      <c r="CW463" s="1098"/>
      <c r="CX463" s="1098"/>
      <c r="CY463" s="1098"/>
      <c r="CZ463" s="1098"/>
      <c r="DA463" s="1098"/>
      <c r="DB463" s="1098"/>
      <c r="DC463" s="1098"/>
      <c r="DD463" s="1098"/>
      <c r="DE463" s="1098"/>
      <c r="DF463" s="1098"/>
      <c r="DG463" s="1098"/>
      <c r="DH463" s="1098"/>
      <c r="DI463" s="1098"/>
      <c r="DJ463" s="1098"/>
      <c r="DK463" s="1098"/>
      <c r="DL463" s="1098"/>
      <c r="DM463" s="1098"/>
      <c r="DN463" s="1098"/>
      <c r="DO463" s="1098"/>
      <c r="DP463" s="1098"/>
      <c r="DQ463" s="1098"/>
      <c r="DR463" s="1098"/>
      <c r="DS463" s="1098"/>
      <c r="DT463" s="1098"/>
      <c r="DU463" s="1098"/>
      <c r="DV463" s="1098"/>
      <c r="DW463" s="1098"/>
      <c r="DX463" s="1098"/>
      <c r="DY463" s="1098"/>
      <c r="DZ463" s="1098"/>
      <c r="EA463" s="1098"/>
      <c r="EB463" s="1098"/>
      <c r="EC463" s="1098"/>
      <c r="ED463" s="1098"/>
      <c r="EE463" s="1098"/>
      <c r="EF463" s="1098"/>
      <c r="EG463" s="1098"/>
      <c r="EH463" s="1098"/>
      <c r="EI463" s="1098"/>
      <c r="EJ463" s="1098"/>
      <c r="EK463" s="1098"/>
      <c r="EL463" s="1098"/>
      <c r="EM463" s="1098"/>
      <c r="EN463" s="1098"/>
      <c r="EO463" s="1098"/>
      <c r="EP463" s="1098"/>
      <c r="EQ463" s="1098"/>
      <c r="ER463" s="1098"/>
      <c r="ES463" s="1098"/>
      <c r="ET463" s="1098"/>
      <c r="EU463" s="1098"/>
      <c r="EV463" s="1098"/>
      <c r="EW463" s="1098"/>
      <c r="EX463" s="1098"/>
      <c r="EY463" s="1098"/>
      <c r="EZ463" s="1098"/>
      <c r="FA463" s="1098"/>
      <c r="FB463" s="1098"/>
      <c r="FC463" s="1098"/>
      <c r="FD463" s="1098"/>
      <c r="FE463" s="1098"/>
      <c r="FF463" s="1098"/>
      <c r="FG463" s="1098"/>
      <c r="FH463" s="1098"/>
      <c r="FI463" s="1098"/>
      <c r="FJ463" s="1098"/>
      <c r="FK463" s="1098"/>
      <c r="FL463" s="1098"/>
      <c r="FM463" s="1098"/>
      <c r="FN463" s="1098"/>
      <c r="FO463" s="1098"/>
      <c r="FP463" s="1098"/>
      <c r="FQ463" s="1098"/>
      <c r="FR463" s="1098"/>
      <c r="FS463" s="1098"/>
      <c r="FT463" s="1098"/>
      <c r="FU463" s="1098"/>
      <c r="FV463" s="1098"/>
      <c r="FW463" s="1098"/>
      <c r="FX463" s="1098"/>
      <c r="FY463" s="1098"/>
      <c r="FZ463" s="1098"/>
      <c r="GA463" s="1098"/>
      <c r="GB463" s="1098"/>
      <c r="GC463" s="1098"/>
      <c r="GD463" s="1098"/>
      <c r="GE463" s="1098"/>
      <c r="GF463" s="1098"/>
      <c r="GG463" s="1098"/>
      <c r="GH463" s="1098"/>
      <c r="GI463" s="1098"/>
      <c r="GJ463" s="1098"/>
      <c r="GK463" s="1098"/>
      <c r="GL463" s="1098"/>
      <c r="GM463" s="1098"/>
      <c r="GN463" s="1098"/>
      <c r="GO463" s="1098"/>
      <c r="GP463" s="1098"/>
      <c r="GQ463" s="1098"/>
      <c r="GR463" s="1098"/>
      <c r="GS463" s="1098"/>
      <c r="GT463" s="1098"/>
      <c r="GU463" s="1098"/>
      <c r="GV463" s="1098"/>
      <c r="GW463" s="1098"/>
      <c r="GX463" s="1098"/>
      <c r="GY463" s="1098"/>
      <c r="GZ463" s="1098"/>
      <c r="HA463" s="1098"/>
      <c r="HB463" s="1098"/>
      <c r="HC463" s="1098"/>
      <c r="HD463" s="1098"/>
      <c r="HE463" s="1098"/>
      <c r="HF463" s="1098"/>
      <c r="HG463" s="1098"/>
      <c r="HH463" s="1098"/>
      <c r="HI463" s="1098"/>
      <c r="HJ463" s="1098"/>
      <c r="HK463" s="1098"/>
      <c r="HL463" s="1098"/>
      <c r="HM463" s="1098"/>
      <c r="HN463" s="1098"/>
      <c r="HO463" s="1098"/>
      <c r="HP463" s="1098"/>
      <c r="HQ463" s="1098"/>
      <c r="HR463" s="1098"/>
      <c r="HS463" s="1098"/>
      <c r="HT463" s="1098"/>
      <c r="HU463" s="1098"/>
      <c r="HV463" s="1098"/>
      <c r="HW463" s="1098"/>
      <c r="HX463" s="1098"/>
      <c r="HY463" s="1098"/>
      <c r="HZ463" s="1098"/>
      <c r="IA463" s="1098"/>
      <c r="IB463" s="1098"/>
      <c r="IC463" s="1098"/>
      <c r="ID463" s="1098"/>
      <c r="IE463" s="1098"/>
      <c r="IF463" s="1098"/>
      <c r="IG463" s="1098"/>
      <c r="IH463" s="1098"/>
      <c r="II463" s="1098"/>
      <c r="IJ463" s="1098"/>
      <c r="IK463" s="1098"/>
      <c r="IL463" s="1098"/>
      <c r="IM463" s="1098"/>
      <c r="IN463" s="1098"/>
      <c r="IO463" s="1098"/>
      <c r="IP463" s="1098"/>
      <c r="IQ463" s="1098"/>
      <c r="IR463" s="1098"/>
      <c r="IS463" s="1098"/>
      <c r="IT463" s="1098"/>
      <c r="IU463" s="1098"/>
      <c r="IV463" s="1098"/>
      <c r="IW463" s="1098"/>
      <c r="IX463" s="1098"/>
      <c r="IY463" s="1098"/>
      <c r="IZ463" s="1098"/>
      <c r="JA463" s="1098"/>
      <c r="JB463" s="1098"/>
      <c r="JC463" s="1098"/>
      <c r="JD463" s="1098"/>
      <c r="JE463" s="1098"/>
      <c r="JF463" s="1098"/>
      <c r="JG463" s="1098"/>
      <c r="JH463" s="1098"/>
      <c r="JI463" s="1098"/>
      <c r="JJ463" s="1098"/>
      <c r="JK463" s="1098"/>
      <c r="JL463" s="1098"/>
      <c r="JM463" s="1098"/>
      <c r="JN463" s="1098"/>
      <c r="JO463" s="1098"/>
      <c r="JP463" s="1098"/>
      <c r="JQ463" s="1098"/>
      <c r="JR463" s="1098"/>
      <c r="JS463" s="1098"/>
      <c r="JT463" s="1098"/>
      <c r="JU463" s="1098"/>
      <c r="JV463" s="1098"/>
      <c r="JW463" s="1098"/>
      <c r="JX463" s="1098"/>
      <c r="JY463" s="1098"/>
      <c r="JZ463" s="1098"/>
      <c r="KA463" s="1098"/>
      <c r="KB463" s="1099"/>
    </row>
    <row r="464" spans="2:288" ht="15" customHeight="1" x14ac:dyDescent="0.35">
      <c r="B464" s="146" t="str">
        <f t="shared" si="37"/>
        <v>Desk 40</v>
      </c>
      <c r="C464" s="148" t="str">
        <v/>
      </c>
      <c r="D464" s="148" t="str">
        <v/>
      </c>
      <c r="E464" s="148" t="str">
        <v/>
      </c>
      <c r="F464" s="148" t="str">
        <v/>
      </c>
      <c r="G464" s="268" t="str">
        <v/>
      </c>
      <c r="H464" s="1098"/>
      <c r="I464" s="1098"/>
      <c r="J464" s="1098"/>
      <c r="K464" s="1098"/>
      <c r="L464" s="1098"/>
      <c r="M464" s="1098"/>
      <c r="N464" s="1098"/>
      <c r="O464" s="1098"/>
      <c r="P464" s="1098"/>
      <c r="Q464" s="1098"/>
      <c r="R464" s="1098"/>
      <c r="S464" s="1098"/>
      <c r="T464" s="1098"/>
      <c r="U464" s="1098"/>
      <c r="V464" s="1098"/>
      <c r="W464" s="1098"/>
      <c r="X464" s="1098"/>
      <c r="Y464" s="1098"/>
      <c r="Z464" s="1098"/>
      <c r="AA464" s="1098"/>
      <c r="AB464" s="1098"/>
      <c r="AC464" s="1098"/>
      <c r="AD464" s="1098"/>
      <c r="AE464" s="1098"/>
      <c r="AF464" s="1098"/>
      <c r="AG464" s="1098"/>
      <c r="AH464" s="1098"/>
      <c r="AI464" s="1098"/>
      <c r="AJ464" s="1098"/>
      <c r="AK464" s="1098"/>
      <c r="AL464" s="1098"/>
      <c r="AM464" s="1098"/>
      <c r="AN464" s="1098"/>
      <c r="AO464" s="1098"/>
      <c r="AP464" s="1098"/>
      <c r="AQ464" s="1098"/>
      <c r="AR464" s="1098"/>
      <c r="AS464" s="1098"/>
      <c r="AT464" s="1098"/>
      <c r="AU464" s="1098"/>
      <c r="AV464" s="1098"/>
      <c r="AW464" s="1098"/>
      <c r="AX464" s="1098"/>
      <c r="AY464" s="1098"/>
      <c r="AZ464" s="1098"/>
      <c r="BA464" s="1098"/>
      <c r="BB464" s="1098"/>
      <c r="BC464" s="1098"/>
      <c r="BD464" s="1098"/>
      <c r="BE464" s="1098"/>
      <c r="BF464" s="1098"/>
      <c r="BG464" s="1098"/>
      <c r="BH464" s="1098"/>
      <c r="BI464" s="1098"/>
      <c r="BJ464" s="1098"/>
      <c r="BK464" s="1098"/>
      <c r="BL464" s="1098"/>
      <c r="BM464" s="1098"/>
      <c r="BN464" s="1098"/>
      <c r="BO464" s="1098"/>
      <c r="BP464" s="1098"/>
      <c r="BQ464" s="1098"/>
      <c r="BR464" s="1098"/>
      <c r="BS464" s="1098"/>
      <c r="BT464" s="1098"/>
      <c r="BU464" s="1098"/>
      <c r="BV464" s="1098"/>
      <c r="BW464" s="1098"/>
      <c r="BX464" s="1098"/>
      <c r="BY464" s="1098"/>
      <c r="BZ464" s="1098"/>
      <c r="CA464" s="1098"/>
      <c r="CB464" s="1098"/>
      <c r="CC464" s="1098"/>
      <c r="CD464" s="1098"/>
      <c r="CE464" s="1098"/>
      <c r="CF464" s="1098"/>
      <c r="CG464" s="1098"/>
      <c r="CH464" s="1098"/>
      <c r="CI464" s="1098"/>
      <c r="CJ464" s="1098"/>
      <c r="CK464" s="1098"/>
      <c r="CL464" s="1098"/>
      <c r="CM464" s="1098"/>
      <c r="CN464" s="1098"/>
      <c r="CO464" s="1098"/>
      <c r="CP464" s="1098"/>
      <c r="CQ464" s="1098"/>
      <c r="CR464" s="1098"/>
      <c r="CS464" s="1098"/>
      <c r="CT464" s="1098"/>
      <c r="CU464" s="1098"/>
      <c r="CV464" s="1098"/>
      <c r="CW464" s="1098"/>
      <c r="CX464" s="1098"/>
      <c r="CY464" s="1098"/>
      <c r="CZ464" s="1098"/>
      <c r="DA464" s="1098"/>
      <c r="DB464" s="1098"/>
      <c r="DC464" s="1098"/>
      <c r="DD464" s="1098"/>
      <c r="DE464" s="1098"/>
      <c r="DF464" s="1098"/>
      <c r="DG464" s="1098"/>
      <c r="DH464" s="1098"/>
      <c r="DI464" s="1098"/>
      <c r="DJ464" s="1098"/>
      <c r="DK464" s="1098"/>
      <c r="DL464" s="1098"/>
      <c r="DM464" s="1098"/>
      <c r="DN464" s="1098"/>
      <c r="DO464" s="1098"/>
      <c r="DP464" s="1098"/>
      <c r="DQ464" s="1098"/>
      <c r="DR464" s="1098"/>
      <c r="DS464" s="1098"/>
      <c r="DT464" s="1098"/>
      <c r="DU464" s="1098"/>
      <c r="DV464" s="1098"/>
      <c r="DW464" s="1098"/>
      <c r="DX464" s="1098"/>
      <c r="DY464" s="1098"/>
      <c r="DZ464" s="1098"/>
      <c r="EA464" s="1098"/>
      <c r="EB464" s="1098"/>
      <c r="EC464" s="1098"/>
      <c r="ED464" s="1098"/>
      <c r="EE464" s="1098"/>
      <c r="EF464" s="1098"/>
      <c r="EG464" s="1098"/>
      <c r="EH464" s="1098"/>
      <c r="EI464" s="1098"/>
      <c r="EJ464" s="1098"/>
      <c r="EK464" s="1098"/>
      <c r="EL464" s="1098"/>
      <c r="EM464" s="1098"/>
      <c r="EN464" s="1098"/>
      <c r="EO464" s="1098"/>
      <c r="EP464" s="1098"/>
      <c r="EQ464" s="1098"/>
      <c r="ER464" s="1098"/>
      <c r="ES464" s="1098"/>
      <c r="ET464" s="1098"/>
      <c r="EU464" s="1098"/>
      <c r="EV464" s="1098"/>
      <c r="EW464" s="1098"/>
      <c r="EX464" s="1098"/>
      <c r="EY464" s="1098"/>
      <c r="EZ464" s="1098"/>
      <c r="FA464" s="1098"/>
      <c r="FB464" s="1098"/>
      <c r="FC464" s="1098"/>
      <c r="FD464" s="1098"/>
      <c r="FE464" s="1098"/>
      <c r="FF464" s="1098"/>
      <c r="FG464" s="1098"/>
      <c r="FH464" s="1098"/>
      <c r="FI464" s="1098"/>
      <c r="FJ464" s="1098"/>
      <c r="FK464" s="1098"/>
      <c r="FL464" s="1098"/>
      <c r="FM464" s="1098"/>
      <c r="FN464" s="1098"/>
      <c r="FO464" s="1098"/>
      <c r="FP464" s="1098"/>
      <c r="FQ464" s="1098"/>
      <c r="FR464" s="1098"/>
      <c r="FS464" s="1098"/>
      <c r="FT464" s="1098"/>
      <c r="FU464" s="1098"/>
      <c r="FV464" s="1098"/>
      <c r="FW464" s="1098"/>
      <c r="FX464" s="1098"/>
      <c r="FY464" s="1098"/>
      <c r="FZ464" s="1098"/>
      <c r="GA464" s="1098"/>
      <c r="GB464" s="1098"/>
      <c r="GC464" s="1098"/>
      <c r="GD464" s="1098"/>
      <c r="GE464" s="1098"/>
      <c r="GF464" s="1098"/>
      <c r="GG464" s="1098"/>
      <c r="GH464" s="1098"/>
      <c r="GI464" s="1098"/>
      <c r="GJ464" s="1098"/>
      <c r="GK464" s="1098"/>
      <c r="GL464" s="1098"/>
      <c r="GM464" s="1098"/>
      <c r="GN464" s="1098"/>
      <c r="GO464" s="1098"/>
      <c r="GP464" s="1098"/>
      <c r="GQ464" s="1098"/>
      <c r="GR464" s="1098"/>
      <c r="GS464" s="1098"/>
      <c r="GT464" s="1098"/>
      <c r="GU464" s="1098"/>
      <c r="GV464" s="1098"/>
      <c r="GW464" s="1098"/>
      <c r="GX464" s="1098"/>
      <c r="GY464" s="1098"/>
      <c r="GZ464" s="1098"/>
      <c r="HA464" s="1098"/>
      <c r="HB464" s="1098"/>
      <c r="HC464" s="1098"/>
      <c r="HD464" s="1098"/>
      <c r="HE464" s="1098"/>
      <c r="HF464" s="1098"/>
      <c r="HG464" s="1098"/>
      <c r="HH464" s="1098"/>
      <c r="HI464" s="1098"/>
      <c r="HJ464" s="1098"/>
      <c r="HK464" s="1098"/>
      <c r="HL464" s="1098"/>
      <c r="HM464" s="1098"/>
      <c r="HN464" s="1098"/>
      <c r="HO464" s="1098"/>
      <c r="HP464" s="1098"/>
      <c r="HQ464" s="1098"/>
      <c r="HR464" s="1098"/>
      <c r="HS464" s="1098"/>
      <c r="HT464" s="1098"/>
      <c r="HU464" s="1098"/>
      <c r="HV464" s="1098"/>
      <c r="HW464" s="1098"/>
      <c r="HX464" s="1098"/>
      <c r="HY464" s="1098"/>
      <c r="HZ464" s="1098"/>
      <c r="IA464" s="1098"/>
      <c r="IB464" s="1098"/>
      <c r="IC464" s="1098"/>
      <c r="ID464" s="1098"/>
      <c r="IE464" s="1098"/>
      <c r="IF464" s="1098"/>
      <c r="IG464" s="1098"/>
      <c r="IH464" s="1098"/>
      <c r="II464" s="1098"/>
      <c r="IJ464" s="1098"/>
      <c r="IK464" s="1098"/>
      <c r="IL464" s="1098"/>
      <c r="IM464" s="1098"/>
      <c r="IN464" s="1098"/>
      <c r="IO464" s="1098"/>
      <c r="IP464" s="1098"/>
      <c r="IQ464" s="1098"/>
      <c r="IR464" s="1098"/>
      <c r="IS464" s="1098"/>
      <c r="IT464" s="1098"/>
      <c r="IU464" s="1098"/>
      <c r="IV464" s="1098"/>
      <c r="IW464" s="1098"/>
      <c r="IX464" s="1098"/>
      <c r="IY464" s="1098"/>
      <c r="IZ464" s="1098"/>
      <c r="JA464" s="1098"/>
      <c r="JB464" s="1098"/>
      <c r="JC464" s="1098"/>
      <c r="JD464" s="1098"/>
      <c r="JE464" s="1098"/>
      <c r="JF464" s="1098"/>
      <c r="JG464" s="1098"/>
      <c r="JH464" s="1098"/>
      <c r="JI464" s="1098"/>
      <c r="JJ464" s="1098"/>
      <c r="JK464" s="1098"/>
      <c r="JL464" s="1098"/>
      <c r="JM464" s="1098"/>
      <c r="JN464" s="1098"/>
      <c r="JO464" s="1098"/>
      <c r="JP464" s="1098"/>
      <c r="JQ464" s="1098"/>
      <c r="JR464" s="1098"/>
      <c r="JS464" s="1098"/>
      <c r="JT464" s="1098"/>
      <c r="JU464" s="1098"/>
      <c r="JV464" s="1098"/>
      <c r="JW464" s="1098"/>
      <c r="JX464" s="1098"/>
      <c r="JY464" s="1098"/>
      <c r="JZ464" s="1098"/>
      <c r="KA464" s="1098"/>
      <c r="KB464" s="1099"/>
    </row>
    <row r="465" spans="2:288" ht="15" customHeight="1" x14ac:dyDescent="0.35">
      <c r="B465" s="146" t="str">
        <f t="shared" si="37"/>
        <v>Desk 41</v>
      </c>
      <c r="C465" s="148" t="str">
        <v/>
      </c>
      <c r="D465" s="148" t="str">
        <v/>
      </c>
      <c r="E465" s="148" t="str">
        <v/>
      </c>
      <c r="F465" s="148" t="str">
        <v/>
      </c>
      <c r="G465" s="268" t="str">
        <v/>
      </c>
      <c r="H465" s="1098"/>
      <c r="I465" s="1098"/>
      <c r="J465" s="1098"/>
      <c r="K465" s="1098"/>
      <c r="L465" s="1098"/>
      <c r="M465" s="1098"/>
      <c r="N465" s="1098"/>
      <c r="O465" s="1098"/>
      <c r="P465" s="1098"/>
      <c r="Q465" s="1098"/>
      <c r="R465" s="1098"/>
      <c r="S465" s="1098"/>
      <c r="T465" s="1098"/>
      <c r="U465" s="1098"/>
      <c r="V465" s="1098"/>
      <c r="W465" s="1098"/>
      <c r="X465" s="1098"/>
      <c r="Y465" s="1098"/>
      <c r="Z465" s="1098"/>
      <c r="AA465" s="1098"/>
      <c r="AB465" s="1098"/>
      <c r="AC465" s="1098"/>
      <c r="AD465" s="1098"/>
      <c r="AE465" s="1098"/>
      <c r="AF465" s="1098"/>
      <c r="AG465" s="1098"/>
      <c r="AH465" s="1098"/>
      <c r="AI465" s="1098"/>
      <c r="AJ465" s="1098"/>
      <c r="AK465" s="1098"/>
      <c r="AL465" s="1098"/>
      <c r="AM465" s="1098"/>
      <c r="AN465" s="1098"/>
      <c r="AO465" s="1098"/>
      <c r="AP465" s="1098"/>
      <c r="AQ465" s="1098"/>
      <c r="AR465" s="1098"/>
      <c r="AS465" s="1098"/>
      <c r="AT465" s="1098"/>
      <c r="AU465" s="1098"/>
      <c r="AV465" s="1098"/>
      <c r="AW465" s="1098"/>
      <c r="AX465" s="1098"/>
      <c r="AY465" s="1098"/>
      <c r="AZ465" s="1098"/>
      <c r="BA465" s="1098"/>
      <c r="BB465" s="1098"/>
      <c r="BC465" s="1098"/>
      <c r="BD465" s="1098"/>
      <c r="BE465" s="1098"/>
      <c r="BF465" s="1098"/>
      <c r="BG465" s="1098"/>
      <c r="BH465" s="1098"/>
      <c r="BI465" s="1098"/>
      <c r="BJ465" s="1098"/>
      <c r="BK465" s="1098"/>
      <c r="BL465" s="1098"/>
      <c r="BM465" s="1098"/>
      <c r="BN465" s="1098"/>
      <c r="BO465" s="1098"/>
      <c r="BP465" s="1098"/>
      <c r="BQ465" s="1098"/>
      <c r="BR465" s="1098"/>
      <c r="BS465" s="1098"/>
      <c r="BT465" s="1098"/>
      <c r="BU465" s="1098"/>
      <c r="BV465" s="1098"/>
      <c r="BW465" s="1098"/>
      <c r="BX465" s="1098"/>
      <c r="BY465" s="1098"/>
      <c r="BZ465" s="1098"/>
      <c r="CA465" s="1098"/>
      <c r="CB465" s="1098"/>
      <c r="CC465" s="1098"/>
      <c r="CD465" s="1098"/>
      <c r="CE465" s="1098"/>
      <c r="CF465" s="1098"/>
      <c r="CG465" s="1098"/>
      <c r="CH465" s="1098"/>
      <c r="CI465" s="1098"/>
      <c r="CJ465" s="1098"/>
      <c r="CK465" s="1098"/>
      <c r="CL465" s="1098"/>
      <c r="CM465" s="1098"/>
      <c r="CN465" s="1098"/>
      <c r="CO465" s="1098"/>
      <c r="CP465" s="1098"/>
      <c r="CQ465" s="1098"/>
      <c r="CR465" s="1098"/>
      <c r="CS465" s="1098"/>
      <c r="CT465" s="1098"/>
      <c r="CU465" s="1098"/>
      <c r="CV465" s="1098"/>
      <c r="CW465" s="1098"/>
      <c r="CX465" s="1098"/>
      <c r="CY465" s="1098"/>
      <c r="CZ465" s="1098"/>
      <c r="DA465" s="1098"/>
      <c r="DB465" s="1098"/>
      <c r="DC465" s="1098"/>
      <c r="DD465" s="1098"/>
      <c r="DE465" s="1098"/>
      <c r="DF465" s="1098"/>
      <c r="DG465" s="1098"/>
      <c r="DH465" s="1098"/>
      <c r="DI465" s="1098"/>
      <c r="DJ465" s="1098"/>
      <c r="DK465" s="1098"/>
      <c r="DL465" s="1098"/>
      <c r="DM465" s="1098"/>
      <c r="DN465" s="1098"/>
      <c r="DO465" s="1098"/>
      <c r="DP465" s="1098"/>
      <c r="DQ465" s="1098"/>
      <c r="DR465" s="1098"/>
      <c r="DS465" s="1098"/>
      <c r="DT465" s="1098"/>
      <c r="DU465" s="1098"/>
      <c r="DV465" s="1098"/>
      <c r="DW465" s="1098"/>
      <c r="DX465" s="1098"/>
      <c r="DY465" s="1098"/>
      <c r="DZ465" s="1098"/>
      <c r="EA465" s="1098"/>
      <c r="EB465" s="1098"/>
      <c r="EC465" s="1098"/>
      <c r="ED465" s="1098"/>
      <c r="EE465" s="1098"/>
      <c r="EF465" s="1098"/>
      <c r="EG465" s="1098"/>
      <c r="EH465" s="1098"/>
      <c r="EI465" s="1098"/>
      <c r="EJ465" s="1098"/>
      <c r="EK465" s="1098"/>
      <c r="EL465" s="1098"/>
      <c r="EM465" s="1098"/>
      <c r="EN465" s="1098"/>
      <c r="EO465" s="1098"/>
      <c r="EP465" s="1098"/>
      <c r="EQ465" s="1098"/>
      <c r="ER465" s="1098"/>
      <c r="ES465" s="1098"/>
      <c r="ET465" s="1098"/>
      <c r="EU465" s="1098"/>
      <c r="EV465" s="1098"/>
      <c r="EW465" s="1098"/>
      <c r="EX465" s="1098"/>
      <c r="EY465" s="1098"/>
      <c r="EZ465" s="1098"/>
      <c r="FA465" s="1098"/>
      <c r="FB465" s="1098"/>
      <c r="FC465" s="1098"/>
      <c r="FD465" s="1098"/>
      <c r="FE465" s="1098"/>
      <c r="FF465" s="1098"/>
      <c r="FG465" s="1098"/>
      <c r="FH465" s="1098"/>
      <c r="FI465" s="1098"/>
      <c r="FJ465" s="1098"/>
      <c r="FK465" s="1098"/>
      <c r="FL465" s="1098"/>
      <c r="FM465" s="1098"/>
      <c r="FN465" s="1098"/>
      <c r="FO465" s="1098"/>
      <c r="FP465" s="1098"/>
      <c r="FQ465" s="1098"/>
      <c r="FR465" s="1098"/>
      <c r="FS465" s="1098"/>
      <c r="FT465" s="1098"/>
      <c r="FU465" s="1098"/>
      <c r="FV465" s="1098"/>
      <c r="FW465" s="1098"/>
      <c r="FX465" s="1098"/>
      <c r="FY465" s="1098"/>
      <c r="FZ465" s="1098"/>
      <c r="GA465" s="1098"/>
      <c r="GB465" s="1098"/>
      <c r="GC465" s="1098"/>
      <c r="GD465" s="1098"/>
      <c r="GE465" s="1098"/>
      <c r="GF465" s="1098"/>
      <c r="GG465" s="1098"/>
      <c r="GH465" s="1098"/>
      <c r="GI465" s="1098"/>
      <c r="GJ465" s="1098"/>
      <c r="GK465" s="1098"/>
      <c r="GL465" s="1098"/>
      <c r="GM465" s="1098"/>
      <c r="GN465" s="1098"/>
      <c r="GO465" s="1098"/>
      <c r="GP465" s="1098"/>
      <c r="GQ465" s="1098"/>
      <c r="GR465" s="1098"/>
      <c r="GS465" s="1098"/>
      <c r="GT465" s="1098"/>
      <c r="GU465" s="1098"/>
      <c r="GV465" s="1098"/>
      <c r="GW465" s="1098"/>
      <c r="GX465" s="1098"/>
      <c r="GY465" s="1098"/>
      <c r="GZ465" s="1098"/>
      <c r="HA465" s="1098"/>
      <c r="HB465" s="1098"/>
      <c r="HC465" s="1098"/>
      <c r="HD465" s="1098"/>
      <c r="HE465" s="1098"/>
      <c r="HF465" s="1098"/>
      <c r="HG465" s="1098"/>
      <c r="HH465" s="1098"/>
      <c r="HI465" s="1098"/>
      <c r="HJ465" s="1098"/>
      <c r="HK465" s="1098"/>
      <c r="HL465" s="1098"/>
      <c r="HM465" s="1098"/>
      <c r="HN465" s="1098"/>
      <c r="HO465" s="1098"/>
      <c r="HP465" s="1098"/>
      <c r="HQ465" s="1098"/>
      <c r="HR465" s="1098"/>
      <c r="HS465" s="1098"/>
      <c r="HT465" s="1098"/>
      <c r="HU465" s="1098"/>
      <c r="HV465" s="1098"/>
      <c r="HW465" s="1098"/>
      <c r="HX465" s="1098"/>
      <c r="HY465" s="1098"/>
      <c r="HZ465" s="1098"/>
      <c r="IA465" s="1098"/>
      <c r="IB465" s="1098"/>
      <c r="IC465" s="1098"/>
      <c r="ID465" s="1098"/>
      <c r="IE465" s="1098"/>
      <c r="IF465" s="1098"/>
      <c r="IG465" s="1098"/>
      <c r="IH465" s="1098"/>
      <c r="II465" s="1098"/>
      <c r="IJ465" s="1098"/>
      <c r="IK465" s="1098"/>
      <c r="IL465" s="1098"/>
      <c r="IM465" s="1098"/>
      <c r="IN465" s="1098"/>
      <c r="IO465" s="1098"/>
      <c r="IP465" s="1098"/>
      <c r="IQ465" s="1098"/>
      <c r="IR465" s="1098"/>
      <c r="IS465" s="1098"/>
      <c r="IT465" s="1098"/>
      <c r="IU465" s="1098"/>
      <c r="IV465" s="1098"/>
      <c r="IW465" s="1098"/>
      <c r="IX465" s="1098"/>
      <c r="IY465" s="1098"/>
      <c r="IZ465" s="1098"/>
      <c r="JA465" s="1098"/>
      <c r="JB465" s="1098"/>
      <c r="JC465" s="1098"/>
      <c r="JD465" s="1098"/>
      <c r="JE465" s="1098"/>
      <c r="JF465" s="1098"/>
      <c r="JG465" s="1098"/>
      <c r="JH465" s="1098"/>
      <c r="JI465" s="1098"/>
      <c r="JJ465" s="1098"/>
      <c r="JK465" s="1098"/>
      <c r="JL465" s="1098"/>
      <c r="JM465" s="1098"/>
      <c r="JN465" s="1098"/>
      <c r="JO465" s="1098"/>
      <c r="JP465" s="1098"/>
      <c r="JQ465" s="1098"/>
      <c r="JR465" s="1098"/>
      <c r="JS465" s="1098"/>
      <c r="JT465" s="1098"/>
      <c r="JU465" s="1098"/>
      <c r="JV465" s="1098"/>
      <c r="JW465" s="1098"/>
      <c r="JX465" s="1098"/>
      <c r="JY465" s="1098"/>
      <c r="JZ465" s="1098"/>
      <c r="KA465" s="1098"/>
      <c r="KB465" s="1099"/>
    </row>
    <row r="466" spans="2:288" ht="15" customHeight="1" x14ac:dyDescent="0.35">
      <c r="B466" s="146" t="str">
        <f t="shared" si="37"/>
        <v>Desk 42</v>
      </c>
      <c r="C466" s="148" t="str">
        <v/>
      </c>
      <c r="D466" s="148" t="str">
        <v/>
      </c>
      <c r="E466" s="148" t="str">
        <v/>
      </c>
      <c r="F466" s="148" t="str">
        <v/>
      </c>
      <c r="G466" s="268" t="str">
        <v/>
      </c>
      <c r="H466" s="1098"/>
      <c r="I466" s="1098"/>
      <c r="J466" s="1098"/>
      <c r="K466" s="1098"/>
      <c r="L466" s="1098"/>
      <c r="M466" s="1098"/>
      <c r="N466" s="1098"/>
      <c r="O466" s="1098"/>
      <c r="P466" s="1098"/>
      <c r="Q466" s="1098"/>
      <c r="R466" s="1098"/>
      <c r="S466" s="1098"/>
      <c r="T466" s="1098"/>
      <c r="U466" s="1098"/>
      <c r="V466" s="1098"/>
      <c r="W466" s="1098"/>
      <c r="X466" s="1098"/>
      <c r="Y466" s="1098"/>
      <c r="Z466" s="1098"/>
      <c r="AA466" s="1098"/>
      <c r="AB466" s="1098"/>
      <c r="AC466" s="1098"/>
      <c r="AD466" s="1098"/>
      <c r="AE466" s="1098"/>
      <c r="AF466" s="1098"/>
      <c r="AG466" s="1098"/>
      <c r="AH466" s="1098"/>
      <c r="AI466" s="1098"/>
      <c r="AJ466" s="1098"/>
      <c r="AK466" s="1098"/>
      <c r="AL466" s="1098"/>
      <c r="AM466" s="1098"/>
      <c r="AN466" s="1098"/>
      <c r="AO466" s="1098"/>
      <c r="AP466" s="1098"/>
      <c r="AQ466" s="1098"/>
      <c r="AR466" s="1098"/>
      <c r="AS466" s="1098"/>
      <c r="AT466" s="1098"/>
      <c r="AU466" s="1098"/>
      <c r="AV466" s="1098"/>
      <c r="AW466" s="1098"/>
      <c r="AX466" s="1098"/>
      <c r="AY466" s="1098"/>
      <c r="AZ466" s="1098"/>
      <c r="BA466" s="1098"/>
      <c r="BB466" s="1098"/>
      <c r="BC466" s="1098"/>
      <c r="BD466" s="1098"/>
      <c r="BE466" s="1098"/>
      <c r="BF466" s="1098"/>
      <c r="BG466" s="1098"/>
      <c r="BH466" s="1098"/>
      <c r="BI466" s="1098"/>
      <c r="BJ466" s="1098"/>
      <c r="BK466" s="1098"/>
      <c r="BL466" s="1098"/>
      <c r="BM466" s="1098"/>
      <c r="BN466" s="1098"/>
      <c r="BO466" s="1098"/>
      <c r="BP466" s="1098"/>
      <c r="BQ466" s="1098"/>
      <c r="BR466" s="1098"/>
      <c r="BS466" s="1098"/>
      <c r="BT466" s="1098"/>
      <c r="BU466" s="1098"/>
      <c r="BV466" s="1098"/>
      <c r="BW466" s="1098"/>
      <c r="BX466" s="1098"/>
      <c r="BY466" s="1098"/>
      <c r="BZ466" s="1098"/>
      <c r="CA466" s="1098"/>
      <c r="CB466" s="1098"/>
      <c r="CC466" s="1098"/>
      <c r="CD466" s="1098"/>
      <c r="CE466" s="1098"/>
      <c r="CF466" s="1098"/>
      <c r="CG466" s="1098"/>
      <c r="CH466" s="1098"/>
      <c r="CI466" s="1098"/>
      <c r="CJ466" s="1098"/>
      <c r="CK466" s="1098"/>
      <c r="CL466" s="1098"/>
      <c r="CM466" s="1098"/>
      <c r="CN466" s="1098"/>
      <c r="CO466" s="1098"/>
      <c r="CP466" s="1098"/>
      <c r="CQ466" s="1098"/>
      <c r="CR466" s="1098"/>
      <c r="CS466" s="1098"/>
      <c r="CT466" s="1098"/>
      <c r="CU466" s="1098"/>
      <c r="CV466" s="1098"/>
      <c r="CW466" s="1098"/>
      <c r="CX466" s="1098"/>
      <c r="CY466" s="1098"/>
      <c r="CZ466" s="1098"/>
      <c r="DA466" s="1098"/>
      <c r="DB466" s="1098"/>
      <c r="DC466" s="1098"/>
      <c r="DD466" s="1098"/>
      <c r="DE466" s="1098"/>
      <c r="DF466" s="1098"/>
      <c r="DG466" s="1098"/>
      <c r="DH466" s="1098"/>
      <c r="DI466" s="1098"/>
      <c r="DJ466" s="1098"/>
      <c r="DK466" s="1098"/>
      <c r="DL466" s="1098"/>
      <c r="DM466" s="1098"/>
      <c r="DN466" s="1098"/>
      <c r="DO466" s="1098"/>
      <c r="DP466" s="1098"/>
      <c r="DQ466" s="1098"/>
      <c r="DR466" s="1098"/>
      <c r="DS466" s="1098"/>
      <c r="DT466" s="1098"/>
      <c r="DU466" s="1098"/>
      <c r="DV466" s="1098"/>
      <c r="DW466" s="1098"/>
      <c r="DX466" s="1098"/>
      <c r="DY466" s="1098"/>
      <c r="DZ466" s="1098"/>
      <c r="EA466" s="1098"/>
      <c r="EB466" s="1098"/>
      <c r="EC466" s="1098"/>
      <c r="ED466" s="1098"/>
      <c r="EE466" s="1098"/>
      <c r="EF466" s="1098"/>
      <c r="EG466" s="1098"/>
      <c r="EH466" s="1098"/>
      <c r="EI466" s="1098"/>
      <c r="EJ466" s="1098"/>
      <c r="EK466" s="1098"/>
      <c r="EL466" s="1098"/>
      <c r="EM466" s="1098"/>
      <c r="EN466" s="1098"/>
      <c r="EO466" s="1098"/>
      <c r="EP466" s="1098"/>
      <c r="EQ466" s="1098"/>
      <c r="ER466" s="1098"/>
      <c r="ES466" s="1098"/>
      <c r="ET466" s="1098"/>
      <c r="EU466" s="1098"/>
      <c r="EV466" s="1098"/>
      <c r="EW466" s="1098"/>
      <c r="EX466" s="1098"/>
      <c r="EY466" s="1098"/>
      <c r="EZ466" s="1098"/>
      <c r="FA466" s="1098"/>
      <c r="FB466" s="1098"/>
      <c r="FC466" s="1098"/>
      <c r="FD466" s="1098"/>
      <c r="FE466" s="1098"/>
      <c r="FF466" s="1098"/>
      <c r="FG466" s="1098"/>
      <c r="FH466" s="1098"/>
      <c r="FI466" s="1098"/>
      <c r="FJ466" s="1098"/>
      <c r="FK466" s="1098"/>
      <c r="FL466" s="1098"/>
      <c r="FM466" s="1098"/>
      <c r="FN466" s="1098"/>
      <c r="FO466" s="1098"/>
      <c r="FP466" s="1098"/>
      <c r="FQ466" s="1098"/>
      <c r="FR466" s="1098"/>
      <c r="FS466" s="1098"/>
      <c r="FT466" s="1098"/>
      <c r="FU466" s="1098"/>
      <c r="FV466" s="1098"/>
      <c r="FW466" s="1098"/>
      <c r="FX466" s="1098"/>
      <c r="FY466" s="1098"/>
      <c r="FZ466" s="1098"/>
      <c r="GA466" s="1098"/>
      <c r="GB466" s="1098"/>
      <c r="GC466" s="1098"/>
      <c r="GD466" s="1098"/>
      <c r="GE466" s="1098"/>
      <c r="GF466" s="1098"/>
      <c r="GG466" s="1098"/>
      <c r="GH466" s="1098"/>
      <c r="GI466" s="1098"/>
      <c r="GJ466" s="1098"/>
      <c r="GK466" s="1098"/>
      <c r="GL466" s="1098"/>
      <c r="GM466" s="1098"/>
      <c r="GN466" s="1098"/>
      <c r="GO466" s="1098"/>
      <c r="GP466" s="1098"/>
      <c r="GQ466" s="1098"/>
      <c r="GR466" s="1098"/>
      <c r="GS466" s="1098"/>
      <c r="GT466" s="1098"/>
      <c r="GU466" s="1098"/>
      <c r="GV466" s="1098"/>
      <c r="GW466" s="1098"/>
      <c r="GX466" s="1098"/>
      <c r="GY466" s="1098"/>
      <c r="GZ466" s="1098"/>
      <c r="HA466" s="1098"/>
      <c r="HB466" s="1098"/>
      <c r="HC466" s="1098"/>
      <c r="HD466" s="1098"/>
      <c r="HE466" s="1098"/>
      <c r="HF466" s="1098"/>
      <c r="HG466" s="1098"/>
      <c r="HH466" s="1098"/>
      <c r="HI466" s="1098"/>
      <c r="HJ466" s="1098"/>
      <c r="HK466" s="1098"/>
      <c r="HL466" s="1098"/>
      <c r="HM466" s="1098"/>
      <c r="HN466" s="1098"/>
      <c r="HO466" s="1098"/>
      <c r="HP466" s="1098"/>
      <c r="HQ466" s="1098"/>
      <c r="HR466" s="1098"/>
      <c r="HS466" s="1098"/>
      <c r="HT466" s="1098"/>
      <c r="HU466" s="1098"/>
      <c r="HV466" s="1098"/>
      <c r="HW466" s="1098"/>
      <c r="HX466" s="1098"/>
      <c r="HY466" s="1098"/>
      <c r="HZ466" s="1098"/>
      <c r="IA466" s="1098"/>
      <c r="IB466" s="1098"/>
      <c r="IC466" s="1098"/>
      <c r="ID466" s="1098"/>
      <c r="IE466" s="1098"/>
      <c r="IF466" s="1098"/>
      <c r="IG466" s="1098"/>
      <c r="IH466" s="1098"/>
      <c r="II466" s="1098"/>
      <c r="IJ466" s="1098"/>
      <c r="IK466" s="1098"/>
      <c r="IL466" s="1098"/>
      <c r="IM466" s="1098"/>
      <c r="IN466" s="1098"/>
      <c r="IO466" s="1098"/>
      <c r="IP466" s="1098"/>
      <c r="IQ466" s="1098"/>
      <c r="IR466" s="1098"/>
      <c r="IS466" s="1098"/>
      <c r="IT466" s="1098"/>
      <c r="IU466" s="1098"/>
      <c r="IV466" s="1098"/>
      <c r="IW466" s="1098"/>
      <c r="IX466" s="1098"/>
      <c r="IY466" s="1098"/>
      <c r="IZ466" s="1098"/>
      <c r="JA466" s="1098"/>
      <c r="JB466" s="1098"/>
      <c r="JC466" s="1098"/>
      <c r="JD466" s="1098"/>
      <c r="JE466" s="1098"/>
      <c r="JF466" s="1098"/>
      <c r="JG466" s="1098"/>
      <c r="JH466" s="1098"/>
      <c r="JI466" s="1098"/>
      <c r="JJ466" s="1098"/>
      <c r="JK466" s="1098"/>
      <c r="JL466" s="1098"/>
      <c r="JM466" s="1098"/>
      <c r="JN466" s="1098"/>
      <c r="JO466" s="1098"/>
      <c r="JP466" s="1098"/>
      <c r="JQ466" s="1098"/>
      <c r="JR466" s="1098"/>
      <c r="JS466" s="1098"/>
      <c r="JT466" s="1098"/>
      <c r="JU466" s="1098"/>
      <c r="JV466" s="1098"/>
      <c r="JW466" s="1098"/>
      <c r="JX466" s="1098"/>
      <c r="JY466" s="1098"/>
      <c r="JZ466" s="1098"/>
      <c r="KA466" s="1098"/>
      <c r="KB466" s="1099"/>
    </row>
    <row r="467" spans="2:288" ht="15" customHeight="1" x14ac:dyDescent="0.35">
      <c r="B467" s="146" t="str">
        <f t="shared" si="37"/>
        <v>Desk 43</v>
      </c>
      <c r="C467" s="148" t="str">
        <v/>
      </c>
      <c r="D467" s="148" t="str">
        <v/>
      </c>
      <c r="E467" s="148" t="str">
        <v/>
      </c>
      <c r="F467" s="148" t="str">
        <v/>
      </c>
      <c r="G467" s="268" t="str">
        <v/>
      </c>
      <c r="H467" s="1098"/>
      <c r="I467" s="1098"/>
      <c r="J467" s="1098"/>
      <c r="K467" s="1098"/>
      <c r="L467" s="1098"/>
      <c r="M467" s="1098"/>
      <c r="N467" s="1098"/>
      <c r="O467" s="1098"/>
      <c r="P467" s="1098"/>
      <c r="Q467" s="1098"/>
      <c r="R467" s="1098"/>
      <c r="S467" s="1098"/>
      <c r="T467" s="1098"/>
      <c r="U467" s="1098"/>
      <c r="V467" s="1098"/>
      <c r="W467" s="1098"/>
      <c r="X467" s="1098"/>
      <c r="Y467" s="1098"/>
      <c r="Z467" s="1098"/>
      <c r="AA467" s="1098"/>
      <c r="AB467" s="1098"/>
      <c r="AC467" s="1098"/>
      <c r="AD467" s="1098"/>
      <c r="AE467" s="1098"/>
      <c r="AF467" s="1098"/>
      <c r="AG467" s="1098"/>
      <c r="AH467" s="1098"/>
      <c r="AI467" s="1098"/>
      <c r="AJ467" s="1098"/>
      <c r="AK467" s="1098"/>
      <c r="AL467" s="1098"/>
      <c r="AM467" s="1098"/>
      <c r="AN467" s="1098"/>
      <c r="AO467" s="1098"/>
      <c r="AP467" s="1098"/>
      <c r="AQ467" s="1098"/>
      <c r="AR467" s="1098"/>
      <c r="AS467" s="1098"/>
      <c r="AT467" s="1098"/>
      <c r="AU467" s="1098"/>
      <c r="AV467" s="1098"/>
      <c r="AW467" s="1098"/>
      <c r="AX467" s="1098"/>
      <c r="AY467" s="1098"/>
      <c r="AZ467" s="1098"/>
      <c r="BA467" s="1098"/>
      <c r="BB467" s="1098"/>
      <c r="BC467" s="1098"/>
      <c r="BD467" s="1098"/>
      <c r="BE467" s="1098"/>
      <c r="BF467" s="1098"/>
      <c r="BG467" s="1098"/>
      <c r="BH467" s="1098"/>
      <c r="BI467" s="1098"/>
      <c r="BJ467" s="1098"/>
      <c r="BK467" s="1098"/>
      <c r="BL467" s="1098"/>
      <c r="BM467" s="1098"/>
      <c r="BN467" s="1098"/>
      <c r="BO467" s="1098"/>
      <c r="BP467" s="1098"/>
      <c r="BQ467" s="1098"/>
      <c r="BR467" s="1098"/>
      <c r="BS467" s="1098"/>
      <c r="BT467" s="1098"/>
      <c r="BU467" s="1098"/>
      <c r="BV467" s="1098"/>
      <c r="BW467" s="1098"/>
      <c r="BX467" s="1098"/>
      <c r="BY467" s="1098"/>
      <c r="BZ467" s="1098"/>
      <c r="CA467" s="1098"/>
      <c r="CB467" s="1098"/>
      <c r="CC467" s="1098"/>
      <c r="CD467" s="1098"/>
      <c r="CE467" s="1098"/>
      <c r="CF467" s="1098"/>
      <c r="CG467" s="1098"/>
      <c r="CH467" s="1098"/>
      <c r="CI467" s="1098"/>
      <c r="CJ467" s="1098"/>
      <c r="CK467" s="1098"/>
      <c r="CL467" s="1098"/>
      <c r="CM467" s="1098"/>
      <c r="CN467" s="1098"/>
      <c r="CO467" s="1098"/>
      <c r="CP467" s="1098"/>
      <c r="CQ467" s="1098"/>
      <c r="CR467" s="1098"/>
      <c r="CS467" s="1098"/>
      <c r="CT467" s="1098"/>
      <c r="CU467" s="1098"/>
      <c r="CV467" s="1098"/>
      <c r="CW467" s="1098"/>
      <c r="CX467" s="1098"/>
      <c r="CY467" s="1098"/>
      <c r="CZ467" s="1098"/>
      <c r="DA467" s="1098"/>
      <c r="DB467" s="1098"/>
      <c r="DC467" s="1098"/>
      <c r="DD467" s="1098"/>
      <c r="DE467" s="1098"/>
      <c r="DF467" s="1098"/>
      <c r="DG467" s="1098"/>
      <c r="DH467" s="1098"/>
      <c r="DI467" s="1098"/>
      <c r="DJ467" s="1098"/>
      <c r="DK467" s="1098"/>
      <c r="DL467" s="1098"/>
      <c r="DM467" s="1098"/>
      <c r="DN467" s="1098"/>
      <c r="DO467" s="1098"/>
      <c r="DP467" s="1098"/>
      <c r="DQ467" s="1098"/>
      <c r="DR467" s="1098"/>
      <c r="DS467" s="1098"/>
      <c r="DT467" s="1098"/>
      <c r="DU467" s="1098"/>
      <c r="DV467" s="1098"/>
      <c r="DW467" s="1098"/>
      <c r="DX467" s="1098"/>
      <c r="DY467" s="1098"/>
      <c r="DZ467" s="1098"/>
      <c r="EA467" s="1098"/>
      <c r="EB467" s="1098"/>
      <c r="EC467" s="1098"/>
      <c r="ED467" s="1098"/>
      <c r="EE467" s="1098"/>
      <c r="EF467" s="1098"/>
      <c r="EG467" s="1098"/>
      <c r="EH467" s="1098"/>
      <c r="EI467" s="1098"/>
      <c r="EJ467" s="1098"/>
      <c r="EK467" s="1098"/>
      <c r="EL467" s="1098"/>
      <c r="EM467" s="1098"/>
      <c r="EN467" s="1098"/>
      <c r="EO467" s="1098"/>
      <c r="EP467" s="1098"/>
      <c r="EQ467" s="1098"/>
      <c r="ER467" s="1098"/>
      <c r="ES467" s="1098"/>
      <c r="ET467" s="1098"/>
      <c r="EU467" s="1098"/>
      <c r="EV467" s="1098"/>
      <c r="EW467" s="1098"/>
      <c r="EX467" s="1098"/>
      <c r="EY467" s="1098"/>
      <c r="EZ467" s="1098"/>
      <c r="FA467" s="1098"/>
      <c r="FB467" s="1098"/>
      <c r="FC467" s="1098"/>
      <c r="FD467" s="1098"/>
      <c r="FE467" s="1098"/>
      <c r="FF467" s="1098"/>
      <c r="FG467" s="1098"/>
      <c r="FH467" s="1098"/>
      <c r="FI467" s="1098"/>
      <c r="FJ467" s="1098"/>
      <c r="FK467" s="1098"/>
      <c r="FL467" s="1098"/>
      <c r="FM467" s="1098"/>
      <c r="FN467" s="1098"/>
      <c r="FO467" s="1098"/>
      <c r="FP467" s="1098"/>
      <c r="FQ467" s="1098"/>
      <c r="FR467" s="1098"/>
      <c r="FS467" s="1098"/>
      <c r="FT467" s="1098"/>
      <c r="FU467" s="1098"/>
      <c r="FV467" s="1098"/>
      <c r="FW467" s="1098"/>
      <c r="FX467" s="1098"/>
      <c r="FY467" s="1098"/>
      <c r="FZ467" s="1098"/>
      <c r="GA467" s="1098"/>
      <c r="GB467" s="1098"/>
      <c r="GC467" s="1098"/>
      <c r="GD467" s="1098"/>
      <c r="GE467" s="1098"/>
      <c r="GF467" s="1098"/>
      <c r="GG467" s="1098"/>
      <c r="GH467" s="1098"/>
      <c r="GI467" s="1098"/>
      <c r="GJ467" s="1098"/>
      <c r="GK467" s="1098"/>
      <c r="GL467" s="1098"/>
      <c r="GM467" s="1098"/>
      <c r="GN467" s="1098"/>
      <c r="GO467" s="1098"/>
      <c r="GP467" s="1098"/>
      <c r="GQ467" s="1098"/>
      <c r="GR467" s="1098"/>
      <c r="GS467" s="1098"/>
      <c r="GT467" s="1098"/>
      <c r="GU467" s="1098"/>
      <c r="GV467" s="1098"/>
      <c r="GW467" s="1098"/>
      <c r="GX467" s="1098"/>
      <c r="GY467" s="1098"/>
      <c r="GZ467" s="1098"/>
      <c r="HA467" s="1098"/>
      <c r="HB467" s="1098"/>
      <c r="HC467" s="1098"/>
      <c r="HD467" s="1098"/>
      <c r="HE467" s="1098"/>
      <c r="HF467" s="1098"/>
      <c r="HG467" s="1098"/>
      <c r="HH467" s="1098"/>
      <c r="HI467" s="1098"/>
      <c r="HJ467" s="1098"/>
      <c r="HK467" s="1098"/>
      <c r="HL467" s="1098"/>
      <c r="HM467" s="1098"/>
      <c r="HN467" s="1098"/>
      <c r="HO467" s="1098"/>
      <c r="HP467" s="1098"/>
      <c r="HQ467" s="1098"/>
      <c r="HR467" s="1098"/>
      <c r="HS467" s="1098"/>
      <c r="HT467" s="1098"/>
      <c r="HU467" s="1098"/>
      <c r="HV467" s="1098"/>
      <c r="HW467" s="1098"/>
      <c r="HX467" s="1098"/>
      <c r="HY467" s="1098"/>
      <c r="HZ467" s="1098"/>
      <c r="IA467" s="1098"/>
      <c r="IB467" s="1098"/>
      <c r="IC467" s="1098"/>
      <c r="ID467" s="1098"/>
      <c r="IE467" s="1098"/>
      <c r="IF467" s="1098"/>
      <c r="IG467" s="1098"/>
      <c r="IH467" s="1098"/>
      <c r="II467" s="1098"/>
      <c r="IJ467" s="1098"/>
      <c r="IK467" s="1098"/>
      <c r="IL467" s="1098"/>
      <c r="IM467" s="1098"/>
      <c r="IN467" s="1098"/>
      <c r="IO467" s="1098"/>
      <c r="IP467" s="1098"/>
      <c r="IQ467" s="1098"/>
      <c r="IR467" s="1098"/>
      <c r="IS467" s="1098"/>
      <c r="IT467" s="1098"/>
      <c r="IU467" s="1098"/>
      <c r="IV467" s="1098"/>
      <c r="IW467" s="1098"/>
      <c r="IX467" s="1098"/>
      <c r="IY467" s="1098"/>
      <c r="IZ467" s="1098"/>
      <c r="JA467" s="1098"/>
      <c r="JB467" s="1098"/>
      <c r="JC467" s="1098"/>
      <c r="JD467" s="1098"/>
      <c r="JE467" s="1098"/>
      <c r="JF467" s="1098"/>
      <c r="JG467" s="1098"/>
      <c r="JH467" s="1098"/>
      <c r="JI467" s="1098"/>
      <c r="JJ467" s="1098"/>
      <c r="JK467" s="1098"/>
      <c r="JL467" s="1098"/>
      <c r="JM467" s="1098"/>
      <c r="JN467" s="1098"/>
      <c r="JO467" s="1098"/>
      <c r="JP467" s="1098"/>
      <c r="JQ467" s="1098"/>
      <c r="JR467" s="1098"/>
      <c r="JS467" s="1098"/>
      <c r="JT467" s="1098"/>
      <c r="JU467" s="1098"/>
      <c r="JV467" s="1098"/>
      <c r="JW467" s="1098"/>
      <c r="JX467" s="1098"/>
      <c r="JY467" s="1098"/>
      <c r="JZ467" s="1098"/>
      <c r="KA467" s="1098"/>
      <c r="KB467" s="1099"/>
    </row>
    <row r="468" spans="2:288" ht="15" customHeight="1" x14ac:dyDescent="0.35">
      <c r="B468" s="146" t="str">
        <f t="shared" si="37"/>
        <v>Desk 44</v>
      </c>
      <c r="C468" s="148" t="str">
        <v/>
      </c>
      <c r="D468" s="148" t="str">
        <v/>
      </c>
      <c r="E468" s="148" t="str">
        <v/>
      </c>
      <c r="F468" s="148" t="str">
        <v/>
      </c>
      <c r="G468" s="268" t="str">
        <v/>
      </c>
      <c r="H468" s="1098"/>
      <c r="I468" s="1098"/>
      <c r="J468" s="1098"/>
      <c r="K468" s="1098"/>
      <c r="L468" s="1098"/>
      <c r="M468" s="1098"/>
      <c r="N468" s="1098"/>
      <c r="O468" s="1098"/>
      <c r="P468" s="1098"/>
      <c r="Q468" s="1098"/>
      <c r="R468" s="1098"/>
      <c r="S468" s="1098"/>
      <c r="T468" s="1098"/>
      <c r="U468" s="1098"/>
      <c r="V468" s="1098"/>
      <c r="W468" s="1098"/>
      <c r="X468" s="1098"/>
      <c r="Y468" s="1098"/>
      <c r="Z468" s="1098"/>
      <c r="AA468" s="1098"/>
      <c r="AB468" s="1098"/>
      <c r="AC468" s="1098"/>
      <c r="AD468" s="1098"/>
      <c r="AE468" s="1098"/>
      <c r="AF468" s="1098"/>
      <c r="AG468" s="1098"/>
      <c r="AH468" s="1098"/>
      <c r="AI468" s="1098"/>
      <c r="AJ468" s="1098"/>
      <c r="AK468" s="1098"/>
      <c r="AL468" s="1098"/>
      <c r="AM468" s="1098"/>
      <c r="AN468" s="1098"/>
      <c r="AO468" s="1098"/>
      <c r="AP468" s="1098"/>
      <c r="AQ468" s="1098"/>
      <c r="AR468" s="1098"/>
      <c r="AS468" s="1098"/>
      <c r="AT468" s="1098"/>
      <c r="AU468" s="1098"/>
      <c r="AV468" s="1098"/>
      <c r="AW468" s="1098"/>
      <c r="AX468" s="1098"/>
      <c r="AY468" s="1098"/>
      <c r="AZ468" s="1098"/>
      <c r="BA468" s="1098"/>
      <c r="BB468" s="1098"/>
      <c r="BC468" s="1098"/>
      <c r="BD468" s="1098"/>
      <c r="BE468" s="1098"/>
      <c r="BF468" s="1098"/>
      <c r="BG468" s="1098"/>
      <c r="BH468" s="1098"/>
      <c r="BI468" s="1098"/>
      <c r="BJ468" s="1098"/>
      <c r="BK468" s="1098"/>
      <c r="BL468" s="1098"/>
      <c r="BM468" s="1098"/>
      <c r="BN468" s="1098"/>
      <c r="BO468" s="1098"/>
      <c r="BP468" s="1098"/>
      <c r="BQ468" s="1098"/>
      <c r="BR468" s="1098"/>
      <c r="BS468" s="1098"/>
      <c r="BT468" s="1098"/>
      <c r="BU468" s="1098"/>
      <c r="BV468" s="1098"/>
      <c r="BW468" s="1098"/>
      <c r="BX468" s="1098"/>
      <c r="BY468" s="1098"/>
      <c r="BZ468" s="1098"/>
      <c r="CA468" s="1098"/>
      <c r="CB468" s="1098"/>
      <c r="CC468" s="1098"/>
      <c r="CD468" s="1098"/>
      <c r="CE468" s="1098"/>
      <c r="CF468" s="1098"/>
      <c r="CG468" s="1098"/>
      <c r="CH468" s="1098"/>
      <c r="CI468" s="1098"/>
      <c r="CJ468" s="1098"/>
      <c r="CK468" s="1098"/>
      <c r="CL468" s="1098"/>
      <c r="CM468" s="1098"/>
      <c r="CN468" s="1098"/>
      <c r="CO468" s="1098"/>
      <c r="CP468" s="1098"/>
      <c r="CQ468" s="1098"/>
      <c r="CR468" s="1098"/>
      <c r="CS468" s="1098"/>
      <c r="CT468" s="1098"/>
      <c r="CU468" s="1098"/>
      <c r="CV468" s="1098"/>
      <c r="CW468" s="1098"/>
      <c r="CX468" s="1098"/>
      <c r="CY468" s="1098"/>
      <c r="CZ468" s="1098"/>
      <c r="DA468" s="1098"/>
      <c r="DB468" s="1098"/>
      <c r="DC468" s="1098"/>
      <c r="DD468" s="1098"/>
      <c r="DE468" s="1098"/>
      <c r="DF468" s="1098"/>
      <c r="DG468" s="1098"/>
      <c r="DH468" s="1098"/>
      <c r="DI468" s="1098"/>
      <c r="DJ468" s="1098"/>
      <c r="DK468" s="1098"/>
      <c r="DL468" s="1098"/>
      <c r="DM468" s="1098"/>
      <c r="DN468" s="1098"/>
      <c r="DO468" s="1098"/>
      <c r="DP468" s="1098"/>
      <c r="DQ468" s="1098"/>
      <c r="DR468" s="1098"/>
      <c r="DS468" s="1098"/>
      <c r="DT468" s="1098"/>
      <c r="DU468" s="1098"/>
      <c r="DV468" s="1098"/>
      <c r="DW468" s="1098"/>
      <c r="DX468" s="1098"/>
      <c r="DY468" s="1098"/>
      <c r="DZ468" s="1098"/>
      <c r="EA468" s="1098"/>
      <c r="EB468" s="1098"/>
      <c r="EC468" s="1098"/>
      <c r="ED468" s="1098"/>
      <c r="EE468" s="1098"/>
      <c r="EF468" s="1098"/>
      <c r="EG468" s="1098"/>
      <c r="EH468" s="1098"/>
      <c r="EI468" s="1098"/>
      <c r="EJ468" s="1098"/>
      <c r="EK468" s="1098"/>
      <c r="EL468" s="1098"/>
      <c r="EM468" s="1098"/>
      <c r="EN468" s="1098"/>
      <c r="EO468" s="1098"/>
      <c r="EP468" s="1098"/>
      <c r="EQ468" s="1098"/>
      <c r="ER468" s="1098"/>
      <c r="ES468" s="1098"/>
      <c r="ET468" s="1098"/>
      <c r="EU468" s="1098"/>
      <c r="EV468" s="1098"/>
      <c r="EW468" s="1098"/>
      <c r="EX468" s="1098"/>
      <c r="EY468" s="1098"/>
      <c r="EZ468" s="1098"/>
      <c r="FA468" s="1098"/>
      <c r="FB468" s="1098"/>
      <c r="FC468" s="1098"/>
      <c r="FD468" s="1098"/>
      <c r="FE468" s="1098"/>
      <c r="FF468" s="1098"/>
      <c r="FG468" s="1098"/>
      <c r="FH468" s="1098"/>
      <c r="FI468" s="1098"/>
      <c r="FJ468" s="1098"/>
      <c r="FK468" s="1098"/>
      <c r="FL468" s="1098"/>
      <c r="FM468" s="1098"/>
      <c r="FN468" s="1098"/>
      <c r="FO468" s="1098"/>
      <c r="FP468" s="1098"/>
      <c r="FQ468" s="1098"/>
      <c r="FR468" s="1098"/>
      <c r="FS468" s="1098"/>
      <c r="FT468" s="1098"/>
      <c r="FU468" s="1098"/>
      <c r="FV468" s="1098"/>
      <c r="FW468" s="1098"/>
      <c r="FX468" s="1098"/>
      <c r="FY468" s="1098"/>
      <c r="FZ468" s="1098"/>
      <c r="GA468" s="1098"/>
      <c r="GB468" s="1098"/>
      <c r="GC468" s="1098"/>
      <c r="GD468" s="1098"/>
      <c r="GE468" s="1098"/>
      <c r="GF468" s="1098"/>
      <c r="GG468" s="1098"/>
      <c r="GH468" s="1098"/>
      <c r="GI468" s="1098"/>
      <c r="GJ468" s="1098"/>
      <c r="GK468" s="1098"/>
      <c r="GL468" s="1098"/>
      <c r="GM468" s="1098"/>
      <c r="GN468" s="1098"/>
      <c r="GO468" s="1098"/>
      <c r="GP468" s="1098"/>
      <c r="GQ468" s="1098"/>
      <c r="GR468" s="1098"/>
      <c r="GS468" s="1098"/>
      <c r="GT468" s="1098"/>
      <c r="GU468" s="1098"/>
      <c r="GV468" s="1098"/>
      <c r="GW468" s="1098"/>
      <c r="GX468" s="1098"/>
      <c r="GY468" s="1098"/>
      <c r="GZ468" s="1098"/>
      <c r="HA468" s="1098"/>
      <c r="HB468" s="1098"/>
      <c r="HC468" s="1098"/>
      <c r="HD468" s="1098"/>
      <c r="HE468" s="1098"/>
      <c r="HF468" s="1098"/>
      <c r="HG468" s="1098"/>
      <c r="HH468" s="1098"/>
      <c r="HI468" s="1098"/>
      <c r="HJ468" s="1098"/>
      <c r="HK468" s="1098"/>
      <c r="HL468" s="1098"/>
      <c r="HM468" s="1098"/>
      <c r="HN468" s="1098"/>
      <c r="HO468" s="1098"/>
      <c r="HP468" s="1098"/>
      <c r="HQ468" s="1098"/>
      <c r="HR468" s="1098"/>
      <c r="HS468" s="1098"/>
      <c r="HT468" s="1098"/>
      <c r="HU468" s="1098"/>
      <c r="HV468" s="1098"/>
      <c r="HW468" s="1098"/>
      <c r="HX468" s="1098"/>
      <c r="HY468" s="1098"/>
      <c r="HZ468" s="1098"/>
      <c r="IA468" s="1098"/>
      <c r="IB468" s="1098"/>
      <c r="IC468" s="1098"/>
      <c r="ID468" s="1098"/>
      <c r="IE468" s="1098"/>
      <c r="IF468" s="1098"/>
      <c r="IG468" s="1098"/>
      <c r="IH468" s="1098"/>
      <c r="II468" s="1098"/>
      <c r="IJ468" s="1098"/>
      <c r="IK468" s="1098"/>
      <c r="IL468" s="1098"/>
      <c r="IM468" s="1098"/>
      <c r="IN468" s="1098"/>
      <c r="IO468" s="1098"/>
      <c r="IP468" s="1098"/>
      <c r="IQ468" s="1098"/>
      <c r="IR468" s="1098"/>
      <c r="IS468" s="1098"/>
      <c r="IT468" s="1098"/>
      <c r="IU468" s="1098"/>
      <c r="IV468" s="1098"/>
      <c r="IW468" s="1098"/>
      <c r="IX468" s="1098"/>
      <c r="IY468" s="1098"/>
      <c r="IZ468" s="1098"/>
      <c r="JA468" s="1098"/>
      <c r="JB468" s="1098"/>
      <c r="JC468" s="1098"/>
      <c r="JD468" s="1098"/>
      <c r="JE468" s="1098"/>
      <c r="JF468" s="1098"/>
      <c r="JG468" s="1098"/>
      <c r="JH468" s="1098"/>
      <c r="JI468" s="1098"/>
      <c r="JJ468" s="1098"/>
      <c r="JK468" s="1098"/>
      <c r="JL468" s="1098"/>
      <c r="JM468" s="1098"/>
      <c r="JN468" s="1098"/>
      <c r="JO468" s="1098"/>
      <c r="JP468" s="1098"/>
      <c r="JQ468" s="1098"/>
      <c r="JR468" s="1098"/>
      <c r="JS468" s="1098"/>
      <c r="JT468" s="1098"/>
      <c r="JU468" s="1098"/>
      <c r="JV468" s="1098"/>
      <c r="JW468" s="1098"/>
      <c r="JX468" s="1098"/>
      <c r="JY468" s="1098"/>
      <c r="JZ468" s="1098"/>
      <c r="KA468" s="1098"/>
      <c r="KB468" s="1099"/>
    </row>
    <row r="469" spans="2:288" ht="15" customHeight="1" x14ac:dyDescent="0.35">
      <c r="B469" s="146" t="str">
        <f t="shared" si="37"/>
        <v>Desk 45</v>
      </c>
      <c r="C469" s="148" t="str">
        <v/>
      </c>
      <c r="D469" s="148" t="str">
        <v/>
      </c>
      <c r="E469" s="148" t="str">
        <v/>
      </c>
      <c r="F469" s="148" t="str">
        <v/>
      </c>
      <c r="G469" s="268" t="str">
        <v/>
      </c>
      <c r="H469" s="1098"/>
      <c r="I469" s="1098"/>
      <c r="J469" s="1098"/>
      <c r="K469" s="1098"/>
      <c r="L469" s="1098"/>
      <c r="M469" s="1098"/>
      <c r="N469" s="1098"/>
      <c r="O469" s="1098"/>
      <c r="P469" s="1098"/>
      <c r="Q469" s="1098"/>
      <c r="R469" s="1098"/>
      <c r="S469" s="1098"/>
      <c r="T469" s="1098"/>
      <c r="U469" s="1098"/>
      <c r="V469" s="1098"/>
      <c r="W469" s="1098"/>
      <c r="X469" s="1098"/>
      <c r="Y469" s="1098"/>
      <c r="Z469" s="1098"/>
      <c r="AA469" s="1098"/>
      <c r="AB469" s="1098"/>
      <c r="AC469" s="1098"/>
      <c r="AD469" s="1098"/>
      <c r="AE469" s="1098"/>
      <c r="AF469" s="1098"/>
      <c r="AG469" s="1098"/>
      <c r="AH469" s="1098"/>
      <c r="AI469" s="1098"/>
      <c r="AJ469" s="1098"/>
      <c r="AK469" s="1098"/>
      <c r="AL469" s="1098"/>
      <c r="AM469" s="1098"/>
      <c r="AN469" s="1098"/>
      <c r="AO469" s="1098"/>
      <c r="AP469" s="1098"/>
      <c r="AQ469" s="1098"/>
      <c r="AR469" s="1098"/>
      <c r="AS469" s="1098"/>
      <c r="AT469" s="1098"/>
      <c r="AU469" s="1098"/>
      <c r="AV469" s="1098"/>
      <c r="AW469" s="1098"/>
      <c r="AX469" s="1098"/>
      <c r="AY469" s="1098"/>
      <c r="AZ469" s="1098"/>
      <c r="BA469" s="1098"/>
      <c r="BB469" s="1098"/>
      <c r="BC469" s="1098"/>
      <c r="BD469" s="1098"/>
      <c r="BE469" s="1098"/>
      <c r="BF469" s="1098"/>
      <c r="BG469" s="1098"/>
      <c r="BH469" s="1098"/>
      <c r="BI469" s="1098"/>
      <c r="BJ469" s="1098"/>
      <c r="BK469" s="1098"/>
      <c r="BL469" s="1098"/>
      <c r="BM469" s="1098"/>
      <c r="BN469" s="1098"/>
      <c r="BO469" s="1098"/>
      <c r="BP469" s="1098"/>
      <c r="BQ469" s="1098"/>
      <c r="BR469" s="1098"/>
      <c r="BS469" s="1098"/>
      <c r="BT469" s="1098"/>
      <c r="BU469" s="1098"/>
      <c r="BV469" s="1098"/>
      <c r="BW469" s="1098"/>
      <c r="BX469" s="1098"/>
      <c r="BY469" s="1098"/>
      <c r="BZ469" s="1098"/>
      <c r="CA469" s="1098"/>
      <c r="CB469" s="1098"/>
      <c r="CC469" s="1098"/>
      <c r="CD469" s="1098"/>
      <c r="CE469" s="1098"/>
      <c r="CF469" s="1098"/>
      <c r="CG469" s="1098"/>
      <c r="CH469" s="1098"/>
      <c r="CI469" s="1098"/>
      <c r="CJ469" s="1098"/>
      <c r="CK469" s="1098"/>
      <c r="CL469" s="1098"/>
      <c r="CM469" s="1098"/>
      <c r="CN469" s="1098"/>
      <c r="CO469" s="1098"/>
      <c r="CP469" s="1098"/>
      <c r="CQ469" s="1098"/>
      <c r="CR469" s="1098"/>
      <c r="CS469" s="1098"/>
      <c r="CT469" s="1098"/>
      <c r="CU469" s="1098"/>
      <c r="CV469" s="1098"/>
      <c r="CW469" s="1098"/>
      <c r="CX469" s="1098"/>
      <c r="CY469" s="1098"/>
      <c r="CZ469" s="1098"/>
      <c r="DA469" s="1098"/>
      <c r="DB469" s="1098"/>
      <c r="DC469" s="1098"/>
      <c r="DD469" s="1098"/>
      <c r="DE469" s="1098"/>
      <c r="DF469" s="1098"/>
      <c r="DG469" s="1098"/>
      <c r="DH469" s="1098"/>
      <c r="DI469" s="1098"/>
      <c r="DJ469" s="1098"/>
      <c r="DK469" s="1098"/>
      <c r="DL469" s="1098"/>
      <c r="DM469" s="1098"/>
      <c r="DN469" s="1098"/>
      <c r="DO469" s="1098"/>
      <c r="DP469" s="1098"/>
      <c r="DQ469" s="1098"/>
      <c r="DR469" s="1098"/>
      <c r="DS469" s="1098"/>
      <c r="DT469" s="1098"/>
      <c r="DU469" s="1098"/>
      <c r="DV469" s="1098"/>
      <c r="DW469" s="1098"/>
      <c r="DX469" s="1098"/>
      <c r="DY469" s="1098"/>
      <c r="DZ469" s="1098"/>
      <c r="EA469" s="1098"/>
      <c r="EB469" s="1098"/>
      <c r="EC469" s="1098"/>
      <c r="ED469" s="1098"/>
      <c r="EE469" s="1098"/>
      <c r="EF469" s="1098"/>
      <c r="EG469" s="1098"/>
      <c r="EH469" s="1098"/>
      <c r="EI469" s="1098"/>
      <c r="EJ469" s="1098"/>
      <c r="EK469" s="1098"/>
      <c r="EL469" s="1098"/>
      <c r="EM469" s="1098"/>
      <c r="EN469" s="1098"/>
      <c r="EO469" s="1098"/>
      <c r="EP469" s="1098"/>
      <c r="EQ469" s="1098"/>
      <c r="ER469" s="1098"/>
      <c r="ES469" s="1098"/>
      <c r="ET469" s="1098"/>
      <c r="EU469" s="1098"/>
      <c r="EV469" s="1098"/>
      <c r="EW469" s="1098"/>
      <c r="EX469" s="1098"/>
      <c r="EY469" s="1098"/>
      <c r="EZ469" s="1098"/>
      <c r="FA469" s="1098"/>
      <c r="FB469" s="1098"/>
      <c r="FC469" s="1098"/>
      <c r="FD469" s="1098"/>
      <c r="FE469" s="1098"/>
      <c r="FF469" s="1098"/>
      <c r="FG469" s="1098"/>
      <c r="FH469" s="1098"/>
      <c r="FI469" s="1098"/>
      <c r="FJ469" s="1098"/>
      <c r="FK469" s="1098"/>
      <c r="FL469" s="1098"/>
      <c r="FM469" s="1098"/>
      <c r="FN469" s="1098"/>
      <c r="FO469" s="1098"/>
      <c r="FP469" s="1098"/>
      <c r="FQ469" s="1098"/>
      <c r="FR469" s="1098"/>
      <c r="FS469" s="1098"/>
      <c r="FT469" s="1098"/>
      <c r="FU469" s="1098"/>
      <c r="FV469" s="1098"/>
      <c r="FW469" s="1098"/>
      <c r="FX469" s="1098"/>
      <c r="FY469" s="1098"/>
      <c r="FZ469" s="1098"/>
      <c r="GA469" s="1098"/>
      <c r="GB469" s="1098"/>
      <c r="GC469" s="1098"/>
      <c r="GD469" s="1098"/>
      <c r="GE469" s="1098"/>
      <c r="GF469" s="1098"/>
      <c r="GG469" s="1098"/>
      <c r="GH469" s="1098"/>
      <c r="GI469" s="1098"/>
      <c r="GJ469" s="1098"/>
      <c r="GK469" s="1098"/>
      <c r="GL469" s="1098"/>
      <c r="GM469" s="1098"/>
      <c r="GN469" s="1098"/>
      <c r="GO469" s="1098"/>
      <c r="GP469" s="1098"/>
      <c r="GQ469" s="1098"/>
      <c r="GR469" s="1098"/>
      <c r="GS469" s="1098"/>
      <c r="GT469" s="1098"/>
      <c r="GU469" s="1098"/>
      <c r="GV469" s="1098"/>
      <c r="GW469" s="1098"/>
      <c r="GX469" s="1098"/>
      <c r="GY469" s="1098"/>
      <c r="GZ469" s="1098"/>
      <c r="HA469" s="1098"/>
      <c r="HB469" s="1098"/>
      <c r="HC469" s="1098"/>
      <c r="HD469" s="1098"/>
      <c r="HE469" s="1098"/>
      <c r="HF469" s="1098"/>
      <c r="HG469" s="1098"/>
      <c r="HH469" s="1098"/>
      <c r="HI469" s="1098"/>
      <c r="HJ469" s="1098"/>
      <c r="HK469" s="1098"/>
      <c r="HL469" s="1098"/>
      <c r="HM469" s="1098"/>
      <c r="HN469" s="1098"/>
      <c r="HO469" s="1098"/>
      <c r="HP469" s="1098"/>
      <c r="HQ469" s="1098"/>
      <c r="HR469" s="1098"/>
      <c r="HS469" s="1098"/>
      <c r="HT469" s="1098"/>
      <c r="HU469" s="1098"/>
      <c r="HV469" s="1098"/>
      <c r="HW469" s="1098"/>
      <c r="HX469" s="1098"/>
      <c r="HY469" s="1098"/>
      <c r="HZ469" s="1098"/>
      <c r="IA469" s="1098"/>
      <c r="IB469" s="1098"/>
      <c r="IC469" s="1098"/>
      <c r="ID469" s="1098"/>
      <c r="IE469" s="1098"/>
      <c r="IF469" s="1098"/>
      <c r="IG469" s="1098"/>
      <c r="IH469" s="1098"/>
      <c r="II469" s="1098"/>
      <c r="IJ469" s="1098"/>
      <c r="IK469" s="1098"/>
      <c r="IL469" s="1098"/>
      <c r="IM469" s="1098"/>
      <c r="IN469" s="1098"/>
      <c r="IO469" s="1098"/>
      <c r="IP469" s="1098"/>
      <c r="IQ469" s="1098"/>
      <c r="IR469" s="1098"/>
      <c r="IS469" s="1098"/>
      <c r="IT469" s="1098"/>
      <c r="IU469" s="1098"/>
      <c r="IV469" s="1098"/>
      <c r="IW469" s="1098"/>
      <c r="IX469" s="1098"/>
      <c r="IY469" s="1098"/>
      <c r="IZ469" s="1098"/>
      <c r="JA469" s="1098"/>
      <c r="JB469" s="1098"/>
      <c r="JC469" s="1098"/>
      <c r="JD469" s="1098"/>
      <c r="JE469" s="1098"/>
      <c r="JF469" s="1098"/>
      <c r="JG469" s="1098"/>
      <c r="JH469" s="1098"/>
      <c r="JI469" s="1098"/>
      <c r="JJ469" s="1098"/>
      <c r="JK469" s="1098"/>
      <c r="JL469" s="1098"/>
      <c r="JM469" s="1098"/>
      <c r="JN469" s="1098"/>
      <c r="JO469" s="1098"/>
      <c r="JP469" s="1098"/>
      <c r="JQ469" s="1098"/>
      <c r="JR469" s="1098"/>
      <c r="JS469" s="1098"/>
      <c r="JT469" s="1098"/>
      <c r="JU469" s="1098"/>
      <c r="JV469" s="1098"/>
      <c r="JW469" s="1098"/>
      <c r="JX469" s="1098"/>
      <c r="JY469" s="1098"/>
      <c r="JZ469" s="1098"/>
      <c r="KA469" s="1098"/>
      <c r="KB469" s="1099"/>
    </row>
    <row r="470" spans="2:288" ht="15" customHeight="1" x14ac:dyDescent="0.35">
      <c r="B470" s="146" t="str">
        <f t="shared" si="37"/>
        <v>Desk 46</v>
      </c>
      <c r="C470" s="148" t="str">
        <v/>
      </c>
      <c r="D470" s="148" t="str">
        <v/>
      </c>
      <c r="E470" s="148" t="str">
        <v/>
      </c>
      <c r="F470" s="148" t="str">
        <v/>
      </c>
      <c r="G470" s="268" t="str">
        <v/>
      </c>
      <c r="H470" s="1098"/>
      <c r="I470" s="1098"/>
      <c r="J470" s="1098"/>
      <c r="K470" s="1098"/>
      <c r="L470" s="1098"/>
      <c r="M470" s="1098"/>
      <c r="N470" s="1098"/>
      <c r="O470" s="1098"/>
      <c r="P470" s="1098"/>
      <c r="Q470" s="1098"/>
      <c r="R470" s="1098"/>
      <c r="S470" s="1098"/>
      <c r="T470" s="1098"/>
      <c r="U470" s="1098"/>
      <c r="V470" s="1098"/>
      <c r="W470" s="1098"/>
      <c r="X470" s="1098"/>
      <c r="Y470" s="1098"/>
      <c r="Z470" s="1098"/>
      <c r="AA470" s="1098"/>
      <c r="AB470" s="1098"/>
      <c r="AC470" s="1098"/>
      <c r="AD470" s="1098"/>
      <c r="AE470" s="1098"/>
      <c r="AF470" s="1098"/>
      <c r="AG470" s="1098"/>
      <c r="AH470" s="1098"/>
      <c r="AI470" s="1098"/>
      <c r="AJ470" s="1098"/>
      <c r="AK470" s="1098"/>
      <c r="AL470" s="1098"/>
      <c r="AM470" s="1098"/>
      <c r="AN470" s="1098"/>
      <c r="AO470" s="1098"/>
      <c r="AP470" s="1098"/>
      <c r="AQ470" s="1098"/>
      <c r="AR470" s="1098"/>
      <c r="AS470" s="1098"/>
      <c r="AT470" s="1098"/>
      <c r="AU470" s="1098"/>
      <c r="AV470" s="1098"/>
      <c r="AW470" s="1098"/>
      <c r="AX470" s="1098"/>
      <c r="AY470" s="1098"/>
      <c r="AZ470" s="1098"/>
      <c r="BA470" s="1098"/>
      <c r="BB470" s="1098"/>
      <c r="BC470" s="1098"/>
      <c r="BD470" s="1098"/>
      <c r="BE470" s="1098"/>
      <c r="BF470" s="1098"/>
      <c r="BG470" s="1098"/>
      <c r="BH470" s="1098"/>
      <c r="BI470" s="1098"/>
      <c r="BJ470" s="1098"/>
      <c r="BK470" s="1098"/>
      <c r="BL470" s="1098"/>
      <c r="BM470" s="1098"/>
      <c r="BN470" s="1098"/>
      <c r="BO470" s="1098"/>
      <c r="BP470" s="1098"/>
      <c r="BQ470" s="1098"/>
      <c r="BR470" s="1098"/>
      <c r="BS470" s="1098"/>
      <c r="BT470" s="1098"/>
      <c r="BU470" s="1098"/>
      <c r="BV470" s="1098"/>
      <c r="BW470" s="1098"/>
      <c r="BX470" s="1098"/>
      <c r="BY470" s="1098"/>
      <c r="BZ470" s="1098"/>
      <c r="CA470" s="1098"/>
      <c r="CB470" s="1098"/>
      <c r="CC470" s="1098"/>
      <c r="CD470" s="1098"/>
      <c r="CE470" s="1098"/>
      <c r="CF470" s="1098"/>
      <c r="CG470" s="1098"/>
      <c r="CH470" s="1098"/>
      <c r="CI470" s="1098"/>
      <c r="CJ470" s="1098"/>
      <c r="CK470" s="1098"/>
      <c r="CL470" s="1098"/>
      <c r="CM470" s="1098"/>
      <c r="CN470" s="1098"/>
      <c r="CO470" s="1098"/>
      <c r="CP470" s="1098"/>
      <c r="CQ470" s="1098"/>
      <c r="CR470" s="1098"/>
      <c r="CS470" s="1098"/>
      <c r="CT470" s="1098"/>
      <c r="CU470" s="1098"/>
      <c r="CV470" s="1098"/>
      <c r="CW470" s="1098"/>
      <c r="CX470" s="1098"/>
      <c r="CY470" s="1098"/>
      <c r="CZ470" s="1098"/>
      <c r="DA470" s="1098"/>
      <c r="DB470" s="1098"/>
      <c r="DC470" s="1098"/>
      <c r="DD470" s="1098"/>
      <c r="DE470" s="1098"/>
      <c r="DF470" s="1098"/>
      <c r="DG470" s="1098"/>
      <c r="DH470" s="1098"/>
      <c r="DI470" s="1098"/>
      <c r="DJ470" s="1098"/>
      <c r="DK470" s="1098"/>
      <c r="DL470" s="1098"/>
      <c r="DM470" s="1098"/>
      <c r="DN470" s="1098"/>
      <c r="DO470" s="1098"/>
      <c r="DP470" s="1098"/>
      <c r="DQ470" s="1098"/>
      <c r="DR470" s="1098"/>
      <c r="DS470" s="1098"/>
      <c r="DT470" s="1098"/>
      <c r="DU470" s="1098"/>
      <c r="DV470" s="1098"/>
      <c r="DW470" s="1098"/>
      <c r="DX470" s="1098"/>
      <c r="DY470" s="1098"/>
      <c r="DZ470" s="1098"/>
      <c r="EA470" s="1098"/>
      <c r="EB470" s="1098"/>
      <c r="EC470" s="1098"/>
      <c r="ED470" s="1098"/>
      <c r="EE470" s="1098"/>
      <c r="EF470" s="1098"/>
      <c r="EG470" s="1098"/>
      <c r="EH470" s="1098"/>
      <c r="EI470" s="1098"/>
      <c r="EJ470" s="1098"/>
      <c r="EK470" s="1098"/>
      <c r="EL470" s="1098"/>
      <c r="EM470" s="1098"/>
      <c r="EN470" s="1098"/>
      <c r="EO470" s="1098"/>
      <c r="EP470" s="1098"/>
      <c r="EQ470" s="1098"/>
      <c r="ER470" s="1098"/>
      <c r="ES470" s="1098"/>
      <c r="ET470" s="1098"/>
      <c r="EU470" s="1098"/>
      <c r="EV470" s="1098"/>
      <c r="EW470" s="1098"/>
      <c r="EX470" s="1098"/>
      <c r="EY470" s="1098"/>
      <c r="EZ470" s="1098"/>
      <c r="FA470" s="1098"/>
      <c r="FB470" s="1098"/>
      <c r="FC470" s="1098"/>
      <c r="FD470" s="1098"/>
      <c r="FE470" s="1098"/>
      <c r="FF470" s="1098"/>
      <c r="FG470" s="1098"/>
      <c r="FH470" s="1098"/>
      <c r="FI470" s="1098"/>
      <c r="FJ470" s="1098"/>
      <c r="FK470" s="1098"/>
      <c r="FL470" s="1098"/>
      <c r="FM470" s="1098"/>
      <c r="FN470" s="1098"/>
      <c r="FO470" s="1098"/>
      <c r="FP470" s="1098"/>
      <c r="FQ470" s="1098"/>
      <c r="FR470" s="1098"/>
      <c r="FS470" s="1098"/>
      <c r="FT470" s="1098"/>
      <c r="FU470" s="1098"/>
      <c r="FV470" s="1098"/>
      <c r="FW470" s="1098"/>
      <c r="FX470" s="1098"/>
      <c r="FY470" s="1098"/>
      <c r="FZ470" s="1098"/>
      <c r="GA470" s="1098"/>
      <c r="GB470" s="1098"/>
      <c r="GC470" s="1098"/>
      <c r="GD470" s="1098"/>
      <c r="GE470" s="1098"/>
      <c r="GF470" s="1098"/>
      <c r="GG470" s="1098"/>
      <c r="GH470" s="1098"/>
      <c r="GI470" s="1098"/>
      <c r="GJ470" s="1098"/>
      <c r="GK470" s="1098"/>
      <c r="GL470" s="1098"/>
      <c r="GM470" s="1098"/>
      <c r="GN470" s="1098"/>
      <c r="GO470" s="1098"/>
      <c r="GP470" s="1098"/>
      <c r="GQ470" s="1098"/>
      <c r="GR470" s="1098"/>
      <c r="GS470" s="1098"/>
      <c r="GT470" s="1098"/>
      <c r="GU470" s="1098"/>
      <c r="GV470" s="1098"/>
      <c r="GW470" s="1098"/>
      <c r="GX470" s="1098"/>
      <c r="GY470" s="1098"/>
      <c r="GZ470" s="1098"/>
      <c r="HA470" s="1098"/>
      <c r="HB470" s="1098"/>
      <c r="HC470" s="1098"/>
      <c r="HD470" s="1098"/>
      <c r="HE470" s="1098"/>
      <c r="HF470" s="1098"/>
      <c r="HG470" s="1098"/>
      <c r="HH470" s="1098"/>
      <c r="HI470" s="1098"/>
      <c r="HJ470" s="1098"/>
      <c r="HK470" s="1098"/>
      <c r="HL470" s="1098"/>
      <c r="HM470" s="1098"/>
      <c r="HN470" s="1098"/>
      <c r="HO470" s="1098"/>
      <c r="HP470" s="1098"/>
      <c r="HQ470" s="1098"/>
      <c r="HR470" s="1098"/>
      <c r="HS470" s="1098"/>
      <c r="HT470" s="1098"/>
      <c r="HU470" s="1098"/>
      <c r="HV470" s="1098"/>
      <c r="HW470" s="1098"/>
      <c r="HX470" s="1098"/>
      <c r="HY470" s="1098"/>
      <c r="HZ470" s="1098"/>
      <c r="IA470" s="1098"/>
      <c r="IB470" s="1098"/>
      <c r="IC470" s="1098"/>
      <c r="ID470" s="1098"/>
      <c r="IE470" s="1098"/>
      <c r="IF470" s="1098"/>
      <c r="IG470" s="1098"/>
      <c r="IH470" s="1098"/>
      <c r="II470" s="1098"/>
      <c r="IJ470" s="1098"/>
      <c r="IK470" s="1098"/>
      <c r="IL470" s="1098"/>
      <c r="IM470" s="1098"/>
      <c r="IN470" s="1098"/>
      <c r="IO470" s="1098"/>
      <c r="IP470" s="1098"/>
      <c r="IQ470" s="1098"/>
      <c r="IR470" s="1098"/>
      <c r="IS470" s="1098"/>
      <c r="IT470" s="1098"/>
      <c r="IU470" s="1098"/>
      <c r="IV470" s="1098"/>
      <c r="IW470" s="1098"/>
      <c r="IX470" s="1098"/>
      <c r="IY470" s="1098"/>
      <c r="IZ470" s="1098"/>
      <c r="JA470" s="1098"/>
      <c r="JB470" s="1098"/>
      <c r="JC470" s="1098"/>
      <c r="JD470" s="1098"/>
      <c r="JE470" s="1098"/>
      <c r="JF470" s="1098"/>
      <c r="JG470" s="1098"/>
      <c r="JH470" s="1098"/>
      <c r="JI470" s="1098"/>
      <c r="JJ470" s="1098"/>
      <c r="JK470" s="1098"/>
      <c r="JL470" s="1098"/>
      <c r="JM470" s="1098"/>
      <c r="JN470" s="1098"/>
      <c r="JO470" s="1098"/>
      <c r="JP470" s="1098"/>
      <c r="JQ470" s="1098"/>
      <c r="JR470" s="1098"/>
      <c r="JS470" s="1098"/>
      <c r="JT470" s="1098"/>
      <c r="JU470" s="1098"/>
      <c r="JV470" s="1098"/>
      <c r="JW470" s="1098"/>
      <c r="JX470" s="1098"/>
      <c r="JY470" s="1098"/>
      <c r="JZ470" s="1098"/>
      <c r="KA470" s="1098"/>
      <c r="KB470" s="1099"/>
    </row>
    <row r="471" spans="2:288" ht="15" customHeight="1" x14ac:dyDescent="0.35">
      <c r="B471" s="146" t="str">
        <f t="shared" si="37"/>
        <v>Desk 47</v>
      </c>
      <c r="C471" s="148" t="str">
        <v/>
      </c>
      <c r="D471" s="148" t="str">
        <v/>
      </c>
      <c r="E471" s="148" t="str">
        <v/>
      </c>
      <c r="F471" s="148" t="str">
        <v/>
      </c>
      <c r="G471" s="268" t="str">
        <v/>
      </c>
      <c r="H471" s="1098"/>
      <c r="I471" s="1098"/>
      <c r="J471" s="1098"/>
      <c r="K471" s="1098"/>
      <c r="L471" s="1098"/>
      <c r="M471" s="1098"/>
      <c r="N471" s="1098"/>
      <c r="O471" s="1098"/>
      <c r="P471" s="1098"/>
      <c r="Q471" s="1098"/>
      <c r="R471" s="1098"/>
      <c r="S471" s="1098"/>
      <c r="T471" s="1098"/>
      <c r="U471" s="1098"/>
      <c r="V471" s="1098"/>
      <c r="W471" s="1098"/>
      <c r="X471" s="1098"/>
      <c r="Y471" s="1098"/>
      <c r="Z471" s="1098"/>
      <c r="AA471" s="1098"/>
      <c r="AB471" s="1098"/>
      <c r="AC471" s="1098"/>
      <c r="AD471" s="1098"/>
      <c r="AE471" s="1098"/>
      <c r="AF471" s="1098"/>
      <c r="AG471" s="1098"/>
      <c r="AH471" s="1098"/>
      <c r="AI471" s="1098"/>
      <c r="AJ471" s="1098"/>
      <c r="AK471" s="1098"/>
      <c r="AL471" s="1098"/>
      <c r="AM471" s="1098"/>
      <c r="AN471" s="1098"/>
      <c r="AO471" s="1098"/>
      <c r="AP471" s="1098"/>
      <c r="AQ471" s="1098"/>
      <c r="AR471" s="1098"/>
      <c r="AS471" s="1098"/>
      <c r="AT471" s="1098"/>
      <c r="AU471" s="1098"/>
      <c r="AV471" s="1098"/>
      <c r="AW471" s="1098"/>
      <c r="AX471" s="1098"/>
      <c r="AY471" s="1098"/>
      <c r="AZ471" s="1098"/>
      <c r="BA471" s="1098"/>
      <c r="BB471" s="1098"/>
      <c r="BC471" s="1098"/>
      <c r="BD471" s="1098"/>
      <c r="BE471" s="1098"/>
      <c r="BF471" s="1098"/>
      <c r="BG471" s="1098"/>
      <c r="BH471" s="1098"/>
      <c r="BI471" s="1098"/>
      <c r="BJ471" s="1098"/>
      <c r="BK471" s="1098"/>
      <c r="BL471" s="1098"/>
      <c r="BM471" s="1098"/>
      <c r="BN471" s="1098"/>
      <c r="BO471" s="1098"/>
      <c r="BP471" s="1098"/>
      <c r="BQ471" s="1098"/>
      <c r="BR471" s="1098"/>
      <c r="BS471" s="1098"/>
      <c r="BT471" s="1098"/>
      <c r="BU471" s="1098"/>
      <c r="BV471" s="1098"/>
      <c r="BW471" s="1098"/>
      <c r="BX471" s="1098"/>
      <c r="BY471" s="1098"/>
      <c r="BZ471" s="1098"/>
      <c r="CA471" s="1098"/>
      <c r="CB471" s="1098"/>
      <c r="CC471" s="1098"/>
      <c r="CD471" s="1098"/>
      <c r="CE471" s="1098"/>
      <c r="CF471" s="1098"/>
      <c r="CG471" s="1098"/>
      <c r="CH471" s="1098"/>
      <c r="CI471" s="1098"/>
      <c r="CJ471" s="1098"/>
      <c r="CK471" s="1098"/>
      <c r="CL471" s="1098"/>
      <c r="CM471" s="1098"/>
      <c r="CN471" s="1098"/>
      <c r="CO471" s="1098"/>
      <c r="CP471" s="1098"/>
      <c r="CQ471" s="1098"/>
      <c r="CR471" s="1098"/>
      <c r="CS471" s="1098"/>
      <c r="CT471" s="1098"/>
      <c r="CU471" s="1098"/>
      <c r="CV471" s="1098"/>
      <c r="CW471" s="1098"/>
      <c r="CX471" s="1098"/>
      <c r="CY471" s="1098"/>
      <c r="CZ471" s="1098"/>
      <c r="DA471" s="1098"/>
      <c r="DB471" s="1098"/>
      <c r="DC471" s="1098"/>
      <c r="DD471" s="1098"/>
      <c r="DE471" s="1098"/>
      <c r="DF471" s="1098"/>
      <c r="DG471" s="1098"/>
      <c r="DH471" s="1098"/>
      <c r="DI471" s="1098"/>
      <c r="DJ471" s="1098"/>
      <c r="DK471" s="1098"/>
      <c r="DL471" s="1098"/>
      <c r="DM471" s="1098"/>
      <c r="DN471" s="1098"/>
      <c r="DO471" s="1098"/>
      <c r="DP471" s="1098"/>
      <c r="DQ471" s="1098"/>
      <c r="DR471" s="1098"/>
      <c r="DS471" s="1098"/>
      <c r="DT471" s="1098"/>
      <c r="DU471" s="1098"/>
      <c r="DV471" s="1098"/>
      <c r="DW471" s="1098"/>
      <c r="DX471" s="1098"/>
      <c r="DY471" s="1098"/>
      <c r="DZ471" s="1098"/>
      <c r="EA471" s="1098"/>
      <c r="EB471" s="1098"/>
      <c r="EC471" s="1098"/>
      <c r="ED471" s="1098"/>
      <c r="EE471" s="1098"/>
      <c r="EF471" s="1098"/>
      <c r="EG471" s="1098"/>
      <c r="EH471" s="1098"/>
      <c r="EI471" s="1098"/>
      <c r="EJ471" s="1098"/>
      <c r="EK471" s="1098"/>
      <c r="EL471" s="1098"/>
      <c r="EM471" s="1098"/>
      <c r="EN471" s="1098"/>
      <c r="EO471" s="1098"/>
      <c r="EP471" s="1098"/>
      <c r="EQ471" s="1098"/>
      <c r="ER471" s="1098"/>
      <c r="ES471" s="1098"/>
      <c r="ET471" s="1098"/>
      <c r="EU471" s="1098"/>
      <c r="EV471" s="1098"/>
      <c r="EW471" s="1098"/>
      <c r="EX471" s="1098"/>
      <c r="EY471" s="1098"/>
      <c r="EZ471" s="1098"/>
      <c r="FA471" s="1098"/>
      <c r="FB471" s="1098"/>
      <c r="FC471" s="1098"/>
      <c r="FD471" s="1098"/>
      <c r="FE471" s="1098"/>
      <c r="FF471" s="1098"/>
      <c r="FG471" s="1098"/>
      <c r="FH471" s="1098"/>
      <c r="FI471" s="1098"/>
      <c r="FJ471" s="1098"/>
      <c r="FK471" s="1098"/>
      <c r="FL471" s="1098"/>
      <c r="FM471" s="1098"/>
      <c r="FN471" s="1098"/>
      <c r="FO471" s="1098"/>
      <c r="FP471" s="1098"/>
      <c r="FQ471" s="1098"/>
      <c r="FR471" s="1098"/>
      <c r="FS471" s="1098"/>
      <c r="FT471" s="1098"/>
      <c r="FU471" s="1098"/>
      <c r="FV471" s="1098"/>
      <c r="FW471" s="1098"/>
      <c r="FX471" s="1098"/>
      <c r="FY471" s="1098"/>
      <c r="FZ471" s="1098"/>
      <c r="GA471" s="1098"/>
      <c r="GB471" s="1098"/>
      <c r="GC471" s="1098"/>
      <c r="GD471" s="1098"/>
      <c r="GE471" s="1098"/>
      <c r="GF471" s="1098"/>
      <c r="GG471" s="1098"/>
      <c r="GH471" s="1098"/>
      <c r="GI471" s="1098"/>
      <c r="GJ471" s="1098"/>
      <c r="GK471" s="1098"/>
      <c r="GL471" s="1098"/>
      <c r="GM471" s="1098"/>
      <c r="GN471" s="1098"/>
      <c r="GO471" s="1098"/>
      <c r="GP471" s="1098"/>
      <c r="GQ471" s="1098"/>
      <c r="GR471" s="1098"/>
      <c r="GS471" s="1098"/>
      <c r="GT471" s="1098"/>
      <c r="GU471" s="1098"/>
      <c r="GV471" s="1098"/>
      <c r="GW471" s="1098"/>
      <c r="GX471" s="1098"/>
      <c r="GY471" s="1098"/>
      <c r="GZ471" s="1098"/>
      <c r="HA471" s="1098"/>
      <c r="HB471" s="1098"/>
      <c r="HC471" s="1098"/>
      <c r="HD471" s="1098"/>
      <c r="HE471" s="1098"/>
      <c r="HF471" s="1098"/>
      <c r="HG471" s="1098"/>
      <c r="HH471" s="1098"/>
      <c r="HI471" s="1098"/>
      <c r="HJ471" s="1098"/>
      <c r="HK471" s="1098"/>
      <c r="HL471" s="1098"/>
      <c r="HM471" s="1098"/>
      <c r="HN471" s="1098"/>
      <c r="HO471" s="1098"/>
      <c r="HP471" s="1098"/>
      <c r="HQ471" s="1098"/>
      <c r="HR471" s="1098"/>
      <c r="HS471" s="1098"/>
      <c r="HT471" s="1098"/>
      <c r="HU471" s="1098"/>
      <c r="HV471" s="1098"/>
      <c r="HW471" s="1098"/>
      <c r="HX471" s="1098"/>
      <c r="HY471" s="1098"/>
      <c r="HZ471" s="1098"/>
      <c r="IA471" s="1098"/>
      <c r="IB471" s="1098"/>
      <c r="IC471" s="1098"/>
      <c r="ID471" s="1098"/>
      <c r="IE471" s="1098"/>
      <c r="IF471" s="1098"/>
      <c r="IG471" s="1098"/>
      <c r="IH471" s="1098"/>
      <c r="II471" s="1098"/>
      <c r="IJ471" s="1098"/>
      <c r="IK471" s="1098"/>
      <c r="IL471" s="1098"/>
      <c r="IM471" s="1098"/>
      <c r="IN471" s="1098"/>
      <c r="IO471" s="1098"/>
      <c r="IP471" s="1098"/>
      <c r="IQ471" s="1098"/>
      <c r="IR471" s="1098"/>
      <c r="IS471" s="1098"/>
      <c r="IT471" s="1098"/>
      <c r="IU471" s="1098"/>
      <c r="IV471" s="1098"/>
      <c r="IW471" s="1098"/>
      <c r="IX471" s="1098"/>
      <c r="IY471" s="1098"/>
      <c r="IZ471" s="1098"/>
      <c r="JA471" s="1098"/>
      <c r="JB471" s="1098"/>
      <c r="JC471" s="1098"/>
      <c r="JD471" s="1098"/>
      <c r="JE471" s="1098"/>
      <c r="JF471" s="1098"/>
      <c r="JG471" s="1098"/>
      <c r="JH471" s="1098"/>
      <c r="JI471" s="1098"/>
      <c r="JJ471" s="1098"/>
      <c r="JK471" s="1098"/>
      <c r="JL471" s="1098"/>
      <c r="JM471" s="1098"/>
      <c r="JN471" s="1098"/>
      <c r="JO471" s="1098"/>
      <c r="JP471" s="1098"/>
      <c r="JQ471" s="1098"/>
      <c r="JR471" s="1098"/>
      <c r="JS471" s="1098"/>
      <c r="JT471" s="1098"/>
      <c r="JU471" s="1098"/>
      <c r="JV471" s="1098"/>
      <c r="JW471" s="1098"/>
      <c r="JX471" s="1098"/>
      <c r="JY471" s="1098"/>
      <c r="JZ471" s="1098"/>
      <c r="KA471" s="1098"/>
      <c r="KB471" s="1099"/>
    </row>
    <row r="472" spans="2:288" ht="15" customHeight="1" x14ac:dyDescent="0.35">
      <c r="B472" s="146" t="str">
        <f t="shared" si="37"/>
        <v>Desk 48</v>
      </c>
      <c r="C472" s="148" t="str">
        <v/>
      </c>
      <c r="D472" s="148" t="str">
        <v/>
      </c>
      <c r="E472" s="148" t="str">
        <v/>
      </c>
      <c r="F472" s="148" t="str">
        <v/>
      </c>
      <c r="G472" s="268" t="str">
        <v/>
      </c>
      <c r="H472" s="1098"/>
      <c r="I472" s="1098"/>
      <c r="J472" s="1098"/>
      <c r="K472" s="1098"/>
      <c r="L472" s="1098"/>
      <c r="M472" s="1098"/>
      <c r="N472" s="1098"/>
      <c r="O472" s="1098"/>
      <c r="P472" s="1098"/>
      <c r="Q472" s="1098"/>
      <c r="R472" s="1098"/>
      <c r="S472" s="1098"/>
      <c r="T472" s="1098"/>
      <c r="U472" s="1098"/>
      <c r="V472" s="1098"/>
      <c r="W472" s="1098"/>
      <c r="X472" s="1098"/>
      <c r="Y472" s="1098"/>
      <c r="Z472" s="1098"/>
      <c r="AA472" s="1098"/>
      <c r="AB472" s="1098"/>
      <c r="AC472" s="1098"/>
      <c r="AD472" s="1098"/>
      <c r="AE472" s="1098"/>
      <c r="AF472" s="1098"/>
      <c r="AG472" s="1098"/>
      <c r="AH472" s="1098"/>
      <c r="AI472" s="1098"/>
      <c r="AJ472" s="1098"/>
      <c r="AK472" s="1098"/>
      <c r="AL472" s="1098"/>
      <c r="AM472" s="1098"/>
      <c r="AN472" s="1098"/>
      <c r="AO472" s="1098"/>
      <c r="AP472" s="1098"/>
      <c r="AQ472" s="1098"/>
      <c r="AR472" s="1098"/>
      <c r="AS472" s="1098"/>
      <c r="AT472" s="1098"/>
      <c r="AU472" s="1098"/>
      <c r="AV472" s="1098"/>
      <c r="AW472" s="1098"/>
      <c r="AX472" s="1098"/>
      <c r="AY472" s="1098"/>
      <c r="AZ472" s="1098"/>
      <c r="BA472" s="1098"/>
      <c r="BB472" s="1098"/>
      <c r="BC472" s="1098"/>
      <c r="BD472" s="1098"/>
      <c r="BE472" s="1098"/>
      <c r="BF472" s="1098"/>
      <c r="BG472" s="1098"/>
      <c r="BH472" s="1098"/>
      <c r="BI472" s="1098"/>
      <c r="BJ472" s="1098"/>
      <c r="BK472" s="1098"/>
      <c r="BL472" s="1098"/>
      <c r="BM472" s="1098"/>
      <c r="BN472" s="1098"/>
      <c r="BO472" s="1098"/>
      <c r="BP472" s="1098"/>
      <c r="BQ472" s="1098"/>
      <c r="BR472" s="1098"/>
      <c r="BS472" s="1098"/>
      <c r="BT472" s="1098"/>
      <c r="BU472" s="1098"/>
      <c r="BV472" s="1098"/>
      <c r="BW472" s="1098"/>
      <c r="BX472" s="1098"/>
      <c r="BY472" s="1098"/>
      <c r="BZ472" s="1098"/>
      <c r="CA472" s="1098"/>
      <c r="CB472" s="1098"/>
      <c r="CC472" s="1098"/>
      <c r="CD472" s="1098"/>
      <c r="CE472" s="1098"/>
      <c r="CF472" s="1098"/>
      <c r="CG472" s="1098"/>
      <c r="CH472" s="1098"/>
      <c r="CI472" s="1098"/>
      <c r="CJ472" s="1098"/>
      <c r="CK472" s="1098"/>
      <c r="CL472" s="1098"/>
      <c r="CM472" s="1098"/>
      <c r="CN472" s="1098"/>
      <c r="CO472" s="1098"/>
      <c r="CP472" s="1098"/>
      <c r="CQ472" s="1098"/>
      <c r="CR472" s="1098"/>
      <c r="CS472" s="1098"/>
      <c r="CT472" s="1098"/>
      <c r="CU472" s="1098"/>
      <c r="CV472" s="1098"/>
      <c r="CW472" s="1098"/>
      <c r="CX472" s="1098"/>
      <c r="CY472" s="1098"/>
      <c r="CZ472" s="1098"/>
      <c r="DA472" s="1098"/>
      <c r="DB472" s="1098"/>
      <c r="DC472" s="1098"/>
      <c r="DD472" s="1098"/>
      <c r="DE472" s="1098"/>
      <c r="DF472" s="1098"/>
      <c r="DG472" s="1098"/>
      <c r="DH472" s="1098"/>
      <c r="DI472" s="1098"/>
      <c r="DJ472" s="1098"/>
      <c r="DK472" s="1098"/>
      <c r="DL472" s="1098"/>
      <c r="DM472" s="1098"/>
      <c r="DN472" s="1098"/>
      <c r="DO472" s="1098"/>
      <c r="DP472" s="1098"/>
      <c r="DQ472" s="1098"/>
      <c r="DR472" s="1098"/>
      <c r="DS472" s="1098"/>
      <c r="DT472" s="1098"/>
      <c r="DU472" s="1098"/>
      <c r="DV472" s="1098"/>
      <c r="DW472" s="1098"/>
      <c r="DX472" s="1098"/>
      <c r="DY472" s="1098"/>
      <c r="DZ472" s="1098"/>
      <c r="EA472" s="1098"/>
      <c r="EB472" s="1098"/>
      <c r="EC472" s="1098"/>
      <c r="ED472" s="1098"/>
      <c r="EE472" s="1098"/>
      <c r="EF472" s="1098"/>
      <c r="EG472" s="1098"/>
      <c r="EH472" s="1098"/>
      <c r="EI472" s="1098"/>
      <c r="EJ472" s="1098"/>
      <c r="EK472" s="1098"/>
      <c r="EL472" s="1098"/>
      <c r="EM472" s="1098"/>
      <c r="EN472" s="1098"/>
      <c r="EO472" s="1098"/>
      <c r="EP472" s="1098"/>
      <c r="EQ472" s="1098"/>
      <c r="ER472" s="1098"/>
      <c r="ES472" s="1098"/>
      <c r="ET472" s="1098"/>
      <c r="EU472" s="1098"/>
      <c r="EV472" s="1098"/>
      <c r="EW472" s="1098"/>
      <c r="EX472" s="1098"/>
      <c r="EY472" s="1098"/>
      <c r="EZ472" s="1098"/>
      <c r="FA472" s="1098"/>
      <c r="FB472" s="1098"/>
      <c r="FC472" s="1098"/>
      <c r="FD472" s="1098"/>
      <c r="FE472" s="1098"/>
      <c r="FF472" s="1098"/>
      <c r="FG472" s="1098"/>
      <c r="FH472" s="1098"/>
      <c r="FI472" s="1098"/>
      <c r="FJ472" s="1098"/>
      <c r="FK472" s="1098"/>
      <c r="FL472" s="1098"/>
      <c r="FM472" s="1098"/>
      <c r="FN472" s="1098"/>
      <c r="FO472" s="1098"/>
      <c r="FP472" s="1098"/>
      <c r="FQ472" s="1098"/>
      <c r="FR472" s="1098"/>
      <c r="FS472" s="1098"/>
      <c r="FT472" s="1098"/>
      <c r="FU472" s="1098"/>
      <c r="FV472" s="1098"/>
      <c r="FW472" s="1098"/>
      <c r="FX472" s="1098"/>
      <c r="FY472" s="1098"/>
      <c r="FZ472" s="1098"/>
      <c r="GA472" s="1098"/>
      <c r="GB472" s="1098"/>
      <c r="GC472" s="1098"/>
      <c r="GD472" s="1098"/>
      <c r="GE472" s="1098"/>
      <c r="GF472" s="1098"/>
      <c r="GG472" s="1098"/>
      <c r="GH472" s="1098"/>
      <c r="GI472" s="1098"/>
      <c r="GJ472" s="1098"/>
      <c r="GK472" s="1098"/>
      <c r="GL472" s="1098"/>
      <c r="GM472" s="1098"/>
      <c r="GN472" s="1098"/>
      <c r="GO472" s="1098"/>
      <c r="GP472" s="1098"/>
      <c r="GQ472" s="1098"/>
      <c r="GR472" s="1098"/>
      <c r="GS472" s="1098"/>
      <c r="GT472" s="1098"/>
      <c r="GU472" s="1098"/>
      <c r="GV472" s="1098"/>
      <c r="GW472" s="1098"/>
      <c r="GX472" s="1098"/>
      <c r="GY472" s="1098"/>
      <c r="GZ472" s="1098"/>
      <c r="HA472" s="1098"/>
      <c r="HB472" s="1098"/>
      <c r="HC472" s="1098"/>
      <c r="HD472" s="1098"/>
      <c r="HE472" s="1098"/>
      <c r="HF472" s="1098"/>
      <c r="HG472" s="1098"/>
      <c r="HH472" s="1098"/>
      <c r="HI472" s="1098"/>
      <c r="HJ472" s="1098"/>
      <c r="HK472" s="1098"/>
      <c r="HL472" s="1098"/>
      <c r="HM472" s="1098"/>
      <c r="HN472" s="1098"/>
      <c r="HO472" s="1098"/>
      <c r="HP472" s="1098"/>
      <c r="HQ472" s="1098"/>
      <c r="HR472" s="1098"/>
      <c r="HS472" s="1098"/>
      <c r="HT472" s="1098"/>
      <c r="HU472" s="1098"/>
      <c r="HV472" s="1098"/>
      <c r="HW472" s="1098"/>
      <c r="HX472" s="1098"/>
      <c r="HY472" s="1098"/>
      <c r="HZ472" s="1098"/>
      <c r="IA472" s="1098"/>
      <c r="IB472" s="1098"/>
      <c r="IC472" s="1098"/>
      <c r="ID472" s="1098"/>
      <c r="IE472" s="1098"/>
      <c r="IF472" s="1098"/>
      <c r="IG472" s="1098"/>
      <c r="IH472" s="1098"/>
      <c r="II472" s="1098"/>
      <c r="IJ472" s="1098"/>
      <c r="IK472" s="1098"/>
      <c r="IL472" s="1098"/>
      <c r="IM472" s="1098"/>
      <c r="IN472" s="1098"/>
      <c r="IO472" s="1098"/>
      <c r="IP472" s="1098"/>
      <c r="IQ472" s="1098"/>
      <c r="IR472" s="1098"/>
      <c r="IS472" s="1098"/>
      <c r="IT472" s="1098"/>
      <c r="IU472" s="1098"/>
      <c r="IV472" s="1098"/>
      <c r="IW472" s="1098"/>
      <c r="IX472" s="1098"/>
      <c r="IY472" s="1098"/>
      <c r="IZ472" s="1098"/>
      <c r="JA472" s="1098"/>
      <c r="JB472" s="1098"/>
      <c r="JC472" s="1098"/>
      <c r="JD472" s="1098"/>
      <c r="JE472" s="1098"/>
      <c r="JF472" s="1098"/>
      <c r="JG472" s="1098"/>
      <c r="JH472" s="1098"/>
      <c r="JI472" s="1098"/>
      <c r="JJ472" s="1098"/>
      <c r="JK472" s="1098"/>
      <c r="JL472" s="1098"/>
      <c r="JM472" s="1098"/>
      <c r="JN472" s="1098"/>
      <c r="JO472" s="1098"/>
      <c r="JP472" s="1098"/>
      <c r="JQ472" s="1098"/>
      <c r="JR472" s="1098"/>
      <c r="JS472" s="1098"/>
      <c r="JT472" s="1098"/>
      <c r="JU472" s="1098"/>
      <c r="JV472" s="1098"/>
      <c r="JW472" s="1098"/>
      <c r="JX472" s="1098"/>
      <c r="JY472" s="1098"/>
      <c r="JZ472" s="1098"/>
      <c r="KA472" s="1098"/>
      <c r="KB472" s="1099"/>
    </row>
    <row r="473" spans="2:288" ht="15" customHeight="1" x14ac:dyDescent="0.35">
      <c r="B473" s="146" t="str">
        <f t="shared" si="37"/>
        <v>Desk 49</v>
      </c>
      <c r="C473" s="148" t="str">
        <v/>
      </c>
      <c r="D473" s="148" t="str">
        <v/>
      </c>
      <c r="E473" s="148" t="str">
        <v/>
      </c>
      <c r="F473" s="148" t="str">
        <v/>
      </c>
      <c r="G473" s="268" t="str">
        <v/>
      </c>
      <c r="H473" s="1098"/>
      <c r="I473" s="1098"/>
      <c r="J473" s="1098"/>
      <c r="K473" s="1098"/>
      <c r="L473" s="1098"/>
      <c r="M473" s="1098"/>
      <c r="N473" s="1098"/>
      <c r="O473" s="1098"/>
      <c r="P473" s="1098"/>
      <c r="Q473" s="1098"/>
      <c r="R473" s="1098"/>
      <c r="S473" s="1098"/>
      <c r="T473" s="1098"/>
      <c r="U473" s="1098"/>
      <c r="V473" s="1098"/>
      <c r="W473" s="1098"/>
      <c r="X473" s="1098"/>
      <c r="Y473" s="1098"/>
      <c r="Z473" s="1098"/>
      <c r="AA473" s="1098"/>
      <c r="AB473" s="1098"/>
      <c r="AC473" s="1098"/>
      <c r="AD473" s="1098"/>
      <c r="AE473" s="1098"/>
      <c r="AF473" s="1098"/>
      <c r="AG473" s="1098"/>
      <c r="AH473" s="1098"/>
      <c r="AI473" s="1098"/>
      <c r="AJ473" s="1098"/>
      <c r="AK473" s="1098"/>
      <c r="AL473" s="1098"/>
      <c r="AM473" s="1098"/>
      <c r="AN473" s="1098"/>
      <c r="AO473" s="1098"/>
      <c r="AP473" s="1098"/>
      <c r="AQ473" s="1098"/>
      <c r="AR473" s="1098"/>
      <c r="AS473" s="1098"/>
      <c r="AT473" s="1098"/>
      <c r="AU473" s="1098"/>
      <c r="AV473" s="1098"/>
      <c r="AW473" s="1098"/>
      <c r="AX473" s="1098"/>
      <c r="AY473" s="1098"/>
      <c r="AZ473" s="1098"/>
      <c r="BA473" s="1098"/>
      <c r="BB473" s="1098"/>
      <c r="BC473" s="1098"/>
      <c r="BD473" s="1098"/>
      <c r="BE473" s="1098"/>
      <c r="BF473" s="1098"/>
      <c r="BG473" s="1098"/>
      <c r="BH473" s="1098"/>
      <c r="BI473" s="1098"/>
      <c r="BJ473" s="1098"/>
      <c r="BK473" s="1098"/>
      <c r="BL473" s="1098"/>
      <c r="BM473" s="1098"/>
      <c r="BN473" s="1098"/>
      <c r="BO473" s="1098"/>
      <c r="BP473" s="1098"/>
      <c r="BQ473" s="1098"/>
      <c r="BR473" s="1098"/>
      <c r="BS473" s="1098"/>
      <c r="BT473" s="1098"/>
      <c r="BU473" s="1098"/>
      <c r="BV473" s="1098"/>
      <c r="BW473" s="1098"/>
      <c r="BX473" s="1098"/>
      <c r="BY473" s="1098"/>
      <c r="BZ473" s="1098"/>
      <c r="CA473" s="1098"/>
      <c r="CB473" s="1098"/>
      <c r="CC473" s="1098"/>
      <c r="CD473" s="1098"/>
      <c r="CE473" s="1098"/>
      <c r="CF473" s="1098"/>
      <c r="CG473" s="1098"/>
      <c r="CH473" s="1098"/>
      <c r="CI473" s="1098"/>
      <c r="CJ473" s="1098"/>
      <c r="CK473" s="1098"/>
      <c r="CL473" s="1098"/>
      <c r="CM473" s="1098"/>
      <c r="CN473" s="1098"/>
      <c r="CO473" s="1098"/>
      <c r="CP473" s="1098"/>
      <c r="CQ473" s="1098"/>
      <c r="CR473" s="1098"/>
      <c r="CS473" s="1098"/>
      <c r="CT473" s="1098"/>
      <c r="CU473" s="1098"/>
      <c r="CV473" s="1098"/>
      <c r="CW473" s="1098"/>
      <c r="CX473" s="1098"/>
      <c r="CY473" s="1098"/>
      <c r="CZ473" s="1098"/>
      <c r="DA473" s="1098"/>
      <c r="DB473" s="1098"/>
      <c r="DC473" s="1098"/>
      <c r="DD473" s="1098"/>
      <c r="DE473" s="1098"/>
      <c r="DF473" s="1098"/>
      <c r="DG473" s="1098"/>
      <c r="DH473" s="1098"/>
      <c r="DI473" s="1098"/>
      <c r="DJ473" s="1098"/>
      <c r="DK473" s="1098"/>
      <c r="DL473" s="1098"/>
      <c r="DM473" s="1098"/>
      <c r="DN473" s="1098"/>
      <c r="DO473" s="1098"/>
      <c r="DP473" s="1098"/>
      <c r="DQ473" s="1098"/>
      <c r="DR473" s="1098"/>
      <c r="DS473" s="1098"/>
      <c r="DT473" s="1098"/>
      <c r="DU473" s="1098"/>
      <c r="DV473" s="1098"/>
      <c r="DW473" s="1098"/>
      <c r="DX473" s="1098"/>
      <c r="DY473" s="1098"/>
      <c r="DZ473" s="1098"/>
      <c r="EA473" s="1098"/>
      <c r="EB473" s="1098"/>
      <c r="EC473" s="1098"/>
      <c r="ED473" s="1098"/>
      <c r="EE473" s="1098"/>
      <c r="EF473" s="1098"/>
      <c r="EG473" s="1098"/>
      <c r="EH473" s="1098"/>
      <c r="EI473" s="1098"/>
      <c r="EJ473" s="1098"/>
      <c r="EK473" s="1098"/>
      <c r="EL473" s="1098"/>
      <c r="EM473" s="1098"/>
      <c r="EN473" s="1098"/>
      <c r="EO473" s="1098"/>
      <c r="EP473" s="1098"/>
      <c r="EQ473" s="1098"/>
      <c r="ER473" s="1098"/>
      <c r="ES473" s="1098"/>
      <c r="ET473" s="1098"/>
      <c r="EU473" s="1098"/>
      <c r="EV473" s="1098"/>
      <c r="EW473" s="1098"/>
      <c r="EX473" s="1098"/>
      <c r="EY473" s="1098"/>
      <c r="EZ473" s="1098"/>
      <c r="FA473" s="1098"/>
      <c r="FB473" s="1098"/>
      <c r="FC473" s="1098"/>
      <c r="FD473" s="1098"/>
      <c r="FE473" s="1098"/>
      <c r="FF473" s="1098"/>
      <c r="FG473" s="1098"/>
      <c r="FH473" s="1098"/>
      <c r="FI473" s="1098"/>
      <c r="FJ473" s="1098"/>
      <c r="FK473" s="1098"/>
      <c r="FL473" s="1098"/>
      <c r="FM473" s="1098"/>
      <c r="FN473" s="1098"/>
      <c r="FO473" s="1098"/>
      <c r="FP473" s="1098"/>
      <c r="FQ473" s="1098"/>
      <c r="FR473" s="1098"/>
      <c r="FS473" s="1098"/>
      <c r="FT473" s="1098"/>
      <c r="FU473" s="1098"/>
      <c r="FV473" s="1098"/>
      <c r="FW473" s="1098"/>
      <c r="FX473" s="1098"/>
      <c r="FY473" s="1098"/>
      <c r="FZ473" s="1098"/>
      <c r="GA473" s="1098"/>
      <c r="GB473" s="1098"/>
      <c r="GC473" s="1098"/>
      <c r="GD473" s="1098"/>
      <c r="GE473" s="1098"/>
      <c r="GF473" s="1098"/>
      <c r="GG473" s="1098"/>
      <c r="GH473" s="1098"/>
      <c r="GI473" s="1098"/>
      <c r="GJ473" s="1098"/>
      <c r="GK473" s="1098"/>
      <c r="GL473" s="1098"/>
      <c r="GM473" s="1098"/>
      <c r="GN473" s="1098"/>
      <c r="GO473" s="1098"/>
      <c r="GP473" s="1098"/>
      <c r="GQ473" s="1098"/>
      <c r="GR473" s="1098"/>
      <c r="GS473" s="1098"/>
      <c r="GT473" s="1098"/>
      <c r="GU473" s="1098"/>
      <c r="GV473" s="1098"/>
      <c r="GW473" s="1098"/>
      <c r="GX473" s="1098"/>
      <c r="GY473" s="1098"/>
      <c r="GZ473" s="1098"/>
      <c r="HA473" s="1098"/>
      <c r="HB473" s="1098"/>
      <c r="HC473" s="1098"/>
      <c r="HD473" s="1098"/>
      <c r="HE473" s="1098"/>
      <c r="HF473" s="1098"/>
      <c r="HG473" s="1098"/>
      <c r="HH473" s="1098"/>
      <c r="HI473" s="1098"/>
      <c r="HJ473" s="1098"/>
      <c r="HK473" s="1098"/>
      <c r="HL473" s="1098"/>
      <c r="HM473" s="1098"/>
      <c r="HN473" s="1098"/>
      <c r="HO473" s="1098"/>
      <c r="HP473" s="1098"/>
      <c r="HQ473" s="1098"/>
      <c r="HR473" s="1098"/>
      <c r="HS473" s="1098"/>
      <c r="HT473" s="1098"/>
      <c r="HU473" s="1098"/>
      <c r="HV473" s="1098"/>
      <c r="HW473" s="1098"/>
      <c r="HX473" s="1098"/>
      <c r="HY473" s="1098"/>
      <c r="HZ473" s="1098"/>
      <c r="IA473" s="1098"/>
      <c r="IB473" s="1098"/>
      <c r="IC473" s="1098"/>
      <c r="ID473" s="1098"/>
      <c r="IE473" s="1098"/>
      <c r="IF473" s="1098"/>
      <c r="IG473" s="1098"/>
      <c r="IH473" s="1098"/>
      <c r="II473" s="1098"/>
      <c r="IJ473" s="1098"/>
      <c r="IK473" s="1098"/>
      <c r="IL473" s="1098"/>
      <c r="IM473" s="1098"/>
      <c r="IN473" s="1098"/>
      <c r="IO473" s="1098"/>
      <c r="IP473" s="1098"/>
      <c r="IQ473" s="1098"/>
      <c r="IR473" s="1098"/>
      <c r="IS473" s="1098"/>
      <c r="IT473" s="1098"/>
      <c r="IU473" s="1098"/>
      <c r="IV473" s="1098"/>
      <c r="IW473" s="1098"/>
      <c r="IX473" s="1098"/>
      <c r="IY473" s="1098"/>
      <c r="IZ473" s="1098"/>
      <c r="JA473" s="1098"/>
      <c r="JB473" s="1098"/>
      <c r="JC473" s="1098"/>
      <c r="JD473" s="1098"/>
      <c r="JE473" s="1098"/>
      <c r="JF473" s="1098"/>
      <c r="JG473" s="1098"/>
      <c r="JH473" s="1098"/>
      <c r="JI473" s="1098"/>
      <c r="JJ473" s="1098"/>
      <c r="JK473" s="1098"/>
      <c r="JL473" s="1098"/>
      <c r="JM473" s="1098"/>
      <c r="JN473" s="1098"/>
      <c r="JO473" s="1098"/>
      <c r="JP473" s="1098"/>
      <c r="JQ473" s="1098"/>
      <c r="JR473" s="1098"/>
      <c r="JS473" s="1098"/>
      <c r="JT473" s="1098"/>
      <c r="JU473" s="1098"/>
      <c r="JV473" s="1098"/>
      <c r="JW473" s="1098"/>
      <c r="JX473" s="1098"/>
      <c r="JY473" s="1098"/>
      <c r="JZ473" s="1098"/>
      <c r="KA473" s="1098"/>
      <c r="KB473" s="1099"/>
    </row>
    <row r="474" spans="2:288" ht="15" customHeight="1" x14ac:dyDescent="0.35">
      <c r="B474" s="146" t="str">
        <f t="shared" si="37"/>
        <v>Desk 50</v>
      </c>
      <c r="C474" s="148" t="str">
        <v/>
      </c>
      <c r="D474" s="148" t="str">
        <v/>
      </c>
      <c r="E474" s="148" t="str">
        <v/>
      </c>
      <c r="F474" s="148" t="str">
        <v/>
      </c>
      <c r="G474" s="268" t="str">
        <v/>
      </c>
      <c r="H474" s="1098"/>
      <c r="I474" s="1098"/>
      <c r="J474" s="1098"/>
      <c r="K474" s="1098"/>
      <c r="L474" s="1098"/>
      <c r="M474" s="1098"/>
      <c r="N474" s="1098"/>
      <c r="O474" s="1098"/>
      <c r="P474" s="1098"/>
      <c r="Q474" s="1098"/>
      <c r="R474" s="1098"/>
      <c r="S474" s="1098"/>
      <c r="T474" s="1098"/>
      <c r="U474" s="1098"/>
      <c r="V474" s="1098"/>
      <c r="W474" s="1098"/>
      <c r="X474" s="1098"/>
      <c r="Y474" s="1098"/>
      <c r="Z474" s="1098"/>
      <c r="AA474" s="1098"/>
      <c r="AB474" s="1098"/>
      <c r="AC474" s="1098"/>
      <c r="AD474" s="1098"/>
      <c r="AE474" s="1098"/>
      <c r="AF474" s="1098"/>
      <c r="AG474" s="1098"/>
      <c r="AH474" s="1098"/>
      <c r="AI474" s="1098"/>
      <c r="AJ474" s="1098"/>
      <c r="AK474" s="1098"/>
      <c r="AL474" s="1098"/>
      <c r="AM474" s="1098"/>
      <c r="AN474" s="1098"/>
      <c r="AO474" s="1098"/>
      <c r="AP474" s="1098"/>
      <c r="AQ474" s="1098"/>
      <c r="AR474" s="1098"/>
      <c r="AS474" s="1098"/>
      <c r="AT474" s="1098"/>
      <c r="AU474" s="1098"/>
      <c r="AV474" s="1098"/>
      <c r="AW474" s="1098"/>
      <c r="AX474" s="1098"/>
      <c r="AY474" s="1098"/>
      <c r="AZ474" s="1098"/>
      <c r="BA474" s="1098"/>
      <c r="BB474" s="1098"/>
      <c r="BC474" s="1098"/>
      <c r="BD474" s="1098"/>
      <c r="BE474" s="1098"/>
      <c r="BF474" s="1098"/>
      <c r="BG474" s="1098"/>
      <c r="BH474" s="1098"/>
      <c r="BI474" s="1098"/>
      <c r="BJ474" s="1098"/>
      <c r="BK474" s="1098"/>
      <c r="BL474" s="1098"/>
      <c r="BM474" s="1098"/>
      <c r="BN474" s="1098"/>
      <c r="BO474" s="1098"/>
      <c r="BP474" s="1098"/>
      <c r="BQ474" s="1098"/>
      <c r="BR474" s="1098"/>
      <c r="BS474" s="1098"/>
      <c r="BT474" s="1098"/>
      <c r="BU474" s="1098"/>
      <c r="BV474" s="1098"/>
      <c r="BW474" s="1098"/>
      <c r="BX474" s="1098"/>
      <c r="BY474" s="1098"/>
      <c r="BZ474" s="1098"/>
      <c r="CA474" s="1098"/>
      <c r="CB474" s="1098"/>
      <c r="CC474" s="1098"/>
      <c r="CD474" s="1098"/>
      <c r="CE474" s="1098"/>
      <c r="CF474" s="1098"/>
      <c r="CG474" s="1098"/>
      <c r="CH474" s="1098"/>
      <c r="CI474" s="1098"/>
      <c r="CJ474" s="1098"/>
      <c r="CK474" s="1098"/>
      <c r="CL474" s="1098"/>
      <c r="CM474" s="1098"/>
      <c r="CN474" s="1098"/>
      <c r="CO474" s="1098"/>
      <c r="CP474" s="1098"/>
      <c r="CQ474" s="1098"/>
      <c r="CR474" s="1098"/>
      <c r="CS474" s="1098"/>
      <c r="CT474" s="1098"/>
      <c r="CU474" s="1098"/>
      <c r="CV474" s="1098"/>
      <c r="CW474" s="1098"/>
      <c r="CX474" s="1098"/>
      <c r="CY474" s="1098"/>
      <c r="CZ474" s="1098"/>
      <c r="DA474" s="1098"/>
      <c r="DB474" s="1098"/>
      <c r="DC474" s="1098"/>
      <c r="DD474" s="1098"/>
      <c r="DE474" s="1098"/>
      <c r="DF474" s="1098"/>
      <c r="DG474" s="1098"/>
      <c r="DH474" s="1098"/>
      <c r="DI474" s="1098"/>
      <c r="DJ474" s="1098"/>
      <c r="DK474" s="1098"/>
      <c r="DL474" s="1098"/>
      <c r="DM474" s="1098"/>
      <c r="DN474" s="1098"/>
      <c r="DO474" s="1098"/>
      <c r="DP474" s="1098"/>
      <c r="DQ474" s="1098"/>
      <c r="DR474" s="1098"/>
      <c r="DS474" s="1098"/>
      <c r="DT474" s="1098"/>
      <c r="DU474" s="1098"/>
      <c r="DV474" s="1098"/>
      <c r="DW474" s="1098"/>
      <c r="DX474" s="1098"/>
      <c r="DY474" s="1098"/>
      <c r="DZ474" s="1098"/>
      <c r="EA474" s="1098"/>
      <c r="EB474" s="1098"/>
      <c r="EC474" s="1098"/>
      <c r="ED474" s="1098"/>
      <c r="EE474" s="1098"/>
      <c r="EF474" s="1098"/>
      <c r="EG474" s="1098"/>
      <c r="EH474" s="1098"/>
      <c r="EI474" s="1098"/>
      <c r="EJ474" s="1098"/>
      <c r="EK474" s="1098"/>
      <c r="EL474" s="1098"/>
      <c r="EM474" s="1098"/>
      <c r="EN474" s="1098"/>
      <c r="EO474" s="1098"/>
      <c r="EP474" s="1098"/>
      <c r="EQ474" s="1098"/>
      <c r="ER474" s="1098"/>
      <c r="ES474" s="1098"/>
      <c r="ET474" s="1098"/>
      <c r="EU474" s="1098"/>
      <c r="EV474" s="1098"/>
      <c r="EW474" s="1098"/>
      <c r="EX474" s="1098"/>
      <c r="EY474" s="1098"/>
      <c r="EZ474" s="1098"/>
      <c r="FA474" s="1098"/>
      <c r="FB474" s="1098"/>
      <c r="FC474" s="1098"/>
      <c r="FD474" s="1098"/>
      <c r="FE474" s="1098"/>
      <c r="FF474" s="1098"/>
      <c r="FG474" s="1098"/>
      <c r="FH474" s="1098"/>
      <c r="FI474" s="1098"/>
      <c r="FJ474" s="1098"/>
      <c r="FK474" s="1098"/>
      <c r="FL474" s="1098"/>
      <c r="FM474" s="1098"/>
      <c r="FN474" s="1098"/>
      <c r="FO474" s="1098"/>
      <c r="FP474" s="1098"/>
      <c r="FQ474" s="1098"/>
      <c r="FR474" s="1098"/>
      <c r="FS474" s="1098"/>
      <c r="FT474" s="1098"/>
      <c r="FU474" s="1098"/>
      <c r="FV474" s="1098"/>
      <c r="FW474" s="1098"/>
      <c r="FX474" s="1098"/>
      <c r="FY474" s="1098"/>
      <c r="FZ474" s="1098"/>
      <c r="GA474" s="1098"/>
      <c r="GB474" s="1098"/>
      <c r="GC474" s="1098"/>
      <c r="GD474" s="1098"/>
      <c r="GE474" s="1098"/>
      <c r="GF474" s="1098"/>
      <c r="GG474" s="1098"/>
      <c r="GH474" s="1098"/>
      <c r="GI474" s="1098"/>
      <c r="GJ474" s="1098"/>
      <c r="GK474" s="1098"/>
      <c r="GL474" s="1098"/>
      <c r="GM474" s="1098"/>
      <c r="GN474" s="1098"/>
      <c r="GO474" s="1098"/>
      <c r="GP474" s="1098"/>
      <c r="GQ474" s="1098"/>
      <c r="GR474" s="1098"/>
      <c r="GS474" s="1098"/>
      <c r="GT474" s="1098"/>
      <c r="GU474" s="1098"/>
      <c r="GV474" s="1098"/>
      <c r="GW474" s="1098"/>
      <c r="GX474" s="1098"/>
      <c r="GY474" s="1098"/>
      <c r="GZ474" s="1098"/>
      <c r="HA474" s="1098"/>
      <c r="HB474" s="1098"/>
      <c r="HC474" s="1098"/>
      <c r="HD474" s="1098"/>
      <c r="HE474" s="1098"/>
      <c r="HF474" s="1098"/>
      <c r="HG474" s="1098"/>
      <c r="HH474" s="1098"/>
      <c r="HI474" s="1098"/>
      <c r="HJ474" s="1098"/>
      <c r="HK474" s="1098"/>
      <c r="HL474" s="1098"/>
      <c r="HM474" s="1098"/>
      <c r="HN474" s="1098"/>
      <c r="HO474" s="1098"/>
      <c r="HP474" s="1098"/>
      <c r="HQ474" s="1098"/>
      <c r="HR474" s="1098"/>
      <c r="HS474" s="1098"/>
      <c r="HT474" s="1098"/>
      <c r="HU474" s="1098"/>
      <c r="HV474" s="1098"/>
      <c r="HW474" s="1098"/>
      <c r="HX474" s="1098"/>
      <c r="HY474" s="1098"/>
      <c r="HZ474" s="1098"/>
      <c r="IA474" s="1098"/>
      <c r="IB474" s="1098"/>
      <c r="IC474" s="1098"/>
      <c r="ID474" s="1098"/>
      <c r="IE474" s="1098"/>
      <c r="IF474" s="1098"/>
      <c r="IG474" s="1098"/>
      <c r="IH474" s="1098"/>
      <c r="II474" s="1098"/>
      <c r="IJ474" s="1098"/>
      <c r="IK474" s="1098"/>
      <c r="IL474" s="1098"/>
      <c r="IM474" s="1098"/>
      <c r="IN474" s="1098"/>
      <c r="IO474" s="1098"/>
      <c r="IP474" s="1098"/>
      <c r="IQ474" s="1098"/>
      <c r="IR474" s="1098"/>
      <c r="IS474" s="1098"/>
      <c r="IT474" s="1098"/>
      <c r="IU474" s="1098"/>
      <c r="IV474" s="1098"/>
      <c r="IW474" s="1098"/>
      <c r="IX474" s="1098"/>
      <c r="IY474" s="1098"/>
      <c r="IZ474" s="1098"/>
      <c r="JA474" s="1098"/>
      <c r="JB474" s="1098"/>
      <c r="JC474" s="1098"/>
      <c r="JD474" s="1098"/>
      <c r="JE474" s="1098"/>
      <c r="JF474" s="1098"/>
      <c r="JG474" s="1098"/>
      <c r="JH474" s="1098"/>
      <c r="JI474" s="1098"/>
      <c r="JJ474" s="1098"/>
      <c r="JK474" s="1098"/>
      <c r="JL474" s="1098"/>
      <c r="JM474" s="1098"/>
      <c r="JN474" s="1098"/>
      <c r="JO474" s="1098"/>
      <c r="JP474" s="1098"/>
      <c r="JQ474" s="1098"/>
      <c r="JR474" s="1098"/>
      <c r="JS474" s="1098"/>
      <c r="JT474" s="1098"/>
      <c r="JU474" s="1098"/>
      <c r="JV474" s="1098"/>
      <c r="JW474" s="1098"/>
      <c r="JX474" s="1098"/>
      <c r="JY474" s="1098"/>
      <c r="JZ474" s="1098"/>
      <c r="KA474" s="1098"/>
      <c r="KB474" s="1099"/>
    </row>
    <row r="475" spans="2:288" ht="15" customHeight="1" x14ac:dyDescent="0.35">
      <c r="B475" s="146" t="str">
        <f t="shared" si="37"/>
        <v>Desk 51</v>
      </c>
      <c r="C475" s="148" t="str">
        <v/>
      </c>
      <c r="D475" s="148" t="str">
        <v/>
      </c>
      <c r="E475" s="148" t="str">
        <v/>
      </c>
      <c r="F475" s="148" t="str">
        <v/>
      </c>
      <c r="G475" s="268" t="str">
        <v/>
      </c>
      <c r="H475" s="1098"/>
      <c r="I475" s="1098"/>
      <c r="J475" s="1098"/>
      <c r="K475" s="1098"/>
      <c r="L475" s="1098"/>
      <c r="M475" s="1098"/>
      <c r="N475" s="1098"/>
      <c r="O475" s="1098"/>
      <c r="P475" s="1098"/>
      <c r="Q475" s="1098"/>
      <c r="R475" s="1098"/>
      <c r="S475" s="1098"/>
      <c r="T475" s="1098"/>
      <c r="U475" s="1098"/>
      <c r="V475" s="1098"/>
      <c r="W475" s="1098"/>
      <c r="X475" s="1098"/>
      <c r="Y475" s="1098"/>
      <c r="Z475" s="1098"/>
      <c r="AA475" s="1098"/>
      <c r="AB475" s="1098"/>
      <c r="AC475" s="1098"/>
      <c r="AD475" s="1098"/>
      <c r="AE475" s="1098"/>
      <c r="AF475" s="1098"/>
      <c r="AG475" s="1098"/>
      <c r="AH475" s="1098"/>
      <c r="AI475" s="1098"/>
      <c r="AJ475" s="1098"/>
      <c r="AK475" s="1098"/>
      <c r="AL475" s="1098"/>
      <c r="AM475" s="1098"/>
      <c r="AN475" s="1098"/>
      <c r="AO475" s="1098"/>
      <c r="AP475" s="1098"/>
      <c r="AQ475" s="1098"/>
      <c r="AR475" s="1098"/>
      <c r="AS475" s="1098"/>
      <c r="AT475" s="1098"/>
      <c r="AU475" s="1098"/>
      <c r="AV475" s="1098"/>
      <c r="AW475" s="1098"/>
      <c r="AX475" s="1098"/>
      <c r="AY475" s="1098"/>
      <c r="AZ475" s="1098"/>
      <c r="BA475" s="1098"/>
      <c r="BB475" s="1098"/>
      <c r="BC475" s="1098"/>
      <c r="BD475" s="1098"/>
      <c r="BE475" s="1098"/>
      <c r="BF475" s="1098"/>
      <c r="BG475" s="1098"/>
      <c r="BH475" s="1098"/>
      <c r="BI475" s="1098"/>
      <c r="BJ475" s="1098"/>
      <c r="BK475" s="1098"/>
      <c r="BL475" s="1098"/>
      <c r="BM475" s="1098"/>
      <c r="BN475" s="1098"/>
      <c r="BO475" s="1098"/>
      <c r="BP475" s="1098"/>
      <c r="BQ475" s="1098"/>
      <c r="BR475" s="1098"/>
      <c r="BS475" s="1098"/>
      <c r="BT475" s="1098"/>
      <c r="BU475" s="1098"/>
      <c r="BV475" s="1098"/>
      <c r="BW475" s="1098"/>
      <c r="BX475" s="1098"/>
      <c r="BY475" s="1098"/>
      <c r="BZ475" s="1098"/>
      <c r="CA475" s="1098"/>
      <c r="CB475" s="1098"/>
      <c r="CC475" s="1098"/>
      <c r="CD475" s="1098"/>
      <c r="CE475" s="1098"/>
      <c r="CF475" s="1098"/>
      <c r="CG475" s="1098"/>
      <c r="CH475" s="1098"/>
      <c r="CI475" s="1098"/>
      <c r="CJ475" s="1098"/>
      <c r="CK475" s="1098"/>
      <c r="CL475" s="1098"/>
      <c r="CM475" s="1098"/>
      <c r="CN475" s="1098"/>
      <c r="CO475" s="1098"/>
      <c r="CP475" s="1098"/>
      <c r="CQ475" s="1098"/>
      <c r="CR475" s="1098"/>
      <c r="CS475" s="1098"/>
      <c r="CT475" s="1098"/>
      <c r="CU475" s="1098"/>
      <c r="CV475" s="1098"/>
      <c r="CW475" s="1098"/>
      <c r="CX475" s="1098"/>
      <c r="CY475" s="1098"/>
      <c r="CZ475" s="1098"/>
      <c r="DA475" s="1098"/>
      <c r="DB475" s="1098"/>
      <c r="DC475" s="1098"/>
      <c r="DD475" s="1098"/>
      <c r="DE475" s="1098"/>
      <c r="DF475" s="1098"/>
      <c r="DG475" s="1098"/>
      <c r="DH475" s="1098"/>
      <c r="DI475" s="1098"/>
      <c r="DJ475" s="1098"/>
      <c r="DK475" s="1098"/>
      <c r="DL475" s="1098"/>
      <c r="DM475" s="1098"/>
      <c r="DN475" s="1098"/>
      <c r="DO475" s="1098"/>
      <c r="DP475" s="1098"/>
      <c r="DQ475" s="1098"/>
      <c r="DR475" s="1098"/>
      <c r="DS475" s="1098"/>
      <c r="DT475" s="1098"/>
      <c r="DU475" s="1098"/>
      <c r="DV475" s="1098"/>
      <c r="DW475" s="1098"/>
      <c r="DX475" s="1098"/>
      <c r="DY475" s="1098"/>
      <c r="DZ475" s="1098"/>
      <c r="EA475" s="1098"/>
      <c r="EB475" s="1098"/>
      <c r="EC475" s="1098"/>
      <c r="ED475" s="1098"/>
      <c r="EE475" s="1098"/>
      <c r="EF475" s="1098"/>
      <c r="EG475" s="1098"/>
      <c r="EH475" s="1098"/>
      <c r="EI475" s="1098"/>
      <c r="EJ475" s="1098"/>
      <c r="EK475" s="1098"/>
      <c r="EL475" s="1098"/>
      <c r="EM475" s="1098"/>
      <c r="EN475" s="1098"/>
      <c r="EO475" s="1098"/>
      <c r="EP475" s="1098"/>
      <c r="EQ475" s="1098"/>
      <c r="ER475" s="1098"/>
      <c r="ES475" s="1098"/>
      <c r="ET475" s="1098"/>
      <c r="EU475" s="1098"/>
      <c r="EV475" s="1098"/>
      <c r="EW475" s="1098"/>
      <c r="EX475" s="1098"/>
      <c r="EY475" s="1098"/>
      <c r="EZ475" s="1098"/>
      <c r="FA475" s="1098"/>
      <c r="FB475" s="1098"/>
      <c r="FC475" s="1098"/>
      <c r="FD475" s="1098"/>
      <c r="FE475" s="1098"/>
      <c r="FF475" s="1098"/>
      <c r="FG475" s="1098"/>
      <c r="FH475" s="1098"/>
      <c r="FI475" s="1098"/>
      <c r="FJ475" s="1098"/>
      <c r="FK475" s="1098"/>
      <c r="FL475" s="1098"/>
      <c r="FM475" s="1098"/>
      <c r="FN475" s="1098"/>
      <c r="FO475" s="1098"/>
      <c r="FP475" s="1098"/>
      <c r="FQ475" s="1098"/>
      <c r="FR475" s="1098"/>
      <c r="FS475" s="1098"/>
      <c r="FT475" s="1098"/>
      <c r="FU475" s="1098"/>
      <c r="FV475" s="1098"/>
      <c r="FW475" s="1098"/>
      <c r="FX475" s="1098"/>
      <c r="FY475" s="1098"/>
      <c r="FZ475" s="1098"/>
      <c r="GA475" s="1098"/>
      <c r="GB475" s="1098"/>
      <c r="GC475" s="1098"/>
      <c r="GD475" s="1098"/>
      <c r="GE475" s="1098"/>
      <c r="GF475" s="1098"/>
      <c r="GG475" s="1098"/>
      <c r="GH475" s="1098"/>
      <c r="GI475" s="1098"/>
      <c r="GJ475" s="1098"/>
      <c r="GK475" s="1098"/>
      <c r="GL475" s="1098"/>
      <c r="GM475" s="1098"/>
      <c r="GN475" s="1098"/>
      <c r="GO475" s="1098"/>
      <c r="GP475" s="1098"/>
      <c r="GQ475" s="1098"/>
      <c r="GR475" s="1098"/>
      <c r="GS475" s="1098"/>
      <c r="GT475" s="1098"/>
      <c r="GU475" s="1098"/>
      <c r="GV475" s="1098"/>
      <c r="GW475" s="1098"/>
      <c r="GX475" s="1098"/>
      <c r="GY475" s="1098"/>
      <c r="GZ475" s="1098"/>
      <c r="HA475" s="1098"/>
      <c r="HB475" s="1098"/>
      <c r="HC475" s="1098"/>
      <c r="HD475" s="1098"/>
      <c r="HE475" s="1098"/>
      <c r="HF475" s="1098"/>
      <c r="HG475" s="1098"/>
      <c r="HH475" s="1098"/>
      <c r="HI475" s="1098"/>
      <c r="HJ475" s="1098"/>
      <c r="HK475" s="1098"/>
      <c r="HL475" s="1098"/>
      <c r="HM475" s="1098"/>
      <c r="HN475" s="1098"/>
      <c r="HO475" s="1098"/>
      <c r="HP475" s="1098"/>
      <c r="HQ475" s="1098"/>
      <c r="HR475" s="1098"/>
      <c r="HS475" s="1098"/>
      <c r="HT475" s="1098"/>
      <c r="HU475" s="1098"/>
      <c r="HV475" s="1098"/>
      <c r="HW475" s="1098"/>
      <c r="HX475" s="1098"/>
      <c r="HY475" s="1098"/>
      <c r="HZ475" s="1098"/>
      <c r="IA475" s="1098"/>
      <c r="IB475" s="1098"/>
      <c r="IC475" s="1098"/>
      <c r="ID475" s="1098"/>
      <c r="IE475" s="1098"/>
      <c r="IF475" s="1098"/>
      <c r="IG475" s="1098"/>
      <c r="IH475" s="1098"/>
      <c r="II475" s="1098"/>
      <c r="IJ475" s="1098"/>
      <c r="IK475" s="1098"/>
      <c r="IL475" s="1098"/>
      <c r="IM475" s="1098"/>
      <c r="IN475" s="1098"/>
      <c r="IO475" s="1098"/>
      <c r="IP475" s="1098"/>
      <c r="IQ475" s="1098"/>
      <c r="IR475" s="1098"/>
      <c r="IS475" s="1098"/>
      <c r="IT475" s="1098"/>
      <c r="IU475" s="1098"/>
      <c r="IV475" s="1098"/>
      <c r="IW475" s="1098"/>
      <c r="IX475" s="1098"/>
      <c r="IY475" s="1098"/>
      <c r="IZ475" s="1098"/>
      <c r="JA475" s="1098"/>
      <c r="JB475" s="1098"/>
      <c r="JC475" s="1098"/>
      <c r="JD475" s="1098"/>
      <c r="JE475" s="1098"/>
      <c r="JF475" s="1098"/>
      <c r="JG475" s="1098"/>
      <c r="JH475" s="1098"/>
      <c r="JI475" s="1098"/>
      <c r="JJ475" s="1098"/>
      <c r="JK475" s="1098"/>
      <c r="JL475" s="1098"/>
      <c r="JM475" s="1098"/>
      <c r="JN475" s="1098"/>
      <c r="JO475" s="1098"/>
      <c r="JP475" s="1098"/>
      <c r="JQ475" s="1098"/>
      <c r="JR475" s="1098"/>
      <c r="JS475" s="1098"/>
      <c r="JT475" s="1098"/>
      <c r="JU475" s="1098"/>
      <c r="JV475" s="1098"/>
      <c r="JW475" s="1098"/>
      <c r="JX475" s="1098"/>
      <c r="JY475" s="1098"/>
      <c r="JZ475" s="1098"/>
      <c r="KA475" s="1098"/>
      <c r="KB475" s="1099"/>
    </row>
    <row r="476" spans="2:288" ht="15" customHeight="1" x14ac:dyDescent="0.35">
      <c r="B476" s="146" t="str">
        <f t="shared" si="37"/>
        <v>Desk 52</v>
      </c>
      <c r="C476" s="148" t="str">
        <v/>
      </c>
      <c r="D476" s="148" t="str">
        <v/>
      </c>
      <c r="E476" s="148" t="str">
        <v/>
      </c>
      <c r="F476" s="148" t="str">
        <v/>
      </c>
      <c r="G476" s="268" t="str">
        <v/>
      </c>
      <c r="H476" s="1098"/>
      <c r="I476" s="1098"/>
      <c r="J476" s="1098"/>
      <c r="K476" s="1098"/>
      <c r="L476" s="1098"/>
      <c r="M476" s="1098"/>
      <c r="N476" s="1098"/>
      <c r="O476" s="1098"/>
      <c r="P476" s="1098"/>
      <c r="Q476" s="1098"/>
      <c r="R476" s="1098"/>
      <c r="S476" s="1098"/>
      <c r="T476" s="1098"/>
      <c r="U476" s="1098"/>
      <c r="V476" s="1098"/>
      <c r="W476" s="1098"/>
      <c r="X476" s="1098"/>
      <c r="Y476" s="1098"/>
      <c r="Z476" s="1098"/>
      <c r="AA476" s="1098"/>
      <c r="AB476" s="1098"/>
      <c r="AC476" s="1098"/>
      <c r="AD476" s="1098"/>
      <c r="AE476" s="1098"/>
      <c r="AF476" s="1098"/>
      <c r="AG476" s="1098"/>
      <c r="AH476" s="1098"/>
      <c r="AI476" s="1098"/>
      <c r="AJ476" s="1098"/>
      <c r="AK476" s="1098"/>
      <c r="AL476" s="1098"/>
      <c r="AM476" s="1098"/>
      <c r="AN476" s="1098"/>
      <c r="AO476" s="1098"/>
      <c r="AP476" s="1098"/>
      <c r="AQ476" s="1098"/>
      <c r="AR476" s="1098"/>
      <c r="AS476" s="1098"/>
      <c r="AT476" s="1098"/>
      <c r="AU476" s="1098"/>
      <c r="AV476" s="1098"/>
      <c r="AW476" s="1098"/>
      <c r="AX476" s="1098"/>
      <c r="AY476" s="1098"/>
      <c r="AZ476" s="1098"/>
      <c r="BA476" s="1098"/>
      <c r="BB476" s="1098"/>
      <c r="BC476" s="1098"/>
      <c r="BD476" s="1098"/>
      <c r="BE476" s="1098"/>
      <c r="BF476" s="1098"/>
      <c r="BG476" s="1098"/>
      <c r="BH476" s="1098"/>
      <c r="BI476" s="1098"/>
      <c r="BJ476" s="1098"/>
      <c r="BK476" s="1098"/>
      <c r="BL476" s="1098"/>
      <c r="BM476" s="1098"/>
      <c r="BN476" s="1098"/>
      <c r="BO476" s="1098"/>
      <c r="BP476" s="1098"/>
      <c r="BQ476" s="1098"/>
      <c r="BR476" s="1098"/>
      <c r="BS476" s="1098"/>
      <c r="BT476" s="1098"/>
      <c r="BU476" s="1098"/>
      <c r="BV476" s="1098"/>
      <c r="BW476" s="1098"/>
      <c r="BX476" s="1098"/>
      <c r="BY476" s="1098"/>
      <c r="BZ476" s="1098"/>
      <c r="CA476" s="1098"/>
      <c r="CB476" s="1098"/>
      <c r="CC476" s="1098"/>
      <c r="CD476" s="1098"/>
      <c r="CE476" s="1098"/>
      <c r="CF476" s="1098"/>
      <c r="CG476" s="1098"/>
      <c r="CH476" s="1098"/>
      <c r="CI476" s="1098"/>
      <c r="CJ476" s="1098"/>
      <c r="CK476" s="1098"/>
      <c r="CL476" s="1098"/>
      <c r="CM476" s="1098"/>
      <c r="CN476" s="1098"/>
      <c r="CO476" s="1098"/>
      <c r="CP476" s="1098"/>
      <c r="CQ476" s="1098"/>
      <c r="CR476" s="1098"/>
      <c r="CS476" s="1098"/>
      <c r="CT476" s="1098"/>
      <c r="CU476" s="1098"/>
      <c r="CV476" s="1098"/>
      <c r="CW476" s="1098"/>
      <c r="CX476" s="1098"/>
      <c r="CY476" s="1098"/>
      <c r="CZ476" s="1098"/>
      <c r="DA476" s="1098"/>
      <c r="DB476" s="1098"/>
      <c r="DC476" s="1098"/>
      <c r="DD476" s="1098"/>
      <c r="DE476" s="1098"/>
      <c r="DF476" s="1098"/>
      <c r="DG476" s="1098"/>
      <c r="DH476" s="1098"/>
      <c r="DI476" s="1098"/>
      <c r="DJ476" s="1098"/>
      <c r="DK476" s="1098"/>
      <c r="DL476" s="1098"/>
      <c r="DM476" s="1098"/>
      <c r="DN476" s="1098"/>
      <c r="DO476" s="1098"/>
      <c r="DP476" s="1098"/>
      <c r="DQ476" s="1098"/>
      <c r="DR476" s="1098"/>
      <c r="DS476" s="1098"/>
      <c r="DT476" s="1098"/>
      <c r="DU476" s="1098"/>
      <c r="DV476" s="1098"/>
      <c r="DW476" s="1098"/>
      <c r="DX476" s="1098"/>
      <c r="DY476" s="1098"/>
      <c r="DZ476" s="1098"/>
      <c r="EA476" s="1098"/>
      <c r="EB476" s="1098"/>
      <c r="EC476" s="1098"/>
      <c r="ED476" s="1098"/>
      <c r="EE476" s="1098"/>
      <c r="EF476" s="1098"/>
      <c r="EG476" s="1098"/>
      <c r="EH476" s="1098"/>
      <c r="EI476" s="1098"/>
      <c r="EJ476" s="1098"/>
      <c r="EK476" s="1098"/>
      <c r="EL476" s="1098"/>
      <c r="EM476" s="1098"/>
      <c r="EN476" s="1098"/>
      <c r="EO476" s="1098"/>
      <c r="EP476" s="1098"/>
      <c r="EQ476" s="1098"/>
      <c r="ER476" s="1098"/>
      <c r="ES476" s="1098"/>
      <c r="ET476" s="1098"/>
      <c r="EU476" s="1098"/>
      <c r="EV476" s="1098"/>
      <c r="EW476" s="1098"/>
      <c r="EX476" s="1098"/>
      <c r="EY476" s="1098"/>
      <c r="EZ476" s="1098"/>
      <c r="FA476" s="1098"/>
      <c r="FB476" s="1098"/>
      <c r="FC476" s="1098"/>
      <c r="FD476" s="1098"/>
      <c r="FE476" s="1098"/>
      <c r="FF476" s="1098"/>
      <c r="FG476" s="1098"/>
      <c r="FH476" s="1098"/>
      <c r="FI476" s="1098"/>
      <c r="FJ476" s="1098"/>
      <c r="FK476" s="1098"/>
      <c r="FL476" s="1098"/>
      <c r="FM476" s="1098"/>
      <c r="FN476" s="1098"/>
      <c r="FO476" s="1098"/>
      <c r="FP476" s="1098"/>
      <c r="FQ476" s="1098"/>
      <c r="FR476" s="1098"/>
      <c r="FS476" s="1098"/>
      <c r="FT476" s="1098"/>
      <c r="FU476" s="1098"/>
      <c r="FV476" s="1098"/>
      <c r="FW476" s="1098"/>
      <c r="FX476" s="1098"/>
      <c r="FY476" s="1098"/>
      <c r="FZ476" s="1098"/>
      <c r="GA476" s="1098"/>
      <c r="GB476" s="1098"/>
      <c r="GC476" s="1098"/>
      <c r="GD476" s="1098"/>
      <c r="GE476" s="1098"/>
      <c r="GF476" s="1098"/>
      <c r="GG476" s="1098"/>
      <c r="GH476" s="1098"/>
      <c r="GI476" s="1098"/>
      <c r="GJ476" s="1098"/>
      <c r="GK476" s="1098"/>
      <c r="GL476" s="1098"/>
      <c r="GM476" s="1098"/>
      <c r="GN476" s="1098"/>
      <c r="GO476" s="1098"/>
      <c r="GP476" s="1098"/>
      <c r="GQ476" s="1098"/>
      <c r="GR476" s="1098"/>
      <c r="GS476" s="1098"/>
      <c r="GT476" s="1098"/>
      <c r="GU476" s="1098"/>
      <c r="GV476" s="1098"/>
      <c r="GW476" s="1098"/>
      <c r="GX476" s="1098"/>
      <c r="GY476" s="1098"/>
      <c r="GZ476" s="1098"/>
      <c r="HA476" s="1098"/>
      <c r="HB476" s="1098"/>
      <c r="HC476" s="1098"/>
      <c r="HD476" s="1098"/>
      <c r="HE476" s="1098"/>
      <c r="HF476" s="1098"/>
      <c r="HG476" s="1098"/>
      <c r="HH476" s="1098"/>
      <c r="HI476" s="1098"/>
      <c r="HJ476" s="1098"/>
      <c r="HK476" s="1098"/>
      <c r="HL476" s="1098"/>
      <c r="HM476" s="1098"/>
      <c r="HN476" s="1098"/>
      <c r="HO476" s="1098"/>
      <c r="HP476" s="1098"/>
      <c r="HQ476" s="1098"/>
      <c r="HR476" s="1098"/>
      <c r="HS476" s="1098"/>
      <c r="HT476" s="1098"/>
      <c r="HU476" s="1098"/>
      <c r="HV476" s="1098"/>
      <c r="HW476" s="1098"/>
      <c r="HX476" s="1098"/>
      <c r="HY476" s="1098"/>
      <c r="HZ476" s="1098"/>
      <c r="IA476" s="1098"/>
      <c r="IB476" s="1098"/>
      <c r="IC476" s="1098"/>
      <c r="ID476" s="1098"/>
      <c r="IE476" s="1098"/>
      <c r="IF476" s="1098"/>
      <c r="IG476" s="1098"/>
      <c r="IH476" s="1098"/>
      <c r="II476" s="1098"/>
      <c r="IJ476" s="1098"/>
      <c r="IK476" s="1098"/>
      <c r="IL476" s="1098"/>
      <c r="IM476" s="1098"/>
      <c r="IN476" s="1098"/>
      <c r="IO476" s="1098"/>
      <c r="IP476" s="1098"/>
      <c r="IQ476" s="1098"/>
      <c r="IR476" s="1098"/>
      <c r="IS476" s="1098"/>
      <c r="IT476" s="1098"/>
      <c r="IU476" s="1098"/>
      <c r="IV476" s="1098"/>
      <c r="IW476" s="1098"/>
      <c r="IX476" s="1098"/>
      <c r="IY476" s="1098"/>
      <c r="IZ476" s="1098"/>
      <c r="JA476" s="1098"/>
      <c r="JB476" s="1098"/>
      <c r="JC476" s="1098"/>
      <c r="JD476" s="1098"/>
      <c r="JE476" s="1098"/>
      <c r="JF476" s="1098"/>
      <c r="JG476" s="1098"/>
      <c r="JH476" s="1098"/>
      <c r="JI476" s="1098"/>
      <c r="JJ476" s="1098"/>
      <c r="JK476" s="1098"/>
      <c r="JL476" s="1098"/>
      <c r="JM476" s="1098"/>
      <c r="JN476" s="1098"/>
      <c r="JO476" s="1098"/>
      <c r="JP476" s="1098"/>
      <c r="JQ476" s="1098"/>
      <c r="JR476" s="1098"/>
      <c r="JS476" s="1098"/>
      <c r="JT476" s="1098"/>
      <c r="JU476" s="1098"/>
      <c r="JV476" s="1098"/>
      <c r="JW476" s="1098"/>
      <c r="JX476" s="1098"/>
      <c r="JY476" s="1098"/>
      <c r="JZ476" s="1098"/>
      <c r="KA476" s="1098"/>
      <c r="KB476" s="1099"/>
    </row>
    <row r="477" spans="2:288" ht="15" customHeight="1" x14ac:dyDescent="0.35">
      <c r="B477" s="146" t="str">
        <f t="shared" si="37"/>
        <v>Desk 53</v>
      </c>
      <c r="C477" s="148" t="str">
        <v/>
      </c>
      <c r="D477" s="148" t="str">
        <v/>
      </c>
      <c r="E477" s="148" t="str">
        <v/>
      </c>
      <c r="F477" s="148" t="str">
        <v/>
      </c>
      <c r="G477" s="268" t="str">
        <v/>
      </c>
      <c r="H477" s="1098"/>
      <c r="I477" s="1098"/>
      <c r="J477" s="1098"/>
      <c r="K477" s="1098"/>
      <c r="L477" s="1098"/>
      <c r="M477" s="1098"/>
      <c r="N477" s="1098"/>
      <c r="O477" s="1098"/>
      <c r="P477" s="1098"/>
      <c r="Q477" s="1098"/>
      <c r="R477" s="1098"/>
      <c r="S477" s="1098"/>
      <c r="T477" s="1098"/>
      <c r="U477" s="1098"/>
      <c r="V477" s="1098"/>
      <c r="W477" s="1098"/>
      <c r="X477" s="1098"/>
      <c r="Y477" s="1098"/>
      <c r="Z477" s="1098"/>
      <c r="AA477" s="1098"/>
      <c r="AB477" s="1098"/>
      <c r="AC477" s="1098"/>
      <c r="AD477" s="1098"/>
      <c r="AE477" s="1098"/>
      <c r="AF477" s="1098"/>
      <c r="AG477" s="1098"/>
      <c r="AH477" s="1098"/>
      <c r="AI477" s="1098"/>
      <c r="AJ477" s="1098"/>
      <c r="AK477" s="1098"/>
      <c r="AL477" s="1098"/>
      <c r="AM477" s="1098"/>
      <c r="AN477" s="1098"/>
      <c r="AO477" s="1098"/>
      <c r="AP477" s="1098"/>
      <c r="AQ477" s="1098"/>
      <c r="AR477" s="1098"/>
      <c r="AS477" s="1098"/>
      <c r="AT477" s="1098"/>
      <c r="AU477" s="1098"/>
      <c r="AV477" s="1098"/>
      <c r="AW477" s="1098"/>
      <c r="AX477" s="1098"/>
      <c r="AY477" s="1098"/>
      <c r="AZ477" s="1098"/>
      <c r="BA477" s="1098"/>
      <c r="BB477" s="1098"/>
      <c r="BC477" s="1098"/>
      <c r="BD477" s="1098"/>
      <c r="BE477" s="1098"/>
      <c r="BF477" s="1098"/>
      <c r="BG477" s="1098"/>
      <c r="BH477" s="1098"/>
      <c r="BI477" s="1098"/>
      <c r="BJ477" s="1098"/>
      <c r="BK477" s="1098"/>
      <c r="BL477" s="1098"/>
      <c r="BM477" s="1098"/>
      <c r="BN477" s="1098"/>
      <c r="BO477" s="1098"/>
      <c r="BP477" s="1098"/>
      <c r="BQ477" s="1098"/>
      <c r="BR477" s="1098"/>
      <c r="BS477" s="1098"/>
      <c r="BT477" s="1098"/>
      <c r="BU477" s="1098"/>
      <c r="BV477" s="1098"/>
      <c r="BW477" s="1098"/>
      <c r="BX477" s="1098"/>
      <c r="BY477" s="1098"/>
      <c r="BZ477" s="1098"/>
      <c r="CA477" s="1098"/>
      <c r="CB477" s="1098"/>
      <c r="CC477" s="1098"/>
      <c r="CD477" s="1098"/>
      <c r="CE477" s="1098"/>
      <c r="CF477" s="1098"/>
      <c r="CG477" s="1098"/>
      <c r="CH477" s="1098"/>
      <c r="CI477" s="1098"/>
      <c r="CJ477" s="1098"/>
      <c r="CK477" s="1098"/>
      <c r="CL477" s="1098"/>
      <c r="CM477" s="1098"/>
      <c r="CN477" s="1098"/>
      <c r="CO477" s="1098"/>
      <c r="CP477" s="1098"/>
      <c r="CQ477" s="1098"/>
      <c r="CR477" s="1098"/>
      <c r="CS477" s="1098"/>
      <c r="CT477" s="1098"/>
      <c r="CU477" s="1098"/>
      <c r="CV477" s="1098"/>
      <c r="CW477" s="1098"/>
      <c r="CX477" s="1098"/>
      <c r="CY477" s="1098"/>
      <c r="CZ477" s="1098"/>
      <c r="DA477" s="1098"/>
      <c r="DB477" s="1098"/>
      <c r="DC477" s="1098"/>
      <c r="DD477" s="1098"/>
      <c r="DE477" s="1098"/>
      <c r="DF477" s="1098"/>
      <c r="DG477" s="1098"/>
      <c r="DH477" s="1098"/>
      <c r="DI477" s="1098"/>
      <c r="DJ477" s="1098"/>
      <c r="DK477" s="1098"/>
      <c r="DL477" s="1098"/>
      <c r="DM477" s="1098"/>
      <c r="DN477" s="1098"/>
      <c r="DO477" s="1098"/>
      <c r="DP477" s="1098"/>
      <c r="DQ477" s="1098"/>
      <c r="DR477" s="1098"/>
      <c r="DS477" s="1098"/>
      <c r="DT477" s="1098"/>
      <c r="DU477" s="1098"/>
      <c r="DV477" s="1098"/>
      <c r="DW477" s="1098"/>
      <c r="DX477" s="1098"/>
      <c r="DY477" s="1098"/>
      <c r="DZ477" s="1098"/>
      <c r="EA477" s="1098"/>
      <c r="EB477" s="1098"/>
      <c r="EC477" s="1098"/>
      <c r="ED477" s="1098"/>
      <c r="EE477" s="1098"/>
      <c r="EF477" s="1098"/>
      <c r="EG477" s="1098"/>
      <c r="EH477" s="1098"/>
      <c r="EI477" s="1098"/>
      <c r="EJ477" s="1098"/>
      <c r="EK477" s="1098"/>
      <c r="EL477" s="1098"/>
      <c r="EM477" s="1098"/>
      <c r="EN477" s="1098"/>
      <c r="EO477" s="1098"/>
      <c r="EP477" s="1098"/>
      <c r="EQ477" s="1098"/>
      <c r="ER477" s="1098"/>
      <c r="ES477" s="1098"/>
      <c r="ET477" s="1098"/>
      <c r="EU477" s="1098"/>
      <c r="EV477" s="1098"/>
      <c r="EW477" s="1098"/>
      <c r="EX477" s="1098"/>
      <c r="EY477" s="1098"/>
      <c r="EZ477" s="1098"/>
      <c r="FA477" s="1098"/>
      <c r="FB477" s="1098"/>
      <c r="FC477" s="1098"/>
      <c r="FD477" s="1098"/>
      <c r="FE477" s="1098"/>
      <c r="FF477" s="1098"/>
      <c r="FG477" s="1098"/>
      <c r="FH477" s="1098"/>
      <c r="FI477" s="1098"/>
      <c r="FJ477" s="1098"/>
      <c r="FK477" s="1098"/>
      <c r="FL477" s="1098"/>
      <c r="FM477" s="1098"/>
      <c r="FN477" s="1098"/>
      <c r="FO477" s="1098"/>
      <c r="FP477" s="1098"/>
      <c r="FQ477" s="1098"/>
      <c r="FR477" s="1098"/>
      <c r="FS477" s="1098"/>
      <c r="FT477" s="1098"/>
      <c r="FU477" s="1098"/>
      <c r="FV477" s="1098"/>
      <c r="FW477" s="1098"/>
      <c r="FX477" s="1098"/>
      <c r="FY477" s="1098"/>
      <c r="FZ477" s="1098"/>
      <c r="GA477" s="1098"/>
      <c r="GB477" s="1098"/>
      <c r="GC477" s="1098"/>
      <c r="GD477" s="1098"/>
      <c r="GE477" s="1098"/>
      <c r="GF477" s="1098"/>
      <c r="GG477" s="1098"/>
      <c r="GH477" s="1098"/>
      <c r="GI477" s="1098"/>
      <c r="GJ477" s="1098"/>
      <c r="GK477" s="1098"/>
      <c r="GL477" s="1098"/>
      <c r="GM477" s="1098"/>
      <c r="GN477" s="1098"/>
      <c r="GO477" s="1098"/>
      <c r="GP477" s="1098"/>
      <c r="GQ477" s="1098"/>
      <c r="GR477" s="1098"/>
      <c r="GS477" s="1098"/>
      <c r="GT477" s="1098"/>
      <c r="GU477" s="1098"/>
      <c r="GV477" s="1098"/>
      <c r="GW477" s="1098"/>
      <c r="GX477" s="1098"/>
      <c r="GY477" s="1098"/>
      <c r="GZ477" s="1098"/>
      <c r="HA477" s="1098"/>
      <c r="HB477" s="1098"/>
      <c r="HC477" s="1098"/>
      <c r="HD477" s="1098"/>
      <c r="HE477" s="1098"/>
      <c r="HF477" s="1098"/>
      <c r="HG477" s="1098"/>
      <c r="HH477" s="1098"/>
      <c r="HI477" s="1098"/>
      <c r="HJ477" s="1098"/>
      <c r="HK477" s="1098"/>
      <c r="HL477" s="1098"/>
      <c r="HM477" s="1098"/>
      <c r="HN477" s="1098"/>
      <c r="HO477" s="1098"/>
      <c r="HP477" s="1098"/>
      <c r="HQ477" s="1098"/>
      <c r="HR477" s="1098"/>
      <c r="HS477" s="1098"/>
      <c r="HT477" s="1098"/>
      <c r="HU477" s="1098"/>
      <c r="HV477" s="1098"/>
      <c r="HW477" s="1098"/>
      <c r="HX477" s="1098"/>
      <c r="HY477" s="1098"/>
      <c r="HZ477" s="1098"/>
      <c r="IA477" s="1098"/>
      <c r="IB477" s="1098"/>
      <c r="IC477" s="1098"/>
      <c r="ID477" s="1098"/>
      <c r="IE477" s="1098"/>
      <c r="IF477" s="1098"/>
      <c r="IG477" s="1098"/>
      <c r="IH477" s="1098"/>
      <c r="II477" s="1098"/>
      <c r="IJ477" s="1098"/>
      <c r="IK477" s="1098"/>
      <c r="IL477" s="1098"/>
      <c r="IM477" s="1098"/>
      <c r="IN477" s="1098"/>
      <c r="IO477" s="1098"/>
      <c r="IP477" s="1098"/>
      <c r="IQ477" s="1098"/>
      <c r="IR477" s="1098"/>
      <c r="IS477" s="1098"/>
      <c r="IT477" s="1098"/>
      <c r="IU477" s="1098"/>
      <c r="IV477" s="1098"/>
      <c r="IW477" s="1098"/>
      <c r="IX477" s="1098"/>
      <c r="IY477" s="1098"/>
      <c r="IZ477" s="1098"/>
      <c r="JA477" s="1098"/>
      <c r="JB477" s="1098"/>
      <c r="JC477" s="1098"/>
      <c r="JD477" s="1098"/>
      <c r="JE477" s="1098"/>
      <c r="JF477" s="1098"/>
      <c r="JG477" s="1098"/>
      <c r="JH477" s="1098"/>
      <c r="JI477" s="1098"/>
      <c r="JJ477" s="1098"/>
      <c r="JK477" s="1098"/>
      <c r="JL477" s="1098"/>
      <c r="JM477" s="1098"/>
      <c r="JN477" s="1098"/>
      <c r="JO477" s="1098"/>
      <c r="JP477" s="1098"/>
      <c r="JQ477" s="1098"/>
      <c r="JR477" s="1098"/>
      <c r="JS477" s="1098"/>
      <c r="JT477" s="1098"/>
      <c r="JU477" s="1098"/>
      <c r="JV477" s="1098"/>
      <c r="JW477" s="1098"/>
      <c r="JX477" s="1098"/>
      <c r="JY477" s="1098"/>
      <c r="JZ477" s="1098"/>
      <c r="KA477" s="1098"/>
      <c r="KB477" s="1099"/>
    </row>
    <row r="478" spans="2:288" ht="15" customHeight="1" x14ac:dyDescent="0.35">
      <c r="B478" s="146" t="str">
        <f t="shared" si="37"/>
        <v>Desk 54</v>
      </c>
      <c r="C478" s="148" t="str">
        <v/>
      </c>
      <c r="D478" s="148" t="str">
        <v/>
      </c>
      <c r="E478" s="148" t="str">
        <v/>
      </c>
      <c r="F478" s="148" t="str">
        <v/>
      </c>
      <c r="G478" s="268" t="str">
        <v/>
      </c>
      <c r="H478" s="1098"/>
      <c r="I478" s="1098"/>
      <c r="J478" s="1098"/>
      <c r="K478" s="1098"/>
      <c r="L478" s="1098"/>
      <c r="M478" s="1098"/>
      <c r="N478" s="1098"/>
      <c r="O478" s="1098"/>
      <c r="P478" s="1098"/>
      <c r="Q478" s="1098"/>
      <c r="R478" s="1098"/>
      <c r="S478" s="1098"/>
      <c r="T478" s="1098"/>
      <c r="U478" s="1098"/>
      <c r="V478" s="1098"/>
      <c r="W478" s="1098"/>
      <c r="X478" s="1098"/>
      <c r="Y478" s="1098"/>
      <c r="Z478" s="1098"/>
      <c r="AA478" s="1098"/>
      <c r="AB478" s="1098"/>
      <c r="AC478" s="1098"/>
      <c r="AD478" s="1098"/>
      <c r="AE478" s="1098"/>
      <c r="AF478" s="1098"/>
      <c r="AG478" s="1098"/>
      <c r="AH478" s="1098"/>
      <c r="AI478" s="1098"/>
      <c r="AJ478" s="1098"/>
      <c r="AK478" s="1098"/>
      <c r="AL478" s="1098"/>
      <c r="AM478" s="1098"/>
      <c r="AN478" s="1098"/>
      <c r="AO478" s="1098"/>
      <c r="AP478" s="1098"/>
      <c r="AQ478" s="1098"/>
      <c r="AR478" s="1098"/>
      <c r="AS478" s="1098"/>
      <c r="AT478" s="1098"/>
      <c r="AU478" s="1098"/>
      <c r="AV478" s="1098"/>
      <c r="AW478" s="1098"/>
      <c r="AX478" s="1098"/>
      <c r="AY478" s="1098"/>
      <c r="AZ478" s="1098"/>
      <c r="BA478" s="1098"/>
      <c r="BB478" s="1098"/>
      <c r="BC478" s="1098"/>
      <c r="BD478" s="1098"/>
      <c r="BE478" s="1098"/>
      <c r="BF478" s="1098"/>
      <c r="BG478" s="1098"/>
      <c r="BH478" s="1098"/>
      <c r="BI478" s="1098"/>
      <c r="BJ478" s="1098"/>
      <c r="BK478" s="1098"/>
      <c r="BL478" s="1098"/>
      <c r="BM478" s="1098"/>
      <c r="BN478" s="1098"/>
      <c r="BO478" s="1098"/>
      <c r="BP478" s="1098"/>
      <c r="BQ478" s="1098"/>
      <c r="BR478" s="1098"/>
      <c r="BS478" s="1098"/>
      <c r="BT478" s="1098"/>
      <c r="BU478" s="1098"/>
      <c r="BV478" s="1098"/>
      <c r="BW478" s="1098"/>
      <c r="BX478" s="1098"/>
      <c r="BY478" s="1098"/>
      <c r="BZ478" s="1098"/>
      <c r="CA478" s="1098"/>
      <c r="CB478" s="1098"/>
      <c r="CC478" s="1098"/>
      <c r="CD478" s="1098"/>
      <c r="CE478" s="1098"/>
      <c r="CF478" s="1098"/>
      <c r="CG478" s="1098"/>
      <c r="CH478" s="1098"/>
      <c r="CI478" s="1098"/>
      <c r="CJ478" s="1098"/>
      <c r="CK478" s="1098"/>
      <c r="CL478" s="1098"/>
      <c r="CM478" s="1098"/>
      <c r="CN478" s="1098"/>
      <c r="CO478" s="1098"/>
      <c r="CP478" s="1098"/>
      <c r="CQ478" s="1098"/>
      <c r="CR478" s="1098"/>
      <c r="CS478" s="1098"/>
      <c r="CT478" s="1098"/>
      <c r="CU478" s="1098"/>
      <c r="CV478" s="1098"/>
      <c r="CW478" s="1098"/>
      <c r="CX478" s="1098"/>
      <c r="CY478" s="1098"/>
      <c r="CZ478" s="1098"/>
      <c r="DA478" s="1098"/>
      <c r="DB478" s="1098"/>
      <c r="DC478" s="1098"/>
      <c r="DD478" s="1098"/>
      <c r="DE478" s="1098"/>
      <c r="DF478" s="1098"/>
      <c r="DG478" s="1098"/>
      <c r="DH478" s="1098"/>
      <c r="DI478" s="1098"/>
      <c r="DJ478" s="1098"/>
      <c r="DK478" s="1098"/>
      <c r="DL478" s="1098"/>
      <c r="DM478" s="1098"/>
      <c r="DN478" s="1098"/>
      <c r="DO478" s="1098"/>
      <c r="DP478" s="1098"/>
      <c r="DQ478" s="1098"/>
      <c r="DR478" s="1098"/>
      <c r="DS478" s="1098"/>
      <c r="DT478" s="1098"/>
      <c r="DU478" s="1098"/>
      <c r="DV478" s="1098"/>
      <c r="DW478" s="1098"/>
      <c r="DX478" s="1098"/>
      <c r="DY478" s="1098"/>
      <c r="DZ478" s="1098"/>
      <c r="EA478" s="1098"/>
      <c r="EB478" s="1098"/>
      <c r="EC478" s="1098"/>
      <c r="ED478" s="1098"/>
      <c r="EE478" s="1098"/>
      <c r="EF478" s="1098"/>
      <c r="EG478" s="1098"/>
      <c r="EH478" s="1098"/>
      <c r="EI478" s="1098"/>
      <c r="EJ478" s="1098"/>
      <c r="EK478" s="1098"/>
      <c r="EL478" s="1098"/>
      <c r="EM478" s="1098"/>
      <c r="EN478" s="1098"/>
      <c r="EO478" s="1098"/>
      <c r="EP478" s="1098"/>
      <c r="EQ478" s="1098"/>
      <c r="ER478" s="1098"/>
      <c r="ES478" s="1098"/>
      <c r="ET478" s="1098"/>
      <c r="EU478" s="1098"/>
      <c r="EV478" s="1098"/>
      <c r="EW478" s="1098"/>
      <c r="EX478" s="1098"/>
      <c r="EY478" s="1098"/>
      <c r="EZ478" s="1098"/>
      <c r="FA478" s="1098"/>
      <c r="FB478" s="1098"/>
      <c r="FC478" s="1098"/>
      <c r="FD478" s="1098"/>
      <c r="FE478" s="1098"/>
      <c r="FF478" s="1098"/>
      <c r="FG478" s="1098"/>
      <c r="FH478" s="1098"/>
      <c r="FI478" s="1098"/>
      <c r="FJ478" s="1098"/>
      <c r="FK478" s="1098"/>
      <c r="FL478" s="1098"/>
      <c r="FM478" s="1098"/>
      <c r="FN478" s="1098"/>
      <c r="FO478" s="1098"/>
      <c r="FP478" s="1098"/>
      <c r="FQ478" s="1098"/>
      <c r="FR478" s="1098"/>
      <c r="FS478" s="1098"/>
      <c r="FT478" s="1098"/>
      <c r="FU478" s="1098"/>
      <c r="FV478" s="1098"/>
      <c r="FW478" s="1098"/>
      <c r="FX478" s="1098"/>
      <c r="FY478" s="1098"/>
      <c r="FZ478" s="1098"/>
      <c r="GA478" s="1098"/>
      <c r="GB478" s="1098"/>
      <c r="GC478" s="1098"/>
      <c r="GD478" s="1098"/>
      <c r="GE478" s="1098"/>
      <c r="GF478" s="1098"/>
      <c r="GG478" s="1098"/>
      <c r="GH478" s="1098"/>
      <c r="GI478" s="1098"/>
      <c r="GJ478" s="1098"/>
      <c r="GK478" s="1098"/>
      <c r="GL478" s="1098"/>
      <c r="GM478" s="1098"/>
      <c r="GN478" s="1098"/>
      <c r="GO478" s="1098"/>
      <c r="GP478" s="1098"/>
      <c r="GQ478" s="1098"/>
      <c r="GR478" s="1098"/>
      <c r="GS478" s="1098"/>
      <c r="GT478" s="1098"/>
      <c r="GU478" s="1098"/>
      <c r="GV478" s="1098"/>
      <c r="GW478" s="1098"/>
      <c r="GX478" s="1098"/>
      <c r="GY478" s="1098"/>
      <c r="GZ478" s="1098"/>
      <c r="HA478" s="1098"/>
      <c r="HB478" s="1098"/>
      <c r="HC478" s="1098"/>
      <c r="HD478" s="1098"/>
      <c r="HE478" s="1098"/>
      <c r="HF478" s="1098"/>
      <c r="HG478" s="1098"/>
      <c r="HH478" s="1098"/>
      <c r="HI478" s="1098"/>
      <c r="HJ478" s="1098"/>
      <c r="HK478" s="1098"/>
      <c r="HL478" s="1098"/>
      <c r="HM478" s="1098"/>
      <c r="HN478" s="1098"/>
      <c r="HO478" s="1098"/>
      <c r="HP478" s="1098"/>
      <c r="HQ478" s="1098"/>
      <c r="HR478" s="1098"/>
      <c r="HS478" s="1098"/>
      <c r="HT478" s="1098"/>
      <c r="HU478" s="1098"/>
      <c r="HV478" s="1098"/>
      <c r="HW478" s="1098"/>
      <c r="HX478" s="1098"/>
      <c r="HY478" s="1098"/>
      <c r="HZ478" s="1098"/>
      <c r="IA478" s="1098"/>
      <c r="IB478" s="1098"/>
      <c r="IC478" s="1098"/>
      <c r="ID478" s="1098"/>
      <c r="IE478" s="1098"/>
      <c r="IF478" s="1098"/>
      <c r="IG478" s="1098"/>
      <c r="IH478" s="1098"/>
      <c r="II478" s="1098"/>
      <c r="IJ478" s="1098"/>
      <c r="IK478" s="1098"/>
      <c r="IL478" s="1098"/>
      <c r="IM478" s="1098"/>
      <c r="IN478" s="1098"/>
      <c r="IO478" s="1098"/>
      <c r="IP478" s="1098"/>
      <c r="IQ478" s="1098"/>
      <c r="IR478" s="1098"/>
      <c r="IS478" s="1098"/>
      <c r="IT478" s="1098"/>
      <c r="IU478" s="1098"/>
      <c r="IV478" s="1098"/>
      <c r="IW478" s="1098"/>
      <c r="IX478" s="1098"/>
      <c r="IY478" s="1098"/>
      <c r="IZ478" s="1098"/>
      <c r="JA478" s="1098"/>
      <c r="JB478" s="1098"/>
      <c r="JC478" s="1098"/>
      <c r="JD478" s="1098"/>
      <c r="JE478" s="1098"/>
      <c r="JF478" s="1098"/>
      <c r="JG478" s="1098"/>
      <c r="JH478" s="1098"/>
      <c r="JI478" s="1098"/>
      <c r="JJ478" s="1098"/>
      <c r="JK478" s="1098"/>
      <c r="JL478" s="1098"/>
      <c r="JM478" s="1098"/>
      <c r="JN478" s="1098"/>
      <c r="JO478" s="1098"/>
      <c r="JP478" s="1098"/>
      <c r="JQ478" s="1098"/>
      <c r="JR478" s="1098"/>
      <c r="JS478" s="1098"/>
      <c r="JT478" s="1098"/>
      <c r="JU478" s="1098"/>
      <c r="JV478" s="1098"/>
      <c r="JW478" s="1098"/>
      <c r="JX478" s="1098"/>
      <c r="JY478" s="1098"/>
      <c r="JZ478" s="1098"/>
      <c r="KA478" s="1098"/>
      <c r="KB478" s="1099"/>
    </row>
    <row r="479" spans="2:288" ht="15" customHeight="1" x14ac:dyDescent="0.35">
      <c r="B479" s="146" t="str">
        <f t="shared" si="37"/>
        <v>Desk 55</v>
      </c>
      <c r="C479" s="148" t="str">
        <v/>
      </c>
      <c r="D479" s="148" t="str">
        <v/>
      </c>
      <c r="E479" s="148" t="str">
        <v/>
      </c>
      <c r="F479" s="148" t="str">
        <v/>
      </c>
      <c r="G479" s="268" t="str">
        <v/>
      </c>
      <c r="H479" s="1098"/>
      <c r="I479" s="1098"/>
      <c r="J479" s="1098"/>
      <c r="K479" s="1098"/>
      <c r="L479" s="1098"/>
      <c r="M479" s="1098"/>
      <c r="N479" s="1098"/>
      <c r="O479" s="1098"/>
      <c r="P479" s="1098"/>
      <c r="Q479" s="1098"/>
      <c r="R479" s="1098"/>
      <c r="S479" s="1098"/>
      <c r="T479" s="1098"/>
      <c r="U479" s="1098"/>
      <c r="V479" s="1098"/>
      <c r="W479" s="1098"/>
      <c r="X479" s="1098"/>
      <c r="Y479" s="1098"/>
      <c r="Z479" s="1098"/>
      <c r="AA479" s="1098"/>
      <c r="AB479" s="1098"/>
      <c r="AC479" s="1098"/>
      <c r="AD479" s="1098"/>
      <c r="AE479" s="1098"/>
      <c r="AF479" s="1098"/>
      <c r="AG479" s="1098"/>
      <c r="AH479" s="1098"/>
      <c r="AI479" s="1098"/>
      <c r="AJ479" s="1098"/>
      <c r="AK479" s="1098"/>
      <c r="AL479" s="1098"/>
      <c r="AM479" s="1098"/>
      <c r="AN479" s="1098"/>
      <c r="AO479" s="1098"/>
      <c r="AP479" s="1098"/>
      <c r="AQ479" s="1098"/>
      <c r="AR479" s="1098"/>
      <c r="AS479" s="1098"/>
      <c r="AT479" s="1098"/>
      <c r="AU479" s="1098"/>
      <c r="AV479" s="1098"/>
      <c r="AW479" s="1098"/>
      <c r="AX479" s="1098"/>
      <c r="AY479" s="1098"/>
      <c r="AZ479" s="1098"/>
      <c r="BA479" s="1098"/>
      <c r="BB479" s="1098"/>
      <c r="BC479" s="1098"/>
      <c r="BD479" s="1098"/>
      <c r="BE479" s="1098"/>
      <c r="BF479" s="1098"/>
      <c r="BG479" s="1098"/>
      <c r="BH479" s="1098"/>
      <c r="BI479" s="1098"/>
      <c r="BJ479" s="1098"/>
      <c r="BK479" s="1098"/>
      <c r="BL479" s="1098"/>
      <c r="BM479" s="1098"/>
      <c r="BN479" s="1098"/>
      <c r="BO479" s="1098"/>
      <c r="BP479" s="1098"/>
      <c r="BQ479" s="1098"/>
      <c r="BR479" s="1098"/>
      <c r="BS479" s="1098"/>
      <c r="BT479" s="1098"/>
      <c r="BU479" s="1098"/>
      <c r="BV479" s="1098"/>
      <c r="BW479" s="1098"/>
      <c r="BX479" s="1098"/>
      <c r="BY479" s="1098"/>
      <c r="BZ479" s="1098"/>
      <c r="CA479" s="1098"/>
      <c r="CB479" s="1098"/>
      <c r="CC479" s="1098"/>
      <c r="CD479" s="1098"/>
      <c r="CE479" s="1098"/>
      <c r="CF479" s="1098"/>
      <c r="CG479" s="1098"/>
      <c r="CH479" s="1098"/>
      <c r="CI479" s="1098"/>
      <c r="CJ479" s="1098"/>
      <c r="CK479" s="1098"/>
      <c r="CL479" s="1098"/>
      <c r="CM479" s="1098"/>
      <c r="CN479" s="1098"/>
      <c r="CO479" s="1098"/>
      <c r="CP479" s="1098"/>
      <c r="CQ479" s="1098"/>
      <c r="CR479" s="1098"/>
      <c r="CS479" s="1098"/>
      <c r="CT479" s="1098"/>
      <c r="CU479" s="1098"/>
      <c r="CV479" s="1098"/>
      <c r="CW479" s="1098"/>
      <c r="CX479" s="1098"/>
      <c r="CY479" s="1098"/>
      <c r="CZ479" s="1098"/>
      <c r="DA479" s="1098"/>
      <c r="DB479" s="1098"/>
      <c r="DC479" s="1098"/>
      <c r="DD479" s="1098"/>
      <c r="DE479" s="1098"/>
      <c r="DF479" s="1098"/>
      <c r="DG479" s="1098"/>
      <c r="DH479" s="1098"/>
      <c r="DI479" s="1098"/>
      <c r="DJ479" s="1098"/>
      <c r="DK479" s="1098"/>
      <c r="DL479" s="1098"/>
      <c r="DM479" s="1098"/>
      <c r="DN479" s="1098"/>
      <c r="DO479" s="1098"/>
      <c r="DP479" s="1098"/>
      <c r="DQ479" s="1098"/>
      <c r="DR479" s="1098"/>
      <c r="DS479" s="1098"/>
      <c r="DT479" s="1098"/>
      <c r="DU479" s="1098"/>
      <c r="DV479" s="1098"/>
      <c r="DW479" s="1098"/>
      <c r="DX479" s="1098"/>
      <c r="DY479" s="1098"/>
      <c r="DZ479" s="1098"/>
      <c r="EA479" s="1098"/>
      <c r="EB479" s="1098"/>
      <c r="EC479" s="1098"/>
      <c r="ED479" s="1098"/>
      <c r="EE479" s="1098"/>
      <c r="EF479" s="1098"/>
      <c r="EG479" s="1098"/>
      <c r="EH479" s="1098"/>
      <c r="EI479" s="1098"/>
      <c r="EJ479" s="1098"/>
      <c r="EK479" s="1098"/>
      <c r="EL479" s="1098"/>
      <c r="EM479" s="1098"/>
      <c r="EN479" s="1098"/>
      <c r="EO479" s="1098"/>
      <c r="EP479" s="1098"/>
      <c r="EQ479" s="1098"/>
      <c r="ER479" s="1098"/>
      <c r="ES479" s="1098"/>
      <c r="ET479" s="1098"/>
      <c r="EU479" s="1098"/>
      <c r="EV479" s="1098"/>
      <c r="EW479" s="1098"/>
      <c r="EX479" s="1098"/>
      <c r="EY479" s="1098"/>
      <c r="EZ479" s="1098"/>
      <c r="FA479" s="1098"/>
      <c r="FB479" s="1098"/>
      <c r="FC479" s="1098"/>
      <c r="FD479" s="1098"/>
      <c r="FE479" s="1098"/>
      <c r="FF479" s="1098"/>
      <c r="FG479" s="1098"/>
      <c r="FH479" s="1098"/>
      <c r="FI479" s="1098"/>
      <c r="FJ479" s="1098"/>
      <c r="FK479" s="1098"/>
      <c r="FL479" s="1098"/>
      <c r="FM479" s="1098"/>
      <c r="FN479" s="1098"/>
      <c r="FO479" s="1098"/>
      <c r="FP479" s="1098"/>
      <c r="FQ479" s="1098"/>
      <c r="FR479" s="1098"/>
      <c r="FS479" s="1098"/>
      <c r="FT479" s="1098"/>
      <c r="FU479" s="1098"/>
      <c r="FV479" s="1098"/>
      <c r="FW479" s="1098"/>
      <c r="FX479" s="1098"/>
      <c r="FY479" s="1098"/>
      <c r="FZ479" s="1098"/>
      <c r="GA479" s="1098"/>
      <c r="GB479" s="1098"/>
      <c r="GC479" s="1098"/>
      <c r="GD479" s="1098"/>
      <c r="GE479" s="1098"/>
      <c r="GF479" s="1098"/>
      <c r="GG479" s="1098"/>
      <c r="GH479" s="1098"/>
      <c r="GI479" s="1098"/>
      <c r="GJ479" s="1098"/>
      <c r="GK479" s="1098"/>
      <c r="GL479" s="1098"/>
      <c r="GM479" s="1098"/>
      <c r="GN479" s="1098"/>
      <c r="GO479" s="1098"/>
      <c r="GP479" s="1098"/>
      <c r="GQ479" s="1098"/>
      <c r="GR479" s="1098"/>
      <c r="GS479" s="1098"/>
      <c r="GT479" s="1098"/>
      <c r="GU479" s="1098"/>
      <c r="GV479" s="1098"/>
      <c r="GW479" s="1098"/>
      <c r="GX479" s="1098"/>
      <c r="GY479" s="1098"/>
      <c r="GZ479" s="1098"/>
      <c r="HA479" s="1098"/>
      <c r="HB479" s="1098"/>
      <c r="HC479" s="1098"/>
      <c r="HD479" s="1098"/>
      <c r="HE479" s="1098"/>
      <c r="HF479" s="1098"/>
      <c r="HG479" s="1098"/>
      <c r="HH479" s="1098"/>
      <c r="HI479" s="1098"/>
      <c r="HJ479" s="1098"/>
      <c r="HK479" s="1098"/>
      <c r="HL479" s="1098"/>
      <c r="HM479" s="1098"/>
      <c r="HN479" s="1098"/>
      <c r="HO479" s="1098"/>
      <c r="HP479" s="1098"/>
      <c r="HQ479" s="1098"/>
      <c r="HR479" s="1098"/>
      <c r="HS479" s="1098"/>
      <c r="HT479" s="1098"/>
      <c r="HU479" s="1098"/>
      <c r="HV479" s="1098"/>
      <c r="HW479" s="1098"/>
      <c r="HX479" s="1098"/>
      <c r="HY479" s="1098"/>
      <c r="HZ479" s="1098"/>
      <c r="IA479" s="1098"/>
      <c r="IB479" s="1098"/>
      <c r="IC479" s="1098"/>
      <c r="ID479" s="1098"/>
      <c r="IE479" s="1098"/>
      <c r="IF479" s="1098"/>
      <c r="IG479" s="1098"/>
      <c r="IH479" s="1098"/>
      <c r="II479" s="1098"/>
      <c r="IJ479" s="1098"/>
      <c r="IK479" s="1098"/>
      <c r="IL479" s="1098"/>
      <c r="IM479" s="1098"/>
      <c r="IN479" s="1098"/>
      <c r="IO479" s="1098"/>
      <c r="IP479" s="1098"/>
      <c r="IQ479" s="1098"/>
      <c r="IR479" s="1098"/>
      <c r="IS479" s="1098"/>
      <c r="IT479" s="1098"/>
      <c r="IU479" s="1098"/>
      <c r="IV479" s="1098"/>
      <c r="IW479" s="1098"/>
      <c r="IX479" s="1098"/>
      <c r="IY479" s="1098"/>
      <c r="IZ479" s="1098"/>
      <c r="JA479" s="1098"/>
      <c r="JB479" s="1098"/>
      <c r="JC479" s="1098"/>
      <c r="JD479" s="1098"/>
      <c r="JE479" s="1098"/>
      <c r="JF479" s="1098"/>
      <c r="JG479" s="1098"/>
      <c r="JH479" s="1098"/>
      <c r="JI479" s="1098"/>
      <c r="JJ479" s="1098"/>
      <c r="JK479" s="1098"/>
      <c r="JL479" s="1098"/>
      <c r="JM479" s="1098"/>
      <c r="JN479" s="1098"/>
      <c r="JO479" s="1098"/>
      <c r="JP479" s="1098"/>
      <c r="JQ479" s="1098"/>
      <c r="JR479" s="1098"/>
      <c r="JS479" s="1098"/>
      <c r="JT479" s="1098"/>
      <c r="JU479" s="1098"/>
      <c r="JV479" s="1098"/>
      <c r="JW479" s="1098"/>
      <c r="JX479" s="1098"/>
      <c r="JY479" s="1098"/>
      <c r="JZ479" s="1098"/>
      <c r="KA479" s="1098"/>
      <c r="KB479" s="1099"/>
    </row>
    <row r="480" spans="2:288" ht="15" customHeight="1" x14ac:dyDescent="0.35">
      <c r="B480" s="146" t="str">
        <f t="shared" si="37"/>
        <v>Desk 56</v>
      </c>
      <c r="C480" s="148" t="str">
        <v/>
      </c>
      <c r="D480" s="148" t="str">
        <v/>
      </c>
      <c r="E480" s="148" t="str">
        <v/>
      </c>
      <c r="F480" s="148" t="str">
        <v/>
      </c>
      <c r="G480" s="268" t="str">
        <v/>
      </c>
      <c r="H480" s="1098"/>
      <c r="I480" s="1098"/>
      <c r="J480" s="1098"/>
      <c r="K480" s="1098"/>
      <c r="L480" s="1098"/>
      <c r="M480" s="1098"/>
      <c r="N480" s="1098"/>
      <c r="O480" s="1098"/>
      <c r="P480" s="1098"/>
      <c r="Q480" s="1098"/>
      <c r="R480" s="1098"/>
      <c r="S480" s="1098"/>
      <c r="T480" s="1098"/>
      <c r="U480" s="1098"/>
      <c r="V480" s="1098"/>
      <c r="W480" s="1098"/>
      <c r="X480" s="1098"/>
      <c r="Y480" s="1098"/>
      <c r="Z480" s="1098"/>
      <c r="AA480" s="1098"/>
      <c r="AB480" s="1098"/>
      <c r="AC480" s="1098"/>
      <c r="AD480" s="1098"/>
      <c r="AE480" s="1098"/>
      <c r="AF480" s="1098"/>
      <c r="AG480" s="1098"/>
      <c r="AH480" s="1098"/>
      <c r="AI480" s="1098"/>
      <c r="AJ480" s="1098"/>
      <c r="AK480" s="1098"/>
      <c r="AL480" s="1098"/>
      <c r="AM480" s="1098"/>
      <c r="AN480" s="1098"/>
      <c r="AO480" s="1098"/>
      <c r="AP480" s="1098"/>
      <c r="AQ480" s="1098"/>
      <c r="AR480" s="1098"/>
      <c r="AS480" s="1098"/>
      <c r="AT480" s="1098"/>
      <c r="AU480" s="1098"/>
      <c r="AV480" s="1098"/>
      <c r="AW480" s="1098"/>
      <c r="AX480" s="1098"/>
      <c r="AY480" s="1098"/>
      <c r="AZ480" s="1098"/>
      <c r="BA480" s="1098"/>
      <c r="BB480" s="1098"/>
      <c r="BC480" s="1098"/>
      <c r="BD480" s="1098"/>
      <c r="BE480" s="1098"/>
      <c r="BF480" s="1098"/>
      <c r="BG480" s="1098"/>
      <c r="BH480" s="1098"/>
      <c r="BI480" s="1098"/>
      <c r="BJ480" s="1098"/>
      <c r="BK480" s="1098"/>
      <c r="BL480" s="1098"/>
      <c r="BM480" s="1098"/>
      <c r="BN480" s="1098"/>
      <c r="BO480" s="1098"/>
      <c r="BP480" s="1098"/>
      <c r="BQ480" s="1098"/>
      <c r="BR480" s="1098"/>
      <c r="BS480" s="1098"/>
      <c r="BT480" s="1098"/>
      <c r="BU480" s="1098"/>
      <c r="BV480" s="1098"/>
      <c r="BW480" s="1098"/>
      <c r="BX480" s="1098"/>
      <c r="BY480" s="1098"/>
      <c r="BZ480" s="1098"/>
      <c r="CA480" s="1098"/>
      <c r="CB480" s="1098"/>
      <c r="CC480" s="1098"/>
      <c r="CD480" s="1098"/>
      <c r="CE480" s="1098"/>
      <c r="CF480" s="1098"/>
      <c r="CG480" s="1098"/>
      <c r="CH480" s="1098"/>
      <c r="CI480" s="1098"/>
      <c r="CJ480" s="1098"/>
      <c r="CK480" s="1098"/>
      <c r="CL480" s="1098"/>
      <c r="CM480" s="1098"/>
      <c r="CN480" s="1098"/>
      <c r="CO480" s="1098"/>
      <c r="CP480" s="1098"/>
      <c r="CQ480" s="1098"/>
      <c r="CR480" s="1098"/>
      <c r="CS480" s="1098"/>
      <c r="CT480" s="1098"/>
      <c r="CU480" s="1098"/>
      <c r="CV480" s="1098"/>
      <c r="CW480" s="1098"/>
      <c r="CX480" s="1098"/>
      <c r="CY480" s="1098"/>
      <c r="CZ480" s="1098"/>
      <c r="DA480" s="1098"/>
      <c r="DB480" s="1098"/>
      <c r="DC480" s="1098"/>
      <c r="DD480" s="1098"/>
      <c r="DE480" s="1098"/>
      <c r="DF480" s="1098"/>
      <c r="DG480" s="1098"/>
      <c r="DH480" s="1098"/>
      <c r="DI480" s="1098"/>
      <c r="DJ480" s="1098"/>
      <c r="DK480" s="1098"/>
      <c r="DL480" s="1098"/>
      <c r="DM480" s="1098"/>
      <c r="DN480" s="1098"/>
      <c r="DO480" s="1098"/>
      <c r="DP480" s="1098"/>
      <c r="DQ480" s="1098"/>
      <c r="DR480" s="1098"/>
      <c r="DS480" s="1098"/>
      <c r="DT480" s="1098"/>
      <c r="DU480" s="1098"/>
      <c r="DV480" s="1098"/>
      <c r="DW480" s="1098"/>
      <c r="DX480" s="1098"/>
      <c r="DY480" s="1098"/>
      <c r="DZ480" s="1098"/>
      <c r="EA480" s="1098"/>
      <c r="EB480" s="1098"/>
      <c r="EC480" s="1098"/>
      <c r="ED480" s="1098"/>
      <c r="EE480" s="1098"/>
      <c r="EF480" s="1098"/>
      <c r="EG480" s="1098"/>
      <c r="EH480" s="1098"/>
      <c r="EI480" s="1098"/>
      <c r="EJ480" s="1098"/>
      <c r="EK480" s="1098"/>
      <c r="EL480" s="1098"/>
      <c r="EM480" s="1098"/>
      <c r="EN480" s="1098"/>
      <c r="EO480" s="1098"/>
      <c r="EP480" s="1098"/>
      <c r="EQ480" s="1098"/>
      <c r="ER480" s="1098"/>
      <c r="ES480" s="1098"/>
      <c r="ET480" s="1098"/>
      <c r="EU480" s="1098"/>
      <c r="EV480" s="1098"/>
      <c r="EW480" s="1098"/>
      <c r="EX480" s="1098"/>
      <c r="EY480" s="1098"/>
      <c r="EZ480" s="1098"/>
      <c r="FA480" s="1098"/>
      <c r="FB480" s="1098"/>
      <c r="FC480" s="1098"/>
      <c r="FD480" s="1098"/>
      <c r="FE480" s="1098"/>
      <c r="FF480" s="1098"/>
      <c r="FG480" s="1098"/>
      <c r="FH480" s="1098"/>
      <c r="FI480" s="1098"/>
      <c r="FJ480" s="1098"/>
      <c r="FK480" s="1098"/>
      <c r="FL480" s="1098"/>
      <c r="FM480" s="1098"/>
      <c r="FN480" s="1098"/>
      <c r="FO480" s="1098"/>
      <c r="FP480" s="1098"/>
      <c r="FQ480" s="1098"/>
      <c r="FR480" s="1098"/>
      <c r="FS480" s="1098"/>
      <c r="FT480" s="1098"/>
      <c r="FU480" s="1098"/>
      <c r="FV480" s="1098"/>
      <c r="FW480" s="1098"/>
      <c r="FX480" s="1098"/>
      <c r="FY480" s="1098"/>
      <c r="FZ480" s="1098"/>
      <c r="GA480" s="1098"/>
      <c r="GB480" s="1098"/>
      <c r="GC480" s="1098"/>
      <c r="GD480" s="1098"/>
      <c r="GE480" s="1098"/>
      <c r="GF480" s="1098"/>
      <c r="GG480" s="1098"/>
      <c r="GH480" s="1098"/>
      <c r="GI480" s="1098"/>
      <c r="GJ480" s="1098"/>
      <c r="GK480" s="1098"/>
      <c r="GL480" s="1098"/>
      <c r="GM480" s="1098"/>
      <c r="GN480" s="1098"/>
      <c r="GO480" s="1098"/>
      <c r="GP480" s="1098"/>
      <c r="GQ480" s="1098"/>
      <c r="GR480" s="1098"/>
      <c r="GS480" s="1098"/>
      <c r="GT480" s="1098"/>
      <c r="GU480" s="1098"/>
      <c r="GV480" s="1098"/>
      <c r="GW480" s="1098"/>
      <c r="GX480" s="1098"/>
      <c r="GY480" s="1098"/>
      <c r="GZ480" s="1098"/>
      <c r="HA480" s="1098"/>
      <c r="HB480" s="1098"/>
      <c r="HC480" s="1098"/>
      <c r="HD480" s="1098"/>
      <c r="HE480" s="1098"/>
      <c r="HF480" s="1098"/>
      <c r="HG480" s="1098"/>
      <c r="HH480" s="1098"/>
      <c r="HI480" s="1098"/>
      <c r="HJ480" s="1098"/>
      <c r="HK480" s="1098"/>
      <c r="HL480" s="1098"/>
      <c r="HM480" s="1098"/>
      <c r="HN480" s="1098"/>
      <c r="HO480" s="1098"/>
      <c r="HP480" s="1098"/>
      <c r="HQ480" s="1098"/>
      <c r="HR480" s="1098"/>
      <c r="HS480" s="1098"/>
      <c r="HT480" s="1098"/>
      <c r="HU480" s="1098"/>
      <c r="HV480" s="1098"/>
      <c r="HW480" s="1098"/>
      <c r="HX480" s="1098"/>
      <c r="HY480" s="1098"/>
      <c r="HZ480" s="1098"/>
      <c r="IA480" s="1098"/>
      <c r="IB480" s="1098"/>
      <c r="IC480" s="1098"/>
      <c r="ID480" s="1098"/>
      <c r="IE480" s="1098"/>
      <c r="IF480" s="1098"/>
      <c r="IG480" s="1098"/>
      <c r="IH480" s="1098"/>
      <c r="II480" s="1098"/>
      <c r="IJ480" s="1098"/>
      <c r="IK480" s="1098"/>
      <c r="IL480" s="1098"/>
      <c r="IM480" s="1098"/>
      <c r="IN480" s="1098"/>
      <c r="IO480" s="1098"/>
      <c r="IP480" s="1098"/>
      <c r="IQ480" s="1098"/>
      <c r="IR480" s="1098"/>
      <c r="IS480" s="1098"/>
      <c r="IT480" s="1098"/>
      <c r="IU480" s="1098"/>
      <c r="IV480" s="1098"/>
      <c r="IW480" s="1098"/>
      <c r="IX480" s="1098"/>
      <c r="IY480" s="1098"/>
      <c r="IZ480" s="1098"/>
      <c r="JA480" s="1098"/>
      <c r="JB480" s="1098"/>
      <c r="JC480" s="1098"/>
      <c r="JD480" s="1098"/>
      <c r="JE480" s="1098"/>
      <c r="JF480" s="1098"/>
      <c r="JG480" s="1098"/>
      <c r="JH480" s="1098"/>
      <c r="JI480" s="1098"/>
      <c r="JJ480" s="1098"/>
      <c r="JK480" s="1098"/>
      <c r="JL480" s="1098"/>
      <c r="JM480" s="1098"/>
      <c r="JN480" s="1098"/>
      <c r="JO480" s="1098"/>
      <c r="JP480" s="1098"/>
      <c r="JQ480" s="1098"/>
      <c r="JR480" s="1098"/>
      <c r="JS480" s="1098"/>
      <c r="JT480" s="1098"/>
      <c r="JU480" s="1098"/>
      <c r="JV480" s="1098"/>
      <c r="JW480" s="1098"/>
      <c r="JX480" s="1098"/>
      <c r="JY480" s="1098"/>
      <c r="JZ480" s="1098"/>
      <c r="KA480" s="1098"/>
      <c r="KB480" s="1099"/>
    </row>
    <row r="481" spans="2:288" ht="15" customHeight="1" x14ac:dyDescent="0.35">
      <c r="B481" s="146" t="str">
        <f t="shared" si="37"/>
        <v>Desk 57</v>
      </c>
      <c r="C481" s="148" t="str">
        <v/>
      </c>
      <c r="D481" s="148" t="str">
        <v/>
      </c>
      <c r="E481" s="148" t="str">
        <v/>
      </c>
      <c r="F481" s="148" t="str">
        <v/>
      </c>
      <c r="G481" s="268" t="str">
        <v/>
      </c>
      <c r="H481" s="1098"/>
      <c r="I481" s="1098"/>
      <c r="J481" s="1098"/>
      <c r="K481" s="1098"/>
      <c r="L481" s="1098"/>
      <c r="M481" s="1098"/>
      <c r="N481" s="1098"/>
      <c r="O481" s="1098"/>
      <c r="P481" s="1098"/>
      <c r="Q481" s="1098"/>
      <c r="R481" s="1098"/>
      <c r="S481" s="1098"/>
      <c r="T481" s="1098"/>
      <c r="U481" s="1098"/>
      <c r="V481" s="1098"/>
      <c r="W481" s="1098"/>
      <c r="X481" s="1098"/>
      <c r="Y481" s="1098"/>
      <c r="Z481" s="1098"/>
      <c r="AA481" s="1098"/>
      <c r="AB481" s="1098"/>
      <c r="AC481" s="1098"/>
      <c r="AD481" s="1098"/>
      <c r="AE481" s="1098"/>
      <c r="AF481" s="1098"/>
      <c r="AG481" s="1098"/>
      <c r="AH481" s="1098"/>
      <c r="AI481" s="1098"/>
      <c r="AJ481" s="1098"/>
      <c r="AK481" s="1098"/>
      <c r="AL481" s="1098"/>
      <c r="AM481" s="1098"/>
      <c r="AN481" s="1098"/>
      <c r="AO481" s="1098"/>
      <c r="AP481" s="1098"/>
      <c r="AQ481" s="1098"/>
      <c r="AR481" s="1098"/>
      <c r="AS481" s="1098"/>
      <c r="AT481" s="1098"/>
      <c r="AU481" s="1098"/>
      <c r="AV481" s="1098"/>
      <c r="AW481" s="1098"/>
      <c r="AX481" s="1098"/>
      <c r="AY481" s="1098"/>
      <c r="AZ481" s="1098"/>
      <c r="BA481" s="1098"/>
      <c r="BB481" s="1098"/>
      <c r="BC481" s="1098"/>
      <c r="BD481" s="1098"/>
      <c r="BE481" s="1098"/>
      <c r="BF481" s="1098"/>
      <c r="BG481" s="1098"/>
      <c r="BH481" s="1098"/>
      <c r="BI481" s="1098"/>
      <c r="BJ481" s="1098"/>
      <c r="BK481" s="1098"/>
      <c r="BL481" s="1098"/>
      <c r="BM481" s="1098"/>
      <c r="BN481" s="1098"/>
      <c r="BO481" s="1098"/>
      <c r="BP481" s="1098"/>
      <c r="BQ481" s="1098"/>
      <c r="BR481" s="1098"/>
      <c r="BS481" s="1098"/>
      <c r="BT481" s="1098"/>
      <c r="BU481" s="1098"/>
      <c r="BV481" s="1098"/>
      <c r="BW481" s="1098"/>
      <c r="BX481" s="1098"/>
      <c r="BY481" s="1098"/>
      <c r="BZ481" s="1098"/>
      <c r="CA481" s="1098"/>
      <c r="CB481" s="1098"/>
      <c r="CC481" s="1098"/>
      <c r="CD481" s="1098"/>
      <c r="CE481" s="1098"/>
      <c r="CF481" s="1098"/>
      <c r="CG481" s="1098"/>
      <c r="CH481" s="1098"/>
      <c r="CI481" s="1098"/>
      <c r="CJ481" s="1098"/>
      <c r="CK481" s="1098"/>
      <c r="CL481" s="1098"/>
      <c r="CM481" s="1098"/>
      <c r="CN481" s="1098"/>
      <c r="CO481" s="1098"/>
      <c r="CP481" s="1098"/>
      <c r="CQ481" s="1098"/>
      <c r="CR481" s="1098"/>
      <c r="CS481" s="1098"/>
      <c r="CT481" s="1098"/>
      <c r="CU481" s="1098"/>
      <c r="CV481" s="1098"/>
      <c r="CW481" s="1098"/>
      <c r="CX481" s="1098"/>
      <c r="CY481" s="1098"/>
      <c r="CZ481" s="1098"/>
      <c r="DA481" s="1098"/>
      <c r="DB481" s="1098"/>
      <c r="DC481" s="1098"/>
      <c r="DD481" s="1098"/>
      <c r="DE481" s="1098"/>
      <c r="DF481" s="1098"/>
      <c r="DG481" s="1098"/>
      <c r="DH481" s="1098"/>
      <c r="DI481" s="1098"/>
      <c r="DJ481" s="1098"/>
      <c r="DK481" s="1098"/>
      <c r="DL481" s="1098"/>
      <c r="DM481" s="1098"/>
      <c r="DN481" s="1098"/>
      <c r="DO481" s="1098"/>
      <c r="DP481" s="1098"/>
      <c r="DQ481" s="1098"/>
      <c r="DR481" s="1098"/>
      <c r="DS481" s="1098"/>
      <c r="DT481" s="1098"/>
      <c r="DU481" s="1098"/>
      <c r="DV481" s="1098"/>
      <c r="DW481" s="1098"/>
      <c r="DX481" s="1098"/>
      <c r="DY481" s="1098"/>
      <c r="DZ481" s="1098"/>
      <c r="EA481" s="1098"/>
      <c r="EB481" s="1098"/>
      <c r="EC481" s="1098"/>
      <c r="ED481" s="1098"/>
      <c r="EE481" s="1098"/>
      <c r="EF481" s="1098"/>
      <c r="EG481" s="1098"/>
      <c r="EH481" s="1098"/>
      <c r="EI481" s="1098"/>
      <c r="EJ481" s="1098"/>
      <c r="EK481" s="1098"/>
      <c r="EL481" s="1098"/>
      <c r="EM481" s="1098"/>
      <c r="EN481" s="1098"/>
      <c r="EO481" s="1098"/>
      <c r="EP481" s="1098"/>
      <c r="EQ481" s="1098"/>
      <c r="ER481" s="1098"/>
      <c r="ES481" s="1098"/>
      <c r="ET481" s="1098"/>
      <c r="EU481" s="1098"/>
      <c r="EV481" s="1098"/>
      <c r="EW481" s="1098"/>
      <c r="EX481" s="1098"/>
      <c r="EY481" s="1098"/>
      <c r="EZ481" s="1098"/>
      <c r="FA481" s="1098"/>
      <c r="FB481" s="1098"/>
      <c r="FC481" s="1098"/>
      <c r="FD481" s="1098"/>
      <c r="FE481" s="1098"/>
      <c r="FF481" s="1098"/>
      <c r="FG481" s="1098"/>
      <c r="FH481" s="1098"/>
      <c r="FI481" s="1098"/>
      <c r="FJ481" s="1098"/>
      <c r="FK481" s="1098"/>
      <c r="FL481" s="1098"/>
      <c r="FM481" s="1098"/>
      <c r="FN481" s="1098"/>
      <c r="FO481" s="1098"/>
      <c r="FP481" s="1098"/>
      <c r="FQ481" s="1098"/>
      <c r="FR481" s="1098"/>
      <c r="FS481" s="1098"/>
      <c r="FT481" s="1098"/>
      <c r="FU481" s="1098"/>
      <c r="FV481" s="1098"/>
      <c r="FW481" s="1098"/>
      <c r="FX481" s="1098"/>
      <c r="FY481" s="1098"/>
      <c r="FZ481" s="1098"/>
      <c r="GA481" s="1098"/>
      <c r="GB481" s="1098"/>
      <c r="GC481" s="1098"/>
      <c r="GD481" s="1098"/>
      <c r="GE481" s="1098"/>
      <c r="GF481" s="1098"/>
      <c r="GG481" s="1098"/>
      <c r="GH481" s="1098"/>
      <c r="GI481" s="1098"/>
      <c r="GJ481" s="1098"/>
      <c r="GK481" s="1098"/>
      <c r="GL481" s="1098"/>
      <c r="GM481" s="1098"/>
      <c r="GN481" s="1098"/>
      <c r="GO481" s="1098"/>
      <c r="GP481" s="1098"/>
      <c r="GQ481" s="1098"/>
      <c r="GR481" s="1098"/>
      <c r="GS481" s="1098"/>
      <c r="GT481" s="1098"/>
      <c r="GU481" s="1098"/>
      <c r="GV481" s="1098"/>
      <c r="GW481" s="1098"/>
      <c r="GX481" s="1098"/>
      <c r="GY481" s="1098"/>
      <c r="GZ481" s="1098"/>
      <c r="HA481" s="1098"/>
      <c r="HB481" s="1098"/>
      <c r="HC481" s="1098"/>
      <c r="HD481" s="1098"/>
      <c r="HE481" s="1098"/>
      <c r="HF481" s="1098"/>
      <c r="HG481" s="1098"/>
      <c r="HH481" s="1098"/>
      <c r="HI481" s="1098"/>
      <c r="HJ481" s="1098"/>
      <c r="HK481" s="1098"/>
      <c r="HL481" s="1098"/>
      <c r="HM481" s="1098"/>
      <c r="HN481" s="1098"/>
      <c r="HO481" s="1098"/>
      <c r="HP481" s="1098"/>
      <c r="HQ481" s="1098"/>
      <c r="HR481" s="1098"/>
      <c r="HS481" s="1098"/>
      <c r="HT481" s="1098"/>
      <c r="HU481" s="1098"/>
      <c r="HV481" s="1098"/>
      <c r="HW481" s="1098"/>
      <c r="HX481" s="1098"/>
      <c r="HY481" s="1098"/>
      <c r="HZ481" s="1098"/>
      <c r="IA481" s="1098"/>
      <c r="IB481" s="1098"/>
      <c r="IC481" s="1098"/>
      <c r="ID481" s="1098"/>
      <c r="IE481" s="1098"/>
      <c r="IF481" s="1098"/>
      <c r="IG481" s="1098"/>
      <c r="IH481" s="1098"/>
      <c r="II481" s="1098"/>
      <c r="IJ481" s="1098"/>
      <c r="IK481" s="1098"/>
      <c r="IL481" s="1098"/>
      <c r="IM481" s="1098"/>
      <c r="IN481" s="1098"/>
      <c r="IO481" s="1098"/>
      <c r="IP481" s="1098"/>
      <c r="IQ481" s="1098"/>
      <c r="IR481" s="1098"/>
      <c r="IS481" s="1098"/>
      <c r="IT481" s="1098"/>
      <c r="IU481" s="1098"/>
      <c r="IV481" s="1098"/>
      <c r="IW481" s="1098"/>
      <c r="IX481" s="1098"/>
      <c r="IY481" s="1098"/>
      <c r="IZ481" s="1098"/>
      <c r="JA481" s="1098"/>
      <c r="JB481" s="1098"/>
      <c r="JC481" s="1098"/>
      <c r="JD481" s="1098"/>
      <c r="JE481" s="1098"/>
      <c r="JF481" s="1098"/>
      <c r="JG481" s="1098"/>
      <c r="JH481" s="1098"/>
      <c r="JI481" s="1098"/>
      <c r="JJ481" s="1098"/>
      <c r="JK481" s="1098"/>
      <c r="JL481" s="1098"/>
      <c r="JM481" s="1098"/>
      <c r="JN481" s="1098"/>
      <c r="JO481" s="1098"/>
      <c r="JP481" s="1098"/>
      <c r="JQ481" s="1098"/>
      <c r="JR481" s="1098"/>
      <c r="JS481" s="1098"/>
      <c r="JT481" s="1098"/>
      <c r="JU481" s="1098"/>
      <c r="JV481" s="1098"/>
      <c r="JW481" s="1098"/>
      <c r="JX481" s="1098"/>
      <c r="JY481" s="1098"/>
      <c r="JZ481" s="1098"/>
      <c r="KA481" s="1098"/>
      <c r="KB481" s="1099"/>
    </row>
    <row r="482" spans="2:288" ht="15" customHeight="1" x14ac:dyDescent="0.35">
      <c r="B482" s="146" t="str">
        <f t="shared" si="37"/>
        <v>Desk 58</v>
      </c>
      <c r="C482" s="148" t="str">
        <v/>
      </c>
      <c r="D482" s="148" t="str">
        <v/>
      </c>
      <c r="E482" s="148" t="str">
        <v/>
      </c>
      <c r="F482" s="148" t="str">
        <v/>
      </c>
      <c r="G482" s="268" t="str">
        <v/>
      </c>
      <c r="H482" s="1098"/>
      <c r="I482" s="1098"/>
      <c r="J482" s="1098"/>
      <c r="K482" s="1098"/>
      <c r="L482" s="1098"/>
      <c r="M482" s="1098"/>
      <c r="N482" s="1098"/>
      <c r="O482" s="1098"/>
      <c r="P482" s="1098"/>
      <c r="Q482" s="1098"/>
      <c r="R482" s="1098"/>
      <c r="S482" s="1098"/>
      <c r="T482" s="1098"/>
      <c r="U482" s="1098"/>
      <c r="V482" s="1098"/>
      <c r="W482" s="1098"/>
      <c r="X482" s="1098"/>
      <c r="Y482" s="1098"/>
      <c r="Z482" s="1098"/>
      <c r="AA482" s="1098"/>
      <c r="AB482" s="1098"/>
      <c r="AC482" s="1098"/>
      <c r="AD482" s="1098"/>
      <c r="AE482" s="1098"/>
      <c r="AF482" s="1098"/>
      <c r="AG482" s="1098"/>
      <c r="AH482" s="1098"/>
      <c r="AI482" s="1098"/>
      <c r="AJ482" s="1098"/>
      <c r="AK482" s="1098"/>
      <c r="AL482" s="1098"/>
      <c r="AM482" s="1098"/>
      <c r="AN482" s="1098"/>
      <c r="AO482" s="1098"/>
      <c r="AP482" s="1098"/>
      <c r="AQ482" s="1098"/>
      <c r="AR482" s="1098"/>
      <c r="AS482" s="1098"/>
      <c r="AT482" s="1098"/>
      <c r="AU482" s="1098"/>
      <c r="AV482" s="1098"/>
      <c r="AW482" s="1098"/>
      <c r="AX482" s="1098"/>
      <c r="AY482" s="1098"/>
      <c r="AZ482" s="1098"/>
      <c r="BA482" s="1098"/>
      <c r="BB482" s="1098"/>
      <c r="BC482" s="1098"/>
      <c r="BD482" s="1098"/>
      <c r="BE482" s="1098"/>
      <c r="BF482" s="1098"/>
      <c r="BG482" s="1098"/>
      <c r="BH482" s="1098"/>
      <c r="BI482" s="1098"/>
      <c r="BJ482" s="1098"/>
      <c r="BK482" s="1098"/>
      <c r="BL482" s="1098"/>
      <c r="BM482" s="1098"/>
      <c r="BN482" s="1098"/>
      <c r="BO482" s="1098"/>
      <c r="BP482" s="1098"/>
      <c r="BQ482" s="1098"/>
      <c r="BR482" s="1098"/>
      <c r="BS482" s="1098"/>
      <c r="BT482" s="1098"/>
      <c r="BU482" s="1098"/>
      <c r="BV482" s="1098"/>
      <c r="BW482" s="1098"/>
      <c r="BX482" s="1098"/>
      <c r="BY482" s="1098"/>
      <c r="BZ482" s="1098"/>
      <c r="CA482" s="1098"/>
      <c r="CB482" s="1098"/>
      <c r="CC482" s="1098"/>
      <c r="CD482" s="1098"/>
      <c r="CE482" s="1098"/>
      <c r="CF482" s="1098"/>
      <c r="CG482" s="1098"/>
      <c r="CH482" s="1098"/>
      <c r="CI482" s="1098"/>
      <c r="CJ482" s="1098"/>
      <c r="CK482" s="1098"/>
      <c r="CL482" s="1098"/>
      <c r="CM482" s="1098"/>
      <c r="CN482" s="1098"/>
      <c r="CO482" s="1098"/>
      <c r="CP482" s="1098"/>
      <c r="CQ482" s="1098"/>
      <c r="CR482" s="1098"/>
      <c r="CS482" s="1098"/>
      <c r="CT482" s="1098"/>
      <c r="CU482" s="1098"/>
      <c r="CV482" s="1098"/>
      <c r="CW482" s="1098"/>
      <c r="CX482" s="1098"/>
      <c r="CY482" s="1098"/>
      <c r="CZ482" s="1098"/>
      <c r="DA482" s="1098"/>
      <c r="DB482" s="1098"/>
      <c r="DC482" s="1098"/>
      <c r="DD482" s="1098"/>
      <c r="DE482" s="1098"/>
      <c r="DF482" s="1098"/>
      <c r="DG482" s="1098"/>
      <c r="DH482" s="1098"/>
      <c r="DI482" s="1098"/>
      <c r="DJ482" s="1098"/>
      <c r="DK482" s="1098"/>
      <c r="DL482" s="1098"/>
      <c r="DM482" s="1098"/>
      <c r="DN482" s="1098"/>
      <c r="DO482" s="1098"/>
      <c r="DP482" s="1098"/>
      <c r="DQ482" s="1098"/>
      <c r="DR482" s="1098"/>
      <c r="DS482" s="1098"/>
      <c r="DT482" s="1098"/>
      <c r="DU482" s="1098"/>
      <c r="DV482" s="1098"/>
      <c r="DW482" s="1098"/>
      <c r="DX482" s="1098"/>
      <c r="DY482" s="1098"/>
      <c r="DZ482" s="1098"/>
      <c r="EA482" s="1098"/>
      <c r="EB482" s="1098"/>
      <c r="EC482" s="1098"/>
      <c r="ED482" s="1098"/>
      <c r="EE482" s="1098"/>
      <c r="EF482" s="1098"/>
      <c r="EG482" s="1098"/>
      <c r="EH482" s="1098"/>
      <c r="EI482" s="1098"/>
      <c r="EJ482" s="1098"/>
      <c r="EK482" s="1098"/>
      <c r="EL482" s="1098"/>
      <c r="EM482" s="1098"/>
      <c r="EN482" s="1098"/>
      <c r="EO482" s="1098"/>
      <c r="EP482" s="1098"/>
      <c r="EQ482" s="1098"/>
      <c r="ER482" s="1098"/>
      <c r="ES482" s="1098"/>
      <c r="ET482" s="1098"/>
      <c r="EU482" s="1098"/>
      <c r="EV482" s="1098"/>
      <c r="EW482" s="1098"/>
      <c r="EX482" s="1098"/>
      <c r="EY482" s="1098"/>
      <c r="EZ482" s="1098"/>
      <c r="FA482" s="1098"/>
      <c r="FB482" s="1098"/>
      <c r="FC482" s="1098"/>
      <c r="FD482" s="1098"/>
      <c r="FE482" s="1098"/>
      <c r="FF482" s="1098"/>
      <c r="FG482" s="1098"/>
      <c r="FH482" s="1098"/>
      <c r="FI482" s="1098"/>
      <c r="FJ482" s="1098"/>
      <c r="FK482" s="1098"/>
      <c r="FL482" s="1098"/>
      <c r="FM482" s="1098"/>
      <c r="FN482" s="1098"/>
      <c r="FO482" s="1098"/>
      <c r="FP482" s="1098"/>
      <c r="FQ482" s="1098"/>
      <c r="FR482" s="1098"/>
      <c r="FS482" s="1098"/>
      <c r="FT482" s="1098"/>
      <c r="FU482" s="1098"/>
      <c r="FV482" s="1098"/>
      <c r="FW482" s="1098"/>
      <c r="FX482" s="1098"/>
      <c r="FY482" s="1098"/>
      <c r="FZ482" s="1098"/>
      <c r="GA482" s="1098"/>
      <c r="GB482" s="1098"/>
      <c r="GC482" s="1098"/>
      <c r="GD482" s="1098"/>
      <c r="GE482" s="1098"/>
      <c r="GF482" s="1098"/>
      <c r="GG482" s="1098"/>
      <c r="GH482" s="1098"/>
      <c r="GI482" s="1098"/>
      <c r="GJ482" s="1098"/>
      <c r="GK482" s="1098"/>
      <c r="GL482" s="1098"/>
      <c r="GM482" s="1098"/>
      <c r="GN482" s="1098"/>
      <c r="GO482" s="1098"/>
      <c r="GP482" s="1098"/>
      <c r="GQ482" s="1098"/>
      <c r="GR482" s="1098"/>
      <c r="GS482" s="1098"/>
      <c r="GT482" s="1098"/>
      <c r="GU482" s="1098"/>
      <c r="GV482" s="1098"/>
      <c r="GW482" s="1098"/>
      <c r="GX482" s="1098"/>
      <c r="GY482" s="1098"/>
      <c r="GZ482" s="1098"/>
      <c r="HA482" s="1098"/>
      <c r="HB482" s="1098"/>
      <c r="HC482" s="1098"/>
      <c r="HD482" s="1098"/>
      <c r="HE482" s="1098"/>
      <c r="HF482" s="1098"/>
      <c r="HG482" s="1098"/>
      <c r="HH482" s="1098"/>
      <c r="HI482" s="1098"/>
      <c r="HJ482" s="1098"/>
      <c r="HK482" s="1098"/>
      <c r="HL482" s="1098"/>
      <c r="HM482" s="1098"/>
      <c r="HN482" s="1098"/>
      <c r="HO482" s="1098"/>
      <c r="HP482" s="1098"/>
      <c r="HQ482" s="1098"/>
      <c r="HR482" s="1098"/>
      <c r="HS482" s="1098"/>
      <c r="HT482" s="1098"/>
      <c r="HU482" s="1098"/>
      <c r="HV482" s="1098"/>
      <c r="HW482" s="1098"/>
      <c r="HX482" s="1098"/>
      <c r="HY482" s="1098"/>
      <c r="HZ482" s="1098"/>
      <c r="IA482" s="1098"/>
      <c r="IB482" s="1098"/>
      <c r="IC482" s="1098"/>
      <c r="ID482" s="1098"/>
      <c r="IE482" s="1098"/>
      <c r="IF482" s="1098"/>
      <c r="IG482" s="1098"/>
      <c r="IH482" s="1098"/>
      <c r="II482" s="1098"/>
      <c r="IJ482" s="1098"/>
      <c r="IK482" s="1098"/>
      <c r="IL482" s="1098"/>
      <c r="IM482" s="1098"/>
      <c r="IN482" s="1098"/>
      <c r="IO482" s="1098"/>
      <c r="IP482" s="1098"/>
      <c r="IQ482" s="1098"/>
      <c r="IR482" s="1098"/>
      <c r="IS482" s="1098"/>
      <c r="IT482" s="1098"/>
      <c r="IU482" s="1098"/>
      <c r="IV482" s="1098"/>
      <c r="IW482" s="1098"/>
      <c r="IX482" s="1098"/>
      <c r="IY482" s="1098"/>
      <c r="IZ482" s="1098"/>
      <c r="JA482" s="1098"/>
      <c r="JB482" s="1098"/>
      <c r="JC482" s="1098"/>
      <c r="JD482" s="1098"/>
      <c r="JE482" s="1098"/>
      <c r="JF482" s="1098"/>
      <c r="JG482" s="1098"/>
      <c r="JH482" s="1098"/>
      <c r="JI482" s="1098"/>
      <c r="JJ482" s="1098"/>
      <c r="JK482" s="1098"/>
      <c r="JL482" s="1098"/>
      <c r="JM482" s="1098"/>
      <c r="JN482" s="1098"/>
      <c r="JO482" s="1098"/>
      <c r="JP482" s="1098"/>
      <c r="JQ482" s="1098"/>
      <c r="JR482" s="1098"/>
      <c r="JS482" s="1098"/>
      <c r="JT482" s="1098"/>
      <c r="JU482" s="1098"/>
      <c r="JV482" s="1098"/>
      <c r="JW482" s="1098"/>
      <c r="JX482" s="1098"/>
      <c r="JY482" s="1098"/>
      <c r="JZ482" s="1098"/>
      <c r="KA482" s="1098"/>
      <c r="KB482" s="1099"/>
    </row>
    <row r="483" spans="2:288" ht="15" customHeight="1" x14ac:dyDescent="0.35">
      <c r="B483" s="146" t="str">
        <f t="shared" si="37"/>
        <v>Desk 59</v>
      </c>
      <c r="C483" s="148" t="str">
        <v/>
      </c>
      <c r="D483" s="148" t="str">
        <v/>
      </c>
      <c r="E483" s="148" t="str">
        <v/>
      </c>
      <c r="F483" s="148" t="str">
        <v/>
      </c>
      <c r="G483" s="268" t="str">
        <v/>
      </c>
      <c r="H483" s="1098"/>
      <c r="I483" s="1098"/>
      <c r="J483" s="1098"/>
      <c r="K483" s="1098"/>
      <c r="L483" s="1098"/>
      <c r="M483" s="1098"/>
      <c r="N483" s="1098"/>
      <c r="O483" s="1098"/>
      <c r="P483" s="1098"/>
      <c r="Q483" s="1098"/>
      <c r="R483" s="1098"/>
      <c r="S483" s="1098"/>
      <c r="T483" s="1098"/>
      <c r="U483" s="1098"/>
      <c r="V483" s="1098"/>
      <c r="W483" s="1098"/>
      <c r="X483" s="1098"/>
      <c r="Y483" s="1098"/>
      <c r="Z483" s="1098"/>
      <c r="AA483" s="1098"/>
      <c r="AB483" s="1098"/>
      <c r="AC483" s="1098"/>
      <c r="AD483" s="1098"/>
      <c r="AE483" s="1098"/>
      <c r="AF483" s="1098"/>
      <c r="AG483" s="1098"/>
      <c r="AH483" s="1098"/>
      <c r="AI483" s="1098"/>
      <c r="AJ483" s="1098"/>
      <c r="AK483" s="1098"/>
      <c r="AL483" s="1098"/>
      <c r="AM483" s="1098"/>
      <c r="AN483" s="1098"/>
      <c r="AO483" s="1098"/>
      <c r="AP483" s="1098"/>
      <c r="AQ483" s="1098"/>
      <c r="AR483" s="1098"/>
      <c r="AS483" s="1098"/>
      <c r="AT483" s="1098"/>
      <c r="AU483" s="1098"/>
      <c r="AV483" s="1098"/>
      <c r="AW483" s="1098"/>
      <c r="AX483" s="1098"/>
      <c r="AY483" s="1098"/>
      <c r="AZ483" s="1098"/>
      <c r="BA483" s="1098"/>
      <c r="BB483" s="1098"/>
      <c r="BC483" s="1098"/>
      <c r="BD483" s="1098"/>
      <c r="BE483" s="1098"/>
      <c r="BF483" s="1098"/>
      <c r="BG483" s="1098"/>
      <c r="BH483" s="1098"/>
      <c r="BI483" s="1098"/>
      <c r="BJ483" s="1098"/>
      <c r="BK483" s="1098"/>
      <c r="BL483" s="1098"/>
      <c r="BM483" s="1098"/>
      <c r="BN483" s="1098"/>
      <c r="BO483" s="1098"/>
      <c r="BP483" s="1098"/>
      <c r="BQ483" s="1098"/>
      <c r="BR483" s="1098"/>
      <c r="BS483" s="1098"/>
      <c r="BT483" s="1098"/>
      <c r="BU483" s="1098"/>
      <c r="BV483" s="1098"/>
      <c r="BW483" s="1098"/>
      <c r="BX483" s="1098"/>
      <c r="BY483" s="1098"/>
      <c r="BZ483" s="1098"/>
      <c r="CA483" s="1098"/>
      <c r="CB483" s="1098"/>
      <c r="CC483" s="1098"/>
      <c r="CD483" s="1098"/>
      <c r="CE483" s="1098"/>
      <c r="CF483" s="1098"/>
      <c r="CG483" s="1098"/>
      <c r="CH483" s="1098"/>
      <c r="CI483" s="1098"/>
      <c r="CJ483" s="1098"/>
      <c r="CK483" s="1098"/>
      <c r="CL483" s="1098"/>
      <c r="CM483" s="1098"/>
      <c r="CN483" s="1098"/>
      <c r="CO483" s="1098"/>
      <c r="CP483" s="1098"/>
      <c r="CQ483" s="1098"/>
      <c r="CR483" s="1098"/>
      <c r="CS483" s="1098"/>
      <c r="CT483" s="1098"/>
      <c r="CU483" s="1098"/>
      <c r="CV483" s="1098"/>
      <c r="CW483" s="1098"/>
      <c r="CX483" s="1098"/>
      <c r="CY483" s="1098"/>
      <c r="CZ483" s="1098"/>
      <c r="DA483" s="1098"/>
      <c r="DB483" s="1098"/>
      <c r="DC483" s="1098"/>
      <c r="DD483" s="1098"/>
      <c r="DE483" s="1098"/>
      <c r="DF483" s="1098"/>
      <c r="DG483" s="1098"/>
      <c r="DH483" s="1098"/>
      <c r="DI483" s="1098"/>
      <c r="DJ483" s="1098"/>
      <c r="DK483" s="1098"/>
      <c r="DL483" s="1098"/>
      <c r="DM483" s="1098"/>
      <c r="DN483" s="1098"/>
      <c r="DO483" s="1098"/>
      <c r="DP483" s="1098"/>
      <c r="DQ483" s="1098"/>
      <c r="DR483" s="1098"/>
      <c r="DS483" s="1098"/>
      <c r="DT483" s="1098"/>
      <c r="DU483" s="1098"/>
      <c r="DV483" s="1098"/>
      <c r="DW483" s="1098"/>
      <c r="DX483" s="1098"/>
      <c r="DY483" s="1098"/>
      <c r="DZ483" s="1098"/>
      <c r="EA483" s="1098"/>
      <c r="EB483" s="1098"/>
      <c r="EC483" s="1098"/>
      <c r="ED483" s="1098"/>
      <c r="EE483" s="1098"/>
      <c r="EF483" s="1098"/>
      <c r="EG483" s="1098"/>
      <c r="EH483" s="1098"/>
      <c r="EI483" s="1098"/>
      <c r="EJ483" s="1098"/>
      <c r="EK483" s="1098"/>
      <c r="EL483" s="1098"/>
      <c r="EM483" s="1098"/>
      <c r="EN483" s="1098"/>
      <c r="EO483" s="1098"/>
      <c r="EP483" s="1098"/>
      <c r="EQ483" s="1098"/>
      <c r="ER483" s="1098"/>
      <c r="ES483" s="1098"/>
      <c r="ET483" s="1098"/>
      <c r="EU483" s="1098"/>
      <c r="EV483" s="1098"/>
      <c r="EW483" s="1098"/>
      <c r="EX483" s="1098"/>
      <c r="EY483" s="1098"/>
      <c r="EZ483" s="1098"/>
      <c r="FA483" s="1098"/>
      <c r="FB483" s="1098"/>
      <c r="FC483" s="1098"/>
      <c r="FD483" s="1098"/>
      <c r="FE483" s="1098"/>
      <c r="FF483" s="1098"/>
      <c r="FG483" s="1098"/>
      <c r="FH483" s="1098"/>
      <c r="FI483" s="1098"/>
      <c r="FJ483" s="1098"/>
      <c r="FK483" s="1098"/>
      <c r="FL483" s="1098"/>
      <c r="FM483" s="1098"/>
      <c r="FN483" s="1098"/>
      <c r="FO483" s="1098"/>
      <c r="FP483" s="1098"/>
      <c r="FQ483" s="1098"/>
      <c r="FR483" s="1098"/>
      <c r="FS483" s="1098"/>
      <c r="FT483" s="1098"/>
      <c r="FU483" s="1098"/>
      <c r="FV483" s="1098"/>
      <c r="FW483" s="1098"/>
      <c r="FX483" s="1098"/>
      <c r="FY483" s="1098"/>
      <c r="FZ483" s="1098"/>
      <c r="GA483" s="1098"/>
      <c r="GB483" s="1098"/>
      <c r="GC483" s="1098"/>
      <c r="GD483" s="1098"/>
      <c r="GE483" s="1098"/>
      <c r="GF483" s="1098"/>
      <c r="GG483" s="1098"/>
      <c r="GH483" s="1098"/>
      <c r="GI483" s="1098"/>
      <c r="GJ483" s="1098"/>
      <c r="GK483" s="1098"/>
      <c r="GL483" s="1098"/>
      <c r="GM483" s="1098"/>
      <c r="GN483" s="1098"/>
      <c r="GO483" s="1098"/>
      <c r="GP483" s="1098"/>
      <c r="GQ483" s="1098"/>
      <c r="GR483" s="1098"/>
      <c r="GS483" s="1098"/>
      <c r="GT483" s="1098"/>
      <c r="GU483" s="1098"/>
      <c r="GV483" s="1098"/>
      <c r="GW483" s="1098"/>
      <c r="GX483" s="1098"/>
      <c r="GY483" s="1098"/>
      <c r="GZ483" s="1098"/>
      <c r="HA483" s="1098"/>
      <c r="HB483" s="1098"/>
      <c r="HC483" s="1098"/>
      <c r="HD483" s="1098"/>
      <c r="HE483" s="1098"/>
      <c r="HF483" s="1098"/>
      <c r="HG483" s="1098"/>
      <c r="HH483" s="1098"/>
      <c r="HI483" s="1098"/>
      <c r="HJ483" s="1098"/>
      <c r="HK483" s="1098"/>
      <c r="HL483" s="1098"/>
      <c r="HM483" s="1098"/>
      <c r="HN483" s="1098"/>
      <c r="HO483" s="1098"/>
      <c r="HP483" s="1098"/>
      <c r="HQ483" s="1098"/>
      <c r="HR483" s="1098"/>
      <c r="HS483" s="1098"/>
      <c r="HT483" s="1098"/>
      <c r="HU483" s="1098"/>
      <c r="HV483" s="1098"/>
      <c r="HW483" s="1098"/>
      <c r="HX483" s="1098"/>
      <c r="HY483" s="1098"/>
      <c r="HZ483" s="1098"/>
      <c r="IA483" s="1098"/>
      <c r="IB483" s="1098"/>
      <c r="IC483" s="1098"/>
      <c r="ID483" s="1098"/>
      <c r="IE483" s="1098"/>
      <c r="IF483" s="1098"/>
      <c r="IG483" s="1098"/>
      <c r="IH483" s="1098"/>
      <c r="II483" s="1098"/>
      <c r="IJ483" s="1098"/>
      <c r="IK483" s="1098"/>
      <c r="IL483" s="1098"/>
      <c r="IM483" s="1098"/>
      <c r="IN483" s="1098"/>
      <c r="IO483" s="1098"/>
      <c r="IP483" s="1098"/>
      <c r="IQ483" s="1098"/>
      <c r="IR483" s="1098"/>
      <c r="IS483" s="1098"/>
      <c r="IT483" s="1098"/>
      <c r="IU483" s="1098"/>
      <c r="IV483" s="1098"/>
      <c r="IW483" s="1098"/>
      <c r="IX483" s="1098"/>
      <c r="IY483" s="1098"/>
      <c r="IZ483" s="1098"/>
      <c r="JA483" s="1098"/>
      <c r="JB483" s="1098"/>
      <c r="JC483" s="1098"/>
      <c r="JD483" s="1098"/>
      <c r="JE483" s="1098"/>
      <c r="JF483" s="1098"/>
      <c r="JG483" s="1098"/>
      <c r="JH483" s="1098"/>
      <c r="JI483" s="1098"/>
      <c r="JJ483" s="1098"/>
      <c r="JK483" s="1098"/>
      <c r="JL483" s="1098"/>
      <c r="JM483" s="1098"/>
      <c r="JN483" s="1098"/>
      <c r="JO483" s="1098"/>
      <c r="JP483" s="1098"/>
      <c r="JQ483" s="1098"/>
      <c r="JR483" s="1098"/>
      <c r="JS483" s="1098"/>
      <c r="JT483" s="1098"/>
      <c r="JU483" s="1098"/>
      <c r="JV483" s="1098"/>
      <c r="JW483" s="1098"/>
      <c r="JX483" s="1098"/>
      <c r="JY483" s="1098"/>
      <c r="JZ483" s="1098"/>
      <c r="KA483" s="1098"/>
      <c r="KB483" s="1099"/>
    </row>
    <row r="484" spans="2:288" ht="15" customHeight="1" x14ac:dyDescent="0.35">
      <c r="B484" s="146" t="str">
        <f t="shared" si="37"/>
        <v>Desk 60</v>
      </c>
      <c r="C484" s="148" t="str">
        <v/>
      </c>
      <c r="D484" s="148" t="str">
        <v/>
      </c>
      <c r="E484" s="148" t="str">
        <v/>
      </c>
      <c r="F484" s="148" t="str">
        <v/>
      </c>
      <c r="G484" s="268" t="str">
        <v/>
      </c>
      <c r="H484" s="1098"/>
      <c r="I484" s="1098"/>
      <c r="J484" s="1098"/>
      <c r="K484" s="1098"/>
      <c r="L484" s="1098"/>
      <c r="M484" s="1098"/>
      <c r="N484" s="1098"/>
      <c r="O484" s="1098"/>
      <c r="P484" s="1098"/>
      <c r="Q484" s="1098"/>
      <c r="R484" s="1098"/>
      <c r="S484" s="1098"/>
      <c r="T484" s="1098"/>
      <c r="U484" s="1098"/>
      <c r="V484" s="1098"/>
      <c r="W484" s="1098"/>
      <c r="X484" s="1098"/>
      <c r="Y484" s="1098"/>
      <c r="Z484" s="1098"/>
      <c r="AA484" s="1098"/>
      <c r="AB484" s="1098"/>
      <c r="AC484" s="1098"/>
      <c r="AD484" s="1098"/>
      <c r="AE484" s="1098"/>
      <c r="AF484" s="1098"/>
      <c r="AG484" s="1098"/>
      <c r="AH484" s="1098"/>
      <c r="AI484" s="1098"/>
      <c r="AJ484" s="1098"/>
      <c r="AK484" s="1098"/>
      <c r="AL484" s="1098"/>
      <c r="AM484" s="1098"/>
      <c r="AN484" s="1098"/>
      <c r="AO484" s="1098"/>
      <c r="AP484" s="1098"/>
      <c r="AQ484" s="1098"/>
      <c r="AR484" s="1098"/>
      <c r="AS484" s="1098"/>
      <c r="AT484" s="1098"/>
      <c r="AU484" s="1098"/>
      <c r="AV484" s="1098"/>
      <c r="AW484" s="1098"/>
      <c r="AX484" s="1098"/>
      <c r="AY484" s="1098"/>
      <c r="AZ484" s="1098"/>
      <c r="BA484" s="1098"/>
      <c r="BB484" s="1098"/>
      <c r="BC484" s="1098"/>
      <c r="BD484" s="1098"/>
      <c r="BE484" s="1098"/>
      <c r="BF484" s="1098"/>
      <c r="BG484" s="1098"/>
      <c r="BH484" s="1098"/>
      <c r="BI484" s="1098"/>
      <c r="BJ484" s="1098"/>
      <c r="BK484" s="1098"/>
      <c r="BL484" s="1098"/>
      <c r="BM484" s="1098"/>
      <c r="BN484" s="1098"/>
      <c r="BO484" s="1098"/>
      <c r="BP484" s="1098"/>
      <c r="BQ484" s="1098"/>
      <c r="BR484" s="1098"/>
      <c r="BS484" s="1098"/>
      <c r="BT484" s="1098"/>
      <c r="BU484" s="1098"/>
      <c r="BV484" s="1098"/>
      <c r="BW484" s="1098"/>
      <c r="BX484" s="1098"/>
      <c r="BY484" s="1098"/>
      <c r="BZ484" s="1098"/>
      <c r="CA484" s="1098"/>
      <c r="CB484" s="1098"/>
      <c r="CC484" s="1098"/>
      <c r="CD484" s="1098"/>
      <c r="CE484" s="1098"/>
      <c r="CF484" s="1098"/>
      <c r="CG484" s="1098"/>
      <c r="CH484" s="1098"/>
      <c r="CI484" s="1098"/>
      <c r="CJ484" s="1098"/>
      <c r="CK484" s="1098"/>
      <c r="CL484" s="1098"/>
      <c r="CM484" s="1098"/>
      <c r="CN484" s="1098"/>
      <c r="CO484" s="1098"/>
      <c r="CP484" s="1098"/>
      <c r="CQ484" s="1098"/>
      <c r="CR484" s="1098"/>
      <c r="CS484" s="1098"/>
      <c r="CT484" s="1098"/>
      <c r="CU484" s="1098"/>
      <c r="CV484" s="1098"/>
      <c r="CW484" s="1098"/>
      <c r="CX484" s="1098"/>
      <c r="CY484" s="1098"/>
      <c r="CZ484" s="1098"/>
      <c r="DA484" s="1098"/>
      <c r="DB484" s="1098"/>
      <c r="DC484" s="1098"/>
      <c r="DD484" s="1098"/>
      <c r="DE484" s="1098"/>
      <c r="DF484" s="1098"/>
      <c r="DG484" s="1098"/>
      <c r="DH484" s="1098"/>
      <c r="DI484" s="1098"/>
      <c r="DJ484" s="1098"/>
      <c r="DK484" s="1098"/>
      <c r="DL484" s="1098"/>
      <c r="DM484" s="1098"/>
      <c r="DN484" s="1098"/>
      <c r="DO484" s="1098"/>
      <c r="DP484" s="1098"/>
      <c r="DQ484" s="1098"/>
      <c r="DR484" s="1098"/>
      <c r="DS484" s="1098"/>
      <c r="DT484" s="1098"/>
      <c r="DU484" s="1098"/>
      <c r="DV484" s="1098"/>
      <c r="DW484" s="1098"/>
      <c r="DX484" s="1098"/>
      <c r="DY484" s="1098"/>
      <c r="DZ484" s="1098"/>
      <c r="EA484" s="1098"/>
      <c r="EB484" s="1098"/>
      <c r="EC484" s="1098"/>
      <c r="ED484" s="1098"/>
      <c r="EE484" s="1098"/>
      <c r="EF484" s="1098"/>
      <c r="EG484" s="1098"/>
      <c r="EH484" s="1098"/>
      <c r="EI484" s="1098"/>
      <c r="EJ484" s="1098"/>
      <c r="EK484" s="1098"/>
      <c r="EL484" s="1098"/>
      <c r="EM484" s="1098"/>
      <c r="EN484" s="1098"/>
      <c r="EO484" s="1098"/>
      <c r="EP484" s="1098"/>
      <c r="EQ484" s="1098"/>
      <c r="ER484" s="1098"/>
      <c r="ES484" s="1098"/>
      <c r="ET484" s="1098"/>
      <c r="EU484" s="1098"/>
      <c r="EV484" s="1098"/>
      <c r="EW484" s="1098"/>
      <c r="EX484" s="1098"/>
      <c r="EY484" s="1098"/>
      <c r="EZ484" s="1098"/>
      <c r="FA484" s="1098"/>
      <c r="FB484" s="1098"/>
      <c r="FC484" s="1098"/>
      <c r="FD484" s="1098"/>
      <c r="FE484" s="1098"/>
      <c r="FF484" s="1098"/>
      <c r="FG484" s="1098"/>
      <c r="FH484" s="1098"/>
      <c r="FI484" s="1098"/>
      <c r="FJ484" s="1098"/>
      <c r="FK484" s="1098"/>
      <c r="FL484" s="1098"/>
      <c r="FM484" s="1098"/>
      <c r="FN484" s="1098"/>
      <c r="FO484" s="1098"/>
      <c r="FP484" s="1098"/>
      <c r="FQ484" s="1098"/>
      <c r="FR484" s="1098"/>
      <c r="FS484" s="1098"/>
      <c r="FT484" s="1098"/>
      <c r="FU484" s="1098"/>
      <c r="FV484" s="1098"/>
      <c r="FW484" s="1098"/>
      <c r="FX484" s="1098"/>
      <c r="FY484" s="1098"/>
      <c r="FZ484" s="1098"/>
      <c r="GA484" s="1098"/>
      <c r="GB484" s="1098"/>
      <c r="GC484" s="1098"/>
      <c r="GD484" s="1098"/>
      <c r="GE484" s="1098"/>
      <c r="GF484" s="1098"/>
      <c r="GG484" s="1098"/>
      <c r="GH484" s="1098"/>
      <c r="GI484" s="1098"/>
      <c r="GJ484" s="1098"/>
      <c r="GK484" s="1098"/>
      <c r="GL484" s="1098"/>
      <c r="GM484" s="1098"/>
      <c r="GN484" s="1098"/>
      <c r="GO484" s="1098"/>
      <c r="GP484" s="1098"/>
      <c r="GQ484" s="1098"/>
      <c r="GR484" s="1098"/>
      <c r="GS484" s="1098"/>
      <c r="GT484" s="1098"/>
      <c r="GU484" s="1098"/>
      <c r="GV484" s="1098"/>
      <c r="GW484" s="1098"/>
      <c r="GX484" s="1098"/>
      <c r="GY484" s="1098"/>
      <c r="GZ484" s="1098"/>
      <c r="HA484" s="1098"/>
      <c r="HB484" s="1098"/>
      <c r="HC484" s="1098"/>
      <c r="HD484" s="1098"/>
      <c r="HE484" s="1098"/>
      <c r="HF484" s="1098"/>
      <c r="HG484" s="1098"/>
      <c r="HH484" s="1098"/>
      <c r="HI484" s="1098"/>
      <c r="HJ484" s="1098"/>
      <c r="HK484" s="1098"/>
      <c r="HL484" s="1098"/>
      <c r="HM484" s="1098"/>
      <c r="HN484" s="1098"/>
      <c r="HO484" s="1098"/>
      <c r="HP484" s="1098"/>
      <c r="HQ484" s="1098"/>
      <c r="HR484" s="1098"/>
      <c r="HS484" s="1098"/>
      <c r="HT484" s="1098"/>
      <c r="HU484" s="1098"/>
      <c r="HV484" s="1098"/>
      <c r="HW484" s="1098"/>
      <c r="HX484" s="1098"/>
      <c r="HY484" s="1098"/>
      <c r="HZ484" s="1098"/>
      <c r="IA484" s="1098"/>
      <c r="IB484" s="1098"/>
      <c r="IC484" s="1098"/>
      <c r="ID484" s="1098"/>
      <c r="IE484" s="1098"/>
      <c r="IF484" s="1098"/>
      <c r="IG484" s="1098"/>
      <c r="IH484" s="1098"/>
      <c r="II484" s="1098"/>
      <c r="IJ484" s="1098"/>
      <c r="IK484" s="1098"/>
      <c r="IL484" s="1098"/>
      <c r="IM484" s="1098"/>
      <c r="IN484" s="1098"/>
      <c r="IO484" s="1098"/>
      <c r="IP484" s="1098"/>
      <c r="IQ484" s="1098"/>
      <c r="IR484" s="1098"/>
      <c r="IS484" s="1098"/>
      <c r="IT484" s="1098"/>
      <c r="IU484" s="1098"/>
      <c r="IV484" s="1098"/>
      <c r="IW484" s="1098"/>
      <c r="IX484" s="1098"/>
      <c r="IY484" s="1098"/>
      <c r="IZ484" s="1098"/>
      <c r="JA484" s="1098"/>
      <c r="JB484" s="1098"/>
      <c r="JC484" s="1098"/>
      <c r="JD484" s="1098"/>
      <c r="JE484" s="1098"/>
      <c r="JF484" s="1098"/>
      <c r="JG484" s="1098"/>
      <c r="JH484" s="1098"/>
      <c r="JI484" s="1098"/>
      <c r="JJ484" s="1098"/>
      <c r="JK484" s="1098"/>
      <c r="JL484" s="1098"/>
      <c r="JM484" s="1098"/>
      <c r="JN484" s="1098"/>
      <c r="JO484" s="1098"/>
      <c r="JP484" s="1098"/>
      <c r="JQ484" s="1098"/>
      <c r="JR484" s="1098"/>
      <c r="JS484" s="1098"/>
      <c r="JT484" s="1098"/>
      <c r="JU484" s="1098"/>
      <c r="JV484" s="1098"/>
      <c r="JW484" s="1098"/>
      <c r="JX484" s="1098"/>
      <c r="JY484" s="1098"/>
      <c r="JZ484" s="1098"/>
      <c r="KA484" s="1098"/>
      <c r="KB484" s="1099"/>
    </row>
    <row r="485" spans="2:288" ht="15" customHeight="1" x14ac:dyDescent="0.35">
      <c r="B485" s="146" t="str">
        <f t="shared" si="37"/>
        <v>Desk 61</v>
      </c>
      <c r="C485" s="148" t="str">
        <v/>
      </c>
      <c r="D485" s="148" t="str">
        <v/>
      </c>
      <c r="E485" s="148" t="str">
        <v/>
      </c>
      <c r="F485" s="148" t="str">
        <v/>
      </c>
      <c r="G485" s="268" t="str">
        <v/>
      </c>
      <c r="H485" s="1098"/>
      <c r="I485" s="1098"/>
      <c r="J485" s="1098"/>
      <c r="K485" s="1098"/>
      <c r="L485" s="1098"/>
      <c r="M485" s="1098"/>
      <c r="N485" s="1098"/>
      <c r="O485" s="1098"/>
      <c r="P485" s="1098"/>
      <c r="Q485" s="1098"/>
      <c r="R485" s="1098"/>
      <c r="S485" s="1098"/>
      <c r="T485" s="1098"/>
      <c r="U485" s="1098"/>
      <c r="V485" s="1098"/>
      <c r="W485" s="1098"/>
      <c r="X485" s="1098"/>
      <c r="Y485" s="1098"/>
      <c r="Z485" s="1098"/>
      <c r="AA485" s="1098"/>
      <c r="AB485" s="1098"/>
      <c r="AC485" s="1098"/>
      <c r="AD485" s="1098"/>
      <c r="AE485" s="1098"/>
      <c r="AF485" s="1098"/>
      <c r="AG485" s="1098"/>
      <c r="AH485" s="1098"/>
      <c r="AI485" s="1098"/>
      <c r="AJ485" s="1098"/>
      <c r="AK485" s="1098"/>
      <c r="AL485" s="1098"/>
      <c r="AM485" s="1098"/>
      <c r="AN485" s="1098"/>
      <c r="AO485" s="1098"/>
      <c r="AP485" s="1098"/>
      <c r="AQ485" s="1098"/>
      <c r="AR485" s="1098"/>
      <c r="AS485" s="1098"/>
      <c r="AT485" s="1098"/>
      <c r="AU485" s="1098"/>
      <c r="AV485" s="1098"/>
      <c r="AW485" s="1098"/>
      <c r="AX485" s="1098"/>
      <c r="AY485" s="1098"/>
      <c r="AZ485" s="1098"/>
      <c r="BA485" s="1098"/>
      <c r="BB485" s="1098"/>
      <c r="BC485" s="1098"/>
      <c r="BD485" s="1098"/>
      <c r="BE485" s="1098"/>
      <c r="BF485" s="1098"/>
      <c r="BG485" s="1098"/>
      <c r="BH485" s="1098"/>
      <c r="BI485" s="1098"/>
      <c r="BJ485" s="1098"/>
      <c r="BK485" s="1098"/>
      <c r="BL485" s="1098"/>
      <c r="BM485" s="1098"/>
      <c r="BN485" s="1098"/>
      <c r="BO485" s="1098"/>
      <c r="BP485" s="1098"/>
      <c r="BQ485" s="1098"/>
      <c r="BR485" s="1098"/>
      <c r="BS485" s="1098"/>
      <c r="BT485" s="1098"/>
      <c r="BU485" s="1098"/>
      <c r="BV485" s="1098"/>
      <c r="BW485" s="1098"/>
      <c r="BX485" s="1098"/>
      <c r="BY485" s="1098"/>
      <c r="BZ485" s="1098"/>
      <c r="CA485" s="1098"/>
      <c r="CB485" s="1098"/>
      <c r="CC485" s="1098"/>
      <c r="CD485" s="1098"/>
      <c r="CE485" s="1098"/>
      <c r="CF485" s="1098"/>
      <c r="CG485" s="1098"/>
      <c r="CH485" s="1098"/>
      <c r="CI485" s="1098"/>
      <c r="CJ485" s="1098"/>
      <c r="CK485" s="1098"/>
      <c r="CL485" s="1098"/>
      <c r="CM485" s="1098"/>
      <c r="CN485" s="1098"/>
      <c r="CO485" s="1098"/>
      <c r="CP485" s="1098"/>
      <c r="CQ485" s="1098"/>
      <c r="CR485" s="1098"/>
      <c r="CS485" s="1098"/>
      <c r="CT485" s="1098"/>
      <c r="CU485" s="1098"/>
      <c r="CV485" s="1098"/>
      <c r="CW485" s="1098"/>
      <c r="CX485" s="1098"/>
      <c r="CY485" s="1098"/>
      <c r="CZ485" s="1098"/>
      <c r="DA485" s="1098"/>
      <c r="DB485" s="1098"/>
      <c r="DC485" s="1098"/>
      <c r="DD485" s="1098"/>
      <c r="DE485" s="1098"/>
      <c r="DF485" s="1098"/>
      <c r="DG485" s="1098"/>
      <c r="DH485" s="1098"/>
      <c r="DI485" s="1098"/>
      <c r="DJ485" s="1098"/>
      <c r="DK485" s="1098"/>
      <c r="DL485" s="1098"/>
      <c r="DM485" s="1098"/>
      <c r="DN485" s="1098"/>
      <c r="DO485" s="1098"/>
      <c r="DP485" s="1098"/>
      <c r="DQ485" s="1098"/>
      <c r="DR485" s="1098"/>
      <c r="DS485" s="1098"/>
      <c r="DT485" s="1098"/>
      <c r="DU485" s="1098"/>
      <c r="DV485" s="1098"/>
      <c r="DW485" s="1098"/>
      <c r="DX485" s="1098"/>
      <c r="DY485" s="1098"/>
      <c r="DZ485" s="1098"/>
      <c r="EA485" s="1098"/>
      <c r="EB485" s="1098"/>
      <c r="EC485" s="1098"/>
      <c r="ED485" s="1098"/>
      <c r="EE485" s="1098"/>
      <c r="EF485" s="1098"/>
      <c r="EG485" s="1098"/>
      <c r="EH485" s="1098"/>
      <c r="EI485" s="1098"/>
      <c r="EJ485" s="1098"/>
      <c r="EK485" s="1098"/>
      <c r="EL485" s="1098"/>
      <c r="EM485" s="1098"/>
      <c r="EN485" s="1098"/>
      <c r="EO485" s="1098"/>
      <c r="EP485" s="1098"/>
      <c r="EQ485" s="1098"/>
      <c r="ER485" s="1098"/>
      <c r="ES485" s="1098"/>
      <c r="ET485" s="1098"/>
      <c r="EU485" s="1098"/>
      <c r="EV485" s="1098"/>
      <c r="EW485" s="1098"/>
      <c r="EX485" s="1098"/>
      <c r="EY485" s="1098"/>
      <c r="EZ485" s="1098"/>
      <c r="FA485" s="1098"/>
      <c r="FB485" s="1098"/>
      <c r="FC485" s="1098"/>
      <c r="FD485" s="1098"/>
      <c r="FE485" s="1098"/>
      <c r="FF485" s="1098"/>
      <c r="FG485" s="1098"/>
      <c r="FH485" s="1098"/>
      <c r="FI485" s="1098"/>
      <c r="FJ485" s="1098"/>
      <c r="FK485" s="1098"/>
      <c r="FL485" s="1098"/>
      <c r="FM485" s="1098"/>
      <c r="FN485" s="1098"/>
      <c r="FO485" s="1098"/>
      <c r="FP485" s="1098"/>
      <c r="FQ485" s="1098"/>
      <c r="FR485" s="1098"/>
      <c r="FS485" s="1098"/>
      <c r="FT485" s="1098"/>
      <c r="FU485" s="1098"/>
      <c r="FV485" s="1098"/>
      <c r="FW485" s="1098"/>
      <c r="FX485" s="1098"/>
      <c r="FY485" s="1098"/>
      <c r="FZ485" s="1098"/>
      <c r="GA485" s="1098"/>
      <c r="GB485" s="1098"/>
      <c r="GC485" s="1098"/>
      <c r="GD485" s="1098"/>
      <c r="GE485" s="1098"/>
      <c r="GF485" s="1098"/>
      <c r="GG485" s="1098"/>
      <c r="GH485" s="1098"/>
      <c r="GI485" s="1098"/>
      <c r="GJ485" s="1098"/>
      <c r="GK485" s="1098"/>
      <c r="GL485" s="1098"/>
      <c r="GM485" s="1098"/>
      <c r="GN485" s="1098"/>
      <c r="GO485" s="1098"/>
      <c r="GP485" s="1098"/>
      <c r="GQ485" s="1098"/>
      <c r="GR485" s="1098"/>
      <c r="GS485" s="1098"/>
      <c r="GT485" s="1098"/>
      <c r="GU485" s="1098"/>
      <c r="GV485" s="1098"/>
      <c r="GW485" s="1098"/>
      <c r="GX485" s="1098"/>
      <c r="GY485" s="1098"/>
      <c r="GZ485" s="1098"/>
      <c r="HA485" s="1098"/>
      <c r="HB485" s="1098"/>
      <c r="HC485" s="1098"/>
      <c r="HD485" s="1098"/>
      <c r="HE485" s="1098"/>
      <c r="HF485" s="1098"/>
      <c r="HG485" s="1098"/>
      <c r="HH485" s="1098"/>
      <c r="HI485" s="1098"/>
      <c r="HJ485" s="1098"/>
      <c r="HK485" s="1098"/>
      <c r="HL485" s="1098"/>
      <c r="HM485" s="1098"/>
      <c r="HN485" s="1098"/>
      <c r="HO485" s="1098"/>
      <c r="HP485" s="1098"/>
      <c r="HQ485" s="1098"/>
      <c r="HR485" s="1098"/>
      <c r="HS485" s="1098"/>
      <c r="HT485" s="1098"/>
      <c r="HU485" s="1098"/>
      <c r="HV485" s="1098"/>
      <c r="HW485" s="1098"/>
      <c r="HX485" s="1098"/>
      <c r="HY485" s="1098"/>
      <c r="HZ485" s="1098"/>
      <c r="IA485" s="1098"/>
      <c r="IB485" s="1098"/>
      <c r="IC485" s="1098"/>
      <c r="ID485" s="1098"/>
      <c r="IE485" s="1098"/>
      <c r="IF485" s="1098"/>
      <c r="IG485" s="1098"/>
      <c r="IH485" s="1098"/>
      <c r="II485" s="1098"/>
      <c r="IJ485" s="1098"/>
      <c r="IK485" s="1098"/>
      <c r="IL485" s="1098"/>
      <c r="IM485" s="1098"/>
      <c r="IN485" s="1098"/>
      <c r="IO485" s="1098"/>
      <c r="IP485" s="1098"/>
      <c r="IQ485" s="1098"/>
      <c r="IR485" s="1098"/>
      <c r="IS485" s="1098"/>
      <c r="IT485" s="1098"/>
      <c r="IU485" s="1098"/>
      <c r="IV485" s="1098"/>
      <c r="IW485" s="1098"/>
      <c r="IX485" s="1098"/>
      <c r="IY485" s="1098"/>
      <c r="IZ485" s="1098"/>
      <c r="JA485" s="1098"/>
      <c r="JB485" s="1098"/>
      <c r="JC485" s="1098"/>
      <c r="JD485" s="1098"/>
      <c r="JE485" s="1098"/>
      <c r="JF485" s="1098"/>
      <c r="JG485" s="1098"/>
      <c r="JH485" s="1098"/>
      <c r="JI485" s="1098"/>
      <c r="JJ485" s="1098"/>
      <c r="JK485" s="1098"/>
      <c r="JL485" s="1098"/>
      <c r="JM485" s="1098"/>
      <c r="JN485" s="1098"/>
      <c r="JO485" s="1098"/>
      <c r="JP485" s="1098"/>
      <c r="JQ485" s="1098"/>
      <c r="JR485" s="1098"/>
      <c r="JS485" s="1098"/>
      <c r="JT485" s="1098"/>
      <c r="JU485" s="1098"/>
      <c r="JV485" s="1098"/>
      <c r="JW485" s="1098"/>
      <c r="JX485" s="1098"/>
      <c r="JY485" s="1098"/>
      <c r="JZ485" s="1098"/>
      <c r="KA485" s="1098"/>
      <c r="KB485" s="1099"/>
    </row>
    <row r="486" spans="2:288" ht="15" customHeight="1" x14ac:dyDescent="0.35">
      <c r="B486" s="146" t="str">
        <f t="shared" si="37"/>
        <v>Desk 62</v>
      </c>
      <c r="C486" s="148" t="str">
        <v/>
      </c>
      <c r="D486" s="148" t="str">
        <v/>
      </c>
      <c r="E486" s="148" t="str">
        <v/>
      </c>
      <c r="F486" s="148" t="str">
        <v/>
      </c>
      <c r="G486" s="268" t="str">
        <v/>
      </c>
      <c r="H486" s="1098"/>
      <c r="I486" s="1098"/>
      <c r="J486" s="1098"/>
      <c r="K486" s="1098"/>
      <c r="L486" s="1098"/>
      <c r="M486" s="1098"/>
      <c r="N486" s="1098"/>
      <c r="O486" s="1098"/>
      <c r="P486" s="1098"/>
      <c r="Q486" s="1098"/>
      <c r="R486" s="1098"/>
      <c r="S486" s="1098"/>
      <c r="T486" s="1098"/>
      <c r="U486" s="1098"/>
      <c r="V486" s="1098"/>
      <c r="W486" s="1098"/>
      <c r="X486" s="1098"/>
      <c r="Y486" s="1098"/>
      <c r="Z486" s="1098"/>
      <c r="AA486" s="1098"/>
      <c r="AB486" s="1098"/>
      <c r="AC486" s="1098"/>
      <c r="AD486" s="1098"/>
      <c r="AE486" s="1098"/>
      <c r="AF486" s="1098"/>
      <c r="AG486" s="1098"/>
      <c r="AH486" s="1098"/>
      <c r="AI486" s="1098"/>
      <c r="AJ486" s="1098"/>
      <c r="AK486" s="1098"/>
      <c r="AL486" s="1098"/>
      <c r="AM486" s="1098"/>
      <c r="AN486" s="1098"/>
      <c r="AO486" s="1098"/>
      <c r="AP486" s="1098"/>
      <c r="AQ486" s="1098"/>
      <c r="AR486" s="1098"/>
      <c r="AS486" s="1098"/>
      <c r="AT486" s="1098"/>
      <c r="AU486" s="1098"/>
      <c r="AV486" s="1098"/>
      <c r="AW486" s="1098"/>
      <c r="AX486" s="1098"/>
      <c r="AY486" s="1098"/>
      <c r="AZ486" s="1098"/>
      <c r="BA486" s="1098"/>
      <c r="BB486" s="1098"/>
      <c r="BC486" s="1098"/>
      <c r="BD486" s="1098"/>
      <c r="BE486" s="1098"/>
      <c r="BF486" s="1098"/>
      <c r="BG486" s="1098"/>
      <c r="BH486" s="1098"/>
      <c r="BI486" s="1098"/>
      <c r="BJ486" s="1098"/>
      <c r="BK486" s="1098"/>
      <c r="BL486" s="1098"/>
      <c r="BM486" s="1098"/>
      <c r="BN486" s="1098"/>
      <c r="BO486" s="1098"/>
      <c r="BP486" s="1098"/>
      <c r="BQ486" s="1098"/>
      <c r="BR486" s="1098"/>
      <c r="BS486" s="1098"/>
      <c r="BT486" s="1098"/>
      <c r="BU486" s="1098"/>
      <c r="BV486" s="1098"/>
      <c r="BW486" s="1098"/>
      <c r="BX486" s="1098"/>
      <c r="BY486" s="1098"/>
      <c r="BZ486" s="1098"/>
      <c r="CA486" s="1098"/>
      <c r="CB486" s="1098"/>
      <c r="CC486" s="1098"/>
      <c r="CD486" s="1098"/>
      <c r="CE486" s="1098"/>
      <c r="CF486" s="1098"/>
      <c r="CG486" s="1098"/>
      <c r="CH486" s="1098"/>
      <c r="CI486" s="1098"/>
      <c r="CJ486" s="1098"/>
      <c r="CK486" s="1098"/>
      <c r="CL486" s="1098"/>
      <c r="CM486" s="1098"/>
      <c r="CN486" s="1098"/>
      <c r="CO486" s="1098"/>
      <c r="CP486" s="1098"/>
      <c r="CQ486" s="1098"/>
      <c r="CR486" s="1098"/>
      <c r="CS486" s="1098"/>
      <c r="CT486" s="1098"/>
      <c r="CU486" s="1098"/>
      <c r="CV486" s="1098"/>
      <c r="CW486" s="1098"/>
      <c r="CX486" s="1098"/>
      <c r="CY486" s="1098"/>
      <c r="CZ486" s="1098"/>
      <c r="DA486" s="1098"/>
      <c r="DB486" s="1098"/>
      <c r="DC486" s="1098"/>
      <c r="DD486" s="1098"/>
      <c r="DE486" s="1098"/>
      <c r="DF486" s="1098"/>
      <c r="DG486" s="1098"/>
      <c r="DH486" s="1098"/>
      <c r="DI486" s="1098"/>
      <c r="DJ486" s="1098"/>
      <c r="DK486" s="1098"/>
      <c r="DL486" s="1098"/>
      <c r="DM486" s="1098"/>
      <c r="DN486" s="1098"/>
      <c r="DO486" s="1098"/>
      <c r="DP486" s="1098"/>
      <c r="DQ486" s="1098"/>
      <c r="DR486" s="1098"/>
      <c r="DS486" s="1098"/>
      <c r="DT486" s="1098"/>
      <c r="DU486" s="1098"/>
      <c r="DV486" s="1098"/>
      <c r="DW486" s="1098"/>
      <c r="DX486" s="1098"/>
      <c r="DY486" s="1098"/>
      <c r="DZ486" s="1098"/>
      <c r="EA486" s="1098"/>
      <c r="EB486" s="1098"/>
      <c r="EC486" s="1098"/>
      <c r="ED486" s="1098"/>
      <c r="EE486" s="1098"/>
      <c r="EF486" s="1098"/>
      <c r="EG486" s="1098"/>
      <c r="EH486" s="1098"/>
      <c r="EI486" s="1098"/>
      <c r="EJ486" s="1098"/>
      <c r="EK486" s="1098"/>
      <c r="EL486" s="1098"/>
      <c r="EM486" s="1098"/>
      <c r="EN486" s="1098"/>
      <c r="EO486" s="1098"/>
      <c r="EP486" s="1098"/>
      <c r="EQ486" s="1098"/>
      <c r="ER486" s="1098"/>
      <c r="ES486" s="1098"/>
      <c r="ET486" s="1098"/>
      <c r="EU486" s="1098"/>
      <c r="EV486" s="1098"/>
      <c r="EW486" s="1098"/>
      <c r="EX486" s="1098"/>
      <c r="EY486" s="1098"/>
      <c r="EZ486" s="1098"/>
      <c r="FA486" s="1098"/>
      <c r="FB486" s="1098"/>
      <c r="FC486" s="1098"/>
      <c r="FD486" s="1098"/>
      <c r="FE486" s="1098"/>
      <c r="FF486" s="1098"/>
      <c r="FG486" s="1098"/>
      <c r="FH486" s="1098"/>
      <c r="FI486" s="1098"/>
      <c r="FJ486" s="1098"/>
      <c r="FK486" s="1098"/>
      <c r="FL486" s="1098"/>
      <c r="FM486" s="1098"/>
      <c r="FN486" s="1098"/>
      <c r="FO486" s="1098"/>
      <c r="FP486" s="1098"/>
      <c r="FQ486" s="1098"/>
      <c r="FR486" s="1098"/>
      <c r="FS486" s="1098"/>
      <c r="FT486" s="1098"/>
      <c r="FU486" s="1098"/>
      <c r="FV486" s="1098"/>
      <c r="FW486" s="1098"/>
      <c r="FX486" s="1098"/>
      <c r="FY486" s="1098"/>
      <c r="FZ486" s="1098"/>
      <c r="GA486" s="1098"/>
      <c r="GB486" s="1098"/>
      <c r="GC486" s="1098"/>
      <c r="GD486" s="1098"/>
      <c r="GE486" s="1098"/>
      <c r="GF486" s="1098"/>
      <c r="GG486" s="1098"/>
      <c r="GH486" s="1098"/>
      <c r="GI486" s="1098"/>
      <c r="GJ486" s="1098"/>
      <c r="GK486" s="1098"/>
      <c r="GL486" s="1098"/>
      <c r="GM486" s="1098"/>
      <c r="GN486" s="1098"/>
      <c r="GO486" s="1098"/>
      <c r="GP486" s="1098"/>
      <c r="GQ486" s="1098"/>
      <c r="GR486" s="1098"/>
      <c r="GS486" s="1098"/>
      <c r="GT486" s="1098"/>
      <c r="GU486" s="1098"/>
      <c r="GV486" s="1098"/>
      <c r="GW486" s="1098"/>
      <c r="GX486" s="1098"/>
      <c r="GY486" s="1098"/>
      <c r="GZ486" s="1098"/>
      <c r="HA486" s="1098"/>
      <c r="HB486" s="1098"/>
      <c r="HC486" s="1098"/>
      <c r="HD486" s="1098"/>
      <c r="HE486" s="1098"/>
      <c r="HF486" s="1098"/>
      <c r="HG486" s="1098"/>
      <c r="HH486" s="1098"/>
      <c r="HI486" s="1098"/>
      <c r="HJ486" s="1098"/>
      <c r="HK486" s="1098"/>
      <c r="HL486" s="1098"/>
      <c r="HM486" s="1098"/>
      <c r="HN486" s="1098"/>
      <c r="HO486" s="1098"/>
      <c r="HP486" s="1098"/>
      <c r="HQ486" s="1098"/>
      <c r="HR486" s="1098"/>
      <c r="HS486" s="1098"/>
      <c r="HT486" s="1098"/>
      <c r="HU486" s="1098"/>
      <c r="HV486" s="1098"/>
      <c r="HW486" s="1098"/>
      <c r="HX486" s="1098"/>
      <c r="HY486" s="1098"/>
      <c r="HZ486" s="1098"/>
      <c r="IA486" s="1098"/>
      <c r="IB486" s="1098"/>
      <c r="IC486" s="1098"/>
      <c r="ID486" s="1098"/>
      <c r="IE486" s="1098"/>
      <c r="IF486" s="1098"/>
      <c r="IG486" s="1098"/>
      <c r="IH486" s="1098"/>
      <c r="II486" s="1098"/>
      <c r="IJ486" s="1098"/>
      <c r="IK486" s="1098"/>
      <c r="IL486" s="1098"/>
      <c r="IM486" s="1098"/>
      <c r="IN486" s="1098"/>
      <c r="IO486" s="1098"/>
      <c r="IP486" s="1098"/>
      <c r="IQ486" s="1098"/>
      <c r="IR486" s="1098"/>
      <c r="IS486" s="1098"/>
      <c r="IT486" s="1098"/>
      <c r="IU486" s="1098"/>
      <c r="IV486" s="1098"/>
      <c r="IW486" s="1098"/>
      <c r="IX486" s="1098"/>
      <c r="IY486" s="1098"/>
      <c r="IZ486" s="1098"/>
      <c r="JA486" s="1098"/>
      <c r="JB486" s="1098"/>
      <c r="JC486" s="1098"/>
      <c r="JD486" s="1098"/>
      <c r="JE486" s="1098"/>
      <c r="JF486" s="1098"/>
      <c r="JG486" s="1098"/>
      <c r="JH486" s="1098"/>
      <c r="JI486" s="1098"/>
      <c r="JJ486" s="1098"/>
      <c r="JK486" s="1098"/>
      <c r="JL486" s="1098"/>
      <c r="JM486" s="1098"/>
      <c r="JN486" s="1098"/>
      <c r="JO486" s="1098"/>
      <c r="JP486" s="1098"/>
      <c r="JQ486" s="1098"/>
      <c r="JR486" s="1098"/>
      <c r="JS486" s="1098"/>
      <c r="JT486" s="1098"/>
      <c r="JU486" s="1098"/>
      <c r="JV486" s="1098"/>
      <c r="JW486" s="1098"/>
      <c r="JX486" s="1098"/>
      <c r="JY486" s="1098"/>
      <c r="JZ486" s="1098"/>
      <c r="KA486" s="1098"/>
      <c r="KB486" s="1099"/>
    </row>
    <row r="487" spans="2:288" ht="15" customHeight="1" x14ac:dyDescent="0.35">
      <c r="B487" s="146" t="str">
        <f t="shared" si="37"/>
        <v>Desk 63</v>
      </c>
      <c r="C487" s="148" t="str">
        <v/>
      </c>
      <c r="D487" s="148" t="str">
        <v/>
      </c>
      <c r="E487" s="148" t="str">
        <v/>
      </c>
      <c r="F487" s="148" t="str">
        <v/>
      </c>
      <c r="G487" s="268" t="str">
        <v/>
      </c>
      <c r="H487" s="1098"/>
      <c r="I487" s="1098"/>
      <c r="J487" s="1098"/>
      <c r="K487" s="1098"/>
      <c r="L487" s="1098"/>
      <c r="M487" s="1098"/>
      <c r="N487" s="1098"/>
      <c r="O487" s="1098"/>
      <c r="P487" s="1098"/>
      <c r="Q487" s="1098"/>
      <c r="R487" s="1098"/>
      <c r="S487" s="1098"/>
      <c r="T487" s="1098"/>
      <c r="U487" s="1098"/>
      <c r="V487" s="1098"/>
      <c r="W487" s="1098"/>
      <c r="X487" s="1098"/>
      <c r="Y487" s="1098"/>
      <c r="Z487" s="1098"/>
      <c r="AA487" s="1098"/>
      <c r="AB487" s="1098"/>
      <c r="AC487" s="1098"/>
      <c r="AD487" s="1098"/>
      <c r="AE487" s="1098"/>
      <c r="AF487" s="1098"/>
      <c r="AG487" s="1098"/>
      <c r="AH487" s="1098"/>
      <c r="AI487" s="1098"/>
      <c r="AJ487" s="1098"/>
      <c r="AK487" s="1098"/>
      <c r="AL487" s="1098"/>
      <c r="AM487" s="1098"/>
      <c r="AN487" s="1098"/>
      <c r="AO487" s="1098"/>
      <c r="AP487" s="1098"/>
      <c r="AQ487" s="1098"/>
      <c r="AR487" s="1098"/>
      <c r="AS487" s="1098"/>
      <c r="AT487" s="1098"/>
      <c r="AU487" s="1098"/>
      <c r="AV487" s="1098"/>
      <c r="AW487" s="1098"/>
      <c r="AX487" s="1098"/>
      <c r="AY487" s="1098"/>
      <c r="AZ487" s="1098"/>
      <c r="BA487" s="1098"/>
      <c r="BB487" s="1098"/>
      <c r="BC487" s="1098"/>
      <c r="BD487" s="1098"/>
      <c r="BE487" s="1098"/>
      <c r="BF487" s="1098"/>
      <c r="BG487" s="1098"/>
      <c r="BH487" s="1098"/>
      <c r="BI487" s="1098"/>
      <c r="BJ487" s="1098"/>
      <c r="BK487" s="1098"/>
      <c r="BL487" s="1098"/>
      <c r="BM487" s="1098"/>
      <c r="BN487" s="1098"/>
      <c r="BO487" s="1098"/>
      <c r="BP487" s="1098"/>
      <c r="BQ487" s="1098"/>
      <c r="BR487" s="1098"/>
      <c r="BS487" s="1098"/>
      <c r="BT487" s="1098"/>
      <c r="BU487" s="1098"/>
      <c r="BV487" s="1098"/>
      <c r="BW487" s="1098"/>
      <c r="BX487" s="1098"/>
      <c r="BY487" s="1098"/>
      <c r="BZ487" s="1098"/>
      <c r="CA487" s="1098"/>
      <c r="CB487" s="1098"/>
      <c r="CC487" s="1098"/>
      <c r="CD487" s="1098"/>
      <c r="CE487" s="1098"/>
      <c r="CF487" s="1098"/>
      <c r="CG487" s="1098"/>
      <c r="CH487" s="1098"/>
      <c r="CI487" s="1098"/>
      <c r="CJ487" s="1098"/>
      <c r="CK487" s="1098"/>
      <c r="CL487" s="1098"/>
      <c r="CM487" s="1098"/>
      <c r="CN487" s="1098"/>
      <c r="CO487" s="1098"/>
      <c r="CP487" s="1098"/>
      <c r="CQ487" s="1098"/>
      <c r="CR487" s="1098"/>
      <c r="CS487" s="1098"/>
      <c r="CT487" s="1098"/>
      <c r="CU487" s="1098"/>
      <c r="CV487" s="1098"/>
      <c r="CW487" s="1098"/>
      <c r="CX487" s="1098"/>
      <c r="CY487" s="1098"/>
      <c r="CZ487" s="1098"/>
      <c r="DA487" s="1098"/>
      <c r="DB487" s="1098"/>
      <c r="DC487" s="1098"/>
      <c r="DD487" s="1098"/>
      <c r="DE487" s="1098"/>
      <c r="DF487" s="1098"/>
      <c r="DG487" s="1098"/>
      <c r="DH487" s="1098"/>
      <c r="DI487" s="1098"/>
      <c r="DJ487" s="1098"/>
      <c r="DK487" s="1098"/>
      <c r="DL487" s="1098"/>
      <c r="DM487" s="1098"/>
      <c r="DN487" s="1098"/>
      <c r="DO487" s="1098"/>
      <c r="DP487" s="1098"/>
      <c r="DQ487" s="1098"/>
      <c r="DR487" s="1098"/>
      <c r="DS487" s="1098"/>
      <c r="DT487" s="1098"/>
      <c r="DU487" s="1098"/>
      <c r="DV487" s="1098"/>
      <c r="DW487" s="1098"/>
      <c r="DX487" s="1098"/>
      <c r="DY487" s="1098"/>
      <c r="DZ487" s="1098"/>
      <c r="EA487" s="1098"/>
      <c r="EB487" s="1098"/>
      <c r="EC487" s="1098"/>
      <c r="ED487" s="1098"/>
      <c r="EE487" s="1098"/>
      <c r="EF487" s="1098"/>
      <c r="EG487" s="1098"/>
      <c r="EH487" s="1098"/>
      <c r="EI487" s="1098"/>
      <c r="EJ487" s="1098"/>
      <c r="EK487" s="1098"/>
      <c r="EL487" s="1098"/>
      <c r="EM487" s="1098"/>
      <c r="EN487" s="1098"/>
      <c r="EO487" s="1098"/>
      <c r="EP487" s="1098"/>
      <c r="EQ487" s="1098"/>
      <c r="ER487" s="1098"/>
      <c r="ES487" s="1098"/>
      <c r="ET487" s="1098"/>
      <c r="EU487" s="1098"/>
      <c r="EV487" s="1098"/>
      <c r="EW487" s="1098"/>
      <c r="EX487" s="1098"/>
      <c r="EY487" s="1098"/>
      <c r="EZ487" s="1098"/>
      <c r="FA487" s="1098"/>
      <c r="FB487" s="1098"/>
      <c r="FC487" s="1098"/>
      <c r="FD487" s="1098"/>
      <c r="FE487" s="1098"/>
      <c r="FF487" s="1098"/>
      <c r="FG487" s="1098"/>
      <c r="FH487" s="1098"/>
      <c r="FI487" s="1098"/>
      <c r="FJ487" s="1098"/>
      <c r="FK487" s="1098"/>
      <c r="FL487" s="1098"/>
      <c r="FM487" s="1098"/>
      <c r="FN487" s="1098"/>
      <c r="FO487" s="1098"/>
      <c r="FP487" s="1098"/>
      <c r="FQ487" s="1098"/>
      <c r="FR487" s="1098"/>
      <c r="FS487" s="1098"/>
      <c r="FT487" s="1098"/>
      <c r="FU487" s="1098"/>
      <c r="FV487" s="1098"/>
      <c r="FW487" s="1098"/>
      <c r="FX487" s="1098"/>
      <c r="FY487" s="1098"/>
      <c r="FZ487" s="1098"/>
      <c r="GA487" s="1098"/>
      <c r="GB487" s="1098"/>
      <c r="GC487" s="1098"/>
      <c r="GD487" s="1098"/>
      <c r="GE487" s="1098"/>
      <c r="GF487" s="1098"/>
      <c r="GG487" s="1098"/>
      <c r="GH487" s="1098"/>
      <c r="GI487" s="1098"/>
      <c r="GJ487" s="1098"/>
      <c r="GK487" s="1098"/>
      <c r="GL487" s="1098"/>
      <c r="GM487" s="1098"/>
      <c r="GN487" s="1098"/>
      <c r="GO487" s="1098"/>
      <c r="GP487" s="1098"/>
      <c r="GQ487" s="1098"/>
      <c r="GR487" s="1098"/>
      <c r="GS487" s="1098"/>
      <c r="GT487" s="1098"/>
      <c r="GU487" s="1098"/>
      <c r="GV487" s="1098"/>
      <c r="GW487" s="1098"/>
      <c r="GX487" s="1098"/>
      <c r="GY487" s="1098"/>
      <c r="GZ487" s="1098"/>
      <c r="HA487" s="1098"/>
      <c r="HB487" s="1098"/>
      <c r="HC487" s="1098"/>
      <c r="HD487" s="1098"/>
      <c r="HE487" s="1098"/>
      <c r="HF487" s="1098"/>
      <c r="HG487" s="1098"/>
      <c r="HH487" s="1098"/>
      <c r="HI487" s="1098"/>
      <c r="HJ487" s="1098"/>
      <c r="HK487" s="1098"/>
      <c r="HL487" s="1098"/>
      <c r="HM487" s="1098"/>
      <c r="HN487" s="1098"/>
      <c r="HO487" s="1098"/>
      <c r="HP487" s="1098"/>
      <c r="HQ487" s="1098"/>
      <c r="HR487" s="1098"/>
      <c r="HS487" s="1098"/>
      <c r="HT487" s="1098"/>
      <c r="HU487" s="1098"/>
      <c r="HV487" s="1098"/>
      <c r="HW487" s="1098"/>
      <c r="HX487" s="1098"/>
      <c r="HY487" s="1098"/>
      <c r="HZ487" s="1098"/>
      <c r="IA487" s="1098"/>
      <c r="IB487" s="1098"/>
      <c r="IC487" s="1098"/>
      <c r="ID487" s="1098"/>
      <c r="IE487" s="1098"/>
      <c r="IF487" s="1098"/>
      <c r="IG487" s="1098"/>
      <c r="IH487" s="1098"/>
      <c r="II487" s="1098"/>
      <c r="IJ487" s="1098"/>
      <c r="IK487" s="1098"/>
      <c r="IL487" s="1098"/>
      <c r="IM487" s="1098"/>
      <c r="IN487" s="1098"/>
      <c r="IO487" s="1098"/>
      <c r="IP487" s="1098"/>
      <c r="IQ487" s="1098"/>
      <c r="IR487" s="1098"/>
      <c r="IS487" s="1098"/>
      <c r="IT487" s="1098"/>
      <c r="IU487" s="1098"/>
      <c r="IV487" s="1098"/>
      <c r="IW487" s="1098"/>
      <c r="IX487" s="1098"/>
      <c r="IY487" s="1098"/>
      <c r="IZ487" s="1098"/>
      <c r="JA487" s="1098"/>
      <c r="JB487" s="1098"/>
      <c r="JC487" s="1098"/>
      <c r="JD487" s="1098"/>
      <c r="JE487" s="1098"/>
      <c r="JF487" s="1098"/>
      <c r="JG487" s="1098"/>
      <c r="JH487" s="1098"/>
      <c r="JI487" s="1098"/>
      <c r="JJ487" s="1098"/>
      <c r="JK487" s="1098"/>
      <c r="JL487" s="1098"/>
      <c r="JM487" s="1098"/>
      <c r="JN487" s="1098"/>
      <c r="JO487" s="1098"/>
      <c r="JP487" s="1098"/>
      <c r="JQ487" s="1098"/>
      <c r="JR487" s="1098"/>
      <c r="JS487" s="1098"/>
      <c r="JT487" s="1098"/>
      <c r="JU487" s="1098"/>
      <c r="JV487" s="1098"/>
      <c r="JW487" s="1098"/>
      <c r="JX487" s="1098"/>
      <c r="JY487" s="1098"/>
      <c r="JZ487" s="1098"/>
      <c r="KA487" s="1098"/>
      <c r="KB487" s="1099"/>
    </row>
    <row r="488" spans="2:288" ht="15" customHeight="1" x14ac:dyDescent="0.35">
      <c r="B488" s="146" t="str">
        <f t="shared" si="37"/>
        <v>Desk 64</v>
      </c>
      <c r="C488" s="148" t="str">
        <v/>
      </c>
      <c r="D488" s="148" t="str">
        <v/>
      </c>
      <c r="E488" s="148" t="str">
        <v/>
      </c>
      <c r="F488" s="148" t="str">
        <v/>
      </c>
      <c r="G488" s="268" t="str">
        <v/>
      </c>
      <c r="H488" s="1098"/>
      <c r="I488" s="1098"/>
      <c r="J488" s="1098"/>
      <c r="K488" s="1098"/>
      <c r="L488" s="1098"/>
      <c r="M488" s="1098"/>
      <c r="N488" s="1098"/>
      <c r="O488" s="1098"/>
      <c r="P488" s="1098"/>
      <c r="Q488" s="1098"/>
      <c r="R488" s="1098"/>
      <c r="S488" s="1098"/>
      <c r="T488" s="1098"/>
      <c r="U488" s="1098"/>
      <c r="V488" s="1098"/>
      <c r="W488" s="1098"/>
      <c r="X488" s="1098"/>
      <c r="Y488" s="1098"/>
      <c r="Z488" s="1098"/>
      <c r="AA488" s="1098"/>
      <c r="AB488" s="1098"/>
      <c r="AC488" s="1098"/>
      <c r="AD488" s="1098"/>
      <c r="AE488" s="1098"/>
      <c r="AF488" s="1098"/>
      <c r="AG488" s="1098"/>
      <c r="AH488" s="1098"/>
      <c r="AI488" s="1098"/>
      <c r="AJ488" s="1098"/>
      <c r="AK488" s="1098"/>
      <c r="AL488" s="1098"/>
      <c r="AM488" s="1098"/>
      <c r="AN488" s="1098"/>
      <c r="AO488" s="1098"/>
      <c r="AP488" s="1098"/>
      <c r="AQ488" s="1098"/>
      <c r="AR488" s="1098"/>
      <c r="AS488" s="1098"/>
      <c r="AT488" s="1098"/>
      <c r="AU488" s="1098"/>
      <c r="AV488" s="1098"/>
      <c r="AW488" s="1098"/>
      <c r="AX488" s="1098"/>
      <c r="AY488" s="1098"/>
      <c r="AZ488" s="1098"/>
      <c r="BA488" s="1098"/>
      <c r="BB488" s="1098"/>
      <c r="BC488" s="1098"/>
      <c r="BD488" s="1098"/>
      <c r="BE488" s="1098"/>
      <c r="BF488" s="1098"/>
      <c r="BG488" s="1098"/>
      <c r="BH488" s="1098"/>
      <c r="BI488" s="1098"/>
      <c r="BJ488" s="1098"/>
      <c r="BK488" s="1098"/>
      <c r="BL488" s="1098"/>
      <c r="BM488" s="1098"/>
      <c r="BN488" s="1098"/>
      <c r="BO488" s="1098"/>
      <c r="BP488" s="1098"/>
      <c r="BQ488" s="1098"/>
      <c r="BR488" s="1098"/>
      <c r="BS488" s="1098"/>
      <c r="BT488" s="1098"/>
      <c r="BU488" s="1098"/>
      <c r="BV488" s="1098"/>
      <c r="BW488" s="1098"/>
      <c r="BX488" s="1098"/>
      <c r="BY488" s="1098"/>
      <c r="BZ488" s="1098"/>
      <c r="CA488" s="1098"/>
      <c r="CB488" s="1098"/>
      <c r="CC488" s="1098"/>
      <c r="CD488" s="1098"/>
      <c r="CE488" s="1098"/>
      <c r="CF488" s="1098"/>
      <c r="CG488" s="1098"/>
      <c r="CH488" s="1098"/>
      <c r="CI488" s="1098"/>
      <c r="CJ488" s="1098"/>
      <c r="CK488" s="1098"/>
      <c r="CL488" s="1098"/>
      <c r="CM488" s="1098"/>
      <c r="CN488" s="1098"/>
      <c r="CO488" s="1098"/>
      <c r="CP488" s="1098"/>
      <c r="CQ488" s="1098"/>
      <c r="CR488" s="1098"/>
      <c r="CS488" s="1098"/>
      <c r="CT488" s="1098"/>
      <c r="CU488" s="1098"/>
      <c r="CV488" s="1098"/>
      <c r="CW488" s="1098"/>
      <c r="CX488" s="1098"/>
      <c r="CY488" s="1098"/>
      <c r="CZ488" s="1098"/>
      <c r="DA488" s="1098"/>
      <c r="DB488" s="1098"/>
      <c r="DC488" s="1098"/>
      <c r="DD488" s="1098"/>
      <c r="DE488" s="1098"/>
      <c r="DF488" s="1098"/>
      <c r="DG488" s="1098"/>
      <c r="DH488" s="1098"/>
      <c r="DI488" s="1098"/>
      <c r="DJ488" s="1098"/>
      <c r="DK488" s="1098"/>
      <c r="DL488" s="1098"/>
      <c r="DM488" s="1098"/>
      <c r="DN488" s="1098"/>
      <c r="DO488" s="1098"/>
      <c r="DP488" s="1098"/>
      <c r="DQ488" s="1098"/>
      <c r="DR488" s="1098"/>
      <c r="DS488" s="1098"/>
      <c r="DT488" s="1098"/>
      <c r="DU488" s="1098"/>
      <c r="DV488" s="1098"/>
      <c r="DW488" s="1098"/>
      <c r="DX488" s="1098"/>
      <c r="DY488" s="1098"/>
      <c r="DZ488" s="1098"/>
      <c r="EA488" s="1098"/>
      <c r="EB488" s="1098"/>
      <c r="EC488" s="1098"/>
      <c r="ED488" s="1098"/>
      <c r="EE488" s="1098"/>
      <c r="EF488" s="1098"/>
      <c r="EG488" s="1098"/>
      <c r="EH488" s="1098"/>
      <c r="EI488" s="1098"/>
      <c r="EJ488" s="1098"/>
      <c r="EK488" s="1098"/>
      <c r="EL488" s="1098"/>
      <c r="EM488" s="1098"/>
      <c r="EN488" s="1098"/>
      <c r="EO488" s="1098"/>
      <c r="EP488" s="1098"/>
      <c r="EQ488" s="1098"/>
      <c r="ER488" s="1098"/>
      <c r="ES488" s="1098"/>
      <c r="ET488" s="1098"/>
      <c r="EU488" s="1098"/>
      <c r="EV488" s="1098"/>
      <c r="EW488" s="1098"/>
      <c r="EX488" s="1098"/>
      <c r="EY488" s="1098"/>
      <c r="EZ488" s="1098"/>
      <c r="FA488" s="1098"/>
      <c r="FB488" s="1098"/>
      <c r="FC488" s="1098"/>
      <c r="FD488" s="1098"/>
      <c r="FE488" s="1098"/>
      <c r="FF488" s="1098"/>
      <c r="FG488" s="1098"/>
      <c r="FH488" s="1098"/>
      <c r="FI488" s="1098"/>
      <c r="FJ488" s="1098"/>
      <c r="FK488" s="1098"/>
      <c r="FL488" s="1098"/>
      <c r="FM488" s="1098"/>
      <c r="FN488" s="1098"/>
      <c r="FO488" s="1098"/>
      <c r="FP488" s="1098"/>
      <c r="FQ488" s="1098"/>
      <c r="FR488" s="1098"/>
      <c r="FS488" s="1098"/>
      <c r="FT488" s="1098"/>
      <c r="FU488" s="1098"/>
      <c r="FV488" s="1098"/>
      <c r="FW488" s="1098"/>
      <c r="FX488" s="1098"/>
      <c r="FY488" s="1098"/>
      <c r="FZ488" s="1098"/>
      <c r="GA488" s="1098"/>
      <c r="GB488" s="1098"/>
      <c r="GC488" s="1098"/>
      <c r="GD488" s="1098"/>
      <c r="GE488" s="1098"/>
      <c r="GF488" s="1098"/>
      <c r="GG488" s="1098"/>
      <c r="GH488" s="1098"/>
      <c r="GI488" s="1098"/>
      <c r="GJ488" s="1098"/>
      <c r="GK488" s="1098"/>
      <c r="GL488" s="1098"/>
      <c r="GM488" s="1098"/>
      <c r="GN488" s="1098"/>
      <c r="GO488" s="1098"/>
      <c r="GP488" s="1098"/>
      <c r="GQ488" s="1098"/>
      <c r="GR488" s="1098"/>
      <c r="GS488" s="1098"/>
      <c r="GT488" s="1098"/>
      <c r="GU488" s="1098"/>
      <c r="GV488" s="1098"/>
      <c r="GW488" s="1098"/>
      <c r="GX488" s="1098"/>
      <c r="GY488" s="1098"/>
      <c r="GZ488" s="1098"/>
      <c r="HA488" s="1098"/>
      <c r="HB488" s="1098"/>
      <c r="HC488" s="1098"/>
      <c r="HD488" s="1098"/>
      <c r="HE488" s="1098"/>
      <c r="HF488" s="1098"/>
      <c r="HG488" s="1098"/>
      <c r="HH488" s="1098"/>
      <c r="HI488" s="1098"/>
      <c r="HJ488" s="1098"/>
      <c r="HK488" s="1098"/>
      <c r="HL488" s="1098"/>
      <c r="HM488" s="1098"/>
      <c r="HN488" s="1098"/>
      <c r="HO488" s="1098"/>
      <c r="HP488" s="1098"/>
      <c r="HQ488" s="1098"/>
      <c r="HR488" s="1098"/>
      <c r="HS488" s="1098"/>
      <c r="HT488" s="1098"/>
      <c r="HU488" s="1098"/>
      <c r="HV488" s="1098"/>
      <c r="HW488" s="1098"/>
      <c r="HX488" s="1098"/>
      <c r="HY488" s="1098"/>
      <c r="HZ488" s="1098"/>
      <c r="IA488" s="1098"/>
      <c r="IB488" s="1098"/>
      <c r="IC488" s="1098"/>
      <c r="ID488" s="1098"/>
      <c r="IE488" s="1098"/>
      <c r="IF488" s="1098"/>
      <c r="IG488" s="1098"/>
      <c r="IH488" s="1098"/>
      <c r="II488" s="1098"/>
      <c r="IJ488" s="1098"/>
      <c r="IK488" s="1098"/>
      <c r="IL488" s="1098"/>
      <c r="IM488" s="1098"/>
      <c r="IN488" s="1098"/>
      <c r="IO488" s="1098"/>
      <c r="IP488" s="1098"/>
      <c r="IQ488" s="1098"/>
      <c r="IR488" s="1098"/>
      <c r="IS488" s="1098"/>
      <c r="IT488" s="1098"/>
      <c r="IU488" s="1098"/>
      <c r="IV488" s="1098"/>
      <c r="IW488" s="1098"/>
      <c r="IX488" s="1098"/>
      <c r="IY488" s="1098"/>
      <c r="IZ488" s="1098"/>
      <c r="JA488" s="1098"/>
      <c r="JB488" s="1098"/>
      <c r="JC488" s="1098"/>
      <c r="JD488" s="1098"/>
      <c r="JE488" s="1098"/>
      <c r="JF488" s="1098"/>
      <c r="JG488" s="1098"/>
      <c r="JH488" s="1098"/>
      <c r="JI488" s="1098"/>
      <c r="JJ488" s="1098"/>
      <c r="JK488" s="1098"/>
      <c r="JL488" s="1098"/>
      <c r="JM488" s="1098"/>
      <c r="JN488" s="1098"/>
      <c r="JO488" s="1098"/>
      <c r="JP488" s="1098"/>
      <c r="JQ488" s="1098"/>
      <c r="JR488" s="1098"/>
      <c r="JS488" s="1098"/>
      <c r="JT488" s="1098"/>
      <c r="JU488" s="1098"/>
      <c r="JV488" s="1098"/>
      <c r="JW488" s="1098"/>
      <c r="JX488" s="1098"/>
      <c r="JY488" s="1098"/>
      <c r="JZ488" s="1098"/>
      <c r="KA488" s="1098"/>
      <c r="KB488" s="1099"/>
    </row>
    <row r="489" spans="2:288" ht="15" customHeight="1" x14ac:dyDescent="0.35">
      <c r="B489" s="146" t="str">
        <f t="shared" ref="B489:B520" si="38">B75</f>
        <v>Desk 65</v>
      </c>
      <c r="C489" s="148" t="str">
        <v/>
      </c>
      <c r="D489" s="148" t="str">
        <v/>
      </c>
      <c r="E489" s="148" t="str">
        <v/>
      </c>
      <c r="F489" s="148" t="str">
        <v/>
      </c>
      <c r="G489" s="268" t="str">
        <v/>
      </c>
      <c r="H489" s="1098"/>
      <c r="I489" s="1098"/>
      <c r="J489" s="1098"/>
      <c r="K489" s="1098"/>
      <c r="L489" s="1098"/>
      <c r="M489" s="1098"/>
      <c r="N489" s="1098"/>
      <c r="O489" s="1098"/>
      <c r="P489" s="1098"/>
      <c r="Q489" s="1098"/>
      <c r="R489" s="1098"/>
      <c r="S489" s="1098"/>
      <c r="T489" s="1098"/>
      <c r="U489" s="1098"/>
      <c r="V489" s="1098"/>
      <c r="W489" s="1098"/>
      <c r="X489" s="1098"/>
      <c r="Y489" s="1098"/>
      <c r="Z489" s="1098"/>
      <c r="AA489" s="1098"/>
      <c r="AB489" s="1098"/>
      <c r="AC489" s="1098"/>
      <c r="AD489" s="1098"/>
      <c r="AE489" s="1098"/>
      <c r="AF489" s="1098"/>
      <c r="AG489" s="1098"/>
      <c r="AH489" s="1098"/>
      <c r="AI489" s="1098"/>
      <c r="AJ489" s="1098"/>
      <c r="AK489" s="1098"/>
      <c r="AL489" s="1098"/>
      <c r="AM489" s="1098"/>
      <c r="AN489" s="1098"/>
      <c r="AO489" s="1098"/>
      <c r="AP489" s="1098"/>
      <c r="AQ489" s="1098"/>
      <c r="AR489" s="1098"/>
      <c r="AS489" s="1098"/>
      <c r="AT489" s="1098"/>
      <c r="AU489" s="1098"/>
      <c r="AV489" s="1098"/>
      <c r="AW489" s="1098"/>
      <c r="AX489" s="1098"/>
      <c r="AY489" s="1098"/>
      <c r="AZ489" s="1098"/>
      <c r="BA489" s="1098"/>
      <c r="BB489" s="1098"/>
      <c r="BC489" s="1098"/>
      <c r="BD489" s="1098"/>
      <c r="BE489" s="1098"/>
      <c r="BF489" s="1098"/>
      <c r="BG489" s="1098"/>
      <c r="BH489" s="1098"/>
      <c r="BI489" s="1098"/>
      <c r="BJ489" s="1098"/>
      <c r="BK489" s="1098"/>
      <c r="BL489" s="1098"/>
      <c r="BM489" s="1098"/>
      <c r="BN489" s="1098"/>
      <c r="BO489" s="1098"/>
      <c r="BP489" s="1098"/>
      <c r="BQ489" s="1098"/>
      <c r="BR489" s="1098"/>
      <c r="BS489" s="1098"/>
      <c r="BT489" s="1098"/>
      <c r="BU489" s="1098"/>
      <c r="BV489" s="1098"/>
      <c r="BW489" s="1098"/>
      <c r="BX489" s="1098"/>
      <c r="BY489" s="1098"/>
      <c r="BZ489" s="1098"/>
      <c r="CA489" s="1098"/>
      <c r="CB489" s="1098"/>
      <c r="CC489" s="1098"/>
      <c r="CD489" s="1098"/>
      <c r="CE489" s="1098"/>
      <c r="CF489" s="1098"/>
      <c r="CG489" s="1098"/>
      <c r="CH489" s="1098"/>
      <c r="CI489" s="1098"/>
      <c r="CJ489" s="1098"/>
      <c r="CK489" s="1098"/>
      <c r="CL489" s="1098"/>
      <c r="CM489" s="1098"/>
      <c r="CN489" s="1098"/>
      <c r="CO489" s="1098"/>
      <c r="CP489" s="1098"/>
      <c r="CQ489" s="1098"/>
      <c r="CR489" s="1098"/>
      <c r="CS489" s="1098"/>
      <c r="CT489" s="1098"/>
      <c r="CU489" s="1098"/>
      <c r="CV489" s="1098"/>
      <c r="CW489" s="1098"/>
      <c r="CX489" s="1098"/>
      <c r="CY489" s="1098"/>
      <c r="CZ489" s="1098"/>
      <c r="DA489" s="1098"/>
      <c r="DB489" s="1098"/>
      <c r="DC489" s="1098"/>
      <c r="DD489" s="1098"/>
      <c r="DE489" s="1098"/>
      <c r="DF489" s="1098"/>
      <c r="DG489" s="1098"/>
      <c r="DH489" s="1098"/>
      <c r="DI489" s="1098"/>
      <c r="DJ489" s="1098"/>
      <c r="DK489" s="1098"/>
      <c r="DL489" s="1098"/>
      <c r="DM489" s="1098"/>
      <c r="DN489" s="1098"/>
      <c r="DO489" s="1098"/>
      <c r="DP489" s="1098"/>
      <c r="DQ489" s="1098"/>
      <c r="DR489" s="1098"/>
      <c r="DS489" s="1098"/>
      <c r="DT489" s="1098"/>
      <c r="DU489" s="1098"/>
      <c r="DV489" s="1098"/>
      <c r="DW489" s="1098"/>
      <c r="DX489" s="1098"/>
      <c r="DY489" s="1098"/>
      <c r="DZ489" s="1098"/>
      <c r="EA489" s="1098"/>
      <c r="EB489" s="1098"/>
      <c r="EC489" s="1098"/>
      <c r="ED489" s="1098"/>
      <c r="EE489" s="1098"/>
      <c r="EF489" s="1098"/>
      <c r="EG489" s="1098"/>
      <c r="EH489" s="1098"/>
      <c r="EI489" s="1098"/>
      <c r="EJ489" s="1098"/>
      <c r="EK489" s="1098"/>
      <c r="EL489" s="1098"/>
      <c r="EM489" s="1098"/>
      <c r="EN489" s="1098"/>
      <c r="EO489" s="1098"/>
      <c r="EP489" s="1098"/>
      <c r="EQ489" s="1098"/>
      <c r="ER489" s="1098"/>
      <c r="ES489" s="1098"/>
      <c r="ET489" s="1098"/>
      <c r="EU489" s="1098"/>
      <c r="EV489" s="1098"/>
      <c r="EW489" s="1098"/>
      <c r="EX489" s="1098"/>
      <c r="EY489" s="1098"/>
      <c r="EZ489" s="1098"/>
      <c r="FA489" s="1098"/>
      <c r="FB489" s="1098"/>
      <c r="FC489" s="1098"/>
      <c r="FD489" s="1098"/>
      <c r="FE489" s="1098"/>
      <c r="FF489" s="1098"/>
      <c r="FG489" s="1098"/>
      <c r="FH489" s="1098"/>
      <c r="FI489" s="1098"/>
      <c r="FJ489" s="1098"/>
      <c r="FK489" s="1098"/>
      <c r="FL489" s="1098"/>
      <c r="FM489" s="1098"/>
      <c r="FN489" s="1098"/>
      <c r="FO489" s="1098"/>
      <c r="FP489" s="1098"/>
      <c r="FQ489" s="1098"/>
      <c r="FR489" s="1098"/>
      <c r="FS489" s="1098"/>
      <c r="FT489" s="1098"/>
      <c r="FU489" s="1098"/>
      <c r="FV489" s="1098"/>
      <c r="FW489" s="1098"/>
      <c r="FX489" s="1098"/>
      <c r="FY489" s="1098"/>
      <c r="FZ489" s="1098"/>
      <c r="GA489" s="1098"/>
      <c r="GB489" s="1098"/>
      <c r="GC489" s="1098"/>
      <c r="GD489" s="1098"/>
      <c r="GE489" s="1098"/>
      <c r="GF489" s="1098"/>
      <c r="GG489" s="1098"/>
      <c r="GH489" s="1098"/>
      <c r="GI489" s="1098"/>
      <c r="GJ489" s="1098"/>
      <c r="GK489" s="1098"/>
      <c r="GL489" s="1098"/>
      <c r="GM489" s="1098"/>
      <c r="GN489" s="1098"/>
      <c r="GO489" s="1098"/>
      <c r="GP489" s="1098"/>
      <c r="GQ489" s="1098"/>
      <c r="GR489" s="1098"/>
      <c r="GS489" s="1098"/>
      <c r="GT489" s="1098"/>
      <c r="GU489" s="1098"/>
      <c r="GV489" s="1098"/>
      <c r="GW489" s="1098"/>
      <c r="GX489" s="1098"/>
      <c r="GY489" s="1098"/>
      <c r="GZ489" s="1098"/>
      <c r="HA489" s="1098"/>
      <c r="HB489" s="1098"/>
      <c r="HC489" s="1098"/>
      <c r="HD489" s="1098"/>
      <c r="HE489" s="1098"/>
      <c r="HF489" s="1098"/>
      <c r="HG489" s="1098"/>
      <c r="HH489" s="1098"/>
      <c r="HI489" s="1098"/>
      <c r="HJ489" s="1098"/>
      <c r="HK489" s="1098"/>
      <c r="HL489" s="1098"/>
      <c r="HM489" s="1098"/>
      <c r="HN489" s="1098"/>
      <c r="HO489" s="1098"/>
      <c r="HP489" s="1098"/>
      <c r="HQ489" s="1098"/>
      <c r="HR489" s="1098"/>
      <c r="HS489" s="1098"/>
      <c r="HT489" s="1098"/>
      <c r="HU489" s="1098"/>
      <c r="HV489" s="1098"/>
      <c r="HW489" s="1098"/>
      <c r="HX489" s="1098"/>
      <c r="HY489" s="1098"/>
      <c r="HZ489" s="1098"/>
      <c r="IA489" s="1098"/>
      <c r="IB489" s="1098"/>
      <c r="IC489" s="1098"/>
      <c r="ID489" s="1098"/>
      <c r="IE489" s="1098"/>
      <c r="IF489" s="1098"/>
      <c r="IG489" s="1098"/>
      <c r="IH489" s="1098"/>
      <c r="II489" s="1098"/>
      <c r="IJ489" s="1098"/>
      <c r="IK489" s="1098"/>
      <c r="IL489" s="1098"/>
      <c r="IM489" s="1098"/>
      <c r="IN489" s="1098"/>
      <c r="IO489" s="1098"/>
      <c r="IP489" s="1098"/>
      <c r="IQ489" s="1098"/>
      <c r="IR489" s="1098"/>
      <c r="IS489" s="1098"/>
      <c r="IT489" s="1098"/>
      <c r="IU489" s="1098"/>
      <c r="IV489" s="1098"/>
      <c r="IW489" s="1098"/>
      <c r="IX489" s="1098"/>
      <c r="IY489" s="1098"/>
      <c r="IZ489" s="1098"/>
      <c r="JA489" s="1098"/>
      <c r="JB489" s="1098"/>
      <c r="JC489" s="1098"/>
      <c r="JD489" s="1098"/>
      <c r="JE489" s="1098"/>
      <c r="JF489" s="1098"/>
      <c r="JG489" s="1098"/>
      <c r="JH489" s="1098"/>
      <c r="JI489" s="1098"/>
      <c r="JJ489" s="1098"/>
      <c r="JK489" s="1098"/>
      <c r="JL489" s="1098"/>
      <c r="JM489" s="1098"/>
      <c r="JN489" s="1098"/>
      <c r="JO489" s="1098"/>
      <c r="JP489" s="1098"/>
      <c r="JQ489" s="1098"/>
      <c r="JR489" s="1098"/>
      <c r="JS489" s="1098"/>
      <c r="JT489" s="1098"/>
      <c r="JU489" s="1098"/>
      <c r="JV489" s="1098"/>
      <c r="JW489" s="1098"/>
      <c r="JX489" s="1098"/>
      <c r="JY489" s="1098"/>
      <c r="JZ489" s="1098"/>
      <c r="KA489" s="1098"/>
      <c r="KB489" s="1099"/>
    </row>
    <row r="490" spans="2:288" ht="15" customHeight="1" x14ac:dyDescent="0.35">
      <c r="B490" s="146" t="str">
        <f t="shared" si="38"/>
        <v>Desk 66</v>
      </c>
      <c r="C490" s="148" t="str">
        <v/>
      </c>
      <c r="D490" s="148" t="str">
        <v/>
      </c>
      <c r="E490" s="148" t="str">
        <v/>
      </c>
      <c r="F490" s="148" t="str">
        <v/>
      </c>
      <c r="G490" s="268" t="str">
        <v/>
      </c>
      <c r="H490" s="1098"/>
      <c r="I490" s="1098"/>
      <c r="J490" s="1098"/>
      <c r="K490" s="1098"/>
      <c r="L490" s="1098"/>
      <c r="M490" s="1098"/>
      <c r="N490" s="1098"/>
      <c r="O490" s="1098"/>
      <c r="P490" s="1098"/>
      <c r="Q490" s="1098"/>
      <c r="R490" s="1098"/>
      <c r="S490" s="1098"/>
      <c r="T490" s="1098"/>
      <c r="U490" s="1098"/>
      <c r="V490" s="1098"/>
      <c r="W490" s="1098"/>
      <c r="X490" s="1098"/>
      <c r="Y490" s="1098"/>
      <c r="Z490" s="1098"/>
      <c r="AA490" s="1098"/>
      <c r="AB490" s="1098"/>
      <c r="AC490" s="1098"/>
      <c r="AD490" s="1098"/>
      <c r="AE490" s="1098"/>
      <c r="AF490" s="1098"/>
      <c r="AG490" s="1098"/>
      <c r="AH490" s="1098"/>
      <c r="AI490" s="1098"/>
      <c r="AJ490" s="1098"/>
      <c r="AK490" s="1098"/>
      <c r="AL490" s="1098"/>
      <c r="AM490" s="1098"/>
      <c r="AN490" s="1098"/>
      <c r="AO490" s="1098"/>
      <c r="AP490" s="1098"/>
      <c r="AQ490" s="1098"/>
      <c r="AR490" s="1098"/>
      <c r="AS490" s="1098"/>
      <c r="AT490" s="1098"/>
      <c r="AU490" s="1098"/>
      <c r="AV490" s="1098"/>
      <c r="AW490" s="1098"/>
      <c r="AX490" s="1098"/>
      <c r="AY490" s="1098"/>
      <c r="AZ490" s="1098"/>
      <c r="BA490" s="1098"/>
      <c r="BB490" s="1098"/>
      <c r="BC490" s="1098"/>
      <c r="BD490" s="1098"/>
      <c r="BE490" s="1098"/>
      <c r="BF490" s="1098"/>
      <c r="BG490" s="1098"/>
      <c r="BH490" s="1098"/>
      <c r="BI490" s="1098"/>
      <c r="BJ490" s="1098"/>
      <c r="BK490" s="1098"/>
      <c r="BL490" s="1098"/>
      <c r="BM490" s="1098"/>
      <c r="BN490" s="1098"/>
      <c r="BO490" s="1098"/>
      <c r="BP490" s="1098"/>
      <c r="BQ490" s="1098"/>
      <c r="BR490" s="1098"/>
      <c r="BS490" s="1098"/>
      <c r="BT490" s="1098"/>
      <c r="BU490" s="1098"/>
      <c r="BV490" s="1098"/>
      <c r="BW490" s="1098"/>
      <c r="BX490" s="1098"/>
      <c r="BY490" s="1098"/>
      <c r="BZ490" s="1098"/>
      <c r="CA490" s="1098"/>
      <c r="CB490" s="1098"/>
      <c r="CC490" s="1098"/>
      <c r="CD490" s="1098"/>
      <c r="CE490" s="1098"/>
      <c r="CF490" s="1098"/>
      <c r="CG490" s="1098"/>
      <c r="CH490" s="1098"/>
      <c r="CI490" s="1098"/>
      <c r="CJ490" s="1098"/>
      <c r="CK490" s="1098"/>
      <c r="CL490" s="1098"/>
      <c r="CM490" s="1098"/>
      <c r="CN490" s="1098"/>
      <c r="CO490" s="1098"/>
      <c r="CP490" s="1098"/>
      <c r="CQ490" s="1098"/>
      <c r="CR490" s="1098"/>
      <c r="CS490" s="1098"/>
      <c r="CT490" s="1098"/>
      <c r="CU490" s="1098"/>
      <c r="CV490" s="1098"/>
      <c r="CW490" s="1098"/>
      <c r="CX490" s="1098"/>
      <c r="CY490" s="1098"/>
      <c r="CZ490" s="1098"/>
      <c r="DA490" s="1098"/>
      <c r="DB490" s="1098"/>
      <c r="DC490" s="1098"/>
      <c r="DD490" s="1098"/>
      <c r="DE490" s="1098"/>
      <c r="DF490" s="1098"/>
      <c r="DG490" s="1098"/>
      <c r="DH490" s="1098"/>
      <c r="DI490" s="1098"/>
      <c r="DJ490" s="1098"/>
      <c r="DK490" s="1098"/>
      <c r="DL490" s="1098"/>
      <c r="DM490" s="1098"/>
      <c r="DN490" s="1098"/>
      <c r="DO490" s="1098"/>
      <c r="DP490" s="1098"/>
      <c r="DQ490" s="1098"/>
      <c r="DR490" s="1098"/>
      <c r="DS490" s="1098"/>
      <c r="DT490" s="1098"/>
      <c r="DU490" s="1098"/>
      <c r="DV490" s="1098"/>
      <c r="DW490" s="1098"/>
      <c r="DX490" s="1098"/>
      <c r="DY490" s="1098"/>
      <c r="DZ490" s="1098"/>
      <c r="EA490" s="1098"/>
      <c r="EB490" s="1098"/>
      <c r="EC490" s="1098"/>
      <c r="ED490" s="1098"/>
      <c r="EE490" s="1098"/>
      <c r="EF490" s="1098"/>
      <c r="EG490" s="1098"/>
      <c r="EH490" s="1098"/>
      <c r="EI490" s="1098"/>
      <c r="EJ490" s="1098"/>
      <c r="EK490" s="1098"/>
      <c r="EL490" s="1098"/>
      <c r="EM490" s="1098"/>
      <c r="EN490" s="1098"/>
      <c r="EO490" s="1098"/>
      <c r="EP490" s="1098"/>
      <c r="EQ490" s="1098"/>
      <c r="ER490" s="1098"/>
      <c r="ES490" s="1098"/>
      <c r="ET490" s="1098"/>
      <c r="EU490" s="1098"/>
      <c r="EV490" s="1098"/>
      <c r="EW490" s="1098"/>
      <c r="EX490" s="1098"/>
      <c r="EY490" s="1098"/>
      <c r="EZ490" s="1098"/>
      <c r="FA490" s="1098"/>
      <c r="FB490" s="1098"/>
      <c r="FC490" s="1098"/>
      <c r="FD490" s="1098"/>
      <c r="FE490" s="1098"/>
      <c r="FF490" s="1098"/>
      <c r="FG490" s="1098"/>
      <c r="FH490" s="1098"/>
      <c r="FI490" s="1098"/>
      <c r="FJ490" s="1098"/>
      <c r="FK490" s="1098"/>
      <c r="FL490" s="1098"/>
      <c r="FM490" s="1098"/>
      <c r="FN490" s="1098"/>
      <c r="FO490" s="1098"/>
      <c r="FP490" s="1098"/>
      <c r="FQ490" s="1098"/>
      <c r="FR490" s="1098"/>
      <c r="FS490" s="1098"/>
      <c r="FT490" s="1098"/>
      <c r="FU490" s="1098"/>
      <c r="FV490" s="1098"/>
      <c r="FW490" s="1098"/>
      <c r="FX490" s="1098"/>
      <c r="FY490" s="1098"/>
      <c r="FZ490" s="1098"/>
      <c r="GA490" s="1098"/>
      <c r="GB490" s="1098"/>
      <c r="GC490" s="1098"/>
      <c r="GD490" s="1098"/>
      <c r="GE490" s="1098"/>
      <c r="GF490" s="1098"/>
      <c r="GG490" s="1098"/>
      <c r="GH490" s="1098"/>
      <c r="GI490" s="1098"/>
      <c r="GJ490" s="1098"/>
      <c r="GK490" s="1098"/>
      <c r="GL490" s="1098"/>
      <c r="GM490" s="1098"/>
      <c r="GN490" s="1098"/>
      <c r="GO490" s="1098"/>
      <c r="GP490" s="1098"/>
      <c r="GQ490" s="1098"/>
      <c r="GR490" s="1098"/>
      <c r="GS490" s="1098"/>
      <c r="GT490" s="1098"/>
      <c r="GU490" s="1098"/>
      <c r="GV490" s="1098"/>
      <c r="GW490" s="1098"/>
      <c r="GX490" s="1098"/>
      <c r="GY490" s="1098"/>
      <c r="GZ490" s="1098"/>
      <c r="HA490" s="1098"/>
      <c r="HB490" s="1098"/>
      <c r="HC490" s="1098"/>
      <c r="HD490" s="1098"/>
      <c r="HE490" s="1098"/>
      <c r="HF490" s="1098"/>
      <c r="HG490" s="1098"/>
      <c r="HH490" s="1098"/>
      <c r="HI490" s="1098"/>
      <c r="HJ490" s="1098"/>
      <c r="HK490" s="1098"/>
      <c r="HL490" s="1098"/>
      <c r="HM490" s="1098"/>
      <c r="HN490" s="1098"/>
      <c r="HO490" s="1098"/>
      <c r="HP490" s="1098"/>
      <c r="HQ490" s="1098"/>
      <c r="HR490" s="1098"/>
      <c r="HS490" s="1098"/>
      <c r="HT490" s="1098"/>
      <c r="HU490" s="1098"/>
      <c r="HV490" s="1098"/>
      <c r="HW490" s="1098"/>
      <c r="HX490" s="1098"/>
      <c r="HY490" s="1098"/>
      <c r="HZ490" s="1098"/>
      <c r="IA490" s="1098"/>
      <c r="IB490" s="1098"/>
      <c r="IC490" s="1098"/>
      <c r="ID490" s="1098"/>
      <c r="IE490" s="1098"/>
      <c r="IF490" s="1098"/>
      <c r="IG490" s="1098"/>
      <c r="IH490" s="1098"/>
      <c r="II490" s="1098"/>
      <c r="IJ490" s="1098"/>
      <c r="IK490" s="1098"/>
      <c r="IL490" s="1098"/>
      <c r="IM490" s="1098"/>
      <c r="IN490" s="1098"/>
      <c r="IO490" s="1098"/>
      <c r="IP490" s="1098"/>
      <c r="IQ490" s="1098"/>
      <c r="IR490" s="1098"/>
      <c r="IS490" s="1098"/>
      <c r="IT490" s="1098"/>
      <c r="IU490" s="1098"/>
      <c r="IV490" s="1098"/>
      <c r="IW490" s="1098"/>
      <c r="IX490" s="1098"/>
      <c r="IY490" s="1098"/>
      <c r="IZ490" s="1098"/>
      <c r="JA490" s="1098"/>
      <c r="JB490" s="1098"/>
      <c r="JC490" s="1098"/>
      <c r="JD490" s="1098"/>
      <c r="JE490" s="1098"/>
      <c r="JF490" s="1098"/>
      <c r="JG490" s="1098"/>
      <c r="JH490" s="1098"/>
      <c r="JI490" s="1098"/>
      <c r="JJ490" s="1098"/>
      <c r="JK490" s="1098"/>
      <c r="JL490" s="1098"/>
      <c r="JM490" s="1098"/>
      <c r="JN490" s="1098"/>
      <c r="JO490" s="1098"/>
      <c r="JP490" s="1098"/>
      <c r="JQ490" s="1098"/>
      <c r="JR490" s="1098"/>
      <c r="JS490" s="1098"/>
      <c r="JT490" s="1098"/>
      <c r="JU490" s="1098"/>
      <c r="JV490" s="1098"/>
      <c r="JW490" s="1098"/>
      <c r="JX490" s="1098"/>
      <c r="JY490" s="1098"/>
      <c r="JZ490" s="1098"/>
      <c r="KA490" s="1098"/>
      <c r="KB490" s="1099"/>
    </row>
    <row r="491" spans="2:288" ht="15" customHeight="1" x14ac:dyDescent="0.35">
      <c r="B491" s="146" t="str">
        <f t="shared" si="38"/>
        <v>Desk 67</v>
      </c>
      <c r="C491" s="148" t="str">
        <v/>
      </c>
      <c r="D491" s="148" t="str">
        <v/>
      </c>
      <c r="E491" s="148" t="str">
        <v/>
      </c>
      <c r="F491" s="148" t="str">
        <v/>
      </c>
      <c r="G491" s="268" t="str">
        <v/>
      </c>
      <c r="H491" s="1098"/>
      <c r="I491" s="1098"/>
      <c r="J491" s="1098"/>
      <c r="K491" s="1098"/>
      <c r="L491" s="1098"/>
      <c r="M491" s="1098"/>
      <c r="N491" s="1098"/>
      <c r="O491" s="1098"/>
      <c r="P491" s="1098"/>
      <c r="Q491" s="1098"/>
      <c r="R491" s="1098"/>
      <c r="S491" s="1098"/>
      <c r="T491" s="1098"/>
      <c r="U491" s="1098"/>
      <c r="V491" s="1098"/>
      <c r="W491" s="1098"/>
      <c r="X491" s="1098"/>
      <c r="Y491" s="1098"/>
      <c r="Z491" s="1098"/>
      <c r="AA491" s="1098"/>
      <c r="AB491" s="1098"/>
      <c r="AC491" s="1098"/>
      <c r="AD491" s="1098"/>
      <c r="AE491" s="1098"/>
      <c r="AF491" s="1098"/>
      <c r="AG491" s="1098"/>
      <c r="AH491" s="1098"/>
      <c r="AI491" s="1098"/>
      <c r="AJ491" s="1098"/>
      <c r="AK491" s="1098"/>
      <c r="AL491" s="1098"/>
      <c r="AM491" s="1098"/>
      <c r="AN491" s="1098"/>
      <c r="AO491" s="1098"/>
      <c r="AP491" s="1098"/>
      <c r="AQ491" s="1098"/>
      <c r="AR491" s="1098"/>
      <c r="AS491" s="1098"/>
      <c r="AT491" s="1098"/>
      <c r="AU491" s="1098"/>
      <c r="AV491" s="1098"/>
      <c r="AW491" s="1098"/>
      <c r="AX491" s="1098"/>
      <c r="AY491" s="1098"/>
      <c r="AZ491" s="1098"/>
      <c r="BA491" s="1098"/>
      <c r="BB491" s="1098"/>
      <c r="BC491" s="1098"/>
      <c r="BD491" s="1098"/>
      <c r="BE491" s="1098"/>
      <c r="BF491" s="1098"/>
      <c r="BG491" s="1098"/>
      <c r="BH491" s="1098"/>
      <c r="BI491" s="1098"/>
      <c r="BJ491" s="1098"/>
      <c r="BK491" s="1098"/>
      <c r="BL491" s="1098"/>
      <c r="BM491" s="1098"/>
      <c r="BN491" s="1098"/>
      <c r="BO491" s="1098"/>
      <c r="BP491" s="1098"/>
      <c r="BQ491" s="1098"/>
      <c r="BR491" s="1098"/>
      <c r="BS491" s="1098"/>
      <c r="BT491" s="1098"/>
      <c r="BU491" s="1098"/>
      <c r="BV491" s="1098"/>
      <c r="BW491" s="1098"/>
      <c r="BX491" s="1098"/>
      <c r="BY491" s="1098"/>
      <c r="BZ491" s="1098"/>
      <c r="CA491" s="1098"/>
      <c r="CB491" s="1098"/>
      <c r="CC491" s="1098"/>
      <c r="CD491" s="1098"/>
      <c r="CE491" s="1098"/>
      <c r="CF491" s="1098"/>
      <c r="CG491" s="1098"/>
      <c r="CH491" s="1098"/>
      <c r="CI491" s="1098"/>
      <c r="CJ491" s="1098"/>
      <c r="CK491" s="1098"/>
      <c r="CL491" s="1098"/>
      <c r="CM491" s="1098"/>
      <c r="CN491" s="1098"/>
      <c r="CO491" s="1098"/>
      <c r="CP491" s="1098"/>
      <c r="CQ491" s="1098"/>
      <c r="CR491" s="1098"/>
      <c r="CS491" s="1098"/>
      <c r="CT491" s="1098"/>
      <c r="CU491" s="1098"/>
      <c r="CV491" s="1098"/>
      <c r="CW491" s="1098"/>
      <c r="CX491" s="1098"/>
      <c r="CY491" s="1098"/>
      <c r="CZ491" s="1098"/>
      <c r="DA491" s="1098"/>
      <c r="DB491" s="1098"/>
      <c r="DC491" s="1098"/>
      <c r="DD491" s="1098"/>
      <c r="DE491" s="1098"/>
      <c r="DF491" s="1098"/>
      <c r="DG491" s="1098"/>
      <c r="DH491" s="1098"/>
      <c r="DI491" s="1098"/>
      <c r="DJ491" s="1098"/>
      <c r="DK491" s="1098"/>
      <c r="DL491" s="1098"/>
      <c r="DM491" s="1098"/>
      <c r="DN491" s="1098"/>
      <c r="DO491" s="1098"/>
      <c r="DP491" s="1098"/>
      <c r="DQ491" s="1098"/>
      <c r="DR491" s="1098"/>
      <c r="DS491" s="1098"/>
      <c r="DT491" s="1098"/>
      <c r="DU491" s="1098"/>
      <c r="DV491" s="1098"/>
      <c r="DW491" s="1098"/>
      <c r="DX491" s="1098"/>
      <c r="DY491" s="1098"/>
      <c r="DZ491" s="1098"/>
      <c r="EA491" s="1098"/>
      <c r="EB491" s="1098"/>
      <c r="EC491" s="1098"/>
      <c r="ED491" s="1098"/>
      <c r="EE491" s="1098"/>
      <c r="EF491" s="1098"/>
      <c r="EG491" s="1098"/>
      <c r="EH491" s="1098"/>
      <c r="EI491" s="1098"/>
      <c r="EJ491" s="1098"/>
      <c r="EK491" s="1098"/>
      <c r="EL491" s="1098"/>
      <c r="EM491" s="1098"/>
      <c r="EN491" s="1098"/>
      <c r="EO491" s="1098"/>
      <c r="EP491" s="1098"/>
      <c r="EQ491" s="1098"/>
      <c r="ER491" s="1098"/>
      <c r="ES491" s="1098"/>
      <c r="ET491" s="1098"/>
      <c r="EU491" s="1098"/>
      <c r="EV491" s="1098"/>
      <c r="EW491" s="1098"/>
      <c r="EX491" s="1098"/>
      <c r="EY491" s="1098"/>
      <c r="EZ491" s="1098"/>
      <c r="FA491" s="1098"/>
      <c r="FB491" s="1098"/>
      <c r="FC491" s="1098"/>
      <c r="FD491" s="1098"/>
      <c r="FE491" s="1098"/>
      <c r="FF491" s="1098"/>
      <c r="FG491" s="1098"/>
      <c r="FH491" s="1098"/>
      <c r="FI491" s="1098"/>
      <c r="FJ491" s="1098"/>
      <c r="FK491" s="1098"/>
      <c r="FL491" s="1098"/>
      <c r="FM491" s="1098"/>
      <c r="FN491" s="1098"/>
      <c r="FO491" s="1098"/>
      <c r="FP491" s="1098"/>
      <c r="FQ491" s="1098"/>
      <c r="FR491" s="1098"/>
      <c r="FS491" s="1098"/>
      <c r="FT491" s="1098"/>
      <c r="FU491" s="1098"/>
      <c r="FV491" s="1098"/>
      <c r="FW491" s="1098"/>
      <c r="FX491" s="1098"/>
      <c r="FY491" s="1098"/>
      <c r="FZ491" s="1098"/>
      <c r="GA491" s="1098"/>
      <c r="GB491" s="1098"/>
      <c r="GC491" s="1098"/>
      <c r="GD491" s="1098"/>
      <c r="GE491" s="1098"/>
      <c r="GF491" s="1098"/>
      <c r="GG491" s="1098"/>
      <c r="GH491" s="1098"/>
      <c r="GI491" s="1098"/>
      <c r="GJ491" s="1098"/>
      <c r="GK491" s="1098"/>
      <c r="GL491" s="1098"/>
      <c r="GM491" s="1098"/>
      <c r="GN491" s="1098"/>
      <c r="GO491" s="1098"/>
      <c r="GP491" s="1098"/>
      <c r="GQ491" s="1098"/>
      <c r="GR491" s="1098"/>
      <c r="GS491" s="1098"/>
      <c r="GT491" s="1098"/>
      <c r="GU491" s="1098"/>
      <c r="GV491" s="1098"/>
      <c r="GW491" s="1098"/>
      <c r="GX491" s="1098"/>
      <c r="GY491" s="1098"/>
      <c r="GZ491" s="1098"/>
      <c r="HA491" s="1098"/>
      <c r="HB491" s="1098"/>
      <c r="HC491" s="1098"/>
      <c r="HD491" s="1098"/>
      <c r="HE491" s="1098"/>
      <c r="HF491" s="1098"/>
      <c r="HG491" s="1098"/>
      <c r="HH491" s="1098"/>
      <c r="HI491" s="1098"/>
      <c r="HJ491" s="1098"/>
      <c r="HK491" s="1098"/>
      <c r="HL491" s="1098"/>
      <c r="HM491" s="1098"/>
      <c r="HN491" s="1098"/>
      <c r="HO491" s="1098"/>
      <c r="HP491" s="1098"/>
      <c r="HQ491" s="1098"/>
      <c r="HR491" s="1098"/>
      <c r="HS491" s="1098"/>
      <c r="HT491" s="1098"/>
      <c r="HU491" s="1098"/>
      <c r="HV491" s="1098"/>
      <c r="HW491" s="1098"/>
      <c r="HX491" s="1098"/>
      <c r="HY491" s="1098"/>
      <c r="HZ491" s="1098"/>
      <c r="IA491" s="1098"/>
      <c r="IB491" s="1098"/>
      <c r="IC491" s="1098"/>
      <c r="ID491" s="1098"/>
      <c r="IE491" s="1098"/>
      <c r="IF491" s="1098"/>
      <c r="IG491" s="1098"/>
      <c r="IH491" s="1098"/>
      <c r="II491" s="1098"/>
      <c r="IJ491" s="1098"/>
      <c r="IK491" s="1098"/>
      <c r="IL491" s="1098"/>
      <c r="IM491" s="1098"/>
      <c r="IN491" s="1098"/>
      <c r="IO491" s="1098"/>
      <c r="IP491" s="1098"/>
      <c r="IQ491" s="1098"/>
      <c r="IR491" s="1098"/>
      <c r="IS491" s="1098"/>
      <c r="IT491" s="1098"/>
      <c r="IU491" s="1098"/>
      <c r="IV491" s="1098"/>
      <c r="IW491" s="1098"/>
      <c r="IX491" s="1098"/>
      <c r="IY491" s="1098"/>
      <c r="IZ491" s="1098"/>
      <c r="JA491" s="1098"/>
      <c r="JB491" s="1098"/>
      <c r="JC491" s="1098"/>
      <c r="JD491" s="1098"/>
      <c r="JE491" s="1098"/>
      <c r="JF491" s="1098"/>
      <c r="JG491" s="1098"/>
      <c r="JH491" s="1098"/>
      <c r="JI491" s="1098"/>
      <c r="JJ491" s="1098"/>
      <c r="JK491" s="1098"/>
      <c r="JL491" s="1098"/>
      <c r="JM491" s="1098"/>
      <c r="JN491" s="1098"/>
      <c r="JO491" s="1098"/>
      <c r="JP491" s="1098"/>
      <c r="JQ491" s="1098"/>
      <c r="JR491" s="1098"/>
      <c r="JS491" s="1098"/>
      <c r="JT491" s="1098"/>
      <c r="JU491" s="1098"/>
      <c r="JV491" s="1098"/>
      <c r="JW491" s="1098"/>
      <c r="JX491" s="1098"/>
      <c r="JY491" s="1098"/>
      <c r="JZ491" s="1098"/>
      <c r="KA491" s="1098"/>
      <c r="KB491" s="1099"/>
    </row>
    <row r="492" spans="2:288" ht="15" customHeight="1" x14ac:dyDescent="0.35">
      <c r="B492" s="146" t="str">
        <f t="shared" si="38"/>
        <v>Desk 68</v>
      </c>
      <c r="C492" s="148" t="str">
        <v/>
      </c>
      <c r="D492" s="148" t="str">
        <v/>
      </c>
      <c r="E492" s="148" t="str">
        <v/>
      </c>
      <c r="F492" s="148" t="str">
        <v/>
      </c>
      <c r="G492" s="268" t="str">
        <v/>
      </c>
      <c r="H492" s="1098"/>
      <c r="I492" s="1098"/>
      <c r="J492" s="1098"/>
      <c r="K492" s="1098"/>
      <c r="L492" s="1098"/>
      <c r="M492" s="1098"/>
      <c r="N492" s="1098"/>
      <c r="O492" s="1098"/>
      <c r="P492" s="1098"/>
      <c r="Q492" s="1098"/>
      <c r="R492" s="1098"/>
      <c r="S492" s="1098"/>
      <c r="T492" s="1098"/>
      <c r="U492" s="1098"/>
      <c r="V492" s="1098"/>
      <c r="W492" s="1098"/>
      <c r="X492" s="1098"/>
      <c r="Y492" s="1098"/>
      <c r="Z492" s="1098"/>
      <c r="AA492" s="1098"/>
      <c r="AB492" s="1098"/>
      <c r="AC492" s="1098"/>
      <c r="AD492" s="1098"/>
      <c r="AE492" s="1098"/>
      <c r="AF492" s="1098"/>
      <c r="AG492" s="1098"/>
      <c r="AH492" s="1098"/>
      <c r="AI492" s="1098"/>
      <c r="AJ492" s="1098"/>
      <c r="AK492" s="1098"/>
      <c r="AL492" s="1098"/>
      <c r="AM492" s="1098"/>
      <c r="AN492" s="1098"/>
      <c r="AO492" s="1098"/>
      <c r="AP492" s="1098"/>
      <c r="AQ492" s="1098"/>
      <c r="AR492" s="1098"/>
      <c r="AS492" s="1098"/>
      <c r="AT492" s="1098"/>
      <c r="AU492" s="1098"/>
      <c r="AV492" s="1098"/>
      <c r="AW492" s="1098"/>
      <c r="AX492" s="1098"/>
      <c r="AY492" s="1098"/>
      <c r="AZ492" s="1098"/>
      <c r="BA492" s="1098"/>
      <c r="BB492" s="1098"/>
      <c r="BC492" s="1098"/>
      <c r="BD492" s="1098"/>
      <c r="BE492" s="1098"/>
      <c r="BF492" s="1098"/>
      <c r="BG492" s="1098"/>
      <c r="BH492" s="1098"/>
      <c r="BI492" s="1098"/>
      <c r="BJ492" s="1098"/>
      <c r="BK492" s="1098"/>
      <c r="BL492" s="1098"/>
      <c r="BM492" s="1098"/>
      <c r="BN492" s="1098"/>
      <c r="BO492" s="1098"/>
      <c r="BP492" s="1098"/>
      <c r="BQ492" s="1098"/>
      <c r="BR492" s="1098"/>
      <c r="BS492" s="1098"/>
      <c r="BT492" s="1098"/>
      <c r="BU492" s="1098"/>
      <c r="BV492" s="1098"/>
      <c r="BW492" s="1098"/>
      <c r="BX492" s="1098"/>
      <c r="BY492" s="1098"/>
      <c r="BZ492" s="1098"/>
      <c r="CA492" s="1098"/>
      <c r="CB492" s="1098"/>
      <c r="CC492" s="1098"/>
      <c r="CD492" s="1098"/>
      <c r="CE492" s="1098"/>
      <c r="CF492" s="1098"/>
      <c r="CG492" s="1098"/>
      <c r="CH492" s="1098"/>
      <c r="CI492" s="1098"/>
      <c r="CJ492" s="1098"/>
      <c r="CK492" s="1098"/>
      <c r="CL492" s="1098"/>
      <c r="CM492" s="1098"/>
      <c r="CN492" s="1098"/>
      <c r="CO492" s="1098"/>
      <c r="CP492" s="1098"/>
      <c r="CQ492" s="1098"/>
      <c r="CR492" s="1098"/>
      <c r="CS492" s="1098"/>
      <c r="CT492" s="1098"/>
      <c r="CU492" s="1098"/>
      <c r="CV492" s="1098"/>
      <c r="CW492" s="1098"/>
      <c r="CX492" s="1098"/>
      <c r="CY492" s="1098"/>
      <c r="CZ492" s="1098"/>
      <c r="DA492" s="1098"/>
      <c r="DB492" s="1098"/>
      <c r="DC492" s="1098"/>
      <c r="DD492" s="1098"/>
      <c r="DE492" s="1098"/>
      <c r="DF492" s="1098"/>
      <c r="DG492" s="1098"/>
      <c r="DH492" s="1098"/>
      <c r="DI492" s="1098"/>
      <c r="DJ492" s="1098"/>
      <c r="DK492" s="1098"/>
      <c r="DL492" s="1098"/>
      <c r="DM492" s="1098"/>
      <c r="DN492" s="1098"/>
      <c r="DO492" s="1098"/>
      <c r="DP492" s="1098"/>
      <c r="DQ492" s="1098"/>
      <c r="DR492" s="1098"/>
      <c r="DS492" s="1098"/>
      <c r="DT492" s="1098"/>
      <c r="DU492" s="1098"/>
      <c r="DV492" s="1098"/>
      <c r="DW492" s="1098"/>
      <c r="DX492" s="1098"/>
      <c r="DY492" s="1098"/>
      <c r="DZ492" s="1098"/>
      <c r="EA492" s="1098"/>
      <c r="EB492" s="1098"/>
      <c r="EC492" s="1098"/>
      <c r="ED492" s="1098"/>
      <c r="EE492" s="1098"/>
      <c r="EF492" s="1098"/>
      <c r="EG492" s="1098"/>
      <c r="EH492" s="1098"/>
      <c r="EI492" s="1098"/>
      <c r="EJ492" s="1098"/>
      <c r="EK492" s="1098"/>
      <c r="EL492" s="1098"/>
      <c r="EM492" s="1098"/>
      <c r="EN492" s="1098"/>
      <c r="EO492" s="1098"/>
      <c r="EP492" s="1098"/>
      <c r="EQ492" s="1098"/>
      <c r="ER492" s="1098"/>
      <c r="ES492" s="1098"/>
      <c r="ET492" s="1098"/>
      <c r="EU492" s="1098"/>
      <c r="EV492" s="1098"/>
      <c r="EW492" s="1098"/>
      <c r="EX492" s="1098"/>
      <c r="EY492" s="1098"/>
      <c r="EZ492" s="1098"/>
      <c r="FA492" s="1098"/>
      <c r="FB492" s="1098"/>
      <c r="FC492" s="1098"/>
      <c r="FD492" s="1098"/>
      <c r="FE492" s="1098"/>
      <c r="FF492" s="1098"/>
      <c r="FG492" s="1098"/>
      <c r="FH492" s="1098"/>
      <c r="FI492" s="1098"/>
      <c r="FJ492" s="1098"/>
      <c r="FK492" s="1098"/>
      <c r="FL492" s="1098"/>
      <c r="FM492" s="1098"/>
      <c r="FN492" s="1098"/>
      <c r="FO492" s="1098"/>
      <c r="FP492" s="1098"/>
      <c r="FQ492" s="1098"/>
      <c r="FR492" s="1098"/>
      <c r="FS492" s="1098"/>
      <c r="FT492" s="1098"/>
      <c r="FU492" s="1098"/>
      <c r="FV492" s="1098"/>
      <c r="FW492" s="1098"/>
      <c r="FX492" s="1098"/>
      <c r="FY492" s="1098"/>
      <c r="FZ492" s="1098"/>
      <c r="GA492" s="1098"/>
      <c r="GB492" s="1098"/>
      <c r="GC492" s="1098"/>
      <c r="GD492" s="1098"/>
      <c r="GE492" s="1098"/>
      <c r="GF492" s="1098"/>
      <c r="GG492" s="1098"/>
      <c r="GH492" s="1098"/>
      <c r="GI492" s="1098"/>
      <c r="GJ492" s="1098"/>
      <c r="GK492" s="1098"/>
      <c r="GL492" s="1098"/>
      <c r="GM492" s="1098"/>
      <c r="GN492" s="1098"/>
      <c r="GO492" s="1098"/>
      <c r="GP492" s="1098"/>
      <c r="GQ492" s="1098"/>
      <c r="GR492" s="1098"/>
      <c r="GS492" s="1098"/>
      <c r="GT492" s="1098"/>
      <c r="GU492" s="1098"/>
      <c r="GV492" s="1098"/>
      <c r="GW492" s="1098"/>
      <c r="GX492" s="1098"/>
      <c r="GY492" s="1098"/>
      <c r="GZ492" s="1098"/>
      <c r="HA492" s="1098"/>
      <c r="HB492" s="1098"/>
      <c r="HC492" s="1098"/>
      <c r="HD492" s="1098"/>
      <c r="HE492" s="1098"/>
      <c r="HF492" s="1098"/>
      <c r="HG492" s="1098"/>
      <c r="HH492" s="1098"/>
      <c r="HI492" s="1098"/>
      <c r="HJ492" s="1098"/>
      <c r="HK492" s="1098"/>
      <c r="HL492" s="1098"/>
      <c r="HM492" s="1098"/>
      <c r="HN492" s="1098"/>
      <c r="HO492" s="1098"/>
      <c r="HP492" s="1098"/>
      <c r="HQ492" s="1098"/>
      <c r="HR492" s="1098"/>
      <c r="HS492" s="1098"/>
      <c r="HT492" s="1098"/>
      <c r="HU492" s="1098"/>
      <c r="HV492" s="1098"/>
      <c r="HW492" s="1098"/>
      <c r="HX492" s="1098"/>
      <c r="HY492" s="1098"/>
      <c r="HZ492" s="1098"/>
      <c r="IA492" s="1098"/>
      <c r="IB492" s="1098"/>
      <c r="IC492" s="1098"/>
      <c r="ID492" s="1098"/>
      <c r="IE492" s="1098"/>
      <c r="IF492" s="1098"/>
      <c r="IG492" s="1098"/>
      <c r="IH492" s="1098"/>
      <c r="II492" s="1098"/>
      <c r="IJ492" s="1098"/>
      <c r="IK492" s="1098"/>
      <c r="IL492" s="1098"/>
      <c r="IM492" s="1098"/>
      <c r="IN492" s="1098"/>
      <c r="IO492" s="1098"/>
      <c r="IP492" s="1098"/>
      <c r="IQ492" s="1098"/>
      <c r="IR492" s="1098"/>
      <c r="IS492" s="1098"/>
      <c r="IT492" s="1098"/>
      <c r="IU492" s="1098"/>
      <c r="IV492" s="1098"/>
      <c r="IW492" s="1098"/>
      <c r="IX492" s="1098"/>
      <c r="IY492" s="1098"/>
      <c r="IZ492" s="1098"/>
      <c r="JA492" s="1098"/>
      <c r="JB492" s="1098"/>
      <c r="JC492" s="1098"/>
      <c r="JD492" s="1098"/>
      <c r="JE492" s="1098"/>
      <c r="JF492" s="1098"/>
      <c r="JG492" s="1098"/>
      <c r="JH492" s="1098"/>
      <c r="JI492" s="1098"/>
      <c r="JJ492" s="1098"/>
      <c r="JK492" s="1098"/>
      <c r="JL492" s="1098"/>
      <c r="JM492" s="1098"/>
      <c r="JN492" s="1098"/>
      <c r="JO492" s="1098"/>
      <c r="JP492" s="1098"/>
      <c r="JQ492" s="1098"/>
      <c r="JR492" s="1098"/>
      <c r="JS492" s="1098"/>
      <c r="JT492" s="1098"/>
      <c r="JU492" s="1098"/>
      <c r="JV492" s="1098"/>
      <c r="JW492" s="1098"/>
      <c r="JX492" s="1098"/>
      <c r="JY492" s="1098"/>
      <c r="JZ492" s="1098"/>
      <c r="KA492" s="1098"/>
      <c r="KB492" s="1099"/>
    </row>
    <row r="493" spans="2:288" ht="15" customHeight="1" x14ac:dyDescent="0.35">
      <c r="B493" s="146" t="str">
        <f t="shared" si="38"/>
        <v>Desk 69</v>
      </c>
      <c r="C493" s="148" t="str">
        <v/>
      </c>
      <c r="D493" s="148" t="str">
        <v/>
      </c>
      <c r="E493" s="148" t="str">
        <v/>
      </c>
      <c r="F493" s="148" t="str">
        <v/>
      </c>
      <c r="G493" s="268" t="str">
        <v/>
      </c>
      <c r="H493" s="1098"/>
      <c r="I493" s="1098"/>
      <c r="J493" s="1098"/>
      <c r="K493" s="1098"/>
      <c r="L493" s="1098"/>
      <c r="M493" s="1098"/>
      <c r="N493" s="1098"/>
      <c r="O493" s="1098"/>
      <c r="P493" s="1098"/>
      <c r="Q493" s="1098"/>
      <c r="R493" s="1098"/>
      <c r="S493" s="1098"/>
      <c r="T493" s="1098"/>
      <c r="U493" s="1098"/>
      <c r="V493" s="1098"/>
      <c r="W493" s="1098"/>
      <c r="X493" s="1098"/>
      <c r="Y493" s="1098"/>
      <c r="Z493" s="1098"/>
      <c r="AA493" s="1098"/>
      <c r="AB493" s="1098"/>
      <c r="AC493" s="1098"/>
      <c r="AD493" s="1098"/>
      <c r="AE493" s="1098"/>
      <c r="AF493" s="1098"/>
      <c r="AG493" s="1098"/>
      <c r="AH493" s="1098"/>
      <c r="AI493" s="1098"/>
      <c r="AJ493" s="1098"/>
      <c r="AK493" s="1098"/>
      <c r="AL493" s="1098"/>
      <c r="AM493" s="1098"/>
      <c r="AN493" s="1098"/>
      <c r="AO493" s="1098"/>
      <c r="AP493" s="1098"/>
      <c r="AQ493" s="1098"/>
      <c r="AR493" s="1098"/>
      <c r="AS493" s="1098"/>
      <c r="AT493" s="1098"/>
      <c r="AU493" s="1098"/>
      <c r="AV493" s="1098"/>
      <c r="AW493" s="1098"/>
      <c r="AX493" s="1098"/>
      <c r="AY493" s="1098"/>
      <c r="AZ493" s="1098"/>
      <c r="BA493" s="1098"/>
      <c r="BB493" s="1098"/>
      <c r="BC493" s="1098"/>
      <c r="BD493" s="1098"/>
      <c r="BE493" s="1098"/>
      <c r="BF493" s="1098"/>
      <c r="BG493" s="1098"/>
      <c r="BH493" s="1098"/>
      <c r="BI493" s="1098"/>
      <c r="BJ493" s="1098"/>
      <c r="BK493" s="1098"/>
      <c r="BL493" s="1098"/>
      <c r="BM493" s="1098"/>
      <c r="BN493" s="1098"/>
      <c r="BO493" s="1098"/>
      <c r="BP493" s="1098"/>
      <c r="BQ493" s="1098"/>
      <c r="BR493" s="1098"/>
      <c r="BS493" s="1098"/>
      <c r="BT493" s="1098"/>
      <c r="BU493" s="1098"/>
      <c r="BV493" s="1098"/>
      <c r="BW493" s="1098"/>
      <c r="BX493" s="1098"/>
      <c r="BY493" s="1098"/>
      <c r="BZ493" s="1098"/>
      <c r="CA493" s="1098"/>
      <c r="CB493" s="1098"/>
      <c r="CC493" s="1098"/>
      <c r="CD493" s="1098"/>
      <c r="CE493" s="1098"/>
      <c r="CF493" s="1098"/>
      <c r="CG493" s="1098"/>
      <c r="CH493" s="1098"/>
      <c r="CI493" s="1098"/>
      <c r="CJ493" s="1098"/>
      <c r="CK493" s="1098"/>
      <c r="CL493" s="1098"/>
      <c r="CM493" s="1098"/>
      <c r="CN493" s="1098"/>
      <c r="CO493" s="1098"/>
      <c r="CP493" s="1098"/>
      <c r="CQ493" s="1098"/>
      <c r="CR493" s="1098"/>
      <c r="CS493" s="1098"/>
      <c r="CT493" s="1098"/>
      <c r="CU493" s="1098"/>
      <c r="CV493" s="1098"/>
      <c r="CW493" s="1098"/>
      <c r="CX493" s="1098"/>
      <c r="CY493" s="1098"/>
      <c r="CZ493" s="1098"/>
      <c r="DA493" s="1098"/>
      <c r="DB493" s="1098"/>
      <c r="DC493" s="1098"/>
      <c r="DD493" s="1098"/>
      <c r="DE493" s="1098"/>
      <c r="DF493" s="1098"/>
      <c r="DG493" s="1098"/>
      <c r="DH493" s="1098"/>
      <c r="DI493" s="1098"/>
      <c r="DJ493" s="1098"/>
      <c r="DK493" s="1098"/>
      <c r="DL493" s="1098"/>
      <c r="DM493" s="1098"/>
      <c r="DN493" s="1098"/>
      <c r="DO493" s="1098"/>
      <c r="DP493" s="1098"/>
      <c r="DQ493" s="1098"/>
      <c r="DR493" s="1098"/>
      <c r="DS493" s="1098"/>
      <c r="DT493" s="1098"/>
      <c r="DU493" s="1098"/>
      <c r="DV493" s="1098"/>
      <c r="DW493" s="1098"/>
      <c r="DX493" s="1098"/>
      <c r="DY493" s="1098"/>
      <c r="DZ493" s="1098"/>
      <c r="EA493" s="1098"/>
      <c r="EB493" s="1098"/>
      <c r="EC493" s="1098"/>
      <c r="ED493" s="1098"/>
      <c r="EE493" s="1098"/>
      <c r="EF493" s="1098"/>
      <c r="EG493" s="1098"/>
      <c r="EH493" s="1098"/>
      <c r="EI493" s="1098"/>
      <c r="EJ493" s="1098"/>
      <c r="EK493" s="1098"/>
      <c r="EL493" s="1098"/>
      <c r="EM493" s="1098"/>
      <c r="EN493" s="1098"/>
      <c r="EO493" s="1098"/>
      <c r="EP493" s="1098"/>
      <c r="EQ493" s="1098"/>
      <c r="ER493" s="1098"/>
      <c r="ES493" s="1098"/>
      <c r="ET493" s="1098"/>
      <c r="EU493" s="1098"/>
      <c r="EV493" s="1098"/>
      <c r="EW493" s="1098"/>
      <c r="EX493" s="1098"/>
      <c r="EY493" s="1098"/>
      <c r="EZ493" s="1098"/>
      <c r="FA493" s="1098"/>
      <c r="FB493" s="1098"/>
      <c r="FC493" s="1098"/>
      <c r="FD493" s="1098"/>
      <c r="FE493" s="1098"/>
      <c r="FF493" s="1098"/>
      <c r="FG493" s="1098"/>
      <c r="FH493" s="1098"/>
      <c r="FI493" s="1098"/>
      <c r="FJ493" s="1098"/>
      <c r="FK493" s="1098"/>
      <c r="FL493" s="1098"/>
      <c r="FM493" s="1098"/>
      <c r="FN493" s="1098"/>
      <c r="FO493" s="1098"/>
      <c r="FP493" s="1098"/>
      <c r="FQ493" s="1098"/>
      <c r="FR493" s="1098"/>
      <c r="FS493" s="1098"/>
      <c r="FT493" s="1098"/>
      <c r="FU493" s="1098"/>
      <c r="FV493" s="1098"/>
      <c r="FW493" s="1098"/>
      <c r="FX493" s="1098"/>
      <c r="FY493" s="1098"/>
      <c r="FZ493" s="1098"/>
      <c r="GA493" s="1098"/>
      <c r="GB493" s="1098"/>
      <c r="GC493" s="1098"/>
      <c r="GD493" s="1098"/>
      <c r="GE493" s="1098"/>
      <c r="GF493" s="1098"/>
      <c r="GG493" s="1098"/>
      <c r="GH493" s="1098"/>
      <c r="GI493" s="1098"/>
      <c r="GJ493" s="1098"/>
      <c r="GK493" s="1098"/>
      <c r="GL493" s="1098"/>
      <c r="GM493" s="1098"/>
      <c r="GN493" s="1098"/>
      <c r="GO493" s="1098"/>
      <c r="GP493" s="1098"/>
      <c r="GQ493" s="1098"/>
      <c r="GR493" s="1098"/>
      <c r="GS493" s="1098"/>
      <c r="GT493" s="1098"/>
      <c r="GU493" s="1098"/>
      <c r="GV493" s="1098"/>
      <c r="GW493" s="1098"/>
      <c r="GX493" s="1098"/>
      <c r="GY493" s="1098"/>
      <c r="GZ493" s="1098"/>
      <c r="HA493" s="1098"/>
      <c r="HB493" s="1098"/>
      <c r="HC493" s="1098"/>
      <c r="HD493" s="1098"/>
      <c r="HE493" s="1098"/>
      <c r="HF493" s="1098"/>
      <c r="HG493" s="1098"/>
      <c r="HH493" s="1098"/>
      <c r="HI493" s="1098"/>
      <c r="HJ493" s="1098"/>
      <c r="HK493" s="1098"/>
      <c r="HL493" s="1098"/>
      <c r="HM493" s="1098"/>
      <c r="HN493" s="1098"/>
      <c r="HO493" s="1098"/>
      <c r="HP493" s="1098"/>
      <c r="HQ493" s="1098"/>
      <c r="HR493" s="1098"/>
      <c r="HS493" s="1098"/>
      <c r="HT493" s="1098"/>
      <c r="HU493" s="1098"/>
      <c r="HV493" s="1098"/>
      <c r="HW493" s="1098"/>
      <c r="HX493" s="1098"/>
      <c r="HY493" s="1098"/>
      <c r="HZ493" s="1098"/>
      <c r="IA493" s="1098"/>
      <c r="IB493" s="1098"/>
      <c r="IC493" s="1098"/>
      <c r="ID493" s="1098"/>
      <c r="IE493" s="1098"/>
      <c r="IF493" s="1098"/>
      <c r="IG493" s="1098"/>
      <c r="IH493" s="1098"/>
      <c r="II493" s="1098"/>
      <c r="IJ493" s="1098"/>
      <c r="IK493" s="1098"/>
      <c r="IL493" s="1098"/>
      <c r="IM493" s="1098"/>
      <c r="IN493" s="1098"/>
      <c r="IO493" s="1098"/>
      <c r="IP493" s="1098"/>
      <c r="IQ493" s="1098"/>
      <c r="IR493" s="1098"/>
      <c r="IS493" s="1098"/>
      <c r="IT493" s="1098"/>
      <c r="IU493" s="1098"/>
      <c r="IV493" s="1098"/>
      <c r="IW493" s="1098"/>
      <c r="IX493" s="1098"/>
      <c r="IY493" s="1098"/>
      <c r="IZ493" s="1098"/>
      <c r="JA493" s="1098"/>
      <c r="JB493" s="1098"/>
      <c r="JC493" s="1098"/>
      <c r="JD493" s="1098"/>
      <c r="JE493" s="1098"/>
      <c r="JF493" s="1098"/>
      <c r="JG493" s="1098"/>
      <c r="JH493" s="1098"/>
      <c r="JI493" s="1098"/>
      <c r="JJ493" s="1098"/>
      <c r="JK493" s="1098"/>
      <c r="JL493" s="1098"/>
      <c r="JM493" s="1098"/>
      <c r="JN493" s="1098"/>
      <c r="JO493" s="1098"/>
      <c r="JP493" s="1098"/>
      <c r="JQ493" s="1098"/>
      <c r="JR493" s="1098"/>
      <c r="JS493" s="1098"/>
      <c r="JT493" s="1098"/>
      <c r="JU493" s="1098"/>
      <c r="JV493" s="1098"/>
      <c r="JW493" s="1098"/>
      <c r="JX493" s="1098"/>
      <c r="JY493" s="1098"/>
      <c r="JZ493" s="1098"/>
      <c r="KA493" s="1098"/>
      <c r="KB493" s="1099"/>
    </row>
    <row r="494" spans="2:288" ht="15" customHeight="1" x14ac:dyDescent="0.35">
      <c r="B494" s="146" t="str">
        <f t="shared" si="38"/>
        <v>Desk 70</v>
      </c>
      <c r="C494" s="148" t="str">
        <v/>
      </c>
      <c r="D494" s="148" t="str">
        <v/>
      </c>
      <c r="E494" s="148" t="str">
        <v/>
      </c>
      <c r="F494" s="148" t="str">
        <v/>
      </c>
      <c r="G494" s="268" t="str">
        <v/>
      </c>
      <c r="H494" s="1098"/>
      <c r="I494" s="1098"/>
      <c r="J494" s="1098"/>
      <c r="K494" s="1098"/>
      <c r="L494" s="1098"/>
      <c r="M494" s="1098"/>
      <c r="N494" s="1098"/>
      <c r="O494" s="1098"/>
      <c r="P494" s="1098"/>
      <c r="Q494" s="1098"/>
      <c r="R494" s="1098"/>
      <c r="S494" s="1098"/>
      <c r="T494" s="1098"/>
      <c r="U494" s="1098"/>
      <c r="V494" s="1098"/>
      <c r="W494" s="1098"/>
      <c r="X494" s="1098"/>
      <c r="Y494" s="1098"/>
      <c r="Z494" s="1098"/>
      <c r="AA494" s="1098"/>
      <c r="AB494" s="1098"/>
      <c r="AC494" s="1098"/>
      <c r="AD494" s="1098"/>
      <c r="AE494" s="1098"/>
      <c r="AF494" s="1098"/>
      <c r="AG494" s="1098"/>
      <c r="AH494" s="1098"/>
      <c r="AI494" s="1098"/>
      <c r="AJ494" s="1098"/>
      <c r="AK494" s="1098"/>
      <c r="AL494" s="1098"/>
      <c r="AM494" s="1098"/>
      <c r="AN494" s="1098"/>
      <c r="AO494" s="1098"/>
      <c r="AP494" s="1098"/>
      <c r="AQ494" s="1098"/>
      <c r="AR494" s="1098"/>
      <c r="AS494" s="1098"/>
      <c r="AT494" s="1098"/>
      <c r="AU494" s="1098"/>
      <c r="AV494" s="1098"/>
      <c r="AW494" s="1098"/>
      <c r="AX494" s="1098"/>
      <c r="AY494" s="1098"/>
      <c r="AZ494" s="1098"/>
      <c r="BA494" s="1098"/>
      <c r="BB494" s="1098"/>
      <c r="BC494" s="1098"/>
      <c r="BD494" s="1098"/>
      <c r="BE494" s="1098"/>
      <c r="BF494" s="1098"/>
      <c r="BG494" s="1098"/>
      <c r="BH494" s="1098"/>
      <c r="BI494" s="1098"/>
      <c r="BJ494" s="1098"/>
      <c r="BK494" s="1098"/>
      <c r="BL494" s="1098"/>
      <c r="BM494" s="1098"/>
      <c r="BN494" s="1098"/>
      <c r="BO494" s="1098"/>
      <c r="BP494" s="1098"/>
      <c r="BQ494" s="1098"/>
      <c r="BR494" s="1098"/>
      <c r="BS494" s="1098"/>
      <c r="BT494" s="1098"/>
      <c r="BU494" s="1098"/>
      <c r="BV494" s="1098"/>
      <c r="BW494" s="1098"/>
      <c r="BX494" s="1098"/>
      <c r="BY494" s="1098"/>
      <c r="BZ494" s="1098"/>
      <c r="CA494" s="1098"/>
      <c r="CB494" s="1098"/>
      <c r="CC494" s="1098"/>
      <c r="CD494" s="1098"/>
      <c r="CE494" s="1098"/>
      <c r="CF494" s="1098"/>
      <c r="CG494" s="1098"/>
      <c r="CH494" s="1098"/>
      <c r="CI494" s="1098"/>
      <c r="CJ494" s="1098"/>
      <c r="CK494" s="1098"/>
      <c r="CL494" s="1098"/>
      <c r="CM494" s="1098"/>
      <c r="CN494" s="1098"/>
      <c r="CO494" s="1098"/>
      <c r="CP494" s="1098"/>
      <c r="CQ494" s="1098"/>
      <c r="CR494" s="1098"/>
      <c r="CS494" s="1098"/>
      <c r="CT494" s="1098"/>
      <c r="CU494" s="1098"/>
      <c r="CV494" s="1098"/>
      <c r="CW494" s="1098"/>
      <c r="CX494" s="1098"/>
      <c r="CY494" s="1098"/>
      <c r="CZ494" s="1098"/>
      <c r="DA494" s="1098"/>
      <c r="DB494" s="1098"/>
      <c r="DC494" s="1098"/>
      <c r="DD494" s="1098"/>
      <c r="DE494" s="1098"/>
      <c r="DF494" s="1098"/>
      <c r="DG494" s="1098"/>
      <c r="DH494" s="1098"/>
      <c r="DI494" s="1098"/>
      <c r="DJ494" s="1098"/>
      <c r="DK494" s="1098"/>
      <c r="DL494" s="1098"/>
      <c r="DM494" s="1098"/>
      <c r="DN494" s="1098"/>
      <c r="DO494" s="1098"/>
      <c r="DP494" s="1098"/>
      <c r="DQ494" s="1098"/>
      <c r="DR494" s="1098"/>
      <c r="DS494" s="1098"/>
      <c r="DT494" s="1098"/>
      <c r="DU494" s="1098"/>
      <c r="DV494" s="1098"/>
      <c r="DW494" s="1098"/>
      <c r="DX494" s="1098"/>
      <c r="DY494" s="1098"/>
      <c r="DZ494" s="1098"/>
      <c r="EA494" s="1098"/>
      <c r="EB494" s="1098"/>
      <c r="EC494" s="1098"/>
      <c r="ED494" s="1098"/>
      <c r="EE494" s="1098"/>
      <c r="EF494" s="1098"/>
      <c r="EG494" s="1098"/>
      <c r="EH494" s="1098"/>
      <c r="EI494" s="1098"/>
      <c r="EJ494" s="1098"/>
      <c r="EK494" s="1098"/>
      <c r="EL494" s="1098"/>
      <c r="EM494" s="1098"/>
      <c r="EN494" s="1098"/>
      <c r="EO494" s="1098"/>
      <c r="EP494" s="1098"/>
      <c r="EQ494" s="1098"/>
      <c r="ER494" s="1098"/>
      <c r="ES494" s="1098"/>
      <c r="ET494" s="1098"/>
      <c r="EU494" s="1098"/>
      <c r="EV494" s="1098"/>
      <c r="EW494" s="1098"/>
      <c r="EX494" s="1098"/>
      <c r="EY494" s="1098"/>
      <c r="EZ494" s="1098"/>
      <c r="FA494" s="1098"/>
      <c r="FB494" s="1098"/>
      <c r="FC494" s="1098"/>
      <c r="FD494" s="1098"/>
      <c r="FE494" s="1098"/>
      <c r="FF494" s="1098"/>
      <c r="FG494" s="1098"/>
      <c r="FH494" s="1098"/>
      <c r="FI494" s="1098"/>
      <c r="FJ494" s="1098"/>
      <c r="FK494" s="1098"/>
      <c r="FL494" s="1098"/>
      <c r="FM494" s="1098"/>
      <c r="FN494" s="1098"/>
      <c r="FO494" s="1098"/>
      <c r="FP494" s="1098"/>
      <c r="FQ494" s="1098"/>
      <c r="FR494" s="1098"/>
      <c r="FS494" s="1098"/>
      <c r="FT494" s="1098"/>
      <c r="FU494" s="1098"/>
      <c r="FV494" s="1098"/>
      <c r="FW494" s="1098"/>
      <c r="FX494" s="1098"/>
      <c r="FY494" s="1098"/>
      <c r="FZ494" s="1098"/>
      <c r="GA494" s="1098"/>
      <c r="GB494" s="1098"/>
      <c r="GC494" s="1098"/>
      <c r="GD494" s="1098"/>
      <c r="GE494" s="1098"/>
      <c r="GF494" s="1098"/>
      <c r="GG494" s="1098"/>
      <c r="GH494" s="1098"/>
      <c r="GI494" s="1098"/>
      <c r="GJ494" s="1098"/>
      <c r="GK494" s="1098"/>
      <c r="GL494" s="1098"/>
      <c r="GM494" s="1098"/>
      <c r="GN494" s="1098"/>
      <c r="GO494" s="1098"/>
      <c r="GP494" s="1098"/>
      <c r="GQ494" s="1098"/>
      <c r="GR494" s="1098"/>
      <c r="GS494" s="1098"/>
      <c r="GT494" s="1098"/>
      <c r="GU494" s="1098"/>
      <c r="GV494" s="1098"/>
      <c r="GW494" s="1098"/>
      <c r="GX494" s="1098"/>
      <c r="GY494" s="1098"/>
      <c r="GZ494" s="1098"/>
      <c r="HA494" s="1098"/>
      <c r="HB494" s="1098"/>
      <c r="HC494" s="1098"/>
      <c r="HD494" s="1098"/>
      <c r="HE494" s="1098"/>
      <c r="HF494" s="1098"/>
      <c r="HG494" s="1098"/>
      <c r="HH494" s="1098"/>
      <c r="HI494" s="1098"/>
      <c r="HJ494" s="1098"/>
      <c r="HK494" s="1098"/>
      <c r="HL494" s="1098"/>
      <c r="HM494" s="1098"/>
      <c r="HN494" s="1098"/>
      <c r="HO494" s="1098"/>
      <c r="HP494" s="1098"/>
      <c r="HQ494" s="1098"/>
      <c r="HR494" s="1098"/>
      <c r="HS494" s="1098"/>
      <c r="HT494" s="1098"/>
      <c r="HU494" s="1098"/>
      <c r="HV494" s="1098"/>
      <c r="HW494" s="1098"/>
      <c r="HX494" s="1098"/>
      <c r="HY494" s="1098"/>
      <c r="HZ494" s="1098"/>
      <c r="IA494" s="1098"/>
      <c r="IB494" s="1098"/>
      <c r="IC494" s="1098"/>
      <c r="ID494" s="1098"/>
      <c r="IE494" s="1098"/>
      <c r="IF494" s="1098"/>
      <c r="IG494" s="1098"/>
      <c r="IH494" s="1098"/>
      <c r="II494" s="1098"/>
      <c r="IJ494" s="1098"/>
      <c r="IK494" s="1098"/>
      <c r="IL494" s="1098"/>
      <c r="IM494" s="1098"/>
      <c r="IN494" s="1098"/>
      <c r="IO494" s="1098"/>
      <c r="IP494" s="1098"/>
      <c r="IQ494" s="1098"/>
      <c r="IR494" s="1098"/>
      <c r="IS494" s="1098"/>
      <c r="IT494" s="1098"/>
      <c r="IU494" s="1098"/>
      <c r="IV494" s="1098"/>
      <c r="IW494" s="1098"/>
      <c r="IX494" s="1098"/>
      <c r="IY494" s="1098"/>
      <c r="IZ494" s="1098"/>
      <c r="JA494" s="1098"/>
      <c r="JB494" s="1098"/>
      <c r="JC494" s="1098"/>
      <c r="JD494" s="1098"/>
      <c r="JE494" s="1098"/>
      <c r="JF494" s="1098"/>
      <c r="JG494" s="1098"/>
      <c r="JH494" s="1098"/>
      <c r="JI494" s="1098"/>
      <c r="JJ494" s="1098"/>
      <c r="JK494" s="1098"/>
      <c r="JL494" s="1098"/>
      <c r="JM494" s="1098"/>
      <c r="JN494" s="1098"/>
      <c r="JO494" s="1098"/>
      <c r="JP494" s="1098"/>
      <c r="JQ494" s="1098"/>
      <c r="JR494" s="1098"/>
      <c r="JS494" s="1098"/>
      <c r="JT494" s="1098"/>
      <c r="JU494" s="1098"/>
      <c r="JV494" s="1098"/>
      <c r="JW494" s="1098"/>
      <c r="JX494" s="1098"/>
      <c r="JY494" s="1098"/>
      <c r="JZ494" s="1098"/>
      <c r="KA494" s="1098"/>
      <c r="KB494" s="1099"/>
    </row>
    <row r="495" spans="2:288" ht="15" customHeight="1" x14ac:dyDescent="0.35">
      <c r="B495" s="146" t="str">
        <f t="shared" si="38"/>
        <v>Desk 71</v>
      </c>
      <c r="C495" s="148" t="str">
        <v/>
      </c>
      <c r="D495" s="148" t="str">
        <v/>
      </c>
      <c r="E495" s="148" t="str">
        <v/>
      </c>
      <c r="F495" s="148" t="str">
        <v/>
      </c>
      <c r="G495" s="268" t="str">
        <v/>
      </c>
      <c r="H495" s="1098"/>
      <c r="I495" s="1098"/>
      <c r="J495" s="1098"/>
      <c r="K495" s="1098"/>
      <c r="L495" s="1098"/>
      <c r="M495" s="1098"/>
      <c r="N495" s="1098"/>
      <c r="O495" s="1098"/>
      <c r="P495" s="1098"/>
      <c r="Q495" s="1098"/>
      <c r="R495" s="1098"/>
      <c r="S495" s="1098"/>
      <c r="T495" s="1098"/>
      <c r="U495" s="1098"/>
      <c r="V495" s="1098"/>
      <c r="W495" s="1098"/>
      <c r="X495" s="1098"/>
      <c r="Y495" s="1098"/>
      <c r="Z495" s="1098"/>
      <c r="AA495" s="1098"/>
      <c r="AB495" s="1098"/>
      <c r="AC495" s="1098"/>
      <c r="AD495" s="1098"/>
      <c r="AE495" s="1098"/>
      <c r="AF495" s="1098"/>
      <c r="AG495" s="1098"/>
      <c r="AH495" s="1098"/>
      <c r="AI495" s="1098"/>
      <c r="AJ495" s="1098"/>
      <c r="AK495" s="1098"/>
      <c r="AL495" s="1098"/>
      <c r="AM495" s="1098"/>
      <c r="AN495" s="1098"/>
      <c r="AO495" s="1098"/>
      <c r="AP495" s="1098"/>
      <c r="AQ495" s="1098"/>
      <c r="AR495" s="1098"/>
      <c r="AS495" s="1098"/>
      <c r="AT495" s="1098"/>
      <c r="AU495" s="1098"/>
      <c r="AV495" s="1098"/>
      <c r="AW495" s="1098"/>
      <c r="AX495" s="1098"/>
      <c r="AY495" s="1098"/>
      <c r="AZ495" s="1098"/>
      <c r="BA495" s="1098"/>
      <c r="BB495" s="1098"/>
      <c r="BC495" s="1098"/>
      <c r="BD495" s="1098"/>
      <c r="BE495" s="1098"/>
      <c r="BF495" s="1098"/>
      <c r="BG495" s="1098"/>
      <c r="BH495" s="1098"/>
      <c r="BI495" s="1098"/>
      <c r="BJ495" s="1098"/>
      <c r="BK495" s="1098"/>
      <c r="BL495" s="1098"/>
      <c r="BM495" s="1098"/>
      <c r="BN495" s="1098"/>
      <c r="BO495" s="1098"/>
      <c r="BP495" s="1098"/>
      <c r="BQ495" s="1098"/>
      <c r="BR495" s="1098"/>
      <c r="BS495" s="1098"/>
      <c r="BT495" s="1098"/>
      <c r="BU495" s="1098"/>
      <c r="BV495" s="1098"/>
      <c r="BW495" s="1098"/>
      <c r="BX495" s="1098"/>
      <c r="BY495" s="1098"/>
      <c r="BZ495" s="1098"/>
      <c r="CA495" s="1098"/>
      <c r="CB495" s="1098"/>
      <c r="CC495" s="1098"/>
      <c r="CD495" s="1098"/>
      <c r="CE495" s="1098"/>
      <c r="CF495" s="1098"/>
      <c r="CG495" s="1098"/>
      <c r="CH495" s="1098"/>
      <c r="CI495" s="1098"/>
      <c r="CJ495" s="1098"/>
      <c r="CK495" s="1098"/>
      <c r="CL495" s="1098"/>
      <c r="CM495" s="1098"/>
      <c r="CN495" s="1098"/>
      <c r="CO495" s="1098"/>
      <c r="CP495" s="1098"/>
      <c r="CQ495" s="1098"/>
      <c r="CR495" s="1098"/>
      <c r="CS495" s="1098"/>
      <c r="CT495" s="1098"/>
      <c r="CU495" s="1098"/>
      <c r="CV495" s="1098"/>
      <c r="CW495" s="1098"/>
      <c r="CX495" s="1098"/>
      <c r="CY495" s="1098"/>
      <c r="CZ495" s="1098"/>
      <c r="DA495" s="1098"/>
      <c r="DB495" s="1098"/>
      <c r="DC495" s="1098"/>
      <c r="DD495" s="1098"/>
      <c r="DE495" s="1098"/>
      <c r="DF495" s="1098"/>
      <c r="DG495" s="1098"/>
      <c r="DH495" s="1098"/>
      <c r="DI495" s="1098"/>
      <c r="DJ495" s="1098"/>
      <c r="DK495" s="1098"/>
      <c r="DL495" s="1098"/>
      <c r="DM495" s="1098"/>
      <c r="DN495" s="1098"/>
      <c r="DO495" s="1098"/>
      <c r="DP495" s="1098"/>
      <c r="DQ495" s="1098"/>
      <c r="DR495" s="1098"/>
      <c r="DS495" s="1098"/>
      <c r="DT495" s="1098"/>
      <c r="DU495" s="1098"/>
      <c r="DV495" s="1098"/>
      <c r="DW495" s="1098"/>
      <c r="DX495" s="1098"/>
      <c r="DY495" s="1098"/>
      <c r="DZ495" s="1098"/>
      <c r="EA495" s="1098"/>
      <c r="EB495" s="1098"/>
      <c r="EC495" s="1098"/>
      <c r="ED495" s="1098"/>
      <c r="EE495" s="1098"/>
      <c r="EF495" s="1098"/>
      <c r="EG495" s="1098"/>
      <c r="EH495" s="1098"/>
      <c r="EI495" s="1098"/>
      <c r="EJ495" s="1098"/>
      <c r="EK495" s="1098"/>
      <c r="EL495" s="1098"/>
      <c r="EM495" s="1098"/>
      <c r="EN495" s="1098"/>
      <c r="EO495" s="1098"/>
      <c r="EP495" s="1098"/>
      <c r="EQ495" s="1098"/>
      <c r="ER495" s="1098"/>
      <c r="ES495" s="1098"/>
      <c r="ET495" s="1098"/>
      <c r="EU495" s="1098"/>
      <c r="EV495" s="1098"/>
      <c r="EW495" s="1098"/>
      <c r="EX495" s="1098"/>
      <c r="EY495" s="1098"/>
      <c r="EZ495" s="1098"/>
      <c r="FA495" s="1098"/>
      <c r="FB495" s="1098"/>
      <c r="FC495" s="1098"/>
      <c r="FD495" s="1098"/>
      <c r="FE495" s="1098"/>
      <c r="FF495" s="1098"/>
      <c r="FG495" s="1098"/>
      <c r="FH495" s="1098"/>
      <c r="FI495" s="1098"/>
      <c r="FJ495" s="1098"/>
      <c r="FK495" s="1098"/>
      <c r="FL495" s="1098"/>
      <c r="FM495" s="1098"/>
      <c r="FN495" s="1098"/>
      <c r="FO495" s="1098"/>
      <c r="FP495" s="1098"/>
      <c r="FQ495" s="1098"/>
      <c r="FR495" s="1098"/>
      <c r="FS495" s="1098"/>
      <c r="FT495" s="1098"/>
      <c r="FU495" s="1098"/>
      <c r="FV495" s="1098"/>
      <c r="FW495" s="1098"/>
      <c r="FX495" s="1098"/>
      <c r="FY495" s="1098"/>
      <c r="FZ495" s="1098"/>
      <c r="GA495" s="1098"/>
      <c r="GB495" s="1098"/>
      <c r="GC495" s="1098"/>
      <c r="GD495" s="1098"/>
      <c r="GE495" s="1098"/>
      <c r="GF495" s="1098"/>
      <c r="GG495" s="1098"/>
      <c r="GH495" s="1098"/>
      <c r="GI495" s="1098"/>
      <c r="GJ495" s="1098"/>
      <c r="GK495" s="1098"/>
      <c r="GL495" s="1098"/>
      <c r="GM495" s="1098"/>
      <c r="GN495" s="1098"/>
      <c r="GO495" s="1098"/>
      <c r="GP495" s="1098"/>
      <c r="GQ495" s="1098"/>
      <c r="GR495" s="1098"/>
      <c r="GS495" s="1098"/>
      <c r="GT495" s="1098"/>
      <c r="GU495" s="1098"/>
      <c r="GV495" s="1098"/>
      <c r="GW495" s="1098"/>
      <c r="GX495" s="1098"/>
      <c r="GY495" s="1098"/>
      <c r="GZ495" s="1098"/>
      <c r="HA495" s="1098"/>
      <c r="HB495" s="1098"/>
      <c r="HC495" s="1098"/>
      <c r="HD495" s="1098"/>
      <c r="HE495" s="1098"/>
      <c r="HF495" s="1098"/>
      <c r="HG495" s="1098"/>
      <c r="HH495" s="1098"/>
      <c r="HI495" s="1098"/>
      <c r="HJ495" s="1098"/>
      <c r="HK495" s="1098"/>
      <c r="HL495" s="1098"/>
      <c r="HM495" s="1098"/>
      <c r="HN495" s="1098"/>
      <c r="HO495" s="1098"/>
      <c r="HP495" s="1098"/>
      <c r="HQ495" s="1098"/>
      <c r="HR495" s="1098"/>
      <c r="HS495" s="1098"/>
      <c r="HT495" s="1098"/>
      <c r="HU495" s="1098"/>
      <c r="HV495" s="1098"/>
      <c r="HW495" s="1098"/>
      <c r="HX495" s="1098"/>
      <c r="HY495" s="1098"/>
      <c r="HZ495" s="1098"/>
      <c r="IA495" s="1098"/>
      <c r="IB495" s="1098"/>
      <c r="IC495" s="1098"/>
      <c r="ID495" s="1098"/>
      <c r="IE495" s="1098"/>
      <c r="IF495" s="1098"/>
      <c r="IG495" s="1098"/>
      <c r="IH495" s="1098"/>
      <c r="II495" s="1098"/>
      <c r="IJ495" s="1098"/>
      <c r="IK495" s="1098"/>
      <c r="IL495" s="1098"/>
      <c r="IM495" s="1098"/>
      <c r="IN495" s="1098"/>
      <c r="IO495" s="1098"/>
      <c r="IP495" s="1098"/>
      <c r="IQ495" s="1098"/>
      <c r="IR495" s="1098"/>
      <c r="IS495" s="1098"/>
      <c r="IT495" s="1098"/>
      <c r="IU495" s="1098"/>
      <c r="IV495" s="1098"/>
      <c r="IW495" s="1098"/>
      <c r="IX495" s="1098"/>
      <c r="IY495" s="1098"/>
      <c r="IZ495" s="1098"/>
      <c r="JA495" s="1098"/>
      <c r="JB495" s="1098"/>
      <c r="JC495" s="1098"/>
      <c r="JD495" s="1098"/>
      <c r="JE495" s="1098"/>
      <c r="JF495" s="1098"/>
      <c r="JG495" s="1098"/>
      <c r="JH495" s="1098"/>
      <c r="JI495" s="1098"/>
      <c r="JJ495" s="1098"/>
      <c r="JK495" s="1098"/>
      <c r="JL495" s="1098"/>
      <c r="JM495" s="1098"/>
      <c r="JN495" s="1098"/>
      <c r="JO495" s="1098"/>
      <c r="JP495" s="1098"/>
      <c r="JQ495" s="1098"/>
      <c r="JR495" s="1098"/>
      <c r="JS495" s="1098"/>
      <c r="JT495" s="1098"/>
      <c r="JU495" s="1098"/>
      <c r="JV495" s="1098"/>
      <c r="JW495" s="1098"/>
      <c r="JX495" s="1098"/>
      <c r="JY495" s="1098"/>
      <c r="JZ495" s="1098"/>
      <c r="KA495" s="1098"/>
      <c r="KB495" s="1099"/>
    </row>
    <row r="496" spans="2:288" ht="15" customHeight="1" x14ac:dyDescent="0.35">
      <c r="B496" s="146" t="str">
        <f t="shared" si="38"/>
        <v>Desk 72</v>
      </c>
      <c r="C496" s="148" t="str">
        <v/>
      </c>
      <c r="D496" s="148" t="str">
        <v/>
      </c>
      <c r="E496" s="148" t="str">
        <v/>
      </c>
      <c r="F496" s="148" t="str">
        <v/>
      </c>
      <c r="G496" s="268" t="str">
        <v/>
      </c>
      <c r="H496" s="1098"/>
      <c r="I496" s="1098"/>
      <c r="J496" s="1098"/>
      <c r="K496" s="1098"/>
      <c r="L496" s="1098"/>
      <c r="M496" s="1098"/>
      <c r="N496" s="1098"/>
      <c r="O496" s="1098"/>
      <c r="P496" s="1098"/>
      <c r="Q496" s="1098"/>
      <c r="R496" s="1098"/>
      <c r="S496" s="1098"/>
      <c r="T496" s="1098"/>
      <c r="U496" s="1098"/>
      <c r="V496" s="1098"/>
      <c r="W496" s="1098"/>
      <c r="X496" s="1098"/>
      <c r="Y496" s="1098"/>
      <c r="Z496" s="1098"/>
      <c r="AA496" s="1098"/>
      <c r="AB496" s="1098"/>
      <c r="AC496" s="1098"/>
      <c r="AD496" s="1098"/>
      <c r="AE496" s="1098"/>
      <c r="AF496" s="1098"/>
      <c r="AG496" s="1098"/>
      <c r="AH496" s="1098"/>
      <c r="AI496" s="1098"/>
      <c r="AJ496" s="1098"/>
      <c r="AK496" s="1098"/>
      <c r="AL496" s="1098"/>
      <c r="AM496" s="1098"/>
      <c r="AN496" s="1098"/>
      <c r="AO496" s="1098"/>
      <c r="AP496" s="1098"/>
      <c r="AQ496" s="1098"/>
      <c r="AR496" s="1098"/>
      <c r="AS496" s="1098"/>
      <c r="AT496" s="1098"/>
      <c r="AU496" s="1098"/>
      <c r="AV496" s="1098"/>
      <c r="AW496" s="1098"/>
      <c r="AX496" s="1098"/>
      <c r="AY496" s="1098"/>
      <c r="AZ496" s="1098"/>
      <c r="BA496" s="1098"/>
      <c r="BB496" s="1098"/>
      <c r="BC496" s="1098"/>
      <c r="BD496" s="1098"/>
      <c r="BE496" s="1098"/>
      <c r="BF496" s="1098"/>
      <c r="BG496" s="1098"/>
      <c r="BH496" s="1098"/>
      <c r="BI496" s="1098"/>
      <c r="BJ496" s="1098"/>
      <c r="BK496" s="1098"/>
      <c r="BL496" s="1098"/>
      <c r="BM496" s="1098"/>
      <c r="BN496" s="1098"/>
      <c r="BO496" s="1098"/>
      <c r="BP496" s="1098"/>
      <c r="BQ496" s="1098"/>
      <c r="BR496" s="1098"/>
      <c r="BS496" s="1098"/>
      <c r="BT496" s="1098"/>
      <c r="BU496" s="1098"/>
      <c r="BV496" s="1098"/>
      <c r="BW496" s="1098"/>
      <c r="BX496" s="1098"/>
      <c r="BY496" s="1098"/>
      <c r="BZ496" s="1098"/>
      <c r="CA496" s="1098"/>
      <c r="CB496" s="1098"/>
      <c r="CC496" s="1098"/>
      <c r="CD496" s="1098"/>
      <c r="CE496" s="1098"/>
      <c r="CF496" s="1098"/>
      <c r="CG496" s="1098"/>
      <c r="CH496" s="1098"/>
      <c r="CI496" s="1098"/>
      <c r="CJ496" s="1098"/>
      <c r="CK496" s="1098"/>
      <c r="CL496" s="1098"/>
      <c r="CM496" s="1098"/>
      <c r="CN496" s="1098"/>
      <c r="CO496" s="1098"/>
      <c r="CP496" s="1098"/>
      <c r="CQ496" s="1098"/>
      <c r="CR496" s="1098"/>
      <c r="CS496" s="1098"/>
      <c r="CT496" s="1098"/>
      <c r="CU496" s="1098"/>
      <c r="CV496" s="1098"/>
      <c r="CW496" s="1098"/>
      <c r="CX496" s="1098"/>
      <c r="CY496" s="1098"/>
      <c r="CZ496" s="1098"/>
      <c r="DA496" s="1098"/>
      <c r="DB496" s="1098"/>
      <c r="DC496" s="1098"/>
      <c r="DD496" s="1098"/>
      <c r="DE496" s="1098"/>
      <c r="DF496" s="1098"/>
      <c r="DG496" s="1098"/>
      <c r="DH496" s="1098"/>
      <c r="DI496" s="1098"/>
      <c r="DJ496" s="1098"/>
      <c r="DK496" s="1098"/>
      <c r="DL496" s="1098"/>
      <c r="DM496" s="1098"/>
      <c r="DN496" s="1098"/>
      <c r="DO496" s="1098"/>
      <c r="DP496" s="1098"/>
      <c r="DQ496" s="1098"/>
      <c r="DR496" s="1098"/>
      <c r="DS496" s="1098"/>
      <c r="DT496" s="1098"/>
      <c r="DU496" s="1098"/>
      <c r="DV496" s="1098"/>
      <c r="DW496" s="1098"/>
      <c r="DX496" s="1098"/>
      <c r="DY496" s="1098"/>
      <c r="DZ496" s="1098"/>
      <c r="EA496" s="1098"/>
      <c r="EB496" s="1098"/>
      <c r="EC496" s="1098"/>
      <c r="ED496" s="1098"/>
      <c r="EE496" s="1098"/>
      <c r="EF496" s="1098"/>
      <c r="EG496" s="1098"/>
      <c r="EH496" s="1098"/>
      <c r="EI496" s="1098"/>
      <c r="EJ496" s="1098"/>
      <c r="EK496" s="1098"/>
      <c r="EL496" s="1098"/>
      <c r="EM496" s="1098"/>
      <c r="EN496" s="1098"/>
      <c r="EO496" s="1098"/>
      <c r="EP496" s="1098"/>
      <c r="EQ496" s="1098"/>
      <c r="ER496" s="1098"/>
      <c r="ES496" s="1098"/>
      <c r="ET496" s="1098"/>
      <c r="EU496" s="1098"/>
      <c r="EV496" s="1098"/>
      <c r="EW496" s="1098"/>
      <c r="EX496" s="1098"/>
      <c r="EY496" s="1098"/>
      <c r="EZ496" s="1098"/>
      <c r="FA496" s="1098"/>
      <c r="FB496" s="1098"/>
      <c r="FC496" s="1098"/>
      <c r="FD496" s="1098"/>
      <c r="FE496" s="1098"/>
      <c r="FF496" s="1098"/>
      <c r="FG496" s="1098"/>
      <c r="FH496" s="1098"/>
      <c r="FI496" s="1098"/>
      <c r="FJ496" s="1098"/>
      <c r="FK496" s="1098"/>
      <c r="FL496" s="1098"/>
      <c r="FM496" s="1098"/>
      <c r="FN496" s="1098"/>
      <c r="FO496" s="1098"/>
      <c r="FP496" s="1098"/>
      <c r="FQ496" s="1098"/>
      <c r="FR496" s="1098"/>
      <c r="FS496" s="1098"/>
      <c r="FT496" s="1098"/>
      <c r="FU496" s="1098"/>
      <c r="FV496" s="1098"/>
      <c r="FW496" s="1098"/>
      <c r="FX496" s="1098"/>
      <c r="FY496" s="1098"/>
      <c r="FZ496" s="1098"/>
      <c r="GA496" s="1098"/>
      <c r="GB496" s="1098"/>
      <c r="GC496" s="1098"/>
      <c r="GD496" s="1098"/>
      <c r="GE496" s="1098"/>
      <c r="GF496" s="1098"/>
      <c r="GG496" s="1098"/>
      <c r="GH496" s="1098"/>
      <c r="GI496" s="1098"/>
      <c r="GJ496" s="1098"/>
      <c r="GK496" s="1098"/>
      <c r="GL496" s="1098"/>
      <c r="GM496" s="1098"/>
      <c r="GN496" s="1098"/>
      <c r="GO496" s="1098"/>
      <c r="GP496" s="1098"/>
      <c r="GQ496" s="1098"/>
      <c r="GR496" s="1098"/>
      <c r="GS496" s="1098"/>
      <c r="GT496" s="1098"/>
      <c r="GU496" s="1098"/>
      <c r="GV496" s="1098"/>
      <c r="GW496" s="1098"/>
      <c r="GX496" s="1098"/>
      <c r="GY496" s="1098"/>
      <c r="GZ496" s="1098"/>
      <c r="HA496" s="1098"/>
      <c r="HB496" s="1098"/>
      <c r="HC496" s="1098"/>
      <c r="HD496" s="1098"/>
      <c r="HE496" s="1098"/>
      <c r="HF496" s="1098"/>
      <c r="HG496" s="1098"/>
      <c r="HH496" s="1098"/>
      <c r="HI496" s="1098"/>
      <c r="HJ496" s="1098"/>
      <c r="HK496" s="1098"/>
      <c r="HL496" s="1098"/>
      <c r="HM496" s="1098"/>
      <c r="HN496" s="1098"/>
      <c r="HO496" s="1098"/>
      <c r="HP496" s="1098"/>
      <c r="HQ496" s="1098"/>
      <c r="HR496" s="1098"/>
      <c r="HS496" s="1098"/>
      <c r="HT496" s="1098"/>
      <c r="HU496" s="1098"/>
      <c r="HV496" s="1098"/>
      <c r="HW496" s="1098"/>
      <c r="HX496" s="1098"/>
      <c r="HY496" s="1098"/>
      <c r="HZ496" s="1098"/>
      <c r="IA496" s="1098"/>
      <c r="IB496" s="1098"/>
      <c r="IC496" s="1098"/>
      <c r="ID496" s="1098"/>
      <c r="IE496" s="1098"/>
      <c r="IF496" s="1098"/>
      <c r="IG496" s="1098"/>
      <c r="IH496" s="1098"/>
      <c r="II496" s="1098"/>
      <c r="IJ496" s="1098"/>
      <c r="IK496" s="1098"/>
      <c r="IL496" s="1098"/>
      <c r="IM496" s="1098"/>
      <c r="IN496" s="1098"/>
      <c r="IO496" s="1098"/>
      <c r="IP496" s="1098"/>
      <c r="IQ496" s="1098"/>
      <c r="IR496" s="1098"/>
      <c r="IS496" s="1098"/>
      <c r="IT496" s="1098"/>
      <c r="IU496" s="1098"/>
      <c r="IV496" s="1098"/>
      <c r="IW496" s="1098"/>
      <c r="IX496" s="1098"/>
      <c r="IY496" s="1098"/>
      <c r="IZ496" s="1098"/>
      <c r="JA496" s="1098"/>
      <c r="JB496" s="1098"/>
      <c r="JC496" s="1098"/>
      <c r="JD496" s="1098"/>
      <c r="JE496" s="1098"/>
      <c r="JF496" s="1098"/>
      <c r="JG496" s="1098"/>
      <c r="JH496" s="1098"/>
      <c r="JI496" s="1098"/>
      <c r="JJ496" s="1098"/>
      <c r="JK496" s="1098"/>
      <c r="JL496" s="1098"/>
      <c r="JM496" s="1098"/>
      <c r="JN496" s="1098"/>
      <c r="JO496" s="1098"/>
      <c r="JP496" s="1098"/>
      <c r="JQ496" s="1098"/>
      <c r="JR496" s="1098"/>
      <c r="JS496" s="1098"/>
      <c r="JT496" s="1098"/>
      <c r="JU496" s="1098"/>
      <c r="JV496" s="1098"/>
      <c r="JW496" s="1098"/>
      <c r="JX496" s="1098"/>
      <c r="JY496" s="1098"/>
      <c r="JZ496" s="1098"/>
      <c r="KA496" s="1098"/>
      <c r="KB496" s="1099"/>
    </row>
    <row r="497" spans="2:288" ht="15" customHeight="1" x14ac:dyDescent="0.35">
      <c r="B497" s="146" t="str">
        <f t="shared" si="38"/>
        <v>Desk 73</v>
      </c>
      <c r="C497" s="148" t="str">
        <v/>
      </c>
      <c r="D497" s="148" t="str">
        <v/>
      </c>
      <c r="E497" s="148" t="str">
        <v/>
      </c>
      <c r="F497" s="148" t="str">
        <v/>
      </c>
      <c r="G497" s="268" t="str">
        <v/>
      </c>
      <c r="H497" s="1098"/>
      <c r="I497" s="1098"/>
      <c r="J497" s="1098"/>
      <c r="K497" s="1098"/>
      <c r="L497" s="1098"/>
      <c r="M497" s="1098"/>
      <c r="N497" s="1098"/>
      <c r="O497" s="1098"/>
      <c r="P497" s="1098"/>
      <c r="Q497" s="1098"/>
      <c r="R497" s="1098"/>
      <c r="S497" s="1098"/>
      <c r="T497" s="1098"/>
      <c r="U497" s="1098"/>
      <c r="V497" s="1098"/>
      <c r="W497" s="1098"/>
      <c r="X497" s="1098"/>
      <c r="Y497" s="1098"/>
      <c r="Z497" s="1098"/>
      <c r="AA497" s="1098"/>
      <c r="AB497" s="1098"/>
      <c r="AC497" s="1098"/>
      <c r="AD497" s="1098"/>
      <c r="AE497" s="1098"/>
      <c r="AF497" s="1098"/>
      <c r="AG497" s="1098"/>
      <c r="AH497" s="1098"/>
      <c r="AI497" s="1098"/>
      <c r="AJ497" s="1098"/>
      <c r="AK497" s="1098"/>
      <c r="AL497" s="1098"/>
      <c r="AM497" s="1098"/>
      <c r="AN497" s="1098"/>
      <c r="AO497" s="1098"/>
      <c r="AP497" s="1098"/>
      <c r="AQ497" s="1098"/>
      <c r="AR497" s="1098"/>
      <c r="AS497" s="1098"/>
      <c r="AT497" s="1098"/>
      <c r="AU497" s="1098"/>
      <c r="AV497" s="1098"/>
      <c r="AW497" s="1098"/>
      <c r="AX497" s="1098"/>
      <c r="AY497" s="1098"/>
      <c r="AZ497" s="1098"/>
      <c r="BA497" s="1098"/>
      <c r="BB497" s="1098"/>
      <c r="BC497" s="1098"/>
      <c r="BD497" s="1098"/>
      <c r="BE497" s="1098"/>
      <c r="BF497" s="1098"/>
      <c r="BG497" s="1098"/>
      <c r="BH497" s="1098"/>
      <c r="BI497" s="1098"/>
      <c r="BJ497" s="1098"/>
      <c r="BK497" s="1098"/>
      <c r="BL497" s="1098"/>
      <c r="BM497" s="1098"/>
      <c r="BN497" s="1098"/>
      <c r="BO497" s="1098"/>
      <c r="BP497" s="1098"/>
      <c r="BQ497" s="1098"/>
      <c r="BR497" s="1098"/>
      <c r="BS497" s="1098"/>
      <c r="BT497" s="1098"/>
      <c r="BU497" s="1098"/>
      <c r="BV497" s="1098"/>
      <c r="BW497" s="1098"/>
      <c r="BX497" s="1098"/>
      <c r="BY497" s="1098"/>
      <c r="BZ497" s="1098"/>
      <c r="CA497" s="1098"/>
      <c r="CB497" s="1098"/>
      <c r="CC497" s="1098"/>
      <c r="CD497" s="1098"/>
      <c r="CE497" s="1098"/>
      <c r="CF497" s="1098"/>
      <c r="CG497" s="1098"/>
      <c r="CH497" s="1098"/>
      <c r="CI497" s="1098"/>
      <c r="CJ497" s="1098"/>
      <c r="CK497" s="1098"/>
      <c r="CL497" s="1098"/>
      <c r="CM497" s="1098"/>
      <c r="CN497" s="1098"/>
      <c r="CO497" s="1098"/>
      <c r="CP497" s="1098"/>
      <c r="CQ497" s="1098"/>
      <c r="CR497" s="1098"/>
      <c r="CS497" s="1098"/>
      <c r="CT497" s="1098"/>
      <c r="CU497" s="1098"/>
      <c r="CV497" s="1098"/>
      <c r="CW497" s="1098"/>
      <c r="CX497" s="1098"/>
      <c r="CY497" s="1098"/>
      <c r="CZ497" s="1098"/>
      <c r="DA497" s="1098"/>
      <c r="DB497" s="1098"/>
      <c r="DC497" s="1098"/>
      <c r="DD497" s="1098"/>
      <c r="DE497" s="1098"/>
      <c r="DF497" s="1098"/>
      <c r="DG497" s="1098"/>
      <c r="DH497" s="1098"/>
      <c r="DI497" s="1098"/>
      <c r="DJ497" s="1098"/>
      <c r="DK497" s="1098"/>
      <c r="DL497" s="1098"/>
      <c r="DM497" s="1098"/>
      <c r="DN497" s="1098"/>
      <c r="DO497" s="1098"/>
      <c r="DP497" s="1098"/>
      <c r="DQ497" s="1098"/>
      <c r="DR497" s="1098"/>
      <c r="DS497" s="1098"/>
      <c r="DT497" s="1098"/>
      <c r="DU497" s="1098"/>
      <c r="DV497" s="1098"/>
      <c r="DW497" s="1098"/>
      <c r="DX497" s="1098"/>
      <c r="DY497" s="1098"/>
      <c r="DZ497" s="1098"/>
      <c r="EA497" s="1098"/>
      <c r="EB497" s="1098"/>
      <c r="EC497" s="1098"/>
      <c r="ED497" s="1098"/>
      <c r="EE497" s="1098"/>
      <c r="EF497" s="1098"/>
      <c r="EG497" s="1098"/>
      <c r="EH497" s="1098"/>
      <c r="EI497" s="1098"/>
      <c r="EJ497" s="1098"/>
      <c r="EK497" s="1098"/>
      <c r="EL497" s="1098"/>
      <c r="EM497" s="1098"/>
      <c r="EN497" s="1098"/>
      <c r="EO497" s="1098"/>
      <c r="EP497" s="1098"/>
      <c r="EQ497" s="1098"/>
      <c r="ER497" s="1098"/>
      <c r="ES497" s="1098"/>
      <c r="ET497" s="1098"/>
      <c r="EU497" s="1098"/>
      <c r="EV497" s="1098"/>
      <c r="EW497" s="1098"/>
      <c r="EX497" s="1098"/>
      <c r="EY497" s="1098"/>
      <c r="EZ497" s="1098"/>
      <c r="FA497" s="1098"/>
      <c r="FB497" s="1098"/>
      <c r="FC497" s="1098"/>
      <c r="FD497" s="1098"/>
      <c r="FE497" s="1098"/>
      <c r="FF497" s="1098"/>
      <c r="FG497" s="1098"/>
      <c r="FH497" s="1098"/>
      <c r="FI497" s="1098"/>
      <c r="FJ497" s="1098"/>
      <c r="FK497" s="1098"/>
      <c r="FL497" s="1098"/>
      <c r="FM497" s="1098"/>
      <c r="FN497" s="1098"/>
      <c r="FO497" s="1098"/>
      <c r="FP497" s="1098"/>
      <c r="FQ497" s="1098"/>
      <c r="FR497" s="1098"/>
      <c r="FS497" s="1098"/>
      <c r="FT497" s="1098"/>
      <c r="FU497" s="1098"/>
      <c r="FV497" s="1098"/>
      <c r="FW497" s="1098"/>
      <c r="FX497" s="1098"/>
      <c r="FY497" s="1098"/>
      <c r="FZ497" s="1098"/>
      <c r="GA497" s="1098"/>
      <c r="GB497" s="1098"/>
      <c r="GC497" s="1098"/>
      <c r="GD497" s="1098"/>
      <c r="GE497" s="1098"/>
      <c r="GF497" s="1098"/>
      <c r="GG497" s="1098"/>
      <c r="GH497" s="1098"/>
      <c r="GI497" s="1098"/>
      <c r="GJ497" s="1098"/>
      <c r="GK497" s="1098"/>
      <c r="GL497" s="1098"/>
      <c r="GM497" s="1098"/>
      <c r="GN497" s="1098"/>
      <c r="GO497" s="1098"/>
      <c r="GP497" s="1098"/>
      <c r="GQ497" s="1098"/>
      <c r="GR497" s="1098"/>
      <c r="GS497" s="1098"/>
      <c r="GT497" s="1098"/>
      <c r="GU497" s="1098"/>
      <c r="GV497" s="1098"/>
      <c r="GW497" s="1098"/>
      <c r="GX497" s="1098"/>
      <c r="GY497" s="1098"/>
      <c r="GZ497" s="1098"/>
      <c r="HA497" s="1098"/>
      <c r="HB497" s="1098"/>
      <c r="HC497" s="1098"/>
      <c r="HD497" s="1098"/>
      <c r="HE497" s="1098"/>
      <c r="HF497" s="1098"/>
      <c r="HG497" s="1098"/>
      <c r="HH497" s="1098"/>
      <c r="HI497" s="1098"/>
      <c r="HJ497" s="1098"/>
      <c r="HK497" s="1098"/>
      <c r="HL497" s="1098"/>
      <c r="HM497" s="1098"/>
      <c r="HN497" s="1098"/>
      <c r="HO497" s="1098"/>
      <c r="HP497" s="1098"/>
      <c r="HQ497" s="1098"/>
      <c r="HR497" s="1098"/>
      <c r="HS497" s="1098"/>
      <c r="HT497" s="1098"/>
      <c r="HU497" s="1098"/>
      <c r="HV497" s="1098"/>
      <c r="HW497" s="1098"/>
      <c r="HX497" s="1098"/>
      <c r="HY497" s="1098"/>
      <c r="HZ497" s="1098"/>
      <c r="IA497" s="1098"/>
      <c r="IB497" s="1098"/>
      <c r="IC497" s="1098"/>
      <c r="ID497" s="1098"/>
      <c r="IE497" s="1098"/>
      <c r="IF497" s="1098"/>
      <c r="IG497" s="1098"/>
      <c r="IH497" s="1098"/>
      <c r="II497" s="1098"/>
      <c r="IJ497" s="1098"/>
      <c r="IK497" s="1098"/>
      <c r="IL497" s="1098"/>
      <c r="IM497" s="1098"/>
      <c r="IN497" s="1098"/>
      <c r="IO497" s="1098"/>
      <c r="IP497" s="1098"/>
      <c r="IQ497" s="1098"/>
      <c r="IR497" s="1098"/>
      <c r="IS497" s="1098"/>
      <c r="IT497" s="1098"/>
      <c r="IU497" s="1098"/>
      <c r="IV497" s="1098"/>
      <c r="IW497" s="1098"/>
      <c r="IX497" s="1098"/>
      <c r="IY497" s="1098"/>
      <c r="IZ497" s="1098"/>
      <c r="JA497" s="1098"/>
      <c r="JB497" s="1098"/>
      <c r="JC497" s="1098"/>
      <c r="JD497" s="1098"/>
      <c r="JE497" s="1098"/>
      <c r="JF497" s="1098"/>
      <c r="JG497" s="1098"/>
      <c r="JH497" s="1098"/>
      <c r="JI497" s="1098"/>
      <c r="JJ497" s="1098"/>
      <c r="JK497" s="1098"/>
      <c r="JL497" s="1098"/>
      <c r="JM497" s="1098"/>
      <c r="JN497" s="1098"/>
      <c r="JO497" s="1098"/>
      <c r="JP497" s="1098"/>
      <c r="JQ497" s="1098"/>
      <c r="JR497" s="1098"/>
      <c r="JS497" s="1098"/>
      <c r="JT497" s="1098"/>
      <c r="JU497" s="1098"/>
      <c r="JV497" s="1098"/>
      <c r="JW497" s="1098"/>
      <c r="JX497" s="1098"/>
      <c r="JY497" s="1098"/>
      <c r="JZ497" s="1098"/>
      <c r="KA497" s="1098"/>
      <c r="KB497" s="1099"/>
    </row>
    <row r="498" spans="2:288" ht="15" customHeight="1" x14ac:dyDescent="0.35">
      <c r="B498" s="146" t="str">
        <f t="shared" si="38"/>
        <v>Desk 74</v>
      </c>
      <c r="C498" s="148" t="str">
        <v/>
      </c>
      <c r="D498" s="148" t="str">
        <v/>
      </c>
      <c r="E498" s="148" t="str">
        <v/>
      </c>
      <c r="F498" s="148" t="str">
        <v/>
      </c>
      <c r="G498" s="268" t="str">
        <v/>
      </c>
      <c r="H498" s="1098"/>
      <c r="I498" s="1098"/>
      <c r="J498" s="1098"/>
      <c r="K498" s="1098"/>
      <c r="L498" s="1098"/>
      <c r="M498" s="1098"/>
      <c r="N498" s="1098"/>
      <c r="O498" s="1098"/>
      <c r="P498" s="1098"/>
      <c r="Q498" s="1098"/>
      <c r="R498" s="1098"/>
      <c r="S498" s="1098"/>
      <c r="T498" s="1098"/>
      <c r="U498" s="1098"/>
      <c r="V498" s="1098"/>
      <c r="W498" s="1098"/>
      <c r="X498" s="1098"/>
      <c r="Y498" s="1098"/>
      <c r="Z498" s="1098"/>
      <c r="AA498" s="1098"/>
      <c r="AB498" s="1098"/>
      <c r="AC498" s="1098"/>
      <c r="AD498" s="1098"/>
      <c r="AE498" s="1098"/>
      <c r="AF498" s="1098"/>
      <c r="AG498" s="1098"/>
      <c r="AH498" s="1098"/>
      <c r="AI498" s="1098"/>
      <c r="AJ498" s="1098"/>
      <c r="AK498" s="1098"/>
      <c r="AL498" s="1098"/>
      <c r="AM498" s="1098"/>
      <c r="AN498" s="1098"/>
      <c r="AO498" s="1098"/>
      <c r="AP498" s="1098"/>
      <c r="AQ498" s="1098"/>
      <c r="AR498" s="1098"/>
      <c r="AS498" s="1098"/>
      <c r="AT498" s="1098"/>
      <c r="AU498" s="1098"/>
      <c r="AV498" s="1098"/>
      <c r="AW498" s="1098"/>
      <c r="AX498" s="1098"/>
      <c r="AY498" s="1098"/>
      <c r="AZ498" s="1098"/>
      <c r="BA498" s="1098"/>
      <c r="BB498" s="1098"/>
      <c r="BC498" s="1098"/>
      <c r="BD498" s="1098"/>
      <c r="BE498" s="1098"/>
      <c r="BF498" s="1098"/>
      <c r="BG498" s="1098"/>
      <c r="BH498" s="1098"/>
      <c r="BI498" s="1098"/>
      <c r="BJ498" s="1098"/>
      <c r="BK498" s="1098"/>
      <c r="BL498" s="1098"/>
      <c r="BM498" s="1098"/>
      <c r="BN498" s="1098"/>
      <c r="BO498" s="1098"/>
      <c r="BP498" s="1098"/>
      <c r="BQ498" s="1098"/>
      <c r="BR498" s="1098"/>
      <c r="BS498" s="1098"/>
      <c r="BT498" s="1098"/>
      <c r="BU498" s="1098"/>
      <c r="BV498" s="1098"/>
      <c r="BW498" s="1098"/>
      <c r="BX498" s="1098"/>
      <c r="BY498" s="1098"/>
      <c r="BZ498" s="1098"/>
      <c r="CA498" s="1098"/>
      <c r="CB498" s="1098"/>
      <c r="CC498" s="1098"/>
      <c r="CD498" s="1098"/>
      <c r="CE498" s="1098"/>
      <c r="CF498" s="1098"/>
      <c r="CG498" s="1098"/>
      <c r="CH498" s="1098"/>
      <c r="CI498" s="1098"/>
      <c r="CJ498" s="1098"/>
      <c r="CK498" s="1098"/>
      <c r="CL498" s="1098"/>
      <c r="CM498" s="1098"/>
      <c r="CN498" s="1098"/>
      <c r="CO498" s="1098"/>
      <c r="CP498" s="1098"/>
      <c r="CQ498" s="1098"/>
      <c r="CR498" s="1098"/>
      <c r="CS498" s="1098"/>
      <c r="CT498" s="1098"/>
      <c r="CU498" s="1098"/>
      <c r="CV498" s="1098"/>
      <c r="CW498" s="1098"/>
      <c r="CX498" s="1098"/>
      <c r="CY498" s="1098"/>
      <c r="CZ498" s="1098"/>
      <c r="DA498" s="1098"/>
      <c r="DB498" s="1098"/>
      <c r="DC498" s="1098"/>
      <c r="DD498" s="1098"/>
      <c r="DE498" s="1098"/>
      <c r="DF498" s="1098"/>
      <c r="DG498" s="1098"/>
      <c r="DH498" s="1098"/>
      <c r="DI498" s="1098"/>
      <c r="DJ498" s="1098"/>
      <c r="DK498" s="1098"/>
      <c r="DL498" s="1098"/>
      <c r="DM498" s="1098"/>
      <c r="DN498" s="1098"/>
      <c r="DO498" s="1098"/>
      <c r="DP498" s="1098"/>
      <c r="DQ498" s="1098"/>
      <c r="DR498" s="1098"/>
      <c r="DS498" s="1098"/>
      <c r="DT498" s="1098"/>
      <c r="DU498" s="1098"/>
      <c r="DV498" s="1098"/>
      <c r="DW498" s="1098"/>
      <c r="DX498" s="1098"/>
      <c r="DY498" s="1098"/>
      <c r="DZ498" s="1098"/>
      <c r="EA498" s="1098"/>
      <c r="EB498" s="1098"/>
      <c r="EC498" s="1098"/>
      <c r="ED498" s="1098"/>
      <c r="EE498" s="1098"/>
      <c r="EF498" s="1098"/>
      <c r="EG498" s="1098"/>
      <c r="EH498" s="1098"/>
      <c r="EI498" s="1098"/>
      <c r="EJ498" s="1098"/>
      <c r="EK498" s="1098"/>
      <c r="EL498" s="1098"/>
      <c r="EM498" s="1098"/>
      <c r="EN498" s="1098"/>
      <c r="EO498" s="1098"/>
      <c r="EP498" s="1098"/>
      <c r="EQ498" s="1098"/>
      <c r="ER498" s="1098"/>
      <c r="ES498" s="1098"/>
      <c r="ET498" s="1098"/>
      <c r="EU498" s="1098"/>
      <c r="EV498" s="1098"/>
      <c r="EW498" s="1098"/>
      <c r="EX498" s="1098"/>
      <c r="EY498" s="1098"/>
      <c r="EZ498" s="1098"/>
      <c r="FA498" s="1098"/>
      <c r="FB498" s="1098"/>
      <c r="FC498" s="1098"/>
      <c r="FD498" s="1098"/>
      <c r="FE498" s="1098"/>
      <c r="FF498" s="1098"/>
      <c r="FG498" s="1098"/>
      <c r="FH498" s="1098"/>
      <c r="FI498" s="1098"/>
      <c r="FJ498" s="1098"/>
      <c r="FK498" s="1098"/>
      <c r="FL498" s="1098"/>
      <c r="FM498" s="1098"/>
      <c r="FN498" s="1098"/>
      <c r="FO498" s="1098"/>
      <c r="FP498" s="1098"/>
      <c r="FQ498" s="1098"/>
      <c r="FR498" s="1098"/>
      <c r="FS498" s="1098"/>
      <c r="FT498" s="1098"/>
      <c r="FU498" s="1098"/>
      <c r="FV498" s="1098"/>
      <c r="FW498" s="1098"/>
      <c r="FX498" s="1098"/>
      <c r="FY498" s="1098"/>
      <c r="FZ498" s="1098"/>
      <c r="GA498" s="1098"/>
      <c r="GB498" s="1098"/>
      <c r="GC498" s="1098"/>
      <c r="GD498" s="1098"/>
      <c r="GE498" s="1098"/>
      <c r="GF498" s="1098"/>
      <c r="GG498" s="1098"/>
      <c r="GH498" s="1098"/>
      <c r="GI498" s="1098"/>
      <c r="GJ498" s="1098"/>
      <c r="GK498" s="1098"/>
      <c r="GL498" s="1098"/>
      <c r="GM498" s="1098"/>
      <c r="GN498" s="1098"/>
      <c r="GO498" s="1098"/>
      <c r="GP498" s="1098"/>
      <c r="GQ498" s="1098"/>
      <c r="GR498" s="1098"/>
      <c r="GS498" s="1098"/>
      <c r="GT498" s="1098"/>
      <c r="GU498" s="1098"/>
      <c r="GV498" s="1098"/>
      <c r="GW498" s="1098"/>
      <c r="GX498" s="1098"/>
      <c r="GY498" s="1098"/>
      <c r="GZ498" s="1098"/>
      <c r="HA498" s="1098"/>
      <c r="HB498" s="1098"/>
      <c r="HC498" s="1098"/>
      <c r="HD498" s="1098"/>
      <c r="HE498" s="1098"/>
      <c r="HF498" s="1098"/>
      <c r="HG498" s="1098"/>
      <c r="HH498" s="1098"/>
      <c r="HI498" s="1098"/>
      <c r="HJ498" s="1098"/>
      <c r="HK498" s="1098"/>
      <c r="HL498" s="1098"/>
      <c r="HM498" s="1098"/>
      <c r="HN498" s="1098"/>
      <c r="HO498" s="1098"/>
      <c r="HP498" s="1098"/>
      <c r="HQ498" s="1098"/>
      <c r="HR498" s="1098"/>
      <c r="HS498" s="1098"/>
      <c r="HT498" s="1098"/>
      <c r="HU498" s="1098"/>
      <c r="HV498" s="1098"/>
      <c r="HW498" s="1098"/>
      <c r="HX498" s="1098"/>
      <c r="HY498" s="1098"/>
      <c r="HZ498" s="1098"/>
      <c r="IA498" s="1098"/>
      <c r="IB498" s="1098"/>
      <c r="IC498" s="1098"/>
      <c r="ID498" s="1098"/>
      <c r="IE498" s="1098"/>
      <c r="IF498" s="1098"/>
      <c r="IG498" s="1098"/>
      <c r="IH498" s="1098"/>
      <c r="II498" s="1098"/>
      <c r="IJ498" s="1098"/>
      <c r="IK498" s="1098"/>
      <c r="IL498" s="1098"/>
      <c r="IM498" s="1098"/>
      <c r="IN498" s="1098"/>
      <c r="IO498" s="1098"/>
      <c r="IP498" s="1098"/>
      <c r="IQ498" s="1098"/>
      <c r="IR498" s="1098"/>
      <c r="IS498" s="1098"/>
      <c r="IT498" s="1098"/>
      <c r="IU498" s="1098"/>
      <c r="IV498" s="1098"/>
      <c r="IW498" s="1098"/>
      <c r="IX498" s="1098"/>
      <c r="IY498" s="1098"/>
      <c r="IZ498" s="1098"/>
      <c r="JA498" s="1098"/>
      <c r="JB498" s="1098"/>
      <c r="JC498" s="1098"/>
      <c r="JD498" s="1098"/>
      <c r="JE498" s="1098"/>
      <c r="JF498" s="1098"/>
      <c r="JG498" s="1098"/>
      <c r="JH498" s="1098"/>
      <c r="JI498" s="1098"/>
      <c r="JJ498" s="1098"/>
      <c r="JK498" s="1098"/>
      <c r="JL498" s="1098"/>
      <c r="JM498" s="1098"/>
      <c r="JN498" s="1098"/>
      <c r="JO498" s="1098"/>
      <c r="JP498" s="1098"/>
      <c r="JQ498" s="1098"/>
      <c r="JR498" s="1098"/>
      <c r="JS498" s="1098"/>
      <c r="JT498" s="1098"/>
      <c r="JU498" s="1098"/>
      <c r="JV498" s="1098"/>
      <c r="JW498" s="1098"/>
      <c r="JX498" s="1098"/>
      <c r="JY498" s="1098"/>
      <c r="JZ498" s="1098"/>
      <c r="KA498" s="1098"/>
      <c r="KB498" s="1099"/>
    </row>
    <row r="499" spans="2:288" ht="15" customHeight="1" x14ac:dyDescent="0.35">
      <c r="B499" s="146" t="str">
        <f t="shared" si="38"/>
        <v>Desk 75</v>
      </c>
      <c r="C499" s="148" t="str">
        <v/>
      </c>
      <c r="D499" s="148" t="str">
        <v/>
      </c>
      <c r="E499" s="148" t="str">
        <v/>
      </c>
      <c r="F499" s="148" t="str">
        <v/>
      </c>
      <c r="G499" s="268" t="str">
        <v/>
      </c>
      <c r="H499" s="1098"/>
      <c r="I499" s="1098"/>
      <c r="J499" s="1098"/>
      <c r="K499" s="1098"/>
      <c r="L499" s="1098"/>
      <c r="M499" s="1098"/>
      <c r="N499" s="1098"/>
      <c r="O499" s="1098"/>
      <c r="P499" s="1098"/>
      <c r="Q499" s="1098"/>
      <c r="R499" s="1098"/>
      <c r="S499" s="1098"/>
      <c r="T499" s="1098"/>
      <c r="U499" s="1098"/>
      <c r="V499" s="1098"/>
      <c r="W499" s="1098"/>
      <c r="X499" s="1098"/>
      <c r="Y499" s="1098"/>
      <c r="Z499" s="1098"/>
      <c r="AA499" s="1098"/>
      <c r="AB499" s="1098"/>
      <c r="AC499" s="1098"/>
      <c r="AD499" s="1098"/>
      <c r="AE499" s="1098"/>
      <c r="AF499" s="1098"/>
      <c r="AG499" s="1098"/>
      <c r="AH499" s="1098"/>
      <c r="AI499" s="1098"/>
      <c r="AJ499" s="1098"/>
      <c r="AK499" s="1098"/>
      <c r="AL499" s="1098"/>
      <c r="AM499" s="1098"/>
      <c r="AN499" s="1098"/>
      <c r="AO499" s="1098"/>
      <c r="AP499" s="1098"/>
      <c r="AQ499" s="1098"/>
      <c r="AR499" s="1098"/>
      <c r="AS499" s="1098"/>
      <c r="AT499" s="1098"/>
      <c r="AU499" s="1098"/>
      <c r="AV499" s="1098"/>
      <c r="AW499" s="1098"/>
      <c r="AX499" s="1098"/>
      <c r="AY499" s="1098"/>
      <c r="AZ499" s="1098"/>
      <c r="BA499" s="1098"/>
      <c r="BB499" s="1098"/>
      <c r="BC499" s="1098"/>
      <c r="BD499" s="1098"/>
      <c r="BE499" s="1098"/>
      <c r="BF499" s="1098"/>
      <c r="BG499" s="1098"/>
      <c r="BH499" s="1098"/>
      <c r="BI499" s="1098"/>
      <c r="BJ499" s="1098"/>
      <c r="BK499" s="1098"/>
      <c r="BL499" s="1098"/>
      <c r="BM499" s="1098"/>
      <c r="BN499" s="1098"/>
      <c r="BO499" s="1098"/>
      <c r="BP499" s="1098"/>
      <c r="BQ499" s="1098"/>
      <c r="BR499" s="1098"/>
      <c r="BS499" s="1098"/>
      <c r="BT499" s="1098"/>
      <c r="BU499" s="1098"/>
      <c r="BV499" s="1098"/>
      <c r="BW499" s="1098"/>
      <c r="BX499" s="1098"/>
      <c r="BY499" s="1098"/>
      <c r="BZ499" s="1098"/>
      <c r="CA499" s="1098"/>
      <c r="CB499" s="1098"/>
      <c r="CC499" s="1098"/>
      <c r="CD499" s="1098"/>
      <c r="CE499" s="1098"/>
      <c r="CF499" s="1098"/>
      <c r="CG499" s="1098"/>
      <c r="CH499" s="1098"/>
      <c r="CI499" s="1098"/>
      <c r="CJ499" s="1098"/>
      <c r="CK499" s="1098"/>
      <c r="CL499" s="1098"/>
      <c r="CM499" s="1098"/>
      <c r="CN499" s="1098"/>
      <c r="CO499" s="1098"/>
      <c r="CP499" s="1098"/>
      <c r="CQ499" s="1098"/>
      <c r="CR499" s="1098"/>
      <c r="CS499" s="1098"/>
      <c r="CT499" s="1098"/>
      <c r="CU499" s="1098"/>
      <c r="CV499" s="1098"/>
      <c r="CW499" s="1098"/>
      <c r="CX499" s="1098"/>
      <c r="CY499" s="1098"/>
      <c r="CZ499" s="1098"/>
      <c r="DA499" s="1098"/>
      <c r="DB499" s="1098"/>
      <c r="DC499" s="1098"/>
      <c r="DD499" s="1098"/>
      <c r="DE499" s="1098"/>
      <c r="DF499" s="1098"/>
      <c r="DG499" s="1098"/>
      <c r="DH499" s="1098"/>
      <c r="DI499" s="1098"/>
      <c r="DJ499" s="1098"/>
      <c r="DK499" s="1098"/>
      <c r="DL499" s="1098"/>
      <c r="DM499" s="1098"/>
      <c r="DN499" s="1098"/>
      <c r="DO499" s="1098"/>
      <c r="DP499" s="1098"/>
      <c r="DQ499" s="1098"/>
      <c r="DR499" s="1098"/>
      <c r="DS499" s="1098"/>
      <c r="DT499" s="1098"/>
      <c r="DU499" s="1098"/>
      <c r="DV499" s="1098"/>
      <c r="DW499" s="1098"/>
      <c r="DX499" s="1098"/>
      <c r="DY499" s="1098"/>
      <c r="DZ499" s="1098"/>
      <c r="EA499" s="1098"/>
      <c r="EB499" s="1098"/>
      <c r="EC499" s="1098"/>
      <c r="ED499" s="1098"/>
      <c r="EE499" s="1098"/>
      <c r="EF499" s="1098"/>
      <c r="EG499" s="1098"/>
      <c r="EH499" s="1098"/>
      <c r="EI499" s="1098"/>
      <c r="EJ499" s="1098"/>
      <c r="EK499" s="1098"/>
      <c r="EL499" s="1098"/>
      <c r="EM499" s="1098"/>
      <c r="EN499" s="1098"/>
      <c r="EO499" s="1098"/>
      <c r="EP499" s="1098"/>
      <c r="EQ499" s="1098"/>
      <c r="ER499" s="1098"/>
      <c r="ES499" s="1098"/>
      <c r="ET499" s="1098"/>
      <c r="EU499" s="1098"/>
      <c r="EV499" s="1098"/>
      <c r="EW499" s="1098"/>
      <c r="EX499" s="1098"/>
      <c r="EY499" s="1098"/>
      <c r="EZ499" s="1098"/>
      <c r="FA499" s="1098"/>
      <c r="FB499" s="1098"/>
      <c r="FC499" s="1098"/>
      <c r="FD499" s="1098"/>
      <c r="FE499" s="1098"/>
      <c r="FF499" s="1098"/>
      <c r="FG499" s="1098"/>
      <c r="FH499" s="1098"/>
      <c r="FI499" s="1098"/>
      <c r="FJ499" s="1098"/>
      <c r="FK499" s="1098"/>
      <c r="FL499" s="1098"/>
      <c r="FM499" s="1098"/>
      <c r="FN499" s="1098"/>
      <c r="FO499" s="1098"/>
      <c r="FP499" s="1098"/>
      <c r="FQ499" s="1098"/>
      <c r="FR499" s="1098"/>
      <c r="FS499" s="1098"/>
      <c r="FT499" s="1098"/>
      <c r="FU499" s="1098"/>
      <c r="FV499" s="1098"/>
      <c r="FW499" s="1098"/>
      <c r="FX499" s="1098"/>
      <c r="FY499" s="1098"/>
      <c r="FZ499" s="1098"/>
      <c r="GA499" s="1098"/>
      <c r="GB499" s="1098"/>
      <c r="GC499" s="1098"/>
      <c r="GD499" s="1098"/>
      <c r="GE499" s="1098"/>
      <c r="GF499" s="1098"/>
      <c r="GG499" s="1098"/>
      <c r="GH499" s="1098"/>
      <c r="GI499" s="1098"/>
      <c r="GJ499" s="1098"/>
      <c r="GK499" s="1098"/>
      <c r="GL499" s="1098"/>
      <c r="GM499" s="1098"/>
      <c r="GN499" s="1098"/>
      <c r="GO499" s="1098"/>
      <c r="GP499" s="1098"/>
      <c r="GQ499" s="1098"/>
      <c r="GR499" s="1098"/>
      <c r="GS499" s="1098"/>
      <c r="GT499" s="1098"/>
      <c r="GU499" s="1098"/>
      <c r="GV499" s="1098"/>
      <c r="GW499" s="1098"/>
      <c r="GX499" s="1098"/>
      <c r="GY499" s="1098"/>
      <c r="GZ499" s="1098"/>
      <c r="HA499" s="1098"/>
      <c r="HB499" s="1098"/>
      <c r="HC499" s="1098"/>
      <c r="HD499" s="1098"/>
      <c r="HE499" s="1098"/>
      <c r="HF499" s="1098"/>
      <c r="HG499" s="1098"/>
      <c r="HH499" s="1098"/>
      <c r="HI499" s="1098"/>
      <c r="HJ499" s="1098"/>
      <c r="HK499" s="1098"/>
      <c r="HL499" s="1098"/>
      <c r="HM499" s="1098"/>
      <c r="HN499" s="1098"/>
      <c r="HO499" s="1098"/>
      <c r="HP499" s="1098"/>
      <c r="HQ499" s="1098"/>
      <c r="HR499" s="1098"/>
      <c r="HS499" s="1098"/>
      <c r="HT499" s="1098"/>
      <c r="HU499" s="1098"/>
      <c r="HV499" s="1098"/>
      <c r="HW499" s="1098"/>
      <c r="HX499" s="1098"/>
      <c r="HY499" s="1098"/>
      <c r="HZ499" s="1098"/>
      <c r="IA499" s="1098"/>
      <c r="IB499" s="1098"/>
      <c r="IC499" s="1098"/>
      <c r="ID499" s="1098"/>
      <c r="IE499" s="1098"/>
      <c r="IF499" s="1098"/>
      <c r="IG499" s="1098"/>
      <c r="IH499" s="1098"/>
      <c r="II499" s="1098"/>
      <c r="IJ499" s="1098"/>
      <c r="IK499" s="1098"/>
      <c r="IL499" s="1098"/>
      <c r="IM499" s="1098"/>
      <c r="IN499" s="1098"/>
      <c r="IO499" s="1098"/>
      <c r="IP499" s="1098"/>
      <c r="IQ499" s="1098"/>
      <c r="IR499" s="1098"/>
      <c r="IS499" s="1098"/>
      <c r="IT499" s="1098"/>
      <c r="IU499" s="1098"/>
      <c r="IV499" s="1098"/>
      <c r="IW499" s="1098"/>
      <c r="IX499" s="1098"/>
      <c r="IY499" s="1098"/>
      <c r="IZ499" s="1098"/>
      <c r="JA499" s="1098"/>
      <c r="JB499" s="1098"/>
      <c r="JC499" s="1098"/>
      <c r="JD499" s="1098"/>
      <c r="JE499" s="1098"/>
      <c r="JF499" s="1098"/>
      <c r="JG499" s="1098"/>
      <c r="JH499" s="1098"/>
      <c r="JI499" s="1098"/>
      <c r="JJ499" s="1098"/>
      <c r="JK499" s="1098"/>
      <c r="JL499" s="1098"/>
      <c r="JM499" s="1098"/>
      <c r="JN499" s="1098"/>
      <c r="JO499" s="1098"/>
      <c r="JP499" s="1098"/>
      <c r="JQ499" s="1098"/>
      <c r="JR499" s="1098"/>
      <c r="JS499" s="1098"/>
      <c r="JT499" s="1098"/>
      <c r="JU499" s="1098"/>
      <c r="JV499" s="1098"/>
      <c r="JW499" s="1098"/>
      <c r="JX499" s="1098"/>
      <c r="JY499" s="1098"/>
      <c r="JZ499" s="1098"/>
      <c r="KA499" s="1098"/>
      <c r="KB499" s="1099"/>
    </row>
    <row r="500" spans="2:288" ht="15" customHeight="1" x14ac:dyDescent="0.35">
      <c r="B500" s="146" t="str">
        <f t="shared" si="38"/>
        <v>Desk 76</v>
      </c>
      <c r="C500" s="148" t="str">
        <v/>
      </c>
      <c r="D500" s="148" t="str">
        <v/>
      </c>
      <c r="E500" s="148" t="str">
        <v/>
      </c>
      <c r="F500" s="148" t="str">
        <v/>
      </c>
      <c r="G500" s="268" t="str">
        <v/>
      </c>
      <c r="H500" s="1098"/>
      <c r="I500" s="1098"/>
      <c r="J500" s="1098"/>
      <c r="K500" s="1098"/>
      <c r="L500" s="1098"/>
      <c r="M500" s="1098"/>
      <c r="N500" s="1098"/>
      <c r="O500" s="1098"/>
      <c r="P500" s="1098"/>
      <c r="Q500" s="1098"/>
      <c r="R500" s="1098"/>
      <c r="S500" s="1098"/>
      <c r="T500" s="1098"/>
      <c r="U500" s="1098"/>
      <c r="V500" s="1098"/>
      <c r="W500" s="1098"/>
      <c r="X500" s="1098"/>
      <c r="Y500" s="1098"/>
      <c r="Z500" s="1098"/>
      <c r="AA500" s="1098"/>
      <c r="AB500" s="1098"/>
      <c r="AC500" s="1098"/>
      <c r="AD500" s="1098"/>
      <c r="AE500" s="1098"/>
      <c r="AF500" s="1098"/>
      <c r="AG500" s="1098"/>
      <c r="AH500" s="1098"/>
      <c r="AI500" s="1098"/>
      <c r="AJ500" s="1098"/>
      <c r="AK500" s="1098"/>
      <c r="AL500" s="1098"/>
      <c r="AM500" s="1098"/>
      <c r="AN500" s="1098"/>
      <c r="AO500" s="1098"/>
      <c r="AP500" s="1098"/>
      <c r="AQ500" s="1098"/>
      <c r="AR500" s="1098"/>
      <c r="AS500" s="1098"/>
      <c r="AT500" s="1098"/>
      <c r="AU500" s="1098"/>
      <c r="AV500" s="1098"/>
      <c r="AW500" s="1098"/>
      <c r="AX500" s="1098"/>
      <c r="AY500" s="1098"/>
      <c r="AZ500" s="1098"/>
      <c r="BA500" s="1098"/>
      <c r="BB500" s="1098"/>
      <c r="BC500" s="1098"/>
      <c r="BD500" s="1098"/>
      <c r="BE500" s="1098"/>
      <c r="BF500" s="1098"/>
      <c r="BG500" s="1098"/>
      <c r="BH500" s="1098"/>
      <c r="BI500" s="1098"/>
      <c r="BJ500" s="1098"/>
      <c r="BK500" s="1098"/>
      <c r="BL500" s="1098"/>
      <c r="BM500" s="1098"/>
      <c r="BN500" s="1098"/>
      <c r="BO500" s="1098"/>
      <c r="BP500" s="1098"/>
      <c r="BQ500" s="1098"/>
      <c r="BR500" s="1098"/>
      <c r="BS500" s="1098"/>
      <c r="BT500" s="1098"/>
      <c r="BU500" s="1098"/>
      <c r="BV500" s="1098"/>
      <c r="BW500" s="1098"/>
      <c r="BX500" s="1098"/>
      <c r="BY500" s="1098"/>
      <c r="BZ500" s="1098"/>
      <c r="CA500" s="1098"/>
      <c r="CB500" s="1098"/>
      <c r="CC500" s="1098"/>
      <c r="CD500" s="1098"/>
      <c r="CE500" s="1098"/>
      <c r="CF500" s="1098"/>
      <c r="CG500" s="1098"/>
      <c r="CH500" s="1098"/>
      <c r="CI500" s="1098"/>
      <c r="CJ500" s="1098"/>
      <c r="CK500" s="1098"/>
      <c r="CL500" s="1098"/>
      <c r="CM500" s="1098"/>
      <c r="CN500" s="1098"/>
      <c r="CO500" s="1098"/>
      <c r="CP500" s="1098"/>
      <c r="CQ500" s="1098"/>
      <c r="CR500" s="1098"/>
      <c r="CS500" s="1098"/>
      <c r="CT500" s="1098"/>
      <c r="CU500" s="1098"/>
      <c r="CV500" s="1098"/>
      <c r="CW500" s="1098"/>
      <c r="CX500" s="1098"/>
      <c r="CY500" s="1098"/>
      <c r="CZ500" s="1098"/>
      <c r="DA500" s="1098"/>
      <c r="DB500" s="1098"/>
      <c r="DC500" s="1098"/>
      <c r="DD500" s="1098"/>
      <c r="DE500" s="1098"/>
      <c r="DF500" s="1098"/>
      <c r="DG500" s="1098"/>
      <c r="DH500" s="1098"/>
      <c r="DI500" s="1098"/>
      <c r="DJ500" s="1098"/>
      <c r="DK500" s="1098"/>
      <c r="DL500" s="1098"/>
      <c r="DM500" s="1098"/>
      <c r="DN500" s="1098"/>
      <c r="DO500" s="1098"/>
      <c r="DP500" s="1098"/>
      <c r="DQ500" s="1098"/>
      <c r="DR500" s="1098"/>
      <c r="DS500" s="1098"/>
      <c r="DT500" s="1098"/>
      <c r="DU500" s="1098"/>
      <c r="DV500" s="1098"/>
      <c r="DW500" s="1098"/>
      <c r="DX500" s="1098"/>
      <c r="DY500" s="1098"/>
      <c r="DZ500" s="1098"/>
      <c r="EA500" s="1098"/>
      <c r="EB500" s="1098"/>
      <c r="EC500" s="1098"/>
      <c r="ED500" s="1098"/>
      <c r="EE500" s="1098"/>
      <c r="EF500" s="1098"/>
      <c r="EG500" s="1098"/>
      <c r="EH500" s="1098"/>
      <c r="EI500" s="1098"/>
      <c r="EJ500" s="1098"/>
      <c r="EK500" s="1098"/>
      <c r="EL500" s="1098"/>
      <c r="EM500" s="1098"/>
      <c r="EN500" s="1098"/>
      <c r="EO500" s="1098"/>
      <c r="EP500" s="1098"/>
      <c r="EQ500" s="1098"/>
      <c r="ER500" s="1098"/>
      <c r="ES500" s="1098"/>
      <c r="ET500" s="1098"/>
      <c r="EU500" s="1098"/>
      <c r="EV500" s="1098"/>
      <c r="EW500" s="1098"/>
      <c r="EX500" s="1098"/>
      <c r="EY500" s="1098"/>
      <c r="EZ500" s="1098"/>
      <c r="FA500" s="1098"/>
      <c r="FB500" s="1098"/>
      <c r="FC500" s="1098"/>
      <c r="FD500" s="1098"/>
      <c r="FE500" s="1098"/>
      <c r="FF500" s="1098"/>
      <c r="FG500" s="1098"/>
      <c r="FH500" s="1098"/>
      <c r="FI500" s="1098"/>
      <c r="FJ500" s="1098"/>
      <c r="FK500" s="1098"/>
      <c r="FL500" s="1098"/>
      <c r="FM500" s="1098"/>
      <c r="FN500" s="1098"/>
      <c r="FO500" s="1098"/>
      <c r="FP500" s="1098"/>
      <c r="FQ500" s="1098"/>
      <c r="FR500" s="1098"/>
      <c r="FS500" s="1098"/>
      <c r="FT500" s="1098"/>
      <c r="FU500" s="1098"/>
      <c r="FV500" s="1098"/>
      <c r="FW500" s="1098"/>
      <c r="FX500" s="1098"/>
      <c r="FY500" s="1098"/>
      <c r="FZ500" s="1098"/>
      <c r="GA500" s="1098"/>
      <c r="GB500" s="1098"/>
      <c r="GC500" s="1098"/>
      <c r="GD500" s="1098"/>
      <c r="GE500" s="1098"/>
      <c r="GF500" s="1098"/>
      <c r="GG500" s="1098"/>
      <c r="GH500" s="1098"/>
      <c r="GI500" s="1098"/>
      <c r="GJ500" s="1098"/>
      <c r="GK500" s="1098"/>
      <c r="GL500" s="1098"/>
      <c r="GM500" s="1098"/>
      <c r="GN500" s="1098"/>
      <c r="GO500" s="1098"/>
      <c r="GP500" s="1098"/>
      <c r="GQ500" s="1098"/>
      <c r="GR500" s="1098"/>
      <c r="GS500" s="1098"/>
      <c r="GT500" s="1098"/>
      <c r="GU500" s="1098"/>
      <c r="GV500" s="1098"/>
      <c r="GW500" s="1098"/>
      <c r="GX500" s="1098"/>
      <c r="GY500" s="1098"/>
      <c r="GZ500" s="1098"/>
      <c r="HA500" s="1098"/>
      <c r="HB500" s="1098"/>
      <c r="HC500" s="1098"/>
      <c r="HD500" s="1098"/>
      <c r="HE500" s="1098"/>
      <c r="HF500" s="1098"/>
      <c r="HG500" s="1098"/>
      <c r="HH500" s="1098"/>
      <c r="HI500" s="1098"/>
      <c r="HJ500" s="1098"/>
      <c r="HK500" s="1098"/>
      <c r="HL500" s="1098"/>
      <c r="HM500" s="1098"/>
      <c r="HN500" s="1098"/>
      <c r="HO500" s="1098"/>
      <c r="HP500" s="1098"/>
      <c r="HQ500" s="1098"/>
      <c r="HR500" s="1098"/>
      <c r="HS500" s="1098"/>
      <c r="HT500" s="1098"/>
      <c r="HU500" s="1098"/>
      <c r="HV500" s="1098"/>
      <c r="HW500" s="1098"/>
      <c r="HX500" s="1098"/>
      <c r="HY500" s="1098"/>
      <c r="HZ500" s="1098"/>
      <c r="IA500" s="1098"/>
      <c r="IB500" s="1098"/>
      <c r="IC500" s="1098"/>
      <c r="ID500" s="1098"/>
      <c r="IE500" s="1098"/>
      <c r="IF500" s="1098"/>
      <c r="IG500" s="1098"/>
      <c r="IH500" s="1098"/>
      <c r="II500" s="1098"/>
      <c r="IJ500" s="1098"/>
      <c r="IK500" s="1098"/>
      <c r="IL500" s="1098"/>
      <c r="IM500" s="1098"/>
      <c r="IN500" s="1098"/>
      <c r="IO500" s="1098"/>
      <c r="IP500" s="1098"/>
      <c r="IQ500" s="1098"/>
      <c r="IR500" s="1098"/>
      <c r="IS500" s="1098"/>
      <c r="IT500" s="1098"/>
      <c r="IU500" s="1098"/>
      <c r="IV500" s="1098"/>
      <c r="IW500" s="1098"/>
      <c r="IX500" s="1098"/>
      <c r="IY500" s="1098"/>
      <c r="IZ500" s="1098"/>
      <c r="JA500" s="1098"/>
      <c r="JB500" s="1098"/>
      <c r="JC500" s="1098"/>
      <c r="JD500" s="1098"/>
      <c r="JE500" s="1098"/>
      <c r="JF500" s="1098"/>
      <c r="JG500" s="1098"/>
      <c r="JH500" s="1098"/>
      <c r="JI500" s="1098"/>
      <c r="JJ500" s="1098"/>
      <c r="JK500" s="1098"/>
      <c r="JL500" s="1098"/>
      <c r="JM500" s="1098"/>
      <c r="JN500" s="1098"/>
      <c r="JO500" s="1098"/>
      <c r="JP500" s="1098"/>
      <c r="JQ500" s="1098"/>
      <c r="JR500" s="1098"/>
      <c r="JS500" s="1098"/>
      <c r="JT500" s="1098"/>
      <c r="JU500" s="1098"/>
      <c r="JV500" s="1098"/>
      <c r="JW500" s="1098"/>
      <c r="JX500" s="1098"/>
      <c r="JY500" s="1098"/>
      <c r="JZ500" s="1098"/>
      <c r="KA500" s="1098"/>
      <c r="KB500" s="1099"/>
    </row>
    <row r="501" spans="2:288" ht="15" customHeight="1" x14ac:dyDescent="0.35">
      <c r="B501" s="146" t="str">
        <f t="shared" si="38"/>
        <v>Desk 77</v>
      </c>
      <c r="C501" s="148" t="str">
        <v/>
      </c>
      <c r="D501" s="148" t="str">
        <v/>
      </c>
      <c r="E501" s="148" t="str">
        <v/>
      </c>
      <c r="F501" s="148" t="str">
        <v/>
      </c>
      <c r="G501" s="268" t="str">
        <v/>
      </c>
      <c r="H501" s="1098"/>
      <c r="I501" s="1098"/>
      <c r="J501" s="1098"/>
      <c r="K501" s="1098"/>
      <c r="L501" s="1098"/>
      <c r="M501" s="1098"/>
      <c r="N501" s="1098"/>
      <c r="O501" s="1098"/>
      <c r="P501" s="1098"/>
      <c r="Q501" s="1098"/>
      <c r="R501" s="1098"/>
      <c r="S501" s="1098"/>
      <c r="T501" s="1098"/>
      <c r="U501" s="1098"/>
      <c r="V501" s="1098"/>
      <c r="W501" s="1098"/>
      <c r="X501" s="1098"/>
      <c r="Y501" s="1098"/>
      <c r="Z501" s="1098"/>
      <c r="AA501" s="1098"/>
      <c r="AB501" s="1098"/>
      <c r="AC501" s="1098"/>
      <c r="AD501" s="1098"/>
      <c r="AE501" s="1098"/>
      <c r="AF501" s="1098"/>
      <c r="AG501" s="1098"/>
      <c r="AH501" s="1098"/>
      <c r="AI501" s="1098"/>
      <c r="AJ501" s="1098"/>
      <c r="AK501" s="1098"/>
      <c r="AL501" s="1098"/>
      <c r="AM501" s="1098"/>
      <c r="AN501" s="1098"/>
      <c r="AO501" s="1098"/>
      <c r="AP501" s="1098"/>
      <c r="AQ501" s="1098"/>
      <c r="AR501" s="1098"/>
      <c r="AS501" s="1098"/>
      <c r="AT501" s="1098"/>
      <c r="AU501" s="1098"/>
      <c r="AV501" s="1098"/>
      <c r="AW501" s="1098"/>
      <c r="AX501" s="1098"/>
      <c r="AY501" s="1098"/>
      <c r="AZ501" s="1098"/>
      <c r="BA501" s="1098"/>
      <c r="BB501" s="1098"/>
      <c r="BC501" s="1098"/>
      <c r="BD501" s="1098"/>
      <c r="BE501" s="1098"/>
      <c r="BF501" s="1098"/>
      <c r="BG501" s="1098"/>
      <c r="BH501" s="1098"/>
      <c r="BI501" s="1098"/>
      <c r="BJ501" s="1098"/>
      <c r="BK501" s="1098"/>
      <c r="BL501" s="1098"/>
      <c r="BM501" s="1098"/>
      <c r="BN501" s="1098"/>
      <c r="BO501" s="1098"/>
      <c r="BP501" s="1098"/>
      <c r="BQ501" s="1098"/>
      <c r="BR501" s="1098"/>
      <c r="BS501" s="1098"/>
      <c r="BT501" s="1098"/>
      <c r="BU501" s="1098"/>
      <c r="BV501" s="1098"/>
      <c r="BW501" s="1098"/>
      <c r="BX501" s="1098"/>
      <c r="BY501" s="1098"/>
      <c r="BZ501" s="1098"/>
      <c r="CA501" s="1098"/>
      <c r="CB501" s="1098"/>
      <c r="CC501" s="1098"/>
      <c r="CD501" s="1098"/>
      <c r="CE501" s="1098"/>
      <c r="CF501" s="1098"/>
      <c r="CG501" s="1098"/>
      <c r="CH501" s="1098"/>
      <c r="CI501" s="1098"/>
      <c r="CJ501" s="1098"/>
      <c r="CK501" s="1098"/>
      <c r="CL501" s="1098"/>
      <c r="CM501" s="1098"/>
      <c r="CN501" s="1098"/>
      <c r="CO501" s="1098"/>
      <c r="CP501" s="1098"/>
      <c r="CQ501" s="1098"/>
      <c r="CR501" s="1098"/>
      <c r="CS501" s="1098"/>
      <c r="CT501" s="1098"/>
      <c r="CU501" s="1098"/>
      <c r="CV501" s="1098"/>
      <c r="CW501" s="1098"/>
      <c r="CX501" s="1098"/>
      <c r="CY501" s="1098"/>
      <c r="CZ501" s="1098"/>
      <c r="DA501" s="1098"/>
      <c r="DB501" s="1098"/>
      <c r="DC501" s="1098"/>
      <c r="DD501" s="1098"/>
      <c r="DE501" s="1098"/>
      <c r="DF501" s="1098"/>
      <c r="DG501" s="1098"/>
      <c r="DH501" s="1098"/>
      <c r="DI501" s="1098"/>
      <c r="DJ501" s="1098"/>
      <c r="DK501" s="1098"/>
      <c r="DL501" s="1098"/>
      <c r="DM501" s="1098"/>
      <c r="DN501" s="1098"/>
      <c r="DO501" s="1098"/>
      <c r="DP501" s="1098"/>
      <c r="DQ501" s="1098"/>
      <c r="DR501" s="1098"/>
      <c r="DS501" s="1098"/>
      <c r="DT501" s="1098"/>
      <c r="DU501" s="1098"/>
      <c r="DV501" s="1098"/>
      <c r="DW501" s="1098"/>
      <c r="DX501" s="1098"/>
      <c r="DY501" s="1098"/>
      <c r="DZ501" s="1098"/>
      <c r="EA501" s="1098"/>
      <c r="EB501" s="1098"/>
      <c r="EC501" s="1098"/>
      <c r="ED501" s="1098"/>
      <c r="EE501" s="1098"/>
      <c r="EF501" s="1098"/>
      <c r="EG501" s="1098"/>
      <c r="EH501" s="1098"/>
      <c r="EI501" s="1098"/>
      <c r="EJ501" s="1098"/>
      <c r="EK501" s="1098"/>
      <c r="EL501" s="1098"/>
      <c r="EM501" s="1098"/>
      <c r="EN501" s="1098"/>
      <c r="EO501" s="1098"/>
      <c r="EP501" s="1098"/>
      <c r="EQ501" s="1098"/>
      <c r="ER501" s="1098"/>
      <c r="ES501" s="1098"/>
      <c r="ET501" s="1098"/>
      <c r="EU501" s="1098"/>
      <c r="EV501" s="1098"/>
      <c r="EW501" s="1098"/>
      <c r="EX501" s="1098"/>
      <c r="EY501" s="1098"/>
      <c r="EZ501" s="1098"/>
      <c r="FA501" s="1098"/>
      <c r="FB501" s="1098"/>
      <c r="FC501" s="1098"/>
      <c r="FD501" s="1098"/>
      <c r="FE501" s="1098"/>
      <c r="FF501" s="1098"/>
      <c r="FG501" s="1098"/>
      <c r="FH501" s="1098"/>
      <c r="FI501" s="1098"/>
      <c r="FJ501" s="1098"/>
      <c r="FK501" s="1098"/>
      <c r="FL501" s="1098"/>
      <c r="FM501" s="1098"/>
      <c r="FN501" s="1098"/>
      <c r="FO501" s="1098"/>
      <c r="FP501" s="1098"/>
      <c r="FQ501" s="1098"/>
      <c r="FR501" s="1098"/>
      <c r="FS501" s="1098"/>
      <c r="FT501" s="1098"/>
      <c r="FU501" s="1098"/>
      <c r="FV501" s="1098"/>
      <c r="FW501" s="1098"/>
      <c r="FX501" s="1098"/>
      <c r="FY501" s="1098"/>
      <c r="FZ501" s="1098"/>
      <c r="GA501" s="1098"/>
      <c r="GB501" s="1098"/>
      <c r="GC501" s="1098"/>
      <c r="GD501" s="1098"/>
      <c r="GE501" s="1098"/>
      <c r="GF501" s="1098"/>
      <c r="GG501" s="1098"/>
      <c r="GH501" s="1098"/>
      <c r="GI501" s="1098"/>
      <c r="GJ501" s="1098"/>
      <c r="GK501" s="1098"/>
      <c r="GL501" s="1098"/>
      <c r="GM501" s="1098"/>
      <c r="GN501" s="1098"/>
      <c r="GO501" s="1098"/>
      <c r="GP501" s="1098"/>
      <c r="GQ501" s="1098"/>
      <c r="GR501" s="1098"/>
      <c r="GS501" s="1098"/>
      <c r="GT501" s="1098"/>
      <c r="GU501" s="1098"/>
      <c r="GV501" s="1098"/>
      <c r="GW501" s="1098"/>
      <c r="GX501" s="1098"/>
      <c r="GY501" s="1098"/>
      <c r="GZ501" s="1098"/>
      <c r="HA501" s="1098"/>
      <c r="HB501" s="1098"/>
      <c r="HC501" s="1098"/>
      <c r="HD501" s="1098"/>
      <c r="HE501" s="1098"/>
      <c r="HF501" s="1098"/>
      <c r="HG501" s="1098"/>
      <c r="HH501" s="1098"/>
      <c r="HI501" s="1098"/>
      <c r="HJ501" s="1098"/>
      <c r="HK501" s="1098"/>
      <c r="HL501" s="1098"/>
      <c r="HM501" s="1098"/>
      <c r="HN501" s="1098"/>
      <c r="HO501" s="1098"/>
      <c r="HP501" s="1098"/>
      <c r="HQ501" s="1098"/>
      <c r="HR501" s="1098"/>
      <c r="HS501" s="1098"/>
      <c r="HT501" s="1098"/>
      <c r="HU501" s="1098"/>
      <c r="HV501" s="1098"/>
      <c r="HW501" s="1098"/>
      <c r="HX501" s="1098"/>
      <c r="HY501" s="1098"/>
      <c r="HZ501" s="1098"/>
      <c r="IA501" s="1098"/>
      <c r="IB501" s="1098"/>
      <c r="IC501" s="1098"/>
      <c r="ID501" s="1098"/>
      <c r="IE501" s="1098"/>
      <c r="IF501" s="1098"/>
      <c r="IG501" s="1098"/>
      <c r="IH501" s="1098"/>
      <c r="II501" s="1098"/>
      <c r="IJ501" s="1098"/>
      <c r="IK501" s="1098"/>
      <c r="IL501" s="1098"/>
      <c r="IM501" s="1098"/>
      <c r="IN501" s="1098"/>
      <c r="IO501" s="1098"/>
      <c r="IP501" s="1098"/>
      <c r="IQ501" s="1098"/>
      <c r="IR501" s="1098"/>
      <c r="IS501" s="1098"/>
      <c r="IT501" s="1098"/>
      <c r="IU501" s="1098"/>
      <c r="IV501" s="1098"/>
      <c r="IW501" s="1098"/>
      <c r="IX501" s="1098"/>
      <c r="IY501" s="1098"/>
      <c r="IZ501" s="1098"/>
      <c r="JA501" s="1098"/>
      <c r="JB501" s="1098"/>
      <c r="JC501" s="1098"/>
      <c r="JD501" s="1098"/>
      <c r="JE501" s="1098"/>
      <c r="JF501" s="1098"/>
      <c r="JG501" s="1098"/>
      <c r="JH501" s="1098"/>
      <c r="JI501" s="1098"/>
      <c r="JJ501" s="1098"/>
      <c r="JK501" s="1098"/>
      <c r="JL501" s="1098"/>
      <c r="JM501" s="1098"/>
      <c r="JN501" s="1098"/>
      <c r="JO501" s="1098"/>
      <c r="JP501" s="1098"/>
      <c r="JQ501" s="1098"/>
      <c r="JR501" s="1098"/>
      <c r="JS501" s="1098"/>
      <c r="JT501" s="1098"/>
      <c r="JU501" s="1098"/>
      <c r="JV501" s="1098"/>
      <c r="JW501" s="1098"/>
      <c r="JX501" s="1098"/>
      <c r="JY501" s="1098"/>
      <c r="JZ501" s="1098"/>
      <c r="KA501" s="1098"/>
      <c r="KB501" s="1099"/>
    </row>
    <row r="502" spans="2:288" ht="15" customHeight="1" x14ac:dyDescent="0.35">
      <c r="B502" s="146" t="str">
        <f t="shared" si="38"/>
        <v>Desk 78</v>
      </c>
      <c r="C502" s="148" t="str">
        <v/>
      </c>
      <c r="D502" s="148" t="str">
        <v/>
      </c>
      <c r="E502" s="148" t="str">
        <v/>
      </c>
      <c r="F502" s="148" t="str">
        <v/>
      </c>
      <c r="G502" s="268" t="str">
        <v/>
      </c>
      <c r="H502" s="1098"/>
      <c r="I502" s="1098"/>
      <c r="J502" s="1098"/>
      <c r="K502" s="1098"/>
      <c r="L502" s="1098"/>
      <c r="M502" s="1098"/>
      <c r="N502" s="1098"/>
      <c r="O502" s="1098"/>
      <c r="P502" s="1098"/>
      <c r="Q502" s="1098"/>
      <c r="R502" s="1098"/>
      <c r="S502" s="1098"/>
      <c r="T502" s="1098"/>
      <c r="U502" s="1098"/>
      <c r="V502" s="1098"/>
      <c r="W502" s="1098"/>
      <c r="X502" s="1098"/>
      <c r="Y502" s="1098"/>
      <c r="Z502" s="1098"/>
      <c r="AA502" s="1098"/>
      <c r="AB502" s="1098"/>
      <c r="AC502" s="1098"/>
      <c r="AD502" s="1098"/>
      <c r="AE502" s="1098"/>
      <c r="AF502" s="1098"/>
      <c r="AG502" s="1098"/>
      <c r="AH502" s="1098"/>
      <c r="AI502" s="1098"/>
      <c r="AJ502" s="1098"/>
      <c r="AK502" s="1098"/>
      <c r="AL502" s="1098"/>
      <c r="AM502" s="1098"/>
      <c r="AN502" s="1098"/>
      <c r="AO502" s="1098"/>
      <c r="AP502" s="1098"/>
      <c r="AQ502" s="1098"/>
      <c r="AR502" s="1098"/>
      <c r="AS502" s="1098"/>
      <c r="AT502" s="1098"/>
      <c r="AU502" s="1098"/>
      <c r="AV502" s="1098"/>
      <c r="AW502" s="1098"/>
      <c r="AX502" s="1098"/>
      <c r="AY502" s="1098"/>
      <c r="AZ502" s="1098"/>
      <c r="BA502" s="1098"/>
      <c r="BB502" s="1098"/>
      <c r="BC502" s="1098"/>
      <c r="BD502" s="1098"/>
      <c r="BE502" s="1098"/>
      <c r="BF502" s="1098"/>
      <c r="BG502" s="1098"/>
      <c r="BH502" s="1098"/>
      <c r="BI502" s="1098"/>
      <c r="BJ502" s="1098"/>
      <c r="BK502" s="1098"/>
      <c r="BL502" s="1098"/>
      <c r="BM502" s="1098"/>
      <c r="BN502" s="1098"/>
      <c r="BO502" s="1098"/>
      <c r="BP502" s="1098"/>
      <c r="BQ502" s="1098"/>
      <c r="BR502" s="1098"/>
      <c r="BS502" s="1098"/>
      <c r="BT502" s="1098"/>
      <c r="BU502" s="1098"/>
      <c r="BV502" s="1098"/>
      <c r="BW502" s="1098"/>
      <c r="BX502" s="1098"/>
      <c r="BY502" s="1098"/>
      <c r="BZ502" s="1098"/>
      <c r="CA502" s="1098"/>
      <c r="CB502" s="1098"/>
      <c r="CC502" s="1098"/>
      <c r="CD502" s="1098"/>
      <c r="CE502" s="1098"/>
      <c r="CF502" s="1098"/>
      <c r="CG502" s="1098"/>
      <c r="CH502" s="1098"/>
      <c r="CI502" s="1098"/>
      <c r="CJ502" s="1098"/>
      <c r="CK502" s="1098"/>
      <c r="CL502" s="1098"/>
      <c r="CM502" s="1098"/>
      <c r="CN502" s="1098"/>
      <c r="CO502" s="1098"/>
      <c r="CP502" s="1098"/>
      <c r="CQ502" s="1098"/>
      <c r="CR502" s="1098"/>
      <c r="CS502" s="1098"/>
      <c r="CT502" s="1098"/>
      <c r="CU502" s="1098"/>
      <c r="CV502" s="1098"/>
      <c r="CW502" s="1098"/>
      <c r="CX502" s="1098"/>
      <c r="CY502" s="1098"/>
      <c r="CZ502" s="1098"/>
      <c r="DA502" s="1098"/>
      <c r="DB502" s="1098"/>
      <c r="DC502" s="1098"/>
      <c r="DD502" s="1098"/>
      <c r="DE502" s="1098"/>
      <c r="DF502" s="1098"/>
      <c r="DG502" s="1098"/>
      <c r="DH502" s="1098"/>
      <c r="DI502" s="1098"/>
      <c r="DJ502" s="1098"/>
      <c r="DK502" s="1098"/>
      <c r="DL502" s="1098"/>
      <c r="DM502" s="1098"/>
      <c r="DN502" s="1098"/>
      <c r="DO502" s="1098"/>
      <c r="DP502" s="1098"/>
      <c r="DQ502" s="1098"/>
      <c r="DR502" s="1098"/>
      <c r="DS502" s="1098"/>
      <c r="DT502" s="1098"/>
      <c r="DU502" s="1098"/>
      <c r="DV502" s="1098"/>
      <c r="DW502" s="1098"/>
      <c r="DX502" s="1098"/>
      <c r="DY502" s="1098"/>
      <c r="DZ502" s="1098"/>
      <c r="EA502" s="1098"/>
      <c r="EB502" s="1098"/>
      <c r="EC502" s="1098"/>
      <c r="ED502" s="1098"/>
      <c r="EE502" s="1098"/>
      <c r="EF502" s="1098"/>
      <c r="EG502" s="1098"/>
      <c r="EH502" s="1098"/>
      <c r="EI502" s="1098"/>
      <c r="EJ502" s="1098"/>
      <c r="EK502" s="1098"/>
      <c r="EL502" s="1098"/>
      <c r="EM502" s="1098"/>
      <c r="EN502" s="1098"/>
      <c r="EO502" s="1098"/>
      <c r="EP502" s="1098"/>
      <c r="EQ502" s="1098"/>
      <c r="ER502" s="1098"/>
      <c r="ES502" s="1098"/>
      <c r="ET502" s="1098"/>
      <c r="EU502" s="1098"/>
      <c r="EV502" s="1098"/>
      <c r="EW502" s="1098"/>
      <c r="EX502" s="1098"/>
      <c r="EY502" s="1098"/>
      <c r="EZ502" s="1098"/>
      <c r="FA502" s="1098"/>
      <c r="FB502" s="1098"/>
      <c r="FC502" s="1098"/>
      <c r="FD502" s="1098"/>
      <c r="FE502" s="1098"/>
      <c r="FF502" s="1098"/>
      <c r="FG502" s="1098"/>
      <c r="FH502" s="1098"/>
      <c r="FI502" s="1098"/>
      <c r="FJ502" s="1098"/>
      <c r="FK502" s="1098"/>
      <c r="FL502" s="1098"/>
      <c r="FM502" s="1098"/>
      <c r="FN502" s="1098"/>
      <c r="FO502" s="1098"/>
      <c r="FP502" s="1098"/>
      <c r="FQ502" s="1098"/>
      <c r="FR502" s="1098"/>
      <c r="FS502" s="1098"/>
      <c r="FT502" s="1098"/>
      <c r="FU502" s="1098"/>
      <c r="FV502" s="1098"/>
      <c r="FW502" s="1098"/>
      <c r="FX502" s="1098"/>
      <c r="FY502" s="1098"/>
      <c r="FZ502" s="1098"/>
      <c r="GA502" s="1098"/>
      <c r="GB502" s="1098"/>
      <c r="GC502" s="1098"/>
      <c r="GD502" s="1098"/>
      <c r="GE502" s="1098"/>
      <c r="GF502" s="1098"/>
      <c r="GG502" s="1098"/>
      <c r="GH502" s="1098"/>
      <c r="GI502" s="1098"/>
      <c r="GJ502" s="1098"/>
      <c r="GK502" s="1098"/>
      <c r="GL502" s="1098"/>
      <c r="GM502" s="1098"/>
      <c r="GN502" s="1098"/>
      <c r="GO502" s="1098"/>
      <c r="GP502" s="1098"/>
      <c r="GQ502" s="1098"/>
      <c r="GR502" s="1098"/>
      <c r="GS502" s="1098"/>
      <c r="GT502" s="1098"/>
      <c r="GU502" s="1098"/>
      <c r="GV502" s="1098"/>
      <c r="GW502" s="1098"/>
      <c r="GX502" s="1098"/>
      <c r="GY502" s="1098"/>
      <c r="GZ502" s="1098"/>
      <c r="HA502" s="1098"/>
      <c r="HB502" s="1098"/>
      <c r="HC502" s="1098"/>
      <c r="HD502" s="1098"/>
      <c r="HE502" s="1098"/>
      <c r="HF502" s="1098"/>
      <c r="HG502" s="1098"/>
      <c r="HH502" s="1098"/>
      <c r="HI502" s="1098"/>
      <c r="HJ502" s="1098"/>
      <c r="HK502" s="1098"/>
      <c r="HL502" s="1098"/>
      <c r="HM502" s="1098"/>
      <c r="HN502" s="1098"/>
      <c r="HO502" s="1098"/>
      <c r="HP502" s="1098"/>
      <c r="HQ502" s="1098"/>
      <c r="HR502" s="1098"/>
      <c r="HS502" s="1098"/>
      <c r="HT502" s="1098"/>
      <c r="HU502" s="1098"/>
      <c r="HV502" s="1098"/>
      <c r="HW502" s="1098"/>
      <c r="HX502" s="1098"/>
      <c r="HY502" s="1098"/>
      <c r="HZ502" s="1098"/>
      <c r="IA502" s="1098"/>
      <c r="IB502" s="1098"/>
      <c r="IC502" s="1098"/>
      <c r="ID502" s="1098"/>
      <c r="IE502" s="1098"/>
      <c r="IF502" s="1098"/>
      <c r="IG502" s="1098"/>
      <c r="IH502" s="1098"/>
      <c r="II502" s="1098"/>
      <c r="IJ502" s="1098"/>
      <c r="IK502" s="1098"/>
      <c r="IL502" s="1098"/>
      <c r="IM502" s="1098"/>
      <c r="IN502" s="1098"/>
      <c r="IO502" s="1098"/>
      <c r="IP502" s="1098"/>
      <c r="IQ502" s="1098"/>
      <c r="IR502" s="1098"/>
      <c r="IS502" s="1098"/>
      <c r="IT502" s="1098"/>
      <c r="IU502" s="1098"/>
      <c r="IV502" s="1098"/>
      <c r="IW502" s="1098"/>
      <c r="IX502" s="1098"/>
      <c r="IY502" s="1098"/>
      <c r="IZ502" s="1098"/>
      <c r="JA502" s="1098"/>
      <c r="JB502" s="1098"/>
      <c r="JC502" s="1098"/>
      <c r="JD502" s="1098"/>
      <c r="JE502" s="1098"/>
      <c r="JF502" s="1098"/>
      <c r="JG502" s="1098"/>
      <c r="JH502" s="1098"/>
      <c r="JI502" s="1098"/>
      <c r="JJ502" s="1098"/>
      <c r="JK502" s="1098"/>
      <c r="JL502" s="1098"/>
      <c r="JM502" s="1098"/>
      <c r="JN502" s="1098"/>
      <c r="JO502" s="1098"/>
      <c r="JP502" s="1098"/>
      <c r="JQ502" s="1098"/>
      <c r="JR502" s="1098"/>
      <c r="JS502" s="1098"/>
      <c r="JT502" s="1098"/>
      <c r="JU502" s="1098"/>
      <c r="JV502" s="1098"/>
      <c r="JW502" s="1098"/>
      <c r="JX502" s="1098"/>
      <c r="JY502" s="1098"/>
      <c r="JZ502" s="1098"/>
      <c r="KA502" s="1098"/>
      <c r="KB502" s="1099"/>
    </row>
    <row r="503" spans="2:288" ht="15" customHeight="1" x14ac:dyDescent="0.35">
      <c r="B503" s="146" t="str">
        <f t="shared" si="38"/>
        <v>Desk 79</v>
      </c>
      <c r="C503" s="148" t="str">
        <v/>
      </c>
      <c r="D503" s="148" t="str">
        <v/>
      </c>
      <c r="E503" s="148" t="str">
        <v/>
      </c>
      <c r="F503" s="148" t="str">
        <v/>
      </c>
      <c r="G503" s="268" t="str">
        <v/>
      </c>
      <c r="H503" s="1098"/>
      <c r="I503" s="1098"/>
      <c r="J503" s="1098"/>
      <c r="K503" s="1098"/>
      <c r="L503" s="1098"/>
      <c r="M503" s="1098"/>
      <c r="N503" s="1098"/>
      <c r="O503" s="1098"/>
      <c r="P503" s="1098"/>
      <c r="Q503" s="1098"/>
      <c r="R503" s="1098"/>
      <c r="S503" s="1098"/>
      <c r="T503" s="1098"/>
      <c r="U503" s="1098"/>
      <c r="V503" s="1098"/>
      <c r="W503" s="1098"/>
      <c r="X503" s="1098"/>
      <c r="Y503" s="1098"/>
      <c r="Z503" s="1098"/>
      <c r="AA503" s="1098"/>
      <c r="AB503" s="1098"/>
      <c r="AC503" s="1098"/>
      <c r="AD503" s="1098"/>
      <c r="AE503" s="1098"/>
      <c r="AF503" s="1098"/>
      <c r="AG503" s="1098"/>
      <c r="AH503" s="1098"/>
      <c r="AI503" s="1098"/>
      <c r="AJ503" s="1098"/>
      <c r="AK503" s="1098"/>
      <c r="AL503" s="1098"/>
      <c r="AM503" s="1098"/>
      <c r="AN503" s="1098"/>
      <c r="AO503" s="1098"/>
      <c r="AP503" s="1098"/>
      <c r="AQ503" s="1098"/>
      <c r="AR503" s="1098"/>
      <c r="AS503" s="1098"/>
      <c r="AT503" s="1098"/>
      <c r="AU503" s="1098"/>
      <c r="AV503" s="1098"/>
      <c r="AW503" s="1098"/>
      <c r="AX503" s="1098"/>
      <c r="AY503" s="1098"/>
      <c r="AZ503" s="1098"/>
      <c r="BA503" s="1098"/>
      <c r="BB503" s="1098"/>
      <c r="BC503" s="1098"/>
      <c r="BD503" s="1098"/>
      <c r="BE503" s="1098"/>
      <c r="BF503" s="1098"/>
      <c r="BG503" s="1098"/>
      <c r="BH503" s="1098"/>
      <c r="BI503" s="1098"/>
      <c r="BJ503" s="1098"/>
      <c r="BK503" s="1098"/>
      <c r="BL503" s="1098"/>
      <c r="BM503" s="1098"/>
      <c r="BN503" s="1098"/>
      <c r="BO503" s="1098"/>
      <c r="BP503" s="1098"/>
      <c r="BQ503" s="1098"/>
      <c r="BR503" s="1098"/>
      <c r="BS503" s="1098"/>
      <c r="BT503" s="1098"/>
      <c r="BU503" s="1098"/>
      <c r="BV503" s="1098"/>
      <c r="BW503" s="1098"/>
      <c r="BX503" s="1098"/>
      <c r="BY503" s="1098"/>
      <c r="BZ503" s="1098"/>
      <c r="CA503" s="1098"/>
      <c r="CB503" s="1098"/>
      <c r="CC503" s="1098"/>
      <c r="CD503" s="1098"/>
      <c r="CE503" s="1098"/>
      <c r="CF503" s="1098"/>
      <c r="CG503" s="1098"/>
      <c r="CH503" s="1098"/>
      <c r="CI503" s="1098"/>
      <c r="CJ503" s="1098"/>
      <c r="CK503" s="1098"/>
      <c r="CL503" s="1098"/>
      <c r="CM503" s="1098"/>
      <c r="CN503" s="1098"/>
      <c r="CO503" s="1098"/>
      <c r="CP503" s="1098"/>
      <c r="CQ503" s="1098"/>
      <c r="CR503" s="1098"/>
      <c r="CS503" s="1098"/>
      <c r="CT503" s="1098"/>
      <c r="CU503" s="1098"/>
      <c r="CV503" s="1098"/>
      <c r="CW503" s="1098"/>
      <c r="CX503" s="1098"/>
      <c r="CY503" s="1098"/>
      <c r="CZ503" s="1098"/>
      <c r="DA503" s="1098"/>
      <c r="DB503" s="1098"/>
      <c r="DC503" s="1098"/>
      <c r="DD503" s="1098"/>
      <c r="DE503" s="1098"/>
      <c r="DF503" s="1098"/>
      <c r="DG503" s="1098"/>
      <c r="DH503" s="1098"/>
      <c r="DI503" s="1098"/>
      <c r="DJ503" s="1098"/>
      <c r="DK503" s="1098"/>
      <c r="DL503" s="1098"/>
      <c r="DM503" s="1098"/>
      <c r="DN503" s="1098"/>
      <c r="DO503" s="1098"/>
      <c r="DP503" s="1098"/>
      <c r="DQ503" s="1098"/>
      <c r="DR503" s="1098"/>
      <c r="DS503" s="1098"/>
      <c r="DT503" s="1098"/>
      <c r="DU503" s="1098"/>
      <c r="DV503" s="1098"/>
      <c r="DW503" s="1098"/>
      <c r="DX503" s="1098"/>
      <c r="DY503" s="1098"/>
      <c r="DZ503" s="1098"/>
      <c r="EA503" s="1098"/>
      <c r="EB503" s="1098"/>
      <c r="EC503" s="1098"/>
      <c r="ED503" s="1098"/>
      <c r="EE503" s="1098"/>
      <c r="EF503" s="1098"/>
      <c r="EG503" s="1098"/>
      <c r="EH503" s="1098"/>
      <c r="EI503" s="1098"/>
      <c r="EJ503" s="1098"/>
      <c r="EK503" s="1098"/>
      <c r="EL503" s="1098"/>
      <c r="EM503" s="1098"/>
      <c r="EN503" s="1098"/>
      <c r="EO503" s="1098"/>
      <c r="EP503" s="1098"/>
      <c r="EQ503" s="1098"/>
      <c r="ER503" s="1098"/>
      <c r="ES503" s="1098"/>
      <c r="ET503" s="1098"/>
      <c r="EU503" s="1098"/>
      <c r="EV503" s="1098"/>
      <c r="EW503" s="1098"/>
      <c r="EX503" s="1098"/>
      <c r="EY503" s="1098"/>
      <c r="EZ503" s="1098"/>
      <c r="FA503" s="1098"/>
      <c r="FB503" s="1098"/>
      <c r="FC503" s="1098"/>
      <c r="FD503" s="1098"/>
      <c r="FE503" s="1098"/>
      <c r="FF503" s="1098"/>
      <c r="FG503" s="1098"/>
      <c r="FH503" s="1098"/>
      <c r="FI503" s="1098"/>
      <c r="FJ503" s="1098"/>
      <c r="FK503" s="1098"/>
      <c r="FL503" s="1098"/>
      <c r="FM503" s="1098"/>
      <c r="FN503" s="1098"/>
      <c r="FO503" s="1098"/>
      <c r="FP503" s="1098"/>
      <c r="FQ503" s="1098"/>
      <c r="FR503" s="1098"/>
      <c r="FS503" s="1098"/>
      <c r="FT503" s="1098"/>
      <c r="FU503" s="1098"/>
      <c r="FV503" s="1098"/>
      <c r="FW503" s="1098"/>
      <c r="FX503" s="1098"/>
      <c r="FY503" s="1098"/>
      <c r="FZ503" s="1098"/>
      <c r="GA503" s="1098"/>
      <c r="GB503" s="1098"/>
      <c r="GC503" s="1098"/>
      <c r="GD503" s="1098"/>
      <c r="GE503" s="1098"/>
      <c r="GF503" s="1098"/>
      <c r="GG503" s="1098"/>
      <c r="GH503" s="1098"/>
      <c r="GI503" s="1098"/>
      <c r="GJ503" s="1098"/>
      <c r="GK503" s="1098"/>
      <c r="GL503" s="1098"/>
      <c r="GM503" s="1098"/>
      <c r="GN503" s="1098"/>
      <c r="GO503" s="1098"/>
      <c r="GP503" s="1098"/>
      <c r="GQ503" s="1098"/>
      <c r="GR503" s="1098"/>
      <c r="GS503" s="1098"/>
      <c r="GT503" s="1098"/>
      <c r="GU503" s="1098"/>
      <c r="GV503" s="1098"/>
      <c r="GW503" s="1098"/>
      <c r="GX503" s="1098"/>
      <c r="GY503" s="1098"/>
      <c r="GZ503" s="1098"/>
      <c r="HA503" s="1098"/>
      <c r="HB503" s="1098"/>
      <c r="HC503" s="1098"/>
      <c r="HD503" s="1098"/>
      <c r="HE503" s="1098"/>
      <c r="HF503" s="1098"/>
      <c r="HG503" s="1098"/>
      <c r="HH503" s="1098"/>
      <c r="HI503" s="1098"/>
      <c r="HJ503" s="1098"/>
      <c r="HK503" s="1098"/>
      <c r="HL503" s="1098"/>
      <c r="HM503" s="1098"/>
      <c r="HN503" s="1098"/>
      <c r="HO503" s="1098"/>
      <c r="HP503" s="1098"/>
      <c r="HQ503" s="1098"/>
      <c r="HR503" s="1098"/>
      <c r="HS503" s="1098"/>
      <c r="HT503" s="1098"/>
      <c r="HU503" s="1098"/>
      <c r="HV503" s="1098"/>
      <c r="HW503" s="1098"/>
      <c r="HX503" s="1098"/>
      <c r="HY503" s="1098"/>
      <c r="HZ503" s="1098"/>
      <c r="IA503" s="1098"/>
      <c r="IB503" s="1098"/>
      <c r="IC503" s="1098"/>
      <c r="ID503" s="1098"/>
      <c r="IE503" s="1098"/>
      <c r="IF503" s="1098"/>
      <c r="IG503" s="1098"/>
      <c r="IH503" s="1098"/>
      <c r="II503" s="1098"/>
      <c r="IJ503" s="1098"/>
      <c r="IK503" s="1098"/>
      <c r="IL503" s="1098"/>
      <c r="IM503" s="1098"/>
      <c r="IN503" s="1098"/>
      <c r="IO503" s="1098"/>
      <c r="IP503" s="1098"/>
      <c r="IQ503" s="1098"/>
      <c r="IR503" s="1098"/>
      <c r="IS503" s="1098"/>
      <c r="IT503" s="1098"/>
      <c r="IU503" s="1098"/>
      <c r="IV503" s="1098"/>
      <c r="IW503" s="1098"/>
      <c r="IX503" s="1098"/>
      <c r="IY503" s="1098"/>
      <c r="IZ503" s="1098"/>
      <c r="JA503" s="1098"/>
      <c r="JB503" s="1098"/>
      <c r="JC503" s="1098"/>
      <c r="JD503" s="1098"/>
      <c r="JE503" s="1098"/>
      <c r="JF503" s="1098"/>
      <c r="JG503" s="1098"/>
      <c r="JH503" s="1098"/>
      <c r="JI503" s="1098"/>
      <c r="JJ503" s="1098"/>
      <c r="JK503" s="1098"/>
      <c r="JL503" s="1098"/>
      <c r="JM503" s="1098"/>
      <c r="JN503" s="1098"/>
      <c r="JO503" s="1098"/>
      <c r="JP503" s="1098"/>
      <c r="JQ503" s="1098"/>
      <c r="JR503" s="1098"/>
      <c r="JS503" s="1098"/>
      <c r="JT503" s="1098"/>
      <c r="JU503" s="1098"/>
      <c r="JV503" s="1098"/>
      <c r="JW503" s="1098"/>
      <c r="JX503" s="1098"/>
      <c r="JY503" s="1098"/>
      <c r="JZ503" s="1098"/>
      <c r="KA503" s="1098"/>
      <c r="KB503" s="1099"/>
    </row>
    <row r="504" spans="2:288" ht="15" customHeight="1" x14ac:dyDescent="0.35">
      <c r="B504" s="146" t="str">
        <f t="shared" si="38"/>
        <v>Desk 80</v>
      </c>
      <c r="C504" s="148" t="str">
        <v/>
      </c>
      <c r="D504" s="148" t="str">
        <v/>
      </c>
      <c r="E504" s="148" t="str">
        <v/>
      </c>
      <c r="F504" s="148" t="str">
        <v/>
      </c>
      <c r="G504" s="268" t="str">
        <v/>
      </c>
      <c r="H504" s="1098"/>
      <c r="I504" s="1098"/>
      <c r="J504" s="1098"/>
      <c r="K504" s="1098"/>
      <c r="L504" s="1098"/>
      <c r="M504" s="1098"/>
      <c r="N504" s="1098"/>
      <c r="O504" s="1098"/>
      <c r="P504" s="1098"/>
      <c r="Q504" s="1098"/>
      <c r="R504" s="1098"/>
      <c r="S504" s="1098"/>
      <c r="T504" s="1098"/>
      <c r="U504" s="1098"/>
      <c r="V504" s="1098"/>
      <c r="W504" s="1098"/>
      <c r="X504" s="1098"/>
      <c r="Y504" s="1098"/>
      <c r="Z504" s="1098"/>
      <c r="AA504" s="1098"/>
      <c r="AB504" s="1098"/>
      <c r="AC504" s="1098"/>
      <c r="AD504" s="1098"/>
      <c r="AE504" s="1098"/>
      <c r="AF504" s="1098"/>
      <c r="AG504" s="1098"/>
      <c r="AH504" s="1098"/>
      <c r="AI504" s="1098"/>
      <c r="AJ504" s="1098"/>
      <c r="AK504" s="1098"/>
      <c r="AL504" s="1098"/>
      <c r="AM504" s="1098"/>
      <c r="AN504" s="1098"/>
      <c r="AO504" s="1098"/>
      <c r="AP504" s="1098"/>
      <c r="AQ504" s="1098"/>
      <c r="AR504" s="1098"/>
      <c r="AS504" s="1098"/>
      <c r="AT504" s="1098"/>
      <c r="AU504" s="1098"/>
      <c r="AV504" s="1098"/>
      <c r="AW504" s="1098"/>
      <c r="AX504" s="1098"/>
      <c r="AY504" s="1098"/>
      <c r="AZ504" s="1098"/>
      <c r="BA504" s="1098"/>
      <c r="BB504" s="1098"/>
      <c r="BC504" s="1098"/>
      <c r="BD504" s="1098"/>
      <c r="BE504" s="1098"/>
      <c r="BF504" s="1098"/>
      <c r="BG504" s="1098"/>
      <c r="BH504" s="1098"/>
      <c r="BI504" s="1098"/>
      <c r="BJ504" s="1098"/>
      <c r="BK504" s="1098"/>
      <c r="BL504" s="1098"/>
      <c r="BM504" s="1098"/>
      <c r="BN504" s="1098"/>
      <c r="BO504" s="1098"/>
      <c r="BP504" s="1098"/>
      <c r="BQ504" s="1098"/>
      <c r="BR504" s="1098"/>
      <c r="BS504" s="1098"/>
      <c r="BT504" s="1098"/>
      <c r="BU504" s="1098"/>
      <c r="BV504" s="1098"/>
      <c r="BW504" s="1098"/>
      <c r="BX504" s="1098"/>
      <c r="BY504" s="1098"/>
      <c r="BZ504" s="1098"/>
      <c r="CA504" s="1098"/>
      <c r="CB504" s="1098"/>
      <c r="CC504" s="1098"/>
      <c r="CD504" s="1098"/>
      <c r="CE504" s="1098"/>
      <c r="CF504" s="1098"/>
      <c r="CG504" s="1098"/>
      <c r="CH504" s="1098"/>
      <c r="CI504" s="1098"/>
      <c r="CJ504" s="1098"/>
      <c r="CK504" s="1098"/>
      <c r="CL504" s="1098"/>
      <c r="CM504" s="1098"/>
      <c r="CN504" s="1098"/>
      <c r="CO504" s="1098"/>
      <c r="CP504" s="1098"/>
      <c r="CQ504" s="1098"/>
      <c r="CR504" s="1098"/>
      <c r="CS504" s="1098"/>
      <c r="CT504" s="1098"/>
      <c r="CU504" s="1098"/>
      <c r="CV504" s="1098"/>
      <c r="CW504" s="1098"/>
      <c r="CX504" s="1098"/>
      <c r="CY504" s="1098"/>
      <c r="CZ504" s="1098"/>
      <c r="DA504" s="1098"/>
      <c r="DB504" s="1098"/>
      <c r="DC504" s="1098"/>
      <c r="DD504" s="1098"/>
      <c r="DE504" s="1098"/>
      <c r="DF504" s="1098"/>
      <c r="DG504" s="1098"/>
      <c r="DH504" s="1098"/>
      <c r="DI504" s="1098"/>
      <c r="DJ504" s="1098"/>
      <c r="DK504" s="1098"/>
      <c r="DL504" s="1098"/>
      <c r="DM504" s="1098"/>
      <c r="DN504" s="1098"/>
      <c r="DO504" s="1098"/>
      <c r="DP504" s="1098"/>
      <c r="DQ504" s="1098"/>
      <c r="DR504" s="1098"/>
      <c r="DS504" s="1098"/>
      <c r="DT504" s="1098"/>
      <c r="DU504" s="1098"/>
      <c r="DV504" s="1098"/>
      <c r="DW504" s="1098"/>
      <c r="DX504" s="1098"/>
      <c r="DY504" s="1098"/>
      <c r="DZ504" s="1098"/>
      <c r="EA504" s="1098"/>
      <c r="EB504" s="1098"/>
      <c r="EC504" s="1098"/>
      <c r="ED504" s="1098"/>
      <c r="EE504" s="1098"/>
      <c r="EF504" s="1098"/>
      <c r="EG504" s="1098"/>
      <c r="EH504" s="1098"/>
      <c r="EI504" s="1098"/>
      <c r="EJ504" s="1098"/>
      <c r="EK504" s="1098"/>
      <c r="EL504" s="1098"/>
      <c r="EM504" s="1098"/>
      <c r="EN504" s="1098"/>
      <c r="EO504" s="1098"/>
      <c r="EP504" s="1098"/>
      <c r="EQ504" s="1098"/>
      <c r="ER504" s="1098"/>
      <c r="ES504" s="1098"/>
      <c r="ET504" s="1098"/>
      <c r="EU504" s="1098"/>
      <c r="EV504" s="1098"/>
      <c r="EW504" s="1098"/>
      <c r="EX504" s="1098"/>
      <c r="EY504" s="1098"/>
      <c r="EZ504" s="1098"/>
      <c r="FA504" s="1098"/>
      <c r="FB504" s="1098"/>
      <c r="FC504" s="1098"/>
      <c r="FD504" s="1098"/>
      <c r="FE504" s="1098"/>
      <c r="FF504" s="1098"/>
      <c r="FG504" s="1098"/>
      <c r="FH504" s="1098"/>
      <c r="FI504" s="1098"/>
      <c r="FJ504" s="1098"/>
      <c r="FK504" s="1098"/>
      <c r="FL504" s="1098"/>
      <c r="FM504" s="1098"/>
      <c r="FN504" s="1098"/>
      <c r="FO504" s="1098"/>
      <c r="FP504" s="1098"/>
      <c r="FQ504" s="1098"/>
      <c r="FR504" s="1098"/>
      <c r="FS504" s="1098"/>
      <c r="FT504" s="1098"/>
      <c r="FU504" s="1098"/>
      <c r="FV504" s="1098"/>
      <c r="FW504" s="1098"/>
      <c r="FX504" s="1098"/>
      <c r="FY504" s="1098"/>
      <c r="FZ504" s="1098"/>
      <c r="GA504" s="1098"/>
      <c r="GB504" s="1098"/>
      <c r="GC504" s="1098"/>
      <c r="GD504" s="1098"/>
      <c r="GE504" s="1098"/>
      <c r="GF504" s="1098"/>
      <c r="GG504" s="1098"/>
      <c r="GH504" s="1098"/>
      <c r="GI504" s="1098"/>
      <c r="GJ504" s="1098"/>
      <c r="GK504" s="1098"/>
      <c r="GL504" s="1098"/>
      <c r="GM504" s="1098"/>
      <c r="GN504" s="1098"/>
      <c r="GO504" s="1098"/>
      <c r="GP504" s="1098"/>
      <c r="GQ504" s="1098"/>
      <c r="GR504" s="1098"/>
      <c r="GS504" s="1098"/>
      <c r="GT504" s="1098"/>
      <c r="GU504" s="1098"/>
      <c r="GV504" s="1098"/>
      <c r="GW504" s="1098"/>
      <c r="GX504" s="1098"/>
      <c r="GY504" s="1098"/>
      <c r="GZ504" s="1098"/>
      <c r="HA504" s="1098"/>
      <c r="HB504" s="1098"/>
      <c r="HC504" s="1098"/>
      <c r="HD504" s="1098"/>
      <c r="HE504" s="1098"/>
      <c r="HF504" s="1098"/>
      <c r="HG504" s="1098"/>
      <c r="HH504" s="1098"/>
      <c r="HI504" s="1098"/>
      <c r="HJ504" s="1098"/>
      <c r="HK504" s="1098"/>
      <c r="HL504" s="1098"/>
      <c r="HM504" s="1098"/>
      <c r="HN504" s="1098"/>
      <c r="HO504" s="1098"/>
      <c r="HP504" s="1098"/>
      <c r="HQ504" s="1098"/>
      <c r="HR504" s="1098"/>
      <c r="HS504" s="1098"/>
      <c r="HT504" s="1098"/>
      <c r="HU504" s="1098"/>
      <c r="HV504" s="1098"/>
      <c r="HW504" s="1098"/>
      <c r="HX504" s="1098"/>
      <c r="HY504" s="1098"/>
      <c r="HZ504" s="1098"/>
      <c r="IA504" s="1098"/>
      <c r="IB504" s="1098"/>
      <c r="IC504" s="1098"/>
      <c r="ID504" s="1098"/>
      <c r="IE504" s="1098"/>
      <c r="IF504" s="1098"/>
      <c r="IG504" s="1098"/>
      <c r="IH504" s="1098"/>
      <c r="II504" s="1098"/>
      <c r="IJ504" s="1098"/>
      <c r="IK504" s="1098"/>
      <c r="IL504" s="1098"/>
      <c r="IM504" s="1098"/>
      <c r="IN504" s="1098"/>
      <c r="IO504" s="1098"/>
      <c r="IP504" s="1098"/>
      <c r="IQ504" s="1098"/>
      <c r="IR504" s="1098"/>
      <c r="IS504" s="1098"/>
      <c r="IT504" s="1098"/>
      <c r="IU504" s="1098"/>
      <c r="IV504" s="1098"/>
      <c r="IW504" s="1098"/>
      <c r="IX504" s="1098"/>
      <c r="IY504" s="1098"/>
      <c r="IZ504" s="1098"/>
      <c r="JA504" s="1098"/>
      <c r="JB504" s="1098"/>
      <c r="JC504" s="1098"/>
      <c r="JD504" s="1098"/>
      <c r="JE504" s="1098"/>
      <c r="JF504" s="1098"/>
      <c r="JG504" s="1098"/>
      <c r="JH504" s="1098"/>
      <c r="JI504" s="1098"/>
      <c r="JJ504" s="1098"/>
      <c r="JK504" s="1098"/>
      <c r="JL504" s="1098"/>
      <c r="JM504" s="1098"/>
      <c r="JN504" s="1098"/>
      <c r="JO504" s="1098"/>
      <c r="JP504" s="1098"/>
      <c r="JQ504" s="1098"/>
      <c r="JR504" s="1098"/>
      <c r="JS504" s="1098"/>
      <c r="JT504" s="1098"/>
      <c r="JU504" s="1098"/>
      <c r="JV504" s="1098"/>
      <c r="JW504" s="1098"/>
      <c r="JX504" s="1098"/>
      <c r="JY504" s="1098"/>
      <c r="JZ504" s="1098"/>
      <c r="KA504" s="1098"/>
      <c r="KB504" s="1099"/>
    </row>
    <row r="505" spans="2:288" ht="15" customHeight="1" x14ac:dyDescent="0.35">
      <c r="B505" s="146" t="str">
        <f t="shared" si="38"/>
        <v>Desk 81</v>
      </c>
      <c r="C505" s="148" t="str">
        <v/>
      </c>
      <c r="D505" s="148" t="str">
        <v/>
      </c>
      <c r="E505" s="148" t="str">
        <v/>
      </c>
      <c r="F505" s="148" t="str">
        <v/>
      </c>
      <c r="G505" s="268" t="str">
        <v/>
      </c>
      <c r="H505" s="1098"/>
      <c r="I505" s="1098"/>
      <c r="J505" s="1098"/>
      <c r="K505" s="1098"/>
      <c r="L505" s="1098"/>
      <c r="M505" s="1098"/>
      <c r="N505" s="1098"/>
      <c r="O505" s="1098"/>
      <c r="P505" s="1098"/>
      <c r="Q505" s="1098"/>
      <c r="R505" s="1098"/>
      <c r="S505" s="1098"/>
      <c r="T505" s="1098"/>
      <c r="U505" s="1098"/>
      <c r="V505" s="1098"/>
      <c r="W505" s="1098"/>
      <c r="X505" s="1098"/>
      <c r="Y505" s="1098"/>
      <c r="Z505" s="1098"/>
      <c r="AA505" s="1098"/>
      <c r="AB505" s="1098"/>
      <c r="AC505" s="1098"/>
      <c r="AD505" s="1098"/>
      <c r="AE505" s="1098"/>
      <c r="AF505" s="1098"/>
      <c r="AG505" s="1098"/>
      <c r="AH505" s="1098"/>
      <c r="AI505" s="1098"/>
      <c r="AJ505" s="1098"/>
      <c r="AK505" s="1098"/>
      <c r="AL505" s="1098"/>
      <c r="AM505" s="1098"/>
      <c r="AN505" s="1098"/>
      <c r="AO505" s="1098"/>
      <c r="AP505" s="1098"/>
      <c r="AQ505" s="1098"/>
      <c r="AR505" s="1098"/>
      <c r="AS505" s="1098"/>
      <c r="AT505" s="1098"/>
      <c r="AU505" s="1098"/>
      <c r="AV505" s="1098"/>
      <c r="AW505" s="1098"/>
      <c r="AX505" s="1098"/>
      <c r="AY505" s="1098"/>
      <c r="AZ505" s="1098"/>
      <c r="BA505" s="1098"/>
      <c r="BB505" s="1098"/>
      <c r="BC505" s="1098"/>
      <c r="BD505" s="1098"/>
      <c r="BE505" s="1098"/>
      <c r="BF505" s="1098"/>
      <c r="BG505" s="1098"/>
      <c r="BH505" s="1098"/>
      <c r="BI505" s="1098"/>
      <c r="BJ505" s="1098"/>
      <c r="BK505" s="1098"/>
      <c r="BL505" s="1098"/>
      <c r="BM505" s="1098"/>
      <c r="BN505" s="1098"/>
      <c r="BO505" s="1098"/>
      <c r="BP505" s="1098"/>
      <c r="BQ505" s="1098"/>
      <c r="BR505" s="1098"/>
      <c r="BS505" s="1098"/>
      <c r="BT505" s="1098"/>
      <c r="BU505" s="1098"/>
      <c r="BV505" s="1098"/>
      <c r="BW505" s="1098"/>
      <c r="BX505" s="1098"/>
      <c r="BY505" s="1098"/>
      <c r="BZ505" s="1098"/>
      <c r="CA505" s="1098"/>
      <c r="CB505" s="1098"/>
      <c r="CC505" s="1098"/>
      <c r="CD505" s="1098"/>
      <c r="CE505" s="1098"/>
      <c r="CF505" s="1098"/>
      <c r="CG505" s="1098"/>
      <c r="CH505" s="1098"/>
      <c r="CI505" s="1098"/>
      <c r="CJ505" s="1098"/>
      <c r="CK505" s="1098"/>
      <c r="CL505" s="1098"/>
      <c r="CM505" s="1098"/>
      <c r="CN505" s="1098"/>
      <c r="CO505" s="1098"/>
      <c r="CP505" s="1098"/>
      <c r="CQ505" s="1098"/>
      <c r="CR505" s="1098"/>
      <c r="CS505" s="1098"/>
      <c r="CT505" s="1098"/>
      <c r="CU505" s="1098"/>
      <c r="CV505" s="1098"/>
      <c r="CW505" s="1098"/>
      <c r="CX505" s="1098"/>
      <c r="CY505" s="1098"/>
      <c r="CZ505" s="1098"/>
      <c r="DA505" s="1098"/>
      <c r="DB505" s="1098"/>
      <c r="DC505" s="1098"/>
      <c r="DD505" s="1098"/>
      <c r="DE505" s="1098"/>
      <c r="DF505" s="1098"/>
      <c r="DG505" s="1098"/>
      <c r="DH505" s="1098"/>
      <c r="DI505" s="1098"/>
      <c r="DJ505" s="1098"/>
      <c r="DK505" s="1098"/>
      <c r="DL505" s="1098"/>
      <c r="DM505" s="1098"/>
      <c r="DN505" s="1098"/>
      <c r="DO505" s="1098"/>
      <c r="DP505" s="1098"/>
      <c r="DQ505" s="1098"/>
      <c r="DR505" s="1098"/>
      <c r="DS505" s="1098"/>
      <c r="DT505" s="1098"/>
      <c r="DU505" s="1098"/>
      <c r="DV505" s="1098"/>
      <c r="DW505" s="1098"/>
      <c r="DX505" s="1098"/>
      <c r="DY505" s="1098"/>
      <c r="DZ505" s="1098"/>
      <c r="EA505" s="1098"/>
      <c r="EB505" s="1098"/>
      <c r="EC505" s="1098"/>
      <c r="ED505" s="1098"/>
      <c r="EE505" s="1098"/>
      <c r="EF505" s="1098"/>
      <c r="EG505" s="1098"/>
      <c r="EH505" s="1098"/>
      <c r="EI505" s="1098"/>
      <c r="EJ505" s="1098"/>
      <c r="EK505" s="1098"/>
      <c r="EL505" s="1098"/>
      <c r="EM505" s="1098"/>
      <c r="EN505" s="1098"/>
      <c r="EO505" s="1098"/>
      <c r="EP505" s="1098"/>
      <c r="EQ505" s="1098"/>
      <c r="ER505" s="1098"/>
      <c r="ES505" s="1098"/>
      <c r="ET505" s="1098"/>
      <c r="EU505" s="1098"/>
      <c r="EV505" s="1098"/>
      <c r="EW505" s="1098"/>
      <c r="EX505" s="1098"/>
      <c r="EY505" s="1098"/>
      <c r="EZ505" s="1098"/>
      <c r="FA505" s="1098"/>
      <c r="FB505" s="1098"/>
      <c r="FC505" s="1098"/>
      <c r="FD505" s="1098"/>
      <c r="FE505" s="1098"/>
      <c r="FF505" s="1098"/>
      <c r="FG505" s="1098"/>
      <c r="FH505" s="1098"/>
      <c r="FI505" s="1098"/>
      <c r="FJ505" s="1098"/>
      <c r="FK505" s="1098"/>
      <c r="FL505" s="1098"/>
      <c r="FM505" s="1098"/>
      <c r="FN505" s="1098"/>
      <c r="FO505" s="1098"/>
      <c r="FP505" s="1098"/>
      <c r="FQ505" s="1098"/>
      <c r="FR505" s="1098"/>
      <c r="FS505" s="1098"/>
      <c r="FT505" s="1098"/>
      <c r="FU505" s="1098"/>
      <c r="FV505" s="1098"/>
      <c r="FW505" s="1098"/>
      <c r="FX505" s="1098"/>
      <c r="FY505" s="1098"/>
      <c r="FZ505" s="1098"/>
      <c r="GA505" s="1098"/>
      <c r="GB505" s="1098"/>
      <c r="GC505" s="1098"/>
      <c r="GD505" s="1098"/>
      <c r="GE505" s="1098"/>
      <c r="GF505" s="1098"/>
      <c r="GG505" s="1098"/>
      <c r="GH505" s="1098"/>
      <c r="GI505" s="1098"/>
      <c r="GJ505" s="1098"/>
      <c r="GK505" s="1098"/>
      <c r="GL505" s="1098"/>
      <c r="GM505" s="1098"/>
      <c r="GN505" s="1098"/>
      <c r="GO505" s="1098"/>
      <c r="GP505" s="1098"/>
      <c r="GQ505" s="1098"/>
      <c r="GR505" s="1098"/>
      <c r="GS505" s="1098"/>
      <c r="GT505" s="1098"/>
      <c r="GU505" s="1098"/>
      <c r="GV505" s="1098"/>
      <c r="GW505" s="1098"/>
      <c r="GX505" s="1098"/>
      <c r="GY505" s="1098"/>
      <c r="GZ505" s="1098"/>
      <c r="HA505" s="1098"/>
      <c r="HB505" s="1098"/>
      <c r="HC505" s="1098"/>
      <c r="HD505" s="1098"/>
      <c r="HE505" s="1098"/>
      <c r="HF505" s="1098"/>
      <c r="HG505" s="1098"/>
      <c r="HH505" s="1098"/>
      <c r="HI505" s="1098"/>
      <c r="HJ505" s="1098"/>
      <c r="HK505" s="1098"/>
      <c r="HL505" s="1098"/>
      <c r="HM505" s="1098"/>
      <c r="HN505" s="1098"/>
      <c r="HO505" s="1098"/>
      <c r="HP505" s="1098"/>
      <c r="HQ505" s="1098"/>
      <c r="HR505" s="1098"/>
      <c r="HS505" s="1098"/>
      <c r="HT505" s="1098"/>
      <c r="HU505" s="1098"/>
      <c r="HV505" s="1098"/>
      <c r="HW505" s="1098"/>
      <c r="HX505" s="1098"/>
      <c r="HY505" s="1098"/>
      <c r="HZ505" s="1098"/>
      <c r="IA505" s="1098"/>
      <c r="IB505" s="1098"/>
      <c r="IC505" s="1098"/>
      <c r="ID505" s="1098"/>
      <c r="IE505" s="1098"/>
      <c r="IF505" s="1098"/>
      <c r="IG505" s="1098"/>
      <c r="IH505" s="1098"/>
      <c r="II505" s="1098"/>
      <c r="IJ505" s="1098"/>
      <c r="IK505" s="1098"/>
      <c r="IL505" s="1098"/>
      <c r="IM505" s="1098"/>
      <c r="IN505" s="1098"/>
      <c r="IO505" s="1098"/>
      <c r="IP505" s="1098"/>
      <c r="IQ505" s="1098"/>
      <c r="IR505" s="1098"/>
      <c r="IS505" s="1098"/>
      <c r="IT505" s="1098"/>
      <c r="IU505" s="1098"/>
      <c r="IV505" s="1098"/>
      <c r="IW505" s="1098"/>
      <c r="IX505" s="1098"/>
      <c r="IY505" s="1098"/>
      <c r="IZ505" s="1098"/>
      <c r="JA505" s="1098"/>
      <c r="JB505" s="1098"/>
      <c r="JC505" s="1098"/>
      <c r="JD505" s="1098"/>
      <c r="JE505" s="1098"/>
      <c r="JF505" s="1098"/>
      <c r="JG505" s="1098"/>
      <c r="JH505" s="1098"/>
      <c r="JI505" s="1098"/>
      <c r="JJ505" s="1098"/>
      <c r="JK505" s="1098"/>
      <c r="JL505" s="1098"/>
      <c r="JM505" s="1098"/>
      <c r="JN505" s="1098"/>
      <c r="JO505" s="1098"/>
      <c r="JP505" s="1098"/>
      <c r="JQ505" s="1098"/>
      <c r="JR505" s="1098"/>
      <c r="JS505" s="1098"/>
      <c r="JT505" s="1098"/>
      <c r="JU505" s="1098"/>
      <c r="JV505" s="1098"/>
      <c r="JW505" s="1098"/>
      <c r="JX505" s="1098"/>
      <c r="JY505" s="1098"/>
      <c r="JZ505" s="1098"/>
      <c r="KA505" s="1098"/>
      <c r="KB505" s="1099"/>
    </row>
    <row r="506" spans="2:288" ht="15" customHeight="1" x14ac:dyDescent="0.35">
      <c r="B506" s="146" t="str">
        <f t="shared" si="38"/>
        <v>Desk 82</v>
      </c>
      <c r="C506" s="148" t="str">
        <v/>
      </c>
      <c r="D506" s="148" t="str">
        <v/>
      </c>
      <c r="E506" s="148" t="str">
        <v/>
      </c>
      <c r="F506" s="148" t="str">
        <v/>
      </c>
      <c r="G506" s="268" t="str">
        <v/>
      </c>
      <c r="H506" s="1098"/>
      <c r="I506" s="1098"/>
      <c r="J506" s="1098"/>
      <c r="K506" s="1098"/>
      <c r="L506" s="1098"/>
      <c r="M506" s="1098"/>
      <c r="N506" s="1098"/>
      <c r="O506" s="1098"/>
      <c r="P506" s="1098"/>
      <c r="Q506" s="1098"/>
      <c r="R506" s="1098"/>
      <c r="S506" s="1098"/>
      <c r="T506" s="1098"/>
      <c r="U506" s="1098"/>
      <c r="V506" s="1098"/>
      <c r="W506" s="1098"/>
      <c r="X506" s="1098"/>
      <c r="Y506" s="1098"/>
      <c r="Z506" s="1098"/>
      <c r="AA506" s="1098"/>
      <c r="AB506" s="1098"/>
      <c r="AC506" s="1098"/>
      <c r="AD506" s="1098"/>
      <c r="AE506" s="1098"/>
      <c r="AF506" s="1098"/>
      <c r="AG506" s="1098"/>
      <c r="AH506" s="1098"/>
      <c r="AI506" s="1098"/>
      <c r="AJ506" s="1098"/>
      <c r="AK506" s="1098"/>
      <c r="AL506" s="1098"/>
      <c r="AM506" s="1098"/>
      <c r="AN506" s="1098"/>
      <c r="AO506" s="1098"/>
      <c r="AP506" s="1098"/>
      <c r="AQ506" s="1098"/>
      <c r="AR506" s="1098"/>
      <c r="AS506" s="1098"/>
      <c r="AT506" s="1098"/>
      <c r="AU506" s="1098"/>
      <c r="AV506" s="1098"/>
      <c r="AW506" s="1098"/>
      <c r="AX506" s="1098"/>
      <c r="AY506" s="1098"/>
      <c r="AZ506" s="1098"/>
      <c r="BA506" s="1098"/>
      <c r="BB506" s="1098"/>
      <c r="BC506" s="1098"/>
      <c r="BD506" s="1098"/>
      <c r="BE506" s="1098"/>
      <c r="BF506" s="1098"/>
      <c r="BG506" s="1098"/>
      <c r="BH506" s="1098"/>
      <c r="BI506" s="1098"/>
      <c r="BJ506" s="1098"/>
      <c r="BK506" s="1098"/>
      <c r="BL506" s="1098"/>
      <c r="BM506" s="1098"/>
      <c r="BN506" s="1098"/>
      <c r="BO506" s="1098"/>
      <c r="BP506" s="1098"/>
      <c r="BQ506" s="1098"/>
      <c r="BR506" s="1098"/>
      <c r="BS506" s="1098"/>
      <c r="BT506" s="1098"/>
      <c r="BU506" s="1098"/>
      <c r="BV506" s="1098"/>
      <c r="BW506" s="1098"/>
      <c r="BX506" s="1098"/>
      <c r="BY506" s="1098"/>
      <c r="BZ506" s="1098"/>
      <c r="CA506" s="1098"/>
      <c r="CB506" s="1098"/>
      <c r="CC506" s="1098"/>
      <c r="CD506" s="1098"/>
      <c r="CE506" s="1098"/>
      <c r="CF506" s="1098"/>
      <c r="CG506" s="1098"/>
      <c r="CH506" s="1098"/>
      <c r="CI506" s="1098"/>
      <c r="CJ506" s="1098"/>
      <c r="CK506" s="1098"/>
      <c r="CL506" s="1098"/>
      <c r="CM506" s="1098"/>
      <c r="CN506" s="1098"/>
      <c r="CO506" s="1098"/>
      <c r="CP506" s="1098"/>
      <c r="CQ506" s="1098"/>
      <c r="CR506" s="1098"/>
      <c r="CS506" s="1098"/>
      <c r="CT506" s="1098"/>
      <c r="CU506" s="1098"/>
      <c r="CV506" s="1098"/>
      <c r="CW506" s="1098"/>
      <c r="CX506" s="1098"/>
      <c r="CY506" s="1098"/>
      <c r="CZ506" s="1098"/>
      <c r="DA506" s="1098"/>
      <c r="DB506" s="1098"/>
      <c r="DC506" s="1098"/>
      <c r="DD506" s="1098"/>
      <c r="DE506" s="1098"/>
      <c r="DF506" s="1098"/>
      <c r="DG506" s="1098"/>
      <c r="DH506" s="1098"/>
      <c r="DI506" s="1098"/>
      <c r="DJ506" s="1098"/>
      <c r="DK506" s="1098"/>
      <c r="DL506" s="1098"/>
      <c r="DM506" s="1098"/>
      <c r="DN506" s="1098"/>
      <c r="DO506" s="1098"/>
      <c r="DP506" s="1098"/>
      <c r="DQ506" s="1098"/>
      <c r="DR506" s="1098"/>
      <c r="DS506" s="1098"/>
      <c r="DT506" s="1098"/>
      <c r="DU506" s="1098"/>
      <c r="DV506" s="1098"/>
      <c r="DW506" s="1098"/>
      <c r="DX506" s="1098"/>
      <c r="DY506" s="1098"/>
      <c r="DZ506" s="1098"/>
      <c r="EA506" s="1098"/>
      <c r="EB506" s="1098"/>
      <c r="EC506" s="1098"/>
      <c r="ED506" s="1098"/>
      <c r="EE506" s="1098"/>
      <c r="EF506" s="1098"/>
      <c r="EG506" s="1098"/>
      <c r="EH506" s="1098"/>
      <c r="EI506" s="1098"/>
      <c r="EJ506" s="1098"/>
      <c r="EK506" s="1098"/>
      <c r="EL506" s="1098"/>
      <c r="EM506" s="1098"/>
      <c r="EN506" s="1098"/>
      <c r="EO506" s="1098"/>
      <c r="EP506" s="1098"/>
      <c r="EQ506" s="1098"/>
      <c r="ER506" s="1098"/>
      <c r="ES506" s="1098"/>
      <c r="ET506" s="1098"/>
      <c r="EU506" s="1098"/>
      <c r="EV506" s="1098"/>
      <c r="EW506" s="1098"/>
      <c r="EX506" s="1098"/>
      <c r="EY506" s="1098"/>
      <c r="EZ506" s="1098"/>
      <c r="FA506" s="1098"/>
      <c r="FB506" s="1098"/>
      <c r="FC506" s="1098"/>
      <c r="FD506" s="1098"/>
      <c r="FE506" s="1098"/>
      <c r="FF506" s="1098"/>
      <c r="FG506" s="1098"/>
      <c r="FH506" s="1098"/>
      <c r="FI506" s="1098"/>
      <c r="FJ506" s="1098"/>
      <c r="FK506" s="1098"/>
      <c r="FL506" s="1098"/>
      <c r="FM506" s="1098"/>
      <c r="FN506" s="1098"/>
      <c r="FO506" s="1098"/>
      <c r="FP506" s="1098"/>
      <c r="FQ506" s="1098"/>
      <c r="FR506" s="1098"/>
      <c r="FS506" s="1098"/>
      <c r="FT506" s="1098"/>
      <c r="FU506" s="1098"/>
      <c r="FV506" s="1098"/>
      <c r="FW506" s="1098"/>
      <c r="FX506" s="1098"/>
      <c r="FY506" s="1098"/>
      <c r="FZ506" s="1098"/>
      <c r="GA506" s="1098"/>
      <c r="GB506" s="1098"/>
      <c r="GC506" s="1098"/>
      <c r="GD506" s="1098"/>
      <c r="GE506" s="1098"/>
      <c r="GF506" s="1098"/>
      <c r="GG506" s="1098"/>
      <c r="GH506" s="1098"/>
      <c r="GI506" s="1098"/>
      <c r="GJ506" s="1098"/>
      <c r="GK506" s="1098"/>
      <c r="GL506" s="1098"/>
      <c r="GM506" s="1098"/>
      <c r="GN506" s="1098"/>
      <c r="GO506" s="1098"/>
      <c r="GP506" s="1098"/>
      <c r="GQ506" s="1098"/>
      <c r="GR506" s="1098"/>
      <c r="GS506" s="1098"/>
      <c r="GT506" s="1098"/>
      <c r="GU506" s="1098"/>
      <c r="GV506" s="1098"/>
      <c r="GW506" s="1098"/>
      <c r="GX506" s="1098"/>
      <c r="GY506" s="1098"/>
      <c r="GZ506" s="1098"/>
      <c r="HA506" s="1098"/>
      <c r="HB506" s="1098"/>
      <c r="HC506" s="1098"/>
      <c r="HD506" s="1098"/>
      <c r="HE506" s="1098"/>
      <c r="HF506" s="1098"/>
      <c r="HG506" s="1098"/>
      <c r="HH506" s="1098"/>
      <c r="HI506" s="1098"/>
      <c r="HJ506" s="1098"/>
      <c r="HK506" s="1098"/>
      <c r="HL506" s="1098"/>
      <c r="HM506" s="1098"/>
      <c r="HN506" s="1098"/>
      <c r="HO506" s="1098"/>
      <c r="HP506" s="1098"/>
      <c r="HQ506" s="1098"/>
      <c r="HR506" s="1098"/>
      <c r="HS506" s="1098"/>
      <c r="HT506" s="1098"/>
      <c r="HU506" s="1098"/>
      <c r="HV506" s="1098"/>
      <c r="HW506" s="1098"/>
      <c r="HX506" s="1098"/>
      <c r="HY506" s="1098"/>
      <c r="HZ506" s="1098"/>
      <c r="IA506" s="1098"/>
      <c r="IB506" s="1098"/>
      <c r="IC506" s="1098"/>
      <c r="ID506" s="1098"/>
      <c r="IE506" s="1098"/>
      <c r="IF506" s="1098"/>
      <c r="IG506" s="1098"/>
      <c r="IH506" s="1098"/>
      <c r="II506" s="1098"/>
      <c r="IJ506" s="1098"/>
      <c r="IK506" s="1098"/>
      <c r="IL506" s="1098"/>
      <c r="IM506" s="1098"/>
      <c r="IN506" s="1098"/>
      <c r="IO506" s="1098"/>
      <c r="IP506" s="1098"/>
      <c r="IQ506" s="1098"/>
      <c r="IR506" s="1098"/>
      <c r="IS506" s="1098"/>
      <c r="IT506" s="1098"/>
      <c r="IU506" s="1098"/>
      <c r="IV506" s="1098"/>
      <c r="IW506" s="1098"/>
      <c r="IX506" s="1098"/>
      <c r="IY506" s="1098"/>
      <c r="IZ506" s="1098"/>
      <c r="JA506" s="1098"/>
      <c r="JB506" s="1098"/>
      <c r="JC506" s="1098"/>
      <c r="JD506" s="1098"/>
      <c r="JE506" s="1098"/>
      <c r="JF506" s="1098"/>
      <c r="JG506" s="1098"/>
      <c r="JH506" s="1098"/>
      <c r="JI506" s="1098"/>
      <c r="JJ506" s="1098"/>
      <c r="JK506" s="1098"/>
      <c r="JL506" s="1098"/>
      <c r="JM506" s="1098"/>
      <c r="JN506" s="1098"/>
      <c r="JO506" s="1098"/>
      <c r="JP506" s="1098"/>
      <c r="JQ506" s="1098"/>
      <c r="JR506" s="1098"/>
      <c r="JS506" s="1098"/>
      <c r="JT506" s="1098"/>
      <c r="JU506" s="1098"/>
      <c r="JV506" s="1098"/>
      <c r="JW506" s="1098"/>
      <c r="JX506" s="1098"/>
      <c r="JY506" s="1098"/>
      <c r="JZ506" s="1098"/>
      <c r="KA506" s="1098"/>
      <c r="KB506" s="1099"/>
    </row>
    <row r="507" spans="2:288" ht="15" customHeight="1" x14ac:dyDescent="0.35">
      <c r="B507" s="146" t="str">
        <f t="shared" si="38"/>
        <v>Desk 83</v>
      </c>
      <c r="C507" s="148" t="str">
        <v/>
      </c>
      <c r="D507" s="148" t="str">
        <v/>
      </c>
      <c r="E507" s="148" t="str">
        <v/>
      </c>
      <c r="F507" s="148" t="str">
        <v/>
      </c>
      <c r="G507" s="268" t="str">
        <v/>
      </c>
      <c r="H507" s="1098"/>
      <c r="I507" s="1098"/>
      <c r="J507" s="1098"/>
      <c r="K507" s="1098"/>
      <c r="L507" s="1098"/>
      <c r="M507" s="1098"/>
      <c r="N507" s="1098"/>
      <c r="O507" s="1098"/>
      <c r="P507" s="1098"/>
      <c r="Q507" s="1098"/>
      <c r="R507" s="1098"/>
      <c r="S507" s="1098"/>
      <c r="T507" s="1098"/>
      <c r="U507" s="1098"/>
      <c r="V507" s="1098"/>
      <c r="W507" s="1098"/>
      <c r="X507" s="1098"/>
      <c r="Y507" s="1098"/>
      <c r="Z507" s="1098"/>
      <c r="AA507" s="1098"/>
      <c r="AB507" s="1098"/>
      <c r="AC507" s="1098"/>
      <c r="AD507" s="1098"/>
      <c r="AE507" s="1098"/>
      <c r="AF507" s="1098"/>
      <c r="AG507" s="1098"/>
      <c r="AH507" s="1098"/>
      <c r="AI507" s="1098"/>
      <c r="AJ507" s="1098"/>
      <c r="AK507" s="1098"/>
      <c r="AL507" s="1098"/>
      <c r="AM507" s="1098"/>
      <c r="AN507" s="1098"/>
      <c r="AO507" s="1098"/>
      <c r="AP507" s="1098"/>
      <c r="AQ507" s="1098"/>
      <c r="AR507" s="1098"/>
      <c r="AS507" s="1098"/>
      <c r="AT507" s="1098"/>
      <c r="AU507" s="1098"/>
      <c r="AV507" s="1098"/>
      <c r="AW507" s="1098"/>
      <c r="AX507" s="1098"/>
      <c r="AY507" s="1098"/>
      <c r="AZ507" s="1098"/>
      <c r="BA507" s="1098"/>
      <c r="BB507" s="1098"/>
      <c r="BC507" s="1098"/>
      <c r="BD507" s="1098"/>
      <c r="BE507" s="1098"/>
      <c r="BF507" s="1098"/>
      <c r="BG507" s="1098"/>
      <c r="BH507" s="1098"/>
      <c r="BI507" s="1098"/>
      <c r="BJ507" s="1098"/>
      <c r="BK507" s="1098"/>
      <c r="BL507" s="1098"/>
      <c r="BM507" s="1098"/>
      <c r="BN507" s="1098"/>
      <c r="BO507" s="1098"/>
      <c r="BP507" s="1098"/>
      <c r="BQ507" s="1098"/>
      <c r="BR507" s="1098"/>
      <c r="BS507" s="1098"/>
      <c r="BT507" s="1098"/>
      <c r="BU507" s="1098"/>
      <c r="BV507" s="1098"/>
      <c r="BW507" s="1098"/>
      <c r="BX507" s="1098"/>
      <c r="BY507" s="1098"/>
      <c r="BZ507" s="1098"/>
      <c r="CA507" s="1098"/>
      <c r="CB507" s="1098"/>
      <c r="CC507" s="1098"/>
      <c r="CD507" s="1098"/>
      <c r="CE507" s="1098"/>
      <c r="CF507" s="1098"/>
      <c r="CG507" s="1098"/>
      <c r="CH507" s="1098"/>
      <c r="CI507" s="1098"/>
      <c r="CJ507" s="1098"/>
      <c r="CK507" s="1098"/>
      <c r="CL507" s="1098"/>
      <c r="CM507" s="1098"/>
      <c r="CN507" s="1098"/>
      <c r="CO507" s="1098"/>
      <c r="CP507" s="1098"/>
      <c r="CQ507" s="1098"/>
      <c r="CR507" s="1098"/>
      <c r="CS507" s="1098"/>
      <c r="CT507" s="1098"/>
      <c r="CU507" s="1098"/>
      <c r="CV507" s="1098"/>
      <c r="CW507" s="1098"/>
      <c r="CX507" s="1098"/>
      <c r="CY507" s="1098"/>
      <c r="CZ507" s="1098"/>
      <c r="DA507" s="1098"/>
      <c r="DB507" s="1098"/>
      <c r="DC507" s="1098"/>
      <c r="DD507" s="1098"/>
      <c r="DE507" s="1098"/>
      <c r="DF507" s="1098"/>
      <c r="DG507" s="1098"/>
      <c r="DH507" s="1098"/>
      <c r="DI507" s="1098"/>
      <c r="DJ507" s="1098"/>
      <c r="DK507" s="1098"/>
      <c r="DL507" s="1098"/>
      <c r="DM507" s="1098"/>
      <c r="DN507" s="1098"/>
      <c r="DO507" s="1098"/>
      <c r="DP507" s="1098"/>
      <c r="DQ507" s="1098"/>
      <c r="DR507" s="1098"/>
      <c r="DS507" s="1098"/>
      <c r="DT507" s="1098"/>
      <c r="DU507" s="1098"/>
      <c r="DV507" s="1098"/>
      <c r="DW507" s="1098"/>
      <c r="DX507" s="1098"/>
      <c r="DY507" s="1098"/>
      <c r="DZ507" s="1098"/>
      <c r="EA507" s="1098"/>
      <c r="EB507" s="1098"/>
      <c r="EC507" s="1098"/>
      <c r="ED507" s="1098"/>
      <c r="EE507" s="1098"/>
      <c r="EF507" s="1098"/>
      <c r="EG507" s="1098"/>
      <c r="EH507" s="1098"/>
      <c r="EI507" s="1098"/>
      <c r="EJ507" s="1098"/>
      <c r="EK507" s="1098"/>
      <c r="EL507" s="1098"/>
      <c r="EM507" s="1098"/>
      <c r="EN507" s="1098"/>
      <c r="EO507" s="1098"/>
      <c r="EP507" s="1098"/>
      <c r="EQ507" s="1098"/>
      <c r="ER507" s="1098"/>
      <c r="ES507" s="1098"/>
      <c r="ET507" s="1098"/>
      <c r="EU507" s="1098"/>
      <c r="EV507" s="1098"/>
      <c r="EW507" s="1098"/>
      <c r="EX507" s="1098"/>
      <c r="EY507" s="1098"/>
      <c r="EZ507" s="1098"/>
      <c r="FA507" s="1098"/>
      <c r="FB507" s="1098"/>
      <c r="FC507" s="1098"/>
      <c r="FD507" s="1098"/>
      <c r="FE507" s="1098"/>
      <c r="FF507" s="1098"/>
      <c r="FG507" s="1098"/>
      <c r="FH507" s="1098"/>
      <c r="FI507" s="1098"/>
      <c r="FJ507" s="1098"/>
      <c r="FK507" s="1098"/>
      <c r="FL507" s="1098"/>
      <c r="FM507" s="1098"/>
      <c r="FN507" s="1098"/>
      <c r="FO507" s="1098"/>
      <c r="FP507" s="1098"/>
      <c r="FQ507" s="1098"/>
      <c r="FR507" s="1098"/>
      <c r="FS507" s="1098"/>
      <c r="FT507" s="1098"/>
      <c r="FU507" s="1098"/>
      <c r="FV507" s="1098"/>
      <c r="FW507" s="1098"/>
      <c r="FX507" s="1098"/>
      <c r="FY507" s="1098"/>
      <c r="FZ507" s="1098"/>
      <c r="GA507" s="1098"/>
      <c r="GB507" s="1098"/>
      <c r="GC507" s="1098"/>
      <c r="GD507" s="1098"/>
      <c r="GE507" s="1098"/>
      <c r="GF507" s="1098"/>
      <c r="GG507" s="1098"/>
      <c r="GH507" s="1098"/>
      <c r="GI507" s="1098"/>
      <c r="GJ507" s="1098"/>
      <c r="GK507" s="1098"/>
      <c r="GL507" s="1098"/>
      <c r="GM507" s="1098"/>
      <c r="GN507" s="1098"/>
      <c r="GO507" s="1098"/>
      <c r="GP507" s="1098"/>
      <c r="GQ507" s="1098"/>
      <c r="GR507" s="1098"/>
      <c r="GS507" s="1098"/>
      <c r="GT507" s="1098"/>
      <c r="GU507" s="1098"/>
      <c r="GV507" s="1098"/>
      <c r="GW507" s="1098"/>
      <c r="GX507" s="1098"/>
      <c r="GY507" s="1098"/>
      <c r="GZ507" s="1098"/>
      <c r="HA507" s="1098"/>
      <c r="HB507" s="1098"/>
      <c r="HC507" s="1098"/>
      <c r="HD507" s="1098"/>
      <c r="HE507" s="1098"/>
      <c r="HF507" s="1098"/>
      <c r="HG507" s="1098"/>
      <c r="HH507" s="1098"/>
      <c r="HI507" s="1098"/>
      <c r="HJ507" s="1098"/>
      <c r="HK507" s="1098"/>
      <c r="HL507" s="1098"/>
      <c r="HM507" s="1098"/>
      <c r="HN507" s="1098"/>
      <c r="HO507" s="1098"/>
      <c r="HP507" s="1098"/>
      <c r="HQ507" s="1098"/>
      <c r="HR507" s="1098"/>
      <c r="HS507" s="1098"/>
      <c r="HT507" s="1098"/>
      <c r="HU507" s="1098"/>
      <c r="HV507" s="1098"/>
      <c r="HW507" s="1098"/>
      <c r="HX507" s="1098"/>
      <c r="HY507" s="1098"/>
      <c r="HZ507" s="1098"/>
      <c r="IA507" s="1098"/>
      <c r="IB507" s="1098"/>
      <c r="IC507" s="1098"/>
      <c r="ID507" s="1098"/>
      <c r="IE507" s="1098"/>
      <c r="IF507" s="1098"/>
      <c r="IG507" s="1098"/>
      <c r="IH507" s="1098"/>
      <c r="II507" s="1098"/>
      <c r="IJ507" s="1098"/>
      <c r="IK507" s="1098"/>
      <c r="IL507" s="1098"/>
      <c r="IM507" s="1098"/>
      <c r="IN507" s="1098"/>
      <c r="IO507" s="1098"/>
      <c r="IP507" s="1098"/>
      <c r="IQ507" s="1098"/>
      <c r="IR507" s="1098"/>
      <c r="IS507" s="1098"/>
      <c r="IT507" s="1098"/>
      <c r="IU507" s="1098"/>
      <c r="IV507" s="1098"/>
      <c r="IW507" s="1098"/>
      <c r="IX507" s="1098"/>
      <c r="IY507" s="1098"/>
      <c r="IZ507" s="1098"/>
      <c r="JA507" s="1098"/>
      <c r="JB507" s="1098"/>
      <c r="JC507" s="1098"/>
      <c r="JD507" s="1098"/>
      <c r="JE507" s="1098"/>
      <c r="JF507" s="1098"/>
      <c r="JG507" s="1098"/>
      <c r="JH507" s="1098"/>
      <c r="JI507" s="1098"/>
      <c r="JJ507" s="1098"/>
      <c r="JK507" s="1098"/>
      <c r="JL507" s="1098"/>
      <c r="JM507" s="1098"/>
      <c r="JN507" s="1098"/>
      <c r="JO507" s="1098"/>
      <c r="JP507" s="1098"/>
      <c r="JQ507" s="1098"/>
      <c r="JR507" s="1098"/>
      <c r="JS507" s="1098"/>
      <c r="JT507" s="1098"/>
      <c r="JU507" s="1098"/>
      <c r="JV507" s="1098"/>
      <c r="JW507" s="1098"/>
      <c r="JX507" s="1098"/>
      <c r="JY507" s="1098"/>
      <c r="JZ507" s="1098"/>
      <c r="KA507" s="1098"/>
      <c r="KB507" s="1099"/>
    </row>
    <row r="508" spans="2:288" ht="15" customHeight="1" x14ac:dyDescent="0.35">
      <c r="B508" s="146" t="str">
        <f t="shared" si="38"/>
        <v>Desk 84</v>
      </c>
      <c r="C508" s="148" t="str">
        <v/>
      </c>
      <c r="D508" s="148" t="str">
        <v/>
      </c>
      <c r="E508" s="148" t="str">
        <v/>
      </c>
      <c r="F508" s="148" t="str">
        <v/>
      </c>
      <c r="G508" s="268" t="str">
        <v/>
      </c>
      <c r="H508" s="1098"/>
      <c r="I508" s="1098"/>
      <c r="J508" s="1098"/>
      <c r="K508" s="1098"/>
      <c r="L508" s="1098"/>
      <c r="M508" s="1098"/>
      <c r="N508" s="1098"/>
      <c r="O508" s="1098"/>
      <c r="P508" s="1098"/>
      <c r="Q508" s="1098"/>
      <c r="R508" s="1098"/>
      <c r="S508" s="1098"/>
      <c r="T508" s="1098"/>
      <c r="U508" s="1098"/>
      <c r="V508" s="1098"/>
      <c r="W508" s="1098"/>
      <c r="X508" s="1098"/>
      <c r="Y508" s="1098"/>
      <c r="Z508" s="1098"/>
      <c r="AA508" s="1098"/>
      <c r="AB508" s="1098"/>
      <c r="AC508" s="1098"/>
      <c r="AD508" s="1098"/>
      <c r="AE508" s="1098"/>
      <c r="AF508" s="1098"/>
      <c r="AG508" s="1098"/>
      <c r="AH508" s="1098"/>
      <c r="AI508" s="1098"/>
      <c r="AJ508" s="1098"/>
      <c r="AK508" s="1098"/>
      <c r="AL508" s="1098"/>
      <c r="AM508" s="1098"/>
      <c r="AN508" s="1098"/>
      <c r="AO508" s="1098"/>
      <c r="AP508" s="1098"/>
      <c r="AQ508" s="1098"/>
      <c r="AR508" s="1098"/>
      <c r="AS508" s="1098"/>
      <c r="AT508" s="1098"/>
      <c r="AU508" s="1098"/>
      <c r="AV508" s="1098"/>
      <c r="AW508" s="1098"/>
      <c r="AX508" s="1098"/>
      <c r="AY508" s="1098"/>
      <c r="AZ508" s="1098"/>
      <c r="BA508" s="1098"/>
      <c r="BB508" s="1098"/>
      <c r="BC508" s="1098"/>
      <c r="BD508" s="1098"/>
      <c r="BE508" s="1098"/>
      <c r="BF508" s="1098"/>
      <c r="BG508" s="1098"/>
      <c r="BH508" s="1098"/>
      <c r="BI508" s="1098"/>
      <c r="BJ508" s="1098"/>
      <c r="BK508" s="1098"/>
      <c r="BL508" s="1098"/>
      <c r="BM508" s="1098"/>
      <c r="BN508" s="1098"/>
      <c r="BO508" s="1098"/>
      <c r="BP508" s="1098"/>
      <c r="BQ508" s="1098"/>
      <c r="BR508" s="1098"/>
      <c r="BS508" s="1098"/>
      <c r="BT508" s="1098"/>
      <c r="BU508" s="1098"/>
      <c r="BV508" s="1098"/>
      <c r="BW508" s="1098"/>
      <c r="BX508" s="1098"/>
      <c r="BY508" s="1098"/>
      <c r="BZ508" s="1098"/>
      <c r="CA508" s="1098"/>
      <c r="CB508" s="1098"/>
      <c r="CC508" s="1098"/>
      <c r="CD508" s="1098"/>
      <c r="CE508" s="1098"/>
      <c r="CF508" s="1098"/>
      <c r="CG508" s="1098"/>
      <c r="CH508" s="1098"/>
      <c r="CI508" s="1098"/>
      <c r="CJ508" s="1098"/>
      <c r="CK508" s="1098"/>
      <c r="CL508" s="1098"/>
      <c r="CM508" s="1098"/>
      <c r="CN508" s="1098"/>
      <c r="CO508" s="1098"/>
      <c r="CP508" s="1098"/>
      <c r="CQ508" s="1098"/>
      <c r="CR508" s="1098"/>
      <c r="CS508" s="1098"/>
      <c r="CT508" s="1098"/>
      <c r="CU508" s="1098"/>
      <c r="CV508" s="1098"/>
      <c r="CW508" s="1098"/>
      <c r="CX508" s="1098"/>
      <c r="CY508" s="1098"/>
      <c r="CZ508" s="1098"/>
      <c r="DA508" s="1098"/>
      <c r="DB508" s="1098"/>
      <c r="DC508" s="1098"/>
      <c r="DD508" s="1098"/>
      <c r="DE508" s="1098"/>
      <c r="DF508" s="1098"/>
      <c r="DG508" s="1098"/>
      <c r="DH508" s="1098"/>
      <c r="DI508" s="1098"/>
      <c r="DJ508" s="1098"/>
      <c r="DK508" s="1098"/>
      <c r="DL508" s="1098"/>
      <c r="DM508" s="1098"/>
      <c r="DN508" s="1098"/>
      <c r="DO508" s="1098"/>
      <c r="DP508" s="1098"/>
      <c r="DQ508" s="1098"/>
      <c r="DR508" s="1098"/>
      <c r="DS508" s="1098"/>
      <c r="DT508" s="1098"/>
      <c r="DU508" s="1098"/>
      <c r="DV508" s="1098"/>
      <c r="DW508" s="1098"/>
      <c r="DX508" s="1098"/>
      <c r="DY508" s="1098"/>
      <c r="DZ508" s="1098"/>
      <c r="EA508" s="1098"/>
      <c r="EB508" s="1098"/>
      <c r="EC508" s="1098"/>
      <c r="ED508" s="1098"/>
      <c r="EE508" s="1098"/>
      <c r="EF508" s="1098"/>
      <c r="EG508" s="1098"/>
      <c r="EH508" s="1098"/>
      <c r="EI508" s="1098"/>
      <c r="EJ508" s="1098"/>
      <c r="EK508" s="1098"/>
      <c r="EL508" s="1098"/>
      <c r="EM508" s="1098"/>
      <c r="EN508" s="1098"/>
      <c r="EO508" s="1098"/>
      <c r="EP508" s="1098"/>
      <c r="EQ508" s="1098"/>
      <c r="ER508" s="1098"/>
      <c r="ES508" s="1098"/>
      <c r="ET508" s="1098"/>
      <c r="EU508" s="1098"/>
      <c r="EV508" s="1098"/>
      <c r="EW508" s="1098"/>
      <c r="EX508" s="1098"/>
      <c r="EY508" s="1098"/>
      <c r="EZ508" s="1098"/>
      <c r="FA508" s="1098"/>
      <c r="FB508" s="1098"/>
      <c r="FC508" s="1098"/>
      <c r="FD508" s="1098"/>
      <c r="FE508" s="1098"/>
      <c r="FF508" s="1098"/>
      <c r="FG508" s="1098"/>
      <c r="FH508" s="1098"/>
      <c r="FI508" s="1098"/>
      <c r="FJ508" s="1098"/>
      <c r="FK508" s="1098"/>
      <c r="FL508" s="1098"/>
      <c r="FM508" s="1098"/>
      <c r="FN508" s="1098"/>
      <c r="FO508" s="1098"/>
      <c r="FP508" s="1098"/>
      <c r="FQ508" s="1098"/>
      <c r="FR508" s="1098"/>
      <c r="FS508" s="1098"/>
      <c r="FT508" s="1098"/>
      <c r="FU508" s="1098"/>
      <c r="FV508" s="1098"/>
      <c r="FW508" s="1098"/>
      <c r="FX508" s="1098"/>
      <c r="FY508" s="1098"/>
      <c r="FZ508" s="1098"/>
      <c r="GA508" s="1098"/>
      <c r="GB508" s="1098"/>
      <c r="GC508" s="1098"/>
      <c r="GD508" s="1098"/>
      <c r="GE508" s="1098"/>
      <c r="GF508" s="1098"/>
      <c r="GG508" s="1098"/>
      <c r="GH508" s="1098"/>
      <c r="GI508" s="1098"/>
      <c r="GJ508" s="1098"/>
      <c r="GK508" s="1098"/>
      <c r="GL508" s="1098"/>
      <c r="GM508" s="1098"/>
      <c r="GN508" s="1098"/>
      <c r="GO508" s="1098"/>
      <c r="GP508" s="1098"/>
      <c r="GQ508" s="1098"/>
      <c r="GR508" s="1098"/>
      <c r="GS508" s="1098"/>
      <c r="GT508" s="1098"/>
      <c r="GU508" s="1098"/>
      <c r="GV508" s="1098"/>
      <c r="GW508" s="1098"/>
      <c r="GX508" s="1098"/>
      <c r="GY508" s="1098"/>
      <c r="GZ508" s="1098"/>
      <c r="HA508" s="1098"/>
      <c r="HB508" s="1098"/>
      <c r="HC508" s="1098"/>
      <c r="HD508" s="1098"/>
      <c r="HE508" s="1098"/>
      <c r="HF508" s="1098"/>
      <c r="HG508" s="1098"/>
      <c r="HH508" s="1098"/>
      <c r="HI508" s="1098"/>
      <c r="HJ508" s="1098"/>
      <c r="HK508" s="1098"/>
      <c r="HL508" s="1098"/>
      <c r="HM508" s="1098"/>
      <c r="HN508" s="1098"/>
      <c r="HO508" s="1098"/>
      <c r="HP508" s="1098"/>
      <c r="HQ508" s="1098"/>
      <c r="HR508" s="1098"/>
      <c r="HS508" s="1098"/>
      <c r="HT508" s="1098"/>
      <c r="HU508" s="1098"/>
      <c r="HV508" s="1098"/>
      <c r="HW508" s="1098"/>
      <c r="HX508" s="1098"/>
      <c r="HY508" s="1098"/>
      <c r="HZ508" s="1098"/>
      <c r="IA508" s="1098"/>
      <c r="IB508" s="1098"/>
      <c r="IC508" s="1098"/>
      <c r="ID508" s="1098"/>
      <c r="IE508" s="1098"/>
      <c r="IF508" s="1098"/>
      <c r="IG508" s="1098"/>
      <c r="IH508" s="1098"/>
      <c r="II508" s="1098"/>
      <c r="IJ508" s="1098"/>
      <c r="IK508" s="1098"/>
      <c r="IL508" s="1098"/>
      <c r="IM508" s="1098"/>
      <c r="IN508" s="1098"/>
      <c r="IO508" s="1098"/>
      <c r="IP508" s="1098"/>
      <c r="IQ508" s="1098"/>
      <c r="IR508" s="1098"/>
      <c r="IS508" s="1098"/>
      <c r="IT508" s="1098"/>
      <c r="IU508" s="1098"/>
      <c r="IV508" s="1098"/>
      <c r="IW508" s="1098"/>
      <c r="IX508" s="1098"/>
      <c r="IY508" s="1098"/>
      <c r="IZ508" s="1098"/>
      <c r="JA508" s="1098"/>
      <c r="JB508" s="1098"/>
      <c r="JC508" s="1098"/>
      <c r="JD508" s="1098"/>
      <c r="JE508" s="1098"/>
      <c r="JF508" s="1098"/>
      <c r="JG508" s="1098"/>
      <c r="JH508" s="1098"/>
      <c r="JI508" s="1098"/>
      <c r="JJ508" s="1098"/>
      <c r="JK508" s="1098"/>
      <c r="JL508" s="1098"/>
      <c r="JM508" s="1098"/>
      <c r="JN508" s="1098"/>
      <c r="JO508" s="1098"/>
      <c r="JP508" s="1098"/>
      <c r="JQ508" s="1098"/>
      <c r="JR508" s="1098"/>
      <c r="JS508" s="1098"/>
      <c r="JT508" s="1098"/>
      <c r="JU508" s="1098"/>
      <c r="JV508" s="1098"/>
      <c r="JW508" s="1098"/>
      <c r="JX508" s="1098"/>
      <c r="JY508" s="1098"/>
      <c r="JZ508" s="1098"/>
      <c r="KA508" s="1098"/>
      <c r="KB508" s="1099"/>
    </row>
    <row r="509" spans="2:288" ht="15" customHeight="1" x14ac:dyDescent="0.35">
      <c r="B509" s="146" t="str">
        <f t="shared" si="38"/>
        <v>Desk 85</v>
      </c>
      <c r="C509" s="148" t="str">
        <v/>
      </c>
      <c r="D509" s="148" t="str">
        <v/>
      </c>
      <c r="E509" s="148" t="str">
        <v/>
      </c>
      <c r="F509" s="148" t="str">
        <v/>
      </c>
      <c r="G509" s="268" t="str">
        <v/>
      </c>
      <c r="H509" s="1098"/>
      <c r="I509" s="1098"/>
      <c r="J509" s="1098"/>
      <c r="K509" s="1098"/>
      <c r="L509" s="1098"/>
      <c r="M509" s="1098"/>
      <c r="N509" s="1098"/>
      <c r="O509" s="1098"/>
      <c r="P509" s="1098"/>
      <c r="Q509" s="1098"/>
      <c r="R509" s="1098"/>
      <c r="S509" s="1098"/>
      <c r="T509" s="1098"/>
      <c r="U509" s="1098"/>
      <c r="V509" s="1098"/>
      <c r="W509" s="1098"/>
      <c r="X509" s="1098"/>
      <c r="Y509" s="1098"/>
      <c r="Z509" s="1098"/>
      <c r="AA509" s="1098"/>
      <c r="AB509" s="1098"/>
      <c r="AC509" s="1098"/>
      <c r="AD509" s="1098"/>
      <c r="AE509" s="1098"/>
      <c r="AF509" s="1098"/>
      <c r="AG509" s="1098"/>
      <c r="AH509" s="1098"/>
      <c r="AI509" s="1098"/>
      <c r="AJ509" s="1098"/>
      <c r="AK509" s="1098"/>
      <c r="AL509" s="1098"/>
      <c r="AM509" s="1098"/>
      <c r="AN509" s="1098"/>
      <c r="AO509" s="1098"/>
      <c r="AP509" s="1098"/>
      <c r="AQ509" s="1098"/>
      <c r="AR509" s="1098"/>
      <c r="AS509" s="1098"/>
      <c r="AT509" s="1098"/>
      <c r="AU509" s="1098"/>
      <c r="AV509" s="1098"/>
      <c r="AW509" s="1098"/>
      <c r="AX509" s="1098"/>
      <c r="AY509" s="1098"/>
      <c r="AZ509" s="1098"/>
      <c r="BA509" s="1098"/>
      <c r="BB509" s="1098"/>
      <c r="BC509" s="1098"/>
      <c r="BD509" s="1098"/>
      <c r="BE509" s="1098"/>
      <c r="BF509" s="1098"/>
      <c r="BG509" s="1098"/>
      <c r="BH509" s="1098"/>
      <c r="BI509" s="1098"/>
      <c r="BJ509" s="1098"/>
      <c r="BK509" s="1098"/>
      <c r="BL509" s="1098"/>
      <c r="BM509" s="1098"/>
      <c r="BN509" s="1098"/>
      <c r="BO509" s="1098"/>
      <c r="BP509" s="1098"/>
      <c r="BQ509" s="1098"/>
      <c r="BR509" s="1098"/>
      <c r="BS509" s="1098"/>
      <c r="BT509" s="1098"/>
      <c r="BU509" s="1098"/>
      <c r="BV509" s="1098"/>
      <c r="BW509" s="1098"/>
      <c r="BX509" s="1098"/>
      <c r="BY509" s="1098"/>
      <c r="BZ509" s="1098"/>
      <c r="CA509" s="1098"/>
      <c r="CB509" s="1098"/>
      <c r="CC509" s="1098"/>
      <c r="CD509" s="1098"/>
      <c r="CE509" s="1098"/>
      <c r="CF509" s="1098"/>
      <c r="CG509" s="1098"/>
      <c r="CH509" s="1098"/>
      <c r="CI509" s="1098"/>
      <c r="CJ509" s="1098"/>
      <c r="CK509" s="1098"/>
      <c r="CL509" s="1098"/>
      <c r="CM509" s="1098"/>
      <c r="CN509" s="1098"/>
      <c r="CO509" s="1098"/>
      <c r="CP509" s="1098"/>
      <c r="CQ509" s="1098"/>
      <c r="CR509" s="1098"/>
      <c r="CS509" s="1098"/>
      <c r="CT509" s="1098"/>
      <c r="CU509" s="1098"/>
      <c r="CV509" s="1098"/>
      <c r="CW509" s="1098"/>
      <c r="CX509" s="1098"/>
      <c r="CY509" s="1098"/>
      <c r="CZ509" s="1098"/>
      <c r="DA509" s="1098"/>
      <c r="DB509" s="1098"/>
      <c r="DC509" s="1098"/>
      <c r="DD509" s="1098"/>
      <c r="DE509" s="1098"/>
      <c r="DF509" s="1098"/>
      <c r="DG509" s="1098"/>
      <c r="DH509" s="1098"/>
      <c r="DI509" s="1098"/>
      <c r="DJ509" s="1098"/>
      <c r="DK509" s="1098"/>
      <c r="DL509" s="1098"/>
      <c r="DM509" s="1098"/>
      <c r="DN509" s="1098"/>
      <c r="DO509" s="1098"/>
      <c r="DP509" s="1098"/>
      <c r="DQ509" s="1098"/>
      <c r="DR509" s="1098"/>
      <c r="DS509" s="1098"/>
      <c r="DT509" s="1098"/>
      <c r="DU509" s="1098"/>
      <c r="DV509" s="1098"/>
      <c r="DW509" s="1098"/>
      <c r="DX509" s="1098"/>
      <c r="DY509" s="1098"/>
      <c r="DZ509" s="1098"/>
      <c r="EA509" s="1098"/>
      <c r="EB509" s="1098"/>
      <c r="EC509" s="1098"/>
      <c r="ED509" s="1098"/>
      <c r="EE509" s="1098"/>
      <c r="EF509" s="1098"/>
      <c r="EG509" s="1098"/>
      <c r="EH509" s="1098"/>
      <c r="EI509" s="1098"/>
      <c r="EJ509" s="1098"/>
      <c r="EK509" s="1098"/>
      <c r="EL509" s="1098"/>
      <c r="EM509" s="1098"/>
      <c r="EN509" s="1098"/>
      <c r="EO509" s="1098"/>
      <c r="EP509" s="1098"/>
      <c r="EQ509" s="1098"/>
      <c r="ER509" s="1098"/>
      <c r="ES509" s="1098"/>
      <c r="ET509" s="1098"/>
      <c r="EU509" s="1098"/>
      <c r="EV509" s="1098"/>
      <c r="EW509" s="1098"/>
      <c r="EX509" s="1098"/>
      <c r="EY509" s="1098"/>
      <c r="EZ509" s="1098"/>
      <c r="FA509" s="1098"/>
      <c r="FB509" s="1098"/>
      <c r="FC509" s="1098"/>
      <c r="FD509" s="1098"/>
      <c r="FE509" s="1098"/>
      <c r="FF509" s="1098"/>
      <c r="FG509" s="1098"/>
      <c r="FH509" s="1098"/>
      <c r="FI509" s="1098"/>
      <c r="FJ509" s="1098"/>
      <c r="FK509" s="1098"/>
      <c r="FL509" s="1098"/>
      <c r="FM509" s="1098"/>
      <c r="FN509" s="1098"/>
      <c r="FO509" s="1098"/>
      <c r="FP509" s="1098"/>
      <c r="FQ509" s="1098"/>
      <c r="FR509" s="1098"/>
      <c r="FS509" s="1098"/>
      <c r="FT509" s="1098"/>
      <c r="FU509" s="1098"/>
      <c r="FV509" s="1098"/>
      <c r="FW509" s="1098"/>
      <c r="FX509" s="1098"/>
      <c r="FY509" s="1098"/>
      <c r="FZ509" s="1098"/>
      <c r="GA509" s="1098"/>
      <c r="GB509" s="1098"/>
      <c r="GC509" s="1098"/>
      <c r="GD509" s="1098"/>
      <c r="GE509" s="1098"/>
      <c r="GF509" s="1098"/>
      <c r="GG509" s="1098"/>
      <c r="GH509" s="1098"/>
      <c r="GI509" s="1098"/>
      <c r="GJ509" s="1098"/>
      <c r="GK509" s="1098"/>
      <c r="GL509" s="1098"/>
      <c r="GM509" s="1098"/>
      <c r="GN509" s="1098"/>
      <c r="GO509" s="1098"/>
      <c r="GP509" s="1098"/>
      <c r="GQ509" s="1098"/>
      <c r="GR509" s="1098"/>
      <c r="GS509" s="1098"/>
      <c r="GT509" s="1098"/>
      <c r="GU509" s="1098"/>
      <c r="GV509" s="1098"/>
      <c r="GW509" s="1098"/>
      <c r="GX509" s="1098"/>
      <c r="GY509" s="1098"/>
      <c r="GZ509" s="1098"/>
      <c r="HA509" s="1098"/>
      <c r="HB509" s="1098"/>
      <c r="HC509" s="1098"/>
      <c r="HD509" s="1098"/>
      <c r="HE509" s="1098"/>
      <c r="HF509" s="1098"/>
      <c r="HG509" s="1098"/>
      <c r="HH509" s="1098"/>
      <c r="HI509" s="1098"/>
      <c r="HJ509" s="1098"/>
      <c r="HK509" s="1098"/>
      <c r="HL509" s="1098"/>
      <c r="HM509" s="1098"/>
      <c r="HN509" s="1098"/>
      <c r="HO509" s="1098"/>
      <c r="HP509" s="1098"/>
      <c r="HQ509" s="1098"/>
      <c r="HR509" s="1098"/>
      <c r="HS509" s="1098"/>
      <c r="HT509" s="1098"/>
      <c r="HU509" s="1098"/>
      <c r="HV509" s="1098"/>
      <c r="HW509" s="1098"/>
      <c r="HX509" s="1098"/>
      <c r="HY509" s="1098"/>
      <c r="HZ509" s="1098"/>
      <c r="IA509" s="1098"/>
      <c r="IB509" s="1098"/>
      <c r="IC509" s="1098"/>
      <c r="ID509" s="1098"/>
      <c r="IE509" s="1098"/>
      <c r="IF509" s="1098"/>
      <c r="IG509" s="1098"/>
      <c r="IH509" s="1098"/>
      <c r="II509" s="1098"/>
      <c r="IJ509" s="1098"/>
      <c r="IK509" s="1098"/>
      <c r="IL509" s="1098"/>
      <c r="IM509" s="1098"/>
      <c r="IN509" s="1098"/>
      <c r="IO509" s="1098"/>
      <c r="IP509" s="1098"/>
      <c r="IQ509" s="1098"/>
      <c r="IR509" s="1098"/>
      <c r="IS509" s="1098"/>
      <c r="IT509" s="1098"/>
      <c r="IU509" s="1098"/>
      <c r="IV509" s="1098"/>
      <c r="IW509" s="1098"/>
      <c r="IX509" s="1098"/>
      <c r="IY509" s="1098"/>
      <c r="IZ509" s="1098"/>
      <c r="JA509" s="1098"/>
      <c r="JB509" s="1098"/>
      <c r="JC509" s="1098"/>
      <c r="JD509" s="1098"/>
      <c r="JE509" s="1098"/>
      <c r="JF509" s="1098"/>
      <c r="JG509" s="1098"/>
      <c r="JH509" s="1098"/>
      <c r="JI509" s="1098"/>
      <c r="JJ509" s="1098"/>
      <c r="JK509" s="1098"/>
      <c r="JL509" s="1098"/>
      <c r="JM509" s="1098"/>
      <c r="JN509" s="1098"/>
      <c r="JO509" s="1098"/>
      <c r="JP509" s="1098"/>
      <c r="JQ509" s="1098"/>
      <c r="JR509" s="1098"/>
      <c r="JS509" s="1098"/>
      <c r="JT509" s="1098"/>
      <c r="JU509" s="1098"/>
      <c r="JV509" s="1098"/>
      <c r="JW509" s="1098"/>
      <c r="JX509" s="1098"/>
      <c r="JY509" s="1098"/>
      <c r="JZ509" s="1098"/>
      <c r="KA509" s="1098"/>
      <c r="KB509" s="1099"/>
    </row>
    <row r="510" spans="2:288" ht="15" customHeight="1" x14ac:dyDescent="0.35">
      <c r="B510" s="146" t="str">
        <f t="shared" si="38"/>
        <v>Desk 86</v>
      </c>
      <c r="C510" s="148" t="str">
        <v/>
      </c>
      <c r="D510" s="148" t="str">
        <v/>
      </c>
      <c r="E510" s="148" t="str">
        <v/>
      </c>
      <c r="F510" s="148" t="str">
        <v/>
      </c>
      <c r="G510" s="268" t="str">
        <v/>
      </c>
      <c r="H510" s="1098"/>
      <c r="I510" s="1098"/>
      <c r="J510" s="1098"/>
      <c r="K510" s="1098"/>
      <c r="L510" s="1098"/>
      <c r="M510" s="1098"/>
      <c r="N510" s="1098"/>
      <c r="O510" s="1098"/>
      <c r="P510" s="1098"/>
      <c r="Q510" s="1098"/>
      <c r="R510" s="1098"/>
      <c r="S510" s="1098"/>
      <c r="T510" s="1098"/>
      <c r="U510" s="1098"/>
      <c r="V510" s="1098"/>
      <c r="W510" s="1098"/>
      <c r="X510" s="1098"/>
      <c r="Y510" s="1098"/>
      <c r="Z510" s="1098"/>
      <c r="AA510" s="1098"/>
      <c r="AB510" s="1098"/>
      <c r="AC510" s="1098"/>
      <c r="AD510" s="1098"/>
      <c r="AE510" s="1098"/>
      <c r="AF510" s="1098"/>
      <c r="AG510" s="1098"/>
      <c r="AH510" s="1098"/>
      <c r="AI510" s="1098"/>
      <c r="AJ510" s="1098"/>
      <c r="AK510" s="1098"/>
      <c r="AL510" s="1098"/>
      <c r="AM510" s="1098"/>
      <c r="AN510" s="1098"/>
      <c r="AO510" s="1098"/>
      <c r="AP510" s="1098"/>
      <c r="AQ510" s="1098"/>
      <c r="AR510" s="1098"/>
      <c r="AS510" s="1098"/>
      <c r="AT510" s="1098"/>
      <c r="AU510" s="1098"/>
      <c r="AV510" s="1098"/>
      <c r="AW510" s="1098"/>
      <c r="AX510" s="1098"/>
      <c r="AY510" s="1098"/>
      <c r="AZ510" s="1098"/>
      <c r="BA510" s="1098"/>
      <c r="BB510" s="1098"/>
      <c r="BC510" s="1098"/>
      <c r="BD510" s="1098"/>
      <c r="BE510" s="1098"/>
      <c r="BF510" s="1098"/>
      <c r="BG510" s="1098"/>
      <c r="BH510" s="1098"/>
      <c r="BI510" s="1098"/>
      <c r="BJ510" s="1098"/>
      <c r="BK510" s="1098"/>
      <c r="BL510" s="1098"/>
      <c r="BM510" s="1098"/>
      <c r="BN510" s="1098"/>
      <c r="BO510" s="1098"/>
      <c r="BP510" s="1098"/>
      <c r="BQ510" s="1098"/>
      <c r="BR510" s="1098"/>
      <c r="BS510" s="1098"/>
      <c r="BT510" s="1098"/>
      <c r="BU510" s="1098"/>
      <c r="BV510" s="1098"/>
      <c r="BW510" s="1098"/>
      <c r="BX510" s="1098"/>
      <c r="BY510" s="1098"/>
      <c r="BZ510" s="1098"/>
      <c r="CA510" s="1098"/>
      <c r="CB510" s="1098"/>
      <c r="CC510" s="1098"/>
      <c r="CD510" s="1098"/>
      <c r="CE510" s="1098"/>
      <c r="CF510" s="1098"/>
      <c r="CG510" s="1098"/>
      <c r="CH510" s="1098"/>
      <c r="CI510" s="1098"/>
      <c r="CJ510" s="1098"/>
      <c r="CK510" s="1098"/>
      <c r="CL510" s="1098"/>
      <c r="CM510" s="1098"/>
      <c r="CN510" s="1098"/>
      <c r="CO510" s="1098"/>
      <c r="CP510" s="1098"/>
      <c r="CQ510" s="1098"/>
      <c r="CR510" s="1098"/>
      <c r="CS510" s="1098"/>
      <c r="CT510" s="1098"/>
      <c r="CU510" s="1098"/>
      <c r="CV510" s="1098"/>
      <c r="CW510" s="1098"/>
      <c r="CX510" s="1098"/>
      <c r="CY510" s="1098"/>
      <c r="CZ510" s="1098"/>
      <c r="DA510" s="1098"/>
      <c r="DB510" s="1098"/>
      <c r="DC510" s="1098"/>
      <c r="DD510" s="1098"/>
      <c r="DE510" s="1098"/>
      <c r="DF510" s="1098"/>
      <c r="DG510" s="1098"/>
      <c r="DH510" s="1098"/>
      <c r="DI510" s="1098"/>
      <c r="DJ510" s="1098"/>
      <c r="DK510" s="1098"/>
      <c r="DL510" s="1098"/>
      <c r="DM510" s="1098"/>
      <c r="DN510" s="1098"/>
      <c r="DO510" s="1098"/>
      <c r="DP510" s="1098"/>
      <c r="DQ510" s="1098"/>
      <c r="DR510" s="1098"/>
      <c r="DS510" s="1098"/>
      <c r="DT510" s="1098"/>
      <c r="DU510" s="1098"/>
      <c r="DV510" s="1098"/>
      <c r="DW510" s="1098"/>
      <c r="DX510" s="1098"/>
      <c r="DY510" s="1098"/>
      <c r="DZ510" s="1098"/>
      <c r="EA510" s="1098"/>
      <c r="EB510" s="1098"/>
      <c r="EC510" s="1098"/>
      <c r="ED510" s="1098"/>
      <c r="EE510" s="1098"/>
      <c r="EF510" s="1098"/>
      <c r="EG510" s="1098"/>
      <c r="EH510" s="1098"/>
      <c r="EI510" s="1098"/>
      <c r="EJ510" s="1098"/>
      <c r="EK510" s="1098"/>
      <c r="EL510" s="1098"/>
      <c r="EM510" s="1098"/>
      <c r="EN510" s="1098"/>
      <c r="EO510" s="1098"/>
      <c r="EP510" s="1098"/>
      <c r="EQ510" s="1098"/>
      <c r="ER510" s="1098"/>
      <c r="ES510" s="1098"/>
      <c r="ET510" s="1098"/>
      <c r="EU510" s="1098"/>
      <c r="EV510" s="1098"/>
      <c r="EW510" s="1098"/>
      <c r="EX510" s="1098"/>
      <c r="EY510" s="1098"/>
      <c r="EZ510" s="1098"/>
      <c r="FA510" s="1098"/>
      <c r="FB510" s="1098"/>
      <c r="FC510" s="1098"/>
      <c r="FD510" s="1098"/>
      <c r="FE510" s="1098"/>
      <c r="FF510" s="1098"/>
      <c r="FG510" s="1098"/>
      <c r="FH510" s="1098"/>
      <c r="FI510" s="1098"/>
      <c r="FJ510" s="1098"/>
      <c r="FK510" s="1098"/>
      <c r="FL510" s="1098"/>
      <c r="FM510" s="1098"/>
      <c r="FN510" s="1098"/>
      <c r="FO510" s="1098"/>
      <c r="FP510" s="1098"/>
      <c r="FQ510" s="1098"/>
      <c r="FR510" s="1098"/>
      <c r="FS510" s="1098"/>
      <c r="FT510" s="1098"/>
      <c r="FU510" s="1098"/>
      <c r="FV510" s="1098"/>
      <c r="FW510" s="1098"/>
      <c r="FX510" s="1098"/>
      <c r="FY510" s="1098"/>
      <c r="FZ510" s="1098"/>
      <c r="GA510" s="1098"/>
      <c r="GB510" s="1098"/>
      <c r="GC510" s="1098"/>
      <c r="GD510" s="1098"/>
      <c r="GE510" s="1098"/>
      <c r="GF510" s="1098"/>
      <c r="GG510" s="1098"/>
      <c r="GH510" s="1098"/>
      <c r="GI510" s="1098"/>
      <c r="GJ510" s="1098"/>
      <c r="GK510" s="1098"/>
      <c r="GL510" s="1098"/>
      <c r="GM510" s="1098"/>
      <c r="GN510" s="1098"/>
      <c r="GO510" s="1098"/>
      <c r="GP510" s="1098"/>
      <c r="GQ510" s="1098"/>
      <c r="GR510" s="1098"/>
      <c r="GS510" s="1098"/>
      <c r="GT510" s="1098"/>
      <c r="GU510" s="1098"/>
      <c r="GV510" s="1098"/>
      <c r="GW510" s="1098"/>
      <c r="GX510" s="1098"/>
      <c r="GY510" s="1098"/>
      <c r="GZ510" s="1098"/>
      <c r="HA510" s="1098"/>
      <c r="HB510" s="1098"/>
      <c r="HC510" s="1098"/>
      <c r="HD510" s="1098"/>
      <c r="HE510" s="1098"/>
      <c r="HF510" s="1098"/>
      <c r="HG510" s="1098"/>
      <c r="HH510" s="1098"/>
      <c r="HI510" s="1098"/>
      <c r="HJ510" s="1098"/>
      <c r="HK510" s="1098"/>
      <c r="HL510" s="1098"/>
      <c r="HM510" s="1098"/>
      <c r="HN510" s="1098"/>
      <c r="HO510" s="1098"/>
      <c r="HP510" s="1098"/>
      <c r="HQ510" s="1098"/>
      <c r="HR510" s="1098"/>
      <c r="HS510" s="1098"/>
      <c r="HT510" s="1098"/>
      <c r="HU510" s="1098"/>
      <c r="HV510" s="1098"/>
      <c r="HW510" s="1098"/>
      <c r="HX510" s="1098"/>
      <c r="HY510" s="1098"/>
      <c r="HZ510" s="1098"/>
      <c r="IA510" s="1098"/>
      <c r="IB510" s="1098"/>
      <c r="IC510" s="1098"/>
      <c r="ID510" s="1098"/>
      <c r="IE510" s="1098"/>
      <c r="IF510" s="1098"/>
      <c r="IG510" s="1098"/>
      <c r="IH510" s="1098"/>
      <c r="II510" s="1098"/>
      <c r="IJ510" s="1098"/>
      <c r="IK510" s="1098"/>
      <c r="IL510" s="1098"/>
      <c r="IM510" s="1098"/>
      <c r="IN510" s="1098"/>
      <c r="IO510" s="1098"/>
      <c r="IP510" s="1098"/>
      <c r="IQ510" s="1098"/>
      <c r="IR510" s="1098"/>
      <c r="IS510" s="1098"/>
      <c r="IT510" s="1098"/>
      <c r="IU510" s="1098"/>
      <c r="IV510" s="1098"/>
      <c r="IW510" s="1098"/>
      <c r="IX510" s="1098"/>
      <c r="IY510" s="1098"/>
      <c r="IZ510" s="1098"/>
      <c r="JA510" s="1098"/>
      <c r="JB510" s="1098"/>
      <c r="JC510" s="1098"/>
      <c r="JD510" s="1098"/>
      <c r="JE510" s="1098"/>
      <c r="JF510" s="1098"/>
      <c r="JG510" s="1098"/>
      <c r="JH510" s="1098"/>
      <c r="JI510" s="1098"/>
      <c r="JJ510" s="1098"/>
      <c r="JK510" s="1098"/>
      <c r="JL510" s="1098"/>
      <c r="JM510" s="1098"/>
      <c r="JN510" s="1098"/>
      <c r="JO510" s="1098"/>
      <c r="JP510" s="1098"/>
      <c r="JQ510" s="1098"/>
      <c r="JR510" s="1098"/>
      <c r="JS510" s="1098"/>
      <c r="JT510" s="1098"/>
      <c r="JU510" s="1098"/>
      <c r="JV510" s="1098"/>
      <c r="JW510" s="1098"/>
      <c r="JX510" s="1098"/>
      <c r="JY510" s="1098"/>
      <c r="JZ510" s="1098"/>
      <c r="KA510" s="1098"/>
      <c r="KB510" s="1099"/>
    </row>
    <row r="511" spans="2:288" ht="15" customHeight="1" x14ac:dyDescent="0.35">
      <c r="B511" s="146" t="str">
        <f t="shared" si="38"/>
        <v>Desk 87</v>
      </c>
      <c r="C511" s="148" t="str">
        <v/>
      </c>
      <c r="D511" s="148" t="str">
        <v/>
      </c>
      <c r="E511" s="148" t="str">
        <v/>
      </c>
      <c r="F511" s="148" t="str">
        <v/>
      </c>
      <c r="G511" s="268" t="str">
        <v/>
      </c>
      <c r="H511" s="1098"/>
      <c r="I511" s="1098"/>
      <c r="J511" s="1098"/>
      <c r="K511" s="1098"/>
      <c r="L511" s="1098"/>
      <c r="M511" s="1098"/>
      <c r="N511" s="1098"/>
      <c r="O511" s="1098"/>
      <c r="P511" s="1098"/>
      <c r="Q511" s="1098"/>
      <c r="R511" s="1098"/>
      <c r="S511" s="1098"/>
      <c r="T511" s="1098"/>
      <c r="U511" s="1098"/>
      <c r="V511" s="1098"/>
      <c r="W511" s="1098"/>
      <c r="X511" s="1098"/>
      <c r="Y511" s="1098"/>
      <c r="Z511" s="1098"/>
      <c r="AA511" s="1098"/>
      <c r="AB511" s="1098"/>
      <c r="AC511" s="1098"/>
      <c r="AD511" s="1098"/>
      <c r="AE511" s="1098"/>
      <c r="AF511" s="1098"/>
      <c r="AG511" s="1098"/>
      <c r="AH511" s="1098"/>
      <c r="AI511" s="1098"/>
      <c r="AJ511" s="1098"/>
      <c r="AK511" s="1098"/>
      <c r="AL511" s="1098"/>
      <c r="AM511" s="1098"/>
      <c r="AN511" s="1098"/>
      <c r="AO511" s="1098"/>
      <c r="AP511" s="1098"/>
      <c r="AQ511" s="1098"/>
      <c r="AR511" s="1098"/>
      <c r="AS511" s="1098"/>
      <c r="AT511" s="1098"/>
      <c r="AU511" s="1098"/>
      <c r="AV511" s="1098"/>
      <c r="AW511" s="1098"/>
      <c r="AX511" s="1098"/>
      <c r="AY511" s="1098"/>
      <c r="AZ511" s="1098"/>
      <c r="BA511" s="1098"/>
      <c r="BB511" s="1098"/>
      <c r="BC511" s="1098"/>
      <c r="BD511" s="1098"/>
      <c r="BE511" s="1098"/>
      <c r="BF511" s="1098"/>
      <c r="BG511" s="1098"/>
      <c r="BH511" s="1098"/>
      <c r="BI511" s="1098"/>
      <c r="BJ511" s="1098"/>
      <c r="BK511" s="1098"/>
      <c r="BL511" s="1098"/>
      <c r="BM511" s="1098"/>
      <c r="BN511" s="1098"/>
      <c r="BO511" s="1098"/>
      <c r="BP511" s="1098"/>
      <c r="BQ511" s="1098"/>
      <c r="BR511" s="1098"/>
      <c r="BS511" s="1098"/>
      <c r="BT511" s="1098"/>
      <c r="BU511" s="1098"/>
      <c r="BV511" s="1098"/>
      <c r="BW511" s="1098"/>
      <c r="BX511" s="1098"/>
      <c r="BY511" s="1098"/>
      <c r="BZ511" s="1098"/>
      <c r="CA511" s="1098"/>
      <c r="CB511" s="1098"/>
      <c r="CC511" s="1098"/>
      <c r="CD511" s="1098"/>
      <c r="CE511" s="1098"/>
      <c r="CF511" s="1098"/>
      <c r="CG511" s="1098"/>
      <c r="CH511" s="1098"/>
      <c r="CI511" s="1098"/>
      <c r="CJ511" s="1098"/>
      <c r="CK511" s="1098"/>
      <c r="CL511" s="1098"/>
      <c r="CM511" s="1098"/>
      <c r="CN511" s="1098"/>
      <c r="CO511" s="1098"/>
      <c r="CP511" s="1098"/>
      <c r="CQ511" s="1098"/>
      <c r="CR511" s="1098"/>
      <c r="CS511" s="1098"/>
      <c r="CT511" s="1098"/>
      <c r="CU511" s="1098"/>
      <c r="CV511" s="1098"/>
      <c r="CW511" s="1098"/>
      <c r="CX511" s="1098"/>
      <c r="CY511" s="1098"/>
      <c r="CZ511" s="1098"/>
      <c r="DA511" s="1098"/>
      <c r="DB511" s="1098"/>
      <c r="DC511" s="1098"/>
      <c r="DD511" s="1098"/>
      <c r="DE511" s="1098"/>
      <c r="DF511" s="1098"/>
      <c r="DG511" s="1098"/>
      <c r="DH511" s="1098"/>
      <c r="DI511" s="1098"/>
      <c r="DJ511" s="1098"/>
      <c r="DK511" s="1098"/>
      <c r="DL511" s="1098"/>
      <c r="DM511" s="1098"/>
      <c r="DN511" s="1098"/>
      <c r="DO511" s="1098"/>
      <c r="DP511" s="1098"/>
      <c r="DQ511" s="1098"/>
      <c r="DR511" s="1098"/>
      <c r="DS511" s="1098"/>
      <c r="DT511" s="1098"/>
      <c r="DU511" s="1098"/>
      <c r="DV511" s="1098"/>
      <c r="DW511" s="1098"/>
      <c r="DX511" s="1098"/>
      <c r="DY511" s="1098"/>
      <c r="DZ511" s="1098"/>
      <c r="EA511" s="1098"/>
      <c r="EB511" s="1098"/>
      <c r="EC511" s="1098"/>
      <c r="ED511" s="1098"/>
      <c r="EE511" s="1098"/>
      <c r="EF511" s="1098"/>
      <c r="EG511" s="1098"/>
      <c r="EH511" s="1098"/>
      <c r="EI511" s="1098"/>
      <c r="EJ511" s="1098"/>
      <c r="EK511" s="1098"/>
      <c r="EL511" s="1098"/>
      <c r="EM511" s="1098"/>
      <c r="EN511" s="1098"/>
      <c r="EO511" s="1098"/>
      <c r="EP511" s="1098"/>
      <c r="EQ511" s="1098"/>
      <c r="ER511" s="1098"/>
      <c r="ES511" s="1098"/>
      <c r="ET511" s="1098"/>
      <c r="EU511" s="1098"/>
      <c r="EV511" s="1098"/>
      <c r="EW511" s="1098"/>
      <c r="EX511" s="1098"/>
      <c r="EY511" s="1098"/>
      <c r="EZ511" s="1098"/>
      <c r="FA511" s="1098"/>
      <c r="FB511" s="1098"/>
      <c r="FC511" s="1098"/>
      <c r="FD511" s="1098"/>
      <c r="FE511" s="1098"/>
      <c r="FF511" s="1098"/>
      <c r="FG511" s="1098"/>
      <c r="FH511" s="1098"/>
      <c r="FI511" s="1098"/>
      <c r="FJ511" s="1098"/>
      <c r="FK511" s="1098"/>
      <c r="FL511" s="1098"/>
      <c r="FM511" s="1098"/>
      <c r="FN511" s="1098"/>
      <c r="FO511" s="1098"/>
      <c r="FP511" s="1098"/>
      <c r="FQ511" s="1098"/>
      <c r="FR511" s="1098"/>
      <c r="FS511" s="1098"/>
      <c r="FT511" s="1098"/>
      <c r="FU511" s="1098"/>
      <c r="FV511" s="1098"/>
      <c r="FW511" s="1098"/>
      <c r="FX511" s="1098"/>
      <c r="FY511" s="1098"/>
      <c r="FZ511" s="1098"/>
      <c r="GA511" s="1098"/>
      <c r="GB511" s="1098"/>
      <c r="GC511" s="1098"/>
      <c r="GD511" s="1098"/>
      <c r="GE511" s="1098"/>
      <c r="GF511" s="1098"/>
      <c r="GG511" s="1098"/>
      <c r="GH511" s="1098"/>
      <c r="GI511" s="1098"/>
      <c r="GJ511" s="1098"/>
      <c r="GK511" s="1098"/>
      <c r="GL511" s="1098"/>
      <c r="GM511" s="1098"/>
      <c r="GN511" s="1098"/>
      <c r="GO511" s="1098"/>
      <c r="GP511" s="1098"/>
      <c r="GQ511" s="1098"/>
      <c r="GR511" s="1098"/>
      <c r="GS511" s="1098"/>
      <c r="GT511" s="1098"/>
      <c r="GU511" s="1098"/>
      <c r="GV511" s="1098"/>
      <c r="GW511" s="1098"/>
      <c r="GX511" s="1098"/>
      <c r="GY511" s="1098"/>
      <c r="GZ511" s="1098"/>
      <c r="HA511" s="1098"/>
      <c r="HB511" s="1098"/>
      <c r="HC511" s="1098"/>
      <c r="HD511" s="1098"/>
      <c r="HE511" s="1098"/>
      <c r="HF511" s="1098"/>
      <c r="HG511" s="1098"/>
      <c r="HH511" s="1098"/>
      <c r="HI511" s="1098"/>
      <c r="HJ511" s="1098"/>
      <c r="HK511" s="1098"/>
      <c r="HL511" s="1098"/>
      <c r="HM511" s="1098"/>
      <c r="HN511" s="1098"/>
      <c r="HO511" s="1098"/>
      <c r="HP511" s="1098"/>
      <c r="HQ511" s="1098"/>
      <c r="HR511" s="1098"/>
      <c r="HS511" s="1098"/>
      <c r="HT511" s="1098"/>
      <c r="HU511" s="1098"/>
      <c r="HV511" s="1098"/>
      <c r="HW511" s="1098"/>
      <c r="HX511" s="1098"/>
      <c r="HY511" s="1098"/>
      <c r="HZ511" s="1098"/>
      <c r="IA511" s="1098"/>
      <c r="IB511" s="1098"/>
      <c r="IC511" s="1098"/>
      <c r="ID511" s="1098"/>
      <c r="IE511" s="1098"/>
      <c r="IF511" s="1098"/>
      <c r="IG511" s="1098"/>
      <c r="IH511" s="1098"/>
      <c r="II511" s="1098"/>
      <c r="IJ511" s="1098"/>
      <c r="IK511" s="1098"/>
      <c r="IL511" s="1098"/>
      <c r="IM511" s="1098"/>
      <c r="IN511" s="1098"/>
      <c r="IO511" s="1098"/>
      <c r="IP511" s="1098"/>
      <c r="IQ511" s="1098"/>
      <c r="IR511" s="1098"/>
      <c r="IS511" s="1098"/>
      <c r="IT511" s="1098"/>
      <c r="IU511" s="1098"/>
      <c r="IV511" s="1098"/>
      <c r="IW511" s="1098"/>
      <c r="IX511" s="1098"/>
      <c r="IY511" s="1098"/>
      <c r="IZ511" s="1098"/>
      <c r="JA511" s="1098"/>
      <c r="JB511" s="1098"/>
      <c r="JC511" s="1098"/>
      <c r="JD511" s="1098"/>
      <c r="JE511" s="1098"/>
      <c r="JF511" s="1098"/>
      <c r="JG511" s="1098"/>
      <c r="JH511" s="1098"/>
      <c r="JI511" s="1098"/>
      <c r="JJ511" s="1098"/>
      <c r="JK511" s="1098"/>
      <c r="JL511" s="1098"/>
      <c r="JM511" s="1098"/>
      <c r="JN511" s="1098"/>
      <c r="JO511" s="1098"/>
      <c r="JP511" s="1098"/>
      <c r="JQ511" s="1098"/>
      <c r="JR511" s="1098"/>
      <c r="JS511" s="1098"/>
      <c r="JT511" s="1098"/>
      <c r="JU511" s="1098"/>
      <c r="JV511" s="1098"/>
      <c r="JW511" s="1098"/>
      <c r="JX511" s="1098"/>
      <c r="JY511" s="1098"/>
      <c r="JZ511" s="1098"/>
      <c r="KA511" s="1098"/>
      <c r="KB511" s="1099"/>
    </row>
    <row r="512" spans="2:288" ht="15" customHeight="1" x14ac:dyDescent="0.35">
      <c r="B512" s="146" t="str">
        <f t="shared" si="38"/>
        <v>Desk 88</v>
      </c>
      <c r="C512" s="148" t="str">
        <v/>
      </c>
      <c r="D512" s="148" t="str">
        <v/>
      </c>
      <c r="E512" s="148" t="str">
        <v/>
      </c>
      <c r="F512" s="148" t="str">
        <v/>
      </c>
      <c r="G512" s="268" t="str">
        <v/>
      </c>
      <c r="H512" s="1098"/>
      <c r="I512" s="1098"/>
      <c r="J512" s="1098"/>
      <c r="K512" s="1098"/>
      <c r="L512" s="1098"/>
      <c r="M512" s="1098"/>
      <c r="N512" s="1098"/>
      <c r="O512" s="1098"/>
      <c r="P512" s="1098"/>
      <c r="Q512" s="1098"/>
      <c r="R512" s="1098"/>
      <c r="S512" s="1098"/>
      <c r="T512" s="1098"/>
      <c r="U512" s="1098"/>
      <c r="V512" s="1098"/>
      <c r="W512" s="1098"/>
      <c r="X512" s="1098"/>
      <c r="Y512" s="1098"/>
      <c r="Z512" s="1098"/>
      <c r="AA512" s="1098"/>
      <c r="AB512" s="1098"/>
      <c r="AC512" s="1098"/>
      <c r="AD512" s="1098"/>
      <c r="AE512" s="1098"/>
      <c r="AF512" s="1098"/>
      <c r="AG512" s="1098"/>
      <c r="AH512" s="1098"/>
      <c r="AI512" s="1098"/>
      <c r="AJ512" s="1098"/>
      <c r="AK512" s="1098"/>
      <c r="AL512" s="1098"/>
      <c r="AM512" s="1098"/>
      <c r="AN512" s="1098"/>
      <c r="AO512" s="1098"/>
      <c r="AP512" s="1098"/>
      <c r="AQ512" s="1098"/>
      <c r="AR512" s="1098"/>
      <c r="AS512" s="1098"/>
      <c r="AT512" s="1098"/>
      <c r="AU512" s="1098"/>
      <c r="AV512" s="1098"/>
      <c r="AW512" s="1098"/>
      <c r="AX512" s="1098"/>
      <c r="AY512" s="1098"/>
      <c r="AZ512" s="1098"/>
      <c r="BA512" s="1098"/>
      <c r="BB512" s="1098"/>
      <c r="BC512" s="1098"/>
      <c r="BD512" s="1098"/>
      <c r="BE512" s="1098"/>
      <c r="BF512" s="1098"/>
      <c r="BG512" s="1098"/>
      <c r="BH512" s="1098"/>
      <c r="BI512" s="1098"/>
      <c r="BJ512" s="1098"/>
      <c r="BK512" s="1098"/>
      <c r="BL512" s="1098"/>
      <c r="BM512" s="1098"/>
      <c r="BN512" s="1098"/>
      <c r="BO512" s="1098"/>
      <c r="BP512" s="1098"/>
      <c r="BQ512" s="1098"/>
      <c r="BR512" s="1098"/>
      <c r="BS512" s="1098"/>
      <c r="BT512" s="1098"/>
      <c r="BU512" s="1098"/>
      <c r="BV512" s="1098"/>
      <c r="BW512" s="1098"/>
      <c r="BX512" s="1098"/>
      <c r="BY512" s="1098"/>
      <c r="BZ512" s="1098"/>
      <c r="CA512" s="1098"/>
      <c r="CB512" s="1098"/>
      <c r="CC512" s="1098"/>
      <c r="CD512" s="1098"/>
      <c r="CE512" s="1098"/>
      <c r="CF512" s="1098"/>
      <c r="CG512" s="1098"/>
      <c r="CH512" s="1098"/>
      <c r="CI512" s="1098"/>
      <c r="CJ512" s="1098"/>
      <c r="CK512" s="1098"/>
      <c r="CL512" s="1098"/>
      <c r="CM512" s="1098"/>
      <c r="CN512" s="1098"/>
      <c r="CO512" s="1098"/>
      <c r="CP512" s="1098"/>
      <c r="CQ512" s="1098"/>
      <c r="CR512" s="1098"/>
      <c r="CS512" s="1098"/>
      <c r="CT512" s="1098"/>
      <c r="CU512" s="1098"/>
      <c r="CV512" s="1098"/>
      <c r="CW512" s="1098"/>
      <c r="CX512" s="1098"/>
      <c r="CY512" s="1098"/>
      <c r="CZ512" s="1098"/>
      <c r="DA512" s="1098"/>
      <c r="DB512" s="1098"/>
      <c r="DC512" s="1098"/>
      <c r="DD512" s="1098"/>
      <c r="DE512" s="1098"/>
      <c r="DF512" s="1098"/>
      <c r="DG512" s="1098"/>
      <c r="DH512" s="1098"/>
      <c r="DI512" s="1098"/>
      <c r="DJ512" s="1098"/>
      <c r="DK512" s="1098"/>
      <c r="DL512" s="1098"/>
      <c r="DM512" s="1098"/>
      <c r="DN512" s="1098"/>
      <c r="DO512" s="1098"/>
      <c r="DP512" s="1098"/>
      <c r="DQ512" s="1098"/>
      <c r="DR512" s="1098"/>
      <c r="DS512" s="1098"/>
      <c r="DT512" s="1098"/>
      <c r="DU512" s="1098"/>
      <c r="DV512" s="1098"/>
      <c r="DW512" s="1098"/>
      <c r="DX512" s="1098"/>
      <c r="DY512" s="1098"/>
      <c r="DZ512" s="1098"/>
      <c r="EA512" s="1098"/>
      <c r="EB512" s="1098"/>
      <c r="EC512" s="1098"/>
      <c r="ED512" s="1098"/>
      <c r="EE512" s="1098"/>
      <c r="EF512" s="1098"/>
      <c r="EG512" s="1098"/>
      <c r="EH512" s="1098"/>
      <c r="EI512" s="1098"/>
      <c r="EJ512" s="1098"/>
      <c r="EK512" s="1098"/>
      <c r="EL512" s="1098"/>
      <c r="EM512" s="1098"/>
      <c r="EN512" s="1098"/>
      <c r="EO512" s="1098"/>
      <c r="EP512" s="1098"/>
      <c r="EQ512" s="1098"/>
      <c r="ER512" s="1098"/>
      <c r="ES512" s="1098"/>
      <c r="ET512" s="1098"/>
      <c r="EU512" s="1098"/>
      <c r="EV512" s="1098"/>
      <c r="EW512" s="1098"/>
      <c r="EX512" s="1098"/>
      <c r="EY512" s="1098"/>
      <c r="EZ512" s="1098"/>
      <c r="FA512" s="1098"/>
      <c r="FB512" s="1098"/>
      <c r="FC512" s="1098"/>
      <c r="FD512" s="1098"/>
      <c r="FE512" s="1098"/>
      <c r="FF512" s="1098"/>
      <c r="FG512" s="1098"/>
      <c r="FH512" s="1098"/>
      <c r="FI512" s="1098"/>
      <c r="FJ512" s="1098"/>
      <c r="FK512" s="1098"/>
      <c r="FL512" s="1098"/>
      <c r="FM512" s="1098"/>
      <c r="FN512" s="1098"/>
      <c r="FO512" s="1098"/>
      <c r="FP512" s="1098"/>
      <c r="FQ512" s="1098"/>
      <c r="FR512" s="1098"/>
      <c r="FS512" s="1098"/>
      <c r="FT512" s="1098"/>
      <c r="FU512" s="1098"/>
      <c r="FV512" s="1098"/>
      <c r="FW512" s="1098"/>
      <c r="FX512" s="1098"/>
      <c r="FY512" s="1098"/>
      <c r="FZ512" s="1098"/>
      <c r="GA512" s="1098"/>
      <c r="GB512" s="1098"/>
      <c r="GC512" s="1098"/>
      <c r="GD512" s="1098"/>
      <c r="GE512" s="1098"/>
      <c r="GF512" s="1098"/>
      <c r="GG512" s="1098"/>
      <c r="GH512" s="1098"/>
      <c r="GI512" s="1098"/>
      <c r="GJ512" s="1098"/>
      <c r="GK512" s="1098"/>
      <c r="GL512" s="1098"/>
      <c r="GM512" s="1098"/>
      <c r="GN512" s="1098"/>
      <c r="GO512" s="1098"/>
      <c r="GP512" s="1098"/>
      <c r="GQ512" s="1098"/>
      <c r="GR512" s="1098"/>
      <c r="GS512" s="1098"/>
      <c r="GT512" s="1098"/>
      <c r="GU512" s="1098"/>
      <c r="GV512" s="1098"/>
      <c r="GW512" s="1098"/>
      <c r="GX512" s="1098"/>
      <c r="GY512" s="1098"/>
      <c r="GZ512" s="1098"/>
      <c r="HA512" s="1098"/>
      <c r="HB512" s="1098"/>
      <c r="HC512" s="1098"/>
      <c r="HD512" s="1098"/>
      <c r="HE512" s="1098"/>
      <c r="HF512" s="1098"/>
      <c r="HG512" s="1098"/>
      <c r="HH512" s="1098"/>
      <c r="HI512" s="1098"/>
      <c r="HJ512" s="1098"/>
      <c r="HK512" s="1098"/>
      <c r="HL512" s="1098"/>
      <c r="HM512" s="1098"/>
      <c r="HN512" s="1098"/>
      <c r="HO512" s="1098"/>
      <c r="HP512" s="1098"/>
      <c r="HQ512" s="1098"/>
      <c r="HR512" s="1098"/>
      <c r="HS512" s="1098"/>
      <c r="HT512" s="1098"/>
      <c r="HU512" s="1098"/>
      <c r="HV512" s="1098"/>
      <c r="HW512" s="1098"/>
      <c r="HX512" s="1098"/>
      <c r="HY512" s="1098"/>
      <c r="HZ512" s="1098"/>
      <c r="IA512" s="1098"/>
      <c r="IB512" s="1098"/>
      <c r="IC512" s="1098"/>
      <c r="ID512" s="1098"/>
      <c r="IE512" s="1098"/>
      <c r="IF512" s="1098"/>
      <c r="IG512" s="1098"/>
      <c r="IH512" s="1098"/>
      <c r="II512" s="1098"/>
      <c r="IJ512" s="1098"/>
      <c r="IK512" s="1098"/>
      <c r="IL512" s="1098"/>
      <c r="IM512" s="1098"/>
      <c r="IN512" s="1098"/>
      <c r="IO512" s="1098"/>
      <c r="IP512" s="1098"/>
      <c r="IQ512" s="1098"/>
      <c r="IR512" s="1098"/>
      <c r="IS512" s="1098"/>
      <c r="IT512" s="1098"/>
      <c r="IU512" s="1098"/>
      <c r="IV512" s="1098"/>
      <c r="IW512" s="1098"/>
      <c r="IX512" s="1098"/>
      <c r="IY512" s="1098"/>
      <c r="IZ512" s="1098"/>
      <c r="JA512" s="1098"/>
      <c r="JB512" s="1098"/>
      <c r="JC512" s="1098"/>
      <c r="JD512" s="1098"/>
      <c r="JE512" s="1098"/>
      <c r="JF512" s="1098"/>
      <c r="JG512" s="1098"/>
      <c r="JH512" s="1098"/>
      <c r="JI512" s="1098"/>
      <c r="JJ512" s="1098"/>
      <c r="JK512" s="1098"/>
      <c r="JL512" s="1098"/>
      <c r="JM512" s="1098"/>
      <c r="JN512" s="1098"/>
      <c r="JO512" s="1098"/>
      <c r="JP512" s="1098"/>
      <c r="JQ512" s="1098"/>
      <c r="JR512" s="1098"/>
      <c r="JS512" s="1098"/>
      <c r="JT512" s="1098"/>
      <c r="JU512" s="1098"/>
      <c r="JV512" s="1098"/>
      <c r="JW512" s="1098"/>
      <c r="JX512" s="1098"/>
      <c r="JY512" s="1098"/>
      <c r="JZ512" s="1098"/>
      <c r="KA512" s="1098"/>
      <c r="KB512" s="1099"/>
    </row>
    <row r="513" spans="1:288" ht="15" customHeight="1" x14ac:dyDescent="0.35">
      <c r="B513" s="146" t="str">
        <f t="shared" si="38"/>
        <v>Desk 89</v>
      </c>
      <c r="C513" s="148" t="str">
        <v/>
      </c>
      <c r="D513" s="148" t="str">
        <v/>
      </c>
      <c r="E513" s="148" t="str">
        <v/>
      </c>
      <c r="F513" s="148" t="str">
        <v/>
      </c>
      <c r="G513" s="268" t="str">
        <v/>
      </c>
      <c r="H513" s="1098"/>
      <c r="I513" s="1098"/>
      <c r="J513" s="1098"/>
      <c r="K513" s="1098"/>
      <c r="L513" s="1098"/>
      <c r="M513" s="1098"/>
      <c r="N513" s="1098"/>
      <c r="O513" s="1098"/>
      <c r="P513" s="1098"/>
      <c r="Q513" s="1098"/>
      <c r="R513" s="1098"/>
      <c r="S513" s="1098"/>
      <c r="T513" s="1098"/>
      <c r="U513" s="1098"/>
      <c r="V513" s="1098"/>
      <c r="W513" s="1098"/>
      <c r="X513" s="1098"/>
      <c r="Y513" s="1098"/>
      <c r="Z513" s="1098"/>
      <c r="AA513" s="1098"/>
      <c r="AB513" s="1098"/>
      <c r="AC513" s="1098"/>
      <c r="AD513" s="1098"/>
      <c r="AE513" s="1098"/>
      <c r="AF513" s="1098"/>
      <c r="AG513" s="1098"/>
      <c r="AH513" s="1098"/>
      <c r="AI513" s="1098"/>
      <c r="AJ513" s="1098"/>
      <c r="AK513" s="1098"/>
      <c r="AL513" s="1098"/>
      <c r="AM513" s="1098"/>
      <c r="AN513" s="1098"/>
      <c r="AO513" s="1098"/>
      <c r="AP513" s="1098"/>
      <c r="AQ513" s="1098"/>
      <c r="AR513" s="1098"/>
      <c r="AS513" s="1098"/>
      <c r="AT513" s="1098"/>
      <c r="AU513" s="1098"/>
      <c r="AV513" s="1098"/>
      <c r="AW513" s="1098"/>
      <c r="AX513" s="1098"/>
      <c r="AY513" s="1098"/>
      <c r="AZ513" s="1098"/>
      <c r="BA513" s="1098"/>
      <c r="BB513" s="1098"/>
      <c r="BC513" s="1098"/>
      <c r="BD513" s="1098"/>
      <c r="BE513" s="1098"/>
      <c r="BF513" s="1098"/>
      <c r="BG513" s="1098"/>
      <c r="BH513" s="1098"/>
      <c r="BI513" s="1098"/>
      <c r="BJ513" s="1098"/>
      <c r="BK513" s="1098"/>
      <c r="BL513" s="1098"/>
      <c r="BM513" s="1098"/>
      <c r="BN513" s="1098"/>
      <c r="BO513" s="1098"/>
      <c r="BP513" s="1098"/>
      <c r="BQ513" s="1098"/>
      <c r="BR513" s="1098"/>
      <c r="BS513" s="1098"/>
      <c r="BT513" s="1098"/>
      <c r="BU513" s="1098"/>
      <c r="BV513" s="1098"/>
      <c r="BW513" s="1098"/>
      <c r="BX513" s="1098"/>
      <c r="BY513" s="1098"/>
      <c r="BZ513" s="1098"/>
      <c r="CA513" s="1098"/>
      <c r="CB513" s="1098"/>
      <c r="CC513" s="1098"/>
      <c r="CD513" s="1098"/>
      <c r="CE513" s="1098"/>
      <c r="CF513" s="1098"/>
      <c r="CG513" s="1098"/>
      <c r="CH513" s="1098"/>
      <c r="CI513" s="1098"/>
      <c r="CJ513" s="1098"/>
      <c r="CK513" s="1098"/>
      <c r="CL513" s="1098"/>
      <c r="CM513" s="1098"/>
      <c r="CN513" s="1098"/>
      <c r="CO513" s="1098"/>
      <c r="CP513" s="1098"/>
      <c r="CQ513" s="1098"/>
      <c r="CR513" s="1098"/>
      <c r="CS513" s="1098"/>
      <c r="CT513" s="1098"/>
      <c r="CU513" s="1098"/>
      <c r="CV513" s="1098"/>
      <c r="CW513" s="1098"/>
      <c r="CX513" s="1098"/>
      <c r="CY513" s="1098"/>
      <c r="CZ513" s="1098"/>
      <c r="DA513" s="1098"/>
      <c r="DB513" s="1098"/>
      <c r="DC513" s="1098"/>
      <c r="DD513" s="1098"/>
      <c r="DE513" s="1098"/>
      <c r="DF513" s="1098"/>
      <c r="DG513" s="1098"/>
      <c r="DH513" s="1098"/>
      <c r="DI513" s="1098"/>
      <c r="DJ513" s="1098"/>
      <c r="DK513" s="1098"/>
      <c r="DL513" s="1098"/>
      <c r="DM513" s="1098"/>
      <c r="DN513" s="1098"/>
      <c r="DO513" s="1098"/>
      <c r="DP513" s="1098"/>
      <c r="DQ513" s="1098"/>
      <c r="DR513" s="1098"/>
      <c r="DS513" s="1098"/>
      <c r="DT513" s="1098"/>
      <c r="DU513" s="1098"/>
      <c r="DV513" s="1098"/>
      <c r="DW513" s="1098"/>
      <c r="DX513" s="1098"/>
      <c r="DY513" s="1098"/>
      <c r="DZ513" s="1098"/>
      <c r="EA513" s="1098"/>
      <c r="EB513" s="1098"/>
      <c r="EC513" s="1098"/>
      <c r="ED513" s="1098"/>
      <c r="EE513" s="1098"/>
      <c r="EF513" s="1098"/>
      <c r="EG513" s="1098"/>
      <c r="EH513" s="1098"/>
      <c r="EI513" s="1098"/>
      <c r="EJ513" s="1098"/>
      <c r="EK513" s="1098"/>
      <c r="EL513" s="1098"/>
      <c r="EM513" s="1098"/>
      <c r="EN513" s="1098"/>
      <c r="EO513" s="1098"/>
      <c r="EP513" s="1098"/>
      <c r="EQ513" s="1098"/>
      <c r="ER513" s="1098"/>
      <c r="ES513" s="1098"/>
      <c r="ET513" s="1098"/>
      <c r="EU513" s="1098"/>
      <c r="EV513" s="1098"/>
      <c r="EW513" s="1098"/>
      <c r="EX513" s="1098"/>
      <c r="EY513" s="1098"/>
      <c r="EZ513" s="1098"/>
      <c r="FA513" s="1098"/>
      <c r="FB513" s="1098"/>
      <c r="FC513" s="1098"/>
      <c r="FD513" s="1098"/>
      <c r="FE513" s="1098"/>
      <c r="FF513" s="1098"/>
      <c r="FG513" s="1098"/>
      <c r="FH513" s="1098"/>
      <c r="FI513" s="1098"/>
      <c r="FJ513" s="1098"/>
      <c r="FK513" s="1098"/>
      <c r="FL513" s="1098"/>
      <c r="FM513" s="1098"/>
      <c r="FN513" s="1098"/>
      <c r="FO513" s="1098"/>
      <c r="FP513" s="1098"/>
      <c r="FQ513" s="1098"/>
      <c r="FR513" s="1098"/>
      <c r="FS513" s="1098"/>
      <c r="FT513" s="1098"/>
      <c r="FU513" s="1098"/>
      <c r="FV513" s="1098"/>
      <c r="FW513" s="1098"/>
      <c r="FX513" s="1098"/>
      <c r="FY513" s="1098"/>
      <c r="FZ513" s="1098"/>
      <c r="GA513" s="1098"/>
      <c r="GB513" s="1098"/>
      <c r="GC513" s="1098"/>
      <c r="GD513" s="1098"/>
      <c r="GE513" s="1098"/>
      <c r="GF513" s="1098"/>
      <c r="GG513" s="1098"/>
      <c r="GH513" s="1098"/>
      <c r="GI513" s="1098"/>
      <c r="GJ513" s="1098"/>
      <c r="GK513" s="1098"/>
      <c r="GL513" s="1098"/>
      <c r="GM513" s="1098"/>
      <c r="GN513" s="1098"/>
      <c r="GO513" s="1098"/>
      <c r="GP513" s="1098"/>
      <c r="GQ513" s="1098"/>
      <c r="GR513" s="1098"/>
      <c r="GS513" s="1098"/>
      <c r="GT513" s="1098"/>
      <c r="GU513" s="1098"/>
      <c r="GV513" s="1098"/>
      <c r="GW513" s="1098"/>
      <c r="GX513" s="1098"/>
      <c r="GY513" s="1098"/>
      <c r="GZ513" s="1098"/>
      <c r="HA513" s="1098"/>
      <c r="HB513" s="1098"/>
      <c r="HC513" s="1098"/>
      <c r="HD513" s="1098"/>
      <c r="HE513" s="1098"/>
      <c r="HF513" s="1098"/>
      <c r="HG513" s="1098"/>
      <c r="HH513" s="1098"/>
      <c r="HI513" s="1098"/>
      <c r="HJ513" s="1098"/>
      <c r="HK513" s="1098"/>
      <c r="HL513" s="1098"/>
      <c r="HM513" s="1098"/>
      <c r="HN513" s="1098"/>
      <c r="HO513" s="1098"/>
      <c r="HP513" s="1098"/>
      <c r="HQ513" s="1098"/>
      <c r="HR513" s="1098"/>
      <c r="HS513" s="1098"/>
      <c r="HT513" s="1098"/>
      <c r="HU513" s="1098"/>
      <c r="HV513" s="1098"/>
      <c r="HW513" s="1098"/>
      <c r="HX513" s="1098"/>
      <c r="HY513" s="1098"/>
      <c r="HZ513" s="1098"/>
      <c r="IA513" s="1098"/>
      <c r="IB513" s="1098"/>
      <c r="IC513" s="1098"/>
      <c r="ID513" s="1098"/>
      <c r="IE513" s="1098"/>
      <c r="IF513" s="1098"/>
      <c r="IG513" s="1098"/>
      <c r="IH513" s="1098"/>
      <c r="II513" s="1098"/>
      <c r="IJ513" s="1098"/>
      <c r="IK513" s="1098"/>
      <c r="IL513" s="1098"/>
      <c r="IM513" s="1098"/>
      <c r="IN513" s="1098"/>
      <c r="IO513" s="1098"/>
      <c r="IP513" s="1098"/>
      <c r="IQ513" s="1098"/>
      <c r="IR513" s="1098"/>
      <c r="IS513" s="1098"/>
      <c r="IT513" s="1098"/>
      <c r="IU513" s="1098"/>
      <c r="IV513" s="1098"/>
      <c r="IW513" s="1098"/>
      <c r="IX513" s="1098"/>
      <c r="IY513" s="1098"/>
      <c r="IZ513" s="1098"/>
      <c r="JA513" s="1098"/>
      <c r="JB513" s="1098"/>
      <c r="JC513" s="1098"/>
      <c r="JD513" s="1098"/>
      <c r="JE513" s="1098"/>
      <c r="JF513" s="1098"/>
      <c r="JG513" s="1098"/>
      <c r="JH513" s="1098"/>
      <c r="JI513" s="1098"/>
      <c r="JJ513" s="1098"/>
      <c r="JK513" s="1098"/>
      <c r="JL513" s="1098"/>
      <c r="JM513" s="1098"/>
      <c r="JN513" s="1098"/>
      <c r="JO513" s="1098"/>
      <c r="JP513" s="1098"/>
      <c r="JQ513" s="1098"/>
      <c r="JR513" s="1098"/>
      <c r="JS513" s="1098"/>
      <c r="JT513" s="1098"/>
      <c r="JU513" s="1098"/>
      <c r="JV513" s="1098"/>
      <c r="JW513" s="1098"/>
      <c r="JX513" s="1098"/>
      <c r="JY513" s="1098"/>
      <c r="JZ513" s="1098"/>
      <c r="KA513" s="1098"/>
      <c r="KB513" s="1099"/>
    </row>
    <row r="514" spans="1:288" ht="15" customHeight="1" x14ac:dyDescent="0.35">
      <c r="B514" s="146" t="str">
        <f t="shared" si="38"/>
        <v>Desk 90</v>
      </c>
      <c r="C514" s="148" t="str">
        <v/>
      </c>
      <c r="D514" s="148" t="str">
        <v/>
      </c>
      <c r="E514" s="148" t="str">
        <v/>
      </c>
      <c r="F514" s="148" t="str">
        <v/>
      </c>
      <c r="G514" s="268" t="str">
        <v/>
      </c>
      <c r="H514" s="1098"/>
      <c r="I514" s="1098"/>
      <c r="J514" s="1098"/>
      <c r="K514" s="1098"/>
      <c r="L514" s="1098"/>
      <c r="M514" s="1098"/>
      <c r="N514" s="1098"/>
      <c r="O514" s="1098"/>
      <c r="P514" s="1098"/>
      <c r="Q514" s="1098"/>
      <c r="R514" s="1098"/>
      <c r="S514" s="1098"/>
      <c r="T514" s="1098"/>
      <c r="U514" s="1098"/>
      <c r="V514" s="1098"/>
      <c r="W514" s="1098"/>
      <c r="X514" s="1098"/>
      <c r="Y514" s="1098"/>
      <c r="Z514" s="1098"/>
      <c r="AA514" s="1098"/>
      <c r="AB514" s="1098"/>
      <c r="AC514" s="1098"/>
      <c r="AD514" s="1098"/>
      <c r="AE514" s="1098"/>
      <c r="AF514" s="1098"/>
      <c r="AG514" s="1098"/>
      <c r="AH514" s="1098"/>
      <c r="AI514" s="1098"/>
      <c r="AJ514" s="1098"/>
      <c r="AK514" s="1098"/>
      <c r="AL514" s="1098"/>
      <c r="AM514" s="1098"/>
      <c r="AN514" s="1098"/>
      <c r="AO514" s="1098"/>
      <c r="AP514" s="1098"/>
      <c r="AQ514" s="1098"/>
      <c r="AR514" s="1098"/>
      <c r="AS514" s="1098"/>
      <c r="AT514" s="1098"/>
      <c r="AU514" s="1098"/>
      <c r="AV514" s="1098"/>
      <c r="AW514" s="1098"/>
      <c r="AX514" s="1098"/>
      <c r="AY514" s="1098"/>
      <c r="AZ514" s="1098"/>
      <c r="BA514" s="1098"/>
      <c r="BB514" s="1098"/>
      <c r="BC514" s="1098"/>
      <c r="BD514" s="1098"/>
      <c r="BE514" s="1098"/>
      <c r="BF514" s="1098"/>
      <c r="BG514" s="1098"/>
      <c r="BH514" s="1098"/>
      <c r="BI514" s="1098"/>
      <c r="BJ514" s="1098"/>
      <c r="BK514" s="1098"/>
      <c r="BL514" s="1098"/>
      <c r="BM514" s="1098"/>
      <c r="BN514" s="1098"/>
      <c r="BO514" s="1098"/>
      <c r="BP514" s="1098"/>
      <c r="BQ514" s="1098"/>
      <c r="BR514" s="1098"/>
      <c r="BS514" s="1098"/>
      <c r="BT514" s="1098"/>
      <c r="BU514" s="1098"/>
      <c r="BV514" s="1098"/>
      <c r="BW514" s="1098"/>
      <c r="BX514" s="1098"/>
      <c r="BY514" s="1098"/>
      <c r="BZ514" s="1098"/>
      <c r="CA514" s="1098"/>
      <c r="CB514" s="1098"/>
      <c r="CC514" s="1098"/>
      <c r="CD514" s="1098"/>
      <c r="CE514" s="1098"/>
      <c r="CF514" s="1098"/>
      <c r="CG514" s="1098"/>
      <c r="CH514" s="1098"/>
      <c r="CI514" s="1098"/>
      <c r="CJ514" s="1098"/>
      <c r="CK514" s="1098"/>
      <c r="CL514" s="1098"/>
      <c r="CM514" s="1098"/>
      <c r="CN514" s="1098"/>
      <c r="CO514" s="1098"/>
      <c r="CP514" s="1098"/>
      <c r="CQ514" s="1098"/>
      <c r="CR514" s="1098"/>
      <c r="CS514" s="1098"/>
      <c r="CT514" s="1098"/>
      <c r="CU514" s="1098"/>
      <c r="CV514" s="1098"/>
      <c r="CW514" s="1098"/>
      <c r="CX514" s="1098"/>
      <c r="CY514" s="1098"/>
      <c r="CZ514" s="1098"/>
      <c r="DA514" s="1098"/>
      <c r="DB514" s="1098"/>
      <c r="DC514" s="1098"/>
      <c r="DD514" s="1098"/>
      <c r="DE514" s="1098"/>
      <c r="DF514" s="1098"/>
      <c r="DG514" s="1098"/>
      <c r="DH514" s="1098"/>
      <c r="DI514" s="1098"/>
      <c r="DJ514" s="1098"/>
      <c r="DK514" s="1098"/>
      <c r="DL514" s="1098"/>
      <c r="DM514" s="1098"/>
      <c r="DN514" s="1098"/>
      <c r="DO514" s="1098"/>
      <c r="DP514" s="1098"/>
      <c r="DQ514" s="1098"/>
      <c r="DR514" s="1098"/>
      <c r="DS514" s="1098"/>
      <c r="DT514" s="1098"/>
      <c r="DU514" s="1098"/>
      <c r="DV514" s="1098"/>
      <c r="DW514" s="1098"/>
      <c r="DX514" s="1098"/>
      <c r="DY514" s="1098"/>
      <c r="DZ514" s="1098"/>
      <c r="EA514" s="1098"/>
      <c r="EB514" s="1098"/>
      <c r="EC514" s="1098"/>
      <c r="ED514" s="1098"/>
      <c r="EE514" s="1098"/>
      <c r="EF514" s="1098"/>
      <c r="EG514" s="1098"/>
      <c r="EH514" s="1098"/>
      <c r="EI514" s="1098"/>
      <c r="EJ514" s="1098"/>
      <c r="EK514" s="1098"/>
      <c r="EL514" s="1098"/>
      <c r="EM514" s="1098"/>
      <c r="EN514" s="1098"/>
      <c r="EO514" s="1098"/>
      <c r="EP514" s="1098"/>
      <c r="EQ514" s="1098"/>
      <c r="ER514" s="1098"/>
      <c r="ES514" s="1098"/>
      <c r="ET514" s="1098"/>
      <c r="EU514" s="1098"/>
      <c r="EV514" s="1098"/>
      <c r="EW514" s="1098"/>
      <c r="EX514" s="1098"/>
      <c r="EY514" s="1098"/>
      <c r="EZ514" s="1098"/>
      <c r="FA514" s="1098"/>
      <c r="FB514" s="1098"/>
      <c r="FC514" s="1098"/>
      <c r="FD514" s="1098"/>
      <c r="FE514" s="1098"/>
      <c r="FF514" s="1098"/>
      <c r="FG514" s="1098"/>
      <c r="FH514" s="1098"/>
      <c r="FI514" s="1098"/>
      <c r="FJ514" s="1098"/>
      <c r="FK514" s="1098"/>
      <c r="FL514" s="1098"/>
      <c r="FM514" s="1098"/>
      <c r="FN514" s="1098"/>
      <c r="FO514" s="1098"/>
      <c r="FP514" s="1098"/>
      <c r="FQ514" s="1098"/>
      <c r="FR514" s="1098"/>
      <c r="FS514" s="1098"/>
      <c r="FT514" s="1098"/>
      <c r="FU514" s="1098"/>
      <c r="FV514" s="1098"/>
      <c r="FW514" s="1098"/>
      <c r="FX514" s="1098"/>
      <c r="FY514" s="1098"/>
      <c r="FZ514" s="1098"/>
      <c r="GA514" s="1098"/>
      <c r="GB514" s="1098"/>
      <c r="GC514" s="1098"/>
      <c r="GD514" s="1098"/>
      <c r="GE514" s="1098"/>
      <c r="GF514" s="1098"/>
      <c r="GG514" s="1098"/>
      <c r="GH514" s="1098"/>
      <c r="GI514" s="1098"/>
      <c r="GJ514" s="1098"/>
      <c r="GK514" s="1098"/>
      <c r="GL514" s="1098"/>
      <c r="GM514" s="1098"/>
      <c r="GN514" s="1098"/>
      <c r="GO514" s="1098"/>
      <c r="GP514" s="1098"/>
      <c r="GQ514" s="1098"/>
      <c r="GR514" s="1098"/>
      <c r="GS514" s="1098"/>
      <c r="GT514" s="1098"/>
      <c r="GU514" s="1098"/>
      <c r="GV514" s="1098"/>
      <c r="GW514" s="1098"/>
      <c r="GX514" s="1098"/>
      <c r="GY514" s="1098"/>
      <c r="GZ514" s="1098"/>
      <c r="HA514" s="1098"/>
      <c r="HB514" s="1098"/>
      <c r="HC514" s="1098"/>
      <c r="HD514" s="1098"/>
      <c r="HE514" s="1098"/>
      <c r="HF514" s="1098"/>
      <c r="HG514" s="1098"/>
      <c r="HH514" s="1098"/>
      <c r="HI514" s="1098"/>
      <c r="HJ514" s="1098"/>
      <c r="HK514" s="1098"/>
      <c r="HL514" s="1098"/>
      <c r="HM514" s="1098"/>
      <c r="HN514" s="1098"/>
      <c r="HO514" s="1098"/>
      <c r="HP514" s="1098"/>
      <c r="HQ514" s="1098"/>
      <c r="HR514" s="1098"/>
      <c r="HS514" s="1098"/>
      <c r="HT514" s="1098"/>
      <c r="HU514" s="1098"/>
      <c r="HV514" s="1098"/>
      <c r="HW514" s="1098"/>
      <c r="HX514" s="1098"/>
      <c r="HY514" s="1098"/>
      <c r="HZ514" s="1098"/>
      <c r="IA514" s="1098"/>
      <c r="IB514" s="1098"/>
      <c r="IC514" s="1098"/>
      <c r="ID514" s="1098"/>
      <c r="IE514" s="1098"/>
      <c r="IF514" s="1098"/>
      <c r="IG514" s="1098"/>
      <c r="IH514" s="1098"/>
      <c r="II514" s="1098"/>
      <c r="IJ514" s="1098"/>
      <c r="IK514" s="1098"/>
      <c r="IL514" s="1098"/>
      <c r="IM514" s="1098"/>
      <c r="IN514" s="1098"/>
      <c r="IO514" s="1098"/>
      <c r="IP514" s="1098"/>
      <c r="IQ514" s="1098"/>
      <c r="IR514" s="1098"/>
      <c r="IS514" s="1098"/>
      <c r="IT514" s="1098"/>
      <c r="IU514" s="1098"/>
      <c r="IV514" s="1098"/>
      <c r="IW514" s="1098"/>
      <c r="IX514" s="1098"/>
      <c r="IY514" s="1098"/>
      <c r="IZ514" s="1098"/>
      <c r="JA514" s="1098"/>
      <c r="JB514" s="1098"/>
      <c r="JC514" s="1098"/>
      <c r="JD514" s="1098"/>
      <c r="JE514" s="1098"/>
      <c r="JF514" s="1098"/>
      <c r="JG514" s="1098"/>
      <c r="JH514" s="1098"/>
      <c r="JI514" s="1098"/>
      <c r="JJ514" s="1098"/>
      <c r="JK514" s="1098"/>
      <c r="JL514" s="1098"/>
      <c r="JM514" s="1098"/>
      <c r="JN514" s="1098"/>
      <c r="JO514" s="1098"/>
      <c r="JP514" s="1098"/>
      <c r="JQ514" s="1098"/>
      <c r="JR514" s="1098"/>
      <c r="JS514" s="1098"/>
      <c r="JT514" s="1098"/>
      <c r="JU514" s="1098"/>
      <c r="JV514" s="1098"/>
      <c r="JW514" s="1098"/>
      <c r="JX514" s="1098"/>
      <c r="JY514" s="1098"/>
      <c r="JZ514" s="1098"/>
      <c r="KA514" s="1098"/>
      <c r="KB514" s="1099"/>
    </row>
    <row r="515" spans="1:288" ht="15" customHeight="1" x14ac:dyDescent="0.35">
      <c r="B515" s="146" t="str">
        <f t="shared" si="38"/>
        <v>Desk 91</v>
      </c>
      <c r="C515" s="148" t="str">
        <v/>
      </c>
      <c r="D515" s="148" t="str">
        <v/>
      </c>
      <c r="E515" s="148" t="str">
        <v/>
      </c>
      <c r="F515" s="148" t="str">
        <v/>
      </c>
      <c r="G515" s="268" t="str">
        <v/>
      </c>
      <c r="H515" s="1098"/>
      <c r="I515" s="1098"/>
      <c r="J515" s="1098"/>
      <c r="K515" s="1098"/>
      <c r="L515" s="1098"/>
      <c r="M515" s="1098"/>
      <c r="N515" s="1098"/>
      <c r="O515" s="1098"/>
      <c r="P515" s="1098"/>
      <c r="Q515" s="1098"/>
      <c r="R515" s="1098"/>
      <c r="S515" s="1098"/>
      <c r="T515" s="1098"/>
      <c r="U515" s="1098"/>
      <c r="V515" s="1098"/>
      <c r="W515" s="1098"/>
      <c r="X515" s="1098"/>
      <c r="Y515" s="1098"/>
      <c r="Z515" s="1098"/>
      <c r="AA515" s="1098"/>
      <c r="AB515" s="1098"/>
      <c r="AC515" s="1098"/>
      <c r="AD515" s="1098"/>
      <c r="AE515" s="1098"/>
      <c r="AF515" s="1098"/>
      <c r="AG515" s="1098"/>
      <c r="AH515" s="1098"/>
      <c r="AI515" s="1098"/>
      <c r="AJ515" s="1098"/>
      <c r="AK515" s="1098"/>
      <c r="AL515" s="1098"/>
      <c r="AM515" s="1098"/>
      <c r="AN515" s="1098"/>
      <c r="AO515" s="1098"/>
      <c r="AP515" s="1098"/>
      <c r="AQ515" s="1098"/>
      <c r="AR515" s="1098"/>
      <c r="AS515" s="1098"/>
      <c r="AT515" s="1098"/>
      <c r="AU515" s="1098"/>
      <c r="AV515" s="1098"/>
      <c r="AW515" s="1098"/>
      <c r="AX515" s="1098"/>
      <c r="AY515" s="1098"/>
      <c r="AZ515" s="1098"/>
      <c r="BA515" s="1098"/>
      <c r="BB515" s="1098"/>
      <c r="BC515" s="1098"/>
      <c r="BD515" s="1098"/>
      <c r="BE515" s="1098"/>
      <c r="BF515" s="1098"/>
      <c r="BG515" s="1098"/>
      <c r="BH515" s="1098"/>
      <c r="BI515" s="1098"/>
      <c r="BJ515" s="1098"/>
      <c r="BK515" s="1098"/>
      <c r="BL515" s="1098"/>
      <c r="BM515" s="1098"/>
      <c r="BN515" s="1098"/>
      <c r="BO515" s="1098"/>
      <c r="BP515" s="1098"/>
      <c r="BQ515" s="1098"/>
      <c r="BR515" s="1098"/>
      <c r="BS515" s="1098"/>
      <c r="BT515" s="1098"/>
      <c r="BU515" s="1098"/>
      <c r="BV515" s="1098"/>
      <c r="BW515" s="1098"/>
      <c r="BX515" s="1098"/>
      <c r="BY515" s="1098"/>
      <c r="BZ515" s="1098"/>
      <c r="CA515" s="1098"/>
      <c r="CB515" s="1098"/>
      <c r="CC515" s="1098"/>
      <c r="CD515" s="1098"/>
      <c r="CE515" s="1098"/>
      <c r="CF515" s="1098"/>
      <c r="CG515" s="1098"/>
      <c r="CH515" s="1098"/>
      <c r="CI515" s="1098"/>
      <c r="CJ515" s="1098"/>
      <c r="CK515" s="1098"/>
      <c r="CL515" s="1098"/>
      <c r="CM515" s="1098"/>
      <c r="CN515" s="1098"/>
      <c r="CO515" s="1098"/>
      <c r="CP515" s="1098"/>
      <c r="CQ515" s="1098"/>
      <c r="CR515" s="1098"/>
      <c r="CS515" s="1098"/>
      <c r="CT515" s="1098"/>
      <c r="CU515" s="1098"/>
      <c r="CV515" s="1098"/>
      <c r="CW515" s="1098"/>
      <c r="CX515" s="1098"/>
      <c r="CY515" s="1098"/>
      <c r="CZ515" s="1098"/>
      <c r="DA515" s="1098"/>
      <c r="DB515" s="1098"/>
      <c r="DC515" s="1098"/>
      <c r="DD515" s="1098"/>
      <c r="DE515" s="1098"/>
      <c r="DF515" s="1098"/>
      <c r="DG515" s="1098"/>
      <c r="DH515" s="1098"/>
      <c r="DI515" s="1098"/>
      <c r="DJ515" s="1098"/>
      <c r="DK515" s="1098"/>
      <c r="DL515" s="1098"/>
      <c r="DM515" s="1098"/>
      <c r="DN515" s="1098"/>
      <c r="DO515" s="1098"/>
      <c r="DP515" s="1098"/>
      <c r="DQ515" s="1098"/>
      <c r="DR515" s="1098"/>
      <c r="DS515" s="1098"/>
      <c r="DT515" s="1098"/>
      <c r="DU515" s="1098"/>
      <c r="DV515" s="1098"/>
      <c r="DW515" s="1098"/>
      <c r="DX515" s="1098"/>
      <c r="DY515" s="1098"/>
      <c r="DZ515" s="1098"/>
      <c r="EA515" s="1098"/>
      <c r="EB515" s="1098"/>
      <c r="EC515" s="1098"/>
      <c r="ED515" s="1098"/>
      <c r="EE515" s="1098"/>
      <c r="EF515" s="1098"/>
      <c r="EG515" s="1098"/>
      <c r="EH515" s="1098"/>
      <c r="EI515" s="1098"/>
      <c r="EJ515" s="1098"/>
      <c r="EK515" s="1098"/>
      <c r="EL515" s="1098"/>
      <c r="EM515" s="1098"/>
      <c r="EN515" s="1098"/>
      <c r="EO515" s="1098"/>
      <c r="EP515" s="1098"/>
      <c r="EQ515" s="1098"/>
      <c r="ER515" s="1098"/>
      <c r="ES515" s="1098"/>
      <c r="ET515" s="1098"/>
      <c r="EU515" s="1098"/>
      <c r="EV515" s="1098"/>
      <c r="EW515" s="1098"/>
      <c r="EX515" s="1098"/>
      <c r="EY515" s="1098"/>
      <c r="EZ515" s="1098"/>
      <c r="FA515" s="1098"/>
      <c r="FB515" s="1098"/>
      <c r="FC515" s="1098"/>
      <c r="FD515" s="1098"/>
      <c r="FE515" s="1098"/>
      <c r="FF515" s="1098"/>
      <c r="FG515" s="1098"/>
      <c r="FH515" s="1098"/>
      <c r="FI515" s="1098"/>
      <c r="FJ515" s="1098"/>
      <c r="FK515" s="1098"/>
      <c r="FL515" s="1098"/>
      <c r="FM515" s="1098"/>
      <c r="FN515" s="1098"/>
      <c r="FO515" s="1098"/>
      <c r="FP515" s="1098"/>
      <c r="FQ515" s="1098"/>
      <c r="FR515" s="1098"/>
      <c r="FS515" s="1098"/>
      <c r="FT515" s="1098"/>
      <c r="FU515" s="1098"/>
      <c r="FV515" s="1098"/>
      <c r="FW515" s="1098"/>
      <c r="FX515" s="1098"/>
      <c r="FY515" s="1098"/>
      <c r="FZ515" s="1098"/>
      <c r="GA515" s="1098"/>
      <c r="GB515" s="1098"/>
      <c r="GC515" s="1098"/>
      <c r="GD515" s="1098"/>
      <c r="GE515" s="1098"/>
      <c r="GF515" s="1098"/>
      <c r="GG515" s="1098"/>
      <c r="GH515" s="1098"/>
      <c r="GI515" s="1098"/>
      <c r="GJ515" s="1098"/>
      <c r="GK515" s="1098"/>
      <c r="GL515" s="1098"/>
      <c r="GM515" s="1098"/>
      <c r="GN515" s="1098"/>
      <c r="GO515" s="1098"/>
      <c r="GP515" s="1098"/>
      <c r="GQ515" s="1098"/>
      <c r="GR515" s="1098"/>
      <c r="GS515" s="1098"/>
      <c r="GT515" s="1098"/>
      <c r="GU515" s="1098"/>
      <c r="GV515" s="1098"/>
      <c r="GW515" s="1098"/>
      <c r="GX515" s="1098"/>
      <c r="GY515" s="1098"/>
      <c r="GZ515" s="1098"/>
      <c r="HA515" s="1098"/>
      <c r="HB515" s="1098"/>
      <c r="HC515" s="1098"/>
      <c r="HD515" s="1098"/>
      <c r="HE515" s="1098"/>
      <c r="HF515" s="1098"/>
      <c r="HG515" s="1098"/>
      <c r="HH515" s="1098"/>
      <c r="HI515" s="1098"/>
      <c r="HJ515" s="1098"/>
      <c r="HK515" s="1098"/>
      <c r="HL515" s="1098"/>
      <c r="HM515" s="1098"/>
      <c r="HN515" s="1098"/>
      <c r="HO515" s="1098"/>
      <c r="HP515" s="1098"/>
      <c r="HQ515" s="1098"/>
      <c r="HR515" s="1098"/>
      <c r="HS515" s="1098"/>
      <c r="HT515" s="1098"/>
      <c r="HU515" s="1098"/>
      <c r="HV515" s="1098"/>
      <c r="HW515" s="1098"/>
      <c r="HX515" s="1098"/>
      <c r="HY515" s="1098"/>
      <c r="HZ515" s="1098"/>
      <c r="IA515" s="1098"/>
      <c r="IB515" s="1098"/>
      <c r="IC515" s="1098"/>
      <c r="ID515" s="1098"/>
      <c r="IE515" s="1098"/>
      <c r="IF515" s="1098"/>
      <c r="IG515" s="1098"/>
      <c r="IH515" s="1098"/>
      <c r="II515" s="1098"/>
      <c r="IJ515" s="1098"/>
      <c r="IK515" s="1098"/>
      <c r="IL515" s="1098"/>
      <c r="IM515" s="1098"/>
      <c r="IN515" s="1098"/>
      <c r="IO515" s="1098"/>
      <c r="IP515" s="1098"/>
      <c r="IQ515" s="1098"/>
      <c r="IR515" s="1098"/>
      <c r="IS515" s="1098"/>
      <c r="IT515" s="1098"/>
      <c r="IU515" s="1098"/>
      <c r="IV515" s="1098"/>
      <c r="IW515" s="1098"/>
      <c r="IX515" s="1098"/>
      <c r="IY515" s="1098"/>
      <c r="IZ515" s="1098"/>
      <c r="JA515" s="1098"/>
      <c r="JB515" s="1098"/>
      <c r="JC515" s="1098"/>
      <c r="JD515" s="1098"/>
      <c r="JE515" s="1098"/>
      <c r="JF515" s="1098"/>
      <c r="JG515" s="1098"/>
      <c r="JH515" s="1098"/>
      <c r="JI515" s="1098"/>
      <c r="JJ515" s="1098"/>
      <c r="JK515" s="1098"/>
      <c r="JL515" s="1098"/>
      <c r="JM515" s="1098"/>
      <c r="JN515" s="1098"/>
      <c r="JO515" s="1098"/>
      <c r="JP515" s="1098"/>
      <c r="JQ515" s="1098"/>
      <c r="JR515" s="1098"/>
      <c r="JS515" s="1098"/>
      <c r="JT515" s="1098"/>
      <c r="JU515" s="1098"/>
      <c r="JV515" s="1098"/>
      <c r="JW515" s="1098"/>
      <c r="JX515" s="1098"/>
      <c r="JY515" s="1098"/>
      <c r="JZ515" s="1098"/>
      <c r="KA515" s="1098"/>
      <c r="KB515" s="1099"/>
    </row>
    <row r="516" spans="1:288" ht="15" customHeight="1" x14ac:dyDescent="0.35">
      <c r="B516" s="146" t="str">
        <f t="shared" si="38"/>
        <v>Desk 92</v>
      </c>
      <c r="C516" s="148" t="str">
        <v/>
      </c>
      <c r="D516" s="148" t="str">
        <v/>
      </c>
      <c r="E516" s="148" t="str">
        <v/>
      </c>
      <c r="F516" s="148" t="str">
        <v/>
      </c>
      <c r="G516" s="268" t="str">
        <v/>
      </c>
      <c r="H516" s="1098"/>
      <c r="I516" s="1098"/>
      <c r="J516" s="1098"/>
      <c r="K516" s="1098"/>
      <c r="L516" s="1098"/>
      <c r="M516" s="1098"/>
      <c r="N516" s="1098"/>
      <c r="O516" s="1098"/>
      <c r="P516" s="1098"/>
      <c r="Q516" s="1098"/>
      <c r="R516" s="1098"/>
      <c r="S516" s="1098"/>
      <c r="T516" s="1098"/>
      <c r="U516" s="1098"/>
      <c r="V516" s="1098"/>
      <c r="W516" s="1098"/>
      <c r="X516" s="1098"/>
      <c r="Y516" s="1098"/>
      <c r="Z516" s="1098"/>
      <c r="AA516" s="1098"/>
      <c r="AB516" s="1098"/>
      <c r="AC516" s="1098"/>
      <c r="AD516" s="1098"/>
      <c r="AE516" s="1098"/>
      <c r="AF516" s="1098"/>
      <c r="AG516" s="1098"/>
      <c r="AH516" s="1098"/>
      <c r="AI516" s="1098"/>
      <c r="AJ516" s="1098"/>
      <c r="AK516" s="1098"/>
      <c r="AL516" s="1098"/>
      <c r="AM516" s="1098"/>
      <c r="AN516" s="1098"/>
      <c r="AO516" s="1098"/>
      <c r="AP516" s="1098"/>
      <c r="AQ516" s="1098"/>
      <c r="AR516" s="1098"/>
      <c r="AS516" s="1098"/>
      <c r="AT516" s="1098"/>
      <c r="AU516" s="1098"/>
      <c r="AV516" s="1098"/>
      <c r="AW516" s="1098"/>
      <c r="AX516" s="1098"/>
      <c r="AY516" s="1098"/>
      <c r="AZ516" s="1098"/>
      <c r="BA516" s="1098"/>
      <c r="BB516" s="1098"/>
      <c r="BC516" s="1098"/>
      <c r="BD516" s="1098"/>
      <c r="BE516" s="1098"/>
      <c r="BF516" s="1098"/>
      <c r="BG516" s="1098"/>
      <c r="BH516" s="1098"/>
      <c r="BI516" s="1098"/>
      <c r="BJ516" s="1098"/>
      <c r="BK516" s="1098"/>
      <c r="BL516" s="1098"/>
      <c r="BM516" s="1098"/>
      <c r="BN516" s="1098"/>
      <c r="BO516" s="1098"/>
      <c r="BP516" s="1098"/>
      <c r="BQ516" s="1098"/>
      <c r="BR516" s="1098"/>
      <c r="BS516" s="1098"/>
      <c r="BT516" s="1098"/>
      <c r="BU516" s="1098"/>
      <c r="BV516" s="1098"/>
      <c r="BW516" s="1098"/>
      <c r="BX516" s="1098"/>
      <c r="BY516" s="1098"/>
      <c r="BZ516" s="1098"/>
      <c r="CA516" s="1098"/>
      <c r="CB516" s="1098"/>
      <c r="CC516" s="1098"/>
      <c r="CD516" s="1098"/>
      <c r="CE516" s="1098"/>
      <c r="CF516" s="1098"/>
      <c r="CG516" s="1098"/>
      <c r="CH516" s="1098"/>
      <c r="CI516" s="1098"/>
      <c r="CJ516" s="1098"/>
      <c r="CK516" s="1098"/>
      <c r="CL516" s="1098"/>
      <c r="CM516" s="1098"/>
      <c r="CN516" s="1098"/>
      <c r="CO516" s="1098"/>
      <c r="CP516" s="1098"/>
      <c r="CQ516" s="1098"/>
      <c r="CR516" s="1098"/>
      <c r="CS516" s="1098"/>
      <c r="CT516" s="1098"/>
      <c r="CU516" s="1098"/>
      <c r="CV516" s="1098"/>
      <c r="CW516" s="1098"/>
      <c r="CX516" s="1098"/>
      <c r="CY516" s="1098"/>
      <c r="CZ516" s="1098"/>
      <c r="DA516" s="1098"/>
      <c r="DB516" s="1098"/>
      <c r="DC516" s="1098"/>
      <c r="DD516" s="1098"/>
      <c r="DE516" s="1098"/>
      <c r="DF516" s="1098"/>
      <c r="DG516" s="1098"/>
      <c r="DH516" s="1098"/>
      <c r="DI516" s="1098"/>
      <c r="DJ516" s="1098"/>
      <c r="DK516" s="1098"/>
      <c r="DL516" s="1098"/>
      <c r="DM516" s="1098"/>
      <c r="DN516" s="1098"/>
      <c r="DO516" s="1098"/>
      <c r="DP516" s="1098"/>
      <c r="DQ516" s="1098"/>
      <c r="DR516" s="1098"/>
      <c r="DS516" s="1098"/>
      <c r="DT516" s="1098"/>
      <c r="DU516" s="1098"/>
      <c r="DV516" s="1098"/>
      <c r="DW516" s="1098"/>
      <c r="DX516" s="1098"/>
      <c r="DY516" s="1098"/>
      <c r="DZ516" s="1098"/>
      <c r="EA516" s="1098"/>
      <c r="EB516" s="1098"/>
      <c r="EC516" s="1098"/>
      <c r="ED516" s="1098"/>
      <c r="EE516" s="1098"/>
      <c r="EF516" s="1098"/>
      <c r="EG516" s="1098"/>
      <c r="EH516" s="1098"/>
      <c r="EI516" s="1098"/>
      <c r="EJ516" s="1098"/>
      <c r="EK516" s="1098"/>
      <c r="EL516" s="1098"/>
      <c r="EM516" s="1098"/>
      <c r="EN516" s="1098"/>
      <c r="EO516" s="1098"/>
      <c r="EP516" s="1098"/>
      <c r="EQ516" s="1098"/>
      <c r="ER516" s="1098"/>
      <c r="ES516" s="1098"/>
      <c r="ET516" s="1098"/>
      <c r="EU516" s="1098"/>
      <c r="EV516" s="1098"/>
      <c r="EW516" s="1098"/>
      <c r="EX516" s="1098"/>
      <c r="EY516" s="1098"/>
      <c r="EZ516" s="1098"/>
      <c r="FA516" s="1098"/>
      <c r="FB516" s="1098"/>
      <c r="FC516" s="1098"/>
      <c r="FD516" s="1098"/>
      <c r="FE516" s="1098"/>
      <c r="FF516" s="1098"/>
      <c r="FG516" s="1098"/>
      <c r="FH516" s="1098"/>
      <c r="FI516" s="1098"/>
      <c r="FJ516" s="1098"/>
      <c r="FK516" s="1098"/>
      <c r="FL516" s="1098"/>
      <c r="FM516" s="1098"/>
      <c r="FN516" s="1098"/>
      <c r="FO516" s="1098"/>
      <c r="FP516" s="1098"/>
      <c r="FQ516" s="1098"/>
      <c r="FR516" s="1098"/>
      <c r="FS516" s="1098"/>
      <c r="FT516" s="1098"/>
      <c r="FU516" s="1098"/>
      <c r="FV516" s="1098"/>
      <c r="FW516" s="1098"/>
      <c r="FX516" s="1098"/>
      <c r="FY516" s="1098"/>
      <c r="FZ516" s="1098"/>
      <c r="GA516" s="1098"/>
      <c r="GB516" s="1098"/>
      <c r="GC516" s="1098"/>
      <c r="GD516" s="1098"/>
      <c r="GE516" s="1098"/>
      <c r="GF516" s="1098"/>
      <c r="GG516" s="1098"/>
      <c r="GH516" s="1098"/>
      <c r="GI516" s="1098"/>
      <c r="GJ516" s="1098"/>
      <c r="GK516" s="1098"/>
      <c r="GL516" s="1098"/>
      <c r="GM516" s="1098"/>
      <c r="GN516" s="1098"/>
      <c r="GO516" s="1098"/>
      <c r="GP516" s="1098"/>
      <c r="GQ516" s="1098"/>
      <c r="GR516" s="1098"/>
      <c r="GS516" s="1098"/>
      <c r="GT516" s="1098"/>
      <c r="GU516" s="1098"/>
      <c r="GV516" s="1098"/>
      <c r="GW516" s="1098"/>
      <c r="GX516" s="1098"/>
      <c r="GY516" s="1098"/>
      <c r="GZ516" s="1098"/>
      <c r="HA516" s="1098"/>
      <c r="HB516" s="1098"/>
      <c r="HC516" s="1098"/>
      <c r="HD516" s="1098"/>
      <c r="HE516" s="1098"/>
      <c r="HF516" s="1098"/>
      <c r="HG516" s="1098"/>
      <c r="HH516" s="1098"/>
      <c r="HI516" s="1098"/>
      <c r="HJ516" s="1098"/>
      <c r="HK516" s="1098"/>
      <c r="HL516" s="1098"/>
      <c r="HM516" s="1098"/>
      <c r="HN516" s="1098"/>
      <c r="HO516" s="1098"/>
      <c r="HP516" s="1098"/>
      <c r="HQ516" s="1098"/>
      <c r="HR516" s="1098"/>
      <c r="HS516" s="1098"/>
      <c r="HT516" s="1098"/>
      <c r="HU516" s="1098"/>
      <c r="HV516" s="1098"/>
      <c r="HW516" s="1098"/>
      <c r="HX516" s="1098"/>
      <c r="HY516" s="1098"/>
      <c r="HZ516" s="1098"/>
      <c r="IA516" s="1098"/>
      <c r="IB516" s="1098"/>
      <c r="IC516" s="1098"/>
      <c r="ID516" s="1098"/>
      <c r="IE516" s="1098"/>
      <c r="IF516" s="1098"/>
      <c r="IG516" s="1098"/>
      <c r="IH516" s="1098"/>
      <c r="II516" s="1098"/>
      <c r="IJ516" s="1098"/>
      <c r="IK516" s="1098"/>
      <c r="IL516" s="1098"/>
      <c r="IM516" s="1098"/>
      <c r="IN516" s="1098"/>
      <c r="IO516" s="1098"/>
      <c r="IP516" s="1098"/>
      <c r="IQ516" s="1098"/>
      <c r="IR516" s="1098"/>
      <c r="IS516" s="1098"/>
      <c r="IT516" s="1098"/>
      <c r="IU516" s="1098"/>
      <c r="IV516" s="1098"/>
      <c r="IW516" s="1098"/>
      <c r="IX516" s="1098"/>
      <c r="IY516" s="1098"/>
      <c r="IZ516" s="1098"/>
      <c r="JA516" s="1098"/>
      <c r="JB516" s="1098"/>
      <c r="JC516" s="1098"/>
      <c r="JD516" s="1098"/>
      <c r="JE516" s="1098"/>
      <c r="JF516" s="1098"/>
      <c r="JG516" s="1098"/>
      <c r="JH516" s="1098"/>
      <c r="JI516" s="1098"/>
      <c r="JJ516" s="1098"/>
      <c r="JK516" s="1098"/>
      <c r="JL516" s="1098"/>
      <c r="JM516" s="1098"/>
      <c r="JN516" s="1098"/>
      <c r="JO516" s="1098"/>
      <c r="JP516" s="1098"/>
      <c r="JQ516" s="1098"/>
      <c r="JR516" s="1098"/>
      <c r="JS516" s="1098"/>
      <c r="JT516" s="1098"/>
      <c r="JU516" s="1098"/>
      <c r="JV516" s="1098"/>
      <c r="JW516" s="1098"/>
      <c r="JX516" s="1098"/>
      <c r="JY516" s="1098"/>
      <c r="JZ516" s="1098"/>
      <c r="KA516" s="1098"/>
      <c r="KB516" s="1099"/>
    </row>
    <row r="517" spans="1:288" ht="15" customHeight="1" x14ac:dyDescent="0.35">
      <c r="B517" s="146" t="str">
        <f t="shared" si="38"/>
        <v>Desk 93</v>
      </c>
      <c r="C517" s="148" t="str">
        <v/>
      </c>
      <c r="D517" s="148" t="str">
        <v/>
      </c>
      <c r="E517" s="148" t="str">
        <v/>
      </c>
      <c r="F517" s="148" t="str">
        <v/>
      </c>
      <c r="G517" s="268" t="str">
        <v/>
      </c>
      <c r="H517" s="1098"/>
      <c r="I517" s="1098"/>
      <c r="J517" s="1098"/>
      <c r="K517" s="1098"/>
      <c r="L517" s="1098"/>
      <c r="M517" s="1098"/>
      <c r="N517" s="1098"/>
      <c r="O517" s="1098"/>
      <c r="P517" s="1098"/>
      <c r="Q517" s="1098"/>
      <c r="R517" s="1098"/>
      <c r="S517" s="1098"/>
      <c r="T517" s="1098"/>
      <c r="U517" s="1098"/>
      <c r="V517" s="1098"/>
      <c r="W517" s="1098"/>
      <c r="X517" s="1098"/>
      <c r="Y517" s="1098"/>
      <c r="Z517" s="1098"/>
      <c r="AA517" s="1098"/>
      <c r="AB517" s="1098"/>
      <c r="AC517" s="1098"/>
      <c r="AD517" s="1098"/>
      <c r="AE517" s="1098"/>
      <c r="AF517" s="1098"/>
      <c r="AG517" s="1098"/>
      <c r="AH517" s="1098"/>
      <c r="AI517" s="1098"/>
      <c r="AJ517" s="1098"/>
      <c r="AK517" s="1098"/>
      <c r="AL517" s="1098"/>
      <c r="AM517" s="1098"/>
      <c r="AN517" s="1098"/>
      <c r="AO517" s="1098"/>
      <c r="AP517" s="1098"/>
      <c r="AQ517" s="1098"/>
      <c r="AR517" s="1098"/>
      <c r="AS517" s="1098"/>
      <c r="AT517" s="1098"/>
      <c r="AU517" s="1098"/>
      <c r="AV517" s="1098"/>
      <c r="AW517" s="1098"/>
      <c r="AX517" s="1098"/>
      <c r="AY517" s="1098"/>
      <c r="AZ517" s="1098"/>
      <c r="BA517" s="1098"/>
      <c r="BB517" s="1098"/>
      <c r="BC517" s="1098"/>
      <c r="BD517" s="1098"/>
      <c r="BE517" s="1098"/>
      <c r="BF517" s="1098"/>
      <c r="BG517" s="1098"/>
      <c r="BH517" s="1098"/>
      <c r="BI517" s="1098"/>
      <c r="BJ517" s="1098"/>
      <c r="BK517" s="1098"/>
      <c r="BL517" s="1098"/>
      <c r="BM517" s="1098"/>
      <c r="BN517" s="1098"/>
      <c r="BO517" s="1098"/>
      <c r="BP517" s="1098"/>
      <c r="BQ517" s="1098"/>
      <c r="BR517" s="1098"/>
      <c r="BS517" s="1098"/>
      <c r="BT517" s="1098"/>
      <c r="BU517" s="1098"/>
      <c r="BV517" s="1098"/>
      <c r="BW517" s="1098"/>
      <c r="BX517" s="1098"/>
      <c r="BY517" s="1098"/>
      <c r="BZ517" s="1098"/>
      <c r="CA517" s="1098"/>
      <c r="CB517" s="1098"/>
      <c r="CC517" s="1098"/>
      <c r="CD517" s="1098"/>
      <c r="CE517" s="1098"/>
      <c r="CF517" s="1098"/>
      <c r="CG517" s="1098"/>
      <c r="CH517" s="1098"/>
      <c r="CI517" s="1098"/>
      <c r="CJ517" s="1098"/>
      <c r="CK517" s="1098"/>
      <c r="CL517" s="1098"/>
      <c r="CM517" s="1098"/>
      <c r="CN517" s="1098"/>
      <c r="CO517" s="1098"/>
      <c r="CP517" s="1098"/>
      <c r="CQ517" s="1098"/>
      <c r="CR517" s="1098"/>
      <c r="CS517" s="1098"/>
      <c r="CT517" s="1098"/>
      <c r="CU517" s="1098"/>
      <c r="CV517" s="1098"/>
      <c r="CW517" s="1098"/>
      <c r="CX517" s="1098"/>
      <c r="CY517" s="1098"/>
      <c r="CZ517" s="1098"/>
      <c r="DA517" s="1098"/>
      <c r="DB517" s="1098"/>
      <c r="DC517" s="1098"/>
      <c r="DD517" s="1098"/>
      <c r="DE517" s="1098"/>
      <c r="DF517" s="1098"/>
      <c r="DG517" s="1098"/>
      <c r="DH517" s="1098"/>
      <c r="DI517" s="1098"/>
      <c r="DJ517" s="1098"/>
      <c r="DK517" s="1098"/>
      <c r="DL517" s="1098"/>
      <c r="DM517" s="1098"/>
      <c r="DN517" s="1098"/>
      <c r="DO517" s="1098"/>
      <c r="DP517" s="1098"/>
      <c r="DQ517" s="1098"/>
      <c r="DR517" s="1098"/>
      <c r="DS517" s="1098"/>
      <c r="DT517" s="1098"/>
      <c r="DU517" s="1098"/>
      <c r="DV517" s="1098"/>
      <c r="DW517" s="1098"/>
      <c r="DX517" s="1098"/>
      <c r="DY517" s="1098"/>
      <c r="DZ517" s="1098"/>
      <c r="EA517" s="1098"/>
      <c r="EB517" s="1098"/>
      <c r="EC517" s="1098"/>
      <c r="ED517" s="1098"/>
      <c r="EE517" s="1098"/>
      <c r="EF517" s="1098"/>
      <c r="EG517" s="1098"/>
      <c r="EH517" s="1098"/>
      <c r="EI517" s="1098"/>
      <c r="EJ517" s="1098"/>
      <c r="EK517" s="1098"/>
      <c r="EL517" s="1098"/>
      <c r="EM517" s="1098"/>
      <c r="EN517" s="1098"/>
      <c r="EO517" s="1098"/>
      <c r="EP517" s="1098"/>
      <c r="EQ517" s="1098"/>
      <c r="ER517" s="1098"/>
      <c r="ES517" s="1098"/>
      <c r="ET517" s="1098"/>
      <c r="EU517" s="1098"/>
      <c r="EV517" s="1098"/>
      <c r="EW517" s="1098"/>
      <c r="EX517" s="1098"/>
      <c r="EY517" s="1098"/>
      <c r="EZ517" s="1098"/>
      <c r="FA517" s="1098"/>
      <c r="FB517" s="1098"/>
      <c r="FC517" s="1098"/>
      <c r="FD517" s="1098"/>
      <c r="FE517" s="1098"/>
      <c r="FF517" s="1098"/>
      <c r="FG517" s="1098"/>
      <c r="FH517" s="1098"/>
      <c r="FI517" s="1098"/>
      <c r="FJ517" s="1098"/>
      <c r="FK517" s="1098"/>
      <c r="FL517" s="1098"/>
      <c r="FM517" s="1098"/>
      <c r="FN517" s="1098"/>
      <c r="FO517" s="1098"/>
      <c r="FP517" s="1098"/>
      <c r="FQ517" s="1098"/>
      <c r="FR517" s="1098"/>
      <c r="FS517" s="1098"/>
      <c r="FT517" s="1098"/>
      <c r="FU517" s="1098"/>
      <c r="FV517" s="1098"/>
      <c r="FW517" s="1098"/>
      <c r="FX517" s="1098"/>
      <c r="FY517" s="1098"/>
      <c r="FZ517" s="1098"/>
      <c r="GA517" s="1098"/>
      <c r="GB517" s="1098"/>
      <c r="GC517" s="1098"/>
      <c r="GD517" s="1098"/>
      <c r="GE517" s="1098"/>
      <c r="GF517" s="1098"/>
      <c r="GG517" s="1098"/>
      <c r="GH517" s="1098"/>
      <c r="GI517" s="1098"/>
      <c r="GJ517" s="1098"/>
      <c r="GK517" s="1098"/>
      <c r="GL517" s="1098"/>
      <c r="GM517" s="1098"/>
      <c r="GN517" s="1098"/>
      <c r="GO517" s="1098"/>
      <c r="GP517" s="1098"/>
      <c r="GQ517" s="1098"/>
      <c r="GR517" s="1098"/>
      <c r="GS517" s="1098"/>
      <c r="GT517" s="1098"/>
      <c r="GU517" s="1098"/>
      <c r="GV517" s="1098"/>
      <c r="GW517" s="1098"/>
      <c r="GX517" s="1098"/>
      <c r="GY517" s="1098"/>
      <c r="GZ517" s="1098"/>
      <c r="HA517" s="1098"/>
      <c r="HB517" s="1098"/>
      <c r="HC517" s="1098"/>
      <c r="HD517" s="1098"/>
      <c r="HE517" s="1098"/>
      <c r="HF517" s="1098"/>
      <c r="HG517" s="1098"/>
      <c r="HH517" s="1098"/>
      <c r="HI517" s="1098"/>
      <c r="HJ517" s="1098"/>
      <c r="HK517" s="1098"/>
      <c r="HL517" s="1098"/>
      <c r="HM517" s="1098"/>
      <c r="HN517" s="1098"/>
      <c r="HO517" s="1098"/>
      <c r="HP517" s="1098"/>
      <c r="HQ517" s="1098"/>
      <c r="HR517" s="1098"/>
      <c r="HS517" s="1098"/>
      <c r="HT517" s="1098"/>
      <c r="HU517" s="1098"/>
      <c r="HV517" s="1098"/>
      <c r="HW517" s="1098"/>
      <c r="HX517" s="1098"/>
      <c r="HY517" s="1098"/>
      <c r="HZ517" s="1098"/>
      <c r="IA517" s="1098"/>
      <c r="IB517" s="1098"/>
      <c r="IC517" s="1098"/>
      <c r="ID517" s="1098"/>
      <c r="IE517" s="1098"/>
      <c r="IF517" s="1098"/>
      <c r="IG517" s="1098"/>
      <c r="IH517" s="1098"/>
      <c r="II517" s="1098"/>
      <c r="IJ517" s="1098"/>
      <c r="IK517" s="1098"/>
      <c r="IL517" s="1098"/>
      <c r="IM517" s="1098"/>
      <c r="IN517" s="1098"/>
      <c r="IO517" s="1098"/>
      <c r="IP517" s="1098"/>
      <c r="IQ517" s="1098"/>
      <c r="IR517" s="1098"/>
      <c r="IS517" s="1098"/>
      <c r="IT517" s="1098"/>
      <c r="IU517" s="1098"/>
      <c r="IV517" s="1098"/>
      <c r="IW517" s="1098"/>
      <c r="IX517" s="1098"/>
      <c r="IY517" s="1098"/>
      <c r="IZ517" s="1098"/>
      <c r="JA517" s="1098"/>
      <c r="JB517" s="1098"/>
      <c r="JC517" s="1098"/>
      <c r="JD517" s="1098"/>
      <c r="JE517" s="1098"/>
      <c r="JF517" s="1098"/>
      <c r="JG517" s="1098"/>
      <c r="JH517" s="1098"/>
      <c r="JI517" s="1098"/>
      <c r="JJ517" s="1098"/>
      <c r="JK517" s="1098"/>
      <c r="JL517" s="1098"/>
      <c r="JM517" s="1098"/>
      <c r="JN517" s="1098"/>
      <c r="JO517" s="1098"/>
      <c r="JP517" s="1098"/>
      <c r="JQ517" s="1098"/>
      <c r="JR517" s="1098"/>
      <c r="JS517" s="1098"/>
      <c r="JT517" s="1098"/>
      <c r="JU517" s="1098"/>
      <c r="JV517" s="1098"/>
      <c r="JW517" s="1098"/>
      <c r="JX517" s="1098"/>
      <c r="JY517" s="1098"/>
      <c r="JZ517" s="1098"/>
      <c r="KA517" s="1098"/>
      <c r="KB517" s="1099"/>
    </row>
    <row r="518" spans="1:288" ht="15" customHeight="1" x14ac:dyDescent="0.35">
      <c r="B518" s="146" t="str">
        <f t="shared" si="38"/>
        <v>Desk 94</v>
      </c>
      <c r="C518" s="148" t="str">
        <v/>
      </c>
      <c r="D518" s="148" t="str">
        <v/>
      </c>
      <c r="E518" s="148" t="str">
        <v/>
      </c>
      <c r="F518" s="148" t="str">
        <v/>
      </c>
      <c r="G518" s="268" t="str">
        <v/>
      </c>
      <c r="H518" s="1098"/>
      <c r="I518" s="1098"/>
      <c r="J518" s="1098"/>
      <c r="K518" s="1098"/>
      <c r="L518" s="1098"/>
      <c r="M518" s="1098"/>
      <c r="N518" s="1098"/>
      <c r="O518" s="1098"/>
      <c r="P518" s="1098"/>
      <c r="Q518" s="1098"/>
      <c r="R518" s="1098"/>
      <c r="S518" s="1098"/>
      <c r="T518" s="1098"/>
      <c r="U518" s="1098"/>
      <c r="V518" s="1098"/>
      <c r="W518" s="1098"/>
      <c r="X518" s="1098"/>
      <c r="Y518" s="1098"/>
      <c r="Z518" s="1098"/>
      <c r="AA518" s="1098"/>
      <c r="AB518" s="1098"/>
      <c r="AC518" s="1098"/>
      <c r="AD518" s="1098"/>
      <c r="AE518" s="1098"/>
      <c r="AF518" s="1098"/>
      <c r="AG518" s="1098"/>
      <c r="AH518" s="1098"/>
      <c r="AI518" s="1098"/>
      <c r="AJ518" s="1098"/>
      <c r="AK518" s="1098"/>
      <c r="AL518" s="1098"/>
      <c r="AM518" s="1098"/>
      <c r="AN518" s="1098"/>
      <c r="AO518" s="1098"/>
      <c r="AP518" s="1098"/>
      <c r="AQ518" s="1098"/>
      <c r="AR518" s="1098"/>
      <c r="AS518" s="1098"/>
      <c r="AT518" s="1098"/>
      <c r="AU518" s="1098"/>
      <c r="AV518" s="1098"/>
      <c r="AW518" s="1098"/>
      <c r="AX518" s="1098"/>
      <c r="AY518" s="1098"/>
      <c r="AZ518" s="1098"/>
      <c r="BA518" s="1098"/>
      <c r="BB518" s="1098"/>
      <c r="BC518" s="1098"/>
      <c r="BD518" s="1098"/>
      <c r="BE518" s="1098"/>
      <c r="BF518" s="1098"/>
      <c r="BG518" s="1098"/>
      <c r="BH518" s="1098"/>
      <c r="BI518" s="1098"/>
      <c r="BJ518" s="1098"/>
      <c r="BK518" s="1098"/>
      <c r="BL518" s="1098"/>
      <c r="BM518" s="1098"/>
      <c r="BN518" s="1098"/>
      <c r="BO518" s="1098"/>
      <c r="BP518" s="1098"/>
      <c r="BQ518" s="1098"/>
      <c r="BR518" s="1098"/>
      <c r="BS518" s="1098"/>
      <c r="BT518" s="1098"/>
      <c r="BU518" s="1098"/>
      <c r="BV518" s="1098"/>
      <c r="BW518" s="1098"/>
      <c r="BX518" s="1098"/>
      <c r="BY518" s="1098"/>
      <c r="BZ518" s="1098"/>
      <c r="CA518" s="1098"/>
      <c r="CB518" s="1098"/>
      <c r="CC518" s="1098"/>
      <c r="CD518" s="1098"/>
      <c r="CE518" s="1098"/>
      <c r="CF518" s="1098"/>
      <c r="CG518" s="1098"/>
      <c r="CH518" s="1098"/>
      <c r="CI518" s="1098"/>
      <c r="CJ518" s="1098"/>
      <c r="CK518" s="1098"/>
      <c r="CL518" s="1098"/>
      <c r="CM518" s="1098"/>
      <c r="CN518" s="1098"/>
      <c r="CO518" s="1098"/>
      <c r="CP518" s="1098"/>
      <c r="CQ518" s="1098"/>
      <c r="CR518" s="1098"/>
      <c r="CS518" s="1098"/>
      <c r="CT518" s="1098"/>
      <c r="CU518" s="1098"/>
      <c r="CV518" s="1098"/>
      <c r="CW518" s="1098"/>
      <c r="CX518" s="1098"/>
      <c r="CY518" s="1098"/>
      <c r="CZ518" s="1098"/>
      <c r="DA518" s="1098"/>
      <c r="DB518" s="1098"/>
      <c r="DC518" s="1098"/>
      <c r="DD518" s="1098"/>
      <c r="DE518" s="1098"/>
      <c r="DF518" s="1098"/>
      <c r="DG518" s="1098"/>
      <c r="DH518" s="1098"/>
      <c r="DI518" s="1098"/>
      <c r="DJ518" s="1098"/>
      <c r="DK518" s="1098"/>
      <c r="DL518" s="1098"/>
      <c r="DM518" s="1098"/>
      <c r="DN518" s="1098"/>
      <c r="DO518" s="1098"/>
      <c r="DP518" s="1098"/>
      <c r="DQ518" s="1098"/>
      <c r="DR518" s="1098"/>
      <c r="DS518" s="1098"/>
      <c r="DT518" s="1098"/>
      <c r="DU518" s="1098"/>
      <c r="DV518" s="1098"/>
      <c r="DW518" s="1098"/>
      <c r="DX518" s="1098"/>
      <c r="DY518" s="1098"/>
      <c r="DZ518" s="1098"/>
      <c r="EA518" s="1098"/>
      <c r="EB518" s="1098"/>
      <c r="EC518" s="1098"/>
      <c r="ED518" s="1098"/>
      <c r="EE518" s="1098"/>
      <c r="EF518" s="1098"/>
      <c r="EG518" s="1098"/>
      <c r="EH518" s="1098"/>
      <c r="EI518" s="1098"/>
      <c r="EJ518" s="1098"/>
      <c r="EK518" s="1098"/>
      <c r="EL518" s="1098"/>
      <c r="EM518" s="1098"/>
      <c r="EN518" s="1098"/>
      <c r="EO518" s="1098"/>
      <c r="EP518" s="1098"/>
      <c r="EQ518" s="1098"/>
      <c r="ER518" s="1098"/>
      <c r="ES518" s="1098"/>
      <c r="ET518" s="1098"/>
      <c r="EU518" s="1098"/>
      <c r="EV518" s="1098"/>
      <c r="EW518" s="1098"/>
      <c r="EX518" s="1098"/>
      <c r="EY518" s="1098"/>
      <c r="EZ518" s="1098"/>
      <c r="FA518" s="1098"/>
      <c r="FB518" s="1098"/>
      <c r="FC518" s="1098"/>
      <c r="FD518" s="1098"/>
      <c r="FE518" s="1098"/>
      <c r="FF518" s="1098"/>
      <c r="FG518" s="1098"/>
      <c r="FH518" s="1098"/>
      <c r="FI518" s="1098"/>
      <c r="FJ518" s="1098"/>
      <c r="FK518" s="1098"/>
      <c r="FL518" s="1098"/>
      <c r="FM518" s="1098"/>
      <c r="FN518" s="1098"/>
      <c r="FO518" s="1098"/>
      <c r="FP518" s="1098"/>
      <c r="FQ518" s="1098"/>
      <c r="FR518" s="1098"/>
      <c r="FS518" s="1098"/>
      <c r="FT518" s="1098"/>
      <c r="FU518" s="1098"/>
      <c r="FV518" s="1098"/>
      <c r="FW518" s="1098"/>
      <c r="FX518" s="1098"/>
      <c r="FY518" s="1098"/>
      <c r="FZ518" s="1098"/>
      <c r="GA518" s="1098"/>
      <c r="GB518" s="1098"/>
      <c r="GC518" s="1098"/>
      <c r="GD518" s="1098"/>
      <c r="GE518" s="1098"/>
      <c r="GF518" s="1098"/>
      <c r="GG518" s="1098"/>
      <c r="GH518" s="1098"/>
      <c r="GI518" s="1098"/>
      <c r="GJ518" s="1098"/>
      <c r="GK518" s="1098"/>
      <c r="GL518" s="1098"/>
      <c r="GM518" s="1098"/>
      <c r="GN518" s="1098"/>
      <c r="GO518" s="1098"/>
      <c r="GP518" s="1098"/>
      <c r="GQ518" s="1098"/>
      <c r="GR518" s="1098"/>
      <c r="GS518" s="1098"/>
      <c r="GT518" s="1098"/>
      <c r="GU518" s="1098"/>
      <c r="GV518" s="1098"/>
      <c r="GW518" s="1098"/>
      <c r="GX518" s="1098"/>
      <c r="GY518" s="1098"/>
      <c r="GZ518" s="1098"/>
      <c r="HA518" s="1098"/>
      <c r="HB518" s="1098"/>
      <c r="HC518" s="1098"/>
      <c r="HD518" s="1098"/>
      <c r="HE518" s="1098"/>
      <c r="HF518" s="1098"/>
      <c r="HG518" s="1098"/>
      <c r="HH518" s="1098"/>
      <c r="HI518" s="1098"/>
      <c r="HJ518" s="1098"/>
      <c r="HK518" s="1098"/>
      <c r="HL518" s="1098"/>
      <c r="HM518" s="1098"/>
      <c r="HN518" s="1098"/>
      <c r="HO518" s="1098"/>
      <c r="HP518" s="1098"/>
      <c r="HQ518" s="1098"/>
      <c r="HR518" s="1098"/>
      <c r="HS518" s="1098"/>
      <c r="HT518" s="1098"/>
      <c r="HU518" s="1098"/>
      <c r="HV518" s="1098"/>
      <c r="HW518" s="1098"/>
      <c r="HX518" s="1098"/>
      <c r="HY518" s="1098"/>
      <c r="HZ518" s="1098"/>
      <c r="IA518" s="1098"/>
      <c r="IB518" s="1098"/>
      <c r="IC518" s="1098"/>
      <c r="ID518" s="1098"/>
      <c r="IE518" s="1098"/>
      <c r="IF518" s="1098"/>
      <c r="IG518" s="1098"/>
      <c r="IH518" s="1098"/>
      <c r="II518" s="1098"/>
      <c r="IJ518" s="1098"/>
      <c r="IK518" s="1098"/>
      <c r="IL518" s="1098"/>
      <c r="IM518" s="1098"/>
      <c r="IN518" s="1098"/>
      <c r="IO518" s="1098"/>
      <c r="IP518" s="1098"/>
      <c r="IQ518" s="1098"/>
      <c r="IR518" s="1098"/>
      <c r="IS518" s="1098"/>
      <c r="IT518" s="1098"/>
      <c r="IU518" s="1098"/>
      <c r="IV518" s="1098"/>
      <c r="IW518" s="1098"/>
      <c r="IX518" s="1098"/>
      <c r="IY518" s="1098"/>
      <c r="IZ518" s="1098"/>
      <c r="JA518" s="1098"/>
      <c r="JB518" s="1098"/>
      <c r="JC518" s="1098"/>
      <c r="JD518" s="1098"/>
      <c r="JE518" s="1098"/>
      <c r="JF518" s="1098"/>
      <c r="JG518" s="1098"/>
      <c r="JH518" s="1098"/>
      <c r="JI518" s="1098"/>
      <c r="JJ518" s="1098"/>
      <c r="JK518" s="1098"/>
      <c r="JL518" s="1098"/>
      <c r="JM518" s="1098"/>
      <c r="JN518" s="1098"/>
      <c r="JO518" s="1098"/>
      <c r="JP518" s="1098"/>
      <c r="JQ518" s="1098"/>
      <c r="JR518" s="1098"/>
      <c r="JS518" s="1098"/>
      <c r="JT518" s="1098"/>
      <c r="JU518" s="1098"/>
      <c r="JV518" s="1098"/>
      <c r="JW518" s="1098"/>
      <c r="JX518" s="1098"/>
      <c r="JY518" s="1098"/>
      <c r="JZ518" s="1098"/>
      <c r="KA518" s="1098"/>
      <c r="KB518" s="1099"/>
    </row>
    <row r="519" spans="1:288" ht="15" customHeight="1" x14ac:dyDescent="0.35">
      <c r="B519" s="146" t="str">
        <f t="shared" si="38"/>
        <v>Desk 95</v>
      </c>
      <c r="C519" s="148" t="str">
        <v/>
      </c>
      <c r="D519" s="148" t="str">
        <v/>
      </c>
      <c r="E519" s="148" t="str">
        <v/>
      </c>
      <c r="F519" s="148" t="str">
        <v/>
      </c>
      <c r="G519" s="268" t="str">
        <v/>
      </c>
      <c r="H519" s="1098"/>
      <c r="I519" s="1098"/>
      <c r="J519" s="1098"/>
      <c r="K519" s="1098"/>
      <c r="L519" s="1098"/>
      <c r="M519" s="1098"/>
      <c r="N519" s="1098"/>
      <c r="O519" s="1098"/>
      <c r="P519" s="1098"/>
      <c r="Q519" s="1098"/>
      <c r="R519" s="1098"/>
      <c r="S519" s="1098"/>
      <c r="T519" s="1098"/>
      <c r="U519" s="1098"/>
      <c r="V519" s="1098"/>
      <c r="W519" s="1098"/>
      <c r="X519" s="1098"/>
      <c r="Y519" s="1098"/>
      <c r="Z519" s="1098"/>
      <c r="AA519" s="1098"/>
      <c r="AB519" s="1098"/>
      <c r="AC519" s="1098"/>
      <c r="AD519" s="1098"/>
      <c r="AE519" s="1098"/>
      <c r="AF519" s="1098"/>
      <c r="AG519" s="1098"/>
      <c r="AH519" s="1098"/>
      <c r="AI519" s="1098"/>
      <c r="AJ519" s="1098"/>
      <c r="AK519" s="1098"/>
      <c r="AL519" s="1098"/>
      <c r="AM519" s="1098"/>
      <c r="AN519" s="1098"/>
      <c r="AO519" s="1098"/>
      <c r="AP519" s="1098"/>
      <c r="AQ519" s="1098"/>
      <c r="AR519" s="1098"/>
      <c r="AS519" s="1098"/>
      <c r="AT519" s="1098"/>
      <c r="AU519" s="1098"/>
      <c r="AV519" s="1098"/>
      <c r="AW519" s="1098"/>
      <c r="AX519" s="1098"/>
      <c r="AY519" s="1098"/>
      <c r="AZ519" s="1098"/>
      <c r="BA519" s="1098"/>
      <c r="BB519" s="1098"/>
      <c r="BC519" s="1098"/>
      <c r="BD519" s="1098"/>
      <c r="BE519" s="1098"/>
      <c r="BF519" s="1098"/>
      <c r="BG519" s="1098"/>
      <c r="BH519" s="1098"/>
      <c r="BI519" s="1098"/>
      <c r="BJ519" s="1098"/>
      <c r="BK519" s="1098"/>
      <c r="BL519" s="1098"/>
      <c r="BM519" s="1098"/>
      <c r="BN519" s="1098"/>
      <c r="BO519" s="1098"/>
      <c r="BP519" s="1098"/>
      <c r="BQ519" s="1098"/>
      <c r="BR519" s="1098"/>
      <c r="BS519" s="1098"/>
      <c r="BT519" s="1098"/>
      <c r="BU519" s="1098"/>
      <c r="BV519" s="1098"/>
      <c r="BW519" s="1098"/>
      <c r="BX519" s="1098"/>
      <c r="BY519" s="1098"/>
      <c r="BZ519" s="1098"/>
      <c r="CA519" s="1098"/>
      <c r="CB519" s="1098"/>
      <c r="CC519" s="1098"/>
      <c r="CD519" s="1098"/>
      <c r="CE519" s="1098"/>
      <c r="CF519" s="1098"/>
      <c r="CG519" s="1098"/>
      <c r="CH519" s="1098"/>
      <c r="CI519" s="1098"/>
      <c r="CJ519" s="1098"/>
      <c r="CK519" s="1098"/>
      <c r="CL519" s="1098"/>
      <c r="CM519" s="1098"/>
      <c r="CN519" s="1098"/>
      <c r="CO519" s="1098"/>
      <c r="CP519" s="1098"/>
      <c r="CQ519" s="1098"/>
      <c r="CR519" s="1098"/>
      <c r="CS519" s="1098"/>
      <c r="CT519" s="1098"/>
      <c r="CU519" s="1098"/>
      <c r="CV519" s="1098"/>
      <c r="CW519" s="1098"/>
      <c r="CX519" s="1098"/>
      <c r="CY519" s="1098"/>
      <c r="CZ519" s="1098"/>
      <c r="DA519" s="1098"/>
      <c r="DB519" s="1098"/>
      <c r="DC519" s="1098"/>
      <c r="DD519" s="1098"/>
      <c r="DE519" s="1098"/>
      <c r="DF519" s="1098"/>
      <c r="DG519" s="1098"/>
      <c r="DH519" s="1098"/>
      <c r="DI519" s="1098"/>
      <c r="DJ519" s="1098"/>
      <c r="DK519" s="1098"/>
      <c r="DL519" s="1098"/>
      <c r="DM519" s="1098"/>
      <c r="DN519" s="1098"/>
      <c r="DO519" s="1098"/>
      <c r="DP519" s="1098"/>
      <c r="DQ519" s="1098"/>
      <c r="DR519" s="1098"/>
      <c r="DS519" s="1098"/>
      <c r="DT519" s="1098"/>
      <c r="DU519" s="1098"/>
      <c r="DV519" s="1098"/>
      <c r="DW519" s="1098"/>
      <c r="DX519" s="1098"/>
      <c r="DY519" s="1098"/>
      <c r="DZ519" s="1098"/>
      <c r="EA519" s="1098"/>
      <c r="EB519" s="1098"/>
      <c r="EC519" s="1098"/>
      <c r="ED519" s="1098"/>
      <c r="EE519" s="1098"/>
      <c r="EF519" s="1098"/>
      <c r="EG519" s="1098"/>
      <c r="EH519" s="1098"/>
      <c r="EI519" s="1098"/>
      <c r="EJ519" s="1098"/>
      <c r="EK519" s="1098"/>
      <c r="EL519" s="1098"/>
      <c r="EM519" s="1098"/>
      <c r="EN519" s="1098"/>
      <c r="EO519" s="1098"/>
      <c r="EP519" s="1098"/>
      <c r="EQ519" s="1098"/>
      <c r="ER519" s="1098"/>
      <c r="ES519" s="1098"/>
      <c r="ET519" s="1098"/>
      <c r="EU519" s="1098"/>
      <c r="EV519" s="1098"/>
      <c r="EW519" s="1098"/>
      <c r="EX519" s="1098"/>
      <c r="EY519" s="1098"/>
      <c r="EZ519" s="1098"/>
      <c r="FA519" s="1098"/>
      <c r="FB519" s="1098"/>
      <c r="FC519" s="1098"/>
      <c r="FD519" s="1098"/>
      <c r="FE519" s="1098"/>
      <c r="FF519" s="1098"/>
      <c r="FG519" s="1098"/>
      <c r="FH519" s="1098"/>
      <c r="FI519" s="1098"/>
      <c r="FJ519" s="1098"/>
      <c r="FK519" s="1098"/>
      <c r="FL519" s="1098"/>
      <c r="FM519" s="1098"/>
      <c r="FN519" s="1098"/>
      <c r="FO519" s="1098"/>
      <c r="FP519" s="1098"/>
      <c r="FQ519" s="1098"/>
      <c r="FR519" s="1098"/>
      <c r="FS519" s="1098"/>
      <c r="FT519" s="1098"/>
      <c r="FU519" s="1098"/>
      <c r="FV519" s="1098"/>
      <c r="FW519" s="1098"/>
      <c r="FX519" s="1098"/>
      <c r="FY519" s="1098"/>
      <c r="FZ519" s="1098"/>
      <c r="GA519" s="1098"/>
      <c r="GB519" s="1098"/>
      <c r="GC519" s="1098"/>
      <c r="GD519" s="1098"/>
      <c r="GE519" s="1098"/>
      <c r="GF519" s="1098"/>
      <c r="GG519" s="1098"/>
      <c r="GH519" s="1098"/>
      <c r="GI519" s="1098"/>
      <c r="GJ519" s="1098"/>
      <c r="GK519" s="1098"/>
      <c r="GL519" s="1098"/>
      <c r="GM519" s="1098"/>
      <c r="GN519" s="1098"/>
      <c r="GO519" s="1098"/>
      <c r="GP519" s="1098"/>
      <c r="GQ519" s="1098"/>
      <c r="GR519" s="1098"/>
      <c r="GS519" s="1098"/>
      <c r="GT519" s="1098"/>
      <c r="GU519" s="1098"/>
      <c r="GV519" s="1098"/>
      <c r="GW519" s="1098"/>
      <c r="GX519" s="1098"/>
      <c r="GY519" s="1098"/>
      <c r="GZ519" s="1098"/>
      <c r="HA519" s="1098"/>
      <c r="HB519" s="1098"/>
      <c r="HC519" s="1098"/>
      <c r="HD519" s="1098"/>
      <c r="HE519" s="1098"/>
      <c r="HF519" s="1098"/>
      <c r="HG519" s="1098"/>
      <c r="HH519" s="1098"/>
      <c r="HI519" s="1098"/>
      <c r="HJ519" s="1098"/>
      <c r="HK519" s="1098"/>
      <c r="HL519" s="1098"/>
      <c r="HM519" s="1098"/>
      <c r="HN519" s="1098"/>
      <c r="HO519" s="1098"/>
      <c r="HP519" s="1098"/>
      <c r="HQ519" s="1098"/>
      <c r="HR519" s="1098"/>
      <c r="HS519" s="1098"/>
      <c r="HT519" s="1098"/>
      <c r="HU519" s="1098"/>
      <c r="HV519" s="1098"/>
      <c r="HW519" s="1098"/>
      <c r="HX519" s="1098"/>
      <c r="HY519" s="1098"/>
      <c r="HZ519" s="1098"/>
      <c r="IA519" s="1098"/>
      <c r="IB519" s="1098"/>
      <c r="IC519" s="1098"/>
      <c r="ID519" s="1098"/>
      <c r="IE519" s="1098"/>
      <c r="IF519" s="1098"/>
      <c r="IG519" s="1098"/>
      <c r="IH519" s="1098"/>
      <c r="II519" s="1098"/>
      <c r="IJ519" s="1098"/>
      <c r="IK519" s="1098"/>
      <c r="IL519" s="1098"/>
      <c r="IM519" s="1098"/>
      <c r="IN519" s="1098"/>
      <c r="IO519" s="1098"/>
      <c r="IP519" s="1098"/>
      <c r="IQ519" s="1098"/>
      <c r="IR519" s="1098"/>
      <c r="IS519" s="1098"/>
      <c r="IT519" s="1098"/>
      <c r="IU519" s="1098"/>
      <c r="IV519" s="1098"/>
      <c r="IW519" s="1098"/>
      <c r="IX519" s="1098"/>
      <c r="IY519" s="1098"/>
      <c r="IZ519" s="1098"/>
      <c r="JA519" s="1098"/>
      <c r="JB519" s="1098"/>
      <c r="JC519" s="1098"/>
      <c r="JD519" s="1098"/>
      <c r="JE519" s="1098"/>
      <c r="JF519" s="1098"/>
      <c r="JG519" s="1098"/>
      <c r="JH519" s="1098"/>
      <c r="JI519" s="1098"/>
      <c r="JJ519" s="1098"/>
      <c r="JK519" s="1098"/>
      <c r="JL519" s="1098"/>
      <c r="JM519" s="1098"/>
      <c r="JN519" s="1098"/>
      <c r="JO519" s="1098"/>
      <c r="JP519" s="1098"/>
      <c r="JQ519" s="1098"/>
      <c r="JR519" s="1098"/>
      <c r="JS519" s="1098"/>
      <c r="JT519" s="1098"/>
      <c r="JU519" s="1098"/>
      <c r="JV519" s="1098"/>
      <c r="JW519" s="1098"/>
      <c r="JX519" s="1098"/>
      <c r="JY519" s="1098"/>
      <c r="JZ519" s="1098"/>
      <c r="KA519" s="1098"/>
      <c r="KB519" s="1099"/>
    </row>
    <row r="520" spans="1:288" ht="15" customHeight="1" x14ac:dyDescent="0.35">
      <c r="B520" s="146" t="str">
        <f t="shared" si="38"/>
        <v>Desk 96</v>
      </c>
      <c r="C520" s="148" t="str">
        <v/>
      </c>
      <c r="D520" s="148" t="str">
        <v/>
      </c>
      <c r="E520" s="148" t="str">
        <v/>
      </c>
      <c r="F520" s="148" t="str">
        <v/>
      </c>
      <c r="G520" s="268" t="str">
        <v/>
      </c>
      <c r="H520" s="1098"/>
      <c r="I520" s="1098"/>
      <c r="J520" s="1098"/>
      <c r="K520" s="1098"/>
      <c r="L520" s="1098"/>
      <c r="M520" s="1098"/>
      <c r="N520" s="1098"/>
      <c r="O520" s="1098"/>
      <c r="P520" s="1098"/>
      <c r="Q520" s="1098"/>
      <c r="R520" s="1098"/>
      <c r="S520" s="1098"/>
      <c r="T520" s="1098"/>
      <c r="U520" s="1098"/>
      <c r="V520" s="1098"/>
      <c r="W520" s="1098"/>
      <c r="X520" s="1098"/>
      <c r="Y520" s="1098"/>
      <c r="Z520" s="1098"/>
      <c r="AA520" s="1098"/>
      <c r="AB520" s="1098"/>
      <c r="AC520" s="1098"/>
      <c r="AD520" s="1098"/>
      <c r="AE520" s="1098"/>
      <c r="AF520" s="1098"/>
      <c r="AG520" s="1098"/>
      <c r="AH520" s="1098"/>
      <c r="AI520" s="1098"/>
      <c r="AJ520" s="1098"/>
      <c r="AK520" s="1098"/>
      <c r="AL520" s="1098"/>
      <c r="AM520" s="1098"/>
      <c r="AN520" s="1098"/>
      <c r="AO520" s="1098"/>
      <c r="AP520" s="1098"/>
      <c r="AQ520" s="1098"/>
      <c r="AR520" s="1098"/>
      <c r="AS520" s="1098"/>
      <c r="AT520" s="1098"/>
      <c r="AU520" s="1098"/>
      <c r="AV520" s="1098"/>
      <c r="AW520" s="1098"/>
      <c r="AX520" s="1098"/>
      <c r="AY520" s="1098"/>
      <c r="AZ520" s="1098"/>
      <c r="BA520" s="1098"/>
      <c r="BB520" s="1098"/>
      <c r="BC520" s="1098"/>
      <c r="BD520" s="1098"/>
      <c r="BE520" s="1098"/>
      <c r="BF520" s="1098"/>
      <c r="BG520" s="1098"/>
      <c r="BH520" s="1098"/>
      <c r="BI520" s="1098"/>
      <c r="BJ520" s="1098"/>
      <c r="BK520" s="1098"/>
      <c r="BL520" s="1098"/>
      <c r="BM520" s="1098"/>
      <c r="BN520" s="1098"/>
      <c r="BO520" s="1098"/>
      <c r="BP520" s="1098"/>
      <c r="BQ520" s="1098"/>
      <c r="BR520" s="1098"/>
      <c r="BS520" s="1098"/>
      <c r="BT520" s="1098"/>
      <c r="BU520" s="1098"/>
      <c r="BV520" s="1098"/>
      <c r="BW520" s="1098"/>
      <c r="BX520" s="1098"/>
      <c r="BY520" s="1098"/>
      <c r="BZ520" s="1098"/>
      <c r="CA520" s="1098"/>
      <c r="CB520" s="1098"/>
      <c r="CC520" s="1098"/>
      <c r="CD520" s="1098"/>
      <c r="CE520" s="1098"/>
      <c r="CF520" s="1098"/>
      <c r="CG520" s="1098"/>
      <c r="CH520" s="1098"/>
      <c r="CI520" s="1098"/>
      <c r="CJ520" s="1098"/>
      <c r="CK520" s="1098"/>
      <c r="CL520" s="1098"/>
      <c r="CM520" s="1098"/>
      <c r="CN520" s="1098"/>
      <c r="CO520" s="1098"/>
      <c r="CP520" s="1098"/>
      <c r="CQ520" s="1098"/>
      <c r="CR520" s="1098"/>
      <c r="CS520" s="1098"/>
      <c r="CT520" s="1098"/>
      <c r="CU520" s="1098"/>
      <c r="CV520" s="1098"/>
      <c r="CW520" s="1098"/>
      <c r="CX520" s="1098"/>
      <c r="CY520" s="1098"/>
      <c r="CZ520" s="1098"/>
      <c r="DA520" s="1098"/>
      <c r="DB520" s="1098"/>
      <c r="DC520" s="1098"/>
      <c r="DD520" s="1098"/>
      <c r="DE520" s="1098"/>
      <c r="DF520" s="1098"/>
      <c r="DG520" s="1098"/>
      <c r="DH520" s="1098"/>
      <c r="DI520" s="1098"/>
      <c r="DJ520" s="1098"/>
      <c r="DK520" s="1098"/>
      <c r="DL520" s="1098"/>
      <c r="DM520" s="1098"/>
      <c r="DN520" s="1098"/>
      <c r="DO520" s="1098"/>
      <c r="DP520" s="1098"/>
      <c r="DQ520" s="1098"/>
      <c r="DR520" s="1098"/>
      <c r="DS520" s="1098"/>
      <c r="DT520" s="1098"/>
      <c r="DU520" s="1098"/>
      <c r="DV520" s="1098"/>
      <c r="DW520" s="1098"/>
      <c r="DX520" s="1098"/>
      <c r="DY520" s="1098"/>
      <c r="DZ520" s="1098"/>
      <c r="EA520" s="1098"/>
      <c r="EB520" s="1098"/>
      <c r="EC520" s="1098"/>
      <c r="ED520" s="1098"/>
      <c r="EE520" s="1098"/>
      <c r="EF520" s="1098"/>
      <c r="EG520" s="1098"/>
      <c r="EH520" s="1098"/>
      <c r="EI520" s="1098"/>
      <c r="EJ520" s="1098"/>
      <c r="EK520" s="1098"/>
      <c r="EL520" s="1098"/>
      <c r="EM520" s="1098"/>
      <c r="EN520" s="1098"/>
      <c r="EO520" s="1098"/>
      <c r="EP520" s="1098"/>
      <c r="EQ520" s="1098"/>
      <c r="ER520" s="1098"/>
      <c r="ES520" s="1098"/>
      <c r="ET520" s="1098"/>
      <c r="EU520" s="1098"/>
      <c r="EV520" s="1098"/>
      <c r="EW520" s="1098"/>
      <c r="EX520" s="1098"/>
      <c r="EY520" s="1098"/>
      <c r="EZ520" s="1098"/>
      <c r="FA520" s="1098"/>
      <c r="FB520" s="1098"/>
      <c r="FC520" s="1098"/>
      <c r="FD520" s="1098"/>
      <c r="FE520" s="1098"/>
      <c r="FF520" s="1098"/>
      <c r="FG520" s="1098"/>
      <c r="FH520" s="1098"/>
      <c r="FI520" s="1098"/>
      <c r="FJ520" s="1098"/>
      <c r="FK520" s="1098"/>
      <c r="FL520" s="1098"/>
      <c r="FM520" s="1098"/>
      <c r="FN520" s="1098"/>
      <c r="FO520" s="1098"/>
      <c r="FP520" s="1098"/>
      <c r="FQ520" s="1098"/>
      <c r="FR520" s="1098"/>
      <c r="FS520" s="1098"/>
      <c r="FT520" s="1098"/>
      <c r="FU520" s="1098"/>
      <c r="FV520" s="1098"/>
      <c r="FW520" s="1098"/>
      <c r="FX520" s="1098"/>
      <c r="FY520" s="1098"/>
      <c r="FZ520" s="1098"/>
      <c r="GA520" s="1098"/>
      <c r="GB520" s="1098"/>
      <c r="GC520" s="1098"/>
      <c r="GD520" s="1098"/>
      <c r="GE520" s="1098"/>
      <c r="GF520" s="1098"/>
      <c r="GG520" s="1098"/>
      <c r="GH520" s="1098"/>
      <c r="GI520" s="1098"/>
      <c r="GJ520" s="1098"/>
      <c r="GK520" s="1098"/>
      <c r="GL520" s="1098"/>
      <c r="GM520" s="1098"/>
      <c r="GN520" s="1098"/>
      <c r="GO520" s="1098"/>
      <c r="GP520" s="1098"/>
      <c r="GQ520" s="1098"/>
      <c r="GR520" s="1098"/>
      <c r="GS520" s="1098"/>
      <c r="GT520" s="1098"/>
      <c r="GU520" s="1098"/>
      <c r="GV520" s="1098"/>
      <c r="GW520" s="1098"/>
      <c r="GX520" s="1098"/>
      <c r="GY520" s="1098"/>
      <c r="GZ520" s="1098"/>
      <c r="HA520" s="1098"/>
      <c r="HB520" s="1098"/>
      <c r="HC520" s="1098"/>
      <c r="HD520" s="1098"/>
      <c r="HE520" s="1098"/>
      <c r="HF520" s="1098"/>
      <c r="HG520" s="1098"/>
      <c r="HH520" s="1098"/>
      <c r="HI520" s="1098"/>
      <c r="HJ520" s="1098"/>
      <c r="HK520" s="1098"/>
      <c r="HL520" s="1098"/>
      <c r="HM520" s="1098"/>
      <c r="HN520" s="1098"/>
      <c r="HO520" s="1098"/>
      <c r="HP520" s="1098"/>
      <c r="HQ520" s="1098"/>
      <c r="HR520" s="1098"/>
      <c r="HS520" s="1098"/>
      <c r="HT520" s="1098"/>
      <c r="HU520" s="1098"/>
      <c r="HV520" s="1098"/>
      <c r="HW520" s="1098"/>
      <c r="HX520" s="1098"/>
      <c r="HY520" s="1098"/>
      <c r="HZ520" s="1098"/>
      <c r="IA520" s="1098"/>
      <c r="IB520" s="1098"/>
      <c r="IC520" s="1098"/>
      <c r="ID520" s="1098"/>
      <c r="IE520" s="1098"/>
      <c r="IF520" s="1098"/>
      <c r="IG520" s="1098"/>
      <c r="IH520" s="1098"/>
      <c r="II520" s="1098"/>
      <c r="IJ520" s="1098"/>
      <c r="IK520" s="1098"/>
      <c r="IL520" s="1098"/>
      <c r="IM520" s="1098"/>
      <c r="IN520" s="1098"/>
      <c r="IO520" s="1098"/>
      <c r="IP520" s="1098"/>
      <c r="IQ520" s="1098"/>
      <c r="IR520" s="1098"/>
      <c r="IS520" s="1098"/>
      <c r="IT520" s="1098"/>
      <c r="IU520" s="1098"/>
      <c r="IV520" s="1098"/>
      <c r="IW520" s="1098"/>
      <c r="IX520" s="1098"/>
      <c r="IY520" s="1098"/>
      <c r="IZ520" s="1098"/>
      <c r="JA520" s="1098"/>
      <c r="JB520" s="1098"/>
      <c r="JC520" s="1098"/>
      <c r="JD520" s="1098"/>
      <c r="JE520" s="1098"/>
      <c r="JF520" s="1098"/>
      <c r="JG520" s="1098"/>
      <c r="JH520" s="1098"/>
      <c r="JI520" s="1098"/>
      <c r="JJ520" s="1098"/>
      <c r="JK520" s="1098"/>
      <c r="JL520" s="1098"/>
      <c r="JM520" s="1098"/>
      <c r="JN520" s="1098"/>
      <c r="JO520" s="1098"/>
      <c r="JP520" s="1098"/>
      <c r="JQ520" s="1098"/>
      <c r="JR520" s="1098"/>
      <c r="JS520" s="1098"/>
      <c r="JT520" s="1098"/>
      <c r="JU520" s="1098"/>
      <c r="JV520" s="1098"/>
      <c r="JW520" s="1098"/>
      <c r="JX520" s="1098"/>
      <c r="JY520" s="1098"/>
      <c r="JZ520" s="1098"/>
      <c r="KA520" s="1098"/>
      <c r="KB520" s="1099"/>
    </row>
    <row r="521" spans="1:288" ht="15" customHeight="1" x14ac:dyDescent="0.35">
      <c r="B521" s="146" t="str">
        <f t="shared" ref="B521:B524" si="39">B107</f>
        <v>Desk 97</v>
      </c>
      <c r="C521" s="148" t="str">
        <v/>
      </c>
      <c r="D521" s="148" t="str">
        <v/>
      </c>
      <c r="E521" s="148" t="str">
        <v/>
      </c>
      <c r="F521" s="148" t="str">
        <v/>
      </c>
      <c r="G521" s="268" t="str">
        <v/>
      </c>
      <c r="H521" s="1098"/>
      <c r="I521" s="1098"/>
      <c r="J521" s="1098"/>
      <c r="K521" s="1098"/>
      <c r="L521" s="1098"/>
      <c r="M521" s="1098"/>
      <c r="N521" s="1098"/>
      <c r="O521" s="1098"/>
      <c r="P521" s="1098"/>
      <c r="Q521" s="1098"/>
      <c r="R521" s="1098"/>
      <c r="S521" s="1098"/>
      <c r="T521" s="1098"/>
      <c r="U521" s="1098"/>
      <c r="V521" s="1098"/>
      <c r="W521" s="1098"/>
      <c r="X521" s="1098"/>
      <c r="Y521" s="1098"/>
      <c r="Z521" s="1098"/>
      <c r="AA521" s="1098"/>
      <c r="AB521" s="1098"/>
      <c r="AC521" s="1098"/>
      <c r="AD521" s="1098"/>
      <c r="AE521" s="1098"/>
      <c r="AF521" s="1098"/>
      <c r="AG521" s="1098"/>
      <c r="AH521" s="1098"/>
      <c r="AI521" s="1098"/>
      <c r="AJ521" s="1098"/>
      <c r="AK521" s="1098"/>
      <c r="AL521" s="1098"/>
      <c r="AM521" s="1098"/>
      <c r="AN521" s="1098"/>
      <c r="AO521" s="1098"/>
      <c r="AP521" s="1098"/>
      <c r="AQ521" s="1098"/>
      <c r="AR521" s="1098"/>
      <c r="AS521" s="1098"/>
      <c r="AT521" s="1098"/>
      <c r="AU521" s="1098"/>
      <c r="AV521" s="1098"/>
      <c r="AW521" s="1098"/>
      <c r="AX521" s="1098"/>
      <c r="AY521" s="1098"/>
      <c r="AZ521" s="1098"/>
      <c r="BA521" s="1098"/>
      <c r="BB521" s="1098"/>
      <c r="BC521" s="1098"/>
      <c r="BD521" s="1098"/>
      <c r="BE521" s="1098"/>
      <c r="BF521" s="1098"/>
      <c r="BG521" s="1098"/>
      <c r="BH521" s="1098"/>
      <c r="BI521" s="1098"/>
      <c r="BJ521" s="1098"/>
      <c r="BK521" s="1098"/>
      <c r="BL521" s="1098"/>
      <c r="BM521" s="1098"/>
      <c r="BN521" s="1098"/>
      <c r="BO521" s="1098"/>
      <c r="BP521" s="1098"/>
      <c r="BQ521" s="1098"/>
      <c r="BR521" s="1098"/>
      <c r="BS521" s="1098"/>
      <c r="BT521" s="1098"/>
      <c r="BU521" s="1098"/>
      <c r="BV521" s="1098"/>
      <c r="BW521" s="1098"/>
      <c r="BX521" s="1098"/>
      <c r="BY521" s="1098"/>
      <c r="BZ521" s="1098"/>
      <c r="CA521" s="1098"/>
      <c r="CB521" s="1098"/>
      <c r="CC521" s="1098"/>
      <c r="CD521" s="1098"/>
      <c r="CE521" s="1098"/>
      <c r="CF521" s="1098"/>
      <c r="CG521" s="1098"/>
      <c r="CH521" s="1098"/>
      <c r="CI521" s="1098"/>
      <c r="CJ521" s="1098"/>
      <c r="CK521" s="1098"/>
      <c r="CL521" s="1098"/>
      <c r="CM521" s="1098"/>
      <c r="CN521" s="1098"/>
      <c r="CO521" s="1098"/>
      <c r="CP521" s="1098"/>
      <c r="CQ521" s="1098"/>
      <c r="CR521" s="1098"/>
      <c r="CS521" s="1098"/>
      <c r="CT521" s="1098"/>
      <c r="CU521" s="1098"/>
      <c r="CV521" s="1098"/>
      <c r="CW521" s="1098"/>
      <c r="CX521" s="1098"/>
      <c r="CY521" s="1098"/>
      <c r="CZ521" s="1098"/>
      <c r="DA521" s="1098"/>
      <c r="DB521" s="1098"/>
      <c r="DC521" s="1098"/>
      <c r="DD521" s="1098"/>
      <c r="DE521" s="1098"/>
      <c r="DF521" s="1098"/>
      <c r="DG521" s="1098"/>
      <c r="DH521" s="1098"/>
      <c r="DI521" s="1098"/>
      <c r="DJ521" s="1098"/>
      <c r="DK521" s="1098"/>
      <c r="DL521" s="1098"/>
      <c r="DM521" s="1098"/>
      <c r="DN521" s="1098"/>
      <c r="DO521" s="1098"/>
      <c r="DP521" s="1098"/>
      <c r="DQ521" s="1098"/>
      <c r="DR521" s="1098"/>
      <c r="DS521" s="1098"/>
      <c r="DT521" s="1098"/>
      <c r="DU521" s="1098"/>
      <c r="DV521" s="1098"/>
      <c r="DW521" s="1098"/>
      <c r="DX521" s="1098"/>
      <c r="DY521" s="1098"/>
      <c r="DZ521" s="1098"/>
      <c r="EA521" s="1098"/>
      <c r="EB521" s="1098"/>
      <c r="EC521" s="1098"/>
      <c r="ED521" s="1098"/>
      <c r="EE521" s="1098"/>
      <c r="EF521" s="1098"/>
      <c r="EG521" s="1098"/>
      <c r="EH521" s="1098"/>
      <c r="EI521" s="1098"/>
      <c r="EJ521" s="1098"/>
      <c r="EK521" s="1098"/>
      <c r="EL521" s="1098"/>
      <c r="EM521" s="1098"/>
      <c r="EN521" s="1098"/>
      <c r="EO521" s="1098"/>
      <c r="EP521" s="1098"/>
      <c r="EQ521" s="1098"/>
      <c r="ER521" s="1098"/>
      <c r="ES521" s="1098"/>
      <c r="ET521" s="1098"/>
      <c r="EU521" s="1098"/>
      <c r="EV521" s="1098"/>
      <c r="EW521" s="1098"/>
      <c r="EX521" s="1098"/>
      <c r="EY521" s="1098"/>
      <c r="EZ521" s="1098"/>
      <c r="FA521" s="1098"/>
      <c r="FB521" s="1098"/>
      <c r="FC521" s="1098"/>
      <c r="FD521" s="1098"/>
      <c r="FE521" s="1098"/>
      <c r="FF521" s="1098"/>
      <c r="FG521" s="1098"/>
      <c r="FH521" s="1098"/>
      <c r="FI521" s="1098"/>
      <c r="FJ521" s="1098"/>
      <c r="FK521" s="1098"/>
      <c r="FL521" s="1098"/>
      <c r="FM521" s="1098"/>
      <c r="FN521" s="1098"/>
      <c r="FO521" s="1098"/>
      <c r="FP521" s="1098"/>
      <c r="FQ521" s="1098"/>
      <c r="FR521" s="1098"/>
      <c r="FS521" s="1098"/>
      <c r="FT521" s="1098"/>
      <c r="FU521" s="1098"/>
      <c r="FV521" s="1098"/>
      <c r="FW521" s="1098"/>
      <c r="FX521" s="1098"/>
      <c r="FY521" s="1098"/>
      <c r="FZ521" s="1098"/>
      <c r="GA521" s="1098"/>
      <c r="GB521" s="1098"/>
      <c r="GC521" s="1098"/>
      <c r="GD521" s="1098"/>
      <c r="GE521" s="1098"/>
      <c r="GF521" s="1098"/>
      <c r="GG521" s="1098"/>
      <c r="GH521" s="1098"/>
      <c r="GI521" s="1098"/>
      <c r="GJ521" s="1098"/>
      <c r="GK521" s="1098"/>
      <c r="GL521" s="1098"/>
      <c r="GM521" s="1098"/>
      <c r="GN521" s="1098"/>
      <c r="GO521" s="1098"/>
      <c r="GP521" s="1098"/>
      <c r="GQ521" s="1098"/>
      <c r="GR521" s="1098"/>
      <c r="GS521" s="1098"/>
      <c r="GT521" s="1098"/>
      <c r="GU521" s="1098"/>
      <c r="GV521" s="1098"/>
      <c r="GW521" s="1098"/>
      <c r="GX521" s="1098"/>
      <c r="GY521" s="1098"/>
      <c r="GZ521" s="1098"/>
      <c r="HA521" s="1098"/>
      <c r="HB521" s="1098"/>
      <c r="HC521" s="1098"/>
      <c r="HD521" s="1098"/>
      <c r="HE521" s="1098"/>
      <c r="HF521" s="1098"/>
      <c r="HG521" s="1098"/>
      <c r="HH521" s="1098"/>
      <c r="HI521" s="1098"/>
      <c r="HJ521" s="1098"/>
      <c r="HK521" s="1098"/>
      <c r="HL521" s="1098"/>
      <c r="HM521" s="1098"/>
      <c r="HN521" s="1098"/>
      <c r="HO521" s="1098"/>
      <c r="HP521" s="1098"/>
      <c r="HQ521" s="1098"/>
      <c r="HR521" s="1098"/>
      <c r="HS521" s="1098"/>
      <c r="HT521" s="1098"/>
      <c r="HU521" s="1098"/>
      <c r="HV521" s="1098"/>
      <c r="HW521" s="1098"/>
      <c r="HX521" s="1098"/>
      <c r="HY521" s="1098"/>
      <c r="HZ521" s="1098"/>
      <c r="IA521" s="1098"/>
      <c r="IB521" s="1098"/>
      <c r="IC521" s="1098"/>
      <c r="ID521" s="1098"/>
      <c r="IE521" s="1098"/>
      <c r="IF521" s="1098"/>
      <c r="IG521" s="1098"/>
      <c r="IH521" s="1098"/>
      <c r="II521" s="1098"/>
      <c r="IJ521" s="1098"/>
      <c r="IK521" s="1098"/>
      <c r="IL521" s="1098"/>
      <c r="IM521" s="1098"/>
      <c r="IN521" s="1098"/>
      <c r="IO521" s="1098"/>
      <c r="IP521" s="1098"/>
      <c r="IQ521" s="1098"/>
      <c r="IR521" s="1098"/>
      <c r="IS521" s="1098"/>
      <c r="IT521" s="1098"/>
      <c r="IU521" s="1098"/>
      <c r="IV521" s="1098"/>
      <c r="IW521" s="1098"/>
      <c r="IX521" s="1098"/>
      <c r="IY521" s="1098"/>
      <c r="IZ521" s="1098"/>
      <c r="JA521" s="1098"/>
      <c r="JB521" s="1098"/>
      <c r="JC521" s="1098"/>
      <c r="JD521" s="1098"/>
      <c r="JE521" s="1098"/>
      <c r="JF521" s="1098"/>
      <c r="JG521" s="1098"/>
      <c r="JH521" s="1098"/>
      <c r="JI521" s="1098"/>
      <c r="JJ521" s="1098"/>
      <c r="JK521" s="1098"/>
      <c r="JL521" s="1098"/>
      <c r="JM521" s="1098"/>
      <c r="JN521" s="1098"/>
      <c r="JO521" s="1098"/>
      <c r="JP521" s="1098"/>
      <c r="JQ521" s="1098"/>
      <c r="JR521" s="1098"/>
      <c r="JS521" s="1098"/>
      <c r="JT521" s="1098"/>
      <c r="JU521" s="1098"/>
      <c r="JV521" s="1098"/>
      <c r="JW521" s="1098"/>
      <c r="JX521" s="1098"/>
      <c r="JY521" s="1098"/>
      <c r="JZ521" s="1098"/>
      <c r="KA521" s="1098"/>
      <c r="KB521" s="1099"/>
    </row>
    <row r="522" spans="1:288" ht="15" customHeight="1" x14ac:dyDescent="0.35">
      <c r="B522" s="146" t="str">
        <f t="shared" si="39"/>
        <v>Desk 98</v>
      </c>
      <c r="C522" s="148" t="str">
        <v/>
      </c>
      <c r="D522" s="148" t="str">
        <v/>
      </c>
      <c r="E522" s="148" t="str">
        <v/>
      </c>
      <c r="F522" s="148" t="str">
        <v/>
      </c>
      <c r="G522" s="268" t="str">
        <v/>
      </c>
      <c r="H522" s="1098"/>
      <c r="I522" s="1098"/>
      <c r="J522" s="1098"/>
      <c r="K522" s="1098"/>
      <c r="L522" s="1098"/>
      <c r="M522" s="1098"/>
      <c r="N522" s="1098"/>
      <c r="O522" s="1098"/>
      <c r="P522" s="1098"/>
      <c r="Q522" s="1098"/>
      <c r="R522" s="1098"/>
      <c r="S522" s="1098"/>
      <c r="T522" s="1098"/>
      <c r="U522" s="1098"/>
      <c r="V522" s="1098"/>
      <c r="W522" s="1098"/>
      <c r="X522" s="1098"/>
      <c r="Y522" s="1098"/>
      <c r="Z522" s="1098"/>
      <c r="AA522" s="1098"/>
      <c r="AB522" s="1098"/>
      <c r="AC522" s="1098"/>
      <c r="AD522" s="1098"/>
      <c r="AE522" s="1098"/>
      <c r="AF522" s="1098"/>
      <c r="AG522" s="1098"/>
      <c r="AH522" s="1098"/>
      <c r="AI522" s="1098"/>
      <c r="AJ522" s="1098"/>
      <c r="AK522" s="1098"/>
      <c r="AL522" s="1098"/>
      <c r="AM522" s="1098"/>
      <c r="AN522" s="1098"/>
      <c r="AO522" s="1098"/>
      <c r="AP522" s="1098"/>
      <c r="AQ522" s="1098"/>
      <c r="AR522" s="1098"/>
      <c r="AS522" s="1098"/>
      <c r="AT522" s="1098"/>
      <c r="AU522" s="1098"/>
      <c r="AV522" s="1098"/>
      <c r="AW522" s="1098"/>
      <c r="AX522" s="1098"/>
      <c r="AY522" s="1098"/>
      <c r="AZ522" s="1098"/>
      <c r="BA522" s="1098"/>
      <c r="BB522" s="1098"/>
      <c r="BC522" s="1098"/>
      <c r="BD522" s="1098"/>
      <c r="BE522" s="1098"/>
      <c r="BF522" s="1098"/>
      <c r="BG522" s="1098"/>
      <c r="BH522" s="1098"/>
      <c r="BI522" s="1098"/>
      <c r="BJ522" s="1098"/>
      <c r="BK522" s="1098"/>
      <c r="BL522" s="1098"/>
      <c r="BM522" s="1098"/>
      <c r="BN522" s="1098"/>
      <c r="BO522" s="1098"/>
      <c r="BP522" s="1098"/>
      <c r="BQ522" s="1098"/>
      <c r="BR522" s="1098"/>
      <c r="BS522" s="1098"/>
      <c r="BT522" s="1098"/>
      <c r="BU522" s="1098"/>
      <c r="BV522" s="1098"/>
      <c r="BW522" s="1098"/>
      <c r="BX522" s="1098"/>
      <c r="BY522" s="1098"/>
      <c r="BZ522" s="1098"/>
      <c r="CA522" s="1098"/>
      <c r="CB522" s="1098"/>
      <c r="CC522" s="1098"/>
      <c r="CD522" s="1098"/>
      <c r="CE522" s="1098"/>
      <c r="CF522" s="1098"/>
      <c r="CG522" s="1098"/>
      <c r="CH522" s="1098"/>
      <c r="CI522" s="1098"/>
      <c r="CJ522" s="1098"/>
      <c r="CK522" s="1098"/>
      <c r="CL522" s="1098"/>
      <c r="CM522" s="1098"/>
      <c r="CN522" s="1098"/>
      <c r="CO522" s="1098"/>
      <c r="CP522" s="1098"/>
      <c r="CQ522" s="1098"/>
      <c r="CR522" s="1098"/>
      <c r="CS522" s="1098"/>
      <c r="CT522" s="1098"/>
      <c r="CU522" s="1098"/>
      <c r="CV522" s="1098"/>
      <c r="CW522" s="1098"/>
      <c r="CX522" s="1098"/>
      <c r="CY522" s="1098"/>
      <c r="CZ522" s="1098"/>
      <c r="DA522" s="1098"/>
      <c r="DB522" s="1098"/>
      <c r="DC522" s="1098"/>
      <c r="DD522" s="1098"/>
      <c r="DE522" s="1098"/>
      <c r="DF522" s="1098"/>
      <c r="DG522" s="1098"/>
      <c r="DH522" s="1098"/>
      <c r="DI522" s="1098"/>
      <c r="DJ522" s="1098"/>
      <c r="DK522" s="1098"/>
      <c r="DL522" s="1098"/>
      <c r="DM522" s="1098"/>
      <c r="DN522" s="1098"/>
      <c r="DO522" s="1098"/>
      <c r="DP522" s="1098"/>
      <c r="DQ522" s="1098"/>
      <c r="DR522" s="1098"/>
      <c r="DS522" s="1098"/>
      <c r="DT522" s="1098"/>
      <c r="DU522" s="1098"/>
      <c r="DV522" s="1098"/>
      <c r="DW522" s="1098"/>
      <c r="DX522" s="1098"/>
      <c r="DY522" s="1098"/>
      <c r="DZ522" s="1098"/>
      <c r="EA522" s="1098"/>
      <c r="EB522" s="1098"/>
      <c r="EC522" s="1098"/>
      <c r="ED522" s="1098"/>
      <c r="EE522" s="1098"/>
      <c r="EF522" s="1098"/>
      <c r="EG522" s="1098"/>
      <c r="EH522" s="1098"/>
      <c r="EI522" s="1098"/>
      <c r="EJ522" s="1098"/>
      <c r="EK522" s="1098"/>
      <c r="EL522" s="1098"/>
      <c r="EM522" s="1098"/>
      <c r="EN522" s="1098"/>
      <c r="EO522" s="1098"/>
      <c r="EP522" s="1098"/>
      <c r="EQ522" s="1098"/>
      <c r="ER522" s="1098"/>
      <c r="ES522" s="1098"/>
      <c r="ET522" s="1098"/>
      <c r="EU522" s="1098"/>
      <c r="EV522" s="1098"/>
      <c r="EW522" s="1098"/>
      <c r="EX522" s="1098"/>
      <c r="EY522" s="1098"/>
      <c r="EZ522" s="1098"/>
      <c r="FA522" s="1098"/>
      <c r="FB522" s="1098"/>
      <c r="FC522" s="1098"/>
      <c r="FD522" s="1098"/>
      <c r="FE522" s="1098"/>
      <c r="FF522" s="1098"/>
      <c r="FG522" s="1098"/>
      <c r="FH522" s="1098"/>
      <c r="FI522" s="1098"/>
      <c r="FJ522" s="1098"/>
      <c r="FK522" s="1098"/>
      <c r="FL522" s="1098"/>
      <c r="FM522" s="1098"/>
      <c r="FN522" s="1098"/>
      <c r="FO522" s="1098"/>
      <c r="FP522" s="1098"/>
      <c r="FQ522" s="1098"/>
      <c r="FR522" s="1098"/>
      <c r="FS522" s="1098"/>
      <c r="FT522" s="1098"/>
      <c r="FU522" s="1098"/>
      <c r="FV522" s="1098"/>
      <c r="FW522" s="1098"/>
      <c r="FX522" s="1098"/>
      <c r="FY522" s="1098"/>
      <c r="FZ522" s="1098"/>
      <c r="GA522" s="1098"/>
      <c r="GB522" s="1098"/>
      <c r="GC522" s="1098"/>
      <c r="GD522" s="1098"/>
      <c r="GE522" s="1098"/>
      <c r="GF522" s="1098"/>
      <c r="GG522" s="1098"/>
      <c r="GH522" s="1098"/>
      <c r="GI522" s="1098"/>
      <c r="GJ522" s="1098"/>
      <c r="GK522" s="1098"/>
      <c r="GL522" s="1098"/>
      <c r="GM522" s="1098"/>
      <c r="GN522" s="1098"/>
      <c r="GO522" s="1098"/>
      <c r="GP522" s="1098"/>
      <c r="GQ522" s="1098"/>
      <c r="GR522" s="1098"/>
      <c r="GS522" s="1098"/>
      <c r="GT522" s="1098"/>
      <c r="GU522" s="1098"/>
      <c r="GV522" s="1098"/>
      <c r="GW522" s="1098"/>
      <c r="GX522" s="1098"/>
      <c r="GY522" s="1098"/>
      <c r="GZ522" s="1098"/>
      <c r="HA522" s="1098"/>
      <c r="HB522" s="1098"/>
      <c r="HC522" s="1098"/>
      <c r="HD522" s="1098"/>
      <c r="HE522" s="1098"/>
      <c r="HF522" s="1098"/>
      <c r="HG522" s="1098"/>
      <c r="HH522" s="1098"/>
      <c r="HI522" s="1098"/>
      <c r="HJ522" s="1098"/>
      <c r="HK522" s="1098"/>
      <c r="HL522" s="1098"/>
      <c r="HM522" s="1098"/>
      <c r="HN522" s="1098"/>
      <c r="HO522" s="1098"/>
      <c r="HP522" s="1098"/>
      <c r="HQ522" s="1098"/>
      <c r="HR522" s="1098"/>
      <c r="HS522" s="1098"/>
      <c r="HT522" s="1098"/>
      <c r="HU522" s="1098"/>
      <c r="HV522" s="1098"/>
      <c r="HW522" s="1098"/>
      <c r="HX522" s="1098"/>
      <c r="HY522" s="1098"/>
      <c r="HZ522" s="1098"/>
      <c r="IA522" s="1098"/>
      <c r="IB522" s="1098"/>
      <c r="IC522" s="1098"/>
      <c r="ID522" s="1098"/>
      <c r="IE522" s="1098"/>
      <c r="IF522" s="1098"/>
      <c r="IG522" s="1098"/>
      <c r="IH522" s="1098"/>
      <c r="II522" s="1098"/>
      <c r="IJ522" s="1098"/>
      <c r="IK522" s="1098"/>
      <c r="IL522" s="1098"/>
      <c r="IM522" s="1098"/>
      <c r="IN522" s="1098"/>
      <c r="IO522" s="1098"/>
      <c r="IP522" s="1098"/>
      <c r="IQ522" s="1098"/>
      <c r="IR522" s="1098"/>
      <c r="IS522" s="1098"/>
      <c r="IT522" s="1098"/>
      <c r="IU522" s="1098"/>
      <c r="IV522" s="1098"/>
      <c r="IW522" s="1098"/>
      <c r="IX522" s="1098"/>
      <c r="IY522" s="1098"/>
      <c r="IZ522" s="1098"/>
      <c r="JA522" s="1098"/>
      <c r="JB522" s="1098"/>
      <c r="JC522" s="1098"/>
      <c r="JD522" s="1098"/>
      <c r="JE522" s="1098"/>
      <c r="JF522" s="1098"/>
      <c r="JG522" s="1098"/>
      <c r="JH522" s="1098"/>
      <c r="JI522" s="1098"/>
      <c r="JJ522" s="1098"/>
      <c r="JK522" s="1098"/>
      <c r="JL522" s="1098"/>
      <c r="JM522" s="1098"/>
      <c r="JN522" s="1098"/>
      <c r="JO522" s="1098"/>
      <c r="JP522" s="1098"/>
      <c r="JQ522" s="1098"/>
      <c r="JR522" s="1098"/>
      <c r="JS522" s="1098"/>
      <c r="JT522" s="1098"/>
      <c r="JU522" s="1098"/>
      <c r="JV522" s="1098"/>
      <c r="JW522" s="1098"/>
      <c r="JX522" s="1098"/>
      <c r="JY522" s="1098"/>
      <c r="JZ522" s="1098"/>
      <c r="KA522" s="1098"/>
      <c r="KB522" s="1099"/>
    </row>
    <row r="523" spans="1:288" ht="15" customHeight="1" x14ac:dyDescent="0.35">
      <c r="B523" s="146" t="str">
        <f t="shared" si="39"/>
        <v>Desk 99</v>
      </c>
      <c r="C523" s="148" t="str">
        <v/>
      </c>
      <c r="D523" s="148" t="str">
        <v/>
      </c>
      <c r="E523" s="148" t="str">
        <v/>
      </c>
      <c r="F523" s="148" t="str">
        <v/>
      </c>
      <c r="G523" s="268" t="str">
        <v/>
      </c>
      <c r="H523" s="1098"/>
      <c r="I523" s="1098"/>
      <c r="J523" s="1098"/>
      <c r="K523" s="1098"/>
      <c r="L523" s="1098"/>
      <c r="M523" s="1098"/>
      <c r="N523" s="1098"/>
      <c r="O523" s="1098"/>
      <c r="P523" s="1098"/>
      <c r="Q523" s="1098"/>
      <c r="R523" s="1098"/>
      <c r="S523" s="1098"/>
      <c r="T523" s="1098"/>
      <c r="U523" s="1098"/>
      <c r="V523" s="1098"/>
      <c r="W523" s="1098"/>
      <c r="X523" s="1098"/>
      <c r="Y523" s="1098"/>
      <c r="Z523" s="1098"/>
      <c r="AA523" s="1098"/>
      <c r="AB523" s="1098"/>
      <c r="AC523" s="1098"/>
      <c r="AD523" s="1098"/>
      <c r="AE523" s="1098"/>
      <c r="AF523" s="1098"/>
      <c r="AG523" s="1098"/>
      <c r="AH523" s="1098"/>
      <c r="AI523" s="1098"/>
      <c r="AJ523" s="1098"/>
      <c r="AK523" s="1098"/>
      <c r="AL523" s="1098"/>
      <c r="AM523" s="1098"/>
      <c r="AN523" s="1098"/>
      <c r="AO523" s="1098"/>
      <c r="AP523" s="1098"/>
      <c r="AQ523" s="1098"/>
      <c r="AR523" s="1098"/>
      <c r="AS523" s="1098"/>
      <c r="AT523" s="1098"/>
      <c r="AU523" s="1098"/>
      <c r="AV523" s="1098"/>
      <c r="AW523" s="1098"/>
      <c r="AX523" s="1098"/>
      <c r="AY523" s="1098"/>
      <c r="AZ523" s="1098"/>
      <c r="BA523" s="1098"/>
      <c r="BB523" s="1098"/>
      <c r="BC523" s="1098"/>
      <c r="BD523" s="1098"/>
      <c r="BE523" s="1098"/>
      <c r="BF523" s="1098"/>
      <c r="BG523" s="1098"/>
      <c r="BH523" s="1098"/>
      <c r="BI523" s="1098"/>
      <c r="BJ523" s="1098"/>
      <c r="BK523" s="1098"/>
      <c r="BL523" s="1098"/>
      <c r="BM523" s="1098"/>
      <c r="BN523" s="1098"/>
      <c r="BO523" s="1098"/>
      <c r="BP523" s="1098"/>
      <c r="BQ523" s="1098"/>
      <c r="BR523" s="1098"/>
      <c r="BS523" s="1098"/>
      <c r="BT523" s="1098"/>
      <c r="BU523" s="1098"/>
      <c r="BV523" s="1098"/>
      <c r="BW523" s="1098"/>
      <c r="BX523" s="1098"/>
      <c r="BY523" s="1098"/>
      <c r="BZ523" s="1098"/>
      <c r="CA523" s="1098"/>
      <c r="CB523" s="1098"/>
      <c r="CC523" s="1098"/>
      <c r="CD523" s="1098"/>
      <c r="CE523" s="1098"/>
      <c r="CF523" s="1098"/>
      <c r="CG523" s="1098"/>
      <c r="CH523" s="1098"/>
      <c r="CI523" s="1098"/>
      <c r="CJ523" s="1098"/>
      <c r="CK523" s="1098"/>
      <c r="CL523" s="1098"/>
      <c r="CM523" s="1098"/>
      <c r="CN523" s="1098"/>
      <c r="CO523" s="1098"/>
      <c r="CP523" s="1098"/>
      <c r="CQ523" s="1098"/>
      <c r="CR523" s="1098"/>
      <c r="CS523" s="1098"/>
      <c r="CT523" s="1098"/>
      <c r="CU523" s="1098"/>
      <c r="CV523" s="1098"/>
      <c r="CW523" s="1098"/>
      <c r="CX523" s="1098"/>
      <c r="CY523" s="1098"/>
      <c r="CZ523" s="1098"/>
      <c r="DA523" s="1098"/>
      <c r="DB523" s="1098"/>
      <c r="DC523" s="1098"/>
      <c r="DD523" s="1098"/>
      <c r="DE523" s="1098"/>
      <c r="DF523" s="1098"/>
      <c r="DG523" s="1098"/>
      <c r="DH523" s="1098"/>
      <c r="DI523" s="1098"/>
      <c r="DJ523" s="1098"/>
      <c r="DK523" s="1098"/>
      <c r="DL523" s="1098"/>
      <c r="DM523" s="1098"/>
      <c r="DN523" s="1098"/>
      <c r="DO523" s="1098"/>
      <c r="DP523" s="1098"/>
      <c r="DQ523" s="1098"/>
      <c r="DR523" s="1098"/>
      <c r="DS523" s="1098"/>
      <c r="DT523" s="1098"/>
      <c r="DU523" s="1098"/>
      <c r="DV523" s="1098"/>
      <c r="DW523" s="1098"/>
      <c r="DX523" s="1098"/>
      <c r="DY523" s="1098"/>
      <c r="DZ523" s="1098"/>
      <c r="EA523" s="1098"/>
      <c r="EB523" s="1098"/>
      <c r="EC523" s="1098"/>
      <c r="ED523" s="1098"/>
      <c r="EE523" s="1098"/>
      <c r="EF523" s="1098"/>
      <c r="EG523" s="1098"/>
      <c r="EH523" s="1098"/>
      <c r="EI523" s="1098"/>
      <c r="EJ523" s="1098"/>
      <c r="EK523" s="1098"/>
      <c r="EL523" s="1098"/>
      <c r="EM523" s="1098"/>
      <c r="EN523" s="1098"/>
      <c r="EO523" s="1098"/>
      <c r="EP523" s="1098"/>
      <c r="EQ523" s="1098"/>
      <c r="ER523" s="1098"/>
      <c r="ES523" s="1098"/>
      <c r="ET523" s="1098"/>
      <c r="EU523" s="1098"/>
      <c r="EV523" s="1098"/>
      <c r="EW523" s="1098"/>
      <c r="EX523" s="1098"/>
      <c r="EY523" s="1098"/>
      <c r="EZ523" s="1098"/>
      <c r="FA523" s="1098"/>
      <c r="FB523" s="1098"/>
      <c r="FC523" s="1098"/>
      <c r="FD523" s="1098"/>
      <c r="FE523" s="1098"/>
      <c r="FF523" s="1098"/>
      <c r="FG523" s="1098"/>
      <c r="FH523" s="1098"/>
      <c r="FI523" s="1098"/>
      <c r="FJ523" s="1098"/>
      <c r="FK523" s="1098"/>
      <c r="FL523" s="1098"/>
      <c r="FM523" s="1098"/>
      <c r="FN523" s="1098"/>
      <c r="FO523" s="1098"/>
      <c r="FP523" s="1098"/>
      <c r="FQ523" s="1098"/>
      <c r="FR523" s="1098"/>
      <c r="FS523" s="1098"/>
      <c r="FT523" s="1098"/>
      <c r="FU523" s="1098"/>
      <c r="FV523" s="1098"/>
      <c r="FW523" s="1098"/>
      <c r="FX523" s="1098"/>
      <c r="FY523" s="1098"/>
      <c r="FZ523" s="1098"/>
      <c r="GA523" s="1098"/>
      <c r="GB523" s="1098"/>
      <c r="GC523" s="1098"/>
      <c r="GD523" s="1098"/>
      <c r="GE523" s="1098"/>
      <c r="GF523" s="1098"/>
      <c r="GG523" s="1098"/>
      <c r="GH523" s="1098"/>
      <c r="GI523" s="1098"/>
      <c r="GJ523" s="1098"/>
      <c r="GK523" s="1098"/>
      <c r="GL523" s="1098"/>
      <c r="GM523" s="1098"/>
      <c r="GN523" s="1098"/>
      <c r="GO523" s="1098"/>
      <c r="GP523" s="1098"/>
      <c r="GQ523" s="1098"/>
      <c r="GR523" s="1098"/>
      <c r="GS523" s="1098"/>
      <c r="GT523" s="1098"/>
      <c r="GU523" s="1098"/>
      <c r="GV523" s="1098"/>
      <c r="GW523" s="1098"/>
      <c r="GX523" s="1098"/>
      <c r="GY523" s="1098"/>
      <c r="GZ523" s="1098"/>
      <c r="HA523" s="1098"/>
      <c r="HB523" s="1098"/>
      <c r="HC523" s="1098"/>
      <c r="HD523" s="1098"/>
      <c r="HE523" s="1098"/>
      <c r="HF523" s="1098"/>
      <c r="HG523" s="1098"/>
      <c r="HH523" s="1098"/>
      <c r="HI523" s="1098"/>
      <c r="HJ523" s="1098"/>
      <c r="HK523" s="1098"/>
      <c r="HL523" s="1098"/>
      <c r="HM523" s="1098"/>
      <c r="HN523" s="1098"/>
      <c r="HO523" s="1098"/>
      <c r="HP523" s="1098"/>
      <c r="HQ523" s="1098"/>
      <c r="HR523" s="1098"/>
      <c r="HS523" s="1098"/>
      <c r="HT523" s="1098"/>
      <c r="HU523" s="1098"/>
      <c r="HV523" s="1098"/>
      <c r="HW523" s="1098"/>
      <c r="HX523" s="1098"/>
      <c r="HY523" s="1098"/>
      <c r="HZ523" s="1098"/>
      <c r="IA523" s="1098"/>
      <c r="IB523" s="1098"/>
      <c r="IC523" s="1098"/>
      <c r="ID523" s="1098"/>
      <c r="IE523" s="1098"/>
      <c r="IF523" s="1098"/>
      <c r="IG523" s="1098"/>
      <c r="IH523" s="1098"/>
      <c r="II523" s="1098"/>
      <c r="IJ523" s="1098"/>
      <c r="IK523" s="1098"/>
      <c r="IL523" s="1098"/>
      <c r="IM523" s="1098"/>
      <c r="IN523" s="1098"/>
      <c r="IO523" s="1098"/>
      <c r="IP523" s="1098"/>
      <c r="IQ523" s="1098"/>
      <c r="IR523" s="1098"/>
      <c r="IS523" s="1098"/>
      <c r="IT523" s="1098"/>
      <c r="IU523" s="1098"/>
      <c r="IV523" s="1098"/>
      <c r="IW523" s="1098"/>
      <c r="IX523" s="1098"/>
      <c r="IY523" s="1098"/>
      <c r="IZ523" s="1098"/>
      <c r="JA523" s="1098"/>
      <c r="JB523" s="1098"/>
      <c r="JC523" s="1098"/>
      <c r="JD523" s="1098"/>
      <c r="JE523" s="1098"/>
      <c r="JF523" s="1098"/>
      <c r="JG523" s="1098"/>
      <c r="JH523" s="1098"/>
      <c r="JI523" s="1098"/>
      <c r="JJ523" s="1098"/>
      <c r="JK523" s="1098"/>
      <c r="JL523" s="1098"/>
      <c r="JM523" s="1098"/>
      <c r="JN523" s="1098"/>
      <c r="JO523" s="1098"/>
      <c r="JP523" s="1098"/>
      <c r="JQ523" s="1098"/>
      <c r="JR523" s="1098"/>
      <c r="JS523" s="1098"/>
      <c r="JT523" s="1098"/>
      <c r="JU523" s="1098"/>
      <c r="JV523" s="1098"/>
      <c r="JW523" s="1098"/>
      <c r="JX523" s="1098"/>
      <c r="JY523" s="1098"/>
      <c r="JZ523" s="1098"/>
      <c r="KA523" s="1098"/>
      <c r="KB523" s="1099"/>
    </row>
    <row r="524" spans="1:288" ht="15" customHeight="1" x14ac:dyDescent="0.35">
      <c r="B524" s="147" t="str">
        <f t="shared" si="39"/>
        <v>Desk 100</v>
      </c>
      <c r="C524" s="150" t="str">
        <v/>
      </c>
      <c r="D524" s="150" t="str">
        <v/>
      </c>
      <c r="E524" s="150" t="str">
        <v/>
      </c>
      <c r="F524" s="150" t="str">
        <v/>
      </c>
      <c r="G524" s="268" t="str">
        <v/>
      </c>
      <c r="H524" s="1100"/>
      <c r="I524" s="1100"/>
      <c r="J524" s="1100"/>
      <c r="K524" s="1100"/>
      <c r="L524" s="1100"/>
      <c r="M524" s="1100"/>
      <c r="N524" s="1100"/>
      <c r="O524" s="1100"/>
      <c r="P524" s="1100"/>
      <c r="Q524" s="1100"/>
      <c r="R524" s="1100"/>
      <c r="S524" s="1100"/>
      <c r="T524" s="1100"/>
      <c r="U524" s="1100"/>
      <c r="V524" s="1100"/>
      <c r="W524" s="1100"/>
      <c r="X524" s="1100"/>
      <c r="Y524" s="1100"/>
      <c r="Z524" s="1100"/>
      <c r="AA524" s="1100"/>
      <c r="AB524" s="1100"/>
      <c r="AC524" s="1100"/>
      <c r="AD524" s="1100"/>
      <c r="AE524" s="1100"/>
      <c r="AF524" s="1100"/>
      <c r="AG524" s="1100"/>
      <c r="AH524" s="1100"/>
      <c r="AI524" s="1100"/>
      <c r="AJ524" s="1100"/>
      <c r="AK524" s="1100"/>
      <c r="AL524" s="1100"/>
      <c r="AM524" s="1100"/>
      <c r="AN524" s="1100"/>
      <c r="AO524" s="1100"/>
      <c r="AP524" s="1100"/>
      <c r="AQ524" s="1100"/>
      <c r="AR524" s="1100"/>
      <c r="AS524" s="1100"/>
      <c r="AT524" s="1100"/>
      <c r="AU524" s="1100"/>
      <c r="AV524" s="1100"/>
      <c r="AW524" s="1100"/>
      <c r="AX524" s="1100"/>
      <c r="AY524" s="1100"/>
      <c r="AZ524" s="1100"/>
      <c r="BA524" s="1100"/>
      <c r="BB524" s="1100"/>
      <c r="BC524" s="1100"/>
      <c r="BD524" s="1100"/>
      <c r="BE524" s="1100"/>
      <c r="BF524" s="1100"/>
      <c r="BG524" s="1100"/>
      <c r="BH524" s="1100"/>
      <c r="BI524" s="1100"/>
      <c r="BJ524" s="1100"/>
      <c r="BK524" s="1100"/>
      <c r="BL524" s="1100"/>
      <c r="BM524" s="1100"/>
      <c r="BN524" s="1100"/>
      <c r="BO524" s="1100"/>
      <c r="BP524" s="1100"/>
      <c r="BQ524" s="1100"/>
      <c r="BR524" s="1100"/>
      <c r="BS524" s="1100"/>
      <c r="BT524" s="1100"/>
      <c r="BU524" s="1100"/>
      <c r="BV524" s="1100"/>
      <c r="BW524" s="1100"/>
      <c r="BX524" s="1100"/>
      <c r="BY524" s="1100"/>
      <c r="BZ524" s="1100"/>
      <c r="CA524" s="1100"/>
      <c r="CB524" s="1100"/>
      <c r="CC524" s="1100"/>
      <c r="CD524" s="1100"/>
      <c r="CE524" s="1100"/>
      <c r="CF524" s="1100"/>
      <c r="CG524" s="1100"/>
      <c r="CH524" s="1100"/>
      <c r="CI524" s="1100"/>
      <c r="CJ524" s="1100"/>
      <c r="CK524" s="1100"/>
      <c r="CL524" s="1100"/>
      <c r="CM524" s="1100"/>
      <c r="CN524" s="1100"/>
      <c r="CO524" s="1100"/>
      <c r="CP524" s="1100"/>
      <c r="CQ524" s="1100"/>
      <c r="CR524" s="1100"/>
      <c r="CS524" s="1100"/>
      <c r="CT524" s="1100"/>
      <c r="CU524" s="1100"/>
      <c r="CV524" s="1100"/>
      <c r="CW524" s="1100"/>
      <c r="CX524" s="1100"/>
      <c r="CY524" s="1100"/>
      <c r="CZ524" s="1100"/>
      <c r="DA524" s="1100"/>
      <c r="DB524" s="1100"/>
      <c r="DC524" s="1100"/>
      <c r="DD524" s="1100"/>
      <c r="DE524" s="1100"/>
      <c r="DF524" s="1100"/>
      <c r="DG524" s="1100"/>
      <c r="DH524" s="1100"/>
      <c r="DI524" s="1100"/>
      <c r="DJ524" s="1100"/>
      <c r="DK524" s="1100"/>
      <c r="DL524" s="1100"/>
      <c r="DM524" s="1100"/>
      <c r="DN524" s="1100"/>
      <c r="DO524" s="1100"/>
      <c r="DP524" s="1100"/>
      <c r="DQ524" s="1100"/>
      <c r="DR524" s="1100"/>
      <c r="DS524" s="1100"/>
      <c r="DT524" s="1100"/>
      <c r="DU524" s="1100"/>
      <c r="DV524" s="1100"/>
      <c r="DW524" s="1100"/>
      <c r="DX524" s="1100"/>
      <c r="DY524" s="1100"/>
      <c r="DZ524" s="1100"/>
      <c r="EA524" s="1100"/>
      <c r="EB524" s="1100"/>
      <c r="EC524" s="1100"/>
      <c r="ED524" s="1100"/>
      <c r="EE524" s="1100"/>
      <c r="EF524" s="1100"/>
      <c r="EG524" s="1100"/>
      <c r="EH524" s="1100"/>
      <c r="EI524" s="1100"/>
      <c r="EJ524" s="1100"/>
      <c r="EK524" s="1100"/>
      <c r="EL524" s="1100"/>
      <c r="EM524" s="1100"/>
      <c r="EN524" s="1100"/>
      <c r="EO524" s="1100"/>
      <c r="EP524" s="1100"/>
      <c r="EQ524" s="1100"/>
      <c r="ER524" s="1100"/>
      <c r="ES524" s="1100"/>
      <c r="ET524" s="1100"/>
      <c r="EU524" s="1100"/>
      <c r="EV524" s="1100"/>
      <c r="EW524" s="1100"/>
      <c r="EX524" s="1100"/>
      <c r="EY524" s="1100"/>
      <c r="EZ524" s="1100"/>
      <c r="FA524" s="1100"/>
      <c r="FB524" s="1100"/>
      <c r="FC524" s="1100"/>
      <c r="FD524" s="1100"/>
      <c r="FE524" s="1100"/>
      <c r="FF524" s="1100"/>
      <c r="FG524" s="1100"/>
      <c r="FH524" s="1100"/>
      <c r="FI524" s="1100"/>
      <c r="FJ524" s="1100"/>
      <c r="FK524" s="1100"/>
      <c r="FL524" s="1100"/>
      <c r="FM524" s="1100"/>
      <c r="FN524" s="1100"/>
      <c r="FO524" s="1100"/>
      <c r="FP524" s="1100"/>
      <c r="FQ524" s="1100"/>
      <c r="FR524" s="1100"/>
      <c r="FS524" s="1100"/>
      <c r="FT524" s="1100"/>
      <c r="FU524" s="1100"/>
      <c r="FV524" s="1100"/>
      <c r="FW524" s="1100"/>
      <c r="FX524" s="1100"/>
      <c r="FY524" s="1100"/>
      <c r="FZ524" s="1100"/>
      <c r="GA524" s="1100"/>
      <c r="GB524" s="1100"/>
      <c r="GC524" s="1100"/>
      <c r="GD524" s="1100"/>
      <c r="GE524" s="1100"/>
      <c r="GF524" s="1100"/>
      <c r="GG524" s="1100"/>
      <c r="GH524" s="1100"/>
      <c r="GI524" s="1100"/>
      <c r="GJ524" s="1100"/>
      <c r="GK524" s="1100"/>
      <c r="GL524" s="1100"/>
      <c r="GM524" s="1100"/>
      <c r="GN524" s="1100"/>
      <c r="GO524" s="1100"/>
      <c r="GP524" s="1100"/>
      <c r="GQ524" s="1100"/>
      <c r="GR524" s="1100"/>
      <c r="GS524" s="1100"/>
      <c r="GT524" s="1100"/>
      <c r="GU524" s="1100"/>
      <c r="GV524" s="1100"/>
      <c r="GW524" s="1100"/>
      <c r="GX524" s="1100"/>
      <c r="GY524" s="1100"/>
      <c r="GZ524" s="1100"/>
      <c r="HA524" s="1100"/>
      <c r="HB524" s="1100"/>
      <c r="HC524" s="1100"/>
      <c r="HD524" s="1100"/>
      <c r="HE524" s="1100"/>
      <c r="HF524" s="1100"/>
      <c r="HG524" s="1100"/>
      <c r="HH524" s="1100"/>
      <c r="HI524" s="1100"/>
      <c r="HJ524" s="1100"/>
      <c r="HK524" s="1100"/>
      <c r="HL524" s="1100"/>
      <c r="HM524" s="1100"/>
      <c r="HN524" s="1100"/>
      <c r="HO524" s="1100"/>
      <c r="HP524" s="1100"/>
      <c r="HQ524" s="1100"/>
      <c r="HR524" s="1100"/>
      <c r="HS524" s="1100"/>
      <c r="HT524" s="1100"/>
      <c r="HU524" s="1100"/>
      <c r="HV524" s="1100"/>
      <c r="HW524" s="1100"/>
      <c r="HX524" s="1100"/>
      <c r="HY524" s="1100"/>
      <c r="HZ524" s="1100"/>
      <c r="IA524" s="1100"/>
      <c r="IB524" s="1100"/>
      <c r="IC524" s="1100"/>
      <c r="ID524" s="1100"/>
      <c r="IE524" s="1100"/>
      <c r="IF524" s="1100"/>
      <c r="IG524" s="1100"/>
      <c r="IH524" s="1100"/>
      <c r="II524" s="1100"/>
      <c r="IJ524" s="1100"/>
      <c r="IK524" s="1100"/>
      <c r="IL524" s="1100"/>
      <c r="IM524" s="1100"/>
      <c r="IN524" s="1100"/>
      <c r="IO524" s="1100"/>
      <c r="IP524" s="1100"/>
      <c r="IQ524" s="1100"/>
      <c r="IR524" s="1100"/>
      <c r="IS524" s="1100"/>
      <c r="IT524" s="1100"/>
      <c r="IU524" s="1100"/>
      <c r="IV524" s="1100"/>
      <c r="IW524" s="1100"/>
      <c r="IX524" s="1100"/>
      <c r="IY524" s="1100"/>
      <c r="IZ524" s="1100"/>
      <c r="JA524" s="1100"/>
      <c r="JB524" s="1100"/>
      <c r="JC524" s="1100"/>
      <c r="JD524" s="1100"/>
      <c r="JE524" s="1100"/>
      <c r="JF524" s="1100"/>
      <c r="JG524" s="1100"/>
      <c r="JH524" s="1100"/>
      <c r="JI524" s="1100"/>
      <c r="JJ524" s="1100"/>
      <c r="JK524" s="1100"/>
      <c r="JL524" s="1100"/>
      <c r="JM524" s="1100"/>
      <c r="JN524" s="1100"/>
      <c r="JO524" s="1100"/>
      <c r="JP524" s="1100"/>
      <c r="JQ524" s="1100"/>
      <c r="JR524" s="1100"/>
      <c r="JS524" s="1100"/>
      <c r="JT524" s="1100"/>
      <c r="JU524" s="1100"/>
      <c r="JV524" s="1100"/>
      <c r="JW524" s="1100"/>
      <c r="JX524" s="1100"/>
      <c r="JY524" s="1100"/>
      <c r="JZ524" s="1100"/>
      <c r="KA524" s="1100"/>
      <c r="KB524" s="1101"/>
    </row>
    <row r="525" spans="1:288" ht="15" customHeight="1" x14ac:dyDescent="0.35">
      <c r="B525" s="1829" t="s">
        <v>1605</v>
      </c>
      <c r="C525" s="1102"/>
      <c r="D525" s="1102"/>
      <c r="E525" s="1102"/>
      <c r="F525" s="1102"/>
      <c r="G525" s="1102"/>
      <c r="H525" s="1103"/>
      <c r="I525" s="1103"/>
      <c r="J525" s="1103"/>
      <c r="K525" s="1103"/>
      <c r="L525" s="1103"/>
      <c r="M525" s="1103"/>
      <c r="N525" s="1103"/>
      <c r="O525" s="1103"/>
      <c r="P525" s="1103"/>
      <c r="Q525" s="1103"/>
      <c r="R525" s="1103"/>
      <c r="S525" s="1103"/>
      <c r="T525" s="1103"/>
      <c r="U525" s="1103"/>
      <c r="V525" s="1103"/>
      <c r="W525" s="1103"/>
      <c r="X525" s="1103"/>
      <c r="Y525" s="1103"/>
      <c r="Z525" s="1103"/>
      <c r="AA525" s="1103"/>
      <c r="AB525" s="1103"/>
      <c r="AC525" s="1103"/>
      <c r="AD525" s="1103"/>
      <c r="AE525" s="1103"/>
      <c r="AF525" s="1103"/>
      <c r="AG525" s="1103"/>
      <c r="AH525" s="1103"/>
      <c r="AI525" s="1103"/>
      <c r="AJ525" s="1103"/>
      <c r="AK525" s="1103"/>
      <c r="AL525" s="1103"/>
      <c r="AM525" s="1103"/>
      <c r="AN525" s="1103"/>
      <c r="AO525" s="1103"/>
      <c r="AP525" s="1103"/>
      <c r="AQ525" s="1103"/>
      <c r="AR525" s="1103"/>
      <c r="AS525" s="1103"/>
      <c r="AT525" s="1103"/>
      <c r="AU525" s="1103"/>
      <c r="AV525" s="1103"/>
      <c r="AW525" s="1103"/>
      <c r="AX525" s="1103"/>
      <c r="AY525" s="1103"/>
      <c r="AZ525" s="1103"/>
      <c r="BA525" s="1103"/>
      <c r="BB525" s="1103"/>
      <c r="BC525" s="1103"/>
      <c r="BD525" s="1103"/>
      <c r="BE525" s="1103"/>
      <c r="BF525" s="1103"/>
      <c r="BG525" s="1103"/>
      <c r="BH525" s="1103"/>
      <c r="BI525" s="1103"/>
      <c r="BJ525" s="1103"/>
      <c r="BK525" s="1103"/>
      <c r="BL525" s="1103"/>
      <c r="BM525" s="1103"/>
      <c r="BN525" s="1103"/>
      <c r="BO525" s="1103"/>
      <c r="BP525" s="1103"/>
      <c r="BQ525" s="1103"/>
      <c r="BR525" s="1103"/>
      <c r="BS525" s="1103"/>
      <c r="BT525" s="1103"/>
      <c r="BU525" s="1103"/>
      <c r="BV525" s="1103"/>
      <c r="BW525" s="1103"/>
      <c r="BX525" s="1103"/>
      <c r="BY525" s="1103"/>
      <c r="BZ525" s="1103"/>
      <c r="CA525" s="1103"/>
      <c r="CB525" s="1103"/>
      <c r="CC525" s="1103"/>
      <c r="CD525" s="1103"/>
      <c r="CE525" s="1103"/>
      <c r="CF525" s="1103"/>
      <c r="CG525" s="1103"/>
      <c r="CH525" s="1103"/>
      <c r="CI525" s="1103"/>
      <c r="CJ525" s="1103"/>
      <c r="CK525" s="1103"/>
      <c r="CL525" s="1103"/>
      <c r="CM525" s="1103"/>
      <c r="CN525" s="1103"/>
      <c r="CO525" s="1103"/>
      <c r="CP525" s="1103"/>
      <c r="CQ525" s="1103"/>
      <c r="CR525" s="1103"/>
      <c r="CS525" s="1103"/>
      <c r="CT525" s="1103"/>
      <c r="CU525" s="1103"/>
      <c r="CV525" s="1103"/>
      <c r="CW525" s="1103"/>
      <c r="CX525" s="1103"/>
      <c r="CY525" s="1103"/>
      <c r="CZ525" s="1103"/>
      <c r="DA525" s="1103"/>
      <c r="DB525" s="1103"/>
      <c r="DC525" s="1103"/>
      <c r="DD525" s="1103"/>
      <c r="DE525" s="1103"/>
      <c r="DF525" s="1103"/>
      <c r="DG525" s="1103"/>
      <c r="DH525" s="1103"/>
      <c r="DI525" s="1103"/>
      <c r="DJ525" s="1103"/>
      <c r="DK525" s="1103"/>
      <c r="DL525" s="1103"/>
      <c r="DM525" s="1103"/>
      <c r="DN525" s="1103"/>
      <c r="DO525" s="1103"/>
      <c r="DP525" s="1103"/>
      <c r="DQ525" s="1103"/>
      <c r="DR525" s="1103"/>
      <c r="DS525" s="1103"/>
      <c r="DT525" s="1103"/>
      <c r="DU525" s="1103"/>
      <c r="DV525" s="1103"/>
      <c r="DW525" s="1103"/>
      <c r="DX525" s="1103"/>
      <c r="DY525" s="1103"/>
      <c r="DZ525" s="1103"/>
      <c r="EA525" s="1103"/>
      <c r="EB525" s="1103"/>
      <c r="EC525" s="1103"/>
      <c r="ED525" s="1103"/>
      <c r="EE525" s="1103"/>
      <c r="EF525" s="1103"/>
      <c r="EG525" s="1103"/>
      <c r="EH525" s="1103"/>
      <c r="EI525" s="1103"/>
      <c r="EJ525" s="1103"/>
      <c r="EK525" s="1103"/>
      <c r="EL525" s="1103"/>
      <c r="EM525" s="1103"/>
      <c r="EN525" s="1103"/>
      <c r="EO525" s="1103"/>
      <c r="EP525" s="1103"/>
      <c r="EQ525" s="1103"/>
      <c r="ER525" s="1103"/>
      <c r="ES525" s="1103"/>
      <c r="ET525" s="1103"/>
      <c r="EU525" s="1103"/>
      <c r="EV525" s="1103"/>
      <c r="EW525" s="1103"/>
      <c r="EX525" s="1103"/>
      <c r="EY525" s="1103"/>
      <c r="EZ525" s="1103"/>
      <c r="FA525" s="1103"/>
      <c r="FB525" s="1103"/>
      <c r="FC525" s="1103"/>
      <c r="FD525" s="1103"/>
      <c r="FE525" s="1103"/>
      <c r="FF525" s="1103"/>
      <c r="FG525" s="1103"/>
      <c r="FH525" s="1103"/>
      <c r="FI525" s="1103"/>
      <c r="FJ525" s="1103"/>
      <c r="FK525" s="1103"/>
      <c r="FL525" s="1103"/>
      <c r="FM525" s="1103"/>
      <c r="FN525" s="1103"/>
      <c r="FO525" s="1103"/>
      <c r="FP525" s="1103"/>
      <c r="FQ525" s="1103"/>
      <c r="FR525" s="1103"/>
      <c r="FS525" s="1103"/>
      <c r="FT525" s="1103"/>
      <c r="FU525" s="1103"/>
      <c r="FV525" s="1103"/>
      <c r="FW525" s="1103"/>
      <c r="FX525" s="1103"/>
      <c r="FY525" s="1103"/>
      <c r="FZ525" s="1103"/>
      <c r="GA525" s="1103"/>
      <c r="GB525" s="1103"/>
      <c r="GC525" s="1103"/>
      <c r="GD525" s="1103"/>
      <c r="GE525" s="1103"/>
      <c r="GF525" s="1103"/>
      <c r="GG525" s="1103"/>
      <c r="GH525" s="1103"/>
      <c r="GI525" s="1103"/>
      <c r="GJ525" s="1103"/>
      <c r="GK525" s="1103"/>
      <c r="GL525" s="1103"/>
      <c r="GM525" s="1103"/>
      <c r="GN525" s="1103"/>
      <c r="GO525" s="1103"/>
      <c r="GP525" s="1103"/>
      <c r="GQ525" s="1103"/>
      <c r="GR525" s="1103"/>
      <c r="GS525" s="1103"/>
      <c r="GT525" s="1103"/>
      <c r="GU525" s="1103"/>
      <c r="GV525" s="1103"/>
      <c r="GW525" s="1103"/>
      <c r="GX525" s="1103"/>
      <c r="GY525" s="1103"/>
      <c r="GZ525" s="1103"/>
      <c r="HA525" s="1103"/>
      <c r="HB525" s="1103"/>
      <c r="HC525" s="1103"/>
      <c r="HD525" s="1103"/>
      <c r="HE525" s="1103"/>
      <c r="HF525" s="1103"/>
      <c r="HG525" s="1103"/>
      <c r="HH525" s="1103"/>
      <c r="HI525" s="1103"/>
      <c r="HJ525" s="1103"/>
      <c r="HK525" s="1103"/>
      <c r="HL525" s="1103"/>
      <c r="HM525" s="1103"/>
      <c r="HN525" s="1103"/>
      <c r="HO525" s="1103"/>
      <c r="HP525" s="1103"/>
      <c r="HQ525" s="1103"/>
      <c r="HR525" s="1103"/>
      <c r="HS525" s="1103"/>
      <c r="HT525" s="1103"/>
      <c r="HU525" s="1103"/>
      <c r="HV525" s="1103"/>
      <c r="HW525" s="1103"/>
      <c r="HX525" s="1103"/>
      <c r="HY525" s="1103"/>
      <c r="HZ525" s="1103"/>
      <c r="IA525" s="1103"/>
      <c r="IB525" s="1103"/>
      <c r="IC525" s="1103"/>
      <c r="ID525" s="1103"/>
      <c r="IE525" s="1103"/>
      <c r="IF525" s="1103"/>
      <c r="IG525" s="1103"/>
      <c r="IH525" s="1103"/>
      <c r="II525" s="1103"/>
      <c r="IJ525" s="1103"/>
      <c r="IK525" s="1103"/>
      <c r="IL525" s="1103"/>
      <c r="IM525" s="1103"/>
      <c r="IN525" s="1103"/>
      <c r="IO525" s="1103"/>
      <c r="IP525" s="1103"/>
      <c r="IQ525" s="1103"/>
      <c r="IR525" s="1103"/>
      <c r="IS525" s="1103"/>
      <c r="IT525" s="1103"/>
      <c r="IU525" s="1103"/>
      <c r="IV525" s="1103"/>
      <c r="IW525" s="1103"/>
      <c r="IX525" s="1103"/>
      <c r="IY525" s="1103"/>
      <c r="IZ525" s="1103"/>
      <c r="JA525" s="1103"/>
      <c r="JB525" s="1103"/>
      <c r="JC525" s="1103"/>
      <c r="JD525" s="1103"/>
      <c r="JE525" s="1103"/>
      <c r="JF525" s="1103"/>
      <c r="JG525" s="1103"/>
      <c r="JH525" s="1103"/>
      <c r="JI525" s="1103"/>
      <c r="JJ525" s="1103"/>
      <c r="JK525" s="1103"/>
      <c r="JL525" s="1103"/>
      <c r="JM525" s="1103"/>
      <c r="JN525" s="1103"/>
      <c r="JO525" s="1103"/>
      <c r="JP525" s="1103"/>
      <c r="JQ525" s="1103"/>
      <c r="JR525" s="1103"/>
      <c r="JS525" s="1103"/>
      <c r="JT525" s="1103"/>
      <c r="JU525" s="1103"/>
      <c r="JV525" s="1103"/>
      <c r="JW525" s="1103"/>
      <c r="JX525" s="1103"/>
      <c r="JY525" s="1103"/>
      <c r="JZ525" s="1103"/>
      <c r="KA525" s="1103"/>
      <c r="KB525" s="1104"/>
    </row>
    <row r="526" spans="1:288" ht="60" customHeight="1" x14ac:dyDescent="0.35">
      <c r="A526" s="280" t="s">
        <v>1611</v>
      </c>
      <c r="B526" s="84"/>
      <c r="C526" s="84"/>
      <c r="D526" s="103"/>
      <c r="E526" s="103"/>
      <c r="F526" s="103"/>
      <c r="G526" s="103"/>
    </row>
    <row r="527" spans="1:288" ht="60" customHeight="1" x14ac:dyDescent="0.35">
      <c r="B527" s="1384" t="s">
        <v>1199</v>
      </c>
      <c r="C527" s="750" t="s">
        <v>1200</v>
      </c>
      <c r="D527" s="895" t="s">
        <v>1201</v>
      </c>
      <c r="E527" s="750" t="s">
        <v>1202</v>
      </c>
      <c r="F527" s="750" t="s">
        <v>1203</v>
      </c>
      <c r="G527" s="750" t="s">
        <v>1600</v>
      </c>
      <c r="H527" s="750" t="s">
        <v>1601</v>
      </c>
      <c r="I527" s="750" t="str">
        <f t="shared" ref="I527:BT527" si="40">"T+" &amp; (COLUMN(I527)-COLUMN($H527))</f>
        <v>T+1</v>
      </c>
      <c r="J527" s="750" t="str">
        <f t="shared" si="40"/>
        <v>T+2</v>
      </c>
      <c r="K527" s="750" t="str">
        <f t="shared" si="40"/>
        <v>T+3</v>
      </c>
      <c r="L527" s="750" t="str">
        <f t="shared" si="40"/>
        <v>T+4</v>
      </c>
      <c r="M527" s="750" t="str">
        <f t="shared" si="40"/>
        <v>T+5</v>
      </c>
      <c r="N527" s="750" t="str">
        <f t="shared" si="40"/>
        <v>T+6</v>
      </c>
      <c r="O527" s="750" t="str">
        <f t="shared" si="40"/>
        <v>T+7</v>
      </c>
      <c r="P527" s="750" t="str">
        <f t="shared" si="40"/>
        <v>T+8</v>
      </c>
      <c r="Q527" s="750" t="str">
        <f t="shared" si="40"/>
        <v>T+9</v>
      </c>
      <c r="R527" s="750" t="str">
        <f t="shared" si="40"/>
        <v>T+10</v>
      </c>
      <c r="S527" s="750" t="str">
        <f t="shared" si="40"/>
        <v>T+11</v>
      </c>
      <c r="T527" s="750" t="str">
        <f t="shared" si="40"/>
        <v>T+12</v>
      </c>
      <c r="U527" s="750" t="str">
        <f t="shared" si="40"/>
        <v>T+13</v>
      </c>
      <c r="V527" s="750" t="str">
        <f t="shared" si="40"/>
        <v>T+14</v>
      </c>
      <c r="W527" s="750" t="str">
        <f t="shared" si="40"/>
        <v>T+15</v>
      </c>
      <c r="X527" s="750" t="str">
        <f t="shared" si="40"/>
        <v>T+16</v>
      </c>
      <c r="Y527" s="750" t="str">
        <f t="shared" si="40"/>
        <v>T+17</v>
      </c>
      <c r="Z527" s="750" t="str">
        <f t="shared" si="40"/>
        <v>T+18</v>
      </c>
      <c r="AA527" s="750" t="str">
        <f t="shared" si="40"/>
        <v>T+19</v>
      </c>
      <c r="AB527" s="750" t="str">
        <f t="shared" si="40"/>
        <v>T+20</v>
      </c>
      <c r="AC527" s="750" t="str">
        <f t="shared" si="40"/>
        <v>T+21</v>
      </c>
      <c r="AD527" s="750" t="str">
        <f t="shared" si="40"/>
        <v>T+22</v>
      </c>
      <c r="AE527" s="750" t="str">
        <f t="shared" si="40"/>
        <v>T+23</v>
      </c>
      <c r="AF527" s="750" t="str">
        <f t="shared" si="40"/>
        <v>T+24</v>
      </c>
      <c r="AG527" s="750" t="str">
        <f t="shared" si="40"/>
        <v>T+25</v>
      </c>
      <c r="AH527" s="750" t="str">
        <f t="shared" si="40"/>
        <v>T+26</v>
      </c>
      <c r="AI527" s="750" t="str">
        <f t="shared" si="40"/>
        <v>T+27</v>
      </c>
      <c r="AJ527" s="750" t="str">
        <f t="shared" si="40"/>
        <v>T+28</v>
      </c>
      <c r="AK527" s="750" t="str">
        <f t="shared" si="40"/>
        <v>T+29</v>
      </c>
      <c r="AL527" s="750" t="str">
        <f t="shared" si="40"/>
        <v>T+30</v>
      </c>
      <c r="AM527" s="750" t="str">
        <f t="shared" si="40"/>
        <v>T+31</v>
      </c>
      <c r="AN527" s="750" t="str">
        <f t="shared" si="40"/>
        <v>T+32</v>
      </c>
      <c r="AO527" s="750" t="str">
        <f t="shared" si="40"/>
        <v>T+33</v>
      </c>
      <c r="AP527" s="750" t="str">
        <f t="shared" si="40"/>
        <v>T+34</v>
      </c>
      <c r="AQ527" s="750" t="str">
        <f t="shared" si="40"/>
        <v>T+35</v>
      </c>
      <c r="AR527" s="750" t="str">
        <f t="shared" si="40"/>
        <v>T+36</v>
      </c>
      <c r="AS527" s="750" t="str">
        <f t="shared" si="40"/>
        <v>T+37</v>
      </c>
      <c r="AT527" s="750" t="str">
        <f t="shared" si="40"/>
        <v>T+38</v>
      </c>
      <c r="AU527" s="750" t="str">
        <f t="shared" si="40"/>
        <v>T+39</v>
      </c>
      <c r="AV527" s="750" t="str">
        <f t="shared" si="40"/>
        <v>T+40</v>
      </c>
      <c r="AW527" s="750" t="str">
        <f t="shared" si="40"/>
        <v>T+41</v>
      </c>
      <c r="AX527" s="750" t="str">
        <f t="shared" si="40"/>
        <v>T+42</v>
      </c>
      <c r="AY527" s="750" t="str">
        <f t="shared" si="40"/>
        <v>T+43</v>
      </c>
      <c r="AZ527" s="750" t="str">
        <f t="shared" si="40"/>
        <v>T+44</v>
      </c>
      <c r="BA527" s="750" t="str">
        <f t="shared" si="40"/>
        <v>T+45</v>
      </c>
      <c r="BB527" s="750" t="str">
        <f t="shared" si="40"/>
        <v>T+46</v>
      </c>
      <c r="BC527" s="750" t="str">
        <f t="shared" si="40"/>
        <v>T+47</v>
      </c>
      <c r="BD527" s="750" t="str">
        <f t="shared" si="40"/>
        <v>T+48</v>
      </c>
      <c r="BE527" s="750" t="str">
        <f t="shared" si="40"/>
        <v>T+49</v>
      </c>
      <c r="BF527" s="750" t="str">
        <f t="shared" si="40"/>
        <v>T+50</v>
      </c>
      <c r="BG527" s="750" t="str">
        <f t="shared" si="40"/>
        <v>T+51</v>
      </c>
      <c r="BH527" s="750" t="str">
        <f t="shared" si="40"/>
        <v>T+52</v>
      </c>
      <c r="BI527" s="750" t="str">
        <f t="shared" si="40"/>
        <v>T+53</v>
      </c>
      <c r="BJ527" s="750" t="str">
        <f t="shared" si="40"/>
        <v>T+54</v>
      </c>
      <c r="BK527" s="750" t="str">
        <f t="shared" si="40"/>
        <v>T+55</v>
      </c>
      <c r="BL527" s="750" t="str">
        <f t="shared" si="40"/>
        <v>T+56</v>
      </c>
      <c r="BM527" s="750" t="str">
        <f t="shared" si="40"/>
        <v>T+57</v>
      </c>
      <c r="BN527" s="750" t="str">
        <f t="shared" si="40"/>
        <v>T+58</v>
      </c>
      <c r="BO527" s="750" t="str">
        <f t="shared" si="40"/>
        <v>T+59</v>
      </c>
      <c r="BP527" s="750" t="str">
        <f t="shared" si="40"/>
        <v>T+60</v>
      </c>
      <c r="BQ527" s="750" t="str">
        <f t="shared" si="40"/>
        <v>T+61</v>
      </c>
      <c r="BR527" s="750" t="str">
        <f t="shared" si="40"/>
        <v>T+62</v>
      </c>
      <c r="BS527" s="750" t="str">
        <f t="shared" si="40"/>
        <v>T+63</v>
      </c>
      <c r="BT527" s="750" t="str">
        <f t="shared" si="40"/>
        <v>T+64</v>
      </c>
      <c r="BU527" s="750" t="str">
        <f t="shared" ref="BU527:EF527" si="41">"T+" &amp; (COLUMN(BU527)-COLUMN($H527))</f>
        <v>T+65</v>
      </c>
      <c r="BV527" s="750" t="str">
        <f t="shared" si="41"/>
        <v>T+66</v>
      </c>
      <c r="BW527" s="750" t="str">
        <f t="shared" si="41"/>
        <v>T+67</v>
      </c>
      <c r="BX527" s="750" t="str">
        <f t="shared" si="41"/>
        <v>T+68</v>
      </c>
      <c r="BY527" s="750" t="str">
        <f t="shared" si="41"/>
        <v>T+69</v>
      </c>
      <c r="BZ527" s="750" t="str">
        <f t="shared" si="41"/>
        <v>T+70</v>
      </c>
      <c r="CA527" s="750" t="str">
        <f t="shared" si="41"/>
        <v>T+71</v>
      </c>
      <c r="CB527" s="750" t="str">
        <f t="shared" si="41"/>
        <v>T+72</v>
      </c>
      <c r="CC527" s="750" t="str">
        <f t="shared" si="41"/>
        <v>T+73</v>
      </c>
      <c r="CD527" s="750" t="str">
        <f t="shared" si="41"/>
        <v>T+74</v>
      </c>
      <c r="CE527" s="750" t="str">
        <f t="shared" si="41"/>
        <v>T+75</v>
      </c>
      <c r="CF527" s="750" t="str">
        <f t="shared" si="41"/>
        <v>T+76</v>
      </c>
      <c r="CG527" s="750" t="str">
        <f t="shared" si="41"/>
        <v>T+77</v>
      </c>
      <c r="CH527" s="750" t="str">
        <f t="shared" si="41"/>
        <v>T+78</v>
      </c>
      <c r="CI527" s="750" t="str">
        <f t="shared" si="41"/>
        <v>T+79</v>
      </c>
      <c r="CJ527" s="750" t="str">
        <f t="shared" si="41"/>
        <v>T+80</v>
      </c>
      <c r="CK527" s="750" t="str">
        <f t="shared" si="41"/>
        <v>T+81</v>
      </c>
      <c r="CL527" s="750" t="str">
        <f t="shared" si="41"/>
        <v>T+82</v>
      </c>
      <c r="CM527" s="750" t="str">
        <f t="shared" si="41"/>
        <v>T+83</v>
      </c>
      <c r="CN527" s="750" t="str">
        <f t="shared" si="41"/>
        <v>T+84</v>
      </c>
      <c r="CO527" s="750" t="str">
        <f t="shared" si="41"/>
        <v>T+85</v>
      </c>
      <c r="CP527" s="750" t="str">
        <f t="shared" si="41"/>
        <v>T+86</v>
      </c>
      <c r="CQ527" s="750" t="str">
        <f t="shared" si="41"/>
        <v>T+87</v>
      </c>
      <c r="CR527" s="750" t="str">
        <f t="shared" si="41"/>
        <v>T+88</v>
      </c>
      <c r="CS527" s="750" t="str">
        <f t="shared" si="41"/>
        <v>T+89</v>
      </c>
      <c r="CT527" s="750" t="str">
        <f t="shared" si="41"/>
        <v>T+90</v>
      </c>
      <c r="CU527" s="750" t="str">
        <f t="shared" si="41"/>
        <v>T+91</v>
      </c>
      <c r="CV527" s="750" t="str">
        <f t="shared" si="41"/>
        <v>T+92</v>
      </c>
      <c r="CW527" s="750" t="str">
        <f t="shared" si="41"/>
        <v>T+93</v>
      </c>
      <c r="CX527" s="750" t="str">
        <f t="shared" si="41"/>
        <v>T+94</v>
      </c>
      <c r="CY527" s="750" t="str">
        <f t="shared" si="41"/>
        <v>T+95</v>
      </c>
      <c r="CZ527" s="750" t="str">
        <f t="shared" si="41"/>
        <v>T+96</v>
      </c>
      <c r="DA527" s="750" t="str">
        <f t="shared" si="41"/>
        <v>T+97</v>
      </c>
      <c r="DB527" s="750" t="str">
        <f t="shared" si="41"/>
        <v>T+98</v>
      </c>
      <c r="DC527" s="750" t="str">
        <f t="shared" si="41"/>
        <v>T+99</v>
      </c>
      <c r="DD527" s="750" t="str">
        <f t="shared" si="41"/>
        <v>T+100</v>
      </c>
      <c r="DE527" s="750" t="str">
        <f t="shared" si="41"/>
        <v>T+101</v>
      </c>
      <c r="DF527" s="750" t="str">
        <f t="shared" si="41"/>
        <v>T+102</v>
      </c>
      <c r="DG527" s="750" t="str">
        <f t="shared" si="41"/>
        <v>T+103</v>
      </c>
      <c r="DH527" s="750" t="str">
        <f t="shared" si="41"/>
        <v>T+104</v>
      </c>
      <c r="DI527" s="750" t="str">
        <f t="shared" si="41"/>
        <v>T+105</v>
      </c>
      <c r="DJ527" s="750" t="str">
        <f t="shared" si="41"/>
        <v>T+106</v>
      </c>
      <c r="DK527" s="750" t="str">
        <f t="shared" si="41"/>
        <v>T+107</v>
      </c>
      <c r="DL527" s="750" t="str">
        <f t="shared" si="41"/>
        <v>T+108</v>
      </c>
      <c r="DM527" s="750" t="str">
        <f t="shared" si="41"/>
        <v>T+109</v>
      </c>
      <c r="DN527" s="750" t="str">
        <f t="shared" si="41"/>
        <v>T+110</v>
      </c>
      <c r="DO527" s="750" t="str">
        <f t="shared" si="41"/>
        <v>T+111</v>
      </c>
      <c r="DP527" s="750" t="str">
        <f t="shared" si="41"/>
        <v>T+112</v>
      </c>
      <c r="DQ527" s="750" t="str">
        <f t="shared" si="41"/>
        <v>T+113</v>
      </c>
      <c r="DR527" s="750" t="str">
        <f t="shared" si="41"/>
        <v>T+114</v>
      </c>
      <c r="DS527" s="750" t="str">
        <f t="shared" si="41"/>
        <v>T+115</v>
      </c>
      <c r="DT527" s="750" t="str">
        <f t="shared" si="41"/>
        <v>T+116</v>
      </c>
      <c r="DU527" s="750" t="str">
        <f t="shared" si="41"/>
        <v>T+117</v>
      </c>
      <c r="DV527" s="750" t="str">
        <f t="shared" si="41"/>
        <v>T+118</v>
      </c>
      <c r="DW527" s="750" t="str">
        <f t="shared" si="41"/>
        <v>T+119</v>
      </c>
      <c r="DX527" s="750" t="str">
        <f t="shared" si="41"/>
        <v>T+120</v>
      </c>
      <c r="DY527" s="750" t="str">
        <f t="shared" si="41"/>
        <v>T+121</v>
      </c>
      <c r="DZ527" s="750" t="str">
        <f t="shared" si="41"/>
        <v>T+122</v>
      </c>
      <c r="EA527" s="750" t="str">
        <f t="shared" si="41"/>
        <v>T+123</v>
      </c>
      <c r="EB527" s="750" t="str">
        <f t="shared" si="41"/>
        <v>T+124</v>
      </c>
      <c r="EC527" s="750" t="str">
        <f t="shared" si="41"/>
        <v>T+125</v>
      </c>
      <c r="ED527" s="750" t="str">
        <f t="shared" si="41"/>
        <v>T+126</v>
      </c>
      <c r="EE527" s="750" t="str">
        <f t="shared" si="41"/>
        <v>T+127</v>
      </c>
      <c r="EF527" s="750" t="str">
        <f t="shared" si="41"/>
        <v>T+128</v>
      </c>
      <c r="EG527" s="750" t="str">
        <f t="shared" ref="EG527:GR527" si="42">"T+" &amp; (COLUMN(EG527)-COLUMN($H527))</f>
        <v>T+129</v>
      </c>
      <c r="EH527" s="750" t="str">
        <f t="shared" si="42"/>
        <v>T+130</v>
      </c>
      <c r="EI527" s="750" t="str">
        <f t="shared" si="42"/>
        <v>T+131</v>
      </c>
      <c r="EJ527" s="750" t="str">
        <f t="shared" si="42"/>
        <v>T+132</v>
      </c>
      <c r="EK527" s="750" t="str">
        <f t="shared" si="42"/>
        <v>T+133</v>
      </c>
      <c r="EL527" s="750" t="str">
        <f t="shared" si="42"/>
        <v>T+134</v>
      </c>
      <c r="EM527" s="750" t="str">
        <f t="shared" si="42"/>
        <v>T+135</v>
      </c>
      <c r="EN527" s="750" t="str">
        <f t="shared" si="42"/>
        <v>T+136</v>
      </c>
      <c r="EO527" s="750" t="str">
        <f t="shared" si="42"/>
        <v>T+137</v>
      </c>
      <c r="EP527" s="750" t="str">
        <f t="shared" si="42"/>
        <v>T+138</v>
      </c>
      <c r="EQ527" s="750" t="str">
        <f t="shared" si="42"/>
        <v>T+139</v>
      </c>
      <c r="ER527" s="750" t="str">
        <f t="shared" si="42"/>
        <v>T+140</v>
      </c>
      <c r="ES527" s="750" t="str">
        <f t="shared" si="42"/>
        <v>T+141</v>
      </c>
      <c r="ET527" s="750" t="str">
        <f t="shared" si="42"/>
        <v>T+142</v>
      </c>
      <c r="EU527" s="750" t="str">
        <f t="shared" si="42"/>
        <v>T+143</v>
      </c>
      <c r="EV527" s="750" t="str">
        <f t="shared" si="42"/>
        <v>T+144</v>
      </c>
      <c r="EW527" s="750" t="str">
        <f t="shared" si="42"/>
        <v>T+145</v>
      </c>
      <c r="EX527" s="750" t="str">
        <f t="shared" si="42"/>
        <v>T+146</v>
      </c>
      <c r="EY527" s="750" t="str">
        <f t="shared" si="42"/>
        <v>T+147</v>
      </c>
      <c r="EZ527" s="750" t="str">
        <f t="shared" si="42"/>
        <v>T+148</v>
      </c>
      <c r="FA527" s="750" t="str">
        <f t="shared" si="42"/>
        <v>T+149</v>
      </c>
      <c r="FB527" s="750" t="str">
        <f t="shared" si="42"/>
        <v>T+150</v>
      </c>
      <c r="FC527" s="750" t="str">
        <f t="shared" si="42"/>
        <v>T+151</v>
      </c>
      <c r="FD527" s="750" t="str">
        <f t="shared" si="42"/>
        <v>T+152</v>
      </c>
      <c r="FE527" s="750" t="str">
        <f t="shared" si="42"/>
        <v>T+153</v>
      </c>
      <c r="FF527" s="750" t="str">
        <f t="shared" si="42"/>
        <v>T+154</v>
      </c>
      <c r="FG527" s="750" t="str">
        <f t="shared" si="42"/>
        <v>T+155</v>
      </c>
      <c r="FH527" s="750" t="str">
        <f t="shared" si="42"/>
        <v>T+156</v>
      </c>
      <c r="FI527" s="750" t="str">
        <f t="shared" si="42"/>
        <v>T+157</v>
      </c>
      <c r="FJ527" s="750" t="str">
        <f t="shared" si="42"/>
        <v>T+158</v>
      </c>
      <c r="FK527" s="750" t="str">
        <f t="shared" si="42"/>
        <v>T+159</v>
      </c>
      <c r="FL527" s="750" t="str">
        <f t="shared" si="42"/>
        <v>T+160</v>
      </c>
      <c r="FM527" s="750" t="str">
        <f t="shared" si="42"/>
        <v>T+161</v>
      </c>
      <c r="FN527" s="750" t="str">
        <f t="shared" si="42"/>
        <v>T+162</v>
      </c>
      <c r="FO527" s="750" t="str">
        <f t="shared" si="42"/>
        <v>T+163</v>
      </c>
      <c r="FP527" s="750" t="str">
        <f t="shared" si="42"/>
        <v>T+164</v>
      </c>
      <c r="FQ527" s="750" t="str">
        <f t="shared" si="42"/>
        <v>T+165</v>
      </c>
      <c r="FR527" s="750" t="str">
        <f t="shared" si="42"/>
        <v>T+166</v>
      </c>
      <c r="FS527" s="750" t="str">
        <f t="shared" si="42"/>
        <v>T+167</v>
      </c>
      <c r="FT527" s="750" t="str">
        <f t="shared" si="42"/>
        <v>T+168</v>
      </c>
      <c r="FU527" s="750" t="str">
        <f t="shared" si="42"/>
        <v>T+169</v>
      </c>
      <c r="FV527" s="750" t="str">
        <f t="shared" si="42"/>
        <v>T+170</v>
      </c>
      <c r="FW527" s="750" t="str">
        <f t="shared" si="42"/>
        <v>T+171</v>
      </c>
      <c r="FX527" s="750" t="str">
        <f t="shared" si="42"/>
        <v>T+172</v>
      </c>
      <c r="FY527" s="750" t="str">
        <f t="shared" si="42"/>
        <v>T+173</v>
      </c>
      <c r="FZ527" s="750" t="str">
        <f t="shared" si="42"/>
        <v>T+174</v>
      </c>
      <c r="GA527" s="750" t="str">
        <f t="shared" si="42"/>
        <v>T+175</v>
      </c>
      <c r="GB527" s="750" t="str">
        <f t="shared" si="42"/>
        <v>T+176</v>
      </c>
      <c r="GC527" s="750" t="str">
        <f t="shared" si="42"/>
        <v>T+177</v>
      </c>
      <c r="GD527" s="750" t="str">
        <f t="shared" si="42"/>
        <v>T+178</v>
      </c>
      <c r="GE527" s="750" t="str">
        <f t="shared" si="42"/>
        <v>T+179</v>
      </c>
      <c r="GF527" s="750" t="str">
        <f t="shared" si="42"/>
        <v>T+180</v>
      </c>
      <c r="GG527" s="750" t="str">
        <f t="shared" si="42"/>
        <v>T+181</v>
      </c>
      <c r="GH527" s="750" t="str">
        <f t="shared" si="42"/>
        <v>T+182</v>
      </c>
      <c r="GI527" s="750" t="str">
        <f t="shared" si="42"/>
        <v>T+183</v>
      </c>
      <c r="GJ527" s="750" t="str">
        <f t="shared" si="42"/>
        <v>T+184</v>
      </c>
      <c r="GK527" s="750" t="str">
        <f t="shared" si="42"/>
        <v>T+185</v>
      </c>
      <c r="GL527" s="750" t="str">
        <f t="shared" si="42"/>
        <v>T+186</v>
      </c>
      <c r="GM527" s="750" t="str">
        <f t="shared" si="42"/>
        <v>T+187</v>
      </c>
      <c r="GN527" s="750" t="str">
        <f t="shared" si="42"/>
        <v>T+188</v>
      </c>
      <c r="GO527" s="750" t="str">
        <f t="shared" si="42"/>
        <v>T+189</v>
      </c>
      <c r="GP527" s="750" t="str">
        <f t="shared" si="42"/>
        <v>T+190</v>
      </c>
      <c r="GQ527" s="750" t="str">
        <f t="shared" si="42"/>
        <v>T+191</v>
      </c>
      <c r="GR527" s="750" t="str">
        <f t="shared" si="42"/>
        <v>T+192</v>
      </c>
      <c r="GS527" s="750" t="str">
        <f t="shared" ref="GS527:JD527" si="43">"T+" &amp; (COLUMN(GS527)-COLUMN($H527))</f>
        <v>T+193</v>
      </c>
      <c r="GT527" s="750" t="str">
        <f t="shared" si="43"/>
        <v>T+194</v>
      </c>
      <c r="GU527" s="750" t="str">
        <f t="shared" si="43"/>
        <v>T+195</v>
      </c>
      <c r="GV527" s="750" t="str">
        <f t="shared" si="43"/>
        <v>T+196</v>
      </c>
      <c r="GW527" s="750" t="str">
        <f t="shared" si="43"/>
        <v>T+197</v>
      </c>
      <c r="GX527" s="750" t="str">
        <f t="shared" si="43"/>
        <v>T+198</v>
      </c>
      <c r="GY527" s="750" t="str">
        <f t="shared" si="43"/>
        <v>T+199</v>
      </c>
      <c r="GZ527" s="750" t="str">
        <f t="shared" si="43"/>
        <v>T+200</v>
      </c>
      <c r="HA527" s="750" t="str">
        <f t="shared" si="43"/>
        <v>T+201</v>
      </c>
      <c r="HB527" s="750" t="str">
        <f t="shared" si="43"/>
        <v>T+202</v>
      </c>
      <c r="HC527" s="750" t="str">
        <f t="shared" si="43"/>
        <v>T+203</v>
      </c>
      <c r="HD527" s="750" t="str">
        <f t="shared" si="43"/>
        <v>T+204</v>
      </c>
      <c r="HE527" s="750" t="str">
        <f t="shared" si="43"/>
        <v>T+205</v>
      </c>
      <c r="HF527" s="750" t="str">
        <f t="shared" si="43"/>
        <v>T+206</v>
      </c>
      <c r="HG527" s="750" t="str">
        <f t="shared" si="43"/>
        <v>T+207</v>
      </c>
      <c r="HH527" s="750" t="str">
        <f t="shared" si="43"/>
        <v>T+208</v>
      </c>
      <c r="HI527" s="750" t="str">
        <f t="shared" si="43"/>
        <v>T+209</v>
      </c>
      <c r="HJ527" s="750" t="str">
        <f t="shared" si="43"/>
        <v>T+210</v>
      </c>
      <c r="HK527" s="750" t="str">
        <f t="shared" si="43"/>
        <v>T+211</v>
      </c>
      <c r="HL527" s="750" t="str">
        <f t="shared" si="43"/>
        <v>T+212</v>
      </c>
      <c r="HM527" s="750" t="str">
        <f t="shared" si="43"/>
        <v>T+213</v>
      </c>
      <c r="HN527" s="750" t="str">
        <f t="shared" si="43"/>
        <v>T+214</v>
      </c>
      <c r="HO527" s="750" t="str">
        <f t="shared" si="43"/>
        <v>T+215</v>
      </c>
      <c r="HP527" s="750" t="str">
        <f t="shared" si="43"/>
        <v>T+216</v>
      </c>
      <c r="HQ527" s="750" t="str">
        <f t="shared" si="43"/>
        <v>T+217</v>
      </c>
      <c r="HR527" s="750" t="str">
        <f t="shared" si="43"/>
        <v>T+218</v>
      </c>
      <c r="HS527" s="750" t="str">
        <f t="shared" si="43"/>
        <v>T+219</v>
      </c>
      <c r="HT527" s="750" t="str">
        <f t="shared" si="43"/>
        <v>T+220</v>
      </c>
      <c r="HU527" s="750" t="str">
        <f t="shared" si="43"/>
        <v>T+221</v>
      </c>
      <c r="HV527" s="750" t="str">
        <f t="shared" si="43"/>
        <v>T+222</v>
      </c>
      <c r="HW527" s="750" t="str">
        <f t="shared" si="43"/>
        <v>T+223</v>
      </c>
      <c r="HX527" s="750" t="str">
        <f t="shared" si="43"/>
        <v>T+224</v>
      </c>
      <c r="HY527" s="750" t="str">
        <f t="shared" si="43"/>
        <v>T+225</v>
      </c>
      <c r="HZ527" s="750" t="str">
        <f t="shared" si="43"/>
        <v>T+226</v>
      </c>
      <c r="IA527" s="750" t="str">
        <f t="shared" si="43"/>
        <v>T+227</v>
      </c>
      <c r="IB527" s="750" t="str">
        <f t="shared" si="43"/>
        <v>T+228</v>
      </c>
      <c r="IC527" s="750" t="str">
        <f t="shared" si="43"/>
        <v>T+229</v>
      </c>
      <c r="ID527" s="750" t="str">
        <f t="shared" si="43"/>
        <v>T+230</v>
      </c>
      <c r="IE527" s="750" t="str">
        <f t="shared" si="43"/>
        <v>T+231</v>
      </c>
      <c r="IF527" s="750" t="str">
        <f t="shared" si="43"/>
        <v>T+232</v>
      </c>
      <c r="IG527" s="750" t="str">
        <f t="shared" si="43"/>
        <v>T+233</v>
      </c>
      <c r="IH527" s="750" t="str">
        <f t="shared" si="43"/>
        <v>T+234</v>
      </c>
      <c r="II527" s="750" t="str">
        <f t="shared" si="43"/>
        <v>T+235</v>
      </c>
      <c r="IJ527" s="750" t="str">
        <f t="shared" si="43"/>
        <v>T+236</v>
      </c>
      <c r="IK527" s="750" t="str">
        <f t="shared" si="43"/>
        <v>T+237</v>
      </c>
      <c r="IL527" s="750" t="str">
        <f t="shared" si="43"/>
        <v>T+238</v>
      </c>
      <c r="IM527" s="750" t="str">
        <f t="shared" si="43"/>
        <v>T+239</v>
      </c>
      <c r="IN527" s="750" t="str">
        <f t="shared" si="43"/>
        <v>T+240</v>
      </c>
      <c r="IO527" s="750" t="str">
        <f t="shared" si="43"/>
        <v>T+241</v>
      </c>
      <c r="IP527" s="750" t="str">
        <f t="shared" si="43"/>
        <v>T+242</v>
      </c>
      <c r="IQ527" s="750" t="str">
        <f t="shared" si="43"/>
        <v>T+243</v>
      </c>
      <c r="IR527" s="750" t="str">
        <f t="shared" si="43"/>
        <v>T+244</v>
      </c>
      <c r="IS527" s="750" t="str">
        <f t="shared" si="43"/>
        <v>T+245</v>
      </c>
      <c r="IT527" s="750" t="str">
        <f t="shared" si="43"/>
        <v>T+246</v>
      </c>
      <c r="IU527" s="750" t="str">
        <f t="shared" si="43"/>
        <v>T+247</v>
      </c>
      <c r="IV527" s="750" t="str">
        <f t="shared" si="43"/>
        <v>T+248</v>
      </c>
      <c r="IW527" s="750" t="str">
        <f t="shared" si="43"/>
        <v>T+249</v>
      </c>
      <c r="IX527" s="750" t="str">
        <f t="shared" si="43"/>
        <v>T+250</v>
      </c>
      <c r="IY527" s="750" t="str">
        <f t="shared" si="43"/>
        <v>T+251</v>
      </c>
      <c r="IZ527" s="750" t="str">
        <f t="shared" si="43"/>
        <v>T+252</v>
      </c>
      <c r="JA527" s="750" t="str">
        <f t="shared" si="43"/>
        <v>T+253</v>
      </c>
      <c r="JB527" s="750" t="str">
        <f t="shared" si="43"/>
        <v>T+254</v>
      </c>
      <c r="JC527" s="750" t="str">
        <f t="shared" si="43"/>
        <v>T+255</v>
      </c>
      <c r="JD527" s="750" t="str">
        <f t="shared" si="43"/>
        <v>T+256</v>
      </c>
      <c r="JE527" s="750" t="str">
        <f t="shared" ref="JE527:KB527" si="44">"T+" &amp; (COLUMN(JE527)-COLUMN($H527))</f>
        <v>T+257</v>
      </c>
      <c r="JF527" s="750" t="str">
        <f t="shared" si="44"/>
        <v>T+258</v>
      </c>
      <c r="JG527" s="750" t="str">
        <f t="shared" si="44"/>
        <v>T+259</v>
      </c>
      <c r="JH527" s="750" t="str">
        <f t="shared" si="44"/>
        <v>T+260</v>
      </c>
      <c r="JI527" s="750" t="str">
        <f t="shared" si="44"/>
        <v>T+261</v>
      </c>
      <c r="JJ527" s="750" t="str">
        <f t="shared" si="44"/>
        <v>T+262</v>
      </c>
      <c r="JK527" s="750" t="str">
        <f t="shared" si="44"/>
        <v>T+263</v>
      </c>
      <c r="JL527" s="750" t="str">
        <f t="shared" si="44"/>
        <v>T+264</v>
      </c>
      <c r="JM527" s="750" t="str">
        <f t="shared" si="44"/>
        <v>T+265</v>
      </c>
      <c r="JN527" s="750" t="str">
        <f t="shared" si="44"/>
        <v>T+266</v>
      </c>
      <c r="JO527" s="750" t="str">
        <f t="shared" si="44"/>
        <v>T+267</v>
      </c>
      <c r="JP527" s="750" t="str">
        <f t="shared" si="44"/>
        <v>T+268</v>
      </c>
      <c r="JQ527" s="750" t="str">
        <f t="shared" si="44"/>
        <v>T+269</v>
      </c>
      <c r="JR527" s="750" t="str">
        <f t="shared" si="44"/>
        <v>T+270</v>
      </c>
      <c r="JS527" s="750" t="str">
        <f t="shared" si="44"/>
        <v>T+271</v>
      </c>
      <c r="JT527" s="750" t="str">
        <f t="shared" si="44"/>
        <v>T+272</v>
      </c>
      <c r="JU527" s="750" t="str">
        <f t="shared" si="44"/>
        <v>T+273</v>
      </c>
      <c r="JV527" s="750" t="str">
        <f t="shared" si="44"/>
        <v>T+274</v>
      </c>
      <c r="JW527" s="750" t="str">
        <f t="shared" si="44"/>
        <v>T+275</v>
      </c>
      <c r="JX527" s="750" t="str">
        <f t="shared" si="44"/>
        <v>T+276</v>
      </c>
      <c r="JY527" s="750" t="str">
        <f t="shared" si="44"/>
        <v>T+277</v>
      </c>
      <c r="JZ527" s="750" t="str">
        <f t="shared" si="44"/>
        <v>T+278</v>
      </c>
      <c r="KA527" s="750" t="str">
        <f t="shared" si="44"/>
        <v>T+279</v>
      </c>
      <c r="KB527" s="750" t="str">
        <f t="shared" si="44"/>
        <v>T+280</v>
      </c>
    </row>
    <row r="528" spans="1:288" ht="15" customHeight="1" x14ac:dyDescent="0.35">
      <c r="B528" s="686" t="str">
        <f>B11</f>
        <v>Desk 1</v>
      </c>
      <c r="C528" s="1828" t="str">
        <f t="array" ref="C528:D627" xml:space="preserve"> IF(ISBLANK(TB!C$170:'TB'!D$269), "", TB!C$170:'TB'!D$269)</f>
        <v/>
      </c>
      <c r="D528" s="1828" t="str">
        <v/>
      </c>
      <c r="E528" s="1828" t="str">
        <f t="array" ref="E528:E627" xml:space="preserve"> IF(ISBLANK(TB!G$170:'TB'!G$269), "", TB!G$170:'TB'!G$269)</f>
        <v/>
      </c>
      <c r="F528" s="1828" t="str">
        <f t="array" ref="F528:F627" xml:space="preserve"> IF(ISBLANK(TB!I$170:'TB'!I$269), "", TB!I$170:'TB'!I$269)</f>
        <v/>
      </c>
      <c r="G528" s="268" t="str">
        <f t="array" ref="G528:G627" xml:space="preserve"> IF(ISBLANK(TB!J$170:'TB'!J$269), "", TB!J$170:'TB'!J$269)</f>
        <v/>
      </c>
      <c r="H528" s="1097"/>
      <c r="I528" s="1097"/>
      <c r="J528" s="1097"/>
      <c r="K528" s="1097"/>
      <c r="L528" s="1097"/>
      <c r="M528" s="1097"/>
      <c r="N528" s="1097"/>
      <c r="O528" s="1097"/>
      <c r="P528" s="1097"/>
      <c r="Q528" s="1097"/>
      <c r="R528" s="1097"/>
      <c r="S528" s="1097"/>
      <c r="T528" s="1097"/>
      <c r="U528" s="1097"/>
      <c r="V528" s="1097"/>
      <c r="W528" s="1097"/>
      <c r="X528" s="1097"/>
      <c r="Y528" s="1097"/>
      <c r="Z528" s="1097"/>
      <c r="AA528" s="1097"/>
      <c r="AB528" s="1097"/>
      <c r="AC528" s="1097"/>
      <c r="AD528" s="1097"/>
      <c r="AE528" s="1097"/>
      <c r="AF528" s="1097"/>
      <c r="AG528" s="1097"/>
      <c r="AH528" s="1097"/>
      <c r="AI528" s="1097"/>
      <c r="AJ528" s="1097"/>
      <c r="AK528" s="1097"/>
      <c r="AL528" s="1097"/>
      <c r="AM528" s="1097"/>
      <c r="AN528" s="1097"/>
      <c r="AO528" s="1097"/>
      <c r="AP528" s="1097"/>
      <c r="AQ528" s="1097"/>
      <c r="AR528" s="1097"/>
      <c r="AS528" s="1097"/>
      <c r="AT528" s="1097"/>
      <c r="AU528" s="1097"/>
      <c r="AV528" s="1097"/>
      <c r="AW528" s="1097"/>
      <c r="AX528" s="1097"/>
      <c r="AY528" s="1097"/>
      <c r="AZ528" s="1097"/>
      <c r="BA528" s="1097"/>
      <c r="BB528" s="1097"/>
      <c r="BC528" s="1097"/>
      <c r="BD528" s="1097"/>
      <c r="BE528" s="1097"/>
      <c r="BF528" s="1097"/>
      <c r="BG528" s="1097"/>
      <c r="BH528" s="1097"/>
      <c r="BI528" s="1097"/>
      <c r="BJ528" s="1097"/>
      <c r="BK528" s="1097"/>
      <c r="BL528" s="1097"/>
      <c r="BM528" s="1097"/>
      <c r="BN528" s="1097"/>
      <c r="BO528" s="1097"/>
      <c r="BP528" s="1097"/>
      <c r="BQ528" s="1097"/>
      <c r="BR528" s="1097"/>
      <c r="BS528" s="1097"/>
      <c r="BT528" s="1097"/>
      <c r="BU528" s="1097"/>
      <c r="BV528" s="1097"/>
      <c r="BW528" s="1097"/>
      <c r="BX528" s="1097"/>
      <c r="BY528" s="1097"/>
      <c r="BZ528" s="1097"/>
      <c r="CA528" s="1097"/>
      <c r="CB528" s="1097"/>
      <c r="CC528" s="1097"/>
      <c r="CD528" s="1097"/>
      <c r="CE528" s="1097"/>
      <c r="CF528" s="1097"/>
      <c r="CG528" s="1097"/>
      <c r="CH528" s="1097"/>
      <c r="CI528" s="1097"/>
      <c r="CJ528" s="1097"/>
      <c r="CK528" s="1097"/>
      <c r="CL528" s="1097"/>
      <c r="CM528" s="1097"/>
      <c r="CN528" s="1097"/>
      <c r="CO528" s="1097"/>
      <c r="CP528" s="1097"/>
      <c r="CQ528" s="1097"/>
      <c r="CR528" s="1097"/>
      <c r="CS528" s="1097"/>
      <c r="CT528" s="1097"/>
      <c r="CU528" s="1097"/>
      <c r="CV528" s="1097"/>
      <c r="CW528" s="1097"/>
      <c r="CX528" s="1097"/>
      <c r="CY528" s="1097"/>
      <c r="CZ528" s="1097"/>
      <c r="DA528" s="1097"/>
      <c r="DB528" s="1097"/>
      <c r="DC528" s="1097"/>
      <c r="DD528" s="1097"/>
      <c r="DE528" s="1097"/>
      <c r="DF528" s="1097"/>
      <c r="DG528" s="1097"/>
      <c r="DH528" s="1097"/>
      <c r="DI528" s="1097"/>
      <c r="DJ528" s="1097"/>
      <c r="DK528" s="1097"/>
      <c r="DL528" s="1097"/>
      <c r="DM528" s="1097"/>
      <c r="DN528" s="1097"/>
      <c r="DO528" s="1097"/>
      <c r="DP528" s="1097"/>
      <c r="DQ528" s="1097"/>
      <c r="DR528" s="1097"/>
      <c r="DS528" s="1097"/>
      <c r="DT528" s="1097"/>
      <c r="DU528" s="1097"/>
      <c r="DV528" s="1097"/>
      <c r="DW528" s="1097"/>
      <c r="DX528" s="1097"/>
      <c r="DY528" s="1097"/>
      <c r="DZ528" s="1097"/>
      <c r="EA528" s="1097"/>
      <c r="EB528" s="1097"/>
      <c r="EC528" s="1097"/>
      <c r="ED528" s="1097"/>
      <c r="EE528" s="1097"/>
      <c r="EF528" s="1097"/>
      <c r="EG528" s="1097"/>
      <c r="EH528" s="1097"/>
      <c r="EI528" s="1097"/>
      <c r="EJ528" s="1097"/>
      <c r="EK528" s="1097"/>
      <c r="EL528" s="1097"/>
      <c r="EM528" s="1097"/>
      <c r="EN528" s="1097"/>
      <c r="EO528" s="1097"/>
      <c r="EP528" s="1097"/>
      <c r="EQ528" s="1097"/>
      <c r="ER528" s="1097"/>
      <c r="ES528" s="1097"/>
      <c r="ET528" s="1097"/>
      <c r="EU528" s="1097"/>
      <c r="EV528" s="1097"/>
      <c r="EW528" s="1097"/>
      <c r="EX528" s="1097"/>
      <c r="EY528" s="1097"/>
      <c r="EZ528" s="1097"/>
      <c r="FA528" s="1097"/>
      <c r="FB528" s="1097"/>
      <c r="FC528" s="1097"/>
      <c r="FD528" s="1097"/>
      <c r="FE528" s="1097"/>
      <c r="FF528" s="1097"/>
      <c r="FG528" s="1097"/>
      <c r="FH528" s="1097"/>
      <c r="FI528" s="1097"/>
      <c r="FJ528" s="1097"/>
      <c r="FK528" s="1097"/>
      <c r="FL528" s="1097"/>
      <c r="FM528" s="1097"/>
      <c r="FN528" s="1097"/>
      <c r="FO528" s="1097"/>
      <c r="FP528" s="1097"/>
      <c r="FQ528" s="1097"/>
      <c r="FR528" s="1097"/>
      <c r="FS528" s="1097"/>
      <c r="FT528" s="1097"/>
      <c r="FU528" s="1097"/>
      <c r="FV528" s="1097"/>
      <c r="FW528" s="1097"/>
      <c r="FX528" s="1097"/>
      <c r="FY528" s="1097"/>
      <c r="FZ528" s="1097"/>
      <c r="GA528" s="1097"/>
      <c r="GB528" s="1097"/>
      <c r="GC528" s="1097"/>
      <c r="GD528" s="1097"/>
      <c r="GE528" s="1097"/>
      <c r="GF528" s="1097"/>
      <c r="GG528" s="1097"/>
      <c r="GH528" s="1097"/>
      <c r="GI528" s="1097"/>
      <c r="GJ528" s="1097"/>
      <c r="GK528" s="1097"/>
      <c r="GL528" s="1097"/>
      <c r="GM528" s="1097"/>
      <c r="GN528" s="1097"/>
      <c r="GO528" s="1097"/>
      <c r="GP528" s="1097"/>
      <c r="GQ528" s="1097"/>
      <c r="GR528" s="1097"/>
      <c r="GS528" s="1097"/>
      <c r="GT528" s="1097"/>
      <c r="GU528" s="1097"/>
      <c r="GV528" s="1097"/>
      <c r="GW528" s="1097"/>
      <c r="GX528" s="1097"/>
      <c r="GY528" s="1097"/>
      <c r="GZ528" s="1097"/>
      <c r="HA528" s="1097"/>
      <c r="HB528" s="1097"/>
      <c r="HC528" s="1097"/>
      <c r="HD528" s="1097"/>
      <c r="HE528" s="1097"/>
      <c r="HF528" s="1097"/>
      <c r="HG528" s="1097"/>
      <c r="HH528" s="1097"/>
      <c r="HI528" s="1097"/>
      <c r="HJ528" s="1097"/>
      <c r="HK528" s="1097"/>
      <c r="HL528" s="1097"/>
      <c r="HM528" s="1097"/>
      <c r="HN528" s="1097"/>
      <c r="HO528" s="1097"/>
      <c r="HP528" s="1097"/>
      <c r="HQ528" s="1097"/>
      <c r="HR528" s="1097"/>
      <c r="HS528" s="1097"/>
      <c r="HT528" s="1097"/>
      <c r="HU528" s="1097"/>
      <c r="HV528" s="1097"/>
      <c r="HW528" s="1097"/>
      <c r="HX528" s="1097"/>
      <c r="HY528" s="1097"/>
      <c r="HZ528" s="1097"/>
      <c r="IA528" s="1097"/>
      <c r="IB528" s="1097"/>
      <c r="IC528" s="1097"/>
      <c r="ID528" s="1097"/>
      <c r="IE528" s="1097"/>
      <c r="IF528" s="1097"/>
      <c r="IG528" s="1097"/>
      <c r="IH528" s="1097"/>
      <c r="II528" s="1097"/>
      <c r="IJ528" s="1097"/>
      <c r="IK528" s="1097"/>
      <c r="IL528" s="1097"/>
      <c r="IM528" s="1097"/>
      <c r="IN528" s="1097"/>
      <c r="IO528" s="1097"/>
      <c r="IP528" s="1097"/>
      <c r="IQ528" s="1097"/>
      <c r="IR528" s="1097"/>
      <c r="IS528" s="1097"/>
      <c r="IT528" s="1097"/>
      <c r="IU528" s="1097"/>
      <c r="IV528" s="1097"/>
      <c r="IW528" s="1097"/>
      <c r="IX528" s="1097"/>
      <c r="IY528" s="1097"/>
      <c r="IZ528" s="1097"/>
      <c r="JA528" s="1097"/>
      <c r="JB528" s="1097"/>
      <c r="JC528" s="1097"/>
      <c r="JD528" s="1097"/>
      <c r="JE528" s="1097"/>
      <c r="JF528" s="1097"/>
      <c r="JG528" s="1097"/>
      <c r="JH528" s="1097"/>
      <c r="JI528" s="1097"/>
      <c r="JJ528" s="1097"/>
      <c r="JK528" s="1097"/>
      <c r="JL528" s="1097"/>
      <c r="JM528" s="1097"/>
      <c r="JN528" s="1097"/>
      <c r="JO528" s="1097"/>
      <c r="JP528" s="1097"/>
      <c r="JQ528" s="1097"/>
      <c r="JR528" s="1097"/>
      <c r="JS528" s="1097"/>
      <c r="JT528" s="1097"/>
      <c r="JU528" s="1097"/>
      <c r="JV528" s="1097"/>
      <c r="JW528" s="1097"/>
      <c r="JX528" s="1097"/>
      <c r="JY528" s="1097"/>
      <c r="JZ528" s="1097"/>
      <c r="KA528" s="1097"/>
      <c r="KB528" s="1833"/>
    </row>
    <row r="529" spans="2:288" ht="15" customHeight="1" x14ac:dyDescent="0.35">
      <c r="B529" s="146" t="str">
        <f t="shared" ref="B529:B560" si="45">B115</f>
        <v>Desk 2</v>
      </c>
      <c r="C529" s="148" t="str">
        <v/>
      </c>
      <c r="D529" s="148" t="str">
        <v/>
      </c>
      <c r="E529" s="148" t="str">
        <v/>
      </c>
      <c r="F529" s="148" t="str">
        <v/>
      </c>
      <c r="G529" s="268" t="str">
        <v/>
      </c>
      <c r="H529" s="1098"/>
      <c r="I529" s="1098"/>
      <c r="J529" s="1098"/>
      <c r="K529" s="1098"/>
      <c r="L529" s="1098"/>
      <c r="M529" s="1098"/>
      <c r="N529" s="1098"/>
      <c r="O529" s="1098"/>
      <c r="P529" s="1098"/>
      <c r="Q529" s="1098"/>
      <c r="R529" s="1098"/>
      <c r="S529" s="1098"/>
      <c r="T529" s="1098"/>
      <c r="U529" s="1098"/>
      <c r="V529" s="1098"/>
      <c r="W529" s="1098"/>
      <c r="X529" s="1098"/>
      <c r="Y529" s="1098"/>
      <c r="Z529" s="1098"/>
      <c r="AA529" s="1098"/>
      <c r="AB529" s="1098"/>
      <c r="AC529" s="1098"/>
      <c r="AD529" s="1098"/>
      <c r="AE529" s="1098"/>
      <c r="AF529" s="1098"/>
      <c r="AG529" s="1098"/>
      <c r="AH529" s="1098"/>
      <c r="AI529" s="1098"/>
      <c r="AJ529" s="1098"/>
      <c r="AK529" s="1098"/>
      <c r="AL529" s="1098"/>
      <c r="AM529" s="1098"/>
      <c r="AN529" s="1098"/>
      <c r="AO529" s="1098"/>
      <c r="AP529" s="1098"/>
      <c r="AQ529" s="1098"/>
      <c r="AR529" s="1098"/>
      <c r="AS529" s="1098"/>
      <c r="AT529" s="1098"/>
      <c r="AU529" s="1098"/>
      <c r="AV529" s="1098"/>
      <c r="AW529" s="1098"/>
      <c r="AX529" s="1098"/>
      <c r="AY529" s="1098"/>
      <c r="AZ529" s="1098"/>
      <c r="BA529" s="1098"/>
      <c r="BB529" s="1098"/>
      <c r="BC529" s="1098"/>
      <c r="BD529" s="1098"/>
      <c r="BE529" s="1098"/>
      <c r="BF529" s="1098"/>
      <c r="BG529" s="1098"/>
      <c r="BH529" s="1098"/>
      <c r="BI529" s="1098"/>
      <c r="BJ529" s="1098"/>
      <c r="BK529" s="1098"/>
      <c r="BL529" s="1098"/>
      <c r="BM529" s="1098"/>
      <c r="BN529" s="1098"/>
      <c r="BO529" s="1098"/>
      <c r="BP529" s="1098"/>
      <c r="BQ529" s="1098"/>
      <c r="BR529" s="1098"/>
      <c r="BS529" s="1098"/>
      <c r="BT529" s="1098"/>
      <c r="BU529" s="1098"/>
      <c r="BV529" s="1098"/>
      <c r="BW529" s="1098"/>
      <c r="BX529" s="1098"/>
      <c r="BY529" s="1098"/>
      <c r="BZ529" s="1098"/>
      <c r="CA529" s="1098"/>
      <c r="CB529" s="1098"/>
      <c r="CC529" s="1098"/>
      <c r="CD529" s="1098"/>
      <c r="CE529" s="1098"/>
      <c r="CF529" s="1098"/>
      <c r="CG529" s="1098"/>
      <c r="CH529" s="1098"/>
      <c r="CI529" s="1098"/>
      <c r="CJ529" s="1098"/>
      <c r="CK529" s="1098"/>
      <c r="CL529" s="1098"/>
      <c r="CM529" s="1098"/>
      <c r="CN529" s="1098"/>
      <c r="CO529" s="1098"/>
      <c r="CP529" s="1098"/>
      <c r="CQ529" s="1098"/>
      <c r="CR529" s="1098"/>
      <c r="CS529" s="1098"/>
      <c r="CT529" s="1098"/>
      <c r="CU529" s="1098"/>
      <c r="CV529" s="1098"/>
      <c r="CW529" s="1098"/>
      <c r="CX529" s="1098"/>
      <c r="CY529" s="1098"/>
      <c r="CZ529" s="1098"/>
      <c r="DA529" s="1098"/>
      <c r="DB529" s="1098"/>
      <c r="DC529" s="1098"/>
      <c r="DD529" s="1098"/>
      <c r="DE529" s="1098"/>
      <c r="DF529" s="1098"/>
      <c r="DG529" s="1098"/>
      <c r="DH529" s="1098"/>
      <c r="DI529" s="1098"/>
      <c r="DJ529" s="1098"/>
      <c r="DK529" s="1098"/>
      <c r="DL529" s="1098"/>
      <c r="DM529" s="1098"/>
      <c r="DN529" s="1098"/>
      <c r="DO529" s="1098"/>
      <c r="DP529" s="1098"/>
      <c r="DQ529" s="1098"/>
      <c r="DR529" s="1098"/>
      <c r="DS529" s="1098"/>
      <c r="DT529" s="1098"/>
      <c r="DU529" s="1098"/>
      <c r="DV529" s="1098"/>
      <c r="DW529" s="1098"/>
      <c r="DX529" s="1098"/>
      <c r="DY529" s="1098"/>
      <c r="DZ529" s="1098"/>
      <c r="EA529" s="1098"/>
      <c r="EB529" s="1098"/>
      <c r="EC529" s="1098"/>
      <c r="ED529" s="1098"/>
      <c r="EE529" s="1098"/>
      <c r="EF529" s="1098"/>
      <c r="EG529" s="1098"/>
      <c r="EH529" s="1098"/>
      <c r="EI529" s="1098"/>
      <c r="EJ529" s="1098"/>
      <c r="EK529" s="1098"/>
      <c r="EL529" s="1098"/>
      <c r="EM529" s="1098"/>
      <c r="EN529" s="1098"/>
      <c r="EO529" s="1098"/>
      <c r="EP529" s="1098"/>
      <c r="EQ529" s="1098"/>
      <c r="ER529" s="1098"/>
      <c r="ES529" s="1098"/>
      <c r="ET529" s="1098"/>
      <c r="EU529" s="1098"/>
      <c r="EV529" s="1098"/>
      <c r="EW529" s="1098"/>
      <c r="EX529" s="1098"/>
      <c r="EY529" s="1098"/>
      <c r="EZ529" s="1098"/>
      <c r="FA529" s="1098"/>
      <c r="FB529" s="1098"/>
      <c r="FC529" s="1098"/>
      <c r="FD529" s="1098"/>
      <c r="FE529" s="1098"/>
      <c r="FF529" s="1098"/>
      <c r="FG529" s="1098"/>
      <c r="FH529" s="1098"/>
      <c r="FI529" s="1098"/>
      <c r="FJ529" s="1098"/>
      <c r="FK529" s="1098"/>
      <c r="FL529" s="1098"/>
      <c r="FM529" s="1098"/>
      <c r="FN529" s="1098"/>
      <c r="FO529" s="1098"/>
      <c r="FP529" s="1098"/>
      <c r="FQ529" s="1098"/>
      <c r="FR529" s="1098"/>
      <c r="FS529" s="1098"/>
      <c r="FT529" s="1098"/>
      <c r="FU529" s="1098"/>
      <c r="FV529" s="1098"/>
      <c r="FW529" s="1098"/>
      <c r="FX529" s="1098"/>
      <c r="FY529" s="1098"/>
      <c r="FZ529" s="1098"/>
      <c r="GA529" s="1098"/>
      <c r="GB529" s="1098"/>
      <c r="GC529" s="1098"/>
      <c r="GD529" s="1098"/>
      <c r="GE529" s="1098"/>
      <c r="GF529" s="1098"/>
      <c r="GG529" s="1098"/>
      <c r="GH529" s="1098"/>
      <c r="GI529" s="1098"/>
      <c r="GJ529" s="1098"/>
      <c r="GK529" s="1098"/>
      <c r="GL529" s="1098"/>
      <c r="GM529" s="1098"/>
      <c r="GN529" s="1098"/>
      <c r="GO529" s="1098"/>
      <c r="GP529" s="1098"/>
      <c r="GQ529" s="1098"/>
      <c r="GR529" s="1098"/>
      <c r="GS529" s="1098"/>
      <c r="GT529" s="1098"/>
      <c r="GU529" s="1098"/>
      <c r="GV529" s="1098"/>
      <c r="GW529" s="1098"/>
      <c r="GX529" s="1098"/>
      <c r="GY529" s="1098"/>
      <c r="GZ529" s="1098"/>
      <c r="HA529" s="1098"/>
      <c r="HB529" s="1098"/>
      <c r="HC529" s="1098"/>
      <c r="HD529" s="1098"/>
      <c r="HE529" s="1098"/>
      <c r="HF529" s="1098"/>
      <c r="HG529" s="1098"/>
      <c r="HH529" s="1098"/>
      <c r="HI529" s="1098"/>
      <c r="HJ529" s="1098"/>
      <c r="HK529" s="1098"/>
      <c r="HL529" s="1098"/>
      <c r="HM529" s="1098"/>
      <c r="HN529" s="1098"/>
      <c r="HO529" s="1098"/>
      <c r="HP529" s="1098"/>
      <c r="HQ529" s="1098"/>
      <c r="HR529" s="1098"/>
      <c r="HS529" s="1098"/>
      <c r="HT529" s="1098"/>
      <c r="HU529" s="1098"/>
      <c r="HV529" s="1098"/>
      <c r="HW529" s="1098"/>
      <c r="HX529" s="1098"/>
      <c r="HY529" s="1098"/>
      <c r="HZ529" s="1098"/>
      <c r="IA529" s="1098"/>
      <c r="IB529" s="1098"/>
      <c r="IC529" s="1098"/>
      <c r="ID529" s="1098"/>
      <c r="IE529" s="1098"/>
      <c r="IF529" s="1098"/>
      <c r="IG529" s="1098"/>
      <c r="IH529" s="1098"/>
      <c r="II529" s="1098"/>
      <c r="IJ529" s="1098"/>
      <c r="IK529" s="1098"/>
      <c r="IL529" s="1098"/>
      <c r="IM529" s="1098"/>
      <c r="IN529" s="1098"/>
      <c r="IO529" s="1098"/>
      <c r="IP529" s="1098"/>
      <c r="IQ529" s="1098"/>
      <c r="IR529" s="1098"/>
      <c r="IS529" s="1098"/>
      <c r="IT529" s="1098"/>
      <c r="IU529" s="1098"/>
      <c r="IV529" s="1098"/>
      <c r="IW529" s="1098"/>
      <c r="IX529" s="1098"/>
      <c r="IY529" s="1098"/>
      <c r="IZ529" s="1098"/>
      <c r="JA529" s="1098"/>
      <c r="JB529" s="1098"/>
      <c r="JC529" s="1098"/>
      <c r="JD529" s="1098"/>
      <c r="JE529" s="1098"/>
      <c r="JF529" s="1098"/>
      <c r="JG529" s="1098"/>
      <c r="JH529" s="1098"/>
      <c r="JI529" s="1098"/>
      <c r="JJ529" s="1098"/>
      <c r="JK529" s="1098"/>
      <c r="JL529" s="1098"/>
      <c r="JM529" s="1098"/>
      <c r="JN529" s="1098"/>
      <c r="JO529" s="1098"/>
      <c r="JP529" s="1098"/>
      <c r="JQ529" s="1098"/>
      <c r="JR529" s="1098"/>
      <c r="JS529" s="1098"/>
      <c r="JT529" s="1098"/>
      <c r="JU529" s="1098"/>
      <c r="JV529" s="1098"/>
      <c r="JW529" s="1098"/>
      <c r="JX529" s="1098"/>
      <c r="JY529" s="1098"/>
      <c r="JZ529" s="1098"/>
      <c r="KA529" s="1098"/>
      <c r="KB529" s="1099"/>
    </row>
    <row r="530" spans="2:288" ht="15" customHeight="1" x14ac:dyDescent="0.35">
      <c r="B530" s="146" t="str">
        <f t="shared" si="45"/>
        <v>Desk 3</v>
      </c>
      <c r="C530" s="148" t="str">
        <v/>
      </c>
      <c r="D530" s="148" t="str">
        <v/>
      </c>
      <c r="E530" s="148" t="str">
        <v/>
      </c>
      <c r="F530" s="148" t="str">
        <v/>
      </c>
      <c r="G530" s="268" t="str">
        <v/>
      </c>
      <c r="H530" s="1098"/>
      <c r="I530" s="1098"/>
      <c r="J530" s="1098"/>
      <c r="K530" s="1098"/>
      <c r="L530" s="1098"/>
      <c r="M530" s="1098"/>
      <c r="N530" s="1098"/>
      <c r="O530" s="1098"/>
      <c r="P530" s="1098"/>
      <c r="Q530" s="1098"/>
      <c r="R530" s="1098"/>
      <c r="S530" s="1098"/>
      <c r="T530" s="1098"/>
      <c r="U530" s="1098"/>
      <c r="V530" s="1098"/>
      <c r="W530" s="1098"/>
      <c r="X530" s="1098"/>
      <c r="Y530" s="1098"/>
      <c r="Z530" s="1098"/>
      <c r="AA530" s="1098"/>
      <c r="AB530" s="1098"/>
      <c r="AC530" s="1098"/>
      <c r="AD530" s="1098"/>
      <c r="AE530" s="1098"/>
      <c r="AF530" s="1098"/>
      <c r="AG530" s="1098"/>
      <c r="AH530" s="1098"/>
      <c r="AI530" s="1098"/>
      <c r="AJ530" s="1098"/>
      <c r="AK530" s="1098"/>
      <c r="AL530" s="1098"/>
      <c r="AM530" s="1098"/>
      <c r="AN530" s="1098"/>
      <c r="AO530" s="1098"/>
      <c r="AP530" s="1098"/>
      <c r="AQ530" s="1098"/>
      <c r="AR530" s="1098"/>
      <c r="AS530" s="1098"/>
      <c r="AT530" s="1098"/>
      <c r="AU530" s="1098"/>
      <c r="AV530" s="1098"/>
      <c r="AW530" s="1098"/>
      <c r="AX530" s="1098"/>
      <c r="AY530" s="1098"/>
      <c r="AZ530" s="1098"/>
      <c r="BA530" s="1098"/>
      <c r="BB530" s="1098"/>
      <c r="BC530" s="1098"/>
      <c r="BD530" s="1098"/>
      <c r="BE530" s="1098"/>
      <c r="BF530" s="1098"/>
      <c r="BG530" s="1098"/>
      <c r="BH530" s="1098"/>
      <c r="BI530" s="1098"/>
      <c r="BJ530" s="1098"/>
      <c r="BK530" s="1098"/>
      <c r="BL530" s="1098"/>
      <c r="BM530" s="1098"/>
      <c r="BN530" s="1098"/>
      <c r="BO530" s="1098"/>
      <c r="BP530" s="1098"/>
      <c r="BQ530" s="1098"/>
      <c r="BR530" s="1098"/>
      <c r="BS530" s="1098"/>
      <c r="BT530" s="1098"/>
      <c r="BU530" s="1098"/>
      <c r="BV530" s="1098"/>
      <c r="BW530" s="1098"/>
      <c r="BX530" s="1098"/>
      <c r="BY530" s="1098"/>
      <c r="BZ530" s="1098"/>
      <c r="CA530" s="1098"/>
      <c r="CB530" s="1098"/>
      <c r="CC530" s="1098"/>
      <c r="CD530" s="1098"/>
      <c r="CE530" s="1098"/>
      <c r="CF530" s="1098"/>
      <c r="CG530" s="1098"/>
      <c r="CH530" s="1098"/>
      <c r="CI530" s="1098"/>
      <c r="CJ530" s="1098"/>
      <c r="CK530" s="1098"/>
      <c r="CL530" s="1098"/>
      <c r="CM530" s="1098"/>
      <c r="CN530" s="1098"/>
      <c r="CO530" s="1098"/>
      <c r="CP530" s="1098"/>
      <c r="CQ530" s="1098"/>
      <c r="CR530" s="1098"/>
      <c r="CS530" s="1098"/>
      <c r="CT530" s="1098"/>
      <c r="CU530" s="1098"/>
      <c r="CV530" s="1098"/>
      <c r="CW530" s="1098"/>
      <c r="CX530" s="1098"/>
      <c r="CY530" s="1098"/>
      <c r="CZ530" s="1098"/>
      <c r="DA530" s="1098"/>
      <c r="DB530" s="1098"/>
      <c r="DC530" s="1098"/>
      <c r="DD530" s="1098"/>
      <c r="DE530" s="1098"/>
      <c r="DF530" s="1098"/>
      <c r="DG530" s="1098"/>
      <c r="DH530" s="1098"/>
      <c r="DI530" s="1098"/>
      <c r="DJ530" s="1098"/>
      <c r="DK530" s="1098"/>
      <c r="DL530" s="1098"/>
      <c r="DM530" s="1098"/>
      <c r="DN530" s="1098"/>
      <c r="DO530" s="1098"/>
      <c r="DP530" s="1098"/>
      <c r="DQ530" s="1098"/>
      <c r="DR530" s="1098"/>
      <c r="DS530" s="1098"/>
      <c r="DT530" s="1098"/>
      <c r="DU530" s="1098"/>
      <c r="DV530" s="1098"/>
      <c r="DW530" s="1098"/>
      <c r="DX530" s="1098"/>
      <c r="DY530" s="1098"/>
      <c r="DZ530" s="1098"/>
      <c r="EA530" s="1098"/>
      <c r="EB530" s="1098"/>
      <c r="EC530" s="1098"/>
      <c r="ED530" s="1098"/>
      <c r="EE530" s="1098"/>
      <c r="EF530" s="1098"/>
      <c r="EG530" s="1098"/>
      <c r="EH530" s="1098"/>
      <c r="EI530" s="1098"/>
      <c r="EJ530" s="1098"/>
      <c r="EK530" s="1098"/>
      <c r="EL530" s="1098"/>
      <c r="EM530" s="1098"/>
      <c r="EN530" s="1098"/>
      <c r="EO530" s="1098"/>
      <c r="EP530" s="1098"/>
      <c r="EQ530" s="1098"/>
      <c r="ER530" s="1098"/>
      <c r="ES530" s="1098"/>
      <c r="ET530" s="1098"/>
      <c r="EU530" s="1098"/>
      <c r="EV530" s="1098"/>
      <c r="EW530" s="1098"/>
      <c r="EX530" s="1098"/>
      <c r="EY530" s="1098"/>
      <c r="EZ530" s="1098"/>
      <c r="FA530" s="1098"/>
      <c r="FB530" s="1098"/>
      <c r="FC530" s="1098"/>
      <c r="FD530" s="1098"/>
      <c r="FE530" s="1098"/>
      <c r="FF530" s="1098"/>
      <c r="FG530" s="1098"/>
      <c r="FH530" s="1098"/>
      <c r="FI530" s="1098"/>
      <c r="FJ530" s="1098"/>
      <c r="FK530" s="1098"/>
      <c r="FL530" s="1098"/>
      <c r="FM530" s="1098"/>
      <c r="FN530" s="1098"/>
      <c r="FO530" s="1098"/>
      <c r="FP530" s="1098"/>
      <c r="FQ530" s="1098"/>
      <c r="FR530" s="1098"/>
      <c r="FS530" s="1098"/>
      <c r="FT530" s="1098"/>
      <c r="FU530" s="1098"/>
      <c r="FV530" s="1098"/>
      <c r="FW530" s="1098"/>
      <c r="FX530" s="1098"/>
      <c r="FY530" s="1098"/>
      <c r="FZ530" s="1098"/>
      <c r="GA530" s="1098"/>
      <c r="GB530" s="1098"/>
      <c r="GC530" s="1098"/>
      <c r="GD530" s="1098"/>
      <c r="GE530" s="1098"/>
      <c r="GF530" s="1098"/>
      <c r="GG530" s="1098"/>
      <c r="GH530" s="1098"/>
      <c r="GI530" s="1098"/>
      <c r="GJ530" s="1098"/>
      <c r="GK530" s="1098"/>
      <c r="GL530" s="1098"/>
      <c r="GM530" s="1098"/>
      <c r="GN530" s="1098"/>
      <c r="GO530" s="1098"/>
      <c r="GP530" s="1098"/>
      <c r="GQ530" s="1098"/>
      <c r="GR530" s="1098"/>
      <c r="GS530" s="1098"/>
      <c r="GT530" s="1098"/>
      <c r="GU530" s="1098"/>
      <c r="GV530" s="1098"/>
      <c r="GW530" s="1098"/>
      <c r="GX530" s="1098"/>
      <c r="GY530" s="1098"/>
      <c r="GZ530" s="1098"/>
      <c r="HA530" s="1098"/>
      <c r="HB530" s="1098"/>
      <c r="HC530" s="1098"/>
      <c r="HD530" s="1098"/>
      <c r="HE530" s="1098"/>
      <c r="HF530" s="1098"/>
      <c r="HG530" s="1098"/>
      <c r="HH530" s="1098"/>
      <c r="HI530" s="1098"/>
      <c r="HJ530" s="1098"/>
      <c r="HK530" s="1098"/>
      <c r="HL530" s="1098"/>
      <c r="HM530" s="1098"/>
      <c r="HN530" s="1098"/>
      <c r="HO530" s="1098"/>
      <c r="HP530" s="1098"/>
      <c r="HQ530" s="1098"/>
      <c r="HR530" s="1098"/>
      <c r="HS530" s="1098"/>
      <c r="HT530" s="1098"/>
      <c r="HU530" s="1098"/>
      <c r="HV530" s="1098"/>
      <c r="HW530" s="1098"/>
      <c r="HX530" s="1098"/>
      <c r="HY530" s="1098"/>
      <c r="HZ530" s="1098"/>
      <c r="IA530" s="1098"/>
      <c r="IB530" s="1098"/>
      <c r="IC530" s="1098"/>
      <c r="ID530" s="1098"/>
      <c r="IE530" s="1098"/>
      <c r="IF530" s="1098"/>
      <c r="IG530" s="1098"/>
      <c r="IH530" s="1098"/>
      <c r="II530" s="1098"/>
      <c r="IJ530" s="1098"/>
      <c r="IK530" s="1098"/>
      <c r="IL530" s="1098"/>
      <c r="IM530" s="1098"/>
      <c r="IN530" s="1098"/>
      <c r="IO530" s="1098"/>
      <c r="IP530" s="1098"/>
      <c r="IQ530" s="1098"/>
      <c r="IR530" s="1098"/>
      <c r="IS530" s="1098"/>
      <c r="IT530" s="1098"/>
      <c r="IU530" s="1098"/>
      <c r="IV530" s="1098"/>
      <c r="IW530" s="1098"/>
      <c r="IX530" s="1098"/>
      <c r="IY530" s="1098"/>
      <c r="IZ530" s="1098"/>
      <c r="JA530" s="1098"/>
      <c r="JB530" s="1098"/>
      <c r="JC530" s="1098"/>
      <c r="JD530" s="1098"/>
      <c r="JE530" s="1098"/>
      <c r="JF530" s="1098"/>
      <c r="JG530" s="1098"/>
      <c r="JH530" s="1098"/>
      <c r="JI530" s="1098"/>
      <c r="JJ530" s="1098"/>
      <c r="JK530" s="1098"/>
      <c r="JL530" s="1098"/>
      <c r="JM530" s="1098"/>
      <c r="JN530" s="1098"/>
      <c r="JO530" s="1098"/>
      <c r="JP530" s="1098"/>
      <c r="JQ530" s="1098"/>
      <c r="JR530" s="1098"/>
      <c r="JS530" s="1098"/>
      <c r="JT530" s="1098"/>
      <c r="JU530" s="1098"/>
      <c r="JV530" s="1098"/>
      <c r="JW530" s="1098"/>
      <c r="JX530" s="1098"/>
      <c r="JY530" s="1098"/>
      <c r="JZ530" s="1098"/>
      <c r="KA530" s="1098"/>
      <c r="KB530" s="1099"/>
    </row>
    <row r="531" spans="2:288" ht="15" customHeight="1" x14ac:dyDescent="0.35">
      <c r="B531" s="146" t="str">
        <f t="shared" si="45"/>
        <v>Desk 4</v>
      </c>
      <c r="C531" s="148" t="str">
        <v/>
      </c>
      <c r="D531" s="148" t="str">
        <v/>
      </c>
      <c r="E531" s="148" t="str">
        <v/>
      </c>
      <c r="F531" s="148" t="str">
        <v/>
      </c>
      <c r="G531" s="268" t="str">
        <v/>
      </c>
      <c r="H531" s="1098"/>
      <c r="I531" s="1098"/>
      <c r="J531" s="1098"/>
      <c r="K531" s="1098"/>
      <c r="L531" s="1098"/>
      <c r="M531" s="1098"/>
      <c r="N531" s="1098"/>
      <c r="O531" s="1098"/>
      <c r="P531" s="1098"/>
      <c r="Q531" s="1098"/>
      <c r="R531" s="1098"/>
      <c r="S531" s="1098"/>
      <c r="T531" s="1098"/>
      <c r="U531" s="1098"/>
      <c r="V531" s="1098"/>
      <c r="W531" s="1098"/>
      <c r="X531" s="1098"/>
      <c r="Y531" s="1098"/>
      <c r="Z531" s="1098"/>
      <c r="AA531" s="1098"/>
      <c r="AB531" s="1098"/>
      <c r="AC531" s="1098"/>
      <c r="AD531" s="1098"/>
      <c r="AE531" s="1098"/>
      <c r="AF531" s="1098"/>
      <c r="AG531" s="1098"/>
      <c r="AH531" s="1098"/>
      <c r="AI531" s="1098"/>
      <c r="AJ531" s="1098"/>
      <c r="AK531" s="1098"/>
      <c r="AL531" s="1098"/>
      <c r="AM531" s="1098"/>
      <c r="AN531" s="1098"/>
      <c r="AO531" s="1098"/>
      <c r="AP531" s="1098"/>
      <c r="AQ531" s="1098"/>
      <c r="AR531" s="1098"/>
      <c r="AS531" s="1098"/>
      <c r="AT531" s="1098"/>
      <c r="AU531" s="1098"/>
      <c r="AV531" s="1098"/>
      <c r="AW531" s="1098"/>
      <c r="AX531" s="1098"/>
      <c r="AY531" s="1098"/>
      <c r="AZ531" s="1098"/>
      <c r="BA531" s="1098"/>
      <c r="BB531" s="1098"/>
      <c r="BC531" s="1098"/>
      <c r="BD531" s="1098"/>
      <c r="BE531" s="1098"/>
      <c r="BF531" s="1098"/>
      <c r="BG531" s="1098"/>
      <c r="BH531" s="1098"/>
      <c r="BI531" s="1098"/>
      <c r="BJ531" s="1098"/>
      <c r="BK531" s="1098"/>
      <c r="BL531" s="1098"/>
      <c r="BM531" s="1098"/>
      <c r="BN531" s="1098"/>
      <c r="BO531" s="1098"/>
      <c r="BP531" s="1098"/>
      <c r="BQ531" s="1098"/>
      <c r="BR531" s="1098"/>
      <c r="BS531" s="1098"/>
      <c r="BT531" s="1098"/>
      <c r="BU531" s="1098"/>
      <c r="BV531" s="1098"/>
      <c r="BW531" s="1098"/>
      <c r="BX531" s="1098"/>
      <c r="BY531" s="1098"/>
      <c r="BZ531" s="1098"/>
      <c r="CA531" s="1098"/>
      <c r="CB531" s="1098"/>
      <c r="CC531" s="1098"/>
      <c r="CD531" s="1098"/>
      <c r="CE531" s="1098"/>
      <c r="CF531" s="1098"/>
      <c r="CG531" s="1098"/>
      <c r="CH531" s="1098"/>
      <c r="CI531" s="1098"/>
      <c r="CJ531" s="1098"/>
      <c r="CK531" s="1098"/>
      <c r="CL531" s="1098"/>
      <c r="CM531" s="1098"/>
      <c r="CN531" s="1098"/>
      <c r="CO531" s="1098"/>
      <c r="CP531" s="1098"/>
      <c r="CQ531" s="1098"/>
      <c r="CR531" s="1098"/>
      <c r="CS531" s="1098"/>
      <c r="CT531" s="1098"/>
      <c r="CU531" s="1098"/>
      <c r="CV531" s="1098"/>
      <c r="CW531" s="1098"/>
      <c r="CX531" s="1098"/>
      <c r="CY531" s="1098"/>
      <c r="CZ531" s="1098"/>
      <c r="DA531" s="1098"/>
      <c r="DB531" s="1098"/>
      <c r="DC531" s="1098"/>
      <c r="DD531" s="1098"/>
      <c r="DE531" s="1098"/>
      <c r="DF531" s="1098"/>
      <c r="DG531" s="1098"/>
      <c r="DH531" s="1098"/>
      <c r="DI531" s="1098"/>
      <c r="DJ531" s="1098"/>
      <c r="DK531" s="1098"/>
      <c r="DL531" s="1098"/>
      <c r="DM531" s="1098"/>
      <c r="DN531" s="1098"/>
      <c r="DO531" s="1098"/>
      <c r="DP531" s="1098"/>
      <c r="DQ531" s="1098"/>
      <c r="DR531" s="1098"/>
      <c r="DS531" s="1098"/>
      <c r="DT531" s="1098"/>
      <c r="DU531" s="1098"/>
      <c r="DV531" s="1098"/>
      <c r="DW531" s="1098"/>
      <c r="DX531" s="1098"/>
      <c r="DY531" s="1098"/>
      <c r="DZ531" s="1098"/>
      <c r="EA531" s="1098"/>
      <c r="EB531" s="1098"/>
      <c r="EC531" s="1098"/>
      <c r="ED531" s="1098"/>
      <c r="EE531" s="1098"/>
      <c r="EF531" s="1098"/>
      <c r="EG531" s="1098"/>
      <c r="EH531" s="1098"/>
      <c r="EI531" s="1098"/>
      <c r="EJ531" s="1098"/>
      <c r="EK531" s="1098"/>
      <c r="EL531" s="1098"/>
      <c r="EM531" s="1098"/>
      <c r="EN531" s="1098"/>
      <c r="EO531" s="1098"/>
      <c r="EP531" s="1098"/>
      <c r="EQ531" s="1098"/>
      <c r="ER531" s="1098"/>
      <c r="ES531" s="1098"/>
      <c r="ET531" s="1098"/>
      <c r="EU531" s="1098"/>
      <c r="EV531" s="1098"/>
      <c r="EW531" s="1098"/>
      <c r="EX531" s="1098"/>
      <c r="EY531" s="1098"/>
      <c r="EZ531" s="1098"/>
      <c r="FA531" s="1098"/>
      <c r="FB531" s="1098"/>
      <c r="FC531" s="1098"/>
      <c r="FD531" s="1098"/>
      <c r="FE531" s="1098"/>
      <c r="FF531" s="1098"/>
      <c r="FG531" s="1098"/>
      <c r="FH531" s="1098"/>
      <c r="FI531" s="1098"/>
      <c r="FJ531" s="1098"/>
      <c r="FK531" s="1098"/>
      <c r="FL531" s="1098"/>
      <c r="FM531" s="1098"/>
      <c r="FN531" s="1098"/>
      <c r="FO531" s="1098"/>
      <c r="FP531" s="1098"/>
      <c r="FQ531" s="1098"/>
      <c r="FR531" s="1098"/>
      <c r="FS531" s="1098"/>
      <c r="FT531" s="1098"/>
      <c r="FU531" s="1098"/>
      <c r="FV531" s="1098"/>
      <c r="FW531" s="1098"/>
      <c r="FX531" s="1098"/>
      <c r="FY531" s="1098"/>
      <c r="FZ531" s="1098"/>
      <c r="GA531" s="1098"/>
      <c r="GB531" s="1098"/>
      <c r="GC531" s="1098"/>
      <c r="GD531" s="1098"/>
      <c r="GE531" s="1098"/>
      <c r="GF531" s="1098"/>
      <c r="GG531" s="1098"/>
      <c r="GH531" s="1098"/>
      <c r="GI531" s="1098"/>
      <c r="GJ531" s="1098"/>
      <c r="GK531" s="1098"/>
      <c r="GL531" s="1098"/>
      <c r="GM531" s="1098"/>
      <c r="GN531" s="1098"/>
      <c r="GO531" s="1098"/>
      <c r="GP531" s="1098"/>
      <c r="GQ531" s="1098"/>
      <c r="GR531" s="1098"/>
      <c r="GS531" s="1098"/>
      <c r="GT531" s="1098"/>
      <c r="GU531" s="1098"/>
      <c r="GV531" s="1098"/>
      <c r="GW531" s="1098"/>
      <c r="GX531" s="1098"/>
      <c r="GY531" s="1098"/>
      <c r="GZ531" s="1098"/>
      <c r="HA531" s="1098"/>
      <c r="HB531" s="1098"/>
      <c r="HC531" s="1098"/>
      <c r="HD531" s="1098"/>
      <c r="HE531" s="1098"/>
      <c r="HF531" s="1098"/>
      <c r="HG531" s="1098"/>
      <c r="HH531" s="1098"/>
      <c r="HI531" s="1098"/>
      <c r="HJ531" s="1098"/>
      <c r="HK531" s="1098"/>
      <c r="HL531" s="1098"/>
      <c r="HM531" s="1098"/>
      <c r="HN531" s="1098"/>
      <c r="HO531" s="1098"/>
      <c r="HP531" s="1098"/>
      <c r="HQ531" s="1098"/>
      <c r="HR531" s="1098"/>
      <c r="HS531" s="1098"/>
      <c r="HT531" s="1098"/>
      <c r="HU531" s="1098"/>
      <c r="HV531" s="1098"/>
      <c r="HW531" s="1098"/>
      <c r="HX531" s="1098"/>
      <c r="HY531" s="1098"/>
      <c r="HZ531" s="1098"/>
      <c r="IA531" s="1098"/>
      <c r="IB531" s="1098"/>
      <c r="IC531" s="1098"/>
      <c r="ID531" s="1098"/>
      <c r="IE531" s="1098"/>
      <c r="IF531" s="1098"/>
      <c r="IG531" s="1098"/>
      <c r="IH531" s="1098"/>
      <c r="II531" s="1098"/>
      <c r="IJ531" s="1098"/>
      <c r="IK531" s="1098"/>
      <c r="IL531" s="1098"/>
      <c r="IM531" s="1098"/>
      <c r="IN531" s="1098"/>
      <c r="IO531" s="1098"/>
      <c r="IP531" s="1098"/>
      <c r="IQ531" s="1098"/>
      <c r="IR531" s="1098"/>
      <c r="IS531" s="1098"/>
      <c r="IT531" s="1098"/>
      <c r="IU531" s="1098"/>
      <c r="IV531" s="1098"/>
      <c r="IW531" s="1098"/>
      <c r="IX531" s="1098"/>
      <c r="IY531" s="1098"/>
      <c r="IZ531" s="1098"/>
      <c r="JA531" s="1098"/>
      <c r="JB531" s="1098"/>
      <c r="JC531" s="1098"/>
      <c r="JD531" s="1098"/>
      <c r="JE531" s="1098"/>
      <c r="JF531" s="1098"/>
      <c r="JG531" s="1098"/>
      <c r="JH531" s="1098"/>
      <c r="JI531" s="1098"/>
      <c r="JJ531" s="1098"/>
      <c r="JK531" s="1098"/>
      <c r="JL531" s="1098"/>
      <c r="JM531" s="1098"/>
      <c r="JN531" s="1098"/>
      <c r="JO531" s="1098"/>
      <c r="JP531" s="1098"/>
      <c r="JQ531" s="1098"/>
      <c r="JR531" s="1098"/>
      <c r="JS531" s="1098"/>
      <c r="JT531" s="1098"/>
      <c r="JU531" s="1098"/>
      <c r="JV531" s="1098"/>
      <c r="JW531" s="1098"/>
      <c r="JX531" s="1098"/>
      <c r="JY531" s="1098"/>
      <c r="JZ531" s="1098"/>
      <c r="KA531" s="1098"/>
      <c r="KB531" s="1099"/>
    </row>
    <row r="532" spans="2:288" ht="15" customHeight="1" x14ac:dyDescent="0.35">
      <c r="B532" s="146" t="str">
        <f t="shared" si="45"/>
        <v>Desk 5</v>
      </c>
      <c r="C532" s="148" t="str">
        <v/>
      </c>
      <c r="D532" s="148" t="str">
        <v/>
      </c>
      <c r="E532" s="148" t="str">
        <v/>
      </c>
      <c r="F532" s="148" t="str">
        <v/>
      </c>
      <c r="G532" s="268" t="str">
        <v/>
      </c>
      <c r="H532" s="1098"/>
      <c r="I532" s="1098"/>
      <c r="J532" s="1098"/>
      <c r="K532" s="1098"/>
      <c r="L532" s="1098"/>
      <c r="M532" s="1098"/>
      <c r="N532" s="1098"/>
      <c r="O532" s="1098"/>
      <c r="P532" s="1098"/>
      <c r="Q532" s="1098"/>
      <c r="R532" s="1098"/>
      <c r="S532" s="1098"/>
      <c r="T532" s="1098"/>
      <c r="U532" s="1098"/>
      <c r="V532" s="1098"/>
      <c r="W532" s="1098"/>
      <c r="X532" s="1098"/>
      <c r="Y532" s="1098"/>
      <c r="Z532" s="1098"/>
      <c r="AA532" s="1098"/>
      <c r="AB532" s="1098"/>
      <c r="AC532" s="1098"/>
      <c r="AD532" s="1098"/>
      <c r="AE532" s="1098"/>
      <c r="AF532" s="1098"/>
      <c r="AG532" s="1098"/>
      <c r="AH532" s="1098"/>
      <c r="AI532" s="1098"/>
      <c r="AJ532" s="1098"/>
      <c r="AK532" s="1098"/>
      <c r="AL532" s="1098"/>
      <c r="AM532" s="1098"/>
      <c r="AN532" s="1098"/>
      <c r="AO532" s="1098"/>
      <c r="AP532" s="1098"/>
      <c r="AQ532" s="1098"/>
      <c r="AR532" s="1098"/>
      <c r="AS532" s="1098"/>
      <c r="AT532" s="1098"/>
      <c r="AU532" s="1098"/>
      <c r="AV532" s="1098"/>
      <c r="AW532" s="1098"/>
      <c r="AX532" s="1098"/>
      <c r="AY532" s="1098"/>
      <c r="AZ532" s="1098"/>
      <c r="BA532" s="1098"/>
      <c r="BB532" s="1098"/>
      <c r="BC532" s="1098"/>
      <c r="BD532" s="1098"/>
      <c r="BE532" s="1098"/>
      <c r="BF532" s="1098"/>
      <c r="BG532" s="1098"/>
      <c r="BH532" s="1098"/>
      <c r="BI532" s="1098"/>
      <c r="BJ532" s="1098"/>
      <c r="BK532" s="1098"/>
      <c r="BL532" s="1098"/>
      <c r="BM532" s="1098"/>
      <c r="BN532" s="1098"/>
      <c r="BO532" s="1098"/>
      <c r="BP532" s="1098"/>
      <c r="BQ532" s="1098"/>
      <c r="BR532" s="1098"/>
      <c r="BS532" s="1098"/>
      <c r="BT532" s="1098"/>
      <c r="BU532" s="1098"/>
      <c r="BV532" s="1098"/>
      <c r="BW532" s="1098"/>
      <c r="BX532" s="1098"/>
      <c r="BY532" s="1098"/>
      <c r="BZ532" s="1098"/>
      <c r="CA532" s="1098"/>
      <c r="CB532" s="1098"/>
      <c r="CC532" s="1098"/>
      <c r="CD532" s="1098"/>
      <c r="CE532" s="1098"/>
      <c r="CF532" s="1098"/>
      <c r="CG532" s="1098"/>
      <c r="CH532" s="1098"/>
      <c r="CI532" s="1098"/>
      <c r="CJ532" s="1098"/>
      <c r="CK532" s="1098"/>
      <c r="CL532" s="1098"/>
      <c r="CM532" s="1098"/>
      <c r="CN532" s="1098"/>
      <c r="CO532" s="1098"/>
      <c r="CP532" s="1098"/>
      <c r="CQ532" s="1098"/>
      <c r="CR532" s="1098"/>
      <c r="CS532" s="1098"/>
      <c r="CT532" s="1098"/>
      <c r="CU532" s="1098"/>
      <c r="CV532" s="1098"/>
      <c r="CW532" s="1098"/>
      <c r="CX532" s="1098"/>
      <c r="CY532" s="1098"/>
      <c r="CZ532" s="1098"/>
      <c r="DA532" s="1098"/>
      <c r="DB532" s="1098"/>
      <c r="DC532" s="1098"/>
      <c r="DD532" s="1098"/>
      <c r="DE532" s="1098"/>
      <c r="DF532" s="1098"/>
      <c r="DG532" s="1098"/>
      <c r="DH532" s="1098"/>
      <c r="DI532" s="1098"/>
      <c r="DJ532" s="1098"/>
      <c r="DK532" s="1098"/>
      <c r="DL532" s="1098"/>
      <c r="DM532" s="1098"/>
      <c r="DN532" s="1098"/>
      <c r="DO532" s="1098"/>
      <c r="DP532" s="1098"/>
      <c r="DQ532" s="1098"/>
      <c r="DR532" s="1098"/>
      <c r="DS532" s="1098"/>
      <c r="DT532" s="1098"/>
      <c r="DU532" s="1098"/>
      <c r="DV532" s="1098"/>
      <c r="DW532" s="1098"/>
      <c r="DX532" s="1098"/>
      <c r="DY532" s="1098"/>
      <c r="DZ532" s="1098"/>
      <c r="EA532" s="1098"/>
      <c r="EB532" s="1098"/>
      <c r="EC532" s="1098"/>
      <c r="ED532" s="1098"/>
      <c r="EE532" s="1098"/>
      <c r="EF532" s="1098"/>
      <c r="EG532" s="1098"/>
      <c r="EH532" s="1098"/>
      <c r="EI532" s="1098"/>
      <c r="EJ532" s="1098"/>
      <c r="EK532" s="1098"/>
      <c r="EL532" s="1098"/>
      <c r="EM532" s="1098"/>
      <c r="EN532" s="1098"/>
      <c r="EO532" s="1098"/>
      <c r="EP532" s="1098"/>
      <c r="EQ532" s="1098"/>
      <c r="ER532" s="1098"/>
      <c r="ES532" s="1098"/>
      <c r="ET532" s="1098"/>
      <c r="EU532" s="1098"/>
      <c r="EV532" s="1098"/>
      <c r="EW532" s="1098"/>
      <c r="EX532" s="1098"/>
      <c r="EY532" s="1098"/>
      <c r="EZ532" s="1098"/>
      <c r="FA532" s="1098"/>
      <c r="FB532" s="1098"/>
      <c r="FC532" s="1098"/>
      <c r="FD532" s="1098"/>
      <c r="FE532" s="1098"/>
      <c r="FF532" s="1098"/>
      <c r="FG532" s="1098"/>
      <c r="FH532" s="1098"/>
      <c r="FI532" s="1098"/>
      <c r="FJ532" s="1098"/>
      <c r="FK532" s="1098"/>
      <c r="FL532" s="1098"/>
      <c r="FM532" s="1098"/>
      <c r="FN532" s="1098"/>
      <c r="FO532" s="1098"/>
      <c r="FP532" s="1098"/>
      <c r="FQ532" s="1098"/>
      <c r="FR532" s="1098"/>
      <c r="FS532" s="1098"/>
      <c r="FT532" s="1098"/>
      <c r="FU532" s="1098"/>
      <c r="FV532" s="1098"/>
      <c r="FW532" s="1098"/>
      <c r="FX532" s="1098"/>
      <c r="FY532" s="1098"/>
      <c r="FZ532" s="1098"/>
      <c r="GA532" s="1098"/>
      <c r="GB532" s="1098"/>
      <c r="GC532" s="1098"/>
      <c r="GD532" s="1098"/>
      <c r="GE532" s="1098"/>
      <c r="GF532" s="1098"/>
      <c r="GG532" s="1098"/>
      <c r="GH532" s="1098"/>
      <c r="GI532" s="1098"/>
      <c r="GJ532" s="1098"/>
      <c r="GK532" s="1098"/>
      <c r="GL532" s="1098"/>
      <c r="GM532" s="1098"/>
      <c r="GN532" s="1098"/>
      <c r="GO532" s="1098"/>
      <c r="GP532" s="1098"/>
      <c r="GQ532" s="1098"/>
      <c r="GR532" s="1098"/>
      <c r="GS532" s="1098"/>
      <c r="GT532" s="1098"/>
      <c r="GU532" s="1098"/>
      <c r="GV532" s="1098"/>
      <c r="GW532" s="1098"/>
      <c r="GX532" s="1098"/>
      <c r="GY532" s="1098"/>
      <c r="GZ532" s="1098"/>
      <c r="HA532" s="1098"/>
      <c r="HB532" s="1098"/>
      <c r="HC532" s="1098"/>
      <c r="HD532" s="1098"/>
      <c r="HE532" s="1098"/>
      <c r="HF532" s="1098"/>
      <c r="HG532" s="1098"/>
      <c r="HH532" s="1098"/>
      <c r="HI532" s="1098"/>
      <c r="HJ532" s="1098"/>
      <c r="HK532" s="1098"/>
      <c r="HL532" s="1098"/>
      <c r="HM532" s="1098"/>
      <c r="HN532" s="1098"/>
      <c r="HO532" s="1098"/>
      <c r="HP532" s="1098"/>
      <c r="HQ532" s="1098"/>
      <c r="HR532" s="1098"/>
      <c r="HS532" s="1098"/>
      <c r="HT532" s="1098"/>
      <c r="HU532" s="1098"/>
      <c r="HV532" s="1098"/>
      <c r="HW532" s="1098"/>
      <c r="HX532" s="1098"/>
      <c r="HY532" s="1098"/>
      <c r="HZ532" s="1098"/>
      <c r="IA532" s="1098"/>
      <c r="IB532" s="1098"/>
      <c r="IC532" s="1098"/>
      <c r="ID532" s="1098"/>
      <c r="IE532" s="1098"/>
      <c r="IF532" s="1098"/>
      <c r="IG532" s="1098"/>
      <c r="IH532" s="1098"/>
      <c r="II532" s="1098"/>
      <c r="IJ532" s="1098"/>
      <c r="IK532" s="1098"/>
      <c r="IL532" s="1098"/>
      <c r="IM532" s="1098"/>
      <c r="IN532" s="1098"/>
      <c r="IO532" s="1098"/>
      <c r="IP532" s="1098"/>
      <c r="IQ532" s="1098"/>
      <c r="IR532" s="1098"/>
      <c r="IS532" s="1098"/>
      <c r="IT532" s="1098"/>
      <c r="IU532" s="1098"/>
      <c r="IV532" s="1098"/>
      <c r="IW532" s="1098"/>
      <c r="IX532" s="1098"/>
      <c r="IY532" s="1098"/>
      <c r="IZ532" s="1098"/>
      <c r="JA532" s="1098"/>
      <c r="JB532" s="1098"/>
      <c r="JC532" s="1098"/>
      <c r="JD532" s="1098"/>
      <c r="JE532" s="1098"/>
      <c r="JF532" s="1098"/>
      <c r="JG532" s="1098"/>
      <c r="JH532" s="1098"/>
      <c r="JI532" s="1098"/>
      <c r="JJ532" s="1098"/>
      <c r="JK532" s="1098"/>
      <c r="JL532" s="1098"/>
      <c r="JM532" s="1098"/>
      <c r="JN532" s="1098"/>
      <c r="JO532" s="1098"/>
      <c r="JP532" s="1098"/>
      <c r="JQ532" s="1098"/>
      <c r="JR532" s="1098"/>
      <c r="JS532" s="1098"/>
      <c r="JT532" s="1098"/>
      <c r="JU532" s="1098"/>
      <c r="JV532" s="1098"/>
      <c r="JW532" s="1098"/>
      <c r="JX532" s="1098"/>
      <c r="JY532" s="1098"/>
      <c r="JZ532" s="1098"/>
      <c r="KA532" s="1098"/>
      <c r="KB532" s="1099"/>
    </row>
    <row r="533" spans="2:288" ht="15" customHeight="1" x14ac:dyDescent="0.35">
      <c r="B533" s="146" t="str">
        <f t="shared" si="45"/>
        <v>Desk 6</v>
      </c>
      <c r="C533" s="148" t="str">
        <v/>
      </c>
      <c r="D533" s="148" t="str">
        <v/>
      </c>
      <c r="E533" s="148" t="str">
        <v/>
      </c>
      <c r="F533" s="148" t="str">
        <v/>
      </c>
      <c r="G533" s="268" t="str">
        <v/>
      </c>
      <c r="H533" s="1098"/>
      <c r="I533" s="1098"/>
      <c r="J533" s="1098"/>
      <c r="K533" s="1098"/>
      <c r="L533" s="1098"/>
      <c r="M533" s="1098"/>
      <c r="N533" s="1098"/>
      <c r="O533" s="1098"/>
      <c r="P533" s="1098"/>
      <c r="Q533" s="1098"/>
      <c r="R533" s="1098"/>
      <c r="S533" s="1098"/>
      <c r="T533" s="1098"/>
      <c r="U533" s="1098"/>
      <c r="V533" s="1098"/>
      <c r="W533" s="1098"/>
      <c r="X533" s="1098"/>
      <c r="Y533" s="1098"/>
      <c r="Z533" s="1098"/>
      <c r="AA533" s="1098"/>
      <c r="AB533" s="1098"/>
      <c r="AC533" s="1098"/>
      <c r="AD533" s="1098"/>
      <c r="AE533" s="1098"/>
      <c r="AF533" s="1098"/>
      <c r="AG533" s="1098"/>
      <c r="AH533" s="1098"/>
      <c r="AI533" s="1098"/>
      <c r="AJ533" s="1098"/>
      <c r="AK533" s="1098"/>
      <c r="AL533" s="1098"/>
      <c r="AM533" s="1098"/>
      <c r="AN533" s="1098"/>
      <c r="AO533" s="1098"/>
      <c r="AP533" s="1098"/>
      <c r="AQ533" s="1098"/>
      <c r="AR533" s="1098"/>
      <c r="AS533" s="1098"/>
      <c r="AT533" s="1098"/>
      <c r="AU533" s="1098"/>
      <c r="AV533" s="1098"/>
      <c r="AW533" s="1098"/>
      <c r="AX533" s="1098"/>
      <c r="AY533" s="1098"/>
      <c r="AZ533" s="1098"/>
      <c r="BA533" s="1098"/>
      <c r="BB533" s="1098"/>
      <c r="BC533" s="1098"/>
      <c r="BD533" s="1098"/>
      <c r="BE533" s="1098"/>
      <c r="BF533" s="1098"/>
      <c r="BG533" s="1098"/>
      <c r="BH533" s="1098"/>
      <c r="BI533" s="1098"/>
      <c r="BJ533" s="1098"/>
      <c r="BK533" s="1098"/>
      <c r="BL533" s="1098"/>
      <c r="BM533" s="1098"/>
      <c r="BN533" s="1098"/>
      <c r="BO533" s="1098"/>
      <c r="BP533" s="1098"/>
      <c r="BQ533" s="1098"/>
      <c r="BR533" s="1098"/>
      <c r="BS533" s="1098"/>
      <c r="BT533" s="1098"/>
      <c r="BU533" s="1098"/>
      <c r="BV533" s="1098"/>
      <c r="BW533" s="1098"/>
      <c r="BX533" s="1098"/>
      <c r="BY533" s="1098"/>
      <c r="BZ533" s="1098"/>
      <c r="CA533" s="1098"/>
      <c r="CB533" s="1098"/>
      <c r="CC533" s="1098"/>
      <c r="CD533" s="1098"/>
      <c r="CE533" s="1098"/>
      <c r="CF533" s="1098"/>
      <c r="CG533" s="1098"/>
      <c r="CH533" s="1098"/>
      <c r="CI533" s="1098"/>
      <c r="CJ533" s="1098"/>
      <c r="CK533" s="1098"/>
      <c r="CL533" s="1098"/>
      <c r="CM533" s="1098"/>
      <c r="CN533" s="1098"/>
      <c r="CO533" s="1098"/>
      <c r="CP533" s="1098"/>
      <c r="CQ533" s="1098"/>
      <c r="CR533" s="1098"/>
      <c r="CS533" s="1098"/>
      <c r="CT533" s="1098"/>
      <c r="CU533" s="1098"/>
      <c r="CV533" s="1098"/>
      <c r="CW533" s="1098"/>
      <c r="CX533" s="1098"/>
      <c r="CY533" s="1098"/>
      <c r="CZ533" s="1098"/>
      <c r="DA533" s="1098"/>
      <c r="DB533" s="1098"/>
      <c r="DC533" s="1098"/>
      <c r="DD533" s="1098"/>
      <c r="DE533" s="1098"/>
      <c r="DF533" s="1098"/>
      <c r="DG533" s="1098"/>
      <c r="DH533" s="1098"/>
      <c r="DI533" s="1098"/>
      <c r="DJ533" s="1098"/>
      <c r="DK533" s="1098"/>
      <c r="DL533" s="1098"/>
      <c r="DM533" s="1098"/>
      <c r="DN533" s="1098"/>
      <c r="DO533" s="1098"/>
      <c r="DP533" s="1098"/>
      <c r="DQ533" s="1098"/>
      <c r="DR533" s="1098"/>
      <c r="DS533" s="1098"/>
      <c r="DT533" s="1098"/>
      <c r="DU533" s="1098"/>
      <c r="DV533" s="1098"/>
      <c r="DW533" s="1098"/>
      <c r="DX533" s="1098"/>
      <c r="DY533" s="1098"/>
      <c r="DZ533" s="1098"/>
      <c r="EA533" s="1098"/>
      <c r="EB533" s="1098"/>
      <c r="EC533" s="1098"/>
      <c r="ED533" s="1098"/>
      <c r="EE533" s="1098"/>
      <c r="EF533" s="1098"/>
      <c r="EG533" s="1098"/>
      <c r="EH533" s="1098"/>
      <c r="EI533" s="1098"/>
      <c r="EJ533" s="1098"/>
      <c r="EK533" s="1098"/>
      <c r="EL533" s="1098"/>
      <c r="EM533" s="1098"/>
      <c r="EN533" s="1098"/>
      <c r="EO533" s="1098"/>
      <c r="EP533" s="1098"/>
      <c r="EQ533" s="1098"/>
      <c r="ER533" s="1098"/>
      <c r="ES533" s="1098"/>
      <c r="ET533" s="1098"/>
      <c r="EU533" s="1098"/>
      <c r="EV533" s="1098"/>
      <c r="EW533" s="1098"/>
      <c r="EX533" s="1098"/>
      <c r="EY533" s="1098"/>
      <c r="EZ533" s="1098"/>
      <c r="FA533" s="1098"/>
      <c r="FB533" s="1098"/>
      <c r="FC533" s="1098"/>
      <c r="FD533" s="1098"/>
      <c r="FE533" s="1098"/>
      <c r="FF533" s="1098"/>
      <c r="FG533" s="1098"/>
      <c r="FH533" s="1098"/>
      <c r="FI533" s="1098"/>
      <c r="FJ533" s="1098"/>
      <c r="FK533" s="1098"/>
      <c r="FL533" s="1098"/>
      <c r="FM533" s="1098"/>
      <c r="FN533" s="1098"/>
      <c r="FO533" s="1098"/>
      <c r="FP533" s="1098"/>
      <c r="FQ533" s="1098"/>
      <c r="FR533" s="1098"/>
      <c r="FS533" s="1098"/>
      <c r="FT533" s="1098"/>
      <c r="FU533" s="1098"/>
      <c r="FV533" s="1098"/>
      <c r="FW533" s="1098"/>
      <c r="FX533" s="1098"/>
      <c r="FY533" s="1098"/>
      <c r="FZ533" s="1098"/>
      <c r="GA533" s="1098"/>
      <c r="GB533" s="1098"/>
      <c r="GC533" s="1098"/>
      <c r="GD533" s="1098"/>
      <c r="GE533" s="1098"/>
      <c r="GF533" s="1098"/>
      <c r="GG533" s="1098"/>
      <c r="GH533" s="1098"/>
      <c r="GI533" s="1098"/>
      <c r="GJ533" s="1098"/>
      <c r="GK533" s="1098"/>
      <c r="GL533" s="1098"/>
      <c r="GM533" s="1098"/>
      <c r="GN533" s="1098"/>
      <c r="GO533" s="1098"/>
      <c r="GP533" s="1098"/>
      <c r="GQ533" s="1098"/>
      <c r="GR533" s="1098"/>
      <c r="GS533" s="1098"/>
      <c r="GT533" s="1098"/>
      <c r="GU533" s="1098"/>
      <c r="GV533" s="1098"/>
      <c r="GW533" s="1098"/>
      <c r="GX533" s="1098"/>
      <c r="GY533" s="1098"/>
      <c r="GZ533" s="1098"/>
      <c r="HA533" s="1098"/>
      <c r="HB533" s="1098"/>
      <c r="HC533" s="1098"/>
      <c r="HD533" s="1098"/>
      <c r="HE533" s="1098"/>
      <c r="HF533" s="1098"/>
      <c r="HG533" s="1098"/>
      <c r="HH533" s="1098"/>
      <c r="HI533" s="1098"/>
      <c r="HJ533" s="1098"/>
      <c r="HK533" s="1098"/>
      <c r="HL533" s="1098"/>
      <c r="HM533" s="1098"/>
      <c r="HN533" s="1098"/>
      <c r="HO533" s="1098"/>
      <c r="HP533" s="1098"/>
      <c r="HQ533" s="1098"/>
      <c r="HR533" s="1098"/>
      <c r="HS533" s="1098"/>
      <c r="HT533" s="1098"/>
      <c r="HU533" s="1098"/>
      <c r="HV533" s="1098"/>
      <c r="HW533" s="1098"/>
      <c r="HX533" s="1098"/>
      <c r="HY533" s="1098"/>
      <c r="HZ533" s="1098"/>
      <c r="IA533" s="1098"/>
      <c r="IB533" s="1098"/>
      <c r="IC533" s="1098"/>
      <c r="ID533" s="1098"/>
      <c r="IE533" s="1098"/>
      <c r="IF533" s="1098"/>
      <c r="IG533" s="1098"/>
      <c r="IH533" s="1098"/>
      <c r="II533" s="1098"/>
      <c r="IJ533" s="1098"/>
      <c r="IK533" s="1098"/>
      <c r="IL533" s="1098"/>
      <c r="IM533" s="1098"/>
      <c r="IN533" s="1098"/>
      <c r="IO533" s="1098"/>
      <c r="IP533" s="1098"/>
      <c r="IQ533" s="1098"/>
      <c r="IR533" s="1098"/>
      <c r="IS533" s="1098"/>
      <c r="IT533" s="1098"/>
      <c r="IU533" s="1098"/>
      <c r="IV533" s="1098"/>
      <c r="IW533" s="1098"/>
      <c r="IX533" s="1098"/>
      <c r="IY533" s="1098"/>
      <c r="IZ533" s="1098"/>
      <c r="JA533" s="1098"/>
      <c r="JB533" s="1098"/>
      <c r="JC533" s="1098"/>
      <c r="JD533" s="1098"/>
      <c r="JE533" s="1098"/>
      <c r="JF533" s="1098"/>
      <c r="JG533" s="1098"/>
      <c r="JH533" s="1098"/>
      <c r="JI533" s="1098"/>
      <c r="JJ533" s="1098"/>
      <c r="JK533" s="1098"/>
      <c r="JL533" s="1098"/>
      <c r="JM533" s="1098"/>
      <c r="JN533" s="1098"/>
      <c r="JO533" s="1098"/>
      <c r="JP533" s="1098"/>
      <c r="JQ533" s="1098"/>
      <c r="JR533" s="1098"/>
      <c r="JS533" s="1098"/>
      <c r="JT533" s="1098"/>
      <c r="JU533" s="1098"/>
      <c r="JV533" s="1098"/>
      <c r="JW533" s="1098"/>
      <c r="JX533" s="1098"/>
      <c r="JY533" s="1098"/>
      <c r="JZ533" s="1098"/>
      <c r="KA533" s="1098"/>
      <c r="KB533" s="1099"/>
    </row>
    <row r="534" spans="2:288" ht="15" customHeight="1" x14ac:dyDescent="0.35">
      <c r="B534" s="146" t="str">
        <f t="shared" si="45"/>
        <v>Desk 7</v>
      </c>
      <c r="C534" s="148" t="str">
        <v/>
      </c>
      <c r="D534" s="148" t="str">
        <v/>
      </c>
      <c r="E534" s="148" t="str">
        <v/>
      </c>
      <c r="F534" s="148" t="str">
        <v/>
      </c>
      <c r="G534" s="268" t="str">
        <v/>
      </c>
      <c r="H534" s="1098"/>
      <c r="I534" s="1098"/>
      <c r="J534" s="1098"/>
      <c r="K534" s="1098"/>
      <c r="L534" s="1098"/>
      <c r="M534" s="1098"/>
      <c r="N534" s="1098"/>
      <c r="O534" s="1098"/>
      <c r="P534" s="1098"/>
      <c r="Q534" s="1098"/>
      <c r="R534" s="1098"/>
      <c r="S534" s="1098"/>
      <c r="T534" s="1098"/>
      <c r="U534" s="1098"/>
      <c r="V534" s="1098"/>
      <c r="W534" s="1098"/>
      <c r="X534" s="1098"/>
      <c r="Y534" s="1098"/>
      <c r="Z534" s="1098"/>
      <c r="AA534" s="1098"/>
      <c r="AB534" s="1098"/>
      <c r="AC534" s="1098"/>
      <c r="AD534" s="1098"/>
      <c r="AE534" s="1098"/>
      <c r="AF534" s="1098"/>
      <c r="AG534" s="1098"/>
      <c r="AH534" s="1098"/>
      <c r="AI534" s="1098"/>
      <c r="AJ534" s="1098"/>
      <c r="AK534" s="1098"/>
      <c r="AL534" s="1098"/>
      <c r="AM534" s="1098"/>
      <c r="AN534" s="1098"/>
      <c r="AO534" s="1098"/>
      <c r="AP534" s="1098"/>
      <c r="AQ534" s="1098"/>
      <c r="AR534" s="1098"/>
      <c r="AS534" s="1098"/>
      <c r="AT534" s="1098"/>
      <c r="AU534" s="1098"/>
      <c r="AV534" s="1098"/>
      <c r="AW534" s="1098"/>
      <c r="AX534" s="1098"/>
      <c r="AY534" s="1098"/>
      <c r="AZ534" s="1098"/>
      <c r="BA534" s="1098"/>
      <c r="BB534" s="1098"/>
      <c r="BC534" s="1098"/>
      <c r="BD534" s="1098"/>
      <c r="BE534" s="1098"/>
      <c r="BF534" s="1098"/>
      <c r="BG534" s="1098"/>
      <c r="BH534" s="1098"/>
      <c r="BI534" s="1098"/>
      <c r="BJ534" s="1098"/>
      <c r="BK534" s="1098"/>
      <c r="BL534" s="1098"/>
      <c r="BM534" s="1098"/>
      <c r="BN534" s="1098"/>
      <c r="BO534" s="1098"/>
      <c r="BP534" s="1098"/>
      <c r="BQ534" s="1098"/>
      <c r="BR534" s="1098"/>
      <c r="BS534" s="1098"/>
      <c r="BT534" s="1098"/>
      <c r="BU534" s="1098"/>
      <c r="BV534" s="1098"/>
      <c r="BW534" s="1098"/>
      <c r="BX534" s="1098"/>
      <c r="BY534" s="1098"/>
      <c r="BZ534" s="1098"/>
      <c r="CA534" s="1098"/>
      <c r="CB534" s="1098"/>
      <c r="CC534" s="1098"/>
      <c r="CD534" s="1098"/>
      <c r="CE534" s="1098"/>
      <c r="CF534" s="1098"/>
      <c r="CG534" s="1098"/>
      <c r="CH534" s="1098"/>
      <c r="CI534" s="1098"/>
      <c r="CJ534" s="1098"/>
      <c r="CK534" s="1098"/>
      <c r="CL534" s="1098"/>
      <c r="CM534" s="1098"/>
      <c r="CN534" s="1098"/>
      <c r="CO534" s="1098"/>
      <c r="CP534" s="1098"/>
      <c r="CQ534" s="1098"/>
      <c r="CR534" s="1098"/>
      <c r="CS534" s="1098"/>
      <c r="CT534" s="1098"/>
      <c r="CU534" s="1098"/>
      <c r="CV534" s="1098"/>
      <c r="CW534" s="1098"/>
      <c r="CX534" s="1098"/>
      <c r="CY534" s="1098"/>
      <c r="CZ534" s="1098"/>
      <c r="DA534" s="1098"/>
      <c r="DB534" s="1098"/>
      <c r="DC534" s="1098"/>
      <c r="DD534" s="1098"/>
      <c r="DE534" s="1098"/>
      <c r="DF534" s="1098"/>
      <c r="DG534" s="1098"/>
      <c r="DH534" s="1098"/>
      <c r="DI534" s="1098"/>
      <c r="DJ534" s="1098"/>
      <c r="DK534" s="1098"/>
      <c r="DL534" s="1098"/>
      <c r="DM534" s="1098"/>
      <c r="DN534" s="1098"/>
      <c r="DO534" s="1098"/>
      <c r="DP534" s="1098"/>
      <c r="DQ534" s="1098"/>
      <c r="DR534" s="1098"/>
      <c r="DS534" s="1098"/>
      <c r="DT534" s="1098"/>
      <c r="DU534" s="1098"/>
      <c r="DV534" s="1098"/>
      <c r="DW534" s="1098"/>
      <c r="DX534" s="1098"/>
      <c r="DY534" s="1098"/>
      <c r="DZ534" s="1098"/>
      <c r="EA534" s="1098"/>
      <c r="EB534" s="1098"/>
      <c r="EC534" s="1098"/>
      <c r="ED534" s="1098"/>
      <c r="EE534" s="1098"/>
      <c r="EF534" s="1098"/>
      <c r="EG534" s="1098"/>
      <c r="EH534" s="1098"/>
      <c r="EI534" s="1098"/>
      <c r="EJ534" s="1098"/>
      <c r="EK534" s="1098"/>
      <c r="EL534" s="1098"/>
      <c r="EM534" s="1098"/>
      <c r="EN534" s="1098"/>
      <c r="EO534" s="1098"/>
      <c r="EP534" s="1098"/>
      <c r="EQ534" s="1098"/>
      <c r="ER534" s="1098"/>
      <c r="ES534" s="1098"/>
      <c r="ET534" s="1098"/>
      <c r="EU534" s="1098"/>
      <c r="EV534" s="1098"/>
      <c r="EW534" s="1098"/>
      <c r="EX534" s="1098"/>
      <c r="EY534" s="1098"/>
      <c r="EZ534" s="1098"/>
      <c r="FA534" s="1098"/>
      <c r="FB534" s="1098"/>
      <c r="FC534" s="1098"/>
      <c r="FD534" s="1098"/>
      <c r="FE534" s="1098"/>
      <c r="FF534" s="1098"/>
      <c r="FG534" s="1098"/>
      <c r="FH534" s="1098"/>
      <c r="FI534" s="1098"/>
      <c r="FJ534" s="1098"/>
      <c r="FK534" s="1098"/>
      <c r="FL534" s="1098"/>
      <c r="FM534" s="1098"/>
      <c r="FN534" s="1098"/>
      <c r="FO534" s="1098"/>
      <c r="FP534" s="1098"/>
      <c r="FQ534" s="1098"/>
      <c r="FR534" s="1098"/>
      <c r="FS534" s="1098"/>
      <c r="FT534" s="1098"/>
      <c r="FU534" s="1098"/>
      <c r="FV534" s="1098"/>
      <c r="FW534" s="1098"/>
      <c r="FX534" s="1098"/>
      <c r="FY534" s="1098"/>
      <c r="FZ534" s="1098"/>
      <c r="GA534" s="1098"/>
      <c r="GB534" s="1098"/>
      <c r="GC534" s="1098"/>
      <c r="GD534" s="1098"/>
      <c r="GE534" s="1098"/>
      <c r="GF534" s="1098"/>
      <c r="GG534" s="1098"/>
      <c r="GH534" s="1098"/>
      <c r="GI534" s="1098"/>
      <c r="GJ534" s="1098"/>
      <c r="GK534" s="1098"/>
      <c r="GL534" s="1098"/>
      <c r="GM534" s="1098"/>
      <c r="GN534" s="1098"/>
      <c r="GO534" s="1098"/>
      <c r="GP534" s="1098"/>
      <c r="GQ534" s="1098"/>
      <c r="GR534" s="1098"/>
      <c r="GS534" s="1098"/>
      <c r="GT534" s="1098"/>
      <c r="GU534" s="1098"/>
      <c r="GV534" s="1098"/>
      <c r="GW534" s="1098"/>
      <c r="GX534" s="1098"/>
      <c r="GY534" s="1098"/>
      <c r="GZ534" s="1098"/>
      <c r="HA534" s="1098"/>
      <c r="HB534" s="1098"/>
      <c r="HC534" s="1098"/>
      <c r="HD534" s="1098"/>
      <c r="HE534" s="1098"/>
      <c r="HF534" s="1098"/>
      <c r="HG534" s="1098"/>
      <c r="HH534" s="1098"/>
      <c r="HI534" s="1098"/>
      <c r="HJ534" s="1098"/>
      <c r="HK534" s="1098"/>
      <c r="HL534" s="1098"/>
      <c r="HM534" s="1098"/>
      <c r="HN534" s="1098"/>
      <c r="HO534" s="1098"/>
      <c r="HP534" s="1098"/>
      <c r="HQ534" s="1098"/>
      <c r="HR534" s="1098"/>
      <c r="HS534" s="1098"/>
      <c r="HT534" s="1098"/>
      <c r="HU534" s="1098"/>
      <c r="HV534" s="1098"/>
      <c r="HW534" s="1098"/>
      <c r="HX534" s="1098"/>
      <c r="HY534" s="1098"/>
      <c r="HZ534" s="1098"/>
      <c r="IA534" s="1098"/>
      <c r="IB534" s="1098"/>
      <c r="IC534" s="1098"/>
      <c r="ID534" s="1098"/>
      <c r="IE534" s="1098"/>
      <c r="IF534" s="1098"/>
      <c r="IG534" s="1098"/>
      <c r="IH534" s="1098"/>
      <c r="II534" s="1098"/>
      <c r="IJ534" s="1098"/>
      <c r="IK534" s="1098"/>
      <c r="IL534" s="1098"/>
      <c r="IM534" s="1098"/>
      <c r="IN534" s="1098"/>
      <c r="IO534" s="1098"/>
      <c r="IP534" s="1098"/>
      <c r="IQ534" s="1098"/>
      <c r="IR534" s="1098"/>
      <c r="IS534" s="1098"/>
      <c r="IT534" s="1098"/>
      <c r="IU534" s="1098"/>
      <c r="IV534" s="1098"/>
      <c r="IW534" s="1098"/>
      <c r="IX534" s="1098"/>
      <c r="IY534" s="1098"/>
      <c r="IZ534" s="1098"/>
      <c r="JA534" s="1098"/>
      <c r="JB534" s="1098"/>
      <c r="JC534" s="1098"/>
      <c r="JD534" s="1098"/>
      <c r="JE534" s="1098"/>
      <c r="JF534" s="1098"/>
      <c r="JG534" s="1098"/>
      <c r="JH534" s="1098"/>
      <c r="JI534" s="1098"/>
      <c r="JJ534" s="1098"/>
      <c r="JK534" s="1098"/>
      <c r="JL534" s="1098"/>
      <c r="JM534" s="1098"/>
      <c r="JN534" s="1098"/>
      <c r="JO534" s="1098"/>
      <c r="JP534" s="1098"/>
      <c r="JQ534" s="1098"/>
      <c r="JR534" s="1098"/>
      <c r="JS534" s="1098"/>
      <c r="JT534" s="1098"/>
      <c r="JU534" s="1098"/>
      <c r="JV534" s="1098"/>
      <c r="JW534" s="1098"/>
      <c r="JX534" s="1098"/>
      <c r="JY534" s="1098"/>
      <c r="JZ534" s="1098"/>
      <c r="KA534" s="1098"/>
      <c r="KB534" s="1099"/>
    </row>
    <row r="535" spans="2:288" ht="15" customHeight="1" x14ac:dyDescent="0.35">
      <c r="B535" s="146" t="str">
        <f t="shared" si="45"/>
        <v>Desk 8</v>
      </c>
      <c r="C535" s="148" t="str">
        <v/>
      </c>
      <c r="D535" s="148" t="str">
        <v/>
      </c>
      <c r="E535" s="148" t="str">
        <v/>
      </c>
      <c r="F535" s="148" t="str">
        <v/>
      </c>
      <c r="G535" s="268" t="str">
        <v/>
      </c>
      <c r="H535" s="1098"/>
      <c r="I535" s="1098"/>
      <c r="J535" s="1098"/>
      <c r="K535" s="1098"/>
      <c r="L535" s="1098"/>
      <c r="M535" s="1098"/>
      <c r="N535" s="1098"/>
      <c r="O535" s="1098"/>
      <c r="P535" s="1098"/>
      <c r="Q535" s="1098"/>
      <c r="R535" s="1098"/>
      <c r="S535" s="1098"/>
      <c r="T535" s="1098"/>
      <c r="U535" s="1098"/>
      <c r="V535" s="1098"/>
      <c r="W535" s="1098"/>
      <c r="X535" s="1098"/>
      <c r="Y535" s="1098"/>
      <c r="Z535" s="1098"/>
      <c r="AA535" s="1098"/>
      <c r="AB535" s="1098"/>
      <c r="AC535" s="1098"/>
      <c r="AD535" s="1098"/>
      <c r="AE535" s="1098"/>
      <c r="AF535" s="1098"/>
      <c r="AG535" s="1098"/>
      <c r="AH535" s="1098"/>
      <c r="AI535" s="1098"/>
      <c r="AJ535" s="1098"/>
      <c r="AK535" s="1098"/>
      <c r="AL535" s="1098"/>
      <c r="AM535" s="1098"/>
      <c r="AN535" s="1098"/>
      <c r="AO535" s="1098"/>
      <c r="AP535" s="1098"/>
      <c r="AQ535" s="1098"/>
      <c r="AR535" s="1098"/>
      <c r="AS535" s="1098"/>
      <c r="AT535" s="1098"/>
      <c r="AU535" s="1098"/>
      <c r="AV535" s="1098"/>
      <c r="AW535" s="1098"/>
      <c r="AX535" s="1098"/>
      <c r="AY535" s="1098"/>
      <c r="AZ535" s="1098"/>
      <c r="BA535" s="1098"/>
      <c r="BB535" s="1098"/>
      <c r="BC535" s="1098"/>
      <c r="BD535" s="1098"/>
      <c r="BE535" s="1098"/>
      <c r="BF535" s="1098"/>
      <c r="BG535" s="1098"/>
      <c r="BH535" s="1098"/>
      <c r="BI535" s="1098"/>
      <c r="BJ535" s="1098"/>
      <c r="BK535" s="1098"/>
      <c r="BL535" s="1098"/>
      <c r="BM535" s="1098"/>
      <c r="BN535" s="1098"/>
      <c r="BO535" s="1098"/>
      <c r="BP535" s="1098"/>
      <c r="BQ535" s="1098"/>
      <c r="BR535" s="1098"/>
      <c r="BS535" s="1098"/>
      <c r="BT535" s="1098"/>
      <c r="BU535" s="1098"/>
      <c r="BV535" s="1098"/>
      <c r="BW535" s="1098"/>
      <c r="BX535" s="1098"/>
      <c r="BY535" s="1098"/>
      <c r="BZ535" s="1098"/>
      <c r="CA535" s="1098"/>
      <c r="CB535" s="1098"/>
      <c r="CC535" s="1098"/>
      <c r="CD535" s="1098"/>
      <c r="CE535" s="1098"/>
      <c r="CF535" s="1098"/>
      <c r="CG535" s="1098"/>
      <c r="CH535" s="1098"/>
      <c r="CI535" s="1098"/>
      <c r="CJ535" s="1098"/>
      <c r="CK535" s="1098"/>
      <c r="CL535" s="1098"/>
      <c r="CM535" s="1098"/>
      <c r="CN535" s="1098"/>
      <c r="CO535" s="1098"/>
      <c r="CP535" s="1098"/>
      <c r="CQ535" s="1098"/>
      <c r="CR535" s="1098"/>
      <c r="CS535" s="1098"/>
      <c r="CT535" s="1098"/>
      <c r="CU535" s="1098"/>
      <c r="CV535" s="1098"/>
      <c r="CW535" s="1098"/>
      <c r="CX535" s="1098"/>
      <c r="CY535" s="1098"/>
      <c r="CZ535" s="1098"/>
      <c r="DA535" s="1098"/>
      <c r="DB535" s="1098"/>
      <c r="DC535" s="1098"/>
      <c r="DD535" s="1098"/>
      <c r="DE535" s="1098"/>
      <c r="DF535" s="1098"/>
      <c r="DG535" s="1098"/>
      <c r="DH535" s="1098"/>
      <c r="DI535" s="1098"/>
      <c r="DJ535" s="1098"/>
      <c r="DK535" s="1098"/>
      <c r="DL535" s="1098"/>
      <c r="DM535" s="1098"/>
      <c r="DN535" s="1098"/>
      <c r="DO535" s="1098"/>
      <c r="DP535" s="1098"/>
      <c r="DQ535" s="1098"/>
      <c r="DR535" s="1098"/>
      <c r="DS535" s="1098"/>
      <c r="DT535" s="1098"/>
      <c r="DU535" s="1098"/>
      <c r="DV535" s="1098"/>
      <c r="DW535" s="1098"/>
      <c r="DX535" s="1098"/>
      <c r="DY535" s="1098"/>
      <c r="DZ535" s="1098"/>
      <c r="EA535" s="1098"/>
      <c r="EB535" s="1098"/>
      <c r="EC535" s="1098"/>
      <c r="ED535" s="1098"/>
      <c r="EE535" s="1098"/>
      <c r="EF535" s="1098"/>
      <c r="EG535" s="1098"/>
      <c r="EH535" s="1098"/>
      <c r="EI535" s="1098"/>
      <c r="EJ535" s="1098"/>
      <c r="EK535" s="1098"/>
      <c r="EL535" s="1098"/>
      <c r="EM535" s="1098"/>
      <c r="EN535" s="1098"/>
      <c r="EO535" s="1098"/>
      <c r="EP535" s="1098"/>
      <c r="EQ535" s="1098"/>
      <c r="ER535" s="1098"/>
      <c r="ES535" s="1098"/>
      <c r="ET535" s="1098"/>
      <c r="EU535" s="1098"/>
      <c r="EV535" s="1098"/>
      <c r="EW535" s="1098"/>
      <c r="EX535" s="1098"/>
      <c r="EY535" s="1098"/>
      <c r="EZ535" s="1098"/>
      <c r="FA535" s="1098"/>
      <c r="FB535" s="1098"/>
      <c r="FC535" s="1098"/>
      <c r="FD535" s="1098"/>
      <c r="FE535" s="1098"/>
      <c r="FF535" s="1098"/>
      <c r="FG535" s="1098"/>
      <c r="FH535" s="1098"/>
      <c r="FI535" s="1098"/>
      <c r="FJ535" s="1098"/>
      <c r="FK535" s="1098"/>
      <c r="FL535" s="1098"/>
      <c r="FM535" s="1098"/>
      <c r="FN535" s="1098"/>
      <c r="FO535" s="1098"/>
      <c r="FP535" s="1098"/>
      <c r="FQ535" s="1098"/>
      <c r="FR535" s="1098"/>
      <c r="FS535" s="1098"/>
      <c r="FT535" s="1098"/>
      <c r="FU535" s="1098"/>
      <c r="FV535" s="1098"/>
      <c r="FW535" s="1098"/>
      <c r="FX535" s="1098"/>
      <c r="FY535" s="1098"/>
      <c r="FZ535" s="1098"/>
      <c r="GA535" s="1098"/>
      <c r="GB535" s="1098"/>
      <c r="GC535" s="1098"/>
      <c r="GD535" s="1098"/>
      <c r="GE535" s="1098"/>
      <c r="GF535" s="1098"/>
      <c r="GG535" s="1098"/>
      <c r="GH535" s="1098"/>
      <c r="GI535" s="1098"/>
      <c r="GJ535" s="1098"/>
      <c r="GK535" s="1098"/>
      <c r="GL535" s="1098"/>
      <c r="GM535" s="1098"/>
      <c r="GN535" s="1098"/>
      <c r="GO535" s="1098"/>
      <c r="GP535" s="1098"/>
      <c r="GQ535" s="1098"/>
      <c r="GR535" s="1098"/>
      <c r="GS535" s="1098"/>
      <c r="GT535" s="1098"/>
      <c r="GU535" s="1098"/>
      <c r="GV535" s="1098"/>
      <c r="GW535" s="1098"/>
      <c r="GX535" s="1098"/>
      <c r="GY535" s="1098"/>
      <c r="GZ535" s="1098"/>
      <c r="HA535" s="1098"/>
      <c r="HB535" s="1098"/>
      <c r="HC535" s="1098"/>
      <c r="HD535" s="1098"/>
      <c r="HE535" s="1098"/>
      <c r="HF535" s="1098"/>
      <c r="HG535" s="1098"/>
      <c r="HH535" s="1098"/>
      <c r="HI535" s="1098"/>
      <c r="HJ535" s="1098"/>
      <c r="HK535" s="1098"/>
      <c r="HL535" s="1098"/>
      <c r="HM535" s="1098"/>
      <c r="HN535" s="1098"/>
      <c r="HO535" s="1098"/>
      <c r="HP535" s="1098"/>
      <c r="HQ535" s="1098"/>
      <c r="HR535" s="1098"/>
      <c r="HS535" s="1098"/>
      <c r="HT535" s="1098"/>
      <c r="HU535" s="1098"/>
      <c r="HV535" s="1098"/>
      <c r="HW535" s="1098"/>
      <c r="HX535" s="1098"/>
      <c r="HY535" s="1098"/>
      <c r="HZ535" s="1098"/>
      <c r="IA535" s="1098"/>
      <c r="IB535" s="1098"/>
      <c r="IC535" s="1098"/>
      <c r="ID535" s="1098"/>
      <c r="IE535" s="1098"/>
      <c r="IF535" s="1098"/>
      <c r="IG535" s="1098"/>
      <c r="IH535" s="1098"/>
      <c r="II535" s="1098"/>
      <c r="IJ535" s="1098"/>
      <c r="IK535" s="1098"/>
      <c r="IL535" s="1098"/>
      <c r="IM535" s="1098"/>
      <c r="IN535" s="1098"/>
      <c r="IO535" s="1098"/>
      <c r="IP535" s="1098"/>
      <c r="IQ535" s="1098"/>
      <c r="IR535" s="1098"/>
      <c r="IS535" s="1098"/>
      <c r="IT535" s="1098"/>
      <c r="IU535" s="1098"/>
      <c r="IV535" s="1098"/>
      <c r="IW535" s="1098"/>
      <c r="IX535" s="1098"/>
      <c r="IY535" s="1098"/>
      <c r="IZ535" s="1098"/>
      <c r="JA535" s="1098"/>
      <c r="JB535" s="1098"/>
      <c r="JC535" s="1098"/>
      <c r="JD535" s="1098"/>
      <c r="JE535" s="1098"/>
      <c r="JF535" s="1098"/>
      <c r="JG535" s="1098"/>
      <c r="JH535" s="1098"/>
      <c r="JI535" s="1098"/>
      <c r="JJ535" s="1098"/>
      <c r="JK535" s="1098"/>
      <c r="JL535" s="1098"/>
      <c r="JM535" s="1098"/>
      <c r="JN535" s="1098"/>
      <c r="JO535" s="1098"/>
      <c r="JP535" s="1098"/>
      <c r="JQ535" s="1098"/>
      <c r="JR535" s="1098"/>
      <c r="JS535" s="1098"/>
      <c r="JT535" s="1098"/>
      <c r="JU535" s="1098"/>
      <c r="JV535" s="1098"/>
      <c r="JW535" s="1098"/>
      <c r="JX535" s="1098"/>
      <c r="JY535" s="1098"/>
      <c r="JZ535" s="1098"/>
      <c r="KA535" s="1098"/>
      <c r="KB535" s="1099"/>
    </row>
    <row r="536" spans="2:288" ht="15" customHeight="1" x14ac:dyDescent="0.35">
      <c r="B536" s="146" t="str">
        <f t="shared" si="45"/>
        <v>Desk 9</v>
      </c>
      <c r="C536" s="148" t="str">
        <v/>
      </c>
      <c r="D536" s="148" t="str">
        <v/>
      </c>
      <c r="E536" s="148" t="str">
        <v/>
      </c>
      <c r="F536" s="148" t="str">
        <v/>
      </c>
      <c r="G536" s="268" t="str">
        <v/>
      </c>
      <c r="H536" s="1098"/>
      <c r="I536" s="1098"/>
      <c r="J536" s="1098"/>
      <c r="K536" s="1098"/>
      <c r="L536" s="1098"/>
      <c r="M536" s="1098"/>
      <c r="N536" s="1098"/>
      <c r="O536" s="1098"/>
      <c r="P536" s="1098"/>
      <c r="Q536" s="1098"/>
      <c r="R536" s="1098"/>
      <c r="S536" s="1098"/>
      <c r="T536" s="1098"/>
      <c r="U536" s="1098"/>
      <c r="V536" s="1098"/>
      <c r="W536" s="1098"/>
      <c r="X536" s="1098"/>
      <c r="Y536" s="1098"/>
      <c r="Z536" s="1098"/>
      <c r="AA536" s="1098"/>
      <c r="AB536" s="1098"/>
      <c r="AC536" s="1098"/>
      <c r="AD536" s="1098"/>
      <c r="AE536" s="1098"/>
      <c r="AF536" s="1098"/>
      <c r="AG536" s="1098"/>
      <c r="AH536" s="1098"/>
      <c r="AI536" s="1098"/>
      <c r="AJ536" s="1098"/>
      <c r="AK536" s="1098"/>
      <c r="AL536" s="1098"/>
      <c r="AM536" s="1098"/>
      <c r="AN536" s="1098"/>
      <c r="AO536" s="1098"/>
      <c r="AP536" s="1098"/>
      <c r="AQ536" s="1098"/>
      <c r="AR536" s="1098"/>
      <c r="AS536" s="1098"/>
      <c r="AT536" s="1098"/>
      <c r="AU536" s="1098"/>
      <c r="AV536" s="1098"/>
      <c r="AW536" s="1098"/>
      <c r="AX536" s="1098"/>
      <c r="AY536" s="1098"/>
      <c r="AZ536" s="1098"/>
      <c r="BA536" s="1098"/>
      <c r="BB536" s="1098"/>
      <c r="BC536" s="1098"/>
      <c r="BD536" s="1098"/>
      <c r="BE536" s="1098"/>
      <c r="BF536" s="1098"/>
      <c r="BG536" s="1098"/>
      <c r="BH536" s="1098"/>
      <c r="BI536" s="1098"/>
      <c r="BJ536" s="1098"/>
      <c r="BK536" s="1098"/>
      <c r="BL536" s="1098"/>
      <c r="BM536" s="1098"/>
      <c r="BN536" s="1098"/>
      <c r="BO536" s="1098"/>
      <c r="BP536" s="1098"/>
      <c r="BQ536" s="1098"/>
      <c r="BR536" s="1098"/>
      <c r="BS536" s="1098"/>
      <c r="BT536" s="1098"/>
      <c r="BU536" s="1098"/>
      <c r="BV536" s="1098"/>
      <c r="BW536" s="1098"/>
      <c r="BX536" s="1098"/>
      <c r="BY536" s="1098"/>
      <c r="BZ536" s="1098"/>
      <c r="CA536" s="1098"/>
      <c r="CB536" s="1098"/>
      <c r="CC536" s="1098"/>
      <c r="CD536" s="1098"/>
      <c r="CE536" s="1098"/>
      <c r="CF536" s="1098"/>
      <c r="CG536" s="1098"/>
      <c r="CH536" s="1098"/>
      <c r="CI536" s="1098"/>
      <c r="CJ536" s="1098"/>
      <c r="CK536" s="1098"/>
      <c r="CL536" s="1098"/>
      <c r="CM536" s="1098"/>
      <c r="CN536" s="1098"/>
      <c r="CO536" s="1098"/>
      <c r="CP536" s="1098"/>
      <c r="CQ536" s="1098"/>
      <c r="CR536" s="1098"/>
      <c r="CS536" s="1098"/>
      <c r="CT536" s="1098"/>
      <c r="CU536" s="1098"/>
      <c r="CV536" s="1098"/>
      <c r="CW536" s="1098"/>
      <c r="CX536" s="1098"/>
      <c r="CY536" s="1098"/>
      <c r="CZ536" s="1098"/>
      <c r="DA536" s="1098"/>
      <c r="DB536" s="1098"/>
      <c r="DC536" s="1098"/>
      <c r="DD536" s="1098"/>
      <c r="DE536" s="1098"/>
      <c r="DF536" s="1098"/>
      <c r="DG536" s="1098"/>
      <c r="DH536" s="1098"/>
      <c r="DI536" s="1098"/>
      <c r="DJ536" s="1098"/>
      <c r="DK536" s="1098"/>
      <c r="DL536" s="1098"/>
      <c r="DM536" s="1098"/>
      <c r="DN536" s="1098"/>
      <c r="DO536" s="1098"/>
      <c r="DP536" s="1098"/>
      <c r="DQ536" s="1098"/>
      <c r="DR536" s="1098"/>
      <c r="DS536" s="1098"/>
      <c r="DT536" s="1098"/>
      <c r="DU536" s="1098"/>
      <c r="DV536" s="1098"/>
      <c r="DW536" s="1098"/>
      <c r="DX536" s="1098"/>
      <c r="DY536" s="1098"/>
      <c r="DZ536" s="1098"/>
      <c r="EA536" s="1098"/>
      <c r="EB536" s="1098"/>
      <c r="EC536" s="1098"/>
      <c r="ED536" s="1098"/>
      <c r="EE536" s="1098"/>
      <c r="EF536" s="1098"/>
      <c r="EG536" s="1098"/>
      <c r="EH536" s="1098"/>
      <c r="EI536" s="1098"/>
      <c r="EJ536" s="1098"/>
      <c r="EK536" s="1098"/>
      <c r="EL536" s="1098"/>
      <c r="EM536" s="1098"/>
      <c r="EN536" s="1098"/>
      <c r="EO536" s="1098"/>
      <c r="EP536" s="1098"/>
      <c r="EQ536" s="1098"/>
      <c r="ER536" s="1098"/>
      <c r="ES536" s="1098"/>
      <c r="ET536" s="1098"/>
      <c r="EU536" s="1098"/>
      <c r="EV536" s="1098"/>
      <c r="EW536" s="1098"/>
      <c r="EX536" s="1098"/>
      <c r="EY536" s="1098"/>
      <c r="EZ536" s="1098"/>
      <c r="FA536" s="1098"/>
      <c r="FB536" s="1098"/>
      <c r="FC536" s="1098"/>
      <c r="FD536" s="1098"/>
      <c r="FE536" s="1098"/>
      <c r="FF536" s="1098"/>
      <c r="FG536" s="1098"/>
      <c r="FH536" s="1098"/>
      <c r="FI536" s="1098"/>
      <c r="FJ536" s="1098"/>
      <c r="FK536" s="1098"/>
      <c r="FL536" s="1098"/>
      <c r="FM536" s="1098"/>
      <c r="FN536" s="1098"/>
      <c r="FO536" s="1098"/>
      <c r="FP536" s="1098"/>
      <c r="FQ536" s="1098"/>
      <c r="FR536" s="1098"/>
      <c r="FS536" s="1098"/>
      <c r="FT536" s="1098"/>
      <c r="FU536" s="1098"/>
      <c r="FV536" s="1098"/>
      <c r="FW536" s="1098"/>
      <c r="FX536" s="1098"/>
      <c r="FY536" s="1098"/>
      <c r="FZ536" s="1098"/>
      <c r="GA536" s="1098"/>
      <c r="GB536" s="1098"/>
      <c r="GC536" s="1098"/>
      <c r="GD536" s="1098"/>
      <c r="GE536" s="1098"/>
      <c r="GF536" s="1098"/>
      <c r="GG536" s="1098"/>
      <c r="GH536" s="1098"/>
      <c r="GI536" s="1098"/>
      <c r="GJ536" s="1098"/>
      <c r="GK536" s="1098"/>
      <c r="GL536" s="1098"/>
      <c r="GM536" s="1098"/>
      <c r="GN536" s="1098"/>
      <c r="GO536" s="1098"/>
      <c r="GP536" s="1098"/>
      <c r="GQ536" s="1098"/>
      <c r="GR536" s="1098"/>
      <c r="GS536" s="1098"/>
      <c r="GT536" s="1098"/>
      <c r="GU536" s="1098"/>
      <c r="GV536" s="1098"/>
      <c r="GW536" s="1098"/>
      <c r="GX536" s="1098"/>
      <c r="GY536" s="1098"/>
      <c r="GZ536" s="1098"/>
      <c r="HA536" s="1098"/>
      <c r="HB536" s="1098"/>
      <c r="HC536" s="1098"/>
      <c r="HD536" s="1098"/>
      <c r="HE536" s="1098"/>
      <c r="HF536" s="1098"/>
      <c r="HG536" s="1098"/>
      <c r="HH536" s="1098"/>
      <c r="HI536" s="1098"/>
      <c r="HJ536" s="1098"/>
      <c r="HK536" s="1098"/>
      <c r="HL536" s="1098"/>
      <c r="HM536" s="1098"/>
      <c r="HN536" s="1098"/>
      <c r="HO536" s="1098"/>
      <c r="HP536" s="1098"/>
      <c r="HQ536" s="1098"/>
      <c r="HR536" s="1098"/>
      <c r="HS536" s="1098"/>
      <c r="HT536" s="1098"/>
      <c r="HU536" s="1098"/>
      <c r="HV536" s="1098"/>
      <c r="HW536" s="1098"/>
      <c r="HX536" s="1098"/>
      <c r="HY536" s="1098"/>
      <c r="HZ536" s="1098"/>
      <c r="IA536" s="1098"/>
      <c r="IB536" s="1098"/>
      <c r="IC536" s="1098"/>
      <c r="ID536" s="1098"/>
      <c r="IE536" s="1098"/>
      <c r="IF536" s="1098"/>
      <c r="IG536" s="1098"/>
      <c r="IH536" s="1098"/>
      <c r="II536" s="1098"/>
      <c r="IJ536" s="1098"/>
      <c r="IK536" s="1098"/>
      <c r="IL536" s="1098"/>
      <c r="IM536" s="1098"/>
      <c r="IN536" s="1098"/>
      <c r="IO536" s="1098"/>
      <c r="IP536" s="1098"/>
      <c r="IQ536" s="1098"/>
      <c r="IR536" s="1098"/>
      <c r="IS536" s="1098"/>
      <c r="IT536" s="1098"/>
      <c r="IU536" s="1098"/>
      <c r="IV536" s="1098"/>
      <c r="IW536" s="1098"/>
      <c r="IX536" s="1098"/>
      <c r="IY536" s="1098"/>
      <c r="IZ536" s="1098"/>
      <c r="JA536" s="1098"/>
      <c r="JB536" s="1098"/>
      <c r="JC536" s="1098"/>
      <c r="JD536" s="1098"/>
      <c r="JE536" s="1098"/>
      <c r="JF536" s="1098"/>
      <c r="JG536" s="1098"/>
      <c r="JH536" s="1098"/>
      <c r="JI536" s="1098"/>
      <c r="JJ536" s="1098"/>
      <c r="JK536" s="1098"/>
      <c r="JL536" s="1098"/>
      <c r="JM536" s="1098"/>
      <c r="JN536" s="1098"/>
      <c r="JO536" s="1098"/>
      <c r="JP536" s="1098"/>
      <c r="JQ536" s="1098"/>
      <c r="JR536" s="1098"/>
      <c r="JS536" s="1098"/>
      <c r="JT536" s="1098"/>
      <c r="JU536" s="1098"/>
      <c r="JV536" s="1098"/>
      <c r="JW536" s="1098"/>
      <c r="JX536" s="1098"/>
      <c r="JY536" s="1098"/>
      <c r="JZ536" s="1098"/>
      <c r="KA536" s="1098"/>
      <c r="KB536" s="1099"/>
    </row>
    <row r="537" spans="2:288" ht="15" customHeight="1" x14ac:dyDescent="0.35">
      <c r="B537" s="146" t="str">
        <f t="shared" si="45"/>
        <v>Desk 10</v>
      </c>
      <c r="C537" s="148" t="str">
        <v/>
      </c>
      <c r="D537" s="148" t="str">
        <v/>
      </c>
      <c r="E537" s="148" t="str">
        <v/>
      </c>
      <c r="F537" s="148" t="str">
        <v/>
      </c>
      <c r="G537" s="268" t="str">
        <v/>
      </c>
      <c r="H537" s="1098"/>
      <c r="I537" s="1098"/>
      <c r="J537" s="1098"/>
      <c r="K537" s="1098"/>
      <c r="L537" s="1098"/>
      <c r="M537" s="1098"/>
      <c r="N537" s="1098"/>
      <c r="O537" s="1098"/>
      <c r="P537" s="1098"/>
      <c r="Q537" s="1098"/>
      <c r="R537" s="1098"/>
      <c r="S537" s="1098"/>
      <c r="T537" s="1098"/>
      <c r="U537" s="1098"/>
      <c r="V537" s="1098"/>
      <c r="W537" s="1098"/>
      <c r="X537" s="1098"/>
      <c r="Y537" s="1098"/>
      <c r="Z537" s="1098"/>
      <c r="AA537" s="1098"/>
      <c r="AB537" s="1098"/>
      <c r="AC537" s="1098"/>
      <c r="AD537" s="1098"/>
      <c r="AE537" s="1098"/>
      <c r="AF537" s="1098"/>
      <c r="AG537" s="1098"/>
      <c r="AH537" s="1098"/>
      <c r="AI537" s="1098"/>
      <c r="AJ537" s="1098"/>
      <c r="AK537" s="1098"/>
      <c r="AL537" s="1098"/>
      <c r="AM537" s="1098"/>
      <c r="AN537" s="1098"/>
      <c r="AO537" s="1098"/>
      <c r="AP537" s="1098"/>
      <c r="AQ537" s="1098"/>
      <c r="AR537" s="1098"/>
      <c r="AS537" s="1098"/>
      <c r="AT537" s="1098"/>
      <c r="AU537" s="1098"/>
      <c r="AV537" s="1098"/>
      <c r="AW537" s="1098"/>
      <c r="AX537" s="1098"/>
      <c r="AY537" s="1098"/>
      <c r="AZ537" s="1098"/>
      <c r="BA537" s="1098"/>
      <c r="BB537" s="1098"/>
      <c r="BC537" s="1098"/>
      <c r="BD537" s="1098"/>
      <c r="BE537" s="1098"/>
      <c r="BF537" s="1098"/>
      <c r="BG537" s="1098"/>
      <c r="BH537" s="1098"/>
      <c r="BI537" s="1098"/>
      <c r="BJ537" s="1098"/>
      <c r="BK537" s="1098"/>
      <c r="BL537" s="1098"/>
      <c r="BM537" s="1098"/>
      <c r="BN537" s="1098"/>
      <c r="BO537" s="1098"/>
      <c r="BP537" s="1098"/>
      <c r="BQ537" s="1098"/>
      <c r="BR537" s="1098"/>
      <c r="BS537" s="1098"/>
      <c r="BT537" s="1098"/>
      <c r="BU537" s="1098"/>
      <c r="BV537" s="1098"/>
      <c r="BW537" s="1098"/>
      <c r="BX537" s="1098"/>
      <c r="BY537" s="1098"/>
      <c r="BZ537" s="1098"/>
      <c r="CA537" s="1098"/>
      <c r="CB537" s="1098"/>
      <c r="CC537" s="1098"/>
      <c r="CD537" s="1098"/>
      <c r="CE537" s="1098"/>
      <c r="CF537" s="1098"/>
      <c r="CG537" s="1098"/>
      <c r="CH537" s="1098"/>
      <c r="CI537" s="1098"/>
      <c r="CJ537" s="1098"/>
      <c r="CK537" s="1098"/>
      <c r="CL537" s="1098"/>
      <c r="CM537" s="1098"/>
      <c r="CN537" s="1098"/>
      <c r="CO537" s="1098"/>
      <c r="CP537" s="1098"/>
      <c r="CQ537" s="1098"/>
      <c r="CR537" s="1098"/>
      <c r="CS537" s="1098"/>
      <c r="CT537" s="1098"/>
      <c r="CU537" s="1098"/>
      <c r="CV537" s="1098"/>
      <c r="CW537" s="1098"/>
      <c r="CX537" s="1098"/>
      <c r="CY537" s="1098"/>
      <c r="CZ537" s="1098"/>
      <c r="DA537" s="1098"/>
      <c r="DB537" s="1098"/>
      <c r="DC537" s="1098"/>
      <c r="DD537" s="1098"/>
      <c r="DE537" s="1098"/>
      <c r="DF537" s="1098"/>
      <c r="DG537" s="1098"/>
      <c r="DH537" s="1098"/>
      <c r="DI537" s="1098"/>
      <c r="DJ537" s="1098"/>
      <c r="DK537" s="1098"/>
      <c r="DL537" s="1098"/>
      <c r="DM537" s="1098"/>
      <c r="DN537" s="1098"/>
      <c r="DO537" s="1098"/>
      <c r="DP537" s="1098"/>
      <c r="DQ537" s="1098"/>
      <c r="DR537" s="1098"/>
      <c r="DS537" s="1098"/>
      <c r="DT537" s="1098"/>
      <c r="DU537" s="1098"/>
      <c r="DV537" s="1098"/>
      <c r="DW537" s="1098"/>
      <c r="DX537" s="1098"/>
      <c r="DY537" s="1098"/>
      <c r="DZ537" s="1098"/>
      <c r="EA537" s="1098"/>
      <c r="EB537" s="1098"/>
      <c r="EC537" s="1098"/>
      <c r="ED537" s="1098"/>
      <c r="EE537" s="1098"/>
      <c r="EF537" s="1098"/>
      <c r="EG537" s="1098"/>
      <c r="EH537" s="1098"/>
      <c r="EI537" s="1098"/>
      <c r="EJ537" s="1098"/>
      <c r="EK537" s="1098"/>
      <c r="EL537" s="1098"/>
      <c r="EM537" s="1098"/>
      <c r="EN537" s="1098"/>
      <c r="EO537" s="1098"/>
      <c r="EP537" s="1098"/>
      <c r="EQ537" s="1098"/>
      <c r="ER537" s="1098"/>
      <c r="ES537" s="1098"/>
      <c r="ET537" s="1098"/>
      <c r="EU537" s="1098"/>
      <c r="EV537" s="1098"/>
      <c r="EW537" s="1098"/>
      <c r="EX537" s="1098"/>
      <c r="EY537" s="1098"/>
      <c r="EZ537" s="1098"/>
      <c r="FA537" s="1098"/>
      <c r="FB537" s="1098"/>
      <c r="FC537" s="1098"/>
      <c r="FD537" s="1098"/>
      <c r="FE537" s="1098"/>
      <c r="FF537" s="1098"/>
      <c r="FG537" s="1098"/>
      <c r="FH537" s="1098"/>
      <c r="FI537" s="1098"/>
      <c r="FJ537" s="1098"/>
      <c r="FK537" s="1098"/>
      <c r="FL537" s="1098"/>
      <c r="FM537" s="1098"/>
      <c r="FN537" s="1098"/>
      <c r="FO537" s="1098"/>
      <c r="FP537" s="1098"/>
      <c r="FQ537" s="1098"/>
      <c r="FR537" s="1098"/>
      <c r="FS537" s="1098"/>
      <c r="FT537" s="1098"/>
      <c r="FU537" s="1098"/>
      <c r="FV537" s="1098"/>
      <c r="FW537" s="1098"/>
      <c r="FX537" s="1098"/>
      <c r="FY537" s="1098"/>
      <c r="FZ537" s="1098"/>
      <c r="GA537" s="1098"/>
      <c r="GB537" s="1098"/>
      <c r="GC537" s="1098"/>
      <c r="GD537" s="1098"/>
      <c r="GE537" s="1098"/>
      <c r="GF537" s="1098"/>
      <c r="GG537" s="1098"/>
      <c r="GH537" s="1098"/>
      <c r="GI537" s="1098"/>
      <c r="GJ537" s="1098"/>
      <c r="GK537" s="1098"/>
      <c r="GL537" s="1098"/>
      <c r="GM537" s="1098"/>
      <c r="GN537" s="1098"/>
      <c r="GO537" s="1098"/>
      <c r="GP537" s="1098"/>
      <c r="GQ537" s="1098"/>
      <c r="GR537" s="1098"/>
      <c r="GS537" s="1098"/>
      <c r="GT537" s="1098"/>
      <c r="GU537" s="1098"/>
      <c r="GV537" s="1098"/>
      <c r="GW537" s="1098"/>
      <c r="GX537" s="1098"/>
      <c r="GY537" s="1098"/>
      <c r="GZ537" s="1098"/>
      <c r="HA537" s="1098"/>
      <c r="HB537" s="1098"/>
      <c r="HC537" s="1098"/>
      <c r="HD537" s="1098"/>
      <c r="HE537" s="1098"/>
      <c r="HF537" s="1098"/>
      <c r="HG537" s="1098"/>
      <c r="HH537" s="1098"/>
      <c r="HI537" s="1098"/>
      <c r="HJ537" s="1098"/>
      <c r="HK537" s="1098"/>
      <c r="HL537" s="1098"/>
      <c r="HM537" s="1098"/>
      <c r="HN537" s="1098"/>
      <c r="HO537" s="1098"/>
      <c r="HP537" s="1098"/>
      <c r="HQ537" s="1098"/>
      <c r="HR537" s="1098"/>
      <c r="HS537" s="1098"/>
      <c r="HT537" s="1098"/>
      <c r="HU537" s="1098"/>
      <c r="HV537" s="1098"/>
      <c r="HW537" s="1098"/>
      <c r="HX537" s="1098"/>
      <c r="HY537" s="1098"/>
      <c r="HZ537" s="1098"/>
      <c r="IA537" s="1098"/>
      <c r="IB537" s="1098"/>
      <c r="IC537" s="1098"/>
      <c r="ID537" s="1098"/>
      <c r="IE537" s="1098"/>
      <c r="IF537" s="1098"/>
      <c r="IG537" s="1098"/>
      <c r="IH537" s="1098"/>
      <c r="II537" s="1098"/>
      <c r="IJ537" s="1098"/>
      <c r="IK537" s="1098"/>
      <c r="IL537" s="1098"/>
      <c r="IM537" s="1098"/>
      <c r="IN537" s="1098"/>
      <c r="IO537" s="1098"/>
      <c r="IP537" s="1098"/>
      <c r="IQ537" s="1098"/>
      <c r="IR537" s="1098"/>
      <c r="IS537" s="1098"/>
      <c r="IT537" s="1098"/>
      <c r="IU537" s="1098"/>
      <c r="IV537" s="1098"/>
      <c r="IW537" s="1098"/>
      <c r="IX537" s="1098"/>
      <c r="IY537" s="1098"/>
      <c r="IZ537" s="1098"/>
      <c r="JA537" s="1098"/>
      <c r="JB537" s="1098"/>
      <c r="JC537" s="1098"/>
      <c r="JD537" s="1098"/>
      <c r="JE537" s="1098"/>
      <c r="JF537" s="1098"/>
      <c r="JG537" s="1098"/>
      <c r="JH537" s="1098"/>
      <c r="JI537" s="1098"/>
      <c r="JJ537" s="1098"/>
      <c r="JK537" s="1098"/>
      <c r="JL537" s="1098"/>
      <c r="JM537" s="1098"/>
      <c r="JN537" s="1098"/>
      <c r="JO537" s="1098"/>
      <c r="JP537" s="1098"/>
      <c r="JQ537" s="1098"/>
      <c r="JR537" s="1098"/>
      <c r="JS537" s="1098"/>
      <c r="JT537" s="1098"/>
      <c r="JU537" s="1098"/>
      <c r="JV537" s="1098"/>
      <c r="JW537" s="1098"/>
      <c r="JX537" s="1098"/>
      <c r="JY537" s="1098"/>
      <c r="JZ537" s="1098"/>
      <c r="KA537" s="1098"/>
      <c r="KB537" s="1099"/>
    </row>
    <row r="538" spans="2:288" ht="15" customHeight="1" x14ac:dyDescent="0.35">
      <c r="B538" s="146" t="str">
        <f t="shared" si="45"/>
        <v>Desk 11</v>
      </c>
      <c r="C538" s="148" t="str">
        <v/>
      </c>
      <c r="D538" s="148" t="str">
        <v/>
      </c>
      <c r="E538" s="148" t="str">
        <v/>
      </c>
      <c r="F538" s="148" t="str">
        <v/>
      </c>
      <c r="G538" s="268" t="str">
        <v/>
      </c>
      <c r="H538" s="1098"/>
      <c r="I538" s="1098"/>
      <c r="J538" s="1098"/>
      <c r="K538" s="1098"/>
      <c r="L538" s="1098"/>
      <c r="M538" s="1098"/>
      <c r="N538" s="1098"/>
      <c r="O538" s="1098"/>
      <c r="P538" s="1098"/>
      <c r="Q538" s="1098"/>
      <c r="R538" s="1098"/>
      <c r="S538" s="1098"/>
      <c r="T538" s="1098"/>
      <c r="U538" s="1098"/>
      <c r="V538" s="1098"/>
      <c r="W538" s="1098"/>
      <c r="X538" s="1098"/>
      <c r="Y538" s="1098"/>
      <c r="Z538" s="1098"/>
      <c r="AA538" s="1098"/>
      <c r="AB538" s="1098"/>
      <c r="AC538" s="1098"/>
      <c r="AD538" s="1098"/>
      <c r="AE538" s="1098"/>
      <c r="AF538" s="1098"/>
      <c r="AG538" s="1098"/>
      <c r="AH538" s="1098"/>
      <c r="AI538" s="1098"/>
      <c r="AJ538" s="1098"/>
      <c r="AK538" s="1098"/>
      <c r="AL538" s="1098"/>
      <c r="AM538" s="1098"/>
      <c r="AN538" s="1098"/>
      <c r="AO538" s="1098"/>
      <c r="AP538" s="1098"/>
      <c r="AQ538" s="1098"/>
      <c r="AR538" s="1098"/>
      <c r="AS538" s="1098"/>
      <c r="AT538" s="1098"/>
      <c r="AU538" s="1098"/>
      <c r="AV538" s="1098"/>
      <c r="AW538" s="1098"/>
      <c r="AX538" s="1098"/>
      <c r="AY538" s="1098"/>
      <c r="AZ538" s="1098"/>
      <c r="BA538" s="1098"/>
      <c r="BB538" s="1098"/>
      <c r="BC538" s="1098"/>
      <c r="BD538" s="1098"/>
      <c r="BE538" s="1098"/>
      <c r="BF538" s="1098"/>
      <c r="BG538" s="1098"/>
      <c r="BH538" s="1098"/>
      <c r="BI538" s="1098"/>
      <c r="BJ538" s="1098"/>
      <c r="BK538" s="1098"/>
      <c r="BL538" s="1098"/>
      <c r="BM538" s="1098"/>
      <c r="BN538" s="1098"/>
      <c r="BO538" s="1098"/>
      <c r="BP538" s="1098"/>
      <c r="BQ538" s="1098"/>
      <c r="BR538" s="1098"/>
      <c r="BS538" s="1098"/>
      <c r="BT538" s="1098"/>
      <c r="BU538" s="1098"/>
      <c r="BV538" s="1098"/>
      <c r="BW538" s="1098"/>
      <c r="BX538" s="1098"/>
      <c r="BY538" s="1098"/>
      <c r="BZ538" s="1098"/>
      <c r="CA538" s="1098"/>
      <c r="CB538" s="1098"/>
      <c r="CC538" s="1098"/>
      <c r="CD538" s="1098"/>
      <c r="CE538" s="1098"/>
      <c r="CF538" s="1098"/>
      <c r="CG538" s="1098"/>
      <c r="CH538" s="1098"/>
      <c r="CI538" s="1098"/>
      <c r="CJ538" s="1098"/>
      <c r="CK538" s="1098"/>
      <c r="CL538" s="1098"/>
      <c r="CM538" s="1098"/>
      <c r="CN538" s="1098"/>
      <c r="CO538" s="1098"/>
      <c r="CP538" s="1098"/>
      <c r="CQ538" s="1098"/>
      <c r="CR538" s="1098"/>
      <c r="CS538" s="1098"/>
      <c r="CT538" s="1098"/>
      <c r="CU538" s="1098"/>
      <c r="CV538" s="1098"/>
      <c r="CW538" s="1098"/>
      <c r="CX538" s="1098"/>
      <c r="CY538" s="1098"/>
      <c r="CZ538" s="1098"/>
      <c r="DA538" s="1098"/>
      <c r="DB538" s="1098"/>
      <c r="DC538" s="1098"/>
      <c r="DD538" s="1098"/>
      <c r="DE538" s="1098"/>
      <c r="DF538" s="1098"/>
      <c r="DG538" s="1098"/>
      <c r="DH538" s="1098"/>
      <c r="DI538" s="1098"/>
      <c r="DJ538" s="1098"/>
      <c r="DK538" s="1098"/>
      <c r="DL538" s="1098"/>
      <c r="DM538" s="1098"/>
      <c r="DN538" s="1098"/>
      <c r="DO538" s="1098"/>
      <c r="DP538" s="1098"/>
      <c r="DQ538" s="1098"/>
      <c r="DR538" s="1098"/>
      <c r="DS538" s="1098"/>
      <c r="DT538" s="1098"/>
      <c r="DU538" s="1098"/>
      <c r="DV538" s="1098"/>
      <c r="DW538" s="1098"/>
      <c r="DX538" s="1098"/>
      <c r="DY538" s="1098"/>
      <c r="DZ538" s="1098"/>
      <c r="EA538" s="1098"/>
      <c r="EB538" s="1098"/>
      <c r="EC538" s="1098"/>
      <c r="ED538" s="1098"/>
      <c r="EE538" s="1098"/>
      <c r="EF538" s="1098"/>
      <c r="EG538" s="1098"/>
      <c r="EH538" s="1098"/>
      <c r="EI538" s="1098"/>
      <c r="EJ538" s="1098"/>
      <c r="EK538" s="1098"/>
      <c r="EL538" s="1098"/>
      <c r="EM538" s="1098"/>
      <c r="EN538" s="1098"/>
      <c r="EO538" s="1098"/>
      <c r="EP538" s="1098"/>
      <c r="EQ538" s="1098"/>
      <c r="ER538" s="1098"/>
      <c r="ES538" s="1098"/>
      <c r="ET538" s="1098"/>
      <c r="EU538" s="1098"/>
      <c r="EV538" s="1098"/>
      <c r="EW538" s="1098"/>
      <c r="EX538" s="1098"/>
      <c r="EY538" s="1098"/>
      <c r="EZ538" s="1098"/>
      <c r="FA538" s="1098"/>
      <c r="FB538" s="1098"/>
      <c r="FC538" s="1098"/>
      <c r="FD538" s="1098"/>
      <c r="FE538" s="1098"/>
      <c r="FF538" s="1098"/>
      <c r="FG538" s="1098"/>
      <c r="FH538" s="1098"/>
      <c r="FI538" s="1098"/>
      <c r="FJ538" s="1098"/>
      <c r="FK538" s="1098"/>
      <c r="FL538" s="1098"/>
      <c r="FM538" s="1098"/>
      <c r="FN538" s="1098"/>
      <c r="FO538" s="1098"/>
      <c r="FP538" s="1098"/>
      <c r="FQ538" s="1098"/>
      <c r="FR538" s="1098"/>
      <c r="FS538" s="1098"/>
      <c r="FT538" s="1098"/>
      <c r="FU538" s="1098"/>
      <c r="FV538" s="1098"/>
      <c r="FW538" s="1098"/>
      <c r="FX538" s="1098"/>
      <c r="FY538" s="1098"/>
      <c r="FZ538" s="1098"/>
      <c r="GA538" s="1098"/>
      <c r="GB538" s="1098"/>
      <c r="GC538" s="1098"/>
      <c r="GD538" s="1098"/>
      <c r="GE538" s="1098"/>
      <c r="GF538" s="1098"/>
      <c r="GG538" s="1098"/>
      <c r="GH538" s="1098"/>
      <c r="GI538" s="1098"/>
      <c r="GJ538" s="1098"/>
      <c r="GK538" s="1098"/>
      <c r="GL538" s="1098"/>
      <c r="GM538" s="1098"/>
      <c r="GN538" s="1098"/>
      <c r="GO538" s="1098"/>
      <c r="GP538" s="1098"/>
      <c r="GQ538" s="1098"/>
      <c r="GR538" s="1098"/>
      <c r="GS538" s="1098"/>
      <c r="GT538" s="1098"/>
      <c r="GU538" s="1098"/>
      <c r="GV538" s="1098"/>
      <c r="GW538" s="1098"/>
      <c r="GX538" s="1098"/>
      <c r="GY538" s="1098"/>
      <c r="GZ538" s="1098"/>
      <c r="HA538" s="1098"/>
      <c r="HB538" s="1098"/>
      <c r="HC538" s="1098"/>
      <c r="HD538" s="1098"/>
      <c r="HE538" s="1098"/>
      <c r="HF538" s="1098"/>
      <c r="HG538" s="1098"/>
      <c r="HH538" s="1098"/>
      <c r="HI538" s="1098"/>
      <c r="HJ538" s="1098"/>
      <c r="HK538" s="1098"/>
      <c r="HL538" s="1098"/>
      <c r="HM538" s="1098"/>
      <c r="HN538" s="1098"/>
      <c r="HO538" s="1098"/>
      <c r="HP538" s="1098"/>
      <c r="HQ538" s="1098"/>
      <c r="HR538" s="1098"/>
      <c r="HS538" s="1098"/>
      <c r="HT538" s="1098"/>
      <c r="HU538" s="1098"/>
      <c r="HV538" s="1098"/>
      <c r="HW538" s="1098"/>
      <c r="HX538" s="1098"/>
      <c r="HY538" s="1098"/>
      <c r="HZ538" s="1098"/>
      <c r="IA538" s="1098"/>
      <c r="IB538" s="1098"/>
      <c r="IC538" s="1098"/>
      <c r="ID538" s="1098"/>
      <c r="IE538" s="1098"/>
      <c r="IF538" s="1098"/>
      <c r="IG538" s="1098"/>
      <c r="IH538" s="1098"/>
      <c r="II538" s="1098"/>
      <c r="IJ538" s="1098"/>
      <c r="IK538" s="1098"/>
      <c r="IL538" s="1098"/>
      <c r="IM538" s="1098"/>
      <c r="IN538" s="1098"/>
      <c r="IO538" s="1098"/>
      <c r="IP538" s="1098"/>
      <c r="IQ538" s="1098"/>
      <c r="IR538" s="1098"/>
      <c r="IS538" s="1098"/>
      <c r="IT538" s="1098"/>
      <c r="IU538" s="1098"/>
      <c r="IV538" s="1098"/>
      <c r="IW538" s="1098"/>
      <c r="IX538" s="1098"/>
      <c r="IY538" s="1098"/>
      <c r="IZ538" s="1098"/>
      <c r="JA538" s="1098"/>
      <c r="JB538" s="1098"/>
      <c r="JC538" s="1098"/>
      <c r="JD538" s="1098"/>
      <c r="JE538" s="1098"/>
      <c r="JF538" s="1098"/>
      <c r="JG538" s="1098"/>
      <c r="JH538" s="1098"/>
      <c r="JI538" s="1098"/>
      <c r="JJ538" s="1098"/>
      <c r="JK538" s="1098"/>
      <c r="JL538" s="1098"/>
      <c r="JM538" s="1098"/>
      <c r="JN538" s="1098"/>
      <c r="JO538" s="1098"/>
      <c r="JP538" s="1098"/>
      <c r="JQ538" s="1098"/>
      <c r="JR538" s="1098"/>
      <c r="JS538" s="1098"/>
      <c r="JT538" s="1098"/>
      <c r="JU538" s="1098"/>
      <c r="JV538" s="1098"/>
      <c r="JW538" s="1098"/>
      <c r="JX538" s="1098"/>
      <c r="JY538" s="1098"/>
      <c r="JZ538" s="1098"/>
      <c r="KA538" s="1098"/>
      <c r="KB538" s="1099"/>
    </row>
    <row r="539" spans="2:288" ht="15" customHeight="1" x14ac:dyDescent="0.35">
      <c r="B539" s="146" t="str">
        <f t="shared" si="45"/>
        <v>Desk 12</v>
      </c>
      <c r="C539" s="148" t="str">
        <v/>
      </c>
      <c r="D539" s="148" t="str">
        <v/>
      </c>
      <c r="E539" s="148" t="str">
        <v/>
      </c>
      <c r="F539" s="148" t="str">
        <v/>
      </c>
      <c r="G539" s="268" t="str">
        <v/>
      </c>
      <c r="H539" s="1098"/>
      <c r="I539" s="1098"/>
      <c r="J539" s="1098"/>
      <c r="K539" s="1098"/>
      <c r="L539" s="1098"/>
      <c r="M539" s="1098"/>
      <c r="N539" s="1098"/>
      <c r="O539" s="1098"/>
      <c r="P539" s="1098"/>
      <c r="Q539" s="1098"/>
      <c r="R539" s="1098"/>
      <c r="S539" s="1098"/>
      <c r="T539" s="1098"/>
      <c r="U539" s="1098"/>
      <c r="V539" s="1098"/>
      <c r="W539" s="1098"/>
      <c r="X539" s="1098"/>
      <c r="Y539" s="1098"/>
      <c r="Z539" s="1098"/>
      <c r="AA539" s="1098"/>
      <c r="AB539" s="1098"/>
      <c r="AC539" s="1098"/>
      <c r="AD539" s="1098"/>
      <c r="AE539" s="1098"/>
      <c r="AF539" s="1098"/>
      <c r="AG539" s="1098"/>
      <c r="AH539" s="1098"/>
      <c r="AI539" s="1098"/>
      <c r="AJ539" s="1098"/>
      <c r="AK539" s="1098"/>
      <c r="AL539" s="1098"/>
      <c r="AM539" s="1098"/>
      <c r="AN539" s="1098"/>
      <c r="AO539" s="1098"/>
      <c r="AP539" s="1098"/>
      <c r="AQ539" s="1098"/>
      <c r="AR539" s="1098"/>
      <c r="AS539" s="1098"/>
      <c r="AT539" s="1098"/>
      <c r="AU539" s="1098"/>
      <c r="AV539" s="1098"/>
      <c r="AW539" s="1098"/>
      <c r="AX539" s="1098"/>
      <c r="AY539" s="1098"/>
      <c r="AZ539" s="1098"/>
      <c r="BA539" s="1098"/>
      <c r="BB539" s="1098"/>
      <c r="BC539" s="1098"/>
      <c r="BD539" s="1098"/>
      <c r="BE539" s="1098"/>
      <c r="BF539" s="1098"/>
      <c r="BG539" s="1098"/>
      <c r="BH539" s="1098"/>
      <c r="BI539" s="1098"/>
      <c r="BJ539" s="1098"/>
      <c r="BK539" s="1098"/>
      <c r="BL539" s="1098"/>
      <c r="BM539" s="1098"/>
      <c r="BN539" s="1098"/>
      <c r="BO539" s="1098"/>
      <c r="BP539" s="1098"/>
      <c r="BQ539" s="1098"/>
      <c r="BR539" s="1098"/>
      <c r="BS539" s="1098"/>
      <c r="BT539" s="1098"/>
      <c r="BU539" s="1098"/>
      <c r="BV539" s="1098"/>
      <c r="BW539" s="1098"/>
      <c r="BX539" s="1098"/>
      <c r="BY539" s="1098"/>
      <c r="BZ539" s="1098"/>
      <c r="CA539" s="1098"/>
      <c r="CB539" s="1098"/>
      <c r="CC539" s="1098"/>
      <c r="CD539" s="1098"/>
      <c r="CE539" s="1098"/>
      <c r="CF539" s="1098"/>
      <c r="CG539" s="1098"/>
      <c r="CH539" s="1098"/>
      <c r="CI539" s="1098"/>
      <c r="CJ539" s="1098"/>
      <c r="CK539" s="1098"/>
      <c r="CL539" s="1098"/>
      <c r="CM539" s="1098"/>
      <c r="CN539" s="1098"/>
      <c r="CO539" s="1098"/>
      <c r="CP539" s="1098"/>
      <c r="CQ539" s="1098"/>
      <c r="CR539" s="1098"/>
      <c r="CS539" s="1098"/>
      <c r="CT539" s="1098"/>
      <c r="CU539" s="1098"/>
      <c r="CV539" s="1098"/>
      <c r="CW539" s="1098"/>
      <c r="CX539" s="1098"/>
      <c r="CY539" s="1098"/>
      <c r="CZ539" s="1098"/>
      <c r="DA539" s="1098"/>
      <c r="DB539" s="1098"/>
      <c r="DC539" s="1098"/>
      <c r="DD539" s="1098"/>
      <c r="DE539" s="1098"/>
      <c r="DF539" s="1098"/>
      <c r="DG539" s="1098"/>
      <c r="DH539" s="1098"/>
      <c r="DI539" s="1098"/>
      <c r="DJ539" s="1098"/>
      <c r="DK539" s="1098"/>
      <c r="DL539" s="1098"/>
      <c r="DM539" s="1098"/>
      <c r="DN539" s="1098"/>
      <c r="DO539" s="1098"/>
      <c r="DP539" s="1098"/>
      <c r="DQ539" s="1098"/>
      <c r="DR539" s="1098"/>
      <c r="DS539" s="1098"/>
      <c r="DT539" s="1098"/>
      <c r="DU539" s="1098"/>
      <c r="DV539" s="1098"/>
      <c r="DW539" s="1098"/>
      <c r="DX539" s="1098"/>
      <c r="DY539" s="1098"/>
      <c r="DZ539" s="1098"/>
      <c r="EA539" s="1098"/>
      <c r="EB539" s="1098"/>
      <c r="EC539" s="1098"/>
      <c r="ED539" s="1098"/>
      <c r="EE539" s="1098"/>
      <c r="EF539" s="1098"/>
      <c r="EG539" s="1098"/>
      <c r="EH539" s="1098"/>
      <c r="EI539" s="1098"/>
      <c r="EJ539" s="1098"/>
      <c r="EK539" s="1098"/>
      <c r="EL539" s="1098"/>
      <c r="EM539" s="1098"/>
      <c r="EN539" s="1098"/>
      <c r="EO539" s="1098"/>
      <c r="EP539" s="1098"/>
      <c r="EQ539" s="1098"/>
      <c r="ER539" s="1098"/>
      <c r="ES539" s="1098"/>
      <c r="ET539" s="1098"/>
      <c r="EU539" s="1098"/>
      <c r="EV539" s="1098"/>
      <c r="EW539" s="1098"/>
      <c r="EX539" s="1098"/>
      <c r="EY539" s="1098"/>
      <c r="EZ539" s="1098"/>
      <c r="FA539" s="1098"/>
      <c r="FB539" s="1098"/>
      <c r="FC539" s="1098"/>
      <c r="FD539" s="1098"/>
      <c r="FE539" s="1098"/>
      <c r="FF539" s="1098"/>
      <c r="FG539" s="1098"/>
      <c r="FH539" s="1098"/>
      <c r="FI539" s="1098"/>
      <c r="FJ539" s="1098"/>
      <c r="FK539" s="1098"/>
      <c r="FL539" s="1098"/>
      <c r="FM539" s="1098"/>
      <c r="FN539" s="1098"/>
      <c r="FO539" s="1098"/>
      <c r="FP539" s="1098"/>
      <c r="FQ539" s="1098"/>
      <c r="FR539" s="1098"/>
      <c r="FS539" s="1098"/>
      <c r="FT539" s="1098"/>
      <c r="FU539" s="1098"/>
      <c r="FV539" s="1098"/>
      <c r="FW539" s="1098"/>
      <c r="FX539" s="1098"/>
      <c r="FY539" s="1098"/>
      <c r="FZ539" s="1098"/>
      <c r="GA539" s="1098"/>
      <c r="GB539" s="1098"/>
      <c r="GC539" s="1098"/>
      <c r="GD539" s="1098"/>
      <c r="GE539" s="1098"/>
      <c r="GF539" s="1098"/>
      <c r="GG539" s="1098"/>
      <c r="GH539" s="1098"/>
      <c r="GI539" s="1098"/>
      <c r="GJ539" s="1098"/>
      <c r="GK539" s="1098"/>
      <c r="GL539" s="1098"/>
      <c r="GM539" s="1098"/>
      <c r="GN539" s="1098"/>
      <c r="GO539" s="1098"/>
      <c r="GP539" s="1098"/>
      <c r="GQ539" s="1098"/>
      <c r="GR539" s="1098"/>
      <c r="GS539" s="1098"/>
      <c r="GT539" s="1098"/>
      <c r="GU539" s="1098"/>
      <c r="GV539" s="1098"/>
      <c r="GW539" s="1098"/>
      <c r="GX539" s="1098"/>
      <c r="GY539" s="1098"/>
      <c r="GZ539" s="1098"/>
      <c r="HA539" s="1098"/>
      <c r="HB539" s="1098"/>
      <c r="HC539" s="1098"/>
      <c r="HD539" s="1098"/>
      <c r="HE539" s="1098"/>
      <c r="HF539" s="1098"/>
      <c r="HG539" s="1098"/>
      <c r="HH539" s="1098"/>
      <c r="HI539" s="1098"/>
      <c r="HJ539" s="1098"/>
      <c r="HK539" s="1098"/>
      <c r="HL539" s="1098"/>
      <c r="HM539" s="1098"/>
      <c r="HN539" s="1098"/>
      <c r="HO539" s="1098"/>
      <c r="HP539" s="1098"/>
      <c r="HQ539" s="1098"/>
      <c r="HR539" s="1098"/>
      <c r="HS539" s="1098"/>
      <c r="HT539" s="1098"/>
      <c r="HU539" s="1098"/>
      <c r="HV539" s="1098"/>
      <c r="HW539" s="1098"/>
      <c r="HX539" s="1098"/>
      <c r="HY539" s="1098"/>
      <c r="HZ539" s="1098"/>
      <c r="IA539" s="1098"/>
      <c r="IB539" s="1098"/>
      <c r="IC539" s="1098"/>
      <c r="ID539" s="1098"/>
      <c r="IE539" s="1098"/>
      <c r="IF539" s="1098"/>
      <c r="IG539" s="1098"/>
      <c r="IH539" s="1098"/>
      <c r="II539" s="1098"/>
      <c r="IJ539" s="1098"/>
      <c r="IK539" s="1098"/>
      <c r="IL539" s="1098"/>
      <c r="IM539" s="1098"/>
      <c r="IN539" s="1098"/>
      <c r="IO539" s="1098"/>
      <c r="IP539" s="1098"/>
      <c r="IQ539" s="1098"/>
      <c r="IR539" s="1098"/>
      <c r="IS539" s="1098"/>
      <c r="IT539" s="1098"/>
      <c r="IU539" s="1098"/>
      <c r="IV539" s="1098"/>
      <c r="IW539" s="1098"/>
      <c r="IX539" s="1098"/>
      <c r="IY539" s="1098"/>
      <c r="IZ539" s="1098"/>
      <c r="JA539" s="1098"/>
      <c r="JB539" s="1098"/>
      <c r="JC539" s="1098"/>
      <c r="JD539" s="1098"/>
      <c r="JE539" s="1098"/>
      <c r="JF539" s="1098"/>
      <c r="JG539" s="1098"/>
      <c r="JH539" s="1098"/>
      <c r="JI539" s="1098"/>
      <c r="JJ539" s="1098"/>
      <c r="JK539" s="1098"/>
      <c r="JL539" s="1098"/>
      <c r="JM539" s="1098"/>
      <c r="JN539" s="1098"/>
      <c r="JO539" s="1098"/>
      <c r="JP539" s="1098"/>
      <c r="JQ539" s="1098"/>
      <c r="JR539" s="1098"/>
      <c r="JS539" s="1098"/>
      <c r="JT539" s="1098"/>
      <c r="JU539" s="1098"/>
      <c r="JV539" s="1098"/>
      <c r="JW539" s="1098"/>
      <c r="JX539" s="1098"/>
      <c r="JY539" s="1098"/>
      <c r="JZ539" s="1098"/>
      <c r="KA539" s="1098"/>
      <c r="KB539" s="1099"/>
    </row>
    <row r="540" spans="2:288" ht="15" customHeight="1" x14ac:dyDescent="0.35">
      <c r="B540" s="146" t="str">
        <f t="shared" si="45"/>
        <v>Desk 13</v>
      </c>
      <c r="C540" s="148" t="str">
        <v/>
      </c>
      <c r="D540" s="148" t="str">
        <v/>
      </c>
      <c r="E540" s="148" t="str">
        <v/>
      </c>
      <c r="F540" s="148" t="str">
        <v/>
      </c>
      <c r="G540" s="268" t="str">
        <v/>
      </c>
      <c r="H540" s="1098"/>
      <c r="I540" s="1098"/>
      <c r="J540" s="1098"/>
      <c r="K540" s="1098"/>
      <c r="L540" s="1098"/>
      <c r="M540" s="1098"/>
      <c r="N540" s="1098"/>
      <c r="O540" s="1098"/>
      <c r="P540" s="1098"/>
      <c r="Q540" s="1098"/>
      <c r="R540" s="1098"/>
      <c r="S540" s="1098"/>
      <c r="T540" s="1098"/>
      <c r="U540" s="1098"/>
      <c r="V540" s="1098"/>
      <c r="W540" s="1098"/>
      <c r="X540" s="1098"/>
      <c r="Y540" s="1098"/>
      <c r="Z540" s="1098"/>
      <c r="AA540" s="1098"/>
      <c r="AB540" s="1098"/>
      <c r="AC540" s="1098"/>
      <c r="AD540" s="1098"/>
      <c r="AE540" s="1098"/>
      <c r="AF540" s="1098"/>
      <c r="AG540" s="1098"/>
      <c r="AH540" s="1098"/>
      <c r="AI540" s="1098"/>
      <c r="AJ540" s="1098"/>
      <c r="AK540" s="1098"/>
      <c r="AL540" s="1098"/>
      <c r="AM540" s="1098"/>
      <c r="AN540" s="1098"/>
      <c r="AO540" s="1098"/>
      <c r="AP540" s="1098"/>
      <c r="AQ540" s="1098"/>
      <c r="AR540" s="1098"/>
      <c r="AS540" s="1098"/>
      <c r="AT540" s="1098"/>
      <c r="AU540" s="1098"/>
      <c r="AV540" s="1098"/>
      <c r="AW540" s="1098"/>
      <c r="AX540" s="1098"/>
      <c r="AY540" s="1098"/>
      <c r="AZ540" s="1098"/>
      <c r="BA540" s="1098"/>
      <c r="BB540" s="1098"/>
      <c r="BC540" s="1098"/>
      <c r="BD540" s="1098"/>
      <c r="BE540" s="1098"/>
      <c r="BF540" s="1098"/>
      <c r="BG540" s="1098"/>
      <c r="BH540" s="1098"/>
      <c r="BI540" s="1098"/>
      <c r="BJ540" s="1098"/>
      <c r="BK540" s="1098"/>
      <c r="BL540" s="1098"/>
      <c r="BM540" s="1098"/>
      <c r="BN540" s="1098"/>
      <c r="BO540" s="1098"/>
      <c r="BP540" s="1098"/>
      <c r="BQ540" s="1098"/>
      <c r="BR540" s="1098"/>
      <c r="BS540" s="1098"/>
      <c r="BT540" s="1098"/>
      <c r="BU540" s="1098"/>
      <c r="BV540" s="1098"/>
      <c r="BW540" s="1098"/>
      <c r="BX540" s="1098"/>
      <c r="BY540" s="1098"/>
      <c r="BZ540" s="1098"/>
      <c r="CA540" s="1098"/>
      <c r="CB540" s="1098"/>
      <c r="CC540" s="1098"/>
      <c r="CD540" s="1098"/>
      <c r="CE540" s="1098"/>
      <c r="CF540" s="1098"/>
      <c r="CG540" s="1098"/>
      <c r="CH540" s="1098"/>
      <c r="CI540" s="1098"/>
      <c r="CJ540" s="1098"/>
      <c r="CK540" s="1098"/>
      <c r="CL540" s="1098"/>
      <c r="CM540" s="1098"/>
      <c r="CN540" s="1098"/>
      <c r="CO540" s="1098"/>
      <c r="CP540" s="1098"/>
      <c r="CQ540" s="1098"/>
      <c r="CR540" s="1098"/>
      <c r="CS540" s="1098"/>
      <c r="CT540" s="1098"/>
      <c r="CU540" s="1098"/>
      <c r="CV540" s="1098"/>
      <c r="CW540" s="1098"/>
      <c r="CX540" s="1098"/>
      <c r="CY540" s="1098"/>
      <c r="CZ540" s="1098"/>
      <c r="DA540" s="1098"/>
      <c r="DB540" s="1098"/>
      <c r="DC540" s="1098"/>
      <c r="DD540" s="1098"/>
      <c r="DE540" s="1098"/>
      <c r="DF540" s="1098"/>
      <c r="DG540" s="1098"/>
      <c r="DH540" s="1098"/>
      <c r="DI540" s="1098"/>
      <c r="DJ540" s="1098"/>
      <c r="DK540" s="1098"/>
      <c r="DL540" s="1098"/>
      <c r="DM540" s="1098"/>
      <c r="DN540" s="1098"/>
      <c r="DO540" s="1098"/>
      <c r="DP540" s="1098"/>
      <c r="DQ540" s="1098"/>
      <c r="DR540" s="1098"/>
      <c r="DS540" s="1098"/>
      <c r="DT540" s="1098"/>
      <c r="DU540" s="1098"/>
      <c r="DV540" s="1098"/>
      <c r="DW540" s="1098"/>
      <c r="DX540" s="1098"/>
      <c r="DY540" s="1098"/>
      <c r="DZ540" s="1098"/>
      <c r="EA540" s="1098"/>
      <c r="EB540" s="1098"/>
      <c r="EC540" s="1098"/>
      <c r="ED540" s="1098"/>
      <c r="EE540" s="1098"/>
      <c r="EF540" s="1098"/>
      <c r="EG540" s="1098"/>
      <c r="EH540" s="1098"/>
      <c r="EI540" s="1098"/>
      <c r="EJ540" s="1098"/>
      <c r="EK540" s="1098"/>
      <c r="EL540" s="1098"/>
      <c r="EM540" s="1098"/>
      <c r="EN540" s="1098"/>
      <c r="EO540" s="1098"/>
      <c r="EP540" s="1098"/>
      <c r="EQ540" s="1098"/>
      <c r="ER540" s="1098"/>
      <c r="ES540" s="1098"/>
      <c r="ET540" s="1098"/>
      <c r="EU540" s="1098"/>
      <c r="EV540" s="1098"/>
      <c r="EW540" s="1098"/>
      <c r="EX540" s="1098"/>
      <c r="EY540" s="1098"/>
      <c r="EZ540" s="1098"/>
      <c r="FA540" s="1098"/>
      <c r="FB540" s="1098"/>
      <c r="FC540" s="1098"/>
      <c r="FD540" s="1098"/>
      <c r="FE540" s="1098"/>
      <c r="FF540" s="1098"/>
      <c r="FG540" s="1098"/>
      <c r="FH540" s="1098"/>
      <c r="FI540" s="1098"/>
      <c r="FJ540" s="1098"/>
      <c r="FK540" s="1098"/>
      <c r="FL540" s="1098"/>
      <c r="FM540" s="1098"/>
      <c r="FN540" s="1098"/>
      <c r="FO540" s="1098"/>
      <c r="FP540" s="1098"/>
      <c r="FQ540" s="1098"/>
      <c r="FR540" s="1098"/>
      <c r="FS540" s="1098"/>
      <c r="FT540" s="1098"/>
      <c r="FU540" s="1098"/>
      <c r="FV540" s="1098"/>
      <c r="FW540" s="1098"/>
      <c r="FX540" s="1098"/>
      <c r="FY540" s="1098"/>
      <c r="FZ540" s="1098"/>
      <c r="GA540" s="1098"/>
      <c r="GB540" s="1098"/>
      <c r="GC540" s="1098"/>
      <c r="GD540" s="1098"/>
      <c r="GE540" s="1098"/>
      <c r="GF540" s="1098"/>
      <c r="GG540" s="1098"/>
      <c r="GH540" s="1098"/>
      <c r="GI540" s="1098"/>
      <c r="GJ540" s="1098"/>
      <c r="GK540" s="1098"/>
      <c r="GL540" s="1098"/>
      <c r="GM540" s="1098"/>
      <c r="GN540" s="1098"/>
      <c r="GO540" s="1098"/>
      <c r="GP540" s="1098"/>
      <c r="GQ540" s="1098"/>
      <c r="GR540" s="1098"/>
      <c r="GS540" s="1098"/>
      <c r="GT540" s="1098"/>
      <c r="GU540" s="1098"/>
      <c r="GV540" s="1098"/>
      <c r="GW540" s="1098"/>
      <c r="GX540" s="1098"/>
      <c r="GY540" s="1098"/>
      <c r="GZ540" s="1098"/>
      <c r="HA540" s="1098"/>
      <c r="HB540" s="1098"/>
      <c r="HC540" s="1098"/>
      <c r="HD540" s="1098"/>
      <c r="HE540" s="1098"/>
      <c r="HF540" s="1098"/>
      <c r="HG540" s="1098"/>
      <c r="HH540" s="1098"/>
      <c r="HI540" s="1098"/>
      <c r="HJ540" s="1098"/>
      <c r="HK540" s="1098"/>
      <c r="HL540" s="1098"/>
      <c r="HM540" s="1098"/>
      <c r="HN540" s="1098"/>
      <c r="HO540" s="1098"/>
      <c r="HP540" s="1098"/>
      <c r="HQ540" s="1098"/>
      <c r="HR540" s="1098"/>
      <c r="HS540" s="1098"/>
      <c r="HT540" s="1098"/>
      <c r="HU540" s="1098"/>
      <c r="HV540" s="1098"/>
      <c r="HW540" s="1098"/>
      <c r="HX540" s="1098"/>
      <c r="HY540" s="1098"/>
      <c r="HZ540" s="1098"/>
      <c r="IA540" s="1098"/>
      <c r="IB540" s="1098"/>
      <c r="IC540" s="1098"/>
      <c r="ID540" s="1098"/>
      <c r="IE540" s="1098"/>
      <c r="IF540" s="1098"/>
      <c r="IG540" s="1098"/>
      <c r="IH540" s="1098"/>
      <c r="II540" s="1098"/>
      <c r="IJ540" s="1098"/>
      <c r="IK540" s="1098"/>
      <c r="IL540" s="1098"/>
      <c r="IM540" s="1098"/>
      <c r="IN540" s="1098"/>
      <c r="IO540" s="1098"/>
      <c r="IP540" s="1098"/>
      <c r="IQ540" s="1098"/>
      <c r="IR540" s="1098"/>
      <c r="IS540" s="1098"/>
      <c r="IT540" s="1098"/>
      <c r="IU540" s="1098"/>
      <c r="IV540" s="1098"/>
      <c r="IW540" s="1098"/>
      <c r="IX540" s="1098"/>
      <c r="IY540" s="1098"/>
      <c r="IZ540" s="1098"/>
      <c r="JA540" s="1098"/>
      <c r="JB540" s="1098"/>
      <c r="JC540" s="1098"/>
      <c r="JD540" s="1098"/>
      <c r="JE540" s="1098"/>
      <c r="JF540" s="1098"/>
      <c r="JG540" s="1098"/>
      <c r="JH540" s="1098"/>
      <c r="JI540" s="1098"/>
      <c r="JJ540" s="1098"/>
      <c r="JK540" s="1098"/>
      <c r="JL540" s="1098"/>
      <c r="JM540" s="1098"/>
      <c r="JN540" s="1098"/>
      <c r="JO540" s="1098"/>
      <c r="JP540" s="1098"/>
      <c r="JQ540" s="1098"/>
      <c r="JR540" s="1098"/>
      <c r="JS540" s="1098"/>
      <c r="JT540" s="1098"/>
      <c r="JU540" s="1098"/>
      <c r="JV540" s="1098"/>
      <c r="JW540" s="1098"/>
      <c r="JX540" s="1098"/>
      <c r="JY540" s="1098"/>
      <c r="JZ540" s="1098"/>
      <c r="KA540" s="1098"/>
      <c r="KB540" s="1099"/>
    </row>
    <row r="541" spans="2:288" ht="15" customHeight="1" x14ac:dyDescent="0.35">
      <c r="B541" s="146" t="str">
        <f t="shared" si="45"/>
        <v>Desk 14</v>
      </c>
      <c r="C541" s="148" t="str">
        <v/>
      </c>
      <c r="D541" s="148" t="str">
        <v/>
      </c>
      <c r="E541" s="148" t="str">
        <v/>
      </c>
      <c r="F541" s="148" t="str">
        <v/>
      </c>
      <c r="G541" s="268" t="str">
        <v/>
      </c>
      <c r="H541" s="1098"/>
      <c r="I541" s="1098"/>
      <c r="J541" s="1098"/>
      <c r="K541" s="1098"/>
      <c r="L541" s="1098"/>
      <c r="M541" s="1098"/>
      <c r="N541" s="1098"/>
      <c r="O541" s="1098"/>
      <c r="P541" s="1098"/>
      <c r="Q541" s="1098"/>
      <c r="R541" s="1098"/>
      <c r="S541" s="1098"/>
      <c r="T541" s="1098"/>
      <c r="U541" s="1098"/>
      <c r="V541" s="1098"/>
      <c r="W541" s="1098"/>
      <c r="X541" s="1098"/>
      <c r="Y541" s="1098"/>
      <c r="Z541" s="1098"/>
      <c r="AA541" s="1098"/>
      <c r="AB541" s="1098"/>
      <c r="AC541" s="1098"/>
      <c r="AD541" s="1098"/>
      <c r="AE541" s="1098"/>
      <c r="AF541" s="1098"/>
      <c r="AG541" s="1098"/>
      <c r="AH541" s="1098"/>
      <c r="AI541" s="1098"/>
      <c r="AJ541" s="1098"/>
      <c r="AK541" s="1098"/>
      <c r="AL541" s="1098"/>
      <c r="AM541" s="1098"/>
      <c r="AN541" s="1098"/>
      <c r="AO541" s="1098"/>
      <c r="AP541" s="1098"/>
      <c r="AQ541" s="1098"/>
      <c r="AR541" s="1098"/>
      <c r="AS541" s="1098"/>
      <c r="AT541" s="1098"/>
      <c r="AU541" s="1098"/>
      <c r="AV541" s="1098"/>
      <c r="AW541" s="1098"/>
      <c r="AX541" s="1098"/>
      <c r="AY541" s="1098"/>
      <c r="AZ541" s="1098"/>
      <c r="BA541" s="1098"/>
      <c r="BB541" s="1098"/>
      <c r="BC541" s="1098"/>
      <c r="BD541" s="1098"/>
      <c r="BE541" s="1098"/>
      <c r="BF541" s="1098"/>
      <c r="BG541" s="1098"/>
      <c r="BH541" s="1098"/>
      <c r="BI541" s="1098"/>
      <c r="BJ541" s="1098"/>
      <c r="BK541" s="1098"/>
      <c r="BL541" s="1098"/>
      <c r="BM541" s="1098"/>
      <c r="BN541" s="1098"/>
      <c r="BO541" s="1098"/>
      <c r="BP541" s="1098"/>
      <c r="BQ541" s="1098"/>
      <c r="BR541" s="1098"/>
      <c r="BS541" s="1098"/>
      <c r="BT541" s="1098"/>
      <c r="BU541" s="1098"/>
      <c r="BV541" s="1098"/>
      <c r="BW541" s="1098"/>
      <c r="BX541" s="1098"/>
      <c r="BY541" s="1098"/>
      <c r="BZ541" s="1098"/>
      <c r="CA541" s="1098"/>
      <c r="CB541" s="1098"/>
      <c r="CC541" s="1098"/>
      <c r="CD541" s="1098"/>
      <c r="CE541" s="1098"/>
      <c r="CF541" s="1098"/>
      <c r="CG541" s="1098"/>
      <c r="CH541" s="1098"/>
      <c r="CI541" s="1098"/>
      <c r="CJ541" s="1098"/>
      <c r="CK541" s="1098"/>
      <c r="CL541" s="1098"/>
      <c r="CM541" s="1098"/>
      <c r="CN541" s="1098"/>
      <c r="CO541" s="1098"/>
      <c r="CP541" s="1098"/>
      <c r="CQ541" s="1098"/>
      <c r="CR541" s="1098"/>
      <c r="CS541" s="1098"/>
      <c r="CT541" s="1098"/>
      <c r="CU541" s="1098"/>
      <c r="CV541" s="1098"/>
      <c r="CW541" s="1098"/>
      <c r="CX541" s="1098"/>
      <c r="CY541" s="1098"/>
      <c r="CZ541" s="1098"/>
      <c r="DA541" s="1098"/>
      <c r="DB541" s="1098"/>
      <c r="DC541" s="1098"/>
      <c r="DD541" s="1098"/>
      <c r="DE541" s="1098"/>
      <c r="DF541" s="1098"/>
      <c r="DG541" s="1098"/>
      <c r="DH541" s="1098"/>
      <c r="DI541" s="1098"/>
      <c r="DJ541" s="1098"/>
      <c r="DK541" s="1098"/>
      <c r="DL541" s="1098"/>
      <c r="DM541" s="1098"/>
      <c r="DN541" s="1098"/>
      <c r="DO541" s="1098"/>
      <c r="DP541" s="1098"/>
      <c r="DQ541" s="1098"/>
      <c r="DR541" s="1098"/>
      <c r="DS541" s="1098"/>
      <c r="DT541" s="1098"/>
      <c r="DU541" s="1098"/>
      <c r="DV541" s="1098"/>
      <c r="DW541" s="1098"/>
      <c r="DX541" s="1098"/>
      <c r="DY541" s="1098"/>
      <c r="DZ541" s="1098"/>
      <c r="EA541" s="1098"/>
      <c r="EB541" s="1098"/>
      <c r="EC541" s="1098"/>
      <c r="ED541" s="1098"/>
      <c r="EE541" s="1098"/>
      <c r="EF541" s="1098"/>
      <c r="EG541" s="1098"/>
      <c r="EH541" s="1098"/>
      <c r="EI541" s="1098"/>
      <c r="EJ541" s="1098"/>
      <c r="EK541" s="1098"/>
      <c r="EL541" s="1098"/>
      <c r="EM541" s="1098"/>
      <c r="EN541" s="1098"/>
      <c r="EO541" s="1098"/>
      <c r="EP541" s="1098"/>
      <c r="EQ541" s="1098"/>
      <c r="ER541" s="1098"/>
      <c r="ES541" s="1098"/>
      <c r="ET541" s="1098"/>
      <c r="EU541" s="1098"/>
      <c r="EV541" s="1098"/>
      <c r="EW541" s="1098"/>
      <c r="EX541" s="1098"/>
      <c r="EY541" s="1098"/>
      <c r="EZ541" s="1098"/>
      <c r="FA541" s="1098"/>
      <c r="FB541" s="1098"/>
      <c r="FC541" s="1098"/>
      <c r="FD541" s="1098"/>
      <c r="FE541" s="1098"/>
      <c r="FF541" s="1098"/>
      <c r="FG541" s="1098"/>
      <c r="FH541" s="1098"/>
      <c r="FI541" s="1098"/>
      <c r="FJ541" s="1098"/>
      <c r="FK541" s="1098"/>
      <c r="FL541" s="1098"/>
      <c r="FM541" s="1098"/>
      <c r="FN541" s="1098"/>
      <c r="FO541" s="1098"/>
      <c r="FP541" s="1098"/>
      <c r="FQ541" s="1098"/>
      <c r="FR541" s="1098"/>
      <c r="FS541" s="1098"/>
      <c r="FT541" s="1098"/>
      <c r="FU541" s="1098"/>
      <c r="FV541" s="1098"/>
      <c r="FW541" s="1098"/>
      <c r="FX541" s="1098"/>
      <c r="FY541" s="1098"/>
      <c r="FZ541" s="1098"/>
      <c r="GA541" s="1098"/>
      <c r="GB541" s="1098"/>
      <c r="GC541" s="1098"/>
      <c r="GD541" s="1098"/>
      <c r="GE541" s="1098"/>
      <c r="GF541" s="1098"/>
      <c r="GG541" s="1098"/>
      <c r="GH541" s="1098"/>
      <c r="GI541" s="1098"/>
      <c r="GJ541" s="1098"/>
      <c r="GK541" s="1098"/>
      <c r="GL541" s="1098"/>
      <c r="GM541" s="1098"/>
      <c r="GN541" s="1098"/>
      <c r="GO541" s="1098"/>
      <c r="GP541" s="1098"/>
      <c r="GQ541" s="1098"/>
      <c r="GR541" s="1098"/>
      <c r="GS541" s="1098"/>
      <c r="GT541" s="1098"/>
      <c r="GU541" s="1098"/>
      <c r="GV541" s="1098"/>
      <c r="GW541" s="1098"/>
      <c r="GX541" s="1098"/>
      <c r="GY541" s="1098"/>
      <c r="GZ541" s="1098"/>
      <c r="HA541" s="1098"/>
      <c r="HB541" s="1098"/>
      <c r="HC541" s="1098"/>
      <c r="HD541" s="1098"/>
      <c r="HE541" s="1098"/>
      <c r="HF541" s="1098"/>
      <c r="HG541" s="1098"/>
      <c r="HH541" s="1098"/>
      <c r="HI541" s="1098"/>
      <c r="HJ541" s="1098"/>
      <c r="HK541" s="1098"/>
      <c r="HL541" s="1098"/>
      <c r="HM541" s="1098"/>
      <c r="HN541" s="1098"/>
      <c r="HO541" s="1098"/>
      <c r="HP541" s="1098"/>
      <c r="HQ541" s="1098"/>
      <c r="HR541" s="1098"/>
      <c r="HS541" s="1098"/>
      <c r="HT541" s="1098"/>
      <c r="HU541" s="1098"/>
      <c r="HV541" s="1098"/>
      <c r="HW541" s="1098"/>
      <c r="HX541" s="1098"/>
      <c r="HY541" s="1098"/>
      <c r="HZ541" s="1098"/>
      <c r="IA541" s="1098"/>
      <c r="IB541" s="1098"/>
      <c r="IC541" s="1098"/>
      <c r="ID541" s="1098"/>
      <c r="IE541" s="1098"/>
      <c r="IF541" s="1098"/>
      <c r="IG541" s="1098"/>
      <c r="IH541" s="1098"/>
      <c r="II541" s="1098"/>
      <c r="IJ541" s="1098"/>
      <c r="IK541" s="1098"/>
      <c r="IL541" s="1098"/>
      <c r="IM541" s="1098"/>
      <c r="IN541" s="1098"/>
      <c r="IO541" s="1098"/>
      <c r="IP541" s="1098"/>
      <c r="IQ541" s="1098"/>
      <c r="IR541" s="1098"/>
      <c r="IS541" s="1098"/>
      <c r="IT541" s="1098"/>
      <c r="IU541" s="1098"/>
      <c r="IV541" s="1098"/>
      <c r="IW541" s="1098"/>
      <c r="IX541" s="1098"/>
      <c r="IY541" s="1098"/>
      <c r="IZ541" s="1098"/>
      <c r="JA541" s="1098"/>
      <c r="JB541" s="1098"/>
      <c r="JC541" s="1098"/>
      <c r="JD541" s="1098"/>
      <c r="JE541" s="1098"/>
      <c r="JF541" s="1098"/>
      <c r="JG541" s="1098"/>
      <c r="JH541" s="1098"/>
      <c r="JI541" s="1098"/>
      <c r="JJ541" s="1098"/>
      <c r="JK541" s="1098"/>
      <c r="JL541" s="1098"/>
      <c r="JM541" s="1098"/>
      <c r="JN541" s="1098"/>
      <c r="JO541" s="1098"/>
      <c r="JP541" s="1098"/>
      <c r="JQ541" s="1098"/>
      <c r="JR541" s="1098"/>
      <c r="JS541" s="1098"/>
      <c r="JT541" s="1098"/>
      <c r="JU541" s="1098"/>
      <c r="JV541" s="1098"/>
      <c r="JW541" s="1098"/>
      <c r="JX541" s="1098"/>
      <c r="JY541" s="1098"/>
      <c r="JZ541" s="1098"/>
      <c r="KA541" s="1098"/>
      <c r="KB541" s="1099"/>
    </row>
    <row r="542" spans="2:288" ht="15" customHeight="1" x14ac:dyDescent="0.35">
      <c r="B542" s="146" t="str">
        <f t="shared" si="45"/>
        <v>Desk 15</v>
      </c>
      <c r="C542" s="148" t="str">
        <v/>
      </c>
      <c r="D542" s="148" t="str">
        <v/>
      </c>
      <c r="E542" s="148" t="str">
        <v/>
      </c>
      <c r="F542" s="148" t="str">
        <v/>
      </c>
      <c r="G542" s="268" t="str">
        <v/>
      </c>
      <c r="H542" s="1098"/>
      <c r="I542" s="1098"/>
      <c r="J542" s="1098"/>
      <c r="K542" s="1098"/>
      <c r="L542" s="1098"/>
      <c r="M542" s="1098"/>
      <c r="N542" s="1098"/>
      <c r="O542" s="1098"/>
      <c r="P542" s="1098"/>
      <c r="Q542" s="1098"/>
      <c r="R542" s="1098"/>
      <c r="S542" s="1098"/>
      <c r="T542" s="1098"/>
      <c r="U542" s="1098"/>
      <c r="V542" s="1098"/>
      <c r="W542" s="1098"/>
      <c r="X542" s="1098"/>
      <c r="Y542" s="1098"/>
      <c r="Z542" s="1098"/>
      <c r="AA542" s="1098"/>
      <c r="AB542" s="1098"/>
      <c r="AC542" s="1098"/>
      <c r="AD542" s="1098"/>
      <c r="AE542" s="1098"/>
      <c r="AF542" s="1098"/>
      <c r="AG542" s="1098"/>
      <c r="AH542" s="1098"/>
      <c r="AI542" s="1098"/>
      <c r="AJ542" s="1098"/>
      <c r="AK542" s="1098"/>
      <c r="AL542" s="1098"/>
      <c r="AM542" s="1098"/>
      <c r="AN542" s="1098"/>
      <c r="AO542" s="1098"/>
      <c r="AP542" s="1098"/>
      <c r="AQ542" s="1098"/>
      <c r="AR542" s="1098"/>
      <c r="AS542" s="1098"/>
      <c r="AT542" s="1098"/>
      <c r="AU542" s="1098"/>
      <c r="AV542" s="1098"/>
      <c r="AW542" s="1098"/>
      <c r="AX542" s="1098"/>
      <c r="AY542" s="1098"/>
      <c r="AZ542" s="1098"/>
      <c r="BA542" s="1098"/>
      <c r="BB542" s="1098"/>
      <c r="BC542" s="1098"/>
      <c r="BD542" s="1098"/>
      <c r="BE542" s="1098"/>
      <c r="BF542" s="1098"/>
      <c r="BG542" s="1098"/>
      <c r="BH542" s="1098"/>
      <c r="BI542" s="1098"/>
      <c r="BJ542" s="1098"/>
      <c r="BK542" s="1098"/>
      <c r="BL542" s="1098"/>
      <c r="BM542" s="1098"/>
      <c r="BN542" s="1098"/>
      <c r="BO542" s="1098"/>
      <c r="BP542" s="1098"/>
      <c r="BQ542" s="1098"/>
      <c r="BR542" s="1098"/>
      <c r="BS542" s="1098"/>
      <c r="BT542" s="1098"/>
      <c r="BU542" s="1098"/>
      <c r="BV542" s="1098"/>
      <c r="BW542" s="1098"/>
      <c r="BX542" s="1098"/>
      <c r="BY542" s="1098"/>
      <c r="BZ542" s="1098"/>
      <c r="CA542" s="1098"/>
      <c r="CB542" s="1098"/>
      <c r="CC542" s="1098"/>
      <c r="CD542" s="1098"/>
      <c r="CE542" s="1098"/>
      <c r="CF542" s="1098"/>
      <c r="CG542" s="1098"/>
      <c r="CH542" s="1098"/>
      <c r="CI542" s="1098"/>
      <c r="CJ542" s="1098"/>
      <c r="CK542" s="1098"/>
      <c r="CL542" s="1098"/>
      <c r="CM542" s="1098"/>
      <c r="CN542" s="1098"/>
      <c r="CO542" s="1098"/>
      <c r="CP542" s="1098"/>
      <c r="CQ542" s="1098"/>
      <c r="CR542" s="1098"/>
      <c r="CS542" s="1098"/>
      <c r="CT542" s="1098"/>
      <c r="CU542" s="1098"/>
      <c r="CV542" s="1098"/>
      <c r="CW542" s="1098"/>
      <c r="CX542" s="1098"/>
      <c r="CY542" s="1098"/>
      <c r="CZ542" s="1098"/>
      <c r="DA542" s="1098"/>
      <c r="DB542" s="1098"/>
      <c r="DC542" s="1098"/>
      <c r="DD542" s="1098"/>
      <c r="DE542" s="1098"/>
      <c r="DF542" s="1098"/>
      <c r="DG542" s="1098"/>
      <c r="DH542" s="1098"/>
      <c r="DI542" s="1098"/>
      <c r="DJ542" s="1098"/>
      <c r="DK542" s="1098"/>
      <c r="DL542" s="1098"/>
      <c r="DM542" s="1098"/>
      <c r="DN542" s="1098"/>
      <c r="DO542" s="1098"/>
      <c r="DP542" s="1098"/>
      <c r="DQ542" s="1098"/>
      <c r="DR542" s="1098"/>
      <c r="DS542" s="1098"/>
      <c r="DT542" s="1098"/>
      <c r="DU542" s="1098"/>
      <c r="DV542" s="1098"/>
      <c r="DW542" s="1098"/>
      <c r="DX542" s="1098"/>
      <c r="DY542" s="1098"/>
      <c r="DZ542" s="1098"/>
      <c r="EA542" s="1098"/>
      <c r="EB542" s="1098"/>
      <c r="EC542" s="1098"/>
      <c r="ED542" s="1098"/>
      <c r="EE542" s="1098"/>
      <c r="EF542" s="1098"/>
      <c r="EG542" s="1098"/>
      <c r="EH542" s="1098"/>
      <c r="EI542" s="1098"/>
      <c r="EJ542" s="1098"/>
      <c r="EK542" s="1098"/>
      <c r="EL542" s="1098"/>
      <c r="EM542" s="1098"/>
      <c r="EN542" s="1098"/>
      <c r="EO542" s="1098"/>
      <c r="EP542" s="1098"/>
      <c r="EQ542" s="1098"/>
      <c r="ER542" s="1098"/>
      <c r="ES542" s="1098"/>
      <c r="ET542" s="1098"/>
      <c r="EU542" s="1098"/>
      <c r="EV542" s="1098"/>
      <c r="EW542" s="1098"/>
      <c r="EX542" s="1098"/>
      <c r="EY542" s="1098"/>
      <c r="EZ542" s="1098"/>
      <c r="FA542" s="1098"/>
      <c r="FB542" s="1098"/>
      <c r="FC542" s="1098"/>
      <c r="FD542" s="1098"/>
      <c r="FE542" s="1098"/>
      <c r="FF542" s="1098"/>
      <c r="FG542" s="1098"/>
      <c r="FH542" s="1098"/>
      <c r="FI542" s="1098"/>
      <c r="FJ542" s="1098"/>
      <c r="FK542" s="1098"/>
      <c r="FL542" s="1098"/>
      <c r="FM542" s="1098"/>
      <c r="FN542" s="1098"/>
      <c r="FO542" s="1098"/>
      <c r="FP542" s="1098"/>
      <c r="FQ542" s="1098"/>
      <c r="FR542" s="1098"/>
      <c r="FS542" s="1098"/>
      <c r="FT542" s="1098"/>
      <c r="FU542" s="1098"/>
      <c r="FV542" s="1098"/>
      <c r="FW542" s="1098"/>
      <c r="FX542" s="1098"/>
      <c r="FY542" s="1098"/>
      <c r="FZ542" s="1098"/>
      <c r="GA542" s="1098"/>
      <c r="GB542" s="1098"/>
      <c r="GC542" s="1098"/>
      <c r="GD542" s="1098"/>
      <c r="GE542" s="1098"/>
      <c r="GF542" s="1098"/>
      <c r="GG542" s="1098"/>
      <c r="GH542" s="1098"/>
      <c r="GI542" s="1098"/>
      <c r="GJ542" s="1098"/>
      <c r="GK542" s="1098"/>
      <c r="GL542" s="1098"/>
      <c r="GM542" s="1098"/>
      <c r="GN542" s="1098"/>
      <c r="GO542" s="1098"/>
      <c r="GP542" s="1098"/>
      <c r="GQ542" s="1098"/>
      <c r="GR542" s="1098"/>
      <c r="GS542" s="1098"/>
      <c r="GT542" s="1098"/>
      <c r="GU542" s="1098"/>
      <c r="GV542" s="1098"/>
      <c r="GW542" s="1098"/>
      <c r="GX542" s="1098"/>
      <c r="GY542" s="1098"/>
      <c r="GZ542" s="1098"/>
      <c r="HA542" s="1098"/>
      <c r="HB542" s="1098"/>
      <c r="HC542" s="1098"/>
      <c r="HD542" s="1098"/>
      <c r="HE542" s="1098"/>
      <c r="HF542" s="1098"/>
      <c r="HG542" s="1098"/>
      <c r="HH542" s="1098"/>
      <c r="HI542" s="1098"/>
      <c r="HJ542" s="1098"/>
      <c r="HK542" s="1098"/>
      <c r="HL542" s="1098"/>
      <c r="HM542" s="1098"/>
      <c r="HN542" s="1098"/>
      <c r="HO542" s="1098"/>
      <c r="HP542" s="1098"/>
      <c r="HQ542" s="1098"/>
      <c r="HR542" s="1098"/>
      <c r="HS542" s="1098"/>
      <c r="HT542" s="1098"/>
      <c r="HU542" s="1098"/>
      <c r="HV542" s="1098"/>
      <c r="HW542" s="1098"/>
      <c r="HX542" s="1098"/>
      <c r="HY542" s="1098"/>
      <c r="HZ542" s="1098"/>
      <c r="IA542" s="1098"/>
      <c r="IB542" s="1098"/>
      <c r="IC542" s="1098"/>
      <c r="ID542" s="1098"/>
      <c r="IE542" s="1098"/>
      <c r="IF542" s="1098"/>
      <c r="IG542" s="1098"/>
      <c r="IH542" s="1098"/>
      <c r="II542" s="1098"/>
      <c r="IJ542" s="1098"/>
      <c r="IK542" s="1098"/>
      <c r="IL542" s="1098"/>
      <c r="IM542" s="1098"/>
      <c r="IN542" s="1098"/>
      <c r="IO542" s="1098"/>
      <c r="IP542" s="1098"/>
      <c r="IQ542" s="1098"/>
      <c r="IR542" s="1098"/>
      <c r="IS542" s="1098"/>
      <c r="IT542" s="1098"/>
      <c r="IU542" s="1098"/>
      <c r="IV542" s="1098"/>
      <c r="IW542" s="1098"/>
      <c r="IX542" s="1098"/>
      <c r="IY542" s="1098"/>
      <c r="IZ542" s="1098"/>
      <c r="JA542" s="1098"/>
      <c r="JB542" s="1098"/>
      <c r="JC542" s="1098"/>
      <c r="JD542" s="1098"/>
      <c r="JE542" s="1098"/>
      <c r="JF542" s="1098"/>
      <c r="JG542" s="1098"/>
      <c r="JH542" s="1098"/>
      <c r="JI542" s="1098"/>
      <c r="JJ542" s="1098"/>
      <c r="JK542" s="1098"/>
      <c r="JL542" s="1098"/>
      <c r="JM542" s="1098"/>
      <c r="JN542" s="1098"/>
      <c r="JO542" s="1098"/>
      <c r="JP542" s="1098"/>
      <c r="JQ542" s="1098"/>
      <c r="JR542" s="1098"/>
      <c r="JS542" s="1098"/>
      <c r="JT542" s="1098"/>
      <c r="JU542" s="1098"/>
      <c r="JV542" s="1098"/>
      <c r="JW542" s="1098"/>
      <c r="JX542" s="1098"/>
      <c r="JY542" s="1098"/>
      <c r="JZ542" s="1098"/>
      <c r="KA542" s="1098"/>
      <c r="KB542" s="1099"/>
    </row>
    <row r="543" spans="2:288" ht="15" customHeight="1" x14ac:dyDescent="0.35">
      <c r="B543" s="146" t="str">
        <f t="shared" si="45"/>
        <v>Desk 16</v>
      </c>
      <c r="C543" s="148" t="str">
        <v/>
      </c>
      <c r="D543" s="148" t="str">
        <v/>
      </c>
      <c r="E543" s="148" t="str">
        <v/>
      </c>
      <c r="F543" s="148" t="str">
        <v/>
      </c>
      <c r="G543" s="268" t="str">
        <v/>
      </c>
      <c r="H543" s="1098"/>
      <c r="I543" s="1098"/>
      <c r="J543" s="1098"/>
      <c r="K543" s="1098"/>
      <c r="L543" s="1098"/>
      <c r="M543" s="1098"/>
      <c r="N543" s="1098"/>
      <c r="O543" s="1098"/>
      <c r="P543" s="1098"/>
      <c r="Q543" s="1098"/>
      <c r="R543" s="1098"/>
      <c r="S543" s="1098"/>
      <c r="T543" s="1098"/>
      <c r="U543" s="1098"/>
      <c r="V543" s="1098"/>
      <c r="W543" s="1098"/>
      <c r="X543" s="1098"/>
      <c r="Y543" s="1098"/>
      <c r="Z543" s="1098"/>
      <c r="AA543" s="1098"/>
      <c r="AB543" s="1098"/>
      <c r="AC543" s="1098"/>
      <c r="AD543" s="1098"/>
      <c r="AE543" s="1098"/>
      <c r="AF543" s="1098"/>
      <c r="AG543" s="1098"/>
      <c r="AH543" s="1098"/>
      <c r="AI543" s="1098"/>
      <c r="AJ543" s="1098"/>
      <c r="AK543" s="1098"/>
      <c r="AL543" s="1098"/>
      <c r="AM543" s="1098"/>
      <c r="AN543" s="1098"/>
      <c r="AO543" s="1098"/>
      <c r="AP543" s="1098"/>
      <c r="AQ543" s="1098"/>
      <c r="AR543" s="1098"/>
      <c r="AS543" s="1098"/>
      <c r="AT543" s="1098"/>
      <c r="AU543" s="1098"/>
      <c r="AV543" s="1098"/>
      <c r="AW543" s="1098"/>
      <c r="AX543" s="1098"/>
      <c r="AY543" s="1098"/>
      <c r="AZ543" s="1098"/>
      <c r="BA543" s="1098"/>
      <c r="BB543" s="1098"/>
      <c r="BC543" s="1098"/>
      <c r="BD543" s="1098"/>
      <c r="BE543" s="1098"/>
      <c r="BF543" s="1098"/>
      <c r="BG543" s="1098"/>
      <c r="BH543" s="1098"/>
      <c r="BI543" s="1098"/>
      <c r="BJ543" s="1098"/>
      <c r="BK543" s="1098"/>
      <c r="BL543" s="1098"/>
      <c r="BM543" s="1098"/>
      <c r="BN543" s="1098"/>
      <c r="BO543" s="1098"/>
      <c r="BP543" s="1098"/>
      <c r="BQ543" s="1098"/>
      <c r="BR543" s="1098"/>
      <c r="BS543" s="1098"/>
      <c r="BT543" s="1098"/>
      <c r="BU543" s="1098"/>
      <c r="BV543" s="1098"/>
      <c r="BW543" s="1098"/>
      <c r="BX543" s="1098"/>
      <c r="BY543" s="1098"/>
      <c r="BZ543" s="1098"/>
      <c r="CA543" s="1098"/>
      <c r="CB543" s="1098"/>
      <c r="CC543" s="1098"/>
      <c r="CD543" s="1098"/>
      <c r="CE543" s="1098"/>
      <c r="CF543" s="1098"/>
      <c r="CG543" s="1098"/>
      <c r="CH543" s="1098"/>
      <c r="CI543" s="1098"/>
      <c r="CJ543" s="1098"/>
      <c r="CK543" s="1098"/>
      <c r="CL543" s="1098"/>
      <c r="CM543" s="1098"/>
      <c r="CN543" s="1098"/>
      <c r="CO543" s="1098"/>
      <c r="CP543" s="1098"/>
      <c r="CQ543" s="1098"/>
      <c r="CR543" s="1098"/>
      <c r="CS543" s="1098"/>
      <c r="CT543" s="1098"/>
      <c r="CU543" s="1098"/>
      <c r="CV543" s="1098"/>
      <c r="CW543" s="1098"/>
      <c r="CX543" s="1098"/>
      <c r="CY543" s="1098"/>
      <c r="CZ543" s="1098"/>
      <c r="DA543" s="1098"/>
      <c r="DB543" s="1098"/>
      <c r="DC543" s="1098"/>
      <c r="DD543" s="1098"/>
      <c r="DE543" s="1098"/>
      <c r="DF543" s="1098"/>
      <c r="DG543" s="1098"/>
      <c r="DH543" s="1098"/>
      <c r="DI543" s="1098"/>
      <c r="DJ543" s="1098"/>
      <c r="DK543" s="1098"/>
      <c r="DL543" s="1098"/>
      <c r="DM543" s="1098"/>
      <c r="DN543" s="1098"/>
      <c r="DO543" s="1098"/>
      <c r="DP543" s="1098"/>
      <c r="DQ543" s="1098"/>
      <c r="DR543" s="1098"/>
      <c r="DS543" s="1098"/>
      <c r="DT543" s="1098"/>
      <c r="DU543" s="1098"/>
      <c r="DV543" s="1098"/>
      <c r="DW543" s="1098"/>
      <c r="DX543" s="1098"/>
      <c r="DY543" s="1098"/>
      <c r="DZ543" s="1098"/>
      <c r="EA543" s="1098"/>
      <c r="EB543" s="1098"/>
      <c r="EC543" s="1098"/>
      <c r="ED543" s="1098"/>
      <c r="EE543" s="1098"/>
      <c r="EF543" s="1098"/>
      <c r="EG543" s="1098"/>
      <c r="EH543" s="1098"/>
      <c r="EI543" s="1098"/>
      <c r="EJ543" s="1098"/>
      <c r="EK543" s="1098"/>
      <c r="EL543" s="1098"/>
      <c r="EM543" s="1098"/>
      <c r="EN543" s="1098"/>
      <c r="EO543" s="1098"/>
      <c r="EP543" s="1098"/>
      <c r="EQ543" s="1098"/>
      <c r="ER543" s="1098"/>
      <c r="ES543" s="1098"/>
      <c r="ET543" s="1098"/>
      <c r="EU543" s="1098"/>
      <c r="EV543" s="1098"/>
      <c r="EW543" s="1098"/>
      <c r="EX543" s="1098"/>
      <c r="EY543" s="1098"/>
      <c r="EZ543" s="1098"/>
      <c r="FA543" s="1098"/>
      <c r="FB543" s="1098"/>
      <c r="FC543" s="1098"/>
      <c r="FD543" s="1098"/>
      <c r="FE543" s="1098"/>
      <c r="FF543" s="1098"/>
      <c r="FG543" s="1098"/>
      <c r="FH543" s="1098"/>
      <c r="FI543" s="1098"/>
      <c r="FJ543" s="1098"/>
      <c r="FK543" s="1098"/>
      <c r="FL543" s="1098"/>
      <c r="FM543" s="1098"/>
      <c r="FN543" s="1098"/>
      <c r="FO543" s="1098"/>
      <c r="FP543" s="1098"/>
      <c r="FQ543" s="1098"/>
      <c r="FR543" s="1098"/>
      <c r="FS543" s="1098"/>
      <c r="FT543" s="1098"/>
      <c r="FU543" s="1098"/>
      <c r="FV543" s="1098"/>
      <c r="FW543" s="1098"/>
      <c r="FX543" s="1098"/>
      <c r="FY543" s="1098"/>
      <c r="FZ543" s="1098"/>
      <c r="GA543" s="1098"/>
      <c r="GB543" s="1098"/>
      <c r="GC543" s="1098"/>
      <c r="GD543" s="1098"/>
      <c r="GE543" s="1098"/>
      <c r="GF543" s="1098"/>
      <c r="GG543" s="1098"/>
      <c r="GH543" s="1098"/>
      <c r="GI543" s="1098"/>
      <c r="GJ543" s="1098"/>
      <c r="GK543" s="1098"/>
      <c r="GL543" s="1098"/>
      <c r="GM543" s="1098"/>
      <c r="GN543" s="1098"/>
      <c r="GO543" s="1098"/>
      <c r="GP543" s="1098"/>
      <c r="GQ543" s="1098"/>
      <c r="GR543" s="1098"/>
      <c r="GS543" s="1098"/>
      <c r="GT543" s="1098"/>
      <c r="GU543" s="1098"/>
      <c r="GV543" s="1098"/>
      <c r="GW543" s="1098"/>
      <c r="GX543" s="1098"/>
      <c r="GY543" s="1098"/>
      <c r="GZ543" s="1098"/>
      <c r="HA543" s="1098"/>
      <c r="HB543" s="1098"/>
      <c r="HC543" s="1098"/>
      <c r="HD543" s="1098"/>
      <c r="HE543" s="1098"/>
      <c r="HF543" s="1098"/>
      <c r="HG543" s="1098"/>
      <c r="HH543" s="1098"/>
      <c r="HI543" s="1098"/>
      <c r="HJ543" s="1098"/>
      <c r="HK543" s="1098"/>
      <c r="HL543" s="1098"/>
      <c r="HM543" s="1098"/>
      <c r="HN543" s="1098"/>
      <c r="HO543" s="1098"/>
      <c r="HP543" s="1098"/>
      <c r="HQ543" s="1098"/>
      <c r="HR543" s="1098"/>
      <c r="HS543" s="1098"/>
      <c r="HT543" s="1098"/>
      <c r="HU543" s="1098"/>
      <c r="HV543" s="1098"/>
      <c r="HW543" s="1098"/>
      <c r="HX543" s="1098"/>
      <c r="HY543" s="1098"/>
      <c r="HZ543" s="1098"/>
      <c r="IA543" s="1098"/>
      <c r="IB543" s="1098"/>
      <c r="IC543" s="1098"/>
      <c r="ID543" s="1098"/>
      <c r="IE543" s="1098"/>
      <c r="IF543" s="1098"/>
      <c r="IG543" s="1098"/>
      <c r="IH543" s="1098"/>
      <c r="II543" s="1098"/>
      <c r="IJ543" s="1098"/>
      <c r="IK543" s="1098"/>
      <c r="IL543" s="1098"/>
      <c r="IM543" s="1098"/>
      <c r="IN543" s="1098"/>
      <c r="IO543" s="1098"/>
      <c r="IP543" s="1098"/>
      <c r="IQ543" s="1098"/>
      <c r="IR543" s="1098"/>
      <c r="IS543" s="1098"/>
      <c r="IT543" s="1098"/>
      <c r="IU543" s="1098"/>
      <c r="IV543" s="1098"/>
      <c r="IW543" s="1098"/>
      <c r="IX543" s="1098"/>
      <c r="IY543" s="1098"/>
      <c r="IZ543" s="1098"/>
      <c r="JA543" s="1098"/>
      <c r="JB543" s="1098"/>
      <c r="JC543" s="1098"/>
      <c r="JD543" s="1098"/>
      <c r="JE543" s="1098"/>
      <c r="JF543" s="1098"/>
      <c r="JG543" s="1098"/>
      <c r="JH543" s="1098"/>
      <c r="JI543" s="1098"/>
      <c r="JJ543" s="1098"/>
      <c r="JK543" s="1098"/>
      <c r="JL543" s="1098"/>
      <c r="JM543" s="1098"/>
      <c r="JN543" s="1098"/>
      <c r="JO543" s="1098"/>
      <c r="JP543" s="1098"/>
      <c r="JQ543" s="1098"/>
      <c r="JR543" s="1098"/>
      <c r="JS543" s="1098"/>
      <c r="JT543" s="1098"/>
      <c r="JU543" s="1098"/>
      <c r="JV543" s="1098"/>
      <c r="JW543" s="1098"/>
      <c r="JX543" s="1098"/>
      <c r="JY543" s="1098"/>
      <c r="JZ543" s="1098"/>
      <c r="KA543" s="1098"/>
      <c r="KB543" s="1099"/>
    </row>
    <row r="544" spans="2:288" ht="15" customHeight="1" x14ac:dyDescent="0.35">
      <c r="B544" s="146" t="str">
        <f t="shared" si="45"/>
        <v>Desk 17</v>
      </c>
      <c r="C544" s="148" t="str">
        <v/>
      </c>
      <c r="D544" s="148" t="str">
        <v/>
      </c>
      <c r="E544" s="148" t="str">
        <v/>
      </c>
      <c r="F544" s="148" t="str">
        <v/>
      </c>
      <c r="G544" s="268" t="str">
        <v/>
      </c>
      <c r="H544" s="1098"/>
      <c r="I544" s="1098"/>
      <c r="J544" s="1098"/>
      <c r="K544" s="1098"/>
      <c r="L544" s="1098"/>
      <c r="M544" s="1098"/>
      <c r="N544" s="1098"/>
      <c r="O544" s="1098"/>
      <c r="P544" s="1098"/>
      <c r="Q544" s="1098"/>
      <c r="R544" s="1098"/>
      <c r="S544" s="1098"/>
      <c r="T544" s="1098"/>
      <c r="U544" s="1098"/>
      <c r="V544" s="1098"/>
      <c r="W544" s="1098"/>
      <c r="X544" s="1098"/>
      <c r="Y544" s="1098"/>
      <c r="Z544" s="1098"/>
      <c r="AA544" s="1098"/>
      <c r="AB544" s="1098"/>
      <c r="AC544" s="1098"/>
      <c r="AD544" s="1098"/>
      <c r="AE544" s="1098"/>
      <c r="AF544" s="1098"/>
      <c r="AG544" s="1098"/>
      <c r="AH544" s="1098"/>
      <c r="AI544" s="1098"/>
      <c r="AJ544" s="1098"/>
      <c r="AK544" s="1098"/>
      <c r="AL544" s="1098"/>
      <c r="AM544" s="1098"/>
      <c r="AN544" s="1098"/>
      <c r="AO544" s="1098"/>
      <c r="AP544" s="1098"/>
      <c r="AQ544" s="1098"/>
      <c r="AR544" s="1098"/>
      <c r="AS544" s="1098"/>
      <c r="AT544" s="1098"/>
      <c r="AU544" s="1098"/>
      <c r="AV544" s="1098"/>
      <c r="AW544" s="1098"/>
      <c r="AX544" s="1098"/>
      <c r="AY544" s="1098"/>
      <c r="AZ544" s="1098"/>
      <c r="BA544" s="1098"/>
      <c r="BB544" s="1098"/>
      <c r="BC544" s="1098"/>
      <c r="BD544" s="1098"/>
      <c r="BE544" s="1098"/>
      <c r="BF544" s="1098"/>
      <c r="BG544" s="1098"/>
      <c r="BH544" s="1098"/>
      <c r="BI544" s="1098"/>
      <c r="BJ544" s="1098"/>
      <c r="BK544" s="1098"/>
      <c r="BL544" s="1098"/>
      <c r="BM544" s="1098"/>
      <c r="BN544" s="1098"/>
      <c r="BO544" s="1098"/>
      <c r="BP544" s="1098"/>
      <c r="BQ544" s="1098"/>
      <c r="BR544" s="1098"/>
      <c r="BS544" s="1098"/>
      <c r="BT544" s="1098"/>
      <c r="BU544" s="1098"/>
      <c r="BV544" s="1098"/>
      <c r="BW544" s="1098"/>
      <c r="BX544" s="1098"/>
      <c r="BY544" s="1098"/>
      <c r="BZ544" s="1098"/>
      <c r="CA544" s="1098"/>
      <c r="CB544" s="1098"/>
      <c r="CC544" s="1098"/>
      <c r="CD544" s="1098"/>
      <c r="CE544" s="1098"/>
      <c r="CF544" s="1098"/>
      <c r="CG544" s="1098"/>
      <c r="CH544" s="1098"/>
      <c r="CI544" s="1098"/>
      <c r="CJ544" s="1098"/>
      <c r="CK544" s="1098"/>
      <c r="CL544" s="1098"/>
      <c r="CM544" s="1098"/>
      <c r="CN544" s="1098"/>
      <c r="CO544" s="1098"/>
      <c r="CP544" s="1098"/>
      <c r="CQ544" s="1098"/>
      <c r="CR544" s="1098"/>
      <c r="CS544" s="1098"/>
      <c r="CT544" s="1098"/>
      <c r="CU544" s="1098"/>
      <c r="CV544" s="1098"/>
      <c r="CW544" s="1098"/>
      <c r="CX544" s="1098"/>
      <c r="CY544" s="1098"/>
      <c r="CZ544" s="1098"/>
      <c r="DA544" s="1098"/>
      <c r="DB544" s="1098"/>
      <c r="DC544" s="1098"/>
      <c r="DD544" s="1098"/>
      <c r="DE544" s="1098"/>
      <c r="DF544" s="1098"/>
      <c r="DG544" s="1098"/>
      <c r="DH544" s="1098"/>
      <c r="DI544" s="1098"/>
      <c r="DJ544" s="1098"/>
      <c r="DK544" s="1098"/>
      <c r="DL544" s="1098"/>
      <c r="DM544" s="1098"/>
      <c r="DN544" s="1098"/>
      <c r="DO544" s="1098"/>
      <c r="DP544" s="1098"/>
      <c r="DQ544" s="1098"/>
      <c r="DR544" s="1098"/>
      <c r="DS544" s="1098"/>
      <c r="DT544" s="1098"/>
      <c r="DU544" s="1098"/>
      <c r="DV544" s="1098"/>
      <c r="DW544" s="1098"/>
      <c r="DX544" s="1098"/>
      <c r="DY544" s="1098"/>
      <c r="DZ544" s="1098"/>
      <c r="EA544" s="1098"/>
      <c r="EB544" s="1098"/>
      <c r="EC544" s="1098"/>
      <c r="ED544" s="1098"/>
      <c r="EE544" s="1098"/>
      <c r="EF544" s="1098"/>
      <c r="EG544" s="1098"/>
      <c r="EH544" s="1098"/>
      <c r="EI544" s="1098"/>
      <c r="EJ544" s="1098"/>
      <c r="EK544" s="1098"/>
      <c r="EL544" s="1098"/>
      <c r="EM544" s="1098"/>
      <c r="EN544" s="1098"/>
      <c r="EO544" s="1098"/>
      <c r="EP544" s="1098"/>
      <c r="EQ544" s="1098"/>
      <c r="ER544" s="1098"/>
      <c r="ES544" s="1098"/>
      <c r="ET544" s="1098"/>
      <c r="EU544" s="1098"/>
      <c r="EV544" s="1098"/>
      <c r="EW544" s="1098"/>
      <c r="EX544" s="1098"/>
      <c r="EY544" s="1098"/>
      <c r="EZ544" s="1098"/>
      <c r="FA544" s="1098"/>
      <c r="FB544" s="1098"/>
      <c r="FC544" s="1098"/>
      <c r="FD544" s="1098"/>
      <c r="FE544" s="1098"/>
      <c r="FF544" s="1098"/>
      <c r="FG544" s="1098"/>
      <c r="FH544" s="1098"/>
      <c r="FI544" s="1098"/>
      <c r="FJ544" s="1098"/>
      <c r="FK544" s="1098"/>
      <c r="FL544" s="1098"/>
      <c r="FM544" s="1098"/>
      <c r="FN544" s="1098"/>
      <c r="FO544" s="1098"/>
      <c r="FP544" s="1098"/>
      <c r="FQ544" s="1098"/>
      <c r="FR544" s="1098"/>
      <c r="FS544" s="1098"/>
      <c r="FT544" s="1098"/>
      <c r="FU544" s="1098"/>
      <c r="FV544" s="1098"/>
      <c r="FW544" s="1098"/>
      <c r="FX544" s="1098"/>
      <c r="FY544" s="1098"/>
      <c r="FZ544" s="1098"/>
      <c r="GA544" s="1098"/>
      <c r="GB544" s="1098"/>
      <c r="GC544" s="1098"/>
      <c r="GD544" s="1098"/>
      <c r="GE544" s="1098"/>
      <c r="GF544" s="1098"/>
      <c r="GG544" s="1098"/>
      <c r="GH544" s="1098"/>
      <c r="GI544" s="1098"/>
      <c r="GJ544" s="1098"/>
      <c r="GK544" s="1098"/>
      <c r="GL544" s="1098"/>
      <c r="GM544" s="1098"/>
      <c r="GN544" s="1098"/>
      <c r="GO544" s="1098"/>
      <c r="GP544" s="1098"/>
      <c r="GQ544" s="1098"/>
      <c r="GR544" s="1098"/>
      <c r="GS544" s="1098"/>
      <c r="GT544" s="1098"/>
      <c r="GU544" s="1098"/>
      <c r="GV544" s="1098"/>
      <c r="GW544" s="1098"/>
      <c r="GX544" s="1098"/>
      <c r="GY544" s="1098"/>
      <c r="GZ544" s="1098"/>
      <c r="HA544" s="1098"/>
      <c r="HB544" s="1098"/>
      <c r="HC544" s="1098"/>
      <c r="HD544" s="1098"/>
      <c r="HE544" s="1098"/>
      <c r="HF544" s="1098"/>
      <c r="HG544" s="1098"/>
      <c r="HH544" s="1098"/>
      <c r="HI544" s="1098"/>
      <c r="HJ544" s="1098"/>
      <c r="HK544" s="1098"/>
      <c r="HL544" s="1098"/>
      <c r="HM544" s="1098"/>
      <c r="HN544" s="1098"/>
      <c r="HO544" s="1098"/>
      <c r="HP544" s="1098"/>
      <c r="HQ544" s="1098"/>
      <c r="HR544" s="1098"/>
      <c r="HS544" s="1098"/>
      <c r="HT544" s="1098"/>
      <c r="HU544" s="1098"/>
      <c r="HV544" s="1098"/>
      <c r="HW544" s="1098"/>
      <c r="HX544" s="1098"/>
      <c r="HY544" s="1098"/>
      <c r="HZ544" s="1098"/>
      <c r="IA544" s="1098"/>
      <c r="IB544" s="1098"/>
      <c r="IC544" s="1098"/>
      <c r="ID544" s="1098"/>
      <c r="IE544" s="1098"/>
      <c r="IF544" s="1098"/>
      <c r="IG544" s="1098"/>
      <c r="IH544" s="1098"/>
      <c r="II544" s="1098"/>
      <c r="IJ544" s="1098"/>
      <c r="IK544" s="1098"/>
      <c r="IL544" s="1098"/>
      <c r="IM544" s="1098"/>
      <c r="IN544" s="1098"/>
      <c r="IO544" s="1098"/>
      <c r="IP544" s="1098"/>
      <c r="IQ544" s="1098"/>
      <c r="IR544" s="1098"/>
      <c r="IS544" s="1098"/>
      <c r="IT544" s="1098"/>
      <c r="IU544" s="1098"/>
      <c r="IV544" s="1098"/>
      <c r="IW544" s="1098"/>
      <c r="IX544" s="1098"/>
      <c r="IY544" s="1098"/>
      <c r="IZ544" s="1098"/>
      <c r="JA544" s="1098"/>
      <c r="JB544" s="1098"/>
      <c r="JC544" s="1098"/>
      <c r="JD544" s="1098"/>
      <c r="JE544" s="1098"/>
      <c r="JF544" s="1098"/>
      <c r="JG544" s="1098"/>
      <c r="JH544" s="1098"/>
      <c r="JI544" s="1098"/>
      <c r="JJ544" s="1098"/>
      <c r="JK544" s="1098"/>
      <c r="JL544" s="1098"/>
      <c r="JM544" s="1098"/>
      <c r="JN544" s="1098"/>
      <c r="JO544" s="1098"/>
      <c r="JP544" s="1098"/>
      <c r="JQ544" s="1098"/>
      <c r="JR544" s="1098"/>
      <c r="JS544" s="1098"/>
      <c r="JT544" s="1098"/>
      <c r="JU544" s="1098"/>
      <c r="JV544" s="1098"/>
      <c r="JW544" s="1098"/>
      <c r="JX544" s="1098"/>
      <c r="JY544" s="1098"/>
      <c r="JZ544" s="1098"/>
      <c r="KA544" s="1098"/>
      <c r="KB544" s="1099"/>
    </row>
    <row r="545" spans="2:288" ht="15" customHeight="1" x14ac:dyDescent="0.35">
      <c r="B545" s="146" t="str">
        <f t="shared" si="45"/>
        <v>Desk 18</v>
      </c>
      <c r="C545" s="148" t="str">
        <v/>
      </c>
      <c r="D545" s="148" t="str">
        <v/>
      </c>
      <c r="E545" s="148" t="str">
        <v/>
      </c>
      <c r="F545" s="148" t="str">
        <v/>
      </c>
      <c r="G545" s="268" t="str">
        <v/>
      </c>
      <c r="H545" s="1098"/>
      <c r="I545" s="1098"/>
      <c r="J545" s="1098"/>
      <c r="K545" s="1098"/>
      <c r="L545" s="1098"/>
      <c r="M545" s="1098"/>
      <c r="N545" s="1098"/>
      <c r="O545" s="1098"/>
      <c r="P545" s="1098"/>
      <c r="Q545" s="1098"/>
      <c r="R545" s="1098"/>
      <c r="S545" s="1098"/>
      <c r="T545" s="1098"/>
      <c r="U545" s="1098"/>
      <c r="V545" s="1098"/>
      <c r="W545" s="1098"/>
      <c r="X545" s="1098"/>
      <c r="Y545" s="1098"/>
      <c r="Z545" s="1098"/>
      <c r="AA545" s="1098"/>
      <c r="AB545" s="1098"/>
      <c r="AC545" s="1098"/>
      <c r="AD545" s="1098"/>
      <c r="AE545" s="1098"/>
      <c r="AF545" s="1098"/>
      <c r="AG545" s="1098"/>
      <c r="AH545" s="1098"/>
      <c r="AI545" s="1098"/>
      <c r="AJ545" s="1098"/>
      <c r="AK545" s="1098"/>
      <c r="AL545" s="1098"/>
      <c r="AM545" s="1098"/>
      <c r="AN545" s="1098"/>
      <c r="AO545" s="1098"/>
      <c r="AP545" s="1098"/>
      <c r="AQ545" s="1098"/>
      <c r="AR545" s="1098"/>
      <c r="AS545" s="1098"/>
      <c r="AT545" s="1098"/>
      <c r="AU545" s="1098"/>
      <c r="AV545" s="1098"/>
      <c r="AW545" s="1098"/>
      <c r="AX545" s="1098"/>
      <c r="AY545" s="1098"/>
      <c r="AZ545" s="1098"/>
      <c r="BA545" s="1098"/>
      <c r="BB545" s="1098"/>
      <c r="BC545" s="1098"/>
      <c r="BD545" s="1098"/>
      <c r="BE545" s="1098"/>
      <c r="BF545" s="1098"/>
      <c r="BG545" s="1098"/>
      <c r="BH545" s="1098"/>
      <c r="BI545" s="1098"/>
      <c r="BJ545" s="1098"/>
      <c r="BK545" s="1098"/>
      <c r="BL545" s="1098"/>
      <c r="BM545" s="1098"/>
      <c r="BN545" s="1098"/>
      <c r="BO545" s="1098"/>
      <c r="BP545" s="1098"/>
      <c r="BQ545" s="1098"/>
      <c r="BR545" s="1098"/>
      <c r="BS545" s="1098"/>
      <c r="BT545" s="1098"/>
      <c r="BU545" s="1098"/>
      <c r="BV545" s="1098"/>
      <c r="BW545" s="1098"/>
      <c r="BX545" s="1098"/>
      <c r="BY545" s="1098"/>
      <c r="BZ545" s="1098"/>
      <c r="CA545" s="1098"/>
      <c r="CB545" s="1098"/>
      <c r="CC545" s="1098"/>
      <c r="CD545" s="1098"/>
      <c r="CE545" s="1098"/>
      <c r="CF545" s="1098"/>
      <c r="CG545" s="1098"/>
      <c r="CH545" s="1098"/>
      <c r="CI545" s="1098"/>
      <c r="CJ545" s="1098"/>
      <c r="CK545" s="1098"/>
      <c r="CL545" s="1098"/>
      <c r="CM545" s="1098"/>
      <c r="CN545" s="1098"/>
      <c r="CO545" s="1098"/>
      <c r="CP545" s="1098"/>
      <c r="CQ545" s="1098"/>
      <c r="CR545" s="1098"/>
      <c r="CS545" s="1098"/>
      <c r="CT545" s="1098"/>
      <c r="CU545" s="1098"/>
      <c r="CV545" s="1098"/>
      <c r="CW545" s="1098"/>
      <c r="CX545" s="1098"/>
      <c r="CY545" s="1098"/>
      <c r="CZ545" s="1098"/>
      <c r="DA545" s="1098"/>
      <c r="DB545" s="1098"/>
      <c r="DC545" s="1098"/>
      <c r="DD545" s="1098"/>
      <c r="DE545" s="1098"/>
      <c r="DF545" s="1098"/>
      <c r="DG545" s="1098"/>
      <c r="DH545" s="1098"/>
      <c r="DI545" s="1098"/>
      <c r="DJ545" s="1098"/>
      <c r="DK545" s="1098"/>
      <c r="DL545" s="1098"/>
      <c r="DM545" s="1098"/>
      <c r="DN545" s="1098"/>
      <c r="DO545" s="1098"/>
      <c r="DP545" s="1098"/>
      <c r="DQ545" s="1098"/>
      <c r="DR545" s="1098"/>
      <c r="DS545" s="1098"/>
      <c r="DT545" s="1098"/>
      <c r="DU545" s="1098"/>
      <c r="DV545" s="1098"/>
      <c r="DW545" s="1098"/>
      <c r="DX545" s="1098"/>
      <c r="DY545" s="1098"/>
      <c r="DZ545" s="1098"/>
      <c r="EA545" s="1098"/>
      <c r="EB545" s="1098"/>
      <c r="EC545" s="1098"/>
      <c r="ED545" s="1098"/>
      <c r="EE545" s="1098"/>
      <c r="EF545" s="1098"/>
      <c r="EG545" s="1098"/>
      <c r="EH545" s="1098"/>
      <c r="EI545" s="1098"/>
      <c r="EJ545" s="1098"/>
      <c r="EK545" s="1098"/>
      <c r="EL545" s="1098"/>
      <c r="EM545" s="1098"/>
      <c r="EN545" s="1098"/>
      <c r="EO545" s="1098"/>
      <c r="EP545" s="1098"/>
      <c r="EQ545" s="1098"/>
      <c r="ER545" s="1098"/>
      <c r="ES545" s="1098"/>
      <c r="ET545" s="1098"/>
      <c r="EU545" s="1098"/>
      <c r="EV545" s="1098"/>
      <c r="EW545" s="1098"/>
      <c r="EX545" s="1098"/>
      <c r="EY545" s="1098"/>
      <c r="EZ545" s="1098"/>
      <c r="FA545" s="1098"/>
      <c r="FB545" s="1098"/>
      <c r="FC545" s="1098"/>
      <c r="FD545" s="1098"/>
      <c r="FE545" s="1098"/>
      <c r="FF545" s="1098"/>
      <c r="FG545" s="1098"/>
      <c r="FH545" s="1098"/>
      <c r="FI545" s="1098"/>
      <c r="FJ545" s="1098"/>
      <c r="FK545" s="1098"/>
      <c r="FL545" s="1098"/>
      <c r="FM545" s="1098"/>
      <c r="FN545" s="1098"/>
      <c r="FO545" s="1098"/>
      <c r="FP545" s="1098"/>
      <c r="FQ545" s="1098"/>
      <c r="FR545" s="1098"/>
      <c r="FS545" s="1098"/>
      <c r="FT545" s="1098"/>
      <c r="FU545" s="1098"/>
      <c r="FV545" s="1098"/>
      <c r="FW545" s="1098"/>
      <c r="FX545" s="1098"/>
      <c r="FY545" s="1098"/>
      <c r="FZ545" s="1098"/>
      <c r="GA545" s="1098"/>
      <c r="GB545" s="1098"/>
      <c r="GC545" s="1098"/>
      <c r="GD545" s="1098"/>
      <c r="GE545" s="1098"/>
      <c r="GF545" s="1098"/>
      <c r="GG545" s="1098"/>
      <c r="GH545" s="1098"/>
      <c r="GI545" s="1098"/>
      <c r="GJ545" s="1098"/>
      <c r="GK545" s="1098"/>
      <c r="GL545" s="1098"/>
      <c r="GM545" s="1098"/>
      <c r="GN545" s="1098"/>
      <c r="GO545" s="1098"/>
      <c r="GP545" s="1098"/>
      <c r="GQ545" s="1098"/>
      <c r="GR545" s="1098"/>
      <c r="GS545" s="1098"/>
      <c r="GT545" s="1098"/>
      <c r="GU545" s="1098"/>
      <c r="GV545" s="1098"/>
      <c r="GW545" s="1098"/>
      <c r="GX545" s="1098"/>
      <c r="GY545" s="1098"/>
      <c r="GZ545" s="1098"/>
      <c r="HA545" s="1098"/>
      <c r="HB545" s="1098"/>
      <c r="HC545" s="1098"/>
      <c r="HD545" s="1098"/>
      <c r="HE545" s="1098"/>
      <c r="HF545" s="1098"/>
      <c r="HG545" s="1098"/>
      <c r="HH545" s="1098"/>
      <c r="HI545" s="1098"/>
      <c r="HJ545" s="1098"/>
      <c r="HK545" s="1098"/>
      <c r="HL545" s="1098"/>
      <c r="HM545" s="1098"/>
      <c r="HN545" s="1098"/>
      <c r="HO545" s="1098"/>
      <c r="HP545" s="1098"/>
      <c r="HQ545" s="1098"/>
      <c r="HR545" s="1098"/>
      <c r="HS545" s="1098"/>
      <c r="HT545" s="1098"/>
      <c r="HU545" s="1098"/>
      <c r="HV545" s="1098"/>
      <c r="HW545" s="1098"/>
      <c r="HX545" s="1098"/>
      <c r="HY545" s="1098"/>
      <c r="HZ545" s="1098"/>
      <c r="IA545" s="1098"/>
      <c r="IB545" s="1098"/>
      <c r="IC545" s="1098"/>
      <c r="ID545" s="1098"/>
      <c r="IE545" s="1098"/>
      <c r="IF545" s="1098"/>
      <c r="IG545" s="1098"/>
      <c r="IH545" s="1098"/>
      <c r="II545" s="1098"/>
      <c r="IJ545" s="1098"/>
      <c r="IK545" s="1098"/>
      <c r="IL545" s="1098"/>
      <c r="IM545" s="1098"/>
      <c r="IN545" s="1098"/>
      <c r="IO545" s="1098"/>
      <c r="IP545" s="1098"/>
      <c r="IQ545" s="1098"/>
      <c r="IR545" s="1098"/>
      <c r="IS545" s="1098"/>
      <c r="IT545" s="1098"/>
      <c r="IU545" s="1098"/>
      <c r="IV545" s="1098"/>
      <c r="IW545" s="1098"/>
      <c r="IX545" s="1098"/>
      <c r="IY545" s="1098"/>
      <c r="IZ545" s="1098"/>
      <c r="JA545" s="1098"/>
      <c r="JB545" s="1098"/>
      <c r="JC545" s="1098"/>
      <c r="JD545" s="1098"/>
      <c r="JE545" s="1098"/>
      <c r="JF545" s="1098"/>
      <c r="JG545" s="1098"/>
      <c r="JH545" s="1098"/>
      <c r="JI545" s="1098"/>
      <c r="JJ545" s="1098"/>
      <c r="JK545" s="1098"/>
      <c r="JL545" s="1098"/>
      <c r="JM545" s="1098"/>
      <c r="JN545" s="1098"/>
      <c r="JO545" s="1098"/>
      <c r="JP545" s="1098"/>
      <c r="JQ545" s="1098"/>
      <c r="JR545" s="1098"/>
      <c r="JS545" s="1098"/>
      <c r="JT545" s="1098"/>
      <c r="JU545" s="1098"/>
      <c r="JV545" s="1098"/>
      <c r="JW545" s="1098"/>
      <c r="JX545" s="1098"/>
      <c r="JY545" s="1098"/>
      <c r="JZ545" s="1098"/>
      <c r="KA545" s="1098"/>
      <c r="KB545" s="1099"/>
    </row>
    <row r="546" spans="2:288" ht="15" customHeight="1" x14ac:dyDescent="0.35">
      <c r="B546" s="146" t="str">
        <f t="shared" si="45"/>
        <v>Desk 19</v>
      </c>
      <c r="C546" s="148" t="str">
        <v/>
      </c>
      <c r="D546" s="148" t="str">
        <v/>
      </c>
      <c r="E546" s="148" t="str">
        <v/>
      </c>
      <c r="F546" s="148" t="str">
        <v/>
      </c>
      <c r="G546" s="268" t="str">
        <v/>
      </c>
      <c r="H546" s="1098"/>
      <c r="I546" s="1098"/>
      <c r="J546" s="1098"/>
      <c r="K546" s="1098"/>
      <c r="L546" s="1098"/>
      <c r="M546" s="1098"/>
      <c r="N546" s="1098"/>
      <c r="O546" s="1098"/>
      <c r="P546" s="1098"/>
      <c r="Q546" s="1098"/>
      <c r="R546" s="1098"/>
      <c r="S546" s="1098"/>
      <c r="T546" s="1098"/>
      <c r="U546" s="1098"/>
      <c r="V546" s="1098"/>
      <c r="W546" s="1098"/>
      <c r="X546" s="1098"/>
      <c r="Y546" s="1098"/>
      <c r="Z546" s="1098"/>
      <c r="AA546" s="1098"/>
      <c r="AB546" s="1098"/>
      <c r="AC546" s="1098"/>
      <c r="AD546" s="1098"/>
      <c r="AE546" s="1098"/>
      <c r="AF546" s="1098"/>
      <c r="AG546" s="1098"/>
      <c r="AH546" s="1098"/>
      <c r="AI546" s="1098"/>
      <c r="AJ546" s="1098"/>
      <c r="AK546" s="1098"/>
      <c r="AL546" s="1098"/>
      <c r="AM546" s="1098"/>
      <c r="AN546" s="1098"/>
      <c r="AO546" s="1098"/>
      <c r="AP546" s="1098"/>
      <c r="AQ546" s="1098"/>
      <c r="AR546" s="1098"/>
      <c r="AS546" s="1098"/>
      <c r="AT546" s="1098"/>
      <c r="AU546" s="1098"/>
      <c r="AV546" s="1098"/>
      <c r="AW546" s="1098"/>
      <c r="AX546" s="1098"/>
      <c r="AY546" s="1098"/>
      <c r="AZ546" s="1098"/>
      <c r="BA546" s="1098"/>
      <c r="BB546" s="1098"/>
      <c r="BC546" s="1098"/>
      <c r="BD546" s="1098"/>
      <c r="BE546" s="1098"/>
      <c r="BF546" s="1098"/>
      <c r="BG546" s="1098"/>
      <c r="BH546" s="1098"/>
      <c r="BI546" s="1098"/>
      <c r="BJ546" s="1098"/>
      <c r="BK546" s="1098"/>
      <c r="BL546" s="1098"/>
      <c r="BM546" s="1098"/>
      <c r="BN546" s="1098"/>
      <c r="BO546" s="1098"/>
      <c r="BP546" s="1098"/>
      <c r="BQ546" s="1098"/>
      <c r="BR546" s="1098"/>
      <c r="BS546" s="1098"/>
      <c r="BT546" s="1098"/>
      <c r="BU546" s="1098"/>
      <c r="BV546" s="1098"/>
      <c r="BW546" s="1098"/>
      <c r="BX546" s="1098"/>
      <c r="BY546" s="1098"/>
      <c r="BZ546" s="1098"/>
      <c r="CA546" s="1098"/>
      <c r="CB546" s="1098"/>
      <c r="CC546" s="1098"/>
      <c r="CD546" s="1098"/>
      <c r="CE546" s="1098"/>
      <c r="CF546" s="1098"/>
      <c r="CG546" s="1098"/>
      <c r="CH546" s="1098"/>
      <c r="CI546" s="1098"/>
      <c r="CJ546" s="1098"/>
      <c r="CK546" s="1098"/>
      <c r="CL546" s="1098"/>
      <c r="CM546" s="1098"/>
      <c r="CN546" s="1098"/>
      <c r="CO546" s="1098"/>
      <c r="CP546" s="1098"/>
      <c r="CQ546" s="1098"/>
      <c r="CR546" s="1098"/>
      <c r="CS546" s="1098"/>
      <c r="CT546" s="1098"/>
      <c r="CU546" s="1098"/>
      <c r="CV546" s="1098"/>
      <c r="CW546" s="1098"/>
      <c r="CX546" s="1098"/>
      <c r="CY546" s="1098"/>
      <c r="CZ546" s="1098"/>
      <c r="DA546" s="1098"/>
      <c r="DB546" s="1098"/>
      <c r="DC546" s="1098"/>
      <c r="DD546" s="1098"/>
      <c r="DE546" s="1098"/>
      <c r="DF546" s="1098"/>
      <c r="DG546" s="1098"/>
      <c r="DH546" s="1098"/>
      <c r="DI546" s="1098"/>
      <c r="DJ546" s="1098"/>
      <c r="DK546" s="1098"/>
      <c r="DL546" s="1098"/>
      <c r="DM546" s="1098"/>
      <c r="DN546" s="1098"/>
      <c r="DO546" s="1098"/>
      <c r="DP546" s="1098"/>
      <c r="DQ546" s="1098"/>
      <c r="DR546" s="1098"/>
      <c r="DS546" s="1098"/>
      <c r="DT546" s="1098"/>
      <c r="DU546" s="1098"/>
      <c r="DV546" s="1098"/>
      <c r="DW546" s="1098"/>
      <c r="DX546" s="1098"/>
      <c r="DY546" s="1098"/>
      <c r="DZ546" s="1098"/>
      <c r="EA546" s="1098"/>
      <c r="EB546" s="1098"/>
      <c r="EC546" s="1098"/>
      <c r="ED546" s="1098"/>
      <c r="EE546" s="1098"/>
      <c r="EF546" s="1098"/>
      <c r="EG546" s="1098"/>
      <c r="EH546" s="1098"/>
      <c r="EI546" s="1098"/>
      <c r="EJ546" s="1098"/>
      <c r="EK546" s="1098"/>
      <c r="EL546" s="1098"/>
      <c r="EM546" s="1098"/>
      <c r="EN546" s="1098"/>
      <c r="EO546" s="1098"/>
      <c r="EP546" s="1098"/>
      <c r="EQ546" s="1098"/>
      <c r="ER546" s="1098"/>
      <c r="ES546" s="1098"/>
      <c r="ET546" s="1098"/>
      <c r="EU546" s="1098"/>
      <c r="EV546" s="1098"/>
      <c r="EW546" s="1098"/>
      <c r="EX546" s="1098"/>
      <c r="EY546" s="1098"/>
      <c r="EZ546" s="1098"/>
      <c r="FA546" s="1098"/>
      <c r="FB546" s="1098"/>
      <c r="FC546" s="1098"/>
      <c r="FD546" s="1098"/>
      <c r="FE546" s="1098"/>
      <c r="FF546" s="1098"/>
      <c r="FG546" s="1098"/>
      <c r="FH546" s="1098"/>
      <c r="FI546" s="1098"/>
      <c r="FJ546" s="1098"/>
      <c r="FK546" s="1098"/>
      <c r="FL546" s="1098"/>
      <c r="FM546" s="1098"/>
      <c r="FN546" s="1098"/>
      <c r="FO546" s="1098"/>
      <c r="FP546" s="1098"/>
      <c r="FQ546" s="1098"/>
      <c r="FR546" s="1098"/>
      <c r="FS546" s="1098"/>
      <c r="FT546" s="1098"/>
      <c r="FU546" s="1098"/>
      <c r="FV546" s="1098"/>
      <c r="FW546" s="1098"/>
      <c r="FX546" s="1098"/>
      <c r="FY546" s="1098"/>
      <c r="FZ546" s="1098"/>
      <c r="GA546" s="1098"/>
      <c r="GB546" s="1098"/>
      <c r="GC546" s="1098"/>
      <c r="GD546" s="1098"/>
      <c r="GE546" s="1098"/>
      <c r="GF546" s="1098"/>
      <c r="GG546" s="1098"/>
      <c r="GH546" s="1098"/>
      <c r="GI546" s="1098"/>
      <c r="GJ546" s="1098"/>
      <c r="GK546" s="1098"/>
      <c r="GL546" s="1098"/>
      <c r="GM546" s="1098"/>
      <c r="GN546" s="1098"/>
      <c r="GO546" s="1098"/>
      <c r="GP546" s="1098"/>
      <c r="GQ546" s="1098"/>
      <c r="GR546" s="1098"/>
      <c r="GS546" s="1098"/>
      <c r="GT546" s="1098"/>
      <c r="GU546" s="1098"/>
      <c r="GV546" s="1098"/>
      <c r="GW546" s="1098"/>
      <c r="GX546" s="1098"/>
      <c r="GY546" s="1098"/>
      <c r="GZ546" s="1098"/>
      <c r="HA546" s="1098"/>
      <c r="HB546" s="1098"/>
      <c r="HC546" s="1098"/>
      <c r="HD546" s="1098"/>
      <c r="HE546" s="1098"/>
      <c r="HF546" s="1098"/>
      <c r="HG546" s="1098"/>
      <c r="HH546" s="1098"/>
      <c r="HI546" s="1098"/>
      <c r="HJ546" s="1098"/>
      <c r="HK546" s="1098"/>
      <c r="HL546" s="1098"/>
      <c r="HM546" s="1098"/>
      <c r="HN546" s="1098"/>
      <c r="HO546" s="1098"/>
      <c r="HP546" s="1098"/>
      <c r="HQ546" s="1098"/>
      <c r="HR546" s="1098"/>
      <c r="HS546" s="1098"/>
      <c r="HT546" s="1098"/>
      <c r="HU546" s="1098"/>
      <c r="HV546" s="1098"/>
      <c r="HW546" s="1098"/>
      <c r="HX546" s="1098"/>
      <c r="HY546" s="1098"/>
      <c r="HZ546" s="1098"/>
      <c r="IA546" s="1098"/>
      <c r="IB546" s="1098"/>
      <c r="IC546" s="1098"/>
      <c r="ID546" s="1098"/>
      <c r="IE546" s="1098"/>
      <c r="IF546" s="1098"/>
      <c r="IG546" s="1098"/>
      <c r="IH546" s="1098"/>
      <c r="II546" s="1098"/>
      <c r="IJ546" s="1098"/>
      <c r="IK546" s="1098"/>
      <c r="IL546" s="1098"/>
      <c r="IM546" s="1098"/>
      <c r="IN546" s="1098"/>
      <c r="IO546" s="1098"/>
      <c r="IP546" s="1098"/>
      <c r="IQ546" s="1098"/>
      <c r="IR546" s="1098"/>
      <c r="IS546" s="1098"/>
      <c r="IT546" s="1098"/>
      <c r="IU546" s="1098"/>
      <c r="IV546" s="1098"/>
      <c r="IW546" s="1098"/>
      <c r="IX546" s="1098"/>
      <c r="IY546" s="1098"/>
      <c r="IZ546" s="1098"/>
      <c r="JA546" s="1098"/>
      <c r="JB546" s="1098"/>
      <c r="JC546" s="1098"/>
      <c r="JD546" s="1098"/>
      <c r="JE546" s="1098"/>
      <c r="JF546" s="1098"/>
      <c r="JG546" s="1098"/>
      <c r="JH546" s="1098"/>
      <c r="JI546" s="1098"/>
      <c r="JJ546" s="1098"/>
      <c r="JK546" s="1098"/>
      <c r="JL546" s="1098"/>
      <c r="JM546" s="1098"/>
      <c r="JN546" s="1098"/>
      <c r="JO546" s="1098"/>
      <c r="JP546" s="1098"/>
      <c r="JQ546" s="1098"/>
      <c r="JR546" s="1098"/>
      <c r="JS546" s="1098"/>
      <c r="JT546" s="1098"/>
      <c r="JU546" s="1098"/>
      <c r="JV546" s="1098"/>
      <c r="JW546" s="1098"/>
      <c r="JX546" s="1098"/>
      <c r="JY546" s="1098"/>
      <c r="JZ546" s="1098"/>
      <c r="KA546" s="1098"/>
      <c r="KB546" s="1099"/>
    </row>
    <row r="547" spans="2:288" ht="15" customHeight="1" x14ac:dyDescent="0.35">
      <c r="B547" s="146" t="str">
        <f t="shared" si="45"/>
        <v>Desk 20</v>
      </c>
      <c r="C547" s="148" t="str">
        <v/>
      </c>
      <c r="D547" s="148" t="str">
        <v/>
      </c>
      <c r="E547" s="148" t="str">
        <v/>
      </c>
      <c r="F547" s="148" t="str">
        <v/>
      </c>
      <c r="G547" s="268" t="str">
        <v/>
      </c>
      <c r="H547" s="1098"/>
      <c r="I547" s="1098"/>
      <c r="J547" s="1098"/>
      <c r="K547" s="1098"/>
      <c r="L547" s="1098"/>
      <c r="M547" s="1098"/>
      <c r="N547" s="1098"/>
      <c r="O547" s="1098"/>
      <c r="P547" s="1098"/>
      <c r="Q547" s="1098"/>
      <c r="R547" s="1098"/>
      <c r="S547" s="1098"/>
      <c r="T547" s="1098"/>
      <c r="U547" s="1098"/>
      <c r="V547" s="1098"/>
      <c r="W547" s="1098"/>
      <c r="X547" s="1098"/>
      <c r="Y547" s="1098"/>
      <c r="Z547" s="1098"/>
      <c r="AA547" s="1098"/>
      <c r="AB547" s="1098"/>
      <c r="AC547" s="1098"/>
      <c r="AD547" s="1098"/>
      <c r="AE547" s="1098"/>
      <c r="AF547" s="1098"/>
      <c r="AG547" s="1098"/>
      <c r="AH547" s="1098"/>
      <c r="AI547" s="1098"/>
      <c r="AJ547" s="1098"/>
      <c r="AK547" s="1098"/>
      <c r="AL547" s="1098"/>
      <c r="AM547" s="1098"/>
      <c r="AN547" s="1098"/>
      <c r="AO547" s="1098"/>
      <c r="AP547" s="1098"/>
      <c r="AQ547" s="1098"/>
      <c r="AR547" s="1098"/>
      <c r="AS547" s="1098"/>
      <c r="AT547" s="1098"/>
      <c r="AU547" s="1098"/>
      <c r="AV547" s="1098"/>
      <c r="AW547" s="1098"/>
      <c r="AX547" s="1098"/>
      <c r="AY547" s="1098"/>
      <c r="AZ547" s="1098"/>
      <c r="BA547" s="1098"/>
      <c r="BB547" s="1098"/>
      <c r="BC547" s="1098"/>
      <c r="BD547" s="1098"/>
      <c r="BE547" s="1098"/>
      <c r="BF547" s="1098"/>
      <c r="BG547" s="1098"/>
      <c r="BH547" s="1098"/>
      <c r="BI547" s="1098"/>
      <c r="BJ547" s="1098"/>
      <c r="BK547" s="1098"/>
      <c r="BL547" s="1098"/>
      <c r="BM547" s="1098"/>
      <c r="BN547" s="1098"/>
      <c r="BO547" s="1098"/>
      <c r="BP547" s="1098"/>
      <c r="BQ547" s="1098"/>
      <c r="BR547" s="1098"/>
      <c r="BS547" s="1098"/>
      <c r="BT547" s="1098"/>
      <c r="BU547" s="1098"/>
      <c r="BV547" s="1098"/>
      <c r="BW547" s="1098"/>
      <c r="BX547" s="1098"/>
      <c r="BY547" s="1098"/>
      <c r="BZ547" s="1098"/>
      <c r="CA547" s="1098"/>
      <c r="CB547" s="1098"/>
      <c r="CC547" s="1098"/>
      <c r="CD547" s="1098"/>
      <c r="CE547" s="1098"/>
      <c r="CF547" s="1098"/>
      <c r="CG547" s="1098"/>
      <c r="CH547" s="1098"/>
      <c r="CI547" s="1098"/>
      <c r="CJ547" s="1098"/>
      <c r="CK547" s="1098"/>
      <c r="CL547" s="1098"/>
      <c r="CM547" s="1098"/>
      <c r="CN547" s="1098"/>
      <c r="CO547" s="1098"/>
      <c r="CP547" s="1098"/>
      <c r="CQ547" s="1098"/>
      <c r="CR547" s="1098"/>
      <c r="CS547" s="1098"/>
      <c r="CT547" s="1098"/>
      <c r="CU547" s="1098"/>
      <c r="CV547" s="1098"/>
      <c r="CW547" s="1098"/>
      <c r="CX547" s="1098"/>
      <c r="CY547" s="1098"/>
      <c r="CZ547" s="1098"/>
      <c r="DA547" s="1098"/>
      <c r="DB547" s="1098"/>
      <c r="DC547" s="1098"/>
      <c r="DD547" s="1098"/>
      <c r="DE547" s="1098"/>
      <c r="DF547" s="1098"/>
      <c r="DG547" s="1098"/>
      <c r="DH547" s="1098"/>
      <c r="DI547" s="1098"/>
      <c r="DJ547" s="1098"/>
      <c r="DK547" s="1098"/>
      <c r="DL547" s="1098"/>
      <c r="DM547" s="1098"/>
      <c r="DN547" s="1098"/>
      <c r="DO547" s="1098"/>
      <c r="DP547" s="1098"/>
      <c r="DQ547" s="1098"/>
      <c r="DR547" s="1098"/>
      <c r="DS547" s="1098"/>
      <c r="DT547" s="1098"/>
      <c r="DU547" s="1098"/>
      <c r="DV547" s="1098"/>
      <c r="DW547" s="1098"/>
      <c r="DX547" s="1098"/>
      <c r="DY547" s="1098"/>
      <c r="DZ547" s="1098"/>
      <c r="EA547" s="1098"/>
      <c r="EB547" s="1098"/>
      <c r="EC547" s="1098"/>
      <c r="ED547" s="1098"/>
      <c r="EE547" s="1098"/>
      <c r="EF547" s="1098"/>
      <c r="EG547" s="1098"/>
      <c r="EH547" s="1098"/>
      <c r="EI547" s="1098"/>
      <c r="EJ547" s="1098"/>
      <c r="EK547" s="1098"/>
      <c r="EL547" s="1098"/>
      <c r="EM547" s="1098"/>
      <c r="EN547" s="1098"/>
      <c r="EO547" s="1098"/>
      <c r="EP547" s="1098"/>
      <c r="EQ547" s="1098"/>
      <c r="ER547" s="1098"/>
      <c r="ES547" s="1098"/>
      <c r="ET547" s="1098"/>
      <c r="EU547" s="1098"/>
      <c r="EV547" s="1098"/>
      <c r="EW547" s="1098"/>
      <c r="EX547" s="1098"/>
      <c r="EY547" s="1098"/>
      <c r="EZ547" s="1098"/>
      <c r="FA547" s="1098"/>
      <c r="FB547" s="1098"/>
      <c r="FC547" s="1098"/>
      <c r="FD547" s="1098"/>
      <c r="FE547" s="1098"/>
      <c r="FF547" s="1098"/>
      <c r="FG547" s="1098"/>
      <c r="FH547" s="1098"/>
      <c r="FI547" s="1098"/>
      <c r="FJ547" s="1098"/>
      <c r="FK547" s="1098"/>
      <c r="FL547" s="1098"/>
      <c r="FM547" s="1098"/>
      <c r="FN547" s="1098"/>
      <c r="FO547" s="1098"/>
      <c r="FP547" s="1098"/>
      <c r="FQ547" s="1098"/>
      <c r="FR547" s="1098"/>
      <c r="FS547" s="1098"/>
      <c r="FT547" s="1098"/>
      <c r="FU547" s="1098"/>
      <c r="FV547" s="1098"/>
      <c r="FW547" s="1098"/>
      <c r="FX547" s="1098"/>
      <c r="FY547" s="1098"/>
      <c r="FZ547" s="1098"/>
      <c r="GA547" s="1098"/>
      <c r="GB547" s="1098"/>
      <c r="GC547" s="1098"/>
      <c r="GD547" s="1098"/>
      <c r="GE547" s="1098"/>
      <c r="GF547" s="1098"/>
      <c r="GG547" s="1098"/>
      <c r="GH547" s="1098"/>
      <c r="GI547" s="1098"/>
      <c r="GJ547" s="1098"/>
      <c r="GK547" s="1098"/>
      <c r="GL547" s="1098"/>
      <c r="GM547" s="1098"/>
      <c r="GN547" s="1098"/>
      <c r="GO547" s="1098"/>
      <c r="GP547" s="1098"/>
      <c r="GQ547" s="1098"/>
      <c r="GR547" s="1098"/>
      <c r="GS547" s="1098"/>
      <c r="GT547" s="1098"/>
      <c r="GU547" s="1098"/>
      <c r="GV547" s="1098"/>
      <c r="GW547" s="1098"/>
      <c r="GX547" s="1098"/>
      <c r="GY547" s="1098"/>
      <c r="GZ547" s="1098"/>
      <c r="HA547" s="1098"/>
      <c r="HB547" s="1098"/>
      <c r="HC547" s="1098"/>
      <c r="HD547" s="1098"/>
      <c r="HE547" s="1098"/>
      <c r="HF547" s="1098"/>
      <c r="HG547" s="1098"/>
      <c r="HH547" s="1098"/>
      <c r="HI547" s="1098"/>
      <c r="HJ547" s="1098"/>
      <c r="HK547" s="1098"/>
      <c r="HL547" s="1098"/>
      <c r="HM547" s="1098"/>
      <c r="HN547" s="1098"/>
      <c r="HO547" s="1098"/>
      <c r="HP547" s="1098"/>
      <c r="HQ547" s="1098"/>
      <c r="HR547" s="1098"/>
      <c r="HS547" s="1098"/>
      <c r="HT547" s="1098"/>
      <c r="HU547" s="1098"/>
      <c r="HV547" s="1098"/>
      <c r="HW547" s="1098"/>
      <c r="HX547" s="1098"/>
      <c r="HY547" s="1098"/>
      <c r="HZ547" s="1098"/>
      <c r="IA547" s="1098"/>
      <c r="IB547" s="1098"/>
      <c r="IC547" s="1098"/>
      <c r="ID547" s="1098"/>
      <c r="IE547" s="1098"/>
      <c r="IF547" s="1098"/>
      <c r="IG547" s="1098"/>
      <c r="IH547" s="1098"/>
      <c r="II547" s="1098"/>
      <c r="IJ547" s="1098"/>
      <c r="IK547" s="1098"/>
      <c r="IL547" s="1098"/>
      <c r="IM547" s="1098"/>
      <c r="IN547" s="1098"/>
      <c r="IO547" s="1098"/>
      <c r="IP547" s="1098"/>
      <c r="IQ547" s="1098"/>
      <c r="IR547" s="1098"/>
      <c r="IS547" s="1098"/>
      <c r="IT547" s="1098"/>
      <c r="IU547" s="1098"/>
      <c r="IV547" s="1098"/>
      <c r="IW547" s="1098"/>
      <c r="IX547" s="1098"/>
      <c r="IY547" s="1098"/>
      <c r="IZ547" s="1098"/>
      <c r="JA547" s="1098"/>
      <c r="JB547" s="1098"/>
      <c r="JC547" s="1098"/>
      <c r="JD547" s="1098"/>
      <c r="JE547" s="1098"/>
      <c r="JF547" s="1098"/>
      <c r="JG547" s="1098"/>
      <c r="JH547" s="1098"/>
      <c r="JI547" s="1098"/>
      <c r="JJ547" s="1098"/>
      <c r="JK547" s="1098"/>
      <c r="JL547" s="1098"/>
      <c r="JM547" s="1098"/>
      <c r="JN547" s="1098"/>
      <c r="JO547" s="1098"/>
      <c r="JP547" s="1098"/>
      <c r="JQ547" s="1098"/>
      <c r="JR547" s="1098"/>
      <c r="JS547" s="1098"/>
      <c r="JT547" s="1098"/>
      <c r="JU547" s="1098"/>
      <c r="JV547" s="1098"/>
      <c r="JW547" s="1098"/>
      <c r="JX547" s="1098"/>
      <c r="JY547" s="1098"/>
      <c r="JZ547" s="1098"/>
      <c r="KA547" s="1098"/>
      <c r="KB547" s="1099"/>
    </row>
    <row r="548" spans="2:288" ht="15" customHeight="1" x14ac:dyDescent="0.35">
      <c r="B548" s="146" t="str">
        <f t="shared" si="45"/>
        <v>Desk 21</v>
      </c>
      <c r="C548" s="148" t="str">
        <v/>
      </c>
      <c r="D548" s="148" t="str">
        <v/>
      </c>
      <c r="E548" s="148" t="str">
        <v/>
      </c>
      <c r="F548" s="148" t="str">
        <v/>
      </c>
      <c r="G548" s="268" t="str">
        <v/>
      </c>
      <c r="H548" s="1098"/>
      <c r="I548" s="1098"/>
      <c r="J548" s="1098"/>
      <c r="K548" s="1098"/>
      <c r="L548" s="1098"/>
      <c r="M548" s="1098"/>
      <c r="N548" s="1098"/>
      <c r="O548" s="1098"/>
      <c r="P548" s="1098"/>
      <c r="Q548" s="1098"/>
      <c r="R548" s="1098"/>
      <c r="S548" s="1098"/>
      <c r="T548" s="1098"/>
      <c r="U548" s="1098"/>
      <c r="V548" s="1098"/>
      <c r="W548" s="1098"/>
      <c r="X548" s="1098"/>
      <c r="Y548" s="1098"/>
      <c r="Z548" s="1098"/>
      <c r="AA548" s="1098"/>
      <c r="AB548" s="1098"/>
      <c r="AC548" s="1098"/>
      <c r="AD548" s="1098"/>
      <c r="AE548" s="1098"/>
      <c r="AF548" s="1098"/>
      <c r="AG548" s="1098"/>
      <c r="AH548" s="1098"/>
      <c r="AI548" s="1098"/>
      <c r="AJ548" s="1098"/>
      <c r="AK548" s="1098"/>
      <c r="AL548" s="1098"/>
      <c r="AM548" s="1098"/>
      <c r="AN548" s="1098"/>
      <c r="AO548" s="1098"/>
      <c r="AP548" s="1098"/>
      <c r="AQ548" s="1098"/>
      <c r="AR548" s="1098"/>
      <c r="AS548" s="1098"/>
      <c r="AT548" s="1098"/>
      <c r="AU548" s="1098"/>
      <c r="AV548" s="1098"/>
      <c r="AW548" s="1098"/>
      <c r="AX548" s="1098"/>
      <c r="AY548" s="1098"/>
      <c r="AZ548" s="1098"/>
      <c r="BA548" s="1098"/>
      <c r="BB548" s="1098"/>
      <c r="BC548" s="1098"/>
      <c r="BD548" s="1098"/>
      <c r="BE548" s="1098"/>
      <c r="BF548" s="1098"/>
      <c r="BG548" s="1098"/>
      <c r="BH548" s="1098"/>
      <c r="BI548" s="1098"/>
      <c r="BJ548" s="1098"/>
      <c r="BK548" s="1098"/>
      <c r="BL548" s="1098"/>
      <c r="BM548" s="1098"/>
      <c r="BN548" s="1098"/>
      <c r="BO548" s="1098"/>
      <c r="BP548" s="1098"/>
      <c r="BQ548" s="1098"/>
      <c r="BR548" s="1098"/>
      <c r="BS548" s="1098"/>
      <c r="BT548" s="1098"/>
      <c r="BU548" s="1098"/>
      <c r="BV548" s="1098"/>
      <c r="BW548" s="1098"/>
      <c r="BX548" s="1098"/>
      <c r="BY548" s="1098"/>
      <c r="BZ548" s="1098"/>
      <c r="CA548" s="1098"/>
      <c r="CB548" s="1098"/>
      <c r="CC548" s="1098"/>
      <c r="CD548" s="1098"/>
      <c r="CE548" s="1098"/>
      <c r="CF548" s="1098"/>
      <c r="CG548" s="1098"/>
      <c r="CH548" s="1098"/>
      <c r="CI548" s="1098"/>
      <c r="CJ548" s="1098"/>
      <c r="CK548" s="1098"/>
      <c r="CL548" s="1098"/>
      <c r="CM548" s="1098"/>
      <c r="CN548" s="1098"/>
      <c r="CO548" s="1098"/>
      <c r="CP548" s="1098"/>
      <c r="CQ548" s="1098"/>
      <c r="CR548" s="1098"/>
      <c r="CS548" s="1098"/>
      <c r="CT548" s="1098"/>
      <c r="CU548" s="1098"/>
      <c r="CV548" s="1098"/>
      <c r="CW548" s="1098"/>
      <c r="CX548" s="1098"/>
      <c r="CY548" s="1098"/>
      <c r="CZ548" s="1098"/>
      <c r="DA548" s="1098"/>
      <c r="DB548" s="1098"/>
      <c r="DC548" s="1098"/>
      <c r="DD548" s="1098"/>
      <c r="DE548" s="1098"/>
      <c r="DF548" s="1098"/>
      <c r="DG548" s="1098"/>
      <c r="DH548" s="1098"/>
      <c r="DI548" s="1098"/>
      <c r="DJ548" s="1098"/>
      <c r="DK548" s="1098"/>
      <c r="DL548" s="1098"/>
      <c r="DM548" s="1098"/>
      <c r="DN548" s="1098"/>
      <c r="DO548" s="1098"/>
      <c r="DP548" s="1098"/>
      <c r="DQ548" s="1098"/>
      <c r="DR548" s="1098"/>
      <c r="DS548" s="1098"/>
      <c r="DT548" s="1098"/>
      <c r="DU548" s="1098"/>
      <c r="DV548" s="1098"/>
      <c r="DW548" s="1098"/>
      <c r="DX548" s="1098"/>
      <c r="DY548" s="1098"/>
      <c r="DZ548" s="1098"/>
      <c r="EA548" s="1098"/>
      <c r="EB548" s="1098"/>
      <c r="EC548" s="1098"/>
      <c r="ED548" s="1098"/>
      <c r="EE548" s="1098"/>
      <c r="EF548" s="1098"/>
      <c r="EG548" s="1098"/>
      <c r="EH548" s="1098"/>
      <c r="EI548" s="1098"/>
      <c r="EJ548" s="1098"/>
      <c r="EK548" s="1098"/>
      <c r="EL548" s="1098"/>
      <c r="EM548" s="1098"/>
      <c r="EN548" s="1098"/>
      <c r="EO548" s="1098"/>
      <c r="EP548" s="1098"/>
      <c r="EQ548" s="1098"/>
      <c r="ER548" s="1098"/>
      <c r="ES548" s="1098"/>
      <c r="ET548" s="1098"/>
      <c r="EU548" s="1098"/>
      <c r="EV548" s="1098"/>
      <c r="EW548" s="1098"/>
      <c r="EX548" s="1098"/>
      <c r="EY548" s="1098"/>
      <c r="EZ548" s="1098"/>
      <c r="FA548" s="1098"/>
      <c r="FB548" s="1098"/>
      <c r="FC548" s="1098"/>
      <c r="FD548" s="1098"/>
      <c r="FE548" s="1098"/>
      <c r="FF548" s="1098"/>
      <c r="FG548" s="1098"/>
      <c r="FH548" s="1098"/>
      <c r="FI548" s="1098"/>
      <c r="FJ548" s="1098"/>
      <c r="FK548" s="1098"/>
      <c r="FL548" s="1098"/>
      <c r="FM548" s="1098"/>
      <c r="FN548" s="1098"/>
      <c r="FO548" s="1098"/>
      <c r="FP548" s="1098"/>
      <c r="FQ548" s="1098"/>
      <c r="FR548" s="1098"/>
      <c r="FS548" s="1098"/>
      <c r="FT548" s="1098"/>
      <c r="FU548" s="1098"/>
      <c r="FV548" s="1098"/>
      <c r="FW548" s="1098"/>
      <c r="FX548" s="1098"/>
      <c r="FY548" s="1098"/>
      <c r="FZ548" s="1098"/>
      <c r="GA548" s="1098"/>
      <c r="GB548" s="1098"/>
      <c r="GC548" s="1098"/>
      <c r="GD548" s="1098"/>
      <c r="GE548" s="1098"/>
      <c r="GF548" s="1098"/>
      <c r="GG548" s="1098"/>
      <c r="GH548" s="1098"/>
      <c r="GI548" s="1098"/>
      <c r="GJ548" s="1098"/>
      <c r="GK548" s="1098"/>
      <c r="GL548" s="1098"/>
      <c r="GM548" s="1098"/>
      <c r="GN548" s="1098"/>
      <c r="GO548" s="1098"/>
      <c r="GP548" s="1098"/>
      <c r="GQ548" s="1098"/>
      <c r="GR548" s="1098"/>
      <c r="GS548" s="1098"/>
      <c r="GT548" s="1098"/>
      <c r="GU548" s="1098"/>
      <c r="GV548" s="1098"/>
      <c r="GW548" s="1098"/>
      <c r="GX548" s="1098"/>
      <c r="GY548" s="1098"/>
      <c r="GZ548" s="1098"/>
      <c r="HA548" s="1098"/>
      <c r="HB548" s="1098"/>
      <c r="HC548" s="1098"/>
      <c r="HD548" s="1098"/>
      <c r="HE548" s="1098"/>
      <c r="HF548" s="1098"/>
      <c r="HG548" s="1098"/>
      <c r="HH548" s="1098"/>
      <c r="HI548" s="1098"/>
      <c r="HJ548" s="1098"/>
      <c r="HK548" s="1098"/>
      <c r="HL548" s="1098"/>
      <c r="HM548" s="1098"/>
      <c r="HN548" s="1098"/>
      <c r="HO548" s="1098"/>
      <c r="HP548" s="1098"/>
      <c r="HQ548" s="1098"/>
      <c r="HR548" s="1098"/>
      <c r="HS548" s="1098"/>
      <c r="HT548" s="1098"/>
      <c r="HU548" s="1098"/>
      <c r="HV548" s="1098"/>
      <c r="HW548" s="1098"/>
      <c r="HX548" s="1098"/>
      <c r="HY548" s="1098"/>
      <c r="HZ548" s="1098"/>
      <c r="IA548" s="1098"/>
      <c r="IB548" s="1098"/>
      <c r="IC548" s="1098"/>
      <c r="ID548" s="1098"/>
      <c r="IE548" s="1098"/>
      <c r="IF548" s="1098"/>
      <c r="IG548" s="1098"/>
      <c r="IH548" s="1098"/>
      <c r="II548" s="1098"/>
      <c r="IJ548" s="1098"/>
      <c r="IK548" s="1098"/>
      <c r="IL548" s="1098"/>
      <c r="IM548" s="1098"/>
      <c r="IN548" s="1098"/>
      <c r="IO548" s="1098"/>
      <c r="IP548" s="1098"/>
      <c r="IQ548" s="1098"/>
      <c r="IR548" s="1098"/>
      <c r="IS548" s="1098"/>
      <c r="IT548" s="1098"/>
      <c r="IU548" s="1098"/>
      <c r="IV548" s="1098"/>
      <c r="IW548" s="1098"/>
      <c r="IX548" s="1098"/>
      <c r="IY548" s="1098"/>
      <c r="IZ548" s="1098"/>
      <c r="JA548" s="1098"/>
      <c r="JB548" s="1098"/>
      <c r="JC548" s="1098"/>
      <c r="JD548" s="1098"/>
      <c r="JE548" s="1098"/>
      <c r="JF548" s="1098"/>
      <c r="JG548" s="1098"/>
      <c r="JH548" s="1098"/>
      <c r="JI548" s="1098"/>
      <c r="JJ548" s="1098"/>
      <c r="JK548" s="1098"/>
      <c r="JL548" s="1098"/>
      <c r="JM548" s="1098"/>
      <c r="JN548" s="1098"/>
      <c r="JO548" s="1098"/>
      <c r="JP548" s="1098"/>
      <c r="JQ548" s="1098"/>
      <c r="JR548" s="1098"/>
      <c r="JS548" s="1098"/>
      <c r="JT548" s="1098"/>
      <c r="JU548" s="1098"/>
      <c r="JV548" s="1098"/>
      <c r="JW548" s="1098"/>
      <c r="JX548" s="1098"/>
      <c r="JY548" s="1098"/>
      <c r="JZ548" s="1098"/>
      <c r="KA548" s="1098"/>
      <c r="KB548" s="1099"/>
    </row>
    <row r="549" spans="2:288" ht="15" customHeight="1" x14ac:dyDescent="0.35">
      <c r="B549" s="146" t="str">
        <f t="shared" si="45"/>
        <v>Desk 22</v>
      </c>
      <c r="C549" s="148" t="str">
        <v/>
      </c>
      <c r="D549" s="148" t="str">
        <v/>
      </c>
      <c r="E549" s="148" t="str">
        <v/>
      </c>
      <c r="F549" s="148" t="str">
        <v/>
      </c>
      <c r="G549" s="268" t="str">
        <v/>
      </c>
      <c r="H549" s="1098"/>
      <c r="I549" s="1098"/>
      <c r="J549" s="1098"/>
      <c r="K549" s="1098"/>
      <c r="L549" s="1098"/>
      <c r="M549" s="1098"/>
      <c r="N549" s="1098"/>
      <c r="O549" s="1098"/>
      <c r="P549" s="1098"/>
      <c r="Q549" s="1098"/>
      <c r="R549" s="1098"/>
      <c r="S549" s="1098"/>
      <c r="T549" s="1098"/>
      <c r="U549" s="1098"/>
      <c r="V549" s="1098"/>
      <c r="W549" s="1098"/>
      <c r="X549" s="1098"/>
      <c r="Y549" s="1098"/>
      <c r="Z549" s="1098"/>
      <c r="AA549" s="1098"/>
      <c r="AB549" s="1098"/>
      <c r="AC549" s="1098"/>
      <c r="AD549" s="1098"/>
      <c r="AE549" s="1098"/>
      <c r="AF549" s="1098"/>
      <c r="AG549" s="1098"/>
      <c r="AH549" s="1098"/>
      <c r="AI549" s="1098"/>
      <c r="AJ549" s="1098"/>
      <c r="AK549" s="1098"/>
      <c r="AL549" s="1098"/>
      <c r="AM549" s="1098"/>
      <c r="AN549" s="1098"/>
      <c r="AO549" s="1098"/>
      <c r="AP549" s="1098"/>
      <c r="AQ549" s="1098"/>
      <c r="AR549" s="1098"/>
      <c r="AS549" s="1098"/>
      <c r="AT549" s="1098"/>
      <c r="AU549" s="1098"/>
      <c r="AV549" s="1098"/>
      <c r="AW549" s="1098"/>
      <c r="AX549" s="1098"/>
      <c r="AY549" s="1098"/>
      <c r="AZ549" s="1098"/>
      <c r="BA549" s="1098"/>
      <c r="BB549" s="1098"/>
      <c r="BC549" s="1098"/>
      <c r="BD549" s="1098"/>
      <c r="BE549" s="1098"/>
      <c r="BF549" s="1098"/>
      <c r="BG549" s="1098"/>
      <c r="BH549" s="1098"/>
      <c r="BI549" s="1098"/>
      <c r="BJ549" s="1098"/>
      <c r="BK549" s="1098"/>
      <c r="BL549" s="1098"/>
      <c r="BM549" s="1098"/>
      <c r="BN549" s="1098"/>
      <c r="BO549" s="1098"/>
      <c r="BP549" s="1098"/>
      <c r="BQ549" s="1098"/>
      <c r="BR549" s="1098"/>
      <c r="BS549" s="1098"/>
      <c r="BT549" s="1098"/>
      <c r="BU549" s="1098"/>
      <c r="BV549" s="1098"/>
      <c r="BW549" s="1098"/>
      <c r="BX549" s="1098"/>
      <c r="BY549" s="1098"/>
      <c r="BZ549" s="1098"/>
      <c r="CA549" s="1098"/>
      <c r="CB549" s="1098"/>
      <c r="CC549" s="1098"/>
      <c r="CD549" s="1098"/>
      <c r="CE549" s="1098"/>
      <c r="CF549" s="1098"/>
      <c r="CG549" s="1098"/>
      <c r="CH549" s="1098"/>
      <c r="CI549" s="1098"/>
      <c r="CJ549" s="1098"/>
      <c r="CK549" s="1098"/>
      <c r="CL549" s="1098"/>
      <c r="CM549" s="1098"/>
      <c r="CN549" s="1098"/>
      <c r="CO549" s="1098"/>
      <c r="CP549" s="1098"/>
      <c r="CQ549" s="1098"/>
      <c r="CR549" s="1098"/>
      <c r="CS549" s="1098"/>
      <c r="CT549" s="1098"/>
      <c r="CU549" s="1098"/>
      <c r="CV549" s="1098"/>
      <c r="CW549" s="1098"/>
      <c r="CX549" s="1098"/>
      <c r="CY549" s="1098"/>
      <c r="CZ549" s="1098"/>
      <c r="DA549" s="1098"/>
      <c r="DB549" s="1098"/>
      <c r="DC549" s="1098"/>
      <c r="DD549" s="1098"/>
      <c r="DE549" s="1098"/>
      <c r="DF549" s="1098"/>
      <c r="DG549" s="1098"/>
      <c r="DH549" s="1098"/>
      <c r="DI549" s="1098"/>
      <c r="DJ549" s="1098"/>
      <c r="DK549" s="1098"/>
      <c r="DL549" s="1098"/>
      <c r="DM549" s="1098"/>
      <c r="DN549" s="1098"/>
      <c r="DO549" s="1098"/>
      <c r="DP549" s="1098"/>
      <c r="DQ549" s="1098"/>
      <c r="DR549" s="1098"/>
      <c r="DS549" s="1098"/>
      <c r="DT549" s="1098"/>
      <c r="DU549" s="1098"/>
      <c r="DV549" s="1098"/>
      <c r="DW549" s="1098"/>
      <c r="DX549" s="1098"/>
      <c r="DY549" s="1098"/>
      <c r="DZ549" s="1098"/>
      <c r="EA549" s="1098"/>
      <c r="EB549" s="1098"/>
      <c r="EC549" s="1098"/>
      <c r="ED549" s="1098"/>
      <c r="EE549" s="1098"/>
      <c r="EF549" s="1098"/>
      <c r="EG549" s="1098"/>
      <c r="EH549" s="1098"/>
      <c r="EI549" s="1098"/>
      <c r="EJ549" s="1098"/>
      <c r="EK549" s="1098"/>
      <c r="EL549" s="1098"/>
      <c r="EM549" s="1098"/>
      <c r="EN549" s="1098"/>
      <c r="EO549" s="1098"/>
      <c r="EP549" s="1098"/>
      <c r="EQ549" s="1098"/>
      <c r="ER549" s="1098"/>
      <c r="ES549" s="1098"/>
      <c r="ET549" s="1098"/>
      <c r="EU549" s="1098"/>
      <c r="EV549" s="1098"/>
      <c r="EW549" s="1098"/>
      <c r="EX549" s="1098"/>
      <c r="EY549" s="1098"/>
      <c r="EZ549" s="1098"/>
      <c r="FA549" s="1098"/>
      <c r="FB549" s="1098"/>
      <c r="FC549" s="1098"/>
      <c r="FD549" s="1098"/>
      <c r="FE549" s="1098"/>
      <c r="FF549" s="1098"/>
      <c r="FG549" s="1098"/>
      <c r="FH549" s="1098"/>
      <c r="FI549" s="1098"/>
      <c r="FJ549" s="1098"/>
      <c r="FK549" s="1098"/>
      <c r="FL549" s="1098"/>
      <c r="FM549" s="1098"/>
      <c r="FN549" s="1098"/>
      <c r="FO549" s="1098"/>
      <c r="FP549" s="1098"/>
      <c r="FQ549" s="1098"/>
      <c r="FR549" s="1098"/>
      <c r="FS549" s="1098"/>
      <c r="FT549" s="1098"/>
      <c r="FU549" s="1098"/>
      <c r="FV549" s="1098"/>
      <c r="FW549" s="1098"/>
      <c r="FX549" s="1098"/>
      <c r="FY549" s="1098"/>
      <c r="FZ549" s="1098"/>
      <c r="GA549" s="1098"/>
      <c r="GB549" s="1098"/>
      <c r="GC549" s="1098"/>
      <c r="GD549" s="1098"/>
      <c r="GE549" s="1098"/>
      <c r="GF549" s="1098"/>
      <c r="GG549" s="1098"/>
      <c r="GH549" s="1098"/>
      <c r="GI549" s="1098"/>
      <c r="GJ549" s="1098"/>
      <c r="GK549" s="1098"/>
      <c r="GL549" s="1098"/>
      <c r="GM549" s="1098"/>
      <c r="GN549" s="1098"/>
      <c r="GO549" s="1098"/>
      <c r="GP549" s="1098"/>
      <c r="GQ549" s="1098"/>
      <c r="GR549" s="1098"/>
      <c r="GS549" s="1098"/>
      <c r="GT549" s="1098"/>
      <c r="GU549" s="1098"/>
      <c r="GV549" s="1098"/>
      <c r="GW549" s="1098"/>
      <c r="GX549" s="1098"/>
      <c r="GY549" s="1098"/>
      <c r="GZ549" s="1098"/>
      <c r="HA549" s="1098"/>
      <c r="HB549" s="1098"/>
      <c r="HC549" s="1098"/>
      <c r="HD549" s="1098"/>
      <c r="HE549" s="1098"/>
      <c r="HF549" s="1098"/>
      <c r="HG549" s="1098"/>
      <c r="HH549" s="1098"/>
      <c r="HI549" s="1098"/>
      <c r="HJ549" s="1098"/>
      <c r="HK549" s="1098"/>
      <c r="HL549" s="1098"/>
      <c r="HM549" s="1098"/>
      <c r="HN549" s="1098"/>
      <c r="HO549" s="1098"/>
      <c r="HP549" s="1098"/>
      <c r="HQ549" s="1098"/>
      <c r="HR549" s="1098"/>
      <c r="HS549" s="1098"/>
      <c r="HT549" s="1098"/>
      <c r="HU549" s="1098"/>
      <c r="HV549" s="1098"/>
      <c r="HW549" s="1098"/>
      <c r="HX549" s="1098"/>
      <c r="HY549" s="1098"/>
      <c r="HZ549" s="1098"/>
      <c r="IA549" s="1098"/>
      <c r="IB549" s="1098"/>
      <c r="IC549" s="1098"/>
      <c r="ID549" s="1098"/>
      <c r="IE549" s="1098"/>
      <c r="IF549" s="1098"/>
      <c r="IG549" s="1098"/>
      <c r="IH549" s="1098"/>
      <c r="II549" s="1098"/>
      <c r="IJ549" s="1098"/>
      <c r="IK549" s="1098"/>
      <c r="IL549" s="1098"/>
      <c r="IM549" s="1098"/>
      <c r="IN549" s="1098"/>
      <c r="IO549" s="1098"/>
      <c r="IP549" s="1098"/>
      <c r="IQ549" s="1098"/>
      <c r="IR549" s="1098"/>
      <c r="IS549" s="1098"/>
      <c r="IT549" s="1098"/>
      <c r="IU549" s="1098"/>
      <c r="IV549" s="1098"/>
      <c r="IW549" s="1098"/>
      <c r="IX549" s="1098"/>
      <c r="IY549" s="1098"/>
      <c r="IZ549" s="1098"/>
      <c r="JA549" s="1098"/>
      <c r="JB549" s="1098"/>
      <c r="JC549" s="1098"/>
      <c r="JD549" s="1098"/>
      <c r="JE549" s="1098"/>
      <c r="JF549" s="1098"/>
      <c r="JG549" s="1098"/>
      <c r="JH549" s="1098"/>
      <c r="JI549" s="1098"/>
      <c r="JJ549" s="1098"/>
      <c r="JK549" s="1098"/>
      <c r="JL549" s="1098"/>
      <c r="JM549" s="1098"/>
      <c r="JN549" s="1098"/>
      <c r="JO549" s="1098"/>
      <c r="JP549" s="1098"/>
      <c r="JQ549" s="1098"/>
      <c r="JR549" s="1098"/>
      <c r="JS549" s="1098"/>
      <c r="JT549" s="1098"/>
      <c r="JU549" s="1098"/>
      <c r="JV549" s="1098"/>
      <c r="JW549" s="1098"/>
      <c r="JX549" s="1098"/>
      <c r="JY549" s="1098"/>
      <c r="JZ549" s="1098"/>
      <c r="KA549" s="1098"/>
      <c r="KB549" s="1099"/>
    </row>
    <row r="550" spans="2:288" ht="15" customHeight="1" x14ac:dyDescent="0.35">
      <c r="B550" s="146" t="str">
        <f t="shared" si="45"/>
        <v>Desk 23</v>
      </c>
      <c r="C550" s="148" t="str">
        <v/>
      </c>
      <c r="D550" s="148" t="str">
        <v/>
      </c>
      <c r="E550" s="148" t="str">
        <v/>
      </c>
      <c r="F550" s="148" t="str">
        <v/>
      </c>
      <c r="G550" s="268" t="str">
        <v/>
      </c>
      <c r="H550" s="1098"/>
      <c r="I550" s="1098"/>
      <c r="J550" s="1098"/>
      <c r="K550" s="1098"/>
      <c r="L550" s="1098"/>
      <c r="M550" s="1098"/>
      <c r="N550" s="1098"/>
      <c r="O550" s="1098"/>
      <c r="P550" s="1098"/>
      <c r="Q550" s="1098"/>
      <c r="R550" s="1098"/>
      <c r="S550" s="1098"/>
      <c r="T550" s="1098"/>
      <c r="U550" s="1098"/>
      <c r="V550" s="1098"/>
      <c r="W550" s="1098"/>
      <c r="X550" s="1098"/>
      <c r="Y550" s="1098"/>
      <c r="Z550" s="1098"/>
      <c r="AA550" s="1098"/>
      <c r="AB550" s="1098"/>
      <c r="AC550" s="1098"/>
      <c r="AD550" s="1098"/>
      <c r="AE550" s="1098"/>
      <c r="AF550" s="1098"/>
      <c r="AG550" s="1098"/>
      <c r="AH550" s="1098"/>
      <c r="AI550" s="1098"/>
      <c r="AJ550" s="1098"/>
      <c r="AK550" s="1098"/>
      <c r="AL550" s="1098"/>
      <c r="AM550" s="1098"/>
      <c r="AN550" s="1098"/>
      <c r="AO550" s="1098"/>
      <c r="AP550" s="1098"/>
      <c r="AQ550" s="1098"/>
      <c r="AR550" s="1098"/>
      <c r="AS550" s="1098"/>
      <c r="AT550" s="1098"/>
      <c r="AU550" s="1098"/>
      <c r="AV550" s="1098"/>
      <c r="AW550" s="1098"/>
      <c r="AX550" s="1098"/>
      <c r="AY550" s="1098"/>
      <c r="AZ550" s="1098"/>
      <c r="BA550" s="1098"/>
      <c r="BB550" s="1098"/>
      <c r="BC550" s="1098"/>
      <c r="BD550" s="1098"/>
      <c r="BE550" s="1098"/>
      <c r="BF550" s="1098"/>
      <c r="BG550" s="1098"/>
      <c r="BH550" s="1098"/>
      <c r="BI550" s="1098"/>
      <c r="BJ550" s="1098"/>
      <c r="BK550" s="1098"/>
      <c r="BL550" s="1098"/>
      <c r="BM550" s="1098"/>
      <c r="BN550" s="1098"/>
      <c r="BO550" s="1098"/>
      <c r="BP550" s="1098"/>
      <c r="BQ550" s="1098"/>
      <c r="BR550" s="1098"/>
      <c r="BS550" s="1098"/>
      <c r="BT550" s="1098"/>
      <c r="BU550" s="1098"/>
      <c r="BV550" s="1098"/>
      <c r="BW550" s="1098"/>
      <c r="BX550" s="1098"/>
      <c r="BY550" s="1098"/>
      <c r="BZ550" s="1098"/>
      <c r="CA550" s="1098"/>
      <c r="CB550" s="1098"/>
      <c r="CC550" s="1098"/>
      <c r="CD550" s="1098"/>
      <c r="CE550" s="1098"/>
      <c r="CF550" s="1098"/>
      <c r="CG550" s="1098"/>
      <c r="CH550" s="1098"/>
      <c r="CI550" s="1098"/>
      <c r="CJ550" s="1098"/>
      <c r="CK550" s="1098"/>
      <c r="CL550" s="1098"/>
      <c r="CM550" s="1098"/>
      <c r="CN550" s="1098"/>
      <c r="CO550" s="1098"/>
      <c r="CP550" s="1098"/>
      <c r="CQ550" s="1098"/>
      <c r="CR550" s="1098"/>
      <c r="CS550" s="1098"/>
      <c r="CT550" s="1098"/>
      <c r="CU550" s="1098"/>
      <c r="CV550" s="1098"/>
      <c r="CW550" s="1098"/>
      <c r="CX550" s="1098"/>
      <c r="CY550" s="1098"/>
      <c r="CZ550" s="1098"/>
      <c r="DA550" s="1098"/>
      <c r="DB550" s="1098"/>
      <c r="DC550" s="1098"/>
      <c r="DD550" s="1098"/>
      <c r="DE550" s="1098"/>
      <c r="DF550" s="1098"/>
      <c r="DG550" s="1098"/>
      <c r="DH550" s="1098"/>
      <c r="DI550" s="1098"/>
      <c r="DJ550" s="1098"/>
      <c r="DK550" s="1098"/>
      <c r="DL550" s="1098"/>
      <c r="DM550" s="1098"/>
      <c r="DN550" s="1098"/>
      <c r="DO550" s="1098"/>
      <c r="DP550" s="1098"/>
      <c r="DQ550" s="1098"/>
      <c r="DR550" s="1098"/>
      <c r="DS550" s="1098"/>
      <c r="DT550" s="1098"/>
      <c r="DU550" s="1098"/>
      <c r="DV550" s="1098"/>
      <c r="DW550" s="1098"/>
      <c r="DX550" s="1098"/>
      <c r="DY550" s="1098"/>
      <c r="DZ550" s="1098"/>
      <c r="EA550" s="1098"/>
      <c r="EB550" s="1098"/>
      <c r="EC550" s="1098"/>
      <c r="ED550" s="1098"/>
      <c r="EE550" s="1098"/>
      <c r="EF550" s="1098"/>
      <c r="EG550" s="1098"/>
      <c r="EH550" s="1098"/>
      <c r="EI550" s="1098"/>
      <c r="EJ550" s="1098"/>
      <c r="EK550" s="1098"/>
      <c r="EL550" s="1098"/>
      <c r="EM550" s="1098"/>
      <c r="EN550" s="1098"/>
      <c r="EO550" s="1098"/>
      <c r="EP550" s="1098"/>
      <c r="EQ550" s="1098"/>
      <c r="ER550" s="1098"/>
      <c r="ES550" s="1098"/>
      <c r="ET550" s="1098"/>
      <c r="EU550" s="1098"/>
      <c r="EV550" s="1098"/>
      <c r="EW550" s="1098"/>
      <c r="EX550" s="1098"/>
      <c r="EY550" s="1098"/>
      <c r="EZ550" s="1098"/>
      <c r="FA550" s="1098"/>
      <c r="FB550" s="1098"/>
      <c r="FC550" s="1098"/>
      <c r="FD550" s="1098"/>
      <c r="FE550" s="1098"/>
      <c r="FF550" s="1098"/>
      <c r="FG550" s="1098"/>
      <c r="FH550" s="1098"/>
      <c r="FI550" s="1098"/>
      <c r="FJ550" s="1098"/>
      <c r="FK550" s="1098"/>
      <c r="FL550" s="1098"/>
      <c r="FM550" s="1098"/>
      <c r="FN550" s="1098"/>
      <c r="FO550" s="1098"/>
      <c r="FP550" s="1098"/>
      <c r="FQ550" s="1098"/>
      <c r="FR550" s="1098"/>
      <c r="FS550" s="1098"/>
      <c r="FT550" s="1098"/>
      <c r="FU550" s="1098"/>
      <c r="FV550" s="1098"/>
      <c r="FW550" s="1098"/>
      <c r="FX550" s="1098"/>
      <c r="FY550" s="1098"/>
      <c r="FZ550" s="1098"/>
      <c r="GA550" s="1098"/>
      <c r="GB550" s="1098"/>
      <c r="GC550" s="1098"/>
      <c r="GD550" s="1098"/>
      <c r="GE550" s="1098"/>
      <c r="GF550" s="1098"/>
      <c r="GG550" s="1098"/>
      <c r="GH550" s="1098"/>
      <c r="GI550" s="1098"/>
      <c r="GJ550" s="1098"/>
      <c r="GK550" s="1098"/>
      <c r="GL550" s="1098"/>
      <c r="GM550" s="1098"/>
      <c r="GN550" s="1098"/>
      <c r="GO550" s="1098"/>
      <c r="GP550" s="1098"/>
      <c r="GQ550" s="1098"/>
      <c r="GR550" s="1098"/>
      <c r="GS550" s="1098"/>
      <c r="GT550" s="1098"/>
      <c r="GU550" s="1098"/>
      <c r="GV550" s="1098"/>
      <c r="GW550" s="1098"/>
      <c r="GX550" s="1098"/>
      <c r="GY550" s="1098"/>
      <c r="GZ550" s="1098"/>
      <c r="HA550" s="1098"/>
      <c r="HB550" s="1098"/>
      <c r="HC550" s="1098"/>
      <c r="HD550" s="1098"/>
      <c r="HE550" s="1098"/>
      <c r="HF550" s="1098"/>
      <c r="HG550" s="1098"/>
      <c r="HH550" s="1098"/>
      <c r="HI550" s="1098"/>
      <c r="HJ550" s="1098"/>
      <c r="HK550" s="1098"/>
      <c r="HL550" s="1098"/>
      <c r="HM550" s="1098"/>
      <c r="HN550" s="1098"/>
      <c r="HO550" s="1098"/>
      <c r="HP550" s="1098"/>
      <c r="HQ550" s="1098"/>
      <c r="HR550" s="1098"/>
      <c r="HS550" s="1098"/>
      <c r="HT550" s="1098"/>
      <c r="HU550" s="1098"/>
      <c r="HV550" s="1098"/>
      <c r="HW550" s="1098"/>
      <c r="HX550" s="1098"/>
      <c r="HY550" s="1098"/>
      <c r="HZ550" s="1098"/>
      <c r="IA550" s="1098"/>
      <c r="IB550" s="1098"/>
      <c r="IC550" s="1098"/>
      <c r="ID550" s="1098"/>
      <c r="IE550" s="1098"/>
      <c r="IF550" s="1098"/>
      <c r="IG550" s="1098"/>
      <c r="IH550" s="1098"/>
      <c r="II550" s="1098"/>
      <c r="IJ550" s="1098"/>
      <c r="IK550" s="1098"/>
      <c r="IL550" s="1098"/>
      <c r="IM550" s="1098"/>
      <c r="IN550" s="1098"/>
      <c r="IO550" s="1098"/>
      <c r="IP550" s="1098"/>
      <c r="IQ550" s="1098"/>
      <c r="IR550" s="1098"/>
      <c r="IS550" s="1098"/>
      <c r="IT550" s="1098"/>
      <c r="IU550" s="1098"/>
      <c r="IV550" s="1098"/>
      <c r="IW550" s="1098"/>
      <c r="IX550" s="1098"/>
      <c r="IY550" s="1098"/>
      <c r="IZ550" s="1098"/>
      <c r="JA550" s="1098"/>
      <c r="JB550" s="1098"/>
      <c r="JC550" s="1098"/>
      <c r="JD550" s="1098"/>
      <c r="JE550" s="1098"/>
      <c r="JF550" s="1098"/>
      <c r="JG550" s="1098"/>
      <c r="JH550" s="1098"/>
      <c r="JI550" s="1098"/>
      <c r="JJ550" s="1098"/>
      <c r="JK550" s="1098"/>
      <c r="JL550" s="1098"/>
      <c r="JM550" s="1098"/>
      <c r="JN550" s="1098"/>
      <c r="JO550" s="1098"/>
      <c r="JP550" s="1098"/>
      <c r="JQ550" s="1098"/>
      <c r="JR550" s="1098"/>
      <c r="JS550" s="1098"/>
      <c r="JT550" s="1098"/>
      <c r="JU550" s="1098"/>
      <c r="JV550" s="1098"/>
      <c r="JW550" s="1098"/>
      <c r="JX550" s="1098"/>
      <c r="JY550" s="1098"/>
      <c r="JZ550" s="1098"/>
      <c r="KA550" s="1098"/>
      <c r="KB550" s="1099"/>
    </row>
    <row r="551" spans="2:288" ht="15" customHeight="1" x14ac:dyDescent="0.35">
      <c r="B551" s="146" t="str">
        <f t="shared" si="45"/>
        <v>Desk 24</v>
      </c>
      <c r="C551" s="148" t="str">
        <v/>
      </c>
      <c r="D551" s="148" t="str">
        <v/>
      </c>
      <c r="E551" s="148" t="str">
        <v/>
      </c>
      <c r="F551" s="148" t="str">
        <v/>
      </c>
      <c r="G551" s="268" t="str">
        <v/>
      </c>
      <c r="H551" s="1098"/>
      <c r="I551" s="1098"/>
      <c r="J551" s="1098"/>
      <c r="K551" s="1098"/>
      <c r="L551" s="1098"/>
      <c r="M551" s="1098"/>
      <c r="N551" s="1098"/>
      <c r="O551" s="1098"/>
      <c r="P551" s="1098"/>
      <c r="Q551" s="1098"/>
      <c r="R551" s="1098"/>
      <c r="S551" s="1098"/>
      <c r="T551" s="1098"/>
      <c r="U551" s="1098"/>
      <c r="V551" s="1098"/>
      <c r="W551" s="1098"/>
      <c r="X551" s="1098"/>
      <c r="Y551" s="1098"/>
      <c r="Z551" s="1098"/>
      <c r="AA551" s="1098"/>
      <c r="AB551" s="1098"/>
      <c r="AC551" s="1098"/>
      <c r="AD551" s="1098"/>
      <c r="AE551" s="1098"/>
      <c r="AF551" s="1098"/>
      <c r="AG551" s="1098"/>
      <c r="AH551" s="1098"/>
      <c r="AI551" s="1098"/>
      <c r="AJ551" s="1098"/>
      <c r="AK551" s="1098"/>
      <c r="AL551" s="1098"/>
      <c r="AM551" s="1098"/>
      <c r="AN551" s="1098"/>
      <c r="AO551" s="1098"/>
      <c r="AP551" s="1098"/>
      <c r="AQ551" s="1098"/>
      <c r="AR551" s="1098"/>
      <c r="AS551" s="1098"/>
      <c r="AT551" s="1098"/>
      <c r="AU551" s="1098"/>
      <c r="AV551" s="1098"/>
      <c r="AW551" s="1098"/>
      <c r="AX551" s="1098"/>
      <c r="AY551" s="1098"/>
      <c r="AZ551" s="1098"/>
      <c r="BA551" s="1098"/>
      <c r="BB551" s="1098"/>
      <c r="BC551" s="1098"/>
      <c r="BD551" s="1098"/>
      <c r="BE551" s="1098"/>
      <c r="BF551" s="1098"/>
      <c r="BG551" s="1098"/>
      <c r="BH551" s="1098"/>
      <c r="BI551" s="1098"/>
      <c r="BJ551" s="1098"/>
      <c r="BK551" s="1098"/>
      <c r="BL551" s="1098"/>
      <c r="BM551" s="1098"/>
      <c r="BN551" s="1098"/>
      <c r="BO551" s="1098"/>
      <c r="BP551" s="1098"/>
      <c r="BQ551" s="1098"/>
      <c r="BR551" s="1098"/>
      <c r="BS551" s="1098"/>
      <c r="BT551" s="1098"/>
      <c r="BU551" s="1098"/>
      <c r="BV551" s="1098"/>
      <c r="BW551" s="1098"/>
      <c r="BX551" s="1098"/>
      <c r="BY551" s="1098"/>
      <c r="BZ551" s="1098"/>
      <c r="CA551" s="1098"/>
      <c r="CB551" s="1098"/>
      <c r="CC551" s="1098"/>
      <c r="CD551" s="1098"/>
      <c r="CE551" s="1098"/>
      <c r="CF551" s="1098"/>
      <c r="CG551" s="1098"/>
      <c r="CH551" s="1098"/>
      <c r="CI551" s="1098"/>
      <c r="CJ551" s="1098"/>
      <c r="CK551" s="1098"/>
      <c r="CL551" s="1098"/>
      <c r="CM551" s="1098"/>
      <c r="CN551" s="1098"/>
      <c r="CO551" s="1098"/>
      <c r="CP551" s="1098"/>
      <c r="CQ551" s="1098"/>
      <c r="CR551" s="1098"/>
      <c r="CS551" s="1098"/>
      <c r="CT551" s="1098"/>
      <c r="CU551" s="1098"/>
      <c r="CV551" s="1098"/>
      <c r="CW551" s="1098"/>
      <c r="CX551" s="1098"/>
      <c r="CY551" s="1098"/>
      <c r="CZ551" s="1098"/>
      <c r="DA551" s="1098"/>
      <c r="DB551" s="1098"/>
      <c r="DC551" s="1098"/>
      <c r="DD551" s="1098"/>
      <c r="DE551" s="1098"/>
      <c r="DF551" s="1098"/>
      <c r="DG551" s="1098"/>
      <c r="DH551" s="1098"/>
      <c r="DI551" s="1098"/>
      <c r="DJ551" s="1098"/>
      <c r="DK551" s="1098"/>
      <c r="DL551" s="1098"/>
      <c r="DM551" s="1098"/>
      <c r="DN551" s="1098"/>
      <c r="DO551" s="1098"/>
      <c r="DP551" s="1098"/>
      <c r="DQ551" s="1098"/>
      <c r="DR551" s="1098"/>
      <c r="DS551" s="1098"/>
      <c r="DT551" s="1098"/>
      <c r="DU551" s="1098"/>
      <c r="DV551" s="1098"/>
      <c r="DW551" s="1098"/>
      <c r="DX551" s="1098"/>
      <c r="DY551" s="1098"/>
      <c r="DZ551" s="1098"/>
      <c r="EA551" s="1098"/>
      <c r="EB551" s="1098"/>
      <c r="EC551" s="1098"/>
      <c r="ED551" s="1098"/>
      <c r="EE551" s="1098"/>
      <c r="EF551" s="1098"/>
      <c r="EG551" s="1098"/>
      <c r="EH551" s="1098"/>
      <c r="EI551" s="1098"/>
      <c r="EJ551" s="1098"/>
      <c r="EK551" s="1098"/>
      <c r="EL551" s="1098"/>
      <c r="EM551" s="1098"/>
      <c r="EN551" s="1098"/>
      <c r="EO551" s="1098"/>
      <c r="EP551" s="1098"/>
      <c r="EQ551" s="1098"/>
      <c r="ER551" s="1098"/>
      <c r="ES551" s="1098"/>
      <c r="ET551" s="1098"/>
      <c r="EU551" s="1098"/>
      <c r="EV551" s="1098"/>
      <c r="EW551" s="1098"/>
      <c r="EX551" s="1098"/>
      <c r="EY551" s="1098"/>
      <c r="EZ551" s="1098"/>
      <c r="FA551" s="1098"/>
      <c r="FB551" s="1098"/>
      <c r="FC551" s="1098"/>
      <c r="FD551" s="1098"/>
      <c r="FE551" s="1098"/>
      <c r="FF551" s="1098"/>
      <c r="FG551" s="1098"/>
      <c r="FH551" s="1098"/>
      <c r="FI551" s="1098"/>
      <c r="FJ551" s="1098"/>
      <c r="FK551" s="1098"/>
      <c r="FL551" s="1098"/>
      <c r="FM551" s="1098"/>
      <c r="FN551" s="1098"/>
      <c r="FO551" s="1098"/>
      <c r="FP551" s="1098"/>
      <c r="FQ551" s="1098"/>
      <c r="FR551" s="1098"/>
      <c r="FS551" s="1098"/>
      <c r="FT551" s="1098"/>
      <c r="FU551" s="1098"/>
      <c r="FV551" s="1098"/>
      <c r="FW551" s="1098"/>
      <c r="FX551" s="1098"/>
      <c r="FY551" s="1098"/>
      <c r="FZ551" s="1098"/>
      <c r="GA551" s="1098"/>
      <c r="GB551" s="1098"/>
      <c r="GC551" s="1098"/>
      <c r="GD551" s="1098"/>
      <c r="GE551" s="1098"/>
      <c r="GF551" s="1098"/>
      <c r="GG551" s="1098"/>
      <c r="GH551" s="1098"/>
      <c r="GI551" s="1098"/>
      <c r="GJ551" s="1098"/>
      <c r="GK551" s="1098"/>
      <c r="GL551" s="1098"/>
      <c r="GM551" s="1098"/>
      <c r="GN551" s="1098"/>
      <c r="GO551" s="1098"/>
      <c r="GP551" s="1098"/>
      <c r="GQ551" s="1098"/>
      <c r="GR551" s="1098"/>
      <c r="GS551" s="1098"/>
      <c r="GT551" s="1098"/>
      <c r="GU551" s="1098"/>
      <c r="GV551" s="1098"/>
      <c r="GW551" s="1098"/>
      <c r="GX551" s="1098"/>
      <c r="GY551" s="1098"/>
      <c r="GZ551" s="1098"/>
      <c r="HA551" s="1098"/>
      <c r="HB551" s="1098"/>
      <c r="HC551" s="1098"/>
      <c r="HD551" s="1098"/>
      <c r="HE551" s="1098"/>
      <c r="HF551" s="1098"/>
      <c r="HG551" s="1098"/>
      <c r="HH551" s="1098"/>
      <c r="HI551" s="1098"/>
      <c r="HJ551" s="1098"/>
      <c r="HK551" s="1098"/>
      <c r="HL551" s="1098"/>
      <c r="HM551" s="1098"/>
      <c r="HN551" s="1098"/>
      <c r="HO551" s="1098"/>
      <c r="HP551" s="1098"/>
      <c r="HQ551" s="1098"/>
      <c r="HR551" s="1098"/>
      <c r="HS551" s="1098"/>
      <c r="HT551" s="1098"/>
      <c r="HU551" s="1098"/>
      <c r="HV551" s="1098"/>
      <c r="HW551" s="1098"/>
      <c r="HX551" s="1098"/>
      <c r="HY551" s="1098"/>
      <c r="HZ551" s="1098"/>
      <c r="IA551" s="1098"/>
      <c r="IB551" s="1098"/>
      <c r="IC551" s="1098"/>
      <c r="ID551" s="1098"/>
      <c r="IE551" s="1098"/>
      <c r="IF551" s="1098"/>
      <c r="IG551" s="1098"/>
      <c r="IH551" s="1098"/>
      <c r="II551" s="1098"/>
      <c r="IJ551" s="1098"/>
      <c r="IK551" s="1098"/>
      <c r="IL551" s="1098"/>
      <c r="IM551" s="1098"/>
      <c r="IN551" s="1098"/>
      <c r="IO551" s="1098"/>
      <c r="IP551" s="1098"/>
      <c r="IQ551" s="1098"/>
      <c r="IR551" s="1098"/>
      <c r="IS551" s="1098"/>
      <c r="IT551" s="1098"/>
      <c r="IU551" s="1098"/>
      <c r="IV551" s="1098"/>
      <c r="IW551" s="1098"/>
      <c r="IX551" s="1098"/>
      <c r="IY551" s="1098"/>
      <c r="IZ551" s="1098"/>
      <c r="JA551" s="1098"/>
      <c r="JB551" s="1098"/>
      <c r="JC551" s="1098"/>
      <c r="JD551" s="1098"/>
      <c r="JE551" s="1098"/>
      <c r="JF551" s="1098"/>
      <c r="JG551" s="1098"/>
      <c r="JH551" s="1098"/>
      <c r="JI551" s="1098"/>
      <c r="JJ551" s="1098"/>
      <c r="JK551" s="1098"/>
      <c r="JL551" s="1098"/>
      <c r="JM551" s="1098"/>
      <c r="JN551" s="1098"/>
      <c r="JO551" s="1098"/>
      <c r="JP551" s="1098"/>
      <c r="JQ551" s="1098"/>
      <c r="JR551" s="1098"/>
      <c r="JS551" s="1098"/>
      <c r="JT551" s="1098"/>
      <c r="JU551" s="1098"/>
      <c r="JV551" s="1098"/>
      <c r="JW551" s="1098"/>
      <c r="JX551" s="1098"/>
      <c r="JY551" s="1098"/>
      <c r="JZ551" s="1098"/>
      <c r="KA551" s="1098"/>
      <c r="KB551" s="1099"/>
    </row>
    <row r="552" spans="2:288" ht="15" customHeight="1" x14ac:dyDescent="0.35">
      <c r="B552" s="146" t="str">
        <f t="shared" si="45"/>
        <v>Desk 25</v>
      </c>
      <c r="C552" s="148" t="str">
        <v/>
      </c>
      <c r="D552" s="148" t="str">
        <v/>
      </c>
      <c r="E552" s="148" t="str">
        <v/>
      </c>
      <c r="F552" s="148" t="str">
        <v/>
      </c>
      <c r="G552" s="268" t="str">
        <v/>
      </c>
      <c r="H552" s="1098"/>
      <c r="I552" s="1098"/>
      <c r="J552" s="1098"/>
      <c r="K552" s="1098"/>
      <c r="L552" s="1098"/>
      <c r="M552" s="1098"/>
      <c r="N552" s="1098"/>
      <c r="O552" s="1098"/>
      <c r="P552" s="1098"/>
      <c r="Q552" s="1098"/>
      <c r="R552" s="1098"/>
      <c r="S552" s="1098"/>
      <c r="T552" s="1098"/>
      <c r="U552" s="1098"/>
      <c r="V552" s="1098"/>
      <c r="W552" s="1098"/>
      <c r="X552" s="1098"/>
      <c r="Y552" s="1098"/>
      <c r="Z552" s="1098"/>
      <c r="AA552" s="1098"/>
      <c r="AB552" s="1098"/>
      <c r="AC552" s="1098"/>
      <c r="AD552" s="1098"/>
      <c r="AE552" s="1098"/>
      <c r="AF552" s="1098"/>
      <c r="AG552" s="1098"/>
      <c r="AH552" s="1098"/>
      <c r="AI552" s="1098"/>
      <c r="AJ552" s="1098"/>
      <c r="AK552" s="1098"/>
      <c r="AL552" s="1098"/>
      <c r="AM552" s="1098"/>
      <c r="AN552" s="1098"/>
      <c r="AO552" s="1098"/>
      <c r="AP552" s="1098"/>
      <c r="AQ552" s="1098"/>
      <c r="AR552" s="1098"/>
      <c r="AS552" s="1098"/>
      <c r="AT552" s="1098"/>
      <c r="AU552" s="1098"/>
      <c r="AV552" s="1098"/>
      <c r="AW552" s="1098"/>
      <c r="AX552" s="1098"/>
      <c r="AY552" s="1098"/>
      <c r="AZ552" s="1098"/>
      <c r="BA552" s="1098"/>
      <c r="BB552" s="1098"/>
      <c r="BC552" s="1098"/>
      <c r="BD552" s="1098"/>
      <c r="BE552" s="1098"/>
      <c r="BF552" s="1098"/>
      <c r="BG552" s="1098"/>
      <c r="BH552" s="1098"/>
      <c r="BI552" s="1098"/>
      <c r="BJ552" s="1098"/>
      <c r="BK552" s="1098"/>
      <c r="BL552" s="1098"/>
      <c r="BM552" s="1098"/>
      <c r="BN552" s="1098"/>
      <c r="BO552" s="1098"/>
      <c r="BP552" s="1098"/>
      <c r="BQ552" s="1098"/>
      <c r="BR552" s="1098"/>
      <c r="BS552" s="1098"/>
      <c r="BT552" s="1098"/>
      <c r="BU552" s="1098"/>
      <c r="BV552" s="1098"/>
      <c r="BW552" s="1098"/>
      <c r="BX552" s="1098"/>
      <c r="BY552" s="1098"/>
      <c r="BZ552" s="1098"/>
      <c r="CA552" s="1098"/>
      <c r="CB552" s="1098"/>
      <c r="CC552" s="1098"/>
      <c r="CD552" s="1098"/>
      <c r="CE552" s="1098"/>
      <c r="CF552" s="1098"/>
      <c r="CG552" s="1098"/>
      <c r="CH552" s="1098"/>
      <c r="CI552" s="1098"/>
      <c r="CJ552" s="1098"/>
      <c r="CK552" s="1098"/>
      <c r="CL552" s="1098"/>
      <c r="CM552" s="1098"/>
      <c r="CN552" s="1098"/>
      <c r="CO552" s="1098"/>
      <c r="CP552" s="1098"/>
      <c r="CQ552" s="1098"/>
      <c r="CR552" s="1098"/>
      <c r="CS552" s="1098"/>
      <c r="CT552" s="1098"/>
      <c r="CU552" s="1098"/>
      <c r="CV552" s="1098"/>
      <c r="CW552" s="1098"/>
      <c r="CX552" s="1098"/>
      <c r="CY552" s="1098"/>
      <c r="CZ552" s="1098"/>
      <c r="DA552" s="1098"/>
      <c r="DB552" s="1098"/>
      <c r="DC552" s="1098"/>
      <c r="DD552" s="1098"/>
      <c r="DE552" s="1098"/>
      <c r="DF552" s="1098"/>
      <c r="DG552" s="1098"/>
      <c r="DH552" s="1098"/>
      <c r="DI552" s="1098"/>
      <c r="DJ552" s="1098"/>
      <c r="DK552" s="1098"/>
      <c r="DL552" s="1098"/>
      <c r="DM552" s="1098"/>
      <c r="DN552" s="1098"/>
      <c r="DO552" s="1098"/>
      <c r="DP552" s="1098"/>
      <c r="DQ552" s="1098"/>
      <c r="DR552" s="1098"/>
      <c r="DS552" s="1098"/>
      <c r="DT552" s="1098"/>
      <c r="DU552" s="1098"/>
      <c r="DV552" s="1098"/>
      <c r="DW552" s="1098"/>
      <c r="DX552" s="1098"/>
      <c r="DY552" s="1098"/>
      <c r="DZ552" s="1098"/>
      <c r="EA552" s="1098"/>
      <c r="EB552" s="1098"/>
      <c r="EC552" s="1098"/>
      <c r="ED552" s="1098"/>
      <c r="EE552" s="1098"/>
      <c r="EF552" s="1098"/>
      <c r="EG552" s="1098"/>
      <c r="EH552" s="1098"/>
      <c r="EI552" s="1098"/>
      <c r="EJ552" s="1098"/>
      <c r="EK552" s="1098"/>
      <c r="EL552" s="1098"/>
      <c r="EM552" s="1098"/>
      <c r="EN552" s="1098"/>
      <c r="EO552" s="1098"/>
      <c r="EP552" s="1098"/>
      <c r="EQ552" s="1098"/>
      <c r="ER552" s="1098"/>
      <c r="ES552" s="1098"/>
      <c r="ET552" s="1098"/>
      <c r="EU552" s="1098"/>
      <c r="EV552" s="1098"/>
      <c r="EW552" s="1098"/>
      <c r="EX552" s="1098"/>
      <c r="EY552" s="1098"/>
      <c r="EZ552" s="1098"/>
      <c r="FA552" s="1098"/>
      <c r="FB552" s="1098"/>
      <c r="FC552" s="1098"/>
      <c r="FD552" s="1098"/>
      <c r="FE552" s="1098"/>
      <c r="FF552" s="1098"/>
      <c r="FG552" s="1098"/>
      <c r="FH552" s="1098"/>
      <c r="FI552" s="1098"/>
      <c r="FJ552" s="1098"/>
      <c r="FK552" s="1098"/>
      <c r="FL552" s="1098"/>
      <c r="FM552" s="1098"/>
      <c r="FN552" s="1098"/>
      <c r="FO552" s="1098"/>
      <c r="FP552" s="1098"/>
      <c r="FQ552" s="1098"/>
      <c r="FR552" s="1098"/>
      <c r="FS552" s="1098"/>
      <c r="FT552" s="1098"/>
      <c r="FU552" s="1098"/>
      <c r="FV552" s="1098"/>
      <c r="FW552" s="1098"/>
      <c r="FX552" s="1098"/>
      <c r="FY552" s="1098"/>
      <c r="FZ552" s="1098"/>
      <c r="GA552" s="1098"/>
      <c r="GB552" s="1098"/>
      <c r="GC552" s="1098"/>
      <c r="GD552" s="1098"/>
      <c r="GE552" s="1098"/>
      <c r="GF552" s="1098"/>
      <c r="GG552" s="1098"/>
      <c r="GH552" s="1098"/>
      <c r="GI552" s="1098"/>
      <c r="GJ552" s="1098"/>
      <c r="GK552" s="1098"/>
      <c r="GL552" s="1098"/>
      <c r="GM552" s="1098"/>
      <c r="GN552" s="1098"/>
      <c r="GO552" s="1098"/>
      <c r="GP552" s="1098"/>
      <c r="GQ552" s="1098"/>
      <c r="GR552" s="1098"/>
      <c r="GS552" s="1098"/>
      <c r="GT552" s="1098"/>
      <c r="GU552" s="1098"/>
      <c r="GV552" s="1098"/>
      <c r="GW552" s="1098"/>
      <c r="GX552" s="1098"/>
      <c r="GY552" s="1098"/>
      <c r="GZ552" s="1098"/>
      <c r="HA552" s="1098"/>
      <c r="HB552" s="1098"/>
      <c r="HC552" s="1098"/>
      <c r="HD552" s="1098"/>
      <c r="HE552" s="1098"/>
      <c r="HF552" s="1098"/>
      <c r="HG552" s="1098"/>
      <c r="HH552" s="1098"/>
      <c r="HI552" s="1098"/>
      <c r="HJ552" s="1098"/>
      <c r="HK552" s="1098"/>
      <c r="HL552" s="1098"/>
      <c r="HM552" s="1098"/>
      <c r="HN552" s="1098"/>
      <c r="HO552" s="1098"/>
      <c r="HP552" s="1098"/>
      <c r="HQ552" s="1098"/>
      <c r="HR552" s="1098"/>
      <c r="HS552" s="1098"/>
      <c r="HT552" s="1098"/>
      <c r="HU552" s="1098"/>
      <c r="HV552" s="1098"/>
      <c r="HW552" s="1098"/>
      <c r="HX552" s="1098"/>
      <c r="HY552" s="1098"/>
      <c r="HZ552" s="1098"/>
      <c r="IA552" s="1098"/>
      <c r="IB552" s="1098"/>
      <c r="IC552" s="1098"/>
      <c r="ID552" s="1098"/>
      <c r="IE552" s="1098"/>
      <c r="IF552" s="1098"/>
      <c r="IG552" s="1098"/>
      <c r="IH552" s="1098"/>
      <c r="II552" s="1098"/>
      <c r="IJ552" s="1098"/>
      <c r="IK552" s="1098"/>
      <c r="IL552" s="1098"/>
      <c r="IM552" s="1098"/>
      <c r="IN552" s="1098"/>
      <c r="IO552" s="1098"/>
      <c r="IP552" s="1098"/>
      <c r="IQ552" s="1098"/>
      <c r="IR552" s="1098"/>
      <c r="IS552" s="1098"/>
      <c r="IT552" s="1098"/>
      <c r="IU552" s="1098"/>
      <c r="IV552" s="1098"/>
      <c r="IW552" s="1098"/>
      <c r="IX552" s="1098"/>
      <c r="IY552" s="1098"/>
      <c r="IZ552" s="1098"/>
      <c r="JA552" s="1098"/>
      <c r="JB552" s="1098"/>
      <c r="JC552" s="1098"/>
      <c r="JD552" s="1098"/>
      <c r="JE552" s="1098"/>
      <c r="JF552" s="1098"/>
      <c r="JG552" s="1098"/>
      <c r="JH552" s="1098"/>
      <c r="JI552" s="1098"/>
      <c r="JJ552" s="1098"/>
      <c r="JK552" s="1098"/>
      <c r="JL552" s="1098"/>
      <c r="JM552" s="1098"/>
      <c r="JN552" s="1098"/>
      <c r="JO552" s="1098"/>
      <c r="JP552" s="1098"/>
      <c r="JQ552" s="1098"/>
      <c r="JR552" s="1098"/>
      <c r="JS552" s="1098"/>
      <c r="JT552" s="1098"/>
      <c r="JU552" s="1098"/>
      <c r="JV552" s="1098"/>
      <c r="JW552" s="1098"/>
      <c r="JX552" s="1098"/>
      <c r="JY552" s="1098"/>
      <c r="JZ552" s="1098"/>
      <c r="KA552" s="1098"/>
      <c r="KB552" s="1099"/>
    </row>
    <row r="553" spans="2:288" ht="15" customHeight="1" x14ac:dyDescent="0.35">
      <c r="B553" s="146" t="str">
        <f t="shared" si="45"/>
        <v>Desk 26</v>
      </c>
      <c r="C553" s="148" t="str">
        <v/>
      </c>
      <c r="D553" s="148" t="str">
        <v/>
      </c>
      <c r="E553" s="148" t="str">
        <v/>
      </c>
      <c r="F553" s="148" t="str">
        <v/>
      </c>
      <c r="G553" s="268" t="str">
        <v/>
      </c>
      <c r="H553" s="1098"/>
      <c r="I553" s="1098"/>
      <c r="J553" s="1098"/>
      <c r="K553" s="1098"/>
      <c r="L553" s="1098"/>
      <c r="M553" s="1098"/>
      <c r="N553" s="1098"/>
      <c r="O553" s="1098"/>
      <c r="P553" s="1098"/>
      <c r="Q553" s="1098"/>
      <c r="R553" s="1098"/>
      <c r="S553" s="1098"/>
      <c r="T553" s="1098"/>
      <c r="U553" s="1098"/>
      <c r="V553" s="1098"/>
      <c r="W553" s="1098"/>
      <c r="X553" s="1098"/>
      <c r="Y553" s="1098"/>
      <c r="Z553" s="1098"/>
      <c r="AA553" s="1098"/>
      <c r="AB553" s="1098"/>
      <c r="AC553" s="1098"/>
      <c r="AD553" s="1098"/>
      <c r="AE553" s="1098"/>
      <c r="AF553" s="1098"/>
      <c r="AG553" s="1098"/>
      <c r="AH553" s="1098"/>
      <c r="AI553" s="1098"/>
      <c r="AJ553" s="1098"/>
      <c r="AK553" s="1098"/>
      <c r="AL553" s="1098"/>
      <c r="AM553" s="1098"/>
      <c r="AN553" s="1098"/>
      <c r="AO553" s="1098"/>
      <c r="AP553" s="1098"/>
      <c r="AQ553" s="1098"/>
      <c r="AR553" s="1098"/>
      <c r="AS553" s="1098"/>
      <c r="AT553" s="1098"/>
      <c r="AU553" s="1098"/>
      <c r="AV553" s="1098"/>
      <c r="AW553" s="1098"/>
      <c r="AX553" s="1098"/>
      <c r="AY553" s="1098"/>
      <c r="AZ553" s="1098"/>
      <c r="BA553" s="1098"/>
      <c r="BB553" s="1098"/>
      <c r="BC553" s="1098"/>
      <c r="BD553" s="1098"/>
      <c r="BE553" s="1098"/>
      <c r="BF553" s="1098"/>
      <c r="BG553" s="1098"/>
      <c r="BH553" s="1098"/>
      <c r="BI553" s="1098"/>
      <c r="BJ553" s="1098"/>
      <c r="BK553" s="1098"/>
      <c r="BL553" s="1098"/>
      <c r="BM553" s="1098"/>
      <c r="BN553" s="1098"/>
      <c r="BO553" s="1098"/>
      <c r="BP553" s="1098"/>
      <c r="BQ553" s="1098"/>
      <c r="BR553" s="1098"/>
      <c r="BS553" s="1098"/>
      <c r="BT553" s="1098"/>
      <c r="BU553" s="1098"/>
      <c r="BV553" s="1098"/>
      <c r="BW553" s="1098"/>
      <c r="BX553" s="1098"/>
      <c r="BY553" s="1098"/>
      <c r="BZ553" s="1098"/>
      <c r="CA553" s="1098"/>
      <c r="CB553" s="1098"/>
      <c r="CC553" s="1098"/>
      <c r="CD553" s="1098"/>
      <c r="CE553" s="1098"/>
      <c r="CF553" s="1098"/>
      <c r="CG553" s="1098"/>
      <c r="CH553" s="1098"/>
      <c r="CI553" s="1098"/>
      <c r="CJ553" s="1098"/>
      <c r="CK553" s="1098"/>
      <c r="CL553" s="1098"/>
      <c r="CM553" s="1098"/>
      <c r="CN553" s="1098"/>
      <c r="CO553" s="1098"/>
      <c r="CP553" s="1098"/>
      <c r="CQ553" s="1098"/>
      <c r="CR553" s="1098"/>
      <c r="CS553" s="1098"/>
      <c r="CT553" s="1098"/>
      <c r="CU553" s="1098"/>
      <c r="CV553" s="1098"/>
      <c r="CW553" s="1098"/>
      <c r="CX553" s="1098"/>
      <c r="CY553" s="1098"/>
      <c r="CZ553" s="1098"/>
      <c r="DA553" s="1098"/>
      <c r="DB553" s="1098"/>
      <c r="DC553" s="1098"/>
      <c r="DD553" s="1098"/>
      <c r="DE553" s="1098"/>
      <c r="DF553" s="1098"/>
      <c r="DG553" s="1098"/>
      <c r="DH553" s="1098"/>
      <c r="DI553" s="1098"/>
      <c r="DJ553" s="1098"/>
      <c r="DK553" s="1098"/>
      <c r="DL553" s="1098"/>
      <c r="DM553" s="1098"/>
      <c r="DN553" s="1098"/>
      <c r="DO553" s="1098"/>
      <c r="DP553" s="1098"/>
      <c r="DQ553" s="1098"/>
      <c r="DR553" s="1098"/>
      <c r="DS553" s="1098"/>
      <c r="DT553" s="1098"/>
      <c r="DU553" s="1098"/>
      <c r="DV553" s="1098"/>
      <c r="DW553" s="1098"/>
      <c r="DX553" s="1098"/>
      <c r="DY553" s="1098"/>
      <c r="DZ553" s="1098"/>
      <c r="EA553" s="1098"/>
      <c r="EB553" s="1098"/>
      <c r="EC553" s="1098"/>
      <c r="ED553" s="1098"/>
      <c r="EE553" s="1098"/>
      <c r="EF553" s="1098"/>
      <c r="EG553" s="1098"/>
      <c r="EH553" s="1098"/>
      <c r="EI553" s="1098"/>
      <c r="EJ553" s="1098"/>
      <c r="EK553" s="1098"/>
      <c r="EL553" s="1098"/>
      <c r="EM553" s="1098"/>
      <c r="EN553" s="1098"/>
      <c r="EO553" s="1098"/>
      <c r="EP553" s="1098"/>
      <c r="EQ553" s="1098"/>
      <c r="ER553" s="1098"/>
      <c r="ES553" s="1098"/>
      <c r="ET553" s="1098"/>
      <c r="EU553" s="1098"/>
      <c r="EV553" s="1098"/>
      <c r="EW553" s="1098"/>
      <c r="EX553" s="1098"/>
      <c r="EY553" s="1098"/>
      <c r="EZ553" s="1098"/>
      <c r="FA553" s="1098"/>
      <c r="FB553" s="1098"/>
      <c r="FC553" s="1098"/>
      <c r="FD553" s="1098"/>
      <c r="FE553" s="1098"/>
      <c r="FF553" s="1098"/>
      <c r="FG553" s="1098"/>
      <c r="FH553" s="1098"/>
      <c r="FI553" s="1098"/>
      <c r="FJ553" s="1098"/>
      <c r="FK553" s="1098"/>
      <c r="FL553" s="1098"/>
      <c r="FM553" s="1098"/>
      <c r="FN553" s="1098"/>
      <c r="FO553" s="1098"/>
      <c r="FP553" s="1098"/>
      <c r="FQ553" s="1098"/>
      <c r="FR553" s="1098"/>
      <c r="FS553" s="1098"/>
      <c r="FT553" s="1098"/>
      <c r="FU553" s="1098"/>
      <c r="FV553" s="1098"/>
      <c r="FW553" s="1098"/>
      <c r="FX553" s="1098"/>
      <c r="FY553" s="1098"/>
      <c r="FZ553" s="1098"/>
      <c r="GA553" s="1098"/>
      <c r="GB553" s="1098"/>
      <c r="GC553" s="1098"/>
      <c r="GD553" s="1098"/>
      <c r="GE553" s="1098"/>
      <c r="GF553" s="1098"/>
      <c r="GG553" s="1098"/>
      <c r="GH553" s="1098"/>
      <c r="GI553" s="1098"/>
      <c r="GJ553" s="1098"/>
      <c r="GK553" s="1098"/>
      <c r="GL553" s="1098"/>
      <c r="GM553" s="1098"/>
      <c r="GN553" s="1098"/>
      <c r="GO553" s="1098"/>
      <c r="GP553" s="1098"/>
      <c r="GQ553" s="1098"/>
      <c r="GR553" s="1098"/>
      <c r="GS553" s="1098"/>
      <c r="GT553" s="1098"/>
      <c r="GU553" s="1098"/>
      <c r="GV553" s="1098"/>
      <c r="GW553" s="1098"/>
      <c r="GX553" s="1098"/>
      <c r="GY553" s="1098"/>
      <c r="GZ553" s="1098"/>
      <c r="HA553" s="1098"/>
      <c r="HB553" s="1098"/>
      <c r="HC553" s="1098"/>
      <c r="HD553" s="1098"/>
      <c r="HE553" s="1098"/>
      <c r="HF553" s="1098"/>
      <c r="HG553" s="1098"/>
      <c r="HH553" s="1098"/>
      <c r="HI553" s="1098"/>
      <c r="HJ553" s="1098"/>
      <c r="HK553" s="1098"/>
      <c r="HL553" s="1098"/>
      <c r="HM553" s="1098"/>
      <c r="HN553" s="1098"/>
      <c r="HO553" s="1098"/>
      <c r="HP553" s="1098"/>
      <c r="HQ553" s="1098"/>
      <c r="HR553" s="1098"/>
      <c r="HS553" s="1098"/>
      <c r="HT553" s="1098"/>
      <c r="HU553" s="1098"/>
      <c r="HV553" s="1098"/>
      <c r="HW553" s="1098"/>
      <c r="HX553" s="1098"/>
      <c r="HY553" s="1098"/>
      <c r="HZ553" s="1098"/>
      <c r="IA553" s="1098"/>
      <c r="IB553" s="1098"/>
      <c r="IC553" s="1098"/>
      <c r="ID553" s="1098"/>
      <c r="IE553" s="1098"/>
      <c r="IF553" s="1098"/>
      <c r="IG553" s="1098"/>
      <c r="IH553" s="1098"/>
      <c r="II553" s="1098"/>
      <c r="IJ553" s="1098"/>
      <c r="IK553" s="1098"/>
      <c r="IL553" s="1098"/>
      <c r="IM553" s="1098"/>
      <c r="IN553" s="1098"/>
      <c r="IO553" s="1098"/>
      <c r="IP553" s="1098"/>
      <c r="IQ553" s="1098"/>
      <c r="IR553" s="1098"/>
      <c r="IS553" s="1098"/>
      <c r="IT553" s="1098"/>
      <c r="IU553" s="1098"/>
      <c r="IV553" s="1098"/>
      <c r="IW553" s="1098"/>
      <c r="IX553" s="1098"/>
      <c r="IY553" s="1098"/>
      <c r="IZ553" s="1098"/>
      <c r="JA553" s="1098"/>
      <c r="JB553" s="1098"/>
      <c r="JC553" s="1098"/>
      <c r="JD553" s="1098"/>
      <c r="JE553" s="1098"/>
      <c r="JF553" s="1098"/>
      <c r="JG553" s="1098"/>
      <c r="JH553" s="1098"/>
      <c r="JI553" s="1098"/>
      <c r="JJ553" s="1098"/>
      <c r="JK553" s="1098"/>
      <c r="JL553" s="1098"/>
      <c r="JM553" s="1098"/>
      <c r="JN553" s="1098"/>
      <c r="JO553" s="1098"/>
      <c r="JP553" s="1098"/>
      <c r="JQ553" s="1098"/>
      <c r="JR553" s="1098"/>
      <c r="JS553" s="1098"/>
      <c r="JT553" s="1098"/>
      <c r="JU553" s="1098"/>
      <c r="JV553" s="1098"/>
      <c r="JW553" s="1098"/>
      <c r="JX553" s="1098"/>
      <c r="JY553" s="1098"/>
      <c r="JZ553" s="1098"/>
      <c r="KA553" s="1098"/>
      <c r="KB553" s="1099"/>
    </row>
    <row r="554" spans="2:288" ht="15" customHeight="1" x14ac:dyDescent="0.35">
      <c r="B554" s="146" t="str">
        <f t="shared" si="45"/>
        <v>Desk 27</v>
      </c>
      <c r="C554" s="148" t="str">
        <v/>
      </c>
      <c r="D554" s="148" t="str">
        <v/>
      </c>
      <c r="E554" s="148" t="str">
        <v/>
      </c>
      <c r="F554" s="148" t="str">
        <v/>
      </c>
      <c r="G554" s="268" t="str">
        <v/>
      </c>
      <c r="H554" s="1098"/>
      <c r="I554" s="1098"/>
      <c r="J554" s="1098"/>
      <c r="K554" s="1098"/>
      <c r="L554" s="1098"/>
      <c r="M554" s="1098"/>
      <c r="N554" s="1098"/>
      <c r="O554" s="1098"/>
      <c r="P554" s="1098"/>
      <c r="Q554" s="1098"/>
      <c r="R554" s="1098"/>
      <c r="S554" s="1098"/>
      <c r="T554" s="1098"/>
      <c r="U554" s="1098"/>
      <c r="V554" s="1098"/>
      <c r="W554" s="1098"/>
      <c r="X554" s="1098"/>
      <c r="Y554" s="1098"/>
      <c r="Z554" s="1098"/>
      <c r="AA554" s="1098"/>
      <c r="AB554" s="1098"/>
      <c r="AC554" s="1098"/>
      <c r="AD554" s="1098"/>
      <c r="AE554" s="1098"/>
      <c r="AF554" s="1098"/>
      <c r="AG554" s="1098"/>
      <c r="AH554" s="1098"/>
      <c r="AI554" s="1098"/>
      <c r="AJ554" s="1098"/>
      <c r="AK554" s="1098"/>
      <c r="AL554" s="1098"/>
      <c r="AM554" s="1098"/>
      <c r="AN554" s="1098"/>
      <c r="AO554" s="1098"/>
      <c r="AP554" s="1098"/>
      <c r="AQ554" s="1098"/>
      <c r="AR554" s="1098"/>
      <c r="AS554" s="1098"/>
      <c r="AT554" s="1098"/>
      <c r="AU554" s="1098"/>
      <c r="AV554" s="1098"/>
      <c r="AW554" s="1098"/>
      <c r="AX554" s="1098"/>
      <c r="AY554" s="1098"/>
      <c r="AZ554" s="1098"/>
      <c r="BA554" s="1098"/>
      <c r="BB554" s="1098"/>
      <c r="BC554" s="1098"/>
      <c r="BD554" s="1098"/>
      <c r="BE554" s="1098"/>
      <c r="BF554" s="1098"/>
      <c r="BG554" s="1098"/>
      <c r="BH554" s="1098"/>
      <c r="BI554" s="1098"/>
      <c r="BJ554" s="1098"/>
      <c r="BK554" s="1098"/>
      <c r="BL554" s="1098"/>
      <c r="BM554" s="1098"/>
      <c r="BN554" s="1098"/>
      <c r="BO554" s="1098"/>
      <c r="BP554" s="1098"/>
      <c r="BQ554" s="1098"/>
      <c r="BR554" s="1098"/>
      <c r="BS554" s="1098"/>
      <c r="BT554" s="1098"/>
      <c r="BU554" s="1098"/>
      <c r="BV554" s="1098"/>
      <c r="BW554" s="1098"/>
      <c r="BX554" s="1098"/>
      <c r="BY554" s="1098"/>
      <c r="BZ554" s="1098"/>
      <c r="CA554" s="1098"/>
      <c r="CB554" s="1098"/>
      <c r="CC554" s="1098"/>
      <c r="CD554" s="1098"/>
      <c r="CE554" s="1098"/>
      <c r="CF554" s="1098"/>
      <c r="CG554" s="1098"/>
      <c r="CH554" s="1098"/>
      <c r="CI554" s="1098"/>
      <c r="CJ554" s="1098"/>
      <c r="CK554" s="1098"/>
      <c r="CL554" s="1098"/>
      <c r="CM554" s="1098"/>
      <c r="CN554" s="1098"/>
      <c r="CO554" s="1098"/>
      <c r="CP554" s="1098"/>
      <c r="CQ554" s="1098"/>
      <c r="CR554" s="1098"/>
      <c r="CS554" s="1098"/>
      <c r="CT554" s="1098"/>
      <c r="CU554" s="1098"/>
      <c r="CV554" s="1098"/>
      <c r="CW554" s="1098"/>
      <c r="CX554" s="1098"/>
      <c r="CY554" s="1098"/>
      <c r="CZ554" s="1098"/>
      <c r="DA554" s="1098"/>
      <c r="DB554" s="1098"/>
      <c r="DC554" s="1098"/>
      <c r="DD554" s="1098"/>
      <c r="DE554" s="1098"/>
      <c r="DF554" s="1098"/>
      <c r="DG554" s="1098"/>
      <c r="DH554" s="1098"/>
      <c r="DI554" s="1098"/>
      <c r="DJ554" s="1098"/>
      <c r="DK554" s="1098"/>
      <c r="DL554" s="1098"/>
      <c r="DM554" s="1098"/>
      <c r="DN554" s="1098"/>
      <c r="DO554" s="1098"/>
      <c r="DP554" s="1098"/>
      <c r="DQ554" s="1098"/>
      <c r="DR554" s="1098"/>
      <c r="DS554" s="1098"/>
      <c r="DT554" s="1098"/>
      <c r="DU554" s="1098"/>
      <c r="DV554" s="1098"/>
      <c r="DW554" s="1098"/>
      <c r="DX554" s="1098"/>
      <c r="DY554" s="1098"/>
      <c r="DZ554" s="1098"/>
      <c r="EA554" s="1098"/>
      <c r="EB554" s="1098"/>
      <c r="EC554" s="1098"/>
      <c r="ED554" s="1098"/>
      <c r="EE554" s="1098"/>
      <c r="EF554" s="1098"/>
      <c r="EG554" s="1098"/>
      <c r="EH554" s="1098"/>
      <c r="EI554" s="1098"/>
      <c r="EJ554" s="1098"/>
      <c r="EK554" s="1098"/>
      <c r="EL554" s="1098"/>
      <c r="EM554" s="1098"/>
      <c r="EN554" s="1098"/>
      <c r="EO554" s="1098"/>
      <c r="EP554" s="1098"/>
      <c r="EQ554" s="1098"/>
      <c r="ER554" s="1098"/>
      <c r="ES554" s="1098"/>
      <c r="ET554" s="1098"/>
      <c r="EU554" s="1098"/>
      <c r="EV554" s="1098"/>
      <c r="EW554" s="1098"/>
      <c r="EX554" s="1098"/>
      <c r="EY554" s="1098"/>
      <c r="EZ554" s="1098"/>
      <c r="FA554" s="1098"/>
      <c r="FB554" s="1098"/>
      <c r="FC554" s="1098"/>
      <c r="FD554" s="1098"/>
      <c r="FE554" s="1098"/>
      <c r="FF554" s="1098"/>
      <c r="FG554" s="1098"/>
      <c r="FH554" s="1098"/>
      <c r="FI554" s="1098"/>
      <c r="FJ554" s="1098"/>
      <c r="FK554" s="1098"/>
      <c r="FL554" s="1098"/>
      <c r="FM554" s="1098"/>
      <c r="FN554" s="1098"/>
      <c r="FO554" s="1098"/>
      <c r="FP554" s="1098"/>
      <c r="FQ554" s="1098"/>
      <c r="FR554" s="1098"/>
      <c r="FS554" s="1098"/>
      <c r="FT554" s="1098"/>
      <c r="FU554" s="1098"/>
      <c r="FV554" s="1098"/>
      <c r="FW554" s="1098"/>
      <c r="FX554" s="1098"/>
      <c r="FY554" s="1098"/>
      <c r="FZ554" s="1098"/>
      <c r="GA554" s="1098"/>
      <c r="GB554" s="1098"/>
      <c r="GC554" s="1098"/>
      <c r="GD554" s="1098"/>
      <c r="GE554" s="1098"/>
      <c r="GF554" s="1098"/>
      <c r="GG554" s="1098"/>
      <c r="GH554" s="1098"/>
      <c r="GI554" s="1098"/>
      <c r="GJ554" s="1098"/>
      <c r="GK554" s="1098"/>
      <c r="GL554" s="1098"/>
      <c r="GM554" s="1098"/>
      <c r="GN554" s="1098"/>
      <c r="GO554" s="1098"/>
      <c r="GP554" s="1098"/>
      <c r="GQ554" s="1098"/>
      <c r="GR554" s="1098"/>
      <c r="GS554" s="1098"/>
      <c r="GT554" s="1098"/>
      <c r="GU554" s="1098"/>
      <c r="GV554" s="1098"/>
      <c r="GW554" s="1098"/>
      <c r="GX554" s="1098"/>
      <c r="GY554" s="1098"/>
      <c r="GZ554" s="1098"/>
      <c r="HA554" s="1098"/>
      <c r="HB554" s="1098"/>
      <c r="HC554" s="1098"/>
      <c r="HD554" s="1098"/>
      <c r="HE554" s="1098"/>
      <c r="HF554" s="1098"/>
      <c r="HG554" s="1098"/>
      <c r="HH554" s="1098"/>
      <c r="HI554" s="1098"/>
      <c r="HJ554" s="1098"/>
      <c r="HK554" s="1098"/>
      <c r="HL554" s="1098"/>
      <c r="HM554" s="1098"/>
      <c r="HN554" s="1098"/>
      <c r="HO554" s="1098"/>
      <c r="HP554" s="1098"/>
      <c r="HQ554" s="1098"/>
      <c r="HR554" s="1098"/>
      <c r="HS554" s="1098"/>
      <c r="HT554" s="1098"/>
      <c r="HU554" s="1098"/>
      <c r="HV554" s="1098"/>
      <c r="HW554" s="1098"/>
      <c r="HX554" s="1098"/>
      <c r="HY554" s="1098"/>
      <c r="HZ554" s="1098"/>
      <c r="IA554" s="1098"/>
      <c r="IB554" s="1098"/>
      <c r="IC554" s="1098"/>
      <c r="ID554" s="1098"/>
      <c r="IE554" s="1098"/>
      <c r="IF554" s="1098"/>
      <c r="IG554" s="1098"/>
      <c r="IH554" s="1098"/>
      <c r="II554" s="1098"/>
      <c r="IJ554" s="1098"/>
      <c r="IK554" s="1098"/>
      <c r="IL554" s="1098"/>
      <c r="IM554" s="1098"/>
      <c r="IN554" s="1098"/>
      <c r="IO554" s="1098"/>
      <c r="IP554" s="1098"/>
      <c r="IQ554" s="1098"/>
      <c r="IR554" s="1098"/>
      <c r="IS554" s="1098"/>
      <c r="IT554" s="1098"/>
      <c r="IU554" s="1098"/>
      <c r="IV554" s="1098"/>
      <c r="IW554" s="1098"/>
      <c r="IX554" s="1098"/>
      <c r="IY554" s="1098"/>
      <c r="IZ554" s="1098"/>
      <c r="JA554" s="1098"/>
      <c r="JB554" s="1098"/>
      <c r="JC554" s="1098"/>
      <c r="JD554" s="1098"/>
      <c r="JE554" s="1098"/>
      <c r="JF554" s="1098"/>
      <c r="JG554" s="1098"/>
      <c r="JH554" s="1098"/>
      <c r="JI554" s="1098"/>
      <c r="JJ554" s="1098"/>
      <c r="JK554" s="1098"/>
      <c r="JL554" s="1098"/>
      <c r="JM554" s="1098"/>
      <c r="JN554" s="1098"/>
      <c r="JO554" s="1098"/>
      <c r="JP554" s="1098"/>
      <c r="JQ554" s="1098"/>
      <c r="JR554" s="1098"/>
      <c r="JS554" s="1098"/>
      <c r="JT554" s="1098"/>
      <c r="JU554" s="1098"/>
      <c r="JV554" s="1098"/>
      <c r="JW554" s="1098"/>
      <c r="JX554" s="1098"/>
      <c r="JY554" s="1098"/>
      <c r="JZ554" s="1098"/>
      <c r="KA554" s="1098"/>
      <c r="KB554" s="1099"/>
    </row>
    <row r="555" spans="2:288" ht="15" customHeight="1" x14ac:dyDescent="0.35">
      <c r="B555" s="146" t="str">
        <f t="shared" si="45"/>
        <v>Desk 28</v>
      </c>
      <c r="C555" s="148" t="str">
        <v/>
      </c>
      <c r="D555" s="148" t="str">
        <v/>
      </c>
      <c r="E555" s="148" t="str">
        <v/>
      </c>
      <c r="F555" s="148" t="str">
        <v/>
      </c>
      <c r="G555" s="268" t="str">
        <v/>
      </c>
      <c r="H555" s="1098"/>
      <c r="I555" s="1098"/>
      <c r="J555" s="1098"/>
      <c r="K555" s="1098"/>
      <c r="L555" s="1098"/>
      <c r="M555" s="1098"/>
      <c r="N555" s="1098"/>
      <c r="O555" s="1098"/>
      <c r="P555" s="1098"/>
      <c r="Q555" s="1098"/>
      <c r="R555" s="1098"/>
      <c r="S555" s="1098"/>
      <c r="T555" s="1098"/>
      <c r="U555" s="1098"/>
      <c r="V555" s="1098"/>
      <c r="W555" s="1098"/>
      <c r="X555" s="1098"/>
      <c r="Y555" s="1098"/>
      <c r="Z555" s="1098"/>
      <c r="AA555" s="1098"/>
      <c r="AB555" s="1098"/>
      <c r="AC555" s="1098"/>
      <c r="AD555" s="1098"/>
      <c r="AE555" s="1098"/>
      <c r="AF555" s="1098"/>
      <c r="AG555" s="1098"/>
      <c r="AH555" s="1098"/>
      <c r="AI555" s="1098"/>
      <c r="AJ555" s="1098"/>
      <c r="AK555" s="1098"/>
      <c r="AL555" s="1098"/>
      <c r="AM555" s="1098"/>
      <c r="AN555" s="1098"/>
      <c r="AO555" s="1098"/>
      <c r="AP555" s="1098"/>
      <c r="AQ555" s="1098"/>
      <c r="AR555" s="1098"/>
      <c r="AS555" s="1098"/>
      <c r="AT555" s="1098"/>
      <c r="AU555" s="1098"/>
      <c r="AV555" s="1098"/>
      <c r="AW555" s="1098"/>
      <c r="AX555" s="1098"/>
      <c r="AY555" s="1098"/>
      <c r="AZ555" s="1098"/>
      <c r="BA555" s="1098"/>
      <c r="BB555" s="1098"/>
      <c r="BC555" s="1098"/>
      <c r="BD555" s="1098"/>
      <c r="BE555" s="1098"/>
      <c r="BF555" s="1098"/>
      <c r="BG555" s="1098"/>
      <c r="BH555" s="1098"/>
      <c r="BI555" s="1098"/>
      <c r="BJ555" s="1098"/>
      <c r="BK555" s="1098"/>
      <c r="BL555" s="1098"/>
      <c r="BM555" s="1098"/>
      <c r="BN555" s="1098"/>
      <c r="BO555" s="1098"/>
      <c r="BP555" s="1098"/>
      <c r="BQ555" s="1098"/>
      <c r="BR555" s="1098"/>
      <c r="BS555" s="1098"/>
      <c r="BT555" s="1098"/>
      <c r="BU555" s="1098"/>
      <c r="BV555" s="1098"/>
      <c r="BW555" s="1098"/>
      <c r="BX555" s="1098"/>
      <c r="BY555" s="1098"/>
      <c r="BZ555" s="1098"/>
      <c r="CA555" s="1098"/>
      <c r="CB555" s="1098"/>
      <c r="CC555" s="1098"/>
      <c r="CD555" s="1098"/>
      <c r="CE555" s="1098"/>
      <c r="CF555" s="1098"/>
      <c r="CG555" s="1098"/>
      <c r="CH555" s="1098"/>
      <c r="CI555" s="1098"/>
      <c r="CJ555" s="1098"/>
      <c r="CK555" s="1098"/>
      <c r="CL555" s="1098"/>
      <c r="CM555" s="1098"/>
      <c r="CN555" s="1098"/>
      <c r="CO555" s="1098"/>
      <c r="CP555" s="1098"/>
      <c r="CQ555" s="1098"/>
      <c r="CR555" s="1098"/>
      <c r="CS555" s="1098"/>
      <c r="CT555" s="1098"/>
      <c r="CU555" s="1098"/>
      <c r="CV555" s="1098"/>
      <c r="CW555" s="1098"/>
      <c r="CX555" s="1098"/>
      <c r="CY555" s="1098"/>
      <c r="CZ555" s="1098"/>
      <c r="DA555" s="1098"/>
      <c r="DB555" s="1098"/>
      <c r="DC555" s="1098"/>
      <c r="DD555" s="1098"/>
      <c r="DE555" s="1098"/>
      <c r="DF555" s="1098"/>
      <c r="DG555" s="1098"/>
      <c r="DH555" s="1098"/>
      <c r="DI555" s="1098"/>
      <c r="DJ555" s="1098"/>
      <c r="DK555" s="1098"/>
      <c r="DL555" s="1098"/>
      <c r="DM555" s="1098"/>
      <c r="DN555" s="1098"/>
      <c r="DO555" s="1098"/>
      <c r="DP555" s="1098"/>
      <c r="DQ555" s="1098"/>
      <c r="DR555" s="1098"/>
      <c r="DS555" s="1098"/>
      <c r="DT555" s="1098"/>
      <c r="DU555" s="1098"/>
      <c r="DV555" s="1098"/>
      <c r="DW555" s="1098"/>
      <c r="DX555" s="1098"/>
      <c r="DY555" s="1098"/>
      <c r="DZ555" s="1098"/>
      <c r="EA555" s="1098"/>
      <c r="EB555" s="1098"/>
      <c r="EC555" s="1098"/>
      <c r="ED555" s="1098"/>
      <c r="EE555" s="1098"/>
      <c r="EF555" s="1098"/>
      <c r="EG555" s="1098"/>
      <c r="EH555" s="1098"/>
      <c r="EI555" s="1098"/>
      <c r="EJ555" s="1098"/>
      <c r="EK555" s="1098"/>
      <c r="EL555" s="1098"/>
      <c r="EM555" s="1098"/>
      <c r="EN555" s="1098"/>
      <c r="EO555" s="1098"/>
      <c r="EP555" s="1098"/>
      <c r="EQ555" s="1098"/>
      <c r="ER555" s="1098"/>
      <c r="ES555" s="1098"/>
      <c r="ET555" s="1098"/>
      <c r="EU555" s="1098"/>
      <c r="EV555" s="1098"/>
      <c r="EW555" s="1098"/>
      <c r="EX555" s="1098"/>
      <c r="EY555" s="1098"/>
      <c r="EZ555" s="1098"/>
      <c r="FA555" s="1098"/>
      <c r="FB555" s="1098"/>
      <c r="FC555" s="1098"/>
      <c r="FD555" s="1098"/>
      <c r="FE555" s="1098"/>
      <c r="FF555" s="1098"/>
      <c r="FG555" s="1098"/>
      <c r="FH555" s="1098"/>
      <c r="FI555" s="1098"/>
      <c r="FJ555" s="1098"/>
      <c r="FK555" s="1098"/>
      <c r="FL555" s="1098"/>
      <c r="FM555" s="1098"/>
      <c r="FN555" s="1098"/>
      <c r="FO555" s="1098"/>
      <c r="FP555" s="1098"/>
      <c r="FQ555" s="1098"/>
      <c r="FR555" s="1098"/>
      <c r="FS555" s="1098"/>
      <c r="FT555" s="1098"/>
      <c r="FU555" s="1098"/>
      <c r="FV555" s="1098"/>
      <c r="FW555" s="1098"/>
      <c r="FX555" s="1098"/>
      <c r="FY555" s="1098"/>
      <c r="FZ555" s="1098"/>
      <c r="GA555" s="1098"/>
      <c r="GB555" s="1098"/>
      <c r="GC555" s="1098"/>
      <c r="GD555" s="1098"/>
      <c r="GE555" s="1098"/>
      <c r="GF555" s="1098"/>
      <c r="GG555" s="1098"/>
      <c r="GH555" s="1098"/>
      <c r="GI555" s="1098"/>
      <c r="GJ555" s="1098"/>
      <c r="GK555" s="1098"/>
      <c r="GL555" s="1098"/>
      <c r="GM555" s="1098"/>
      <c r="GN555" s="1098"/>
      <c r="GO555" s="1098"/>
      <c r="GP555" s="1098"/>
      <c r="GQ555" s="1098"/>
      <c r="GR555" s="1098"/>
      <c r="GS555" s="1098"/>
      <c r="GT555" s="1098"/>
      <c r="GU555" s="1098"/>
      <c r="GV555" s="1098"/>
      <c r="GW555" s="1098"/>
      <c r="GX555" s="1098"/>
      <c r="GY555" s="1098"/>
      <c r="GZ555" s="1098"/>
      <c r="HA555" s="1098"/>
      <c r="HB555" s="1098"/>
      <c r="HC555" s="1098"/>
      <c r="HD555" s="1098"/>
      <c r="HE555" s="1098"/>
      <c r="HF555" s="1098"/>
      <c r="HG555" s="1098"/>
      <c r="HH555" s="1098"/>
      <c r="HI555" s="1098"/>
      <c r="HJ555" s="1098"/>
      <c r="HK555" s="1098"/>
      <c r="HL555" s="1098"/>
      <c r="HM555" s="1098"/>
      <c r="HN555" s="1098"/>
      <c r="HO555" s="1098"/>
      <c r="HP555" s="1098"/>
      <c r="HQ555" s="1098"/>
      <c r="HR555" s="1098"/>
      <c r="HS555" s="1098"/>
      <c r="HT555" s="1098"/>
      <c r="HU555" s="1098"/>
      <c r="HV555" s="1098"/>
      <c r="HW555" s="1098"/>
      <c r="HX555" s="1098"/>
      <c r="HY555" s="1098"/>
      <c r="HZ555" s="1098"/>
      <c r="IA555" s="1098"/>
      <c r="IB555" s="1098"/>
      <c r="IC555" s="1098"/>
      <c r="ID555" s="1098"/>
      <c r="IE555" s="1098"/>
      <c r="IF555" s="1098"/>
      <c r="IG555" s="1098"/>
      <c r="IH555" s="1098"/>
      <c r="II555" s="1098"/>
      <c r="IJ555" s="1098"/>
      <c r="IK555" s="1098"/>
      <c r="IL555" s="1098"/>
      <c r="IM555" s="1098"/>
      <c r="IN555" s="1098"/>
      <c r="IO555" s="1098"/>
      <c r="IP555" s="1098"/>
      <c r="IQ555" s="1098"/>
      <c r="IR555" s="1098"/>
      <c r="IS555" s="1098"/>
      <c r="IT555" s="1098"/>
      <c r="IU555" s="1098"/>
      <c r="IV555" s="1098"/>
      <c r="IW555" s="1098"/>
      <c r="IX555" s="1098"/>
      <c r="IY555" s="1098"/>
      <c r="IZ555" s="1098"/>
      <c r="JA555" s="1098"/>
      <c r="JB555" s="1098"/>
      <c r="JC555" s="1098"/>
      <c r="JD555" s="1098"/>
      <c r="JE555" s="1098"/>
      <c r="JF555" s="1098"/>
      <c r="JG555" s="1098"/>
      <c r="JH555" s="1098"/>
      <c r="JI555" s="1098"/>
      <c r="JJ555" s="1098"/>
      <c r="JK555" s="1098"/>
      <c r="JL555" s="1098"/>
      <c r="JM555" s="1098"/>
      <c r="JN555" s="1098"/>
      <c r="JO555" s="1098"/>
      <c r="JP555" s="1098"/>
      <c r="JQ555" s="1098"/>
      <c r="JR555" s="1098"/>
      <c r="JS555" s="1098"/>
      <c r="JT555" s="1098"/>
      <c r="JU555" s="1098"/>
      <c r="JV555" s="1098"/>
      <c r="JW555" s="1098"/>
      <c r="JX555" s="1098"/>
      <c r="JY555" s="1098"/>
      <c r="JZ555" s="1098"/>
      <c r="KA555" s="1098"/>
      <c r="KB555" s="1099"/>
    </row>
    <row r="556" spans="2:288" ht="15" customHeight="1" x14ac:dyDescent="0.35">
      <c r="B556" s="146" t="str">
        <f t="shared" si="45"/>
        <v>Desk 29</v>
      </c>
      <c r="C556" s="148" t="str">
        <v/>
      </c>
      <c r="D556" s="148" t="str">
        <v/>
      </c>
      <c r="E556" s="148" t="str">
        <v/>
      </c>
      <c r="F556" s="148" t="str">
        <v/>
      </c>
      <c r="G556" s="268" t="str">
        <v/>
      </c>
      <c r="H556" s="1098"/>
      <c r="I556" s="1098"/>
      <c r="J556" s="1098"/>
      <c r="K556" s="1098"/>
      <c r="L556" s="1098"/>
      <c r="M556" s="1098"/>
      <c r="N556" s="1098"/>
      <c r="O556" s="1098"/>
      <c r="P556" s="1098"/>
      <c r="Q556" s="1098"/>
      <c r="R556" s="1098"/>
      <c r="S556" s="1098"/>
      <c r="T556" s="1098"/>
      <c r="U556" s="1098"/>
      <c r="V556" s="1098"/>
      <c r="W556" s="1098"/>
      <c r="X556" s="1098"/>
      <c r="Y556" s="1098"/>
      <c r="Z556" s="1098"/>
      <c r="AA556" s="1098"/>
      <c r="AB556" s="1098"/>
      <c r="AC556" s="1098"/>
      <c r="AD556" s="1098"/>
      <c r="AE556" s="1098"/>
      <c r="AF556" s="1098"/>
      <c r="AG556" s="1098"/>
      <c r="AH556" s="1098"/>
      <c r="AI556" s="1098"/>
      <c r="AJ556" s="1098"/>
      <c r="AK556" s="1098"/>
      <c r="AL556" s="1098"/>
      <c r="AM556" s="1098"/>
      <c r="AN556" s="1098"/>
      <c r="AO556" s="1098"/>
      <c r="AP556" s="1098"/>
      <c r="AQ556" s="1098"/>
      <c r="AR556" s="1098"/>
      <c r="AS556" s="1098"/>
      <c r="AT556" s="1098"/>
      <c r="AU556" s="1098"/>
      <c r="AV556" s="1098"/>
      <c r="AW556" s="1098"/>
      <c r="AX556" s="1098"/>
      <c r="AY556" s="1098"/>
      <c r="AZ556" s="1098"/>
      <c r="BA556" s="1098"/>
      <c r="BB556" s="1098"/>
      <c r="BC556" s="1098"/>
      <c r="BD556" s="1098"/>
      <c r="BE556" s="1098"/>
      <c r="BF556" s="1098"/>
      <c r="BG556" s="1098"/>
      <c r="BH556" s="1098"/>
      <c r="BI556" s="1098"/>
      <c r="BJ556" s="1098"/>
      <c r="BK556" s="1098"/>
      <c r="BL556" s="1098"/>
      <c r="BM556" s="1098"/>
      <c r="BN556" s="1098"/>
      <c r="BO556" s="1098"/>
      <c r="BP556" s="1098"/>
      <c r="BQ556" s="1098"/>
      <c r="BR556" s="1098"/>
      <c r="BS556" s="1098"/>
      <c r="BT556" s="1098"/>
      <c r="BU556" s="1098"/>
      <c r="BV556" s="1098"/>
      <c r="BW556" s="1098"/>
      <c r="BX556" s="1098"/>
      <c r="BY556" s="1098"/>
      <c r="BZ556" s="1098"/>
      <c r="CA556" s="1098"/>
      <c r="CB556" s="1098"/>
      <c r="CC556" s="1098"/>
      <c r="CD556" s="1098"/>
      <c r="CE556" s="1098"/>
      <c r="CF556" s="1098"/>
      <c r="CG556" s="1098"/>
      <c r="CH556" s="1098"/>
      <c r="CI556" s="1098"/>
      <c r="CJ556" s="1098"/>
      <c r="CK556" s="1098"/>
      <c r="CL556" s="1098"/>
      <c r="CM556" s="1098"/>
      <c r="CN556" s="1098"/>
      <c r="CO556" s="1098"/>
      <c r="CP556" s="1098"/>
      <c r="CQ556" s="1098"/>
      <c r="CR556" s="1098"/>
      <c r="CS556" s="1098"/>
      <c r="CT556" s="1098"/>
      <c r="CU556" s="1098"/>
      <c r="CV556" s="1098"/>
      <c r="CW556" s="1098"/>
      <c r="CX556" s="1098"/>
      <c r="CY556" s="1098"/>
      <c r="CZ556" s="1098"/>
      <c r="DA556" s="1098"/>
      <c r="DB556" s="1098"/>
      <c r="DC556" s="1098"/>
      <c r="DD556" s="1098"/>
      <c r="DE556" s="1098"/>
      <c r="DF556" s="1098"/>
      <c r="DG556" s="1098"/>
      <c r="DH556" s="1098"/>
      <c r="DI556" s="1098"/>
      <c r="DJ556" s="1098"/>
      <c r="DK556" s="1098"/>
      <c r="DL556" s="1098"/>
      <c r="DM556" s="1098"/>
      <c r="DN556" s="1098"/>
      <c r="DO556" s="1098"/>
      <c r="DP556" s="1098"/>
      <c r="DQ556" s="1098"/>
      <c r="DR556" s="1098"/>
      <c r="DS556" s="1098"/>
      <c r="DT556" s="1098"/>
      <c r="DU556" s="1098"/>
      <c r="DV556" s="1098"/>
      <c r="DW556" s="1098"/>
      <c r="DX556" s="1098"/>
      <c r="DY556" s="1098"/>
      <c r="DZ556" s="1098"/>
      <c r="EA556" s="1098"/>
      <c r="EB556" s="1098"/>
      <c r="EC556" s="1098"/>
      <c r="ED556" s="1098"/>
      <c r="EE556" s="1098"/>
      <c r="EF556" s="1098"/>
      <c r="EG556" s="1098"/>
      <c r="EH556" s="1098"/>
      <c r="EI556" s="1098"/>
      <c r="EJ556" s="1098"/>
      <c r="EK556" s="1098"/>
      <c r="EL556" s="1098"/>
      <c r="EM556" s="1098"/>
      <c r="EN556" s="1098"/>
      <c r="EO556" s="1098"/>
      <c r="EP556" s="1098"/>
      <c r="EQ556" s="1098"/>
      <c r="ER556" s="1098"/>
      <c r="ES556" s="1098"/>
      <c r="ET556" s="1098"/>
      <c r="EU556" s="1098"/>
      <c r="EV556" s="1098"/>
      <c r="EW556" s="1098"/>
      <c r="EX556" s="1098"/>
      <c r="EY556" s="1098"/>
      <c r="EZ556" s="1098"/>
      <c r="FA556" s="1098"/>
      <c r="FB556" s="1098"/>
      <c r="FC556" s="1098"/>
      <c r="FD556" s="1098"/>
      <c r="FE556" s="1098"/>
      <c r="FF556" s="1098"/>
      <c r="FG556" s="1098"/>
      <c r="FH556" s="1098"/>
      <c r="FI556" s="1098"/>
      <c r="FJ556" s="1098"/>
      <c r="FK556" s="1098"/>
      <c r="FL556" s="1098"/>
      <c r="FM556" s="1098"/>
      <c r="FN556" s="1098"/>
      <c r="FO556" s="1098"/>
      <c r="FP556" s="1098"/>
      <c r="FQ556" s="1098"/>
      <c r="FR556" s="1098"/>
      <c r="FS556" s="1098"/>
      <c r="FT556" s="1098"/>
      <c r="FU556" s="1098"/>
      <c r="FV556" s="1098"/>
      <c r="FW556" s="1098"/>
      <c r="FX556" s="1098"/>
      <c r="FY556" s="1098"/>
      <c r="FZ556" s="1098"/>
      <c r="GA556" s="1098"/>
      <c r="GB556" s="1098"/>
      <c r="GC556" s="1098"/>
      <c r="GD556" s="1098"/>
      <c r="GE556" s="1098"/>
      <c r="GF556" s="1098"/>
      <c r="GG556" s="1098"/>
      <c r="GH556" s="1098"/>
      <c r="GI556" s="1098"/>
      <c r="GJ556" s="1098"/>
      <c r="GK556" s="1098"/>
      <c r="GL556" s="1098"/>
      <c r="GM556" s="1098"/>
      <c r="GN556" s="1098"/>
      <c r="GO556" s="1098"/>
      <c r="GP556" s="1098"/>
      <c r="GQ556" s="1098"/>
      <c r="GR556" s="1098"/>
      <c r="GS556" s="1098"/>
      <c r="GT556" s="1098"/>
      <c r="GU556" s="1098"/>
      <c r="GV556" s="1098"/>
      <c r="GW556" s="1098"/>
      <c r="GX556" s="1098"/>
      <c r="GY556" s="1098"/>
      <c r="GZ556" s="1098"/>
      <c r="HA556" s="1098"/>
      <c r="HB556" s="1098"/>
      <c r="HC556" s="1098"/>
      <c r="HD556" s="1098"/>
      <c r="HE556" s="1098"/>
      <c r="HF556" s="1098"/>
      <c r="HG556" s="1098"/>
      <c r="HH556" s="1098"/>
      <c r="HI556" s="1098"/>
      <c r="HJ556" s="1098"/>
      <c r="HK556" s="1098"/>
      <c r="HL556" s="1098"/>
      <c r="HM556" s="1098"/>
      <c r="HN556" s="1098"/>
      <c r="HO556" s="1098"/>
      <c r="HP556" s="1098"/>
      <c r="HQ556" s="1098"/>
      <c r="HR556" s="1098"/>
      <c r="HS556" s="1098"/>
      <c r="HT556" s="1098"/>
      <c r="HU556" s="1098"/>
      <c r="HV556" s="1098"/>
      <c r="HW556" s="1098"/>
      <c r="HX556" s="1098"/>
      <c r="HY556" s="1098"/>
      <c r="HZ556" s="1098"/>
      <c r="IA556" s="1098"/>
      <c r="IB556" s="1098"/>
      <c r="IC556" s="1098"/>
      <c r="ID556" s="1098"/>
      <c r="IE556" s="1098"/>
      <c r="IF556" s="1098"/>
      <c r="IG556" s="1098"/>
      <c r="IH556" s="1098"/>
      <c r="II556" s="1098"/>
      <c r="IJ556" s="1098"/>
      <c r="IK556" s="1098"/>
      <c r="IL556" s="1098"/>
      <c r="IM556" s="1098"/>
      <c r="IN556" s="1098"/>
      <c r="IO556" s="1098"/>
      <c r="IP556" s="1098"/>
      <c r="IQ556" s="1098"/>
      <c r="IR556" s="1098"/>
      <c r="IS556" s="1098"/>
      <c r="IT556" s="1098"/>
      <c r="IU556" s="1098"/>
      <c r="IV556" s="1098"/>
      <c r="IW556" s="1098"/>
      <c r="IX556" s="1098"/>
      <c r="IY556" s="1098"/>
      <c r="IZ556" s="1098"/>
      <c r="JA556" s="1098"/>
      <c r="JB556" s="1098"/>
      <c r="JC556" s="1098"/>
      <c r="JD556" s="1098"/>
      <c r="JE556" s="1098"/>
      <c r="JF556" s="1098"/>
      <c r="JG556" s="1098"/>
      <c r="JH556" s="1098"/>
      <c r="JI556" s="1098"/>
      <c r="JJ556" s="1098"/>
      <c r="JK556" s="1098"/>
      <c r="JL556" s="1098"/>
      <c r="JM556" s="1098"/>
      <c r="JN556" s="1098"/>
      <c r="JO556" s="1098"/>
      <c r="JP556" s="1098"/>
      <c r="JQ556" s="1098"/>
      <c r="JR556" s="1098"/>
      <c r="JS556" s="1098"/>
      <c r="JT556" s="1098"/>
      <c r="JU556" s="1098"/>
      <c r="JV556" s="1098"/>
      <c r="JW556" s="1098"/>
      <c r="JX556" s="1098"/>
      <c r="JY556" s="1098"/>
      <c r="JZ556" s="1098"/>
      <c r="KA556" s="1098"/>
      <c r="KB556" s="1099"/>
    </row>
    <row r="557" spans="2:288" ht="15" customHeight="1" x14ac:dyDescent="0.35">
      <c r="B557" s="146" t="str">
        <f t="shared" si="45"/>
        <v>Desk 30</v>
      </c>
      <c r="C557" s="148" t="str">
        <v/>
      </c>
      <c r="D557" s="148" t="str">
        <v/>
      </c>
      <c r="E557" s="148" t="str">
        <v/>
      </c>
      <c r="F557" s="148" t="str">
        <v/>
      </c>
      <c r="G557" s="268" t="str">
        <v/>
      </c>
      <c r="H557" s="1098"/>
      <c r="I557" s="1098"/>
      <c r="J557" s="1098"/>
      <c r="K557" s="1098"/>
      <c r="L557" s="1098"/>
      <c r="M557" s="1098"/>
      <c r="N557" s="1098"/>
      <c r="O557" s="1098"/>
      <c r="P557" s="1098"/>
      <c r="Q557" s="1098"/>
      <c r="R557" s="1098"/>
      <c r="S557" s="1098"/>
      <c r="T557" s="1098"/>
      <c r="U557" s="1098"/>
      <c r="V557" s="1098"/>
      <c r="W557" s="1098"/>
      <c r="X557" s="1098"/>
      <c r="Y557" s="1098"/>
      <c r="Z557" s="1098"/>
      <c r="AA557" s="1098"/>
      <c r="AB557" s="1098"/>
      <c r="AC557" s="1098"/>
      <c r="AD557" s="1098"/>
      <c r="AE557" s="1098"/>
      <c r="AF557" s="1098"/>
      <c r="AG557" s="1098"/>
      <c r="AH557" s="1098"/>
      <c r="AI557" s="1098"/>
      <c r="AJ557" s="1098"/>
      <c r="AK557" s="1098"/>
      <c r="AL557" s="1098"/>
      <c r="AM557" s="1098"/>
      <c r="AN557" s="1098"/>
      <c r="AO557" s="1098"/>
      <c r="AP557" s="1098"/>
      <c r="AQ557" s="1098"/>
      <c r="AR557" s="1098"/>
      <c r="AS557" s="1098"/>
      <c r="AT557" s="1098"/>
      <c r="AU557" s="1098"/>
      <c r="AV557" s="1098"/>
      <c r="AW557" s="1098"/>
      <c r="AX557" s="1098"/>
      <c r="AY557" s="1098"/>
      <c r="AZ557" s="1098"/>
      <c r="BA557" s="1098"/>
      <c r="BB557" s="1098"/>
      <c r="BC557" s="1098"/>
      <c r="BD557" s="1098"/>
      <c r="BE557" s="1098"/>
      <c r="BF557" s="1098"/>
      <c r="BG557" s="1098"/>
      <c r="BH557" s="1098"/>
      <c r="BI557" s="1098"/>
      <c r="BJ557" s="1098"/>
      <c r="BK557" s="1098"/>
      <c r="BL557" s="1098"/>
      <c r="BM557" s="1098"/>
      <c r="BN557" s="1098"/>
      <c r="BO557" s="1098"/>
      <c r="BP557" s="1098"/>
      <c r="BQ557" s="1098"/>
      <c r="BR557" s="1098"/>
      <c r="BS557" s="1098"/>
      <c r="BT557" s="1098"/>
      <c r="BU557" s="1098"/>
      <c r="BV557" s="1098"/>
      <c r="BW557" s="1098"/>
      <c r="BX557" s="1098"/>
      <c r="BY557" s="1098"/>
      <c r="BZ557" s="1098"/>
      <c r="CA557" s="1098"/>
      <c r="CB557" s="1098"/>
      <c r="CC557" s="1098"/>
      <c r="CD557" s="1098"/>
      <c r="CE557" s="1098"/>
      <c r="CF557" s="1098"/>
      <c r="CG557" s="1098"/>
      <c r="CH557" s="1098"/>
      <c r="CI557" s="1098"/>
      <c r="CJ557" s="1098"/>
      <c r="CK557" s="1098"/>
      <c r="CL557" s="1098"/>
      <c r="CM557" s="1098"/>
      <c r="CN557" s="1098"/>
      <c r="CO557" s="1098"/>
      <c r="CP557" s="1098"/>
      <c r="CQ557" s="1098"/>
      <c r="CR557" s="1098"/>
      <c r="CS557" s="1098"/>
      <c r="CT557" s="1098"/>
      <c r="CU557" s="1098"/>
      <c r="CV557" s="1098"/>
      <c r="CW557" s="1098"/>
      <c r="CX557" s="1098"/>
      <c r="CY557" s="1098"/>
      <c r="CZ557" s="1098"/>
      <c r="DA557" s="1098"/>
      <c r="DB557" s="1098"/>
      <c r="DC557" s="1098"/>
      <c r="DD557" s="1098"/>
      <c r="DE557" s="1098"/>
      <c r="DF557" s="1098"/>
      <c r="DG557" s="1098"/>
      <c r="DH557" s="1098"/>
      <c r="DI557" s="1098"/>
      <c r="DJ557" s="1098"/>
      <c r="DK557" s="1098"/>
      <c r="DL557" s="1098"/>
      <c r="DM557" s="1098"/>
      <c r="DN557" s="1098"/>
      <c r="DO557" s="1098"/>
      <c r="DP557" s="1098"/>
      <c r="DQ557" s="1098"/>
      <c r="DR557" s="1098"/>
      <c r="DS557" s="1098"/>
      <c r="DT557" s="1098"/>
      <c r="DU557" s="1098"/>
      <c r="DV557" s="1098"/>
      <c r="DW557" s="1098"/>
      <c r="DX557" s="1098"/>
      <c r="DY557" s="1098"/>
      <c r="DZ557" s="1098"/>
      <c r="EA557" s="1098"/>
      <c r="EB557" s="1098"/>
      <c r="EC557" s="1098"/>
      <c r="ED557" s="1098"/>
      <c r="EE557" s="1098"/>
      <c r="EF557" s="1098"/>
      <c r="EG557" s="1098"/>
      <c r="EH557" s="1098"/>
      <c r="EI557" s="1098"/>
      <c r="EJ557" s="1098"/>
      <c r="EK557" s="1098"/>
      <c r="EL557" s="1098"/>
      <c r="EM557" s="1098"/>
      <c r="EN557" s="1098"/>
      <c r="EO557" s="1098"/>
      <c r="EP557" s="1098"/>
      <c r="EQ557" s="1098"/>
      <c r="ER557" s="1098"/>
      <c r="ES557" s="1098"/>
      <c r="ET557" s="1098"/>
      <c r="EU557" s="1098"/>
      <c r="EV557" s="1098"/>
      <c r="EW557" s="1098"/>
      <c r="EX557" s="1098"/>
      <c r="EY557" s="1098"/>
      <c r="EZ557" s="1098"/>
      <c r="FA557" s="1098"/>
      <c r="FB557" s="1098"/>
      <c r="FC557" s="1098"/>
      <c r="FD557" s="1098"/>
      <c r="FE557" s="1098"/>
      <c r="FF557" s="1098"/>
      <c r="FG557" s="1098"/>
      <c r="FH557" s="1098"/>
      <c r="FI557" s="1098"/>
      <c r="FJ557" s="1098"/>
      <c r="FK557" s="1098"/>
      <c r="FL557" s="1098"/>
      <c r="FM557" s="1098"/>
      <c r="FN557" s="1098"/>
      <c r="FO557" s="1098"/>
      <c r="FP557" s="1098"/>
      <c r="FQ557" s="1098"/>
      <c r="FR557" s="1098"/>
      <c r="FS557" s="1098"/>
      <c r="FT557" s="1098"/>
      <c r="FU557" s="1098"/>
      <c r="FV557" s="1098"/>
      <c r="FW557" s="1098"/>
      <c r="FX557" s="1098"/>
      <c r="FY557" s="1098"/>
      <c r="FZ557" s="1098"/>
      <c r="GA557" s="1098"/>
      <c r="GB557" s="1098"/>
      <c r="GC557" s="1098"/>
      <c r="GD557" s="1098"/>
      <c r="GE557" s="1098"/>
      <c r="GF557" s="1098"/>
      <c r="GG557" s="1098"/>
      <c r="GH557" s="1098"/>
      <c r="GI557" s="1098"/>
      <c r="GJ557" s="1098"/>
      <c r="GK557" s="1098"/>
      <c r="GL557" s="1098"/>
      <c r="GM557" s="1098"/>
      <c r="GN557" s="1098"/>
      <c r="GO557" s="1098"/>
      <c r="GP557" s="1098"/>
      <c r="GQ557" s="1098"/>
      <c r="GR557" s="1098"/>
      <c r="GS557" s="1098"/>
      <c r="GT557" s="1098"/>
      <c r="GU557" s="1098"/>
      <c r="GV557" s="1098"/>
      <c r="GW557" s="1098"/>
      <c r="GX557" s="1098"/>
      <c r="GY557" s="1098"/>
      <c r="GZ557" s="1098"/>
      <c r="HA557" s="1098"/>
      <c r="HB557" s="1098"/>
      <c r="HC557" s="1098"/>
      <c r="HD557" s="1098"/>
      <c r="HE557" s="1098"/>
      <c r="HF557" s="1098"/>
      <c r="HG557" s="1098"/>
      <c r="HH557" s="1098"/>
      <c r="HI557" s="1098"/>
      <c r="HJ557" s="1098"/>
      <c r="HK557" s="1098"/>
      <c r="HL557" s="1098"/>
      <c r="HM557" s="1098"/>
      <c r="HN557" s="1098"/>
      <c r="HO557" s="1098"/>
      <c r="HP557" s="1098"/>
      <c r="HQ557" s="1098"/>
      <c r="HR557" s="1098"/>
      <c r="HS557" s="1098"/>
      <c r="HT557" s="1098"/>
      <c r="HU557" s="1098"/>
      <c r="HV557" s="1098"/>
      <c r="HW557" s="1098"/>
      <c r="HX557" s="1098"/>
      <c r="HY557" s="1098"/>
      <c r="HZ557" s="1098"/>
      <c r="IA557" s="1098"/>
      <c r="IB557" s="1098"/>
      <c r="IC557" s="1098"/>
      <c r="ID557" s="1098"/>
      <c r="IE557" s="1098"/>
      <c r="IF557" s="1098"/>
      <c r="IG557" s="1098"/>
      <c r="IH557" s="1098"/>
      <c r="II557" s="1098"/>
      <c r="IJ557" s="1098"/>
      <c r="IK557" s="1098"/>
      <c r="IL557" s="1098"/>
      <c r="IM557" s="1098"/>
      <c r="IN557" s="1098"/>
      <c r="IO557" s="1098"/>
      <c r="IP557" s="1098"/>
      <c r="IQ557" s="1098"/>
      <c r="IR557" s="1098"/>
      <c r="IS557" s="1098"/>
      <c r="IT557" s="1098"/>
      <c r="IU557" s="1098"/>
      <c r="IV557" s="1098"/>
      <c r="IW557" s="1098"/>
      <c r="IX557" s="1098"/>
      <c r="IY557" s="1098"/>
      <c r="IZ557" s="1098"/>
      <c r="JA557" s="1098"/>
      <c r="JB557" s="1098"/>
      <c r="JC557" s="1098"/>
      <c r="JD557" s="1098"/>
      <c r="JE557" s="1098"/>
      <c r="JF557" s="1098"/>
      <c r="JG557" s="1098"/>
      <c r="JH557" s="1098"/>
      <c r="JI557" s="1098"/>
      <c r="JJ557" s="1098"/>
      <c r="JK557" s="1098"/>
      <c r="JL557" s="1098"/>
      <c r="JM557" s="1098"/>
      <c r="JN557" s="1098"/>
      <c r="JO557" s="1098"/>
      <c r="JP557" s="1098"/>
      <c r="JQ557" s="1098"/>
      <c r="JR557" s="1098"/>
      <c r="JS557" s="1098"/>
      <c r="JT557" s="1098"/>
      <c r="JU557" s="1098"/>
      <c r="JV557" s="1098"/>
      <c r="JW557" s="1098"/>
      <c r="JX557" s="1098"/>
      <c r="JY557" s="1098"/>
      <c r="JZ557" s="1098"/>
      <c r="KA557" s="1098"/>
      <c r="KB557" s="1099"/>
    </row>
    <row r="558" spans="2:288" ht="15" customHeight="1" x14ac:dyDescent="0.35">
      <c r="B558" s="146" t="str">
        <f t="shared" si="45"/>
        <v>Desk 31</v>
      </c>
      <c r="C558" s="148" t="str">
        <v/>
      </c>
      <c r="D558" s="148" t="str">
        <v/>
      </c>
      <c r="E558" s="148" t="str">
        <v/>
      </c>
      <c r="F558" s="148" t="str">
        <v/>
      </c>
      <c r="G558" s="268" t="str">
        <v/>
      </c>
      <c r="H558" s="1098"/>
      <c r="I558" s="1098"/>
      <c r="J558" s="1098"/>
      <c r="K558" s="1098"/>
      <c r="L558" s="1098"/>
      <c r="M558" s="1098"/>
      <c r="N558" s="1098"/>
      <c r="O558" s="1098"/>
      <c r="P558" s="1098"/>
      <c r="Q558" s="1098"/>
      <c r="R558" s="1098"/>
      <c r="S558" s="1098"/>
      <c r="T558" s="1098"/>
      <c r="U558" s="1098"/>
      <c r="V558" s="1098"/>
      <c r="W558" s="1098"/>
      <c r="X558" s="1098"/>
      <c r="Y558" s="1098"/>
      <c r="Z558" s="1098"/>
      <c r="AA558" s="1098"/>
      <c r="AB558" s="1098"/>
      <c r="AC558" s="1098"/>
      <c r="AD558" s="1098"/>
      <c r="AE558" s="1098"/>
      <c r="AF558" s="1098"/>
      <c r="AG558" s="1098"/>
      <c r="AH558" s="1098"/>
      <c r="AI558" s="1098"/>
      <c r="AJ558" s="1098"/>
      <c r="AK558" s="1098"/>
      <c r="AL558" s="1098"/>
      <c r="AM558" s="1098"/>
      <c r="AN558" s="1098"/>
      <c r="AO558" s="1098"/>
      <c r="AP558" s="1098"/>
      <c r="AQ558" s="1098"/>
      <c r="AR558" s="1098"/>
      <c r="AS558" s="1098"/>
      <c r="AT558" s="1098"/>
      <c r="AU558" s="1098"/>
      <c r="AV558" s="1098"/>
      <c r="AW558" s="1098"/>
      <c r="AX558" s="1098"/>
      <c r="AY558" s="1098"/>
      <c r="AZ558" s="1098"/>
      <c r="BA558" s="1098"/>
      <c r="BB558" s="1098"/>
      <c r="BC558" s="1098"/>
      <c r="BD558" s="1098"/>
      <c r="BE558" s="1098"/>
      <c r="BF558" s="1098"/>
      <c r="BG558" s="1098"/>
      <c r="BH558" s="1098"/>
      <c r="BI558" s="1098"/>
      <c r="BJ558" s="1098"/>
      <c r="BK558" s="1098"/>
      <c r="BL558" s="1098"/>
      <c r="BM558" s="1098"/>
      <c r="BN558" s="1098"/>
      <c r="BO558" s="1098"/>
      <c r="BP558" s="1098"/>
      <c r="BQ558" s="1098"/>
      <c r="BR558" s="1098"/>
      <c r="BS558" s="1098"/>
      <c r="BT558" s="1098"/>
      <c r="BU558" s="1098"/>
      <c r="BV558" s="1098"/>
      <c r="BW558" s="1098"/>
      <c r="BX558" s="1098"/>
      <c r="BY558" s="1098"/>
      <c r="BZ558" s="1098"/>
      <c r="CA558" s="1098"/>
      <c r="CB558" s="1098"/>
      <c r="CC558" s="1098"/>
      <c r="CD558" s="1098"/>
      <c r="CE558" s="1098"/>
      <c r="CF558" s="1098"/>
      <c r="CG558" s="1098"/>
      <c r="CH558" s="1098"/>
      <c r="CI558" s="1098"/>
      <c r="CJ558" s="1098"/>
      <c r="CK558" s="1098"/>
      <c r="CL558" s="1098"/>
      <c r="CM558" s="1098"/>
      <c r="CN558" s="1098"/>
      <c r="CO558" s="1098"/>
      <c r="CP558" s="1098"/>
      <c r="CQ558" s="1098"/>
      <c r="CR558" s="1098"/>
      <c r="CS558" s="1098"/>
      <c r="CT558" s="1098"/>
      <c r="CU558" s="1098"/>
      <c r="CV558" s="1098"/>
      <c r="CW558" s="1098"/>
      <c r="CX558" s="1098"/>
      <c r="CY558" s="1098"/>
      <c r="CZ558" s="1098"/>
      <c r="DA558" s="1098"/>
      <c r="DB558" s="1098"/>
      <c r="DC558" s="1098"/>
      <c r="DD558" s="1098"/>
      <c r="DE558" s="1098"/>
      <c r="DF558" s="1098"/>
      <c r="DG558" s="1098"/>
      <c r="DH558" s="1098"/>
      <c r="DI558" s="1098"/>
      <c r="DJ558" s="1098"/>
      <c r="DK558" s="1098"/>
      <c r="DL558" s="1098"/>
      <c r="DM558" s="1098"/>
      <c r="DN558" s="1098"/>
      <c r="DO558" s="1098"/>
      <c r="DP558" s="1098"/>
      <c r="DQ558" s="1098"/>
      <c r="DR558" s="1098"/>
      <c r="DS558" s="1098"/>
      <c r="DT558" s="1098"/>
      <c r="DU558" s="1098"/>
      <c r="DV558" s="1098"/>
      <c r="DW558" s="1098"/>
      <c r="DX558" s="1098"/>
      <c r="DY558" s="1098"/>
      <c r="DZ558" s="1098"/>
      <c r="EA558" s="1098"/>
      <c r="EB558" s="1098"/>
      <c r="EC558" s="1098"/>
      <c r="ED558" s="1098"/>
      <c r="EE558" s="1098"/>
      <c r="EF558" s="1098"/>
      <c r="EG558" s="1098"/>
      <c r="EH558" s="1098"/>
      <c r="EI558" s="1098"/>
      <c r="EJ558" s="1098"/>
      <c r="EK558" s="1098"/>
      <c r="EL558" s="1098"/>
      <c r="EM558" s="1098"/>
      <c r="EN558" s="1098"/>
      <c r="EO558" s="1098"/>
      <c r="EP558" s="1098"/>
      <c r="EQ558" s="1098"/>
      <c r="ER558" s="1098"/>
      <c r="ES558" s="1098"/>
      <c r="ET558" s="1098"/>
      <c r="EU558" s="1098"/>
      <c r="EV558" s="1098"/>
      <c r="EW558" s="1098"/>
      <c r="EX558" s="1098"/>
      <c r="EY558" s="1098"/>
      <c r="EZ558" s="1098"/>
      <c r="FA558" s="1098"/>
      <c r="FB558" s="1098"/>
      <c r="FC558" s="1098"/>
      <c r="FD558" s="1098"/>
      <c r="FE558" s="1098"/>
      <c r="FF558" s="1098"/>
      <c r="FG558" s="1098"/>
      <c r="FH558" s="1098"/>
      <c r="FI558" s="1098"/>
      <c r="FJ558" s="1098"/>
      <c r="FK558" s="1098"/>
      <c r="FL558" s="1098"/>
      <c r="FM558" s="1098"/>
      <c r="FN558" s="1098"/>
      <c r="FO558" s="1098"/>
      <c r="FP558" s="1098"/>
      <c r="FQ558" s="1098"/>
      <c r="FR558" s="1098"/>
      <c r="FS558" s="1098"/>
      <c r="FT558" s="1098"/>
      <c r="FU558" s="1098"/>
      <c r="FV558" s="1098"/>
      <c r="FW558" s="1098"/>
      <c r="FX558" s="1098"/>
      <c r="FY558" s="1098"/>
      <c r="FZ558" s="1098"/>
      <c r="GA558" s="1098"/>
      <c r="GB558" s="1098"/>
      <c r="GC558" s="1098"/>
      <c r="GD558" s="1098"/>
      <c r="GE558" s="1098"/>
      <c r="GF558" s="1098"/>
      <c r="GG558" s="1098"/>
      <c r="GH558" s="1098"/>
      <c r="GI558" s="1098"/>
      <c r="GJ558" s="1098"/>
      <c r="GK558" s="1098"/>
      <c r="GL558" s="1098"/>
      <c r="GM558" s="1098"/>
      <c r="GN558" s="1098"/>
      <c r="GO558" s="1098"/>
      <c r="GP558" s="1098"/>
      <c r="GQ558" s="1098"/>
      <c r="GR558" s="1098"/>
      <c r="GS558" s="1098"/>
      <c r="GT558" s="1098"/>
      <c r="GU558" s="1098"/>
      <c r="GV558" s="1098"/>
      <c r="GW558" s="1098"/>
      <c r="GX558" s="1098"/>
      <c r="GY558" s="1098"/>
      <c r="GZ558" s="1098"/>
      <c r="HA558" s="1098"/>
      <c r="HB558" s="1098"/>
      <c r="HC558" s="1098"/>
      <c r="HD558" s="1098"/>
      <c r="HE558" s="1098"/>
      <c r="HF558" s="1098"/>
      <c r="HG558" s="1098"/>
      <c r="HH558" s="1098"/>
      <c r="HI558" s="1098"/>
      <c r="HJ558" s="1098"/>
      <c r="HK558" s="1098"/>
      <c r="HL558" s="1098"/>
      <c r="HM558" s="1098"/>
      <c r="HN558" s="1098"/>
      <c r="HO558" s="1098"/>
      <c r="HP558" s="1098"/>
      <c r="HQ558" s="1098"/>
      <c r="HR558" s="1098"/>
      <c r="HS558" s="1098"/>
      <c r="HT558" s="1098"/>
      <c r="HU558" s="1098"/>
      <c r="HV558" s="1098"/>
      <c r="HW558" s="1098"/>
      <c r="HX558" s="1098"/>
      <c r="HY558" s="1098"/>
      <c r="HZ558" s="1098"/>
      <c r="IA558" s="1098"/>
      <c r="IB558" s="1098"/>
      <c r="IC558" s="1098"/>
      <c r="ID558" s="1098"/>
      <c r="IE558" s="1098"/>
      <c r="IF558" s="1098"/>
      <c r="IG558" s="1098"/>
      <c r="IH558" s="1098"/>
      <c r="II558" s="1098"/>
      <c r="IJ558" s="1098"/>
      <c r="IK558" s="1098"/>
      <c r="IL558" s="1098"/>
      <c r="IM558" s="1098"/>
      <c r="IN558" s="1098"/>
      <c r="IO558" s="1098"/>
      <c r="IP558" s="1098"/>
      <c r="IQ558" s="1098"/>
      <c r="IR558" s="1098"/>
      <c r="IS558" s="1098"/>
      <c r="IT558" s="1098"/>
      <c r="IU558" s="1098"/>
      <c r="IV558" s="1098"/>
      <c r="IW558" s="1098"/>
      <c r="IX558" s="1098"/>
      <c r="IY558" s="1098"/>
      <c r="IZ558" s="1098"/>
      <c r="JA558" s="1098"/>
      <c r="JB558" s="1098"/>
      <c r="JC558" s="1098"/>
      <c r="JD558" s="1098"/>
      <c r="JE558" s="1098"/>
      <c r="JF558" s="1098"/>
      <c r="JG558" s="1098"/>
      <c r="JH558" s="1098"/>
      <c r="JI558" s="1098"/>
      <c r="JJ558" s="1098"/>
      <c r="JK558" s="1098"/>
      <c r="JL558" s="1098"/>
      <c r="JM558" s="1098"/>
      <c r="JN558" s="1098"/>
      <c r="JO558" s="1098"/>
      <c r="JP558" s="1098"/>
      <c r="JQ558" s="1098"/>
      <c r="JR558" s="1098"/>
      <c r="JS558" s="1098"/>
      <c r="JT558" s="1098"/>
      <c r="JU558" s="1098"/>
      <c r="JV558" s="1098"/>
      <c r="JW558" s="1098"/>
      <c r="JX558" s="1098"/>
      <c r="JY558" s="1098"/>
      <c r="JZ558" s="1098"/>
      <c r="KA558" s="1098"/>
      <c r="KB558" s="1099"/>
    </row>
    <row r="559" spans="2:288" ht="15" customHeight="1" x14ac:dyDescent="0.35">
      <c r="B559" s="146" t="str">
        <f t="shared" si="45"/>
        <v>Desk 32</v>
      </c>
      <c r="C559" s="148" t="str">
        <v/>
      </c>
      <c r="D559" s="148" t="str">
        <v/>
      </c>
      <c r="E559" s="148" t="str">
        <v/>
      </c>
      <c r="F559" s="148" t="str">
        <v/>
      </c>
      <c r="G559" s="268" t="str">
        <v/>
      </c>
      <c r="H559" s="1098"/>
      <c r="I559" s="1098"/>
      <c r="J559" s="1098"/>
      <c r="K559" s="1098"/>
      <c r="L559" s="1098"/>
      <c r="M559" s="1098"/>
      <c r="N559" s="1098"/>
      <c r="O559" s="1098"/>
      <c r="P559" s="1098"/>
      <c r="Q559" s="1098"/>
      <c r="R559" s="1098"/>
      <c r="S559" s="1098"/>
      <c r="T559" s="1098"/>
      <c r="U559" s="1098"/>
      <c r="V559" s="1098"/>
      <c r="W559" s="1098"/>
      <c r="X559" s="1098"/>
      <c r="Y559" s="1098"/>
      <c r="Z559" s="1098"/>
      <c r="AA559" s="1098"/>
      <c r="AB559" s="1098"/>
      <c r="AC559" s="1098"/>
      <c r="AD559" s="1098"/>
      <c r="AE559" s="1098"/>
      <c r="AF559" s="1098"/>
      <c r="AG559" s="1098"/>
      <c r="AH559" s="1098"/>
      <c r="AI559" s="1098"/>
      <c r="AJ559" s="1098"/>
      <c r="AK559" s="1098"/>
      <c r="AL559" s="1098"/>
      <c r="AM559" s="1098"/>
      <c r="AN559" s="1098"/>
      <c r="AO559" s="1098"/>
      <c r="AP559" s="1098"/>
      <c r="AQ559" s="1098"/>
      <c r="AR559" s="1098"/>
      <c r="AS559" s="1098"/>
      <c r="AT559" s="1098"/>
      <c r="AU559" s="1098"/>
      <c r="AV559" s="1098"/>
      <c r="AW559" s="1098"/>
      <c r="AX559" s="1098"/>
      <c r="AY559" s="1098"/>
      <c r="AZ559" s="1098"/>
      <c r="BA559" s="1098"/>
      <c r="BB559" s="1098"/>
      <c r="BC559" s="1098"/>
      <c r="BD559" s="1098"/>
      <c r="BE559" s="1098"/>
      <c r="BF559" s="1098"/>
      <c r="BG559" s="1098"/>
      <c r="BH559" s="1098"/>
      <c r="BI559" s="1098"/>
      <c r="BJ559" s="1098"/>
      <c r="BK559" s="1098"/>
      <c r="BL559" s="1098"/>
      <c r="BM559" s="1098"/>
      <c r="BN559" s="1098"/>
      <c r="BO559" s="1098"/>
      <c r="BP559" s="1098"/>
      <c r="BQ559" s="1098"/>
      <c r="BR559" s="1098"/>
      <c r="BS559" s="1098"/>
      <c r="BT559" s="1098"/>
      <c r="BU559" s="1098"/>
      <c r="BV559" s="1098"/>
      <c r="BW559" s="1098"/>
      <c r="BX559" s="1098"/>
      <c r="BY559" s="1098"/>
      <c r="BZ559" s="1098"/>
      <c r="CA559" s="1098"/>
      <c r="CB559" s="1098"/>
      <c r="CC559" s="1098"/>
      <c r="CD559" s="1098"/>
      <c r="CE559" s="1098"/>
      <c r="CF559" s="1098"/>
      <c r="CG559" s="1098"/>
      <c r="CH559" s="1098"/>
      <c r="CI559" s="1098"/>
      <c r="CJ559" s="1098"/>
      <c r="CK559" s="1098"/>
      <c r="CL559" s="1098"/>
      <c r="CM559" s="1098"/>
      <c r="CN559" s="1098"/>
      <c r="CO559" s="1098"/>
      <c r="CP559" s="1098"/>
      <c r="CQ559" s="1098"/>
      <c r="CR559" s="1098"/>
      <c r="CS559" s="1098"/>
      <c r="CT559" s="1098"/>
      <c r="CU559" s="1098"/>
      <c r="CV559" s="1098"/>
      <c r="CW559" s="1098"/>
      <c r="CX559" s="1098"/>
      <c r="CY559" s="1098"/>
      <c r="CZ559" s="1098"/>
      <c r="DA559" s="1098"/>
      <c r="DB559" s="1098"/>
      <c r="DC559" s="1098"/>
      <c r="DD559" s="1098"/>
      <c r="DE559" s="1098"/>
      <c r="DF559" s="1098"/>
      <c r="DG559" s="1098"/>
      <c r="DH559" s="1098"/>
      <c r="DI559" s="1098"/>
      <c r="DJ559" s="1098"/>
      <c r="DK559" s="1098"/>
      <c r="DL559" s="1098"/>
      <c r="DM559" s="1098"/>
      <c r="DN559" s="1098"/>
      <c r="DO559" s="1098"/>
      <c r="DP559" s="1098"/>
      <c r="DQ559" s="1098"/>
      <c r="DR559" s="1098"/>
      <c r="DS559" s="1098"/>
      <c r="DT559" s="1098"/>
      <c r="DU559" s="1098"/>
      <c r="DV559" s="1098"/>
      <c r="DW559" s="1098"/>
      <c r="DX559" s="1098"/>
      <c r="DY559" s="1098"/>
      <c r="DZ559" s="1098"/>
      <c r="EA559" s="1098"/>
      <c r="EB559" s="1098"/>
      <c r="EC559" s="1098"/>
      <c r="ED559" s="1098"/>
      <c r="EE559" s="1098"/>
      <c r="EF559" s="1098"/>
      <c r="EG559" s="1098"/>
      <c r="EH559" s="1098"/>
      <c r="EI559" s="1098"/>
      <c r="EJ559" s="1098"/>
      <c r="EK559" s="1098"/>
      <c r="EL559" s="1098"/>
      <c r="EM559" s="1098"/>
      <c r="EN559" s="1098"/>
      <c r="EO559" s="1098"/>
      <c r="EP559" s="1098"/>
      <c r="EQ559" s="1098"/>
      <c r="ER559" s="1098"/>
      <c r="ES559" s="1098"/>
      <c r="ET559" s="1098"/>
      <c r="EU559" s="1098"/>
      <c r="EV559" s="1098"/>
      <c r="EW559" s="1098"/>
      <c r="EX559" s="1098"/>
      <c r="EY559" s="1098"/>
      <c r="EZ559" s="1098"/>
      <c r="FA559" s="1098"/>
      <c r="FB559" s="1098"/>
      <c r="FC559" s="1098"/>
      <c r="FD559" s="1098"/>
      <c r="FE559" s="1098"/>
      <c r="FF559" s="1098"/>
      <c r="FG559" s="1098"/>
      <c r="FH559" s="1098"/>
      <c r="FI559" s="1098"/>
      <c r="FJ559" s="1098"/>
      <c r="FK559" s="1098"/>
      <c r="FL559" s="1098"/>
      <c r="FM559" s="1098"/>
      <c r="FN559" s="1098"/>
      <c r="FO559" s="1098"/>
      <c r="FP559" s="1098"/>
      <c r="FQ559" s="1098"/>
      <c r="FR559" s="1098"/>
      <c r="FS559" s="1098"/>
      <c r="FT559" s="1098"/>
      <c r="FU559" s="1098"/>
      <c r="FV559" s="1098"/>
      <c r="FW559" s="1098"/>
      <c r="FX559" s="1098"/>
      <c r="FY559" s="1098"/>
      <c r="FZ559" s="1098"/>
      <c r="GA559" s="1098"/>
      <c r="GB559" s="1098"/>
      <c r="GC559" s="1098"/>
      <c r="GD559" s="1098"/>
      <c r="GE559" s="1098"/>
      <c r="GF559" s="1098"/>
      <c r="GG559" s="1098"/>
      <c r="GH559" s="1098"/>
      <c r="GI559" s="1098"/>
      <c r="GJ559" s="1098"/>
      <c r="GK559" s="1098"/>
      <c r="GL559" s="1098"/>
      <c r="GM559" s="1098"/>
      <c r="GN559" s="1098"/>
      <c r="GO559" s="1098"/>
      <c r="GP559" s="1098"/>
      <c r="GQ559" s="1098"/>
      <c r="GR559" s="1098"/>
      <c r="GS559" s="1098"/>
      <c r="GT559" s="1098"/>
      <c r="GU559" s="1098"/>
      <c r="GV559" s="1098"/>
      <c r="GW559" s="1098"/>
      <c r="GX559" s="1098"/>
      <c r="GY559" s="1098"/>
      <c r="GZ559" s="1098"/>
      <c r="HA559" s="1098"/>
      <c r="HB559" s="1098"/>
      <c r="HC559" s="1098"/>
      <c r="HD559" s="1098"/>
      <c r="HE559" s="1098"/>
      <c r="HF559" s="1098"/>
      <c r="HG559" s="1098"/>
      <c r="HH559" s="1098"/>
      <c r="HI559" s="1098"/>
      <c r="HJ559" s="1098"/>
      <c r="HK559" s="1098"/>
      <c r="HL559" s="1098"/>
      <c r="HM559" s="1098"/>
      <c r="HN559" s="1098"/>
      <c r="HO559" s="1098"/>
      <c r="HP559" s="1098"/>
      <c r="HQ559" s="1098"/>
      <c r="HR559" s="1098"/>
      <c r="HS559" s="1098"/>
      <c r="HT559" s="1098"/>
      <c r="HU559" s="1098"/>
      <c r="HV559" s="1098"/>
      <c r="HW559" s="1098"/>
      <c r="HX559" s="1098"/>
      <c r="HY559" s="1098"/>
      <c r="HZ559" s="1098"/>
      <c r="IA559" s="1098"/>
      <c r="IB559" s="1098"/>
      <c r="IC559" s="1098"/>
      <c r="ID559" s="1098"/>
      <c r="IE559" s="1098"/>
      <c r="IF559" s="1098"/>
      <c r="IG559" s="1098"/>
      <c r="IH559" s="1098"/>
      <c r="II559" s="1098"/>
      <c r="IJ559" s="1098"/>
      <c r="IK559" s="1098"/>
      <c r="IL559" s="1098"/>
      <c r="IM559" s="1098"/>
      <c r="IN559" s="1098"/>
      <c r="IO559" s="1098"/>
      <c r="IP559" s="1098"/>
      <c r="IQ559" s="1098"/>
      <c r="IR559" s="1098"/>
      <c r="IS559" s="1098"/>
      <c r="IT559" s="1098"/>
      <c r="IU559" s="1098"/>
      <c r="IV559" s="1098"/>
      <c r="IW559" s="1098"/>
      <c r="IX559" s="1098"/>
      <c r="IY559" s="1098"/>
      <c r="IZ559" s="1098"/>
      <c r="JA559" s="1098"/>
      <c r="JB559" s="1098"/>
      <c r="JC559" s="1098"/>
      <c r="JD559" s="1098"/>
      <c r="JE559" s="1098"/>
      <c r="JF559" s="1098"/>
      <c r="JG559" s="1098"/>
      <c r="JH559" s="1098"/>
      <c r="JI559" s="1098"/>
      <c r="JJ559" s="1098"/>
      <c r="JK559" s="1098"/>
      <c r="JL559" s="1098"/>
      <c r="JM559" s="1098"/>
      <c r="JN559" s="1098"/>
      <c r="JO559" s="1098"/>
      <c r="JP559" s="1098"/>
      <c r="JQ559" s="1098"/>
      <c r="JR559" s="1098"/>
      <c r="JS559" s="1098"/>
      <c r="JT559" s="1098"/>
      <c r="JU559" s="1098"/>
      <c r="JV559" s="1098"/>
      <c r="JW559" s="1098"/>
      <c r="JX559" s="1098"/>
      <c r="JY559" s="1098"/>
      <c r="JZ559" s="1098"/>
      <c r="KA559" s="1098"/>
      <c r="KB559" s="1099"/>
    </row>
    <row r="560" spans="2:288" ht="15" customHeight="1" x14ac:dyDescent="0.35">
      <c r="B560" s="146" t="str">
        <f t="shared" si="45"/>
        <v>Desk 33</v>
      </c>
      <c r="C560" s="148" t="str">
        <v/>
      </c>
      <c r="D560" s="148" t="str">
        <v/>
      </c>
      <c r="E560" s="148" t="str">
        <v/>
      </c>
      <c r="F560" s="148" t="str">
        <v/>
      </c>
      <c r="G560" s="268" t="str">
        <v/>
      </c>
      <c r="H560" s="1098"/>
      <c r="I560" s="1098"/>
      <c r="J560" s="1098"/>
      <c r="K560" s="1098"/>
      <c r="L560" s="1098"/>
      <c r="M560" s="1098"/>
      <c r="N560" s="1098"/>
      <c r="O560" s="1098"/>
      <c r="P560" s="1098"/>
      <c r="Q560" s="1098"/>
      <c r="R560" s="1098"/>
      <c r="S560" s="1098"/>
      <c r="T560" s="1098"/>
      <c r="U560" s="1098"/>
      <c r="V560" s="1098"/>
      <c r="W560" s="1098"/>
      <c r="X560" s="1098"/>
      <c r="Y560" s="1098"/>
      <c r="Z560" s="1098"/>
      <c r="AA560" s="1098"/>
      <c r="AB560" s="1098"/>
      <c r="AC560" s="1098"/>
      <c r="AD560" s="1098"/>
      <c r="AE560" s="1098"/>
      <c r="AF560" s="1098"/>
      <c r="AG560" s="1098"/>
      <c r="AH560" s="1098"/>
      <c r="AI560" s="1098"/>
      <c r="AJ560" s="1098"/>
      <c r="AK560" s="1098"/>
      <c r="AL560" s="1098"/>
      <c r="AM560" s="1098"/>
      <c r="AN560" s="1098"/>
      <c r="AO560" s="1098"/>
      <c r="AP560" s="1098"/>
      <c r="AQ560" s="1098"/>
      <c r="AR560" s="1098"/>
      <c r="AS560" s="1098"/>
      <c r="AT560" s="1098"/>
      <c r="AU560" s="1098"/>
      <c r="AV560" s="1098"/>
      <c r="AW560" s="1098"/>
      <c r="AX560" s="1098"/>
      <c r="AY560" s="1098"/>
      <c r="AZ560" s="1098"/>
      <c r="BA560" s="1098"/>
      <c r="BB560" s="1098"/>
      <c r="BC560" s="1098"/>
      <c r="BD560" s="1098"/>
      <c r="BE560" s="1098"/>
      <c r="BF560" s="1098"/>
      <c r="BG560" s="1098"/>
      <c r="BH560" s="1098"/>
      <c r="BI560" s="1098"/>
      <c r="BJ560" s="1098"/>
      <c r="BK560" s="1098"/>
      <c r="BL560" s="1098"/>
      <c r="BM560" s="1098"/>
      <c r="BN560" s="1098"/>
      <c r="BO560" s="1098"/>
      <c r="BP560" s="1098"/>
      <c r="BQ560" s="1098"/>
      <c r="BR560" s="1098"/>
      <c r="BS560" s="1098"/>
      <c r="BT560" s="1098"/>
      <c r="BU560" s="1098"/>
      <c r="BV560" s="1098"/>
      <c r="BW560" s="1098"/>
      <c r="BX560" s="1098"/>
      <c r="BY560" s="1098"/>
      <c r="BZ560" s="1098"/>
      <c r="CA560" s="1098"/>
      <c r="CB560" s="1098"/>
      <c r="CC560" s="1098"/>
      <c r="CD560" s="1098"/>
      <c r="CE560" s="1098"/>
      <c r="CF560" s="1098"/>
      <c r="CG560" s="1098"/>
      <c r="CH560" s="1098"/>
      <c r="CI560" s="1098"/>
      <c r="CJ560" s="1098"/>
      <c r="CK560" s="1098"/>
      <c r="CL560" s="1098"/>
      <c r="CM560" s="1098"/>
      <c r="CN560" s="1098"/>
      <c r="CO560" s="1098"/>
      <c r="CP560" s="1098"/>
      <c r="CQ560" s="1098"/>
      <c r="CR560" s="1098"/>
      <c r="CS560" s="1098"/>
      <c r="CT560" s="1098"/>
      <c r="CU560" s="1098"/>
      <c r="CV560" s="1098"/>
      <c r="CW560" s="1098"/>
      <c r="CX560" s="1098"/>
      <c r="CY560" s="1098"/>
      <c r="CZ560" s="1098"/>
      <c r="DA560" s="1098"/>
      <c r="DB560" s="1098"/>
      <c r="DC560" s="1098"/>
      <c r="DD560" s="1098"/>
      <c r="DE560" s="1098"/>
      <c r="DF560" s="1098"/>
      <c r="DG560" s="1098"/>
      <c r="DH560" s="1098"/>
      <c r="DI560" s="1098"/>
      <c r="DJ560" s="1098"/>
      <c r="DK560" s="1098"/>
      <c r="DL560" s="1098"/>
      <c r="DM560" s="1098"/>
      <c r="DN560" s="1098"/>
      <c r="DO560" s="1098"/>
      <c r="DP560" s="1098"/>
      <c r="DQ560" s="1098"/>
      <c r="DR560" s="1098"/>
      <c r="DS560" s="1098"/>
      <c r="DT560" s="1098"/>
      <c r="DU560" s="1098"/>
      <c r="DV560" s="1098"/>
      <c r="DW560" s="1098"/>
      <c r="DX560" s="1098"/>
      <c r="DY560" s="1098"/>
      <c r="DZ560" s="1098"/>
      <c r="EA560" s="1098"/>
      <c r="EB560" s="1098"/>
      <c r="EC560" s="1098"/>
      <c r="ED560" s="1098"/>
      <c r="EE560" s="1098"/>
      <c r="EF560" s="1098"/>
      <c r="EG560" s="1098"/>
      <c r="EH560" s="1098"/>
      <c r="EI560" s="1098"/>
      <c r="EJ560" s="1098"/>
      <c r="EK560" s="1098"/>
      <c r="EL560" s="1098"/>
      <c r="EM560" s="1098"/>
      <c r="EN560" s="1098"/>
      <c r="EO560" s="1098"/>
      <c r="EP560" s="1098"/>
      <c r="EQ560" s="1098"/>
      <c r="ER560" s="1098"/>
      <c r="ES560" s="1098"/>
      <c r="ET560" s="1098"/>
      <c r="EU560" s="1098"/>
      <c r="EV560" s="1098"/>
      <c r="EW560" s="1098"/>
      <c r="EX560" s="1098"/>
      <c r="EY560" s="1098"/>
      <c r="EZ560" s="1098"/>
      <c r="FA560" s="1098"/>
      <c r="FB560" s="1098"/>
      <c r="FC560" s="1098"/>
      <c r="FD560" s="1098"/>
      <c r="FE560" s="1098"/>
      <c r="FF560" s="1098"/>
      <c r="FG560" s="1098"/>
      <c r="FH560" s="1098"/>
      <c r="FI560" s="1098"/>
      <c r="FJ560" s="1098"/>
      <c r="FK560" s="1098"/>
      <c r="FL560" s="1098"/>
      <c r="FM560" s="1098"/>
      <c r="FN560" s="1098"/>
      <c r="FO560" s="1098"/>
      <c r="FP560" s="1098"/>
      <c r="FQ560" s="1098"/>
      <c r="FR560" s="1098"/>
      <c r="FS560" s="1098"/>
      <c r="FT560" s="1098"/>
      <c r="FU560" s="1098"/>
      <c r="FV560" s="1098"/>
      <c r="FW560" s="1098"/>
      <c r="FX560" s="1098"/>
      <c r="FY560" s="1098"/>
      <c r="FZ560" s="1098"/>
      <c r="GA560" s="1098"/>
      <c r="GB560" s="1098"/>
      <c r="GC560" s="1098"/>
      <c r="GD560" s="1098"/>
      <c r="GE560" s="1098"/>
      <c r="GF560" s="1098"/>
      <c r="GG560" s="1098"/>
      <c r="GH560" s="1098"/>
      <c r="GI560" s="1098"/>
      <c r="GJ560" s="1098"/>
      <c r="GK560" s="1098"/>
      <c r="GL560" s="1098"/>
      <c r="GM560" s="1098"/>
      <c r="GN560" s="1098"/>
      <c r="GO560" s="1098"/>
      <c r="GP560" s="1098"/>
      <c r="GQ560" s="1098"/>
      <c r="GR560" s="1098"/>
      <c r="GS560" s="1098"/>
      <c r="GT560" s="1098"/>
      <c r="GU560" s="1098"/>
      <c r="GV560" s="1098"/>
      <c r="GW560" s="1098"/>
      <c r="GX560" s="1098"/>
      <c r="GY560" s="1098"/>
      <c r="GZ560" s="1098"/>
      <c r="HA560" s="1098"/>
      <c r="HB560" s="1098"/>
      <c r="HC560" s="1098"/>
      <c r="HD560" s="1098"/>
      <c r="HE560" s="1098"/>
      <c r="HF560" s="1098"/>
      <c r="HG560" s="1098"/>
      <c r="HH560" s="1098"/>
      <c r="HI560" s="1098"/>
      <c r="HJ560" s="1098"/>
      <c r="HK560" s="1098"/>
      <c r="HL560" s="1098"/>
      <c r="HM560" s="1098"/>
      <c r="HN560" s="1098"/>
      <c r="HO560" s="1098"/>
      <c r="HP560" s="1098"/>
      <c r="HQ560" s="1098"/>
      <c r="HR560" s="1098"/>
      <c r="HS560" s="1098"/>
      <c r="HT560" s="1098"/>
      <c r="HU560" s="1098"/>
      <c r="HV560" s="1098"/>
      <c r="HW560" s="1098"/>
      <c r="HX560" s="1098"/>
      <c r="HY560" s="1098"/>
      <c r="HZ560" s="1098"/>
      <c r="IA560" s="1098"/>
      <c r="IB560" s="1098"/>
      <c r="IC560" s="1098"/>
      <c r="ID560" s="1098"/>
      <c r="IE560" s="1098"/>
      <c r="IF560" s="1098"/>
      <c r="IG560" s="1098"/>
      <c r="IH560" s="1098"/>
      <c r="II560" s="1098"/>
      <c r="IJ560" s="1098"/>
      <c r="IK560" s="1098"/>
      <c r="IL560" s="1098"/>
      <c r="IM560" s="1098"/>
      <c r="IN560" s="1098"/>
      <c r="IO560" s="1098"/>
      <c r="IP560" s="1098"/>
      <c r="IQ560" s="1098"/>
      <c r="IR560" s="1098"/>
      <c r="IS560" s="1098"/>
      <c r="IT560" s="1098"/>
      <c r="IU560" s="1098"/>
      <c r="IV560" s="1098"/>
      <c r="IW560" s="1098"/>
      <c r="IX560" s="1098"/>
      <c r="IY560" s="1098"/>
      <c r="IZ560" s="1098"/>
      <c r="JA560" s="1098"/>
      <c r="JB560" s="1098"/>
      <c r="JC560" s="1098"/>
      <c r="JD560" s="1098"/>
      <c r="JE560" s="1098"/>
      <c r="JF560" s="1098"/>
      <c r="JG560" s="1098"/>
      <c r="JH560" s="1098"/>
      <c r="JI560" s="1098"/>
      <c r="JJ560" s="1098"/>
      <c r="JK560" s="1098"/>
      <c r="JL560" s="1098"/>
      <c r="JM560" s="1098"/>
      <c r="JN560" s="1098"/>
      <c r="JO560" s="1098"/>
      <c r="JP560" s="1098"/>
      <c r="JQ560" s="1098"/>
      <c r="JR560" s="1098"/>
      <c r="JS560" s="1098"/>
      <c r="JT560" s="1098"/>
      <c r="JU560" s="1098"/>
      <c r="JV560" s="1098"/>
      <c r="JW560" s="1098"/>
      <c r="JX560" s="1098"/>
      <c r="JY560" s="1098"/>
      <c r="JZ560" s="1098"/>
      <c r="KA560" s="1098"/>
      <c r="KB560" s="1099"/>
    </row>
    <row r="561" spans="2:288" ht="15" customHeight="1" x14ac:dyDescent="0.35">
      <c r="B561" s="146" t="str">
        <f t="shared" ref="B561:B592" si="46">B147</f>
        <v>Desk 34</v>
      </c>
      <c r="C561" s="148" t="str">
        <v/>
      </c>
      <c r="D561" s="148" t="str">
        <v/>
      </c>
      <c r="E561" s="148" t="str">
        <v/>
      </c>
      <c r="F561" s="148" t="str">
        <v/>
      </c>
      <c r="G561" s="268" t="str">
        <v/>
      </c>
      <c r="H561" s="1098"/>
      <c r="I561" s="1098"/>
      <c r="J561" s="1098"/>
      <c r="K561" s="1098"/>
      <c r="L561" s="1098"/>
      <c r="M561" s="1098"/>
      <c r="N561" s="1098"/>
      <c r="O561" s="1098"/>
      <c r="P561" s="1098"/>
      <c r="Q561" s="1098"/>
      <c r="R561" s="1098"/>
      <c r="S561" s="1098"/>
      <c r="T561" s="1098"/>
      <c r="U561" s="1098"/>
      <c r="V561" s="1098"/>
      <c r="W561" s="1098"/>
      <c r="X561" s="1098"/>
      <c r="Y561" s="1098"/>
      <c r="Z561" s="1098"/>
      <c r="AA561" s="1098"/>
      <c r="AB561" s="1098"/>
      <c r="AC561" s="1098"/>
      <c r="AD561" s="1098"/>
      <c r="AE561" s="1098"/>
      <c r="AF561" s="1098"/>
      <c r="AG561" s="1098"/>
      <c r="AH561" s="1098"/>
      <c r="AI561" s="1098"/>
      <c r="AJ561" s="1098"/>
      <c r="AK561" s="1098"/>
      <c r="AL561" s="1098"/>
      <c r="AM561" s="1098"/>
      <c r="AN561" s="1098"/>
      <c r="AO561" s="1098"/>
      <c r="AP561" s="1098"/>
      <c r="AQ561" s="1098"/>
      <c r="AR561" s="1098"/>
      <c r="AS561" s="1098"/>
      <c r="AT561" s="1098"/>
      <c r="AU561" s="1098"/>
      <c r="AV561" s="1098"/>
      <c r="AW561" s="1098"/>
      <c r="AX561" s="1098"/>
      <c r="AY561" s="1098"/>
      <c r="AZ561" s="1098"/>
      <c r="BA561" s="1098"/>
      <c r="BB561" s="1098"/>
      <c r="BC561" s="1098"/>
      <c r="BD561" s="1098"/>
      <c r="BE561" s="1098"/>
      <c r="BF561" s="1098"/>
      <c r="BG561" s="1098"/>
      <c r="BH561" s="1098"/>
      <c r="BI561" s="1098"/>
      <c r="BJ561" s="1098"/>
      <c r="BK561" s="1098"/>
      <c r="BL561" s="1098"/>
      <c r="BM561" s="1098"/>
      <c r="BN561" s="1098"/>
      <c r="BO561" s="1098"/>
      <c r="BP561" s="1098"/>
      <c r="BQ561" s="1098"/>
      <c r="BR561" s="1098"/>
      <c r="BS561" s="1098"/>
      <c r="BT561" s="1098"/>
      <c r="BU561" s="1098"/>
      <c r="BV561" s="1098"/>
      <c r="BW561" s="1098"/>
      <c r="BX561" s="1098"/>
      <c r="BY561" s="1098"/>
      <c r="BZ561" s="1098"/>
      <c r="CA561" s="1098"/>
      <c r="CB561" s="1098"/>
      <c r="CC561" s="1098"/>
      <c r="CD561" s="1098"/>
      <c r="CE561" s="1098"/>
      <c r="CF561" s="1098"/>
      <c r="CG561" s="1098"/>
      <c r="CH561" s="1098"/>
      <c r="CI561" s="1098"/>
      <c r="CJ561" s="1098"/>
      <c r="CK561" s="1098"/>
      <c r="CL561" s="1098"/>
      <c r="CM561" s="1098"/>
      <c r="CN561" s="1098"/>
      <c r="CO561" s="1098"/>
      <c r="CP561" s="1098"/>
      <c r="CQ561" s="1098"/>
      <c r="CR561" s="1098"/>
      <c r="CS561" s="1098"/>
      <c r="CT561" s="1098"/>
      <c r="CU561" s="1098"/>
      <c r="CV561" s="1098"/>
      <c r="CW561" s="1098"/>
      <c r="CX561" s="1098"/>
      <c r="CY561" s="1098"/>
      <c r="CZ561" s="1098"/>
      <c r="DA561" s="1098"/>
      <c r="DB561" s="1098"/>
      <c r="DC561" s="1098"/>
      <c r="DD561" s="1098"/>
      <c r="DE561" s="1098"/>
      <c r="DF561" s="1098"/>
      <c r="DG561" s="1098"/>
      <c r="DH561" s="1098"/>
      <c r="DI561" s="1098"/>
      <c r="DJ561" s="1098"/>
      <c r="DK561" s="1098"/>
      <c r="DL561" s="1098"/>
      <c r="DM561" s="1098"/>
      <c r="DN561" s="1098"/>
      <c r="DO561" s="1098"/>
      <c r="DP561" s="1098"/>
      <c r="DQ561" s="1098"/>
      <c r="DR561" s="1098"/>
      <c r="DS561" s="1098"/>
      <c r="DT561" s="1098"/>
      <c r="DU561" s="1098"/>
      <c r="DV561" s="1098"/>
      <c r="DW561" s="1098"/>
      <c r="DX561" s="1098"/>
      <c r="DY561" s="1098"/>
      <c r="DZ561" s="1098"/>
      <c r="EA561" s="1098"/>
      <c r="EB561" s="1098"/>
      <c r="EC561" s="1098"/>
      <c r="ED561" s="1098"/>
      <c r="EE561" s="1098"/>
      <c r="EF561" s="1098"/>
      <c r="EG561" s="1098"/>
      <c r="EH561" s="1098"/>
      <c r="EI561" s="1098"/>
      <c r="EJ561" s="1098"/>
      <c r="EK561" s="1098"/>
      <c r="EL561" s="1098"/>
      <c r="EM561" s="1098"/>
      <c r="EN561" s="1098"/>
      <c r="EO561" s="1098"/>
      <c r="EP561" s="1098"/>
      <c r="EQ561" s="1098"/>
      <c r="ER561" s="1098"/>
      <c r="ES561" s="1098"/>
      <c r="ET561" s="1098"/>
      <c r="EU561" s="1098"/>
      <c r="EV561" s="1098"/>
      <c r="EW561" s="1098"/>
      <c r="EX561" s="1098"/>
      <c r="EY561" s="1098"/>
      <c r="EZ561" s="1098"/>
      <c r="FA561" s="1098"/>
      <c r="FB561" s="1098"/>
      <c r="FC561" s="1098"/>
      <c r="FD561" s="1098"/>
      <c r="FE561" s="1098"/>
      <c r="FF561" s="1098"/>
      <c r="FG561" s="1098"/>
      <c r="FH561" s="1098"/>
      <c r="FI561" s="1098"/>
      <c r="FJ561" s="1098"/>
      <c r="FK561" s="1098"/>
      <c r="FL561" s="1098"/>
      <c r="FM561" s="1098"/>
      <c r="FN561" s="1098"/>
      <c r="FO561" s="1098"/>
      <c r="FP561" s="1098"/>
      <c r="FQ561" s="1098"/>
      <c r="FR561" s="1098"/>
      <c r="FS561" s="1098"/>
      <c r="FT561" s="1098"/>
      <c r="FU561" s="1098"/>
      <c r="FV561" s="1098"/>
      <c r="FW561" s="1098"/>
      <c r="FX561" s="1098"/>
      <c r="FY561" s="1098"/>
      <c r="FZ561" s="1098"/>
      <c r="GA561" s="1098"/>
      <c r="GB561" s="1098"/>
      <c r="GC561" s="1098"/>
      <c r="GD561" s="1098"/>
      <c r="GE561" s="1098"/>
      <c r="GF561" s="1098"/>
      <c r="GG561" s="1098"/>
      <c r="GH561" s="1098"/>
      <c r="GI561" s="1098"/>
      <c r="GJ561" s="1098"/>
      <c r="GK561" s="1098"/>
      <c r="GL561" s="1098"/>
      <c r="GM561" s="1098"/>
      <c r="GN561" s="1098"/>
      <c r="GO561" s="1098"/>
      <c r="GP561" s="1098"/>
      <c r="GQ561" s="1098"/>
      <c r="GR561" s="1098"/>
      <c r="GS561" s="1098"/>
      <c r="GT561" s="1098"/>
      <c r="GU561" s="1098"/>
      <c r="GV561" s="1098"/>
      <c r="GW561" s="1098"/>
      <c r="GX561" s="1098"/>
      <c r="GY561" s="1098"/>
      <c r="GZ561" s="1098"/>
      <c r="HA561" s="1098"/>
      <c r="HB561" s="1098"/>
      <c r="HC561" s="1098"/>
      <c r="HD561" s="1098"/>
      <c r="HE561" s="1098"/>
      <c r="HF561" s="1098"/>
      <c r="HG561" s="1098"/>
      <c r="HH561" s="1098"/>
      <c r="HI561" s="1098"/>
      <c r="HJ561" s="1098"/>
      <c r="HK561" s="1098"/>
      <c r="HL561" s="1098"/>
      <c r="HM561" s="1098"/>
      <c r="HN561" s="1098"/>
      <c r="HO561" s="1098"/>
      <c r="HP561" s="1098"/>
      <c r="HQ561" s="1098"/>
      <c r="HR561" s="1098"/>
      <c r="HS561" s="1098"/>
      <c r="HT561" s="1098"/>
      <c r="HU561" s="1098"/>
      <c r="HV561" s="1098"/>
      <c r="HW561" s="1098"/>
      <c r="HX561" s="1098"/>
      <c r="HY561" s="1098"/>
      <c r="HZ561" s="1098"/>
      <c r="IA561" s="1098"/>
      <c r="IB561" s="1098"/>
      <c r="IC561" s="1098"/>
      <c r="ID561" s="1098"/>
      <c r="IE561" s="1098"/>
      <c r="IF561" s="1098"/>
      <c r="IG561" s="1098"/>
      <c r="IH561" s="1098"/>
      <c r="II561" s="1098"/>
      <c r="IJ561" s="1098"/>
      <c r="IK561" s="1098"/>
      <c r="IL561" s="1098"/>
      <c r="IM561" s="1098"/>
      <c r="IN561" s="1098"/>
      <c r="IO561" s="1098"/>
      <c r="IP561" s="1098"/>
      <c r="IQ561" s="1098"/>
      <c r="IR561" s="1098"/>
      <c r="IS561" s="1098"/>
      <c r="IT561" s="1098"/>
      <c r="IU561" s="1098"/>
      <c r="IV561" s="1098"/>
      <c r="IW561" s="1098"/>
      <c r="IX561" s="1098"/>
      <c r="IY561" s="1098"/>
      <c r="IZ561" s="1098"/>
      <c r="JA561" s="1098"/>
      <c r="JB561" s="1098"/>
      <c r="JC561" s="1098"/>
      <c r="JD561" s="1098"/>
      <c r="JE561" s="1098"/>
      <c r="JF561" s="1098"/>
      <c r="JG561" s="1098"/>
      <c r="JH561" s="1098"/>
      <c r="JI561" s="1098"/>
      <c r="JJ561" s="1098"/>
      <c r="JK561" s="1098"/>
      <c r="JL561" s="1098"/>
      <c r="JM561" s="1098"/>
      <c r="JN561" s="1098"/>
      <c r="JO561" s="1098"/>
      <c r="JP561" s="1098"/>
      <c r="JQ561" s="1098"/>
      <c r="JR561" s="1098"/>
      <c r="JS561" s="1098"/>
      <c r="JT561" s="1098"/>
      <c r="JU561" s="1098"/>
      <c r="JV561" s="1098"/>
      <c r="JW561" s="1098"/>
      <c r="JX561" s="1098"/>
      <c r="JY561" s="1098"/>
      <c r="JZ561" s="1098"/>
      <c r="KA561" s="1098"/>
      <c r="KB561" s="1099"/>
    </row>
    <row r="562" spans="2:288" ht="15" customHeight="1" x14ac:dyDescent="0.35">
      <c r="B562" s="146" t="str">
        <f t="shared" si="46"/>
        <v>Desk 35</v>
      </c>
      <c r="C562" s="148" t="str">
        <v/>
      </c>
      <c r="D562" s="148" t="str">
        <v/>
      </c>
      <c r="E562" s="148" t="str">
        <v/>
      </c>
      <c r="F562" s="148" t="str">
        <v/>
      </c>
      <c r="G562" s="268" t="str">
        <v/>
      </c>
      <c r="H562" s="1098"/>
      <c r="I562" s="1098"/>
      <c r="J562" s="1098"/>
      <c r="K562" s="1098"/>
      <c r="L562" s="1098"/>
      <c r="M562" s="1098"/>
      <c r="N562" s="1098"/>
      <c r="O562" s="1098"/>
      <c r="P562" s="1098"/>
      <c r="Q562" s="1098"/>
      <c r="R562" s="1098"/>
      <c r="S562" s="1098"/>
      <c r="T562" s="1098"/>
      <c r="U562" s="1098"/>
      <c r="V562" s="1098"/>
      <c r="W562" s="1098"/>
      <c r="X562" s="1098"/>
      <c r="Y562" s="1098"/>
      <c r="Z562" s="1098"/>
      <c r="AA562" s="1098"/>
      <c r="AB562" s="1098"/>
      <c r="AC562" s="1098"/>
      <c r="AD562" s="1098"/>
      <c r="AE562" s="1098"/>
      <c r="AF562" s="1098"/>
      <c r="AG562" s="1098"/>
      <c r="AH562" s="1098"/>
      <c r="AI562" s="1098"/>
      <c r="AJ562" s="1098"/>
      <c r="AK562" s="1098"/>
      <c r="AL562" s="1098"/>
      <c r="AM562" s="1098"/>
      <c r="AN562" s="1098"/>
      <c r="AO562" s="1098"/>
      <c r="AP562" s="1098"/>
      <c r="AQ562" s="1098"/>
      <c r="AR562" s="1098"/>
      <c r="AS562" s="1098"/>
      <c r="AT562" s="1098"/>
      <c r="AU562" s="1098"/>
      <c r="AV562" s="1098"/>
      <c r="AW562" s="1098"/>
      <c r="AX562" s="1098"/>
      <c r="AY562" s="1098"/>
      <c r="AZ562" s="1098"/>
      <c r="BA562" s="1098"/>
      <c r="BB562" s="1098"/>
      <c r="BC562" s="1098"/>
      <c r="BD562" s="1098"/>
      <c r="BE562" s="1098"/>
      <c r="BF562" s="1098"/>
      <c r="BG562" s="1098"/>
      <c r="BH562" s="1098"/>
      <c r="BI562" s="1098"/>
      <c r="BJ562" s="1098"/>
      <c r="BK562" s="1098"/>
      <c r="BL562" s="1098"/>
      <c r="BM562" s="1098"/>
      <c r="BN562" s="1098"/>
      <c r="BO562" s="1098"/>
      <c r="BP562" s="1098"/>
      <c r="BQ562" s="1098"/>
      <c r="BR562" s="1098"/>
      <c r="BS562" s="1098"/>
      <c r="BT562" s="1098"/>
      <c r="BU562" s="1098"/>
      <c r="BV562" s="1098"/>
      <c r="BW562" s="1098"/>
      <c r="BX562" s="1098"/>
      <c r="BY562" s="1098"/>
      <c r="BZ562" s="1098"/>
      <c r="CA562" s="1098"/>
      <c r="CB562" s="1098"/>
      <c r="CC562" s="1098"/>
      <c r="CD562" s="1098"/>
      <c r="CE562" s="1098"/>
      <c r="CF562" s="1098"/>
      <c r="CG562" s="1098"/>
      <c r="CH562" s="1098"/>
      <c r="CI562" s="1098"/>
      <c r="CJ562" s="1098"/>
      <c r="CK562" s="1098"/>
      <c r="CL562" s="1098"/>
      <c r="CM562" s="1098"/>
      <c r="CN562" s="1098"/>
      <c r="CO562" s="1098"/>
      <c r="CP562" s="1098"/>
      <c r="CQ562" s="1098"/>
      <c r="CR562" s="1098"/>
      <c r="CS562" s="1098"/>
      <c r="CT562" s="1098"/>
      <c r="CU562" s="1098"/>
      <c r="CV562" s="1098"/>
      <c r="CW562" s="1098"/>
      <c r="CX562" s="1098"/>
      <c r="CY562" s="1098"/>
      <c r="CZ562" s="1098"/>
      <c r="DA562" s="1098"/>
      <c r="DB562" s="1098"/>
      <c r="DC562" s="1098"/>
      <c r="DD562" s="1098"/>
      <c r="DE562" s="1098"/>
      <c r="DF562" s="1098"/>
      <c r="DG562" s="1098"/>
      <c r="DH562" s="1098"/>
      <c r="DI562" s="1098"/>
      <c r="DJ562" s="1098"/>
      <c r="DK562" s="1098"/>
      <c r="DL562" s="1098"/>
      <c r="DM562" s="1098"/>
      <c r="DN562" s="1098"/>
      <c r="DO562" s="1098"/>
      <c r="DP562" s="1098"/>
      <c r="DQ562" s="1098"/>
      <c r="DR562" s="1098"/>
      <c r="DS562" s="1098"/>
      <c r="DT562" s="1098"/>
      <c r="DU562" s="1098"/>
      <c r="DV562" s="1098"/>
      <c r="DW562" s="1098"/>
      <c r="DX562" s="1098"/>
      <c r="DY562" s="1098"/>
      <c r="DZ562" s="1098"/>
      <c r="EA562" s="1098"/>
      <c r="EB562" s="1098"/>
      <c r="EC562" s="1098"/>
      <c r="ED562" s="1098"/>
      <c r="EE562" s="1098"/>
      <c r="EF562" s="1098"/>
      <c r="EG562" s="1098"/>
      <c r="EH562" s="1098"/>
      <c r="EI562" s="1098"/>
      <c r="EJ562" s="1098"/>
      <c r="EK562" s="1098"/>
      <c r="EL562" s="1098"/>
      <c r="EM562" s="1098"/>
      <c r="EN562" s="1098"/>
      <c r="EO562" s="1098"/>
      <c r="EP562" s="1098"/>
      <c r="EQ562" s="1098"/>
      <c r="ER562" s="1098"/>
      <c r="ES562" s="1098"/>
      <c r="ET562" s="1098"/>
      <c r="EU562" s="1098"/>
      <c r="EV562" s="1098"/>
      <c r="EW562" s="1098"/>
      <c r="EX562" s="1098"/>
      <c r="EY562" s="1098"/>
      <c r="EZ562" s="1098"/>
      <c r="FA562" s="1098"/>
      <c r="FB562" s="1098"/>
      <c r="FC562" s="1098"/>
      <c r="FD562" s="1098"/>
      <c r="FE562" s="1098"/>
      <c r="FF562" s="1098"/>
      <c r="FG562" s="1098"/>
      <c r="FH562" s="1098"/>
      <c r="FI562" s="1098"/>
      <c r="FJ562" s="1098"/>
      <c r="FK562" s="1098"/>
      <c r="FL562" s="1098"/>
      <c r="FM562" s="1098"/>
      <c r="FN562" s="1098"/>
      <c r="FO562" s="1098"/>
      <c r="FP562" s="1098"/>
      <c r="FQ562" s="1098"/>
      <c r="FR562" s="1098"/>
      <c r="FS562" s="1098"/>
      <c r="FT562" s="1098"/>
      <c r="FU562" s="1098"/>
      <c r="FV562" s="1098"/>
      <c r="FW562" s="1098"/>
      <c r="FX562" s="1098"/>
      <c r="FY562" s="1098"/>
      <c r="FZ562" s="1098"/>
      <c r="GA562" s="1098"/>
      <c r="GB562" s="1098"/>
      <c r="GC562" s="1098"/>
      <c r="GD562" s="1098"/>
      <c r="GE562" s="1098"/>
      <c r="GF562" s="1098"/>
      <c r="GG562" s="1098"/>
      <c r="GH562" s="1098"/>
      <c r="GI562" s="1098"/>
      <c r="GJ562" s="1098"/>
      <c r="GK562" s="1098"/>
      <c r="GL562" s="1098"/>
      <c r="GM562" s="1098"/>
      <c r="GN562" s="1098"/>
      <c r="GO562" s="1098"/>
      <c r="GP562" s="1098"/>
      <c r="GQ562" s="1098"/>
      <c r="GR562" s="1098"/>
      <c r="GS562" s="1098"/>
      <c r="GT562" s="1098"/>
      <c r="GU562" s="1098"/>
      <c r="GV562" s="1098"/>
      <c r="GW562" s="1098"/>
      <c r="GX562" s="1098"/>
      <c r="GY562" s="1098"/>
      <c r="GZ562" s="1098"/>
      <c r="HA562" s="1098"/>
      <c r="HB562" s="1098"/>
      <c r="HC562" s="1098"/>
      <c r="HD562" s="1098"/>
      <c r="HE562" s="1098"/>
      <c r="HF562" s="1098"/>
      <c r="HG562" s="1098"/>
      <c r="HH562" s="1098"/>
      <c r="HI562" s="1098"/>
      <c r="HJ562" s="1098"/>
      <c r="HK562" s="1098"/>
      <c r="HL562" s="1098"/>
      <c r="HM562" s="1098"/>
      <c r="HN562" s="1098"/>
      <c r="HO562" s="1098"/>
      <c r="HP562" s="1098"/>
      <c r="HQ562" s="1098"/>
      <c r="HR562" s="1098"/>
      <c r="HS562" s="1098"/>
      <c r="HT562" s="1098"/>
      <c r="HU562" s="1098"/>
      <c r="HV562" s="1098"/>
      <c r="HW562" s="1098"/>
      <c r="HX562" s="1098"/>
      <c r="HY562" s="1098"/>
      <c r="HZ562" s="1098"/>
      <c r="IA562" s="1098"/>
      <c r="IB562" s="1098"/>
      <c r="IC562" s="1098"/>
      <c r="ID562" s="1098"/>
      <c r="IE562" s="1098"/>
      <c r="IF562" s="1098"/>
      <c r="IG562" s="1098"/>
      <c r="IH562" s="1098"/>
      <c r="II562" s="1098"/>
      <c r="IJ562" s="1098"/>
      <c r="IK562" s="1098"/>
      <c r="IL562" s="1098"/>
      <c r="IM562" s="1098"/>
      <c r="IN562" s="1098"/>
      <c r="IO562" s="1098"/>
      <c r="IP562" s="1098"/>
      <c r="IQ562" s="1098"/>
      <c r="IR562" s="1098"/>
      <c r="IS562" s="1098"/>
      <c r="IT562" s="1098"/>
      <c r="IU562" s="1098"/>
      <c r="IV562" s="1098"/>
      <c r="IW562" s="1098"/>
      <c r="IX562" s="1098"/>
      <c r="IY562" s="1098"/>
      <c r="IZ562" s="1098"/>
      <c r="JA562" s="1098"/>
      <c r="JB562" s="1098"/>
      <c r="JC562" s="1098"/>
      <c r="JD562" s="1098"/>
      <c r="JE562" s="1098"/>
      <c r="JF562" s="1098"/>
      <c r="JG562" s="1098"/>
      <c r="JH562" s="1098"/>
      <c r="JI562" s="1098"/>
      <c r="JJ562" s="1098"/>
      <c r="JK562" s="1098"/>
      <c r="JL562" s="1098"/>
      <c r="JM562" s="1098"/>
      <c r="JN562" s="1098"/>
      <c r="JO562" s="1098"/>
      <c r="JP562" s="1098"/>
      <c r="JQ562" s="1098"/>
      <c r="JR562" s="1098"/>
      <c r="JS562" s="1098"/>
      <c r="JT562" s="1098"/>
      <c r="JU562" s="1098"/>
      <c r="JV562" s="1098"/>
      <c r="JW562" s="1098"/>
      <c r="JX562" s="1098"/>
      <c r="JY562" s="1098"/>
      <c r="JZ562" s="1098"/>
      <c r="KA562" s="1098"/>
      <c r="KB562" s="1099"/>
    </row>
    <row r="563" spans="2:288" ht="15" customHeight="1" x14ac:dyDescent="0.35">
      <c r="B563" s="146" t="str">
        <f t="shared" si="46"/>
        <v>Desk 36</v>
      </c>
      <c r="C563" s="148" t="str">
        <v/>
      </c>
      <c r="D563" s="148" t="str">
        <v/>
      </c>
      <c r="E563" s="148" t="str">
        <v/>
      </c>
      <c r="F563" s="148" t="str">
        <v/>
      </c>
      <c r="G563" s="268" t="str">
        <v/>
      </c>
      <c r="H563" s="1098"/>
      <c r="I563" s="1098"/>
      <c r="J563" s="1098"/>
      <c r="K563" s="1098"/>
      <c r="L563" s="1098"/>
      <c r="M563" s="1098"/>
      <c r="N563" s="1098"/>
      <c r="O563" s="1098"/>
      <c r="P563" s="1098"/>
      <c r="Q563" s="1098"/>
      <c r="R563" s="1098"/>
      <c r="S563" s="1098"/>
      <c r="T563" s="1098"/>
      <c r="U563" s="1098"/>
      <c r="V563" s="1098"/>
      <c r="W563" s="1098"/>
      <c r="X563" s="1098"/>
      <c r="Y563" s="1098"/>
      <c r="Z563" s="1098"/>
      <c r="AA563" s="1098"/>
      <c r="AB563" s="1098"/>
      <c r="AC563" s="1098"/>
      <c r="AD563" s="1098"/>
      <c r="AE563" s="1098"/>
      <c r="AF563" s="1098"/>
      <c r="AG563" s="1098"/>
      <c r="AH563" s="1098"/>
      <c r="AI563" s="1098"/>
      <c r="AJ563" s="1098"/>
      <c r="AK563" s="1098"/>
      <c r="AL563" s="1098"/>
      <c r="AM563" s="1098"/>
      <c r="AN563" s="1098"/>
      <c r="AO563" s="1098"/>
      <c r="AP563" s="1098"/>
      <c r="AQ563" s="1098"/>
      <c r="AR563" s="1098"/>
      <c r="AS563" s="1098"/>
      <c r="AT563" s="1098"/>
      <c r="AU563" s="1098"/>
      <c r="AV563" s="1098"/>
      <c r="AW563" s="1098"/>
      <c r="AX563" s="1098"/>
      <c r="AY563" s="1098"/>
      <c r="AZ563" s="1098"/>
      <c r="BA563" s="1098"/>
      <c r="BB563" s="1098"/>
      <c r="BC563" s="1098"/>
      <c r="BD563" s="1098"/>
      <c r="BE563" s="1098"/>
      <c r="BF563" s="1098"/>
      <c r="BG563" s="1098"/>
      <c r="BH563" s="1098"/>
      <c r="BI563" s="1098"/>
      <c r="BJ563" s="1098"/>
      <c r="BK563" s="1098"/>
      <c r="BL563" s="1098"/>
      <c r="BM563" s="1098"/>
      <c r="BN563" s="1098"/>
      <c r="BO563" s="1098"/>
      <c r="BP563" s="1098"/>
      <c r="BQ563" s="1098"/>
      <c r="BR563" s="1098"/>
      <c r="BS563" s="1098"/>
      <c r="BT563" s="1098"/>
      <c r="BU563" s="1098"/>
      <c r="BV563" s="1098"/>
      <c r="BW563" s="1098"/>
      <c r="BX563" s="1098"/>
      <c r="BY563" s="1098"/>
      <c r="BZ563" s="1098"/>
      <c r="CA563" s="1098"/>
      <c r="CB563" s="1098"/>
      <c r="CC563" s="1098"/>
      <c r="CD563" s="1098"/>
      <c r="CE563" s="1098"/>
      <c r="CF563" s="1098"/>
      <c r="CG563" s="1098"/>
      <c r="CH563" s="1098"/>
      <c r="CI563" s="1098"/>
      <c r="CJ563" s="1098"/>
      <c r="CK563" s="1098"/>
      <c r="CL563" s="1098"/>
      <c r="CM563" s="1098"/>
      <c r="CN563" s="1098"/>
      <c r="CO563" s="1098"/>
      <c r="CP563" s="1098"/>
      <c r="CQ563" s="1098"/>
      <c r="CR563" s="1098"/>
      <c r="CS563" s="1098"/>
      <c r="CT563" s="1098"/>
      <c r="CU563" s="1098"/>
      <c r="CV563" s="1098"/>
      <c r="CW563" s="1098"/>
      <c r="CX563" s="1098"/>
      <c r="CY563" s="1098"/>
      <c r="CZ563" s="1098"/>
      <c r="DA563" s="1098"/>
      <c r="DB563" s="1098"/>
      <c r="DC563" s="1098"/>
      <c r="DD563" s="1098"/>
      <c r="DE563" s="1098"/>
      <c r="DF563" s="1098"/>
      <c r="DG563" s="1098"/>
      <c r="DH563" s="1098"/>
      <c r="DI563" s="1098"/>
      <c r="DJ563" s="1098"/>
      <c r="DK563" s="1098"/>
      <c r="DL563" s="1098"/>
      <c r="DM563" s="1098"/>
      <c r="DN563" s="1098"/>
      <c r="DO563" s="1098"/>
      <c r="DP563" s="1098"/>
      <c r="DQ563" s="1098"/>
      <c r="DR563" s="1098"/>
      <c r="DS563" s="1098"/>
      <c r="DT563" s="1098"/>
      <c r="DU563" s="1098"/>
      <c r="DV563" s="1098"/>
      <c r="DW563" s="1098"/>
      <c r="DX563" s="1098"/>
      <c r="DY563" s="1098"/>
      <c r="DZ563" s="1098"/>
      <c r="EA563" s="1098"/>
      <c r="EB563" s="1098"/>
      <c r="EC563" s="1098"/>
      <c r="ED563" s="1098"/>
      <c r="EE563" s="1098"/>
      <c r="EF563" s="1098"/>
      <c r="EG563" s="1098"/>
      <c r="EH563" s="1098"/>
      <c r="EI563" s="1098"/>
      <c r="EJ563" s="1098"/>
      <c r="EK563" s="1098"/>
      <c r="EL563" s="1098"/>
      <c r="EM563" s="1098"/>
      <c r="EN563" s="1098"/>
      <c r="EO563" s="1098"/>
      <c r="EP563" s="1098"/>
      <c r="EQ563" s="1098"/>
      <c r="ER563" s="1098"/>
      <c r="ES563" s="1098"/>
      <c r="ET563" s="1098"/>
      <c r="EU563" s="1098"/>
      <c r="EV563" s="1098"/>
      <c r="EW563" s="1098"/>
      <c r="EX563" s="1098"/>
      <c r="EY563" s="1098"/>
      <c r="EZ563" s="1098"/>
      <c r="FA563" s="1098"/>
      <c r="FB563" s="1098"/>
      <c r="FC563" s="1098"/>
      <c r="FD563" s="1098"/>
      <c r="FE563" s="1098"/>
      <c r="FF563" s="1098"/>
      <c r="FG563" s="1098"/>
      <c r="FH563" s="1098"/>
      <c r="FI563" s="1098"/>
      <c r="FJ563" s="1098"/>
      <c r="FK563" s="1098"/>
      <c r="FL563" s="1098"/>
      <c r="FM563" s="1098"/>
      <c r="FN563" s="1098"/>
      <c r="FO563" s="1098"/>
      <c r="FP563" s="1098"/>
      <c r="FQ563" s="1098"/>
      <c r="FR563" s="1098"/>
      <c r="FS563" s="1098"/>
      <c r="FT563" s="1098"/>
      <c r="FU563" s="1098"/>
      <c r="FV563" s="1098"/>
      <c r="FW563" s="1098"/>
      <c r="FX563" s="1098"/>
      <c r="FY563" s="1098"/>
      <c r="FZ563" s="1098"/>
      <c r="GA563" s="1098"/>
      <c r="GB563" s="1098"/>
      <c r="GC563" s="1098"/>
      <c r="GD563" s="1098"/>
      <c r="GE563" s="1098"/>
      <c r="GF563" s="1098"/>
      <c r="GG563" s="1098"/>
      <c r="GH563" s="1098"/>
      <c r="GI563" s="1098"/>
      <c r="GJ563" s="1098"/>
      <c r="GK563" s="1098"/>
      <c r="GL563" s="1098"/>
      <c r="GM563" s="1098"/>
      <c r="GN563" s="1098"/>
      <c r="GO563" s="1098"/>
      <c r="GP563" s="1098"/>
      <c r="GQ563" s="1098"/>
      <c r="GR563" s="1098"/>
      <c r="GS563" s="1098"/>
      <c r="GT563" s="1098"/>
      <c r="GU563" s="1098"/>
      <c r="GV563" s="1098"/>
      <c r="GW563" s="1098"/>
      <c r="GX563" s="1098"/>
      <c r="GY563" s="1098"/>
      <c r="GZ563" s="1098"/>
      <c r="HA563" s="1098"/>
      <c r="HB563" s="1098"/>
      <c r="HC563" s="1098"/>
      <c r="HD563" s="1098"/>
      <c r="HE563" s="1098"/>
      <c r="HF563" s="1098"/>
      <c r="HG563" s="1098"/>
      <c r="HH563" s="1098"/>
      <c r="HI563" s="1098"/>
      <c r="HJ563" s="1098"/>
      <c r="HK563" s="1098"/>
      <c r="HL563" s="1098"/>
      <c r="HM563" s="1098"/>
      <c r="HN563" s="1098"/>
      <c r="HO563" s="1098"/>
      <c r="HP563" s="1098"/>
      <c r="HQ563" s="1098"/>
      <c r="HR563" s="1098"/>
      <c r="HS563" s="1098"/>
      <c r="HT563" s="1098"/>
      <c r="HU563" s="1098"/>
      <c r="HV563" s="1098"/>
      <c r="HW563" s="1098"/>
      <c r="HX563" s="1098"/>
      <c r="HY563" s="1098"/>
      <c r="HZ563" s="1098"/>
      <c r="IA563" s="1098"/>
      <c r="IB563" s="1098"/>
      <c r="IC563" s="1098"/>
      <c r="ID563" s="1098"/>
      <c r="IE563" s="1098"/>
      <c r="IF563" s="1098"/>
      <c r="IG563" s="1098"/>
      <c r="IH563" s="1098"/>
      <c r="II563" s="1098"/>
      <c r="IJ563" s="1098"/>
      <c r="IK563" s="1098"/>
      <c r="IL563" s="1098"/>
      <c r="IM563" s="1098"/>
      <c r="IN563" s="1098"/>
      <c r="IO563" s="1098"/>
      <c r="IP563" s="1098"/>
      <c r="IQ563" s="1098"/>
      <c r="IR563" s="1098"/>
      <c r="IS563" s="1098"/>
      <c r="IT563" s="1098"/>
      <c r="IU563" s="1098"/>
      <c r="IV563" s="1098"/>
      <c r="IW563" s="1098"/>
      <c r="IX563" s="1098"/>
      <c r="IY563" s="1098"/>
      <c r="IZ563" s="1098"/>
      <c r="JA563" s="1098"/>
      <c r="JB563" s="1098"/>
      <c r="JC563" s="1098"/>
      <c r="JD563" s="1098"/>
      <c r="JE563" s="1098"/>
      <c r="JF563" s="1098"/>
      <c r="JG563" s="1098"/>
      <c r="JH563" s="1098"/>
      <c r="JI563" s="1098"/>
      <c r="JJ563" s="1098"/>
      <c r="JK563" s="1098"/>
      <c r="JL563" s="1098"/>
      <c r="JM563" s="1098"/>
      <c r="JN563" s="1098"/>
      <c r="JO563" s="1098"/>
      <c r="JP563" s="1098"/>
      <c r="JQ563" s="1098"/>
      <c r="JR563" s="1098"/>
      <c r="JS563" s="1098"/>
      <c r="JT563" s="1098"/>
      <c r="JU563" s="1098"/>
      <c r="JV563" s="1098"/>
      <c r="JW563" s="1098"/>
      <c r="JX563" s="1098"/>
      <c r="JY563" s="1098"/>
      <c r="JZ563" s="1098"/>
      <c r="KA563" s="1098"/>
      <c r="KB563" s="1099"/>
    </row>
    <row r="564" spans="2:288" ht="15" customHeight="1" x14ac:dyDescent="0.35">
      <c r="B564" s="146" t="str">
        <f t="shared" si="46"/>
        <v>Desk 37</v>
      </c>
      <c r="C564" s="148" t="str">
        <v/>
      </c>
      <c r="D564" s="148" t="str">
        <v/>
      </c>
      <c r="E564" s="148" t="str">
        <v/>
      </c>
      <c r="F564" s="148" t="str">
        <v/>
      </c>
      <c r="G564" s="268" t="str">
        <v/>
      </c>
      <c r="H564" s="1098"/>
      <c r="I564" s="1098"/>
      <c r="J564" s="1098"/>
      <c r="K564" s="1098"/>
      <c r="L564" s="1098"/>
      <c r="M564" s="1098"/>
      <c r="N564" s="1098"/>
      <c r="O564" s="1098"/>
      <c r="P564" s="1098"/>
      <c r="Q564" s="1098"/>
      <c r="R564" s="1098"/>
      <c r="S564" s="1098"/>
      <c r="T564" s="1098"/>
      <c r="U564" s="1098"/>
      <c r="V564" s="1098"/>
      <c r="W564" s="1098"/>
      <c r="X564" s="1098"/>
      <c r="Y564" s="1098"/>
      <c r="Z564" s="1098"/>
      <c r="AA564" s="1098"/>
      <c r="AB564" s="1098"/>
      <c r="AC564" s="1098"/>
      <c r="AD564" s="1098"/>
      <c r="AE564" s="1098"/>
      <c r="AF564" s="1098"/>
      <c r="AG564" s="1098"/>
      <c r="AH564" s="1098"/>
      <c r="AI564" s="1098"/>
      <c r="AJ564" s="1098"/>
      <c r="AK564" s="1098"/>
      <c r="AL564" s="1098"/>
      <c r="AM564" s="1098"/>
      <c r="AN564" s="1098"/>
      <c r="AO564" s="1098"/>
      <c r="AP564" s="1098"/>
      <c r="AQ564" s="1098"/>
      <c r="AR564" s="1098"/>
      <c r="AS564" s="1098"/>
      <c r="AT564" s="1098"/>
      <c r="AU564" s="1098"/>
      <c r="AV564" s="1098"/>
      <c r="AW564" s="1098"/>
      <c r="AX564" s="1098"/>
      <c r="AY564" s="1098"/>
      <c r="AZ564" s="1098"/>
      <c r="BA564" s="1098"/>
      <c r="BB564" s="1098"/>
      <c r="BC564" s="1098"/>
      <c r="BD564" s="1098"/>
      <c r="BE564" s="1098"/>
      <c r="BF564" s="1098"/>
      <c r="BG564" s="1098"/>
      <c r="BH564" s="1098"/>
      <c r="BI564" s="1098"/>
      <c r="BJ564" s="1098"/>
      <c r="BK564" s="1098"/>
      <c r="BL564" s="1098"/>
      <c r="BM564" s="1098"/>
      <c r="BN564" s="1098"/>
      <c r="BO564" s="1098"/>
      <c r="BP564" s="1098"/>
      <c r="BQ564" s="1098"/>
      <c r="BR564" s="1098"/>
      <c r="BS564" s="1098"/>
      <c r="BT564" s="1098"/>
      <c r="BU564" s="1098"/>
      <c r="BV564" s="1098"/>
      <c r="BW564" s="1098"/>
      <c r="BX564" s="1098"/>
      <c r="BY564" s="1098"/>
      <c r="BZ564" s="1098"/>
      <c r="CA564" s="1098"/>
      <c r="CB564" s="1098"/>
      <c r="CC564" s="1098"/>
      <c r="CD564" s="1098"/>
      <c r="CE564" s="1098"/>
      <c r="CF564" s="1098"/>
      <c r="CG564" s="1098"/>
      <c r="CH564" s="1098"/>
      <c r="CI564" s="1098"/>
      <c r="CJ564" s="1098"/>
      <c r="CK564" s="1098"/>
      <c r="CL564" s="1098"/>
      <c r="CM564" s="1098"/>
      <c r="CN564" s="1098"/>
      <c r="CO564" s="1098"/>
      <c r="CP564" s="1098"/>
      <c r="CQ564" s="1098"/>
      <c r="CR564" s="1098"/>
      <c r="CS564" s="1098"/>
      <c r="CT564" s="1098"/>
      <c r="CU564" s="1098"/>
      <c r="CV564" s="1098"/>
      <c r="CW564" s="1098"/>
      <c r="CX564" s="1098"/>
      <c r="CY564" s="1098"/>
      <c r="CZ564" s="1098"/>
      <c r="DA564" s="1098"/>
      <c r="DB564" s="1098"/>
      <c r="DC564" s="1098"/>
      <c r="DD564" s="1098"/>
      <c r="DE564" s="1098"/>
      <c r="DF564" s="1098"/>
      <c r="DG564" s="1098"/>
      <c r="DH564" s="1098"/>
      <c r="DI564" s="1098"/>
      <c r="DJ564" s="1098"/>
      <c r="DK564" s="1098"/>
      <c r="DL564" s="1098"/>
      <c r="DM564" s="1098"/>
      <c r="DN564" s="1098"/>
      <c r="DO564" s="1098"/>
      <c r="DP564" s="1098"/>
      <c r="DQ564" s="1098"/>
      <c r="DR564" s="1098"/>
      <c r="DS564" s="1098"/>
      <c r="DT564" s="1098"/>
      <c r="DU564" s="1098"/>
      <c r="DV564" s="1098"/>
      <c r="DW564" s="1098"/>
      <c r="DX564" s="1098"/>
      <c r="DY564" s="1098"/>
      <c r="DZ564" s="1098"/>
      <c r="EA564" s="1098"/>
      <c r="EB564" s="1098"/>
      <c r="EC564" s="1098"/>
      <c r="ED564" s="1098"/>
      <c r="EE564" s="1098"/>
      <c r="EF564" s="1098"/>
      <c r="EG564" s="1098"/>
      <c r="EH564" s="1098"/>
      <c r="EI564" s="1098"/>
      <c r="EJ564" s="1098"/>
      <c r="EK564" s="1098"/>
      <c r="EL564" s="1098"/>
      <c r="EM564" s="1098"/>
      <c r="EN564" s="1098"/>
      <c r="EO564" s="1098"/>
      <c r="EP564" s="1098"/>
      <c r="EQ564" s="1098"/>
      <c r="ER564" s="1098"/>
      <c r="ES564" s="1098"/>
      <c r="ET564" s="1098"/>
      <c r="EU564" s="1098"/>
      <c r="EV564" s="1098"/>
      <c r="EW564" s="1098"/>
      <c r="EX564" s="1098"/>
      <c r="EY564" s="1098"/>
      <c r="EZ564" s="1098"/>
      <c r="FA564" s="1098"/>
      <c r="FB564" s="1098"/>
      <c r="FC564" s="1098"/>
      <c r="FD564" s="1098"/>
      <c r="FE564" s="1098"/>
      <c r="FF564" s="1098"/>
      <c r="FG564" s="1098"/>
      <c r="FH564" s="1098"/>
      <c r="FI564" s="1098"/>
      <c r="FJ564" s="1098"/>
      <c r="FK564" s="1098"/>
      <c r="FL564" s="1098"/>
      <c r="FM564" s="1098"/>
      <c r="FN564" s="1098"/>
      <c r="FO564" s="1098"/>
      <c r="FP564" s="1098"/>
      <c r="FQ564" s="1098"/>
      <c r="FR564" s="1098"/>
      <c r="FS564" s="1098"/>
      <c r="FT564" s="1098"/>
      <c r="FU564" s="1098"/>
      <c r="FV564" s="1098"/>
      <c r="FW564" s="1098"/>
      <c r="FX564" s="1098"/>
      <c r="FY564" s="1098"/>
      <c r="FZ564" s="1098"/>
      <c r="GA564" s="1098"/>
      <c r="GB564" s="1098"/>
      <c r="GC564" s="1098"/>
      <c r="GD564" s="1098"/>
      <c r="GE564" s="1098"/>
      <c r="GF564" s="1098"/>
      <c r="GG564" s="1098"/>
      <c r="GH564" s="1098"/>
      <c r="GI564" s="1098"/>
      <c r="GJ564" s="1098"/>
      <c r="GK564" s="1098"/>
      <c r="GL564" s="1098"/>
      <c r="GM564" s="1098"/>
      <c r="GN564" s="1098"/>
      <c r="GO564" s="1098"/>
      <c r="GP564" s="1098"/>
      <c r="GQ564" s="1098"/>
      <c r="GR564" s="1098"/>
      <c r="GS564" s="1098"/>
      <c r="GT564" s="1098"/>
      <c r="GU564" s="1098"/>
      <c r="GV564" s="1098"/>
      <c r="GW564" s="1098"/>
      <c r="GX564" s="1098"/>
      <c r="GY564" s="1098"/>
      <c r="GZ564" s="1098"/>
      <c r="HA564" s="1098"/>
      <c r="HB564" s="1098"/>
      <c r="HC564" s="1098"/>
      <c r="HD564" s="1098"/>
      <c r="HE564" s="1098"/>
      <c r="HF564" s="1098"/>
      <c r="HG564" s="1098"/>
      <c r="HH564" s="1098"/>
      <c r="HI564" s="1098"/>
      <c r="HJ564" s="1098"/>
      <c r="HK564" s="1098"/>
      <c r="HL564" s="1098"/>
      <c r="HM564" s="1098"/>
      <c r="HN564" s="1098"/>
      <c r="HO564" s="1098"/>
      <c r="HP564" s="1098"/>
      <c r="HQ564" s="1098"/>
      <c r="HR564" s="1098"/>
      <c r="HS564" s="1098"/>
      <c r="HT564" s="1098"/>
      <c r="HU564" s="1098"/>
      <c r="HV564" s="1098"/>
      <c r="HW564" s="1098"/>
      <c r="HX564" s="1098"/>
      <c r="HY564" s="1098"/>
      <c r="HZ564" s="1098"/>
      <c r="IA564" s="1098"/>
      <c r="IB564" s="1098"/>
      <c r="IC564" s="1098"/>
      <c r="ID564" s="1098"/>
      <c r="IE564" s="1098"/>
      <c r="IF564" s="1098"/>
      <c r="IG564" s="1098"/>
      <c r="IH564" s="1098"/>
      <c r="II564" s="1098"/>
      <c r="IJ564" s="1098"/>
      <c r="IK564" s="1098"/>
      <c r="IL564" s="1098"/>
      <c r="IM564" s="1098"/>
      <c r="IN564" s="1098"/>
      <c r="IO564" s="1098"/>
      <c r="IP564" s="1098"/>
      <c r="IQ564" s="1098"/>
      <c r="IR564" s="1098"/>
      <c r="IS564" s="1098"/>
      <c r="IT564" s="1098"/>
      <c r="IU564" s="1098"/>
      <c r="IV564" s="1098"/>
      <c r="IW564" s="1098"/>
      <c r="IX564" s="1098"/>
      <c r="IY564" s="1098"/>
      <c r="IZ564" s="1098"/>
      <c r="JA564" s="1098"/>
      <c r="JB564" s="1098"/>
      <c r="JC564" s="1098"/>
      <c r="JD564" s="1098"/>
      <c r="JE564" s="1098"/>
      <c r="JF564" s="1098"/>
      <c r="JG564" s="1098"/>
      <c r="JH564" s="1098"/>
      <c r="JI564" s="1098"/>
      <c r="JJ564" s="1098"/>
      <c r="JK564" s="1098"/>
      <c r="JL564" s="1098"/>
      <c r="JM564" s="1098"/>
      <c r="JN564" s="1098"/>
      <c r="JO564" s="1098"/>
      <c r="JP564" s="1098"/>
      <c r="JQ564" s="1098"/>
      <c r="JR564" s="1098"/>
      <c r="JS564" s="1098"/>
      <c r="JT564" s="1098"/>
      <c r="JU564" s="1098"/>
      <c r="JV564" s="1098"/>
      <c r="JW564" s="1098"/>
      <c r="JX564" s="1098"/>
      <c r="JY564" s="1098"/>
      <c r="JZ564" s="1098"/>
      <c r="KA564" s="1098"/>
      <c r="KB564" s="1099"/>
    </row>
    <row r="565" spans="2:288" ht="15" customHeight="1" x14ac:dyDescent="0.35">
      <c r="B565" s="146" t="str">
        <f t="shared" si="46"/>
        <v>Desk 38</v>
      </c>
      <c r="C565" s="148" t="str">
        <v/>
      </c>
      <c r="D565" s="148" t="str">
        <v/>
      </c>
      <c r="E565" s="148" t="str">
        <v/>
      </c>
      <c r="F565" s="148" t="str">
        <v/>
      </c>
      <c r="G565" s="268" t="str">
        <v/>
      </c>
      <c r="H565" s="1098"/>
      <c r="I565" s="1098"/>
      <c r="J565" s="1098"/>
      <c r="K565" s="1098"/>
      <c r="L565" s="1098"/>
      <c r="M565" s="1098"/>
      <c r="N565" s="1098"/>
      <c r="O565" s="1098"/>
      <c r="P565" s="1098"/>
      <c r="Q565" s="1098"/>
      <c r="R565" s="1098"/>
      <c r="S565" s="1098"/>
      <c r="T565" s="1098"/>
      <c r="U565" s="1098"/>
      <c r="V565" s="1098"/>
      <c r="W565" s="1098"/>
      <c r="X565" s="1098"/>
      <c r="Y565" s="1098"/>
      <c r="Z565" s="1098"/>
      <c r="AA565" s="1098"/>
      <c r="AB565" s="1098"/>
      <c r="AC565" s="1098"/>
      <c r="AD565" s="1098"/>
      <c r="AE565" s="1098"/>
      <c r="AF565" s="1098"/>
      <c r="AG565" s="1098"/>
      <c r="AH565" s="1098"/>
      <c r="AI565" s="1098"/>
      <c r="AJ565" s="1098"/>
      <c r="AK565" s="1098"/>
      <c r="AL565" s="1098"/>
      <c r="AM565" s="1098"/>
      <c r="AN565" s="1098"/>
      <c r="AO565" s="1098"/>
      <c r="AP565" s="1098"/>
      <c r="AQ565" s="1098"/>
      <c r="AR565" s="1098"/>
      <c r="AS565" s="1098"/>
      <c r="AT565" s="1098"/>
      <c r="AU565" s="1098"/>
      <c r="AV565" s="1098"/>
      <c r="AW565" s="1098"/>
      <c r="AX565" s="1098"/>
      <c r="AY565" s="1098"/>
      <c r="AZ565" s="1098"/>
      <c r="BA565" s="1098"/>
      <c r="BB565" s="1098"/>
      <c r="BC565" s="1098"/>
      <c r="BD565" s="1098"/>
      <c r="BE565" s="1098"/>
      <c r="BF565" s="1098"/>
      <c r="BG565" s="1098"/>
      <c r="BH565" s="1098"/>
      <c r="BI565" s="1098"/>
      <c r="BJ565" s="1098"/>
      <c r="BK565" s="1098"/>
      <c r="BL565" s="1098"/>
      <c r="BM565" s="1098"/>
      <c r="BN565" s="1098"/>
      <c r="BO565" s="1098"/>
      <c r="BP565" s="1098"/>
      <c r="BQ565" s="1098"/>
      <c r="BR565" s="1098"/>
      <c r="BS565" s="1098"/>
      <c r="BT565" s="1098"/>
      <c r="BU565" s="1098"/>
      <c r="BV565" s="1098"/>
      <c r="BW565" s="1098"/>
      <c r="BX565" s="1098"/>
      <c r="BY565" s="1098"/>
      <c r="BZ565" s="1098"/>
      <c r="CA565" s="1098"/>
      <c r="CB565" s="1098"/>
      <c r="CC565" s="1098"/>
      <c r="CD565" s="1098"/>
      <c r="CE565" s="1098"/>
      <c r="CF565" s="1098"/>
      <c r="CG565" s="1098"/>
      <c r="CH565" s="1098"/>
      <c r="CI565" s="1098"/>
      <c r="CJ565" s="1098"/>
      <c r="CK565" s="1098"/>
      <c r="CL565" s="1098"/>
      <c r="CM565" s="1098"/>
      <c r="CN565" s="1098"/>
      <c r="CO565" s="1098"/>
      <c r="CP565" s="1098"/>
      <c r="CQ565" s="1098"/>
      <c r="CR565" s="1098"/>
      <c r="CS565" s="1098"/>
      <c r="CT565" s="1098"/>
      <c r="CU565" s="1098"/>
      <c r="CV565" s="1098"/>
      <c r="CW565" s="1098"/>
      <c r="CX565" s="1098"/>
      <c r="CY565" s="1098"/>
      <c r="CZ565" s="1098"/>
      <c r="DA565" s="1098"/>
      <c r="DB565" s="1098"/>
      <c r="DC565" s="1098"/>
      <c r="DD565" s="1098"/>
      <c r="DE565" s="1098"/>
      <c r="DF565" s="1098"/>
      <c r="DG565" s="1098"/>
      <c r="DH565" s="1098"/>
      <c r="DI565" s="1098"/>
      <c r="DJ565" s="1098"/>
      <c r="DK565" s="1098"/>
      <c r="DL565" s="1098"/>
      <c r="DM565" s="1098"/>
      <c r="DN565" s="1098"/>
      <c r="DO565" s="1098"/>
      <c r="DP565" s="1098"/>
      <c r="DQ565" s="1098"/>
      <c r="DR565" s="1098"/>
      <c r="DS565" s="1098"/>
      <c r="DT565" s="1098"/>
      <c r="DU565" s="1098"/>
      <c r="DV565" s="1098"/>
      <c r="DW565" s="1098"/>
      <c r="DX565" s="1098"/>
      <c r="DY565" s="1098"/>
      <c r="DZ565" s="1098"/>
      <c r="EA565" s="1098"/>
      <c r="EB565" s="1098"/>
      <c r="EC565" s="1098"/>
      <c r="ED565" s="1098"/>
      <c r="EE565" s="1098"/>
      <c r="EF565" s="1098"/>
      <c r="EG565" s="1098"/>
      <c r="EH565" s="1098"/>
      <c r="EI565" s="1098"/>
      <c r="EJ565" s="1098"/>
      <c r="EK565" s="1098"/>
      <c r="EL565" s="1098"/>
      <c r="EM565" s="1098"/>
      <c r="EN565" s="1098"/>
      <c r="EO565" s="1098"/>
      <c r="EP565" s="1098"/>
      <c r="EQ565" s="1098"/>
      <c r="ER565" s="1098"/>
      <c r="ES565" s="1098"/>
      <c r="ET565" s="1098"/>
      <c r="EU565" s="1098"/>
      <c r="EV565" s="1098"/>
      <c r="EW565" s="1098"/>
      <c r="EX565" s="1098"/>
      <c r="EY565" s="1098"/>
      <c r="EZ565" s="1098"/>
      <c r="FA565" s="1098"/>
      <c r="FB565" s="1098"/>
      <c r="FC565" s="1098"/>
      <c r="FD565" s="1098"/>
      <c r="FE565" s="1098"/>
      <c r="FF565" s="1098"/>
      <c r="FG565" s="1098"/>
      <c r="FH565" s="1098"/>
      <c r="FI565" s="1098"/>
      <c r="FJ565" s="1098"/>
      <c r="FK565" s="1098"/>
      <c r="FL565" s="1098"/>
      <c r="FM565" s="1098"/>
      <c r="FN565" s="1098"/>
      <c r="FO565" s="1098"/>
      <c r="FP565" s="1098"/>
      <c r="FQ565" s="1098"/>
      <c r="FR565" s="1098"/>
      <c r="FS565" s="1098"/>
      <c r="FT565" s="1098"/>
      <c r="FU565" s="1098"/>
      <c r="FV565" s="1098"/>
      <c r="FW565" s="1098"/>
      <c r="FX565" s="1098"/>
      <c r="FY565" s="1098"/>
      <c r="FZ565" s="1098"/>
      <c r="GA565" s="1098"/>
      <c r="GB565" s="1098"/>
      <c r="GC565" s="1098"/>
      <c r="GD565" s="1098"/>
      <c r="GE565" s="1098"/>
      <c r="GF565" s="1098"/>
      <c r="GG565" s="1098"/>
      <c r="GH565" s="1098"/>
      <c r="GI565" s="1098"/>
      <c r="GJ565" s="1098"/>
      <c r="GK565" s="1098"/>
      <c r="GL565" s="1098"/>
      <c r="GM565" s="1098"/>
      <c r="GN565" s="1098"/>
      <c r="GO565" s="1098"/>
      <c r="GP565" s="1098"/>
      <c r="GQ565" s="1098"/>
      <c r="GR565" s="1098"/>
      <c r="GS565" s="1098"/>
      <c r="GT565" s="1098"/>
      <c r="GU565" s="1098"/>
      <c r="GV565" s="1098"/>
      <c r="GW565" s="1098"/>
      <c r="GX565" s="1098"/>
      <c r="GY565" s="1098"/>
      <c r="GZ565" s="1098"/>
      <c r="HA565" s="1098"/>
      <c r="HB565" s="1098"/>
      <c r="HC565" s="1098"/>
      <c r="HD565" s="1098"/>
      <c r="HE565" s="1098"/>
      <c r="HF565" s="1098"/>
      <c r="HG565" s="1098"/>
      <c r="HH565" s="1098"/>
      <c r="HI565" s="1098"/>
      <c r="HJ565" s="1098"/>
      <c r="HK565" s="1098"/>
      <c r="HL565" s="1098"/>
      <c r="HM565" s="1098"/>
      <c r="HN565" s="1098"/>
      <c r="HO565" s="1098"/>
      <c r="HP565" s="1098"/>
      <c r="HQ565" s="1098"/>
      <c r="HR565" s="1098"/>
      <c r="HS565" s="1098"/>
      <c r="HT565" s="1098"/>
      <c r="HU565" s="1098"/>
      <c r="HV565" s="1098"/>
      <c r="HW565" s="1098"/>
      <c r="HX565" s="1098"/>
      <c r="HY565" s="1098"/>
      <c r="HZ565" s="1098"/>
      <c r="IA565" s="1098"/>
      <c r="IB565" s="1098"/>
      <c r="IC565" s="1098"/>
      <c r="ID565" s="1098"/>
      <c r="IE565" s="1098"/>
      <c r="IF565" s="1098"/>
      <c r="IG565" s="1098"/>
      <c r="IH565" s="1098"/>
      <c r="II565" s="1098"/>
      <c r="IJ565" s="1098"/>
      <c r="IK565" s="1098"/>
      <c r="IL565" s="1098"/>
      <c r="IM565" s="1098"/>
      <c r="IN565" s="1098"/>
      <c r="IO565" s="1098"/>
      <c r="IP565" s="1098"/>
      <c r="IQ565" s="1098"/>
      <c r="IR565" s="1098"/>
      <c r="IS565" s="1098"/>
      <c r="IT565" s="1098"/>
      <c r="IU565" s="1098"/>
      <c r="IV565" s="1098"/>
      <c r="IW565" s="1098"/>
      <c r="IX565" s="1098"/>
      <c r="IY565" s="1098"/>
      <c r="IZ565" s="1098"/>
      <c r="JA565" s="1098"/>
      <c r="JB565" s="1098"/>
      <c r="JC565" s="1098"/>
      <c r="JD565" s="1098"/>
      <c r="JE565" s="1098"/>
      <c r="JF565" s="1098"/>
      <c r="JG565" s="1098"/>
      <c r="JH565" s="1098"/>
      <c r="JI565" s="1098"/>
      <c r="JJ565" s="1098"/>
      <c r="JK565" s="1098"/>
      <c r="JL565" s="1098"/>
      <c r="JM565" s="1098"/>
      <c r="JN565" s="1098"/>
      <c r="JO565" s="1098"/>
      <c r="JP565" s="1098"/>
      <c r="JQ565" s="1098"/>
      <c r="JR565" s="1098"/>
      <c r="JS565" s="1098"/>
      <c r="JT565" s="1098"/>
      <c r="JU565" s="1098"/>
      <c r="JV565" s="1098"/>
      <c r="JW565" s="1098"/>
      <c r="JX565" s="1098"/>
      <c r="JY565" s="1098"/>
      <c r="JZ565" s="1098"/>
      <c r="KA565" s="1098"/>
      <c r="KB565" s="1099"/>
    </row>
    <row r="566" spans="2:288" ht="15" customHeight="1" x14ac:dyDescent="0.35">
      <c r="B566" s="146" t="str">
        <f t="shared" si="46"/>
        <v>Desk 39</v>
      </c>
      <c r="C566" s="148" t="str">
        <v/>
      </c>
      <c r="D566" s="148" t="str">
        <v/>
      </c>
      <c r="E566" s="148" t="str">
        <v/>
      </c>
      <c r="F566" s="148" t="str">
        <v/>
      </c>
      <c r="G566" s="268" t="str">
        <v/>
      </c>
      <c r="H566" s="1098"/>
      <c r="I566" s="1098"/>
      <c r="J566" s="1098"/>
      <c r="K566" s="1098"/>
      <c r="L566" s="1098"/>
      <c r="M566" s="1098"/>
      <c r="N566" s="1098"/>
      <c r="O566" s="1098"/>
      <c r="P566" s="1098"/>
      <c r="Q566" s="1098"/>
      <c r="R566" s="1098"/>
      <c r="S566" s="1098"/>
      <c r="T566" s="1098"/>
      <c r="U566" s="1098"/>
      <c r="V566" s="1098"/>
      <c r="W566" s="1098"/>
      <c r="X566" s="1098"/>
      <c r="Y566" s="1098"/>
      <c r="Z566" s="1098"/>
      <c r="AA566" s="1098"/>
      <c r="AB566" s="1098"/>
      <c r="AC566" s="1098"/>
      <c r="AD566" s="1098"/>
      <c r="AE566" s="1098"/>
      <c r="AF566" s="1098"/>
      <c r="AG566" s="1098"/>
      <c r="AH566" s="1098"/>
      <c r="AI566" s="1098"/>
      <c r="AJ566" s="1098"/>
      <c r="AK566" s="1098"/>
      <c r="AL566" s="1098"/>
      <c r="AM566" s="1098"/>
      <c r="AN566" s="1098"/>
      <c r="AO566" s="1098"/>
      <c r="AP566" s="1098"/>
      <c r="AQ566" s="1098"/>
      <c r="AR566" s="1098"/>
      <c r="AS566" s="1098"/>
      <c r="AT566" s="1098"/>
      <c r="AU566" s="1098"/>
      <c r="AV566" s="1098"/>
      <c r="AW566" s="1098"/>
      <c r="AX566" s="1098"/>
      <c r="AY566" s="1098"/>
      <c r="AZ566" s="1098"/>
      <c r="BA566" s="1098"/>
      <c r="BB566" s="1098"/>
      <c r="BC566" s="1098"/>
      <c r="BD566" s="1098"/>
      <c r="BE566" s="1098"/>
      <c r="BF566" s="1098"/>
      <c r="BG566" s="1098"/>
      <c r="BH566" s="1098"/>
      <c r="BI566" s="1098"/>
      <c r="BJ566" s="1098"/>
      <c r="BK566" s="1098"/>
      <c r="BL566" s="1098"/>
      <c r="BM566" s="1098"/>
      <c r="BN566" s="1098"/>
      <c r="BO566" s="1098"/>
      <c r="BP566" s="1098"/>
      <c r="BQ566" s="1098"/>
      <c r="BR566" s="1098"/>
      <c r="BS566" s="1098"/>
      <c r="BT566" s="1098"/>
      <c r="BU566" s="1098"/>
      <c r="BV566" s="1098"/>
      <c r="BW566" s="1098"/>
      <c r="BX566" s="1098"/>
      <c r="BY566" s="1098"/>
      <c r="BZ566" s="1098"/>
      <c r="CA566" s="1098"/>
      <c r="CB566" s="1098"/>
      <c r="CC566" s="1098"/>
      <c r="CD566" s="1098"/>
      <c r="CE566" s="1098"/>
      <c r="CF566" s="1098"/>
      <c r="CG566" s="1098"/>
      <c r="CH566" s="1098"/>
      <c r="CI566" s="1098"/>
      <c r="CJ566" s="1098"/>
      <c r="CK566" s="1098"/>
      <c r="CL566" s="1098"/>
      <c r="CM566" s="1098"/>
      <c r="CN566" s="1098"/>
      <c r="CO566" s="1098"/>
      <c r="CP566" s="1098"/>
      <c r="CQ566" s="1098"/>
      <c r="CR566" s="1098"/>
      <c r="CS566" s="1098"/>
      <c r="CT566" s="1098"/>
      <c r="CU566" s="1098"/>
      <c r="CV566" s="1098"/>
      <c r="CW566" s="1098"/>
      <c r="CX566" s="1098"/>
      <c r="CY566" s="1098"/>
      <c r="CZ566" s="1098"/>
      <c r="DA566" s="1098"/>
      <c r="DB566" s="1098"/>
      <c r="DC566" s="1098"/>
      <c r="DD566" s="1098"/>
      <c r="DE566" s="1098"/>
      <c r="DF566" s="1098"/>
      <c r="DG566" s="1098"/>
      <c r="DH566" s="1098"/>
      <c r="DI566" s="1098"/>
      <c r="DJ566" s="1098"/>
      <c r="DK566" s="1098"/>
      <c r="DL566" s="1098"/>
      <c r="DM566" s="1098"/>
      <c r="DN566" s="1098"/>
      <c r="DO566" s="1098"/>
      <c r="DP566" s="1098"/>
      <c r="DQ566" s="1098"/>
      <c r="DR566" s="1098"/>
      <c r="DS566" s="1098"/>
      <c r="DT566" s="1098"/>
      <c r="DU566" s="1098"/>
      <c r="DV566" s="1098"/>
      <c r="DW566" s="1098"/>
      <c r="DX566" s="1098"/>
      <c r="DY566" s="1098"/>
      <c r="DZ566" s="1098"/>
      <c r="EA566" s="1098"/>
      <c r="EB566" s="1098"/>
      <c r="EC566" s="1098"/>
      <c r="ED566" s="1098"/>
      <c r="EE566" s="1098"/>
      <c r="EF566" s="1098"/>
      <c r="EG566" s="1098"/>
      <c r="EH566" s="1098"/>
      <c r="EI566" s="1098"/>
      <c r="EJ566" s="1098"/>
      <c r="EK566" s="1098"/>
      <c r="EL566" s="1098"/>
      <c r="EM566" s="1098"/>
      <c r="EN566" s="1098"/>
      <c r="EO566" s="1098"/>
      <c r="EP566" s="1098"/>
      <c r="EQ566" s="1098"/>
      <c r="ER566" s="1098"/>
      <c r="ES566" s="1098"/>
      <c r="ET566" s="1098"/>
      <c r="EU566" s="1098"/>
      <c r="EV566" s="1098"/>
      <c r="EW566" s="1098"/>
      <c r="EX566" s="1098"/>
      <c r="EY566" s="1098"/>
      <c r="EZ566" s="1098"/>
      <c r="FA566" s="1098"/>
      <c r="FB566" s="1098"/>
      <c r="FC566" s="1098"/>
      <c r="FD566" s="1098"/>
      <c r="FE566" s="1098"/>
      <c r="FF566" s="1098"/>
      <c r="FG566" s="1098"/>
      <c r="FH566" s="1098"/>
      <c r="FI566" s="1098"/>
      <c r="FJ566" s="1098"/>
      <c r="FK566" s="1098"/>
      <c r="FL566" s="1098"/>
      <c r="FM566" s="1098"/>
      <c r="FN566" s="1098"/>
      <c r="FO566" s="1098"/>
      <c r="FP566" s="1098"/>
      <c r="FQ566" s="1098"/>
      <c r="FR566" s="1098"/>
      <c r="FS566" s="1098"/>
      <c r="FT566" s="1098"/>
      <c r="FU566" s="1098"/>
      <c r="FV566" s="1098"/>
      <c r="FW566" s="1098"/>
      <c r="FX566" s="1098"/>
      <c r="FY566" s="1098"/>
      <c r="FZ566" s="1098"/>
      <c r="GA566" s="1098"/>
      <c r="GB566" s="1098"/>
      <c r="GC566" s="1098"/>
      <c r="GD566" s="1098"/>
      <c r="GE566" s="1098"/>
      <c r="GF566" s="1098"/>
      <c r="GG566" s="1098"/>
      <c r="GH566" s="1098"/>
      <c r="GI566" s="1098"/>
      <c r="GJ566" s="1098"/>
      <c r="GK566" s="1098"/>
      <c r="GL566" s="1098"/>
      <c r="GM566" s="1098"/>
      <c r="GN566" s="1098"/>
      <c r="GO566" s="1098"/>
      <c r="GP566" s="1098"/>
      <c r="GQ566" s="1098"/>
      <c r="GR566" s="1098"/>
      <c r="GS566" s="1098"/>
      <c r="GT566" s="1098"/>
      <c r="GU566" s="1098"/>
      <c r="GV566" s="1098"/>
      <c r="GW566" s="1098"/>
      <c r="GX566" s="1098"/>
      <c r="GY566" s="1098"/>
      <c r="GZ566" s="1098"/>
      <c r="HA566" s="1098"/>
      <c r="HB566" s="1098"/>
      <c r="HC566" s="1098"/>
      <c r="HD566" s="1098"/>
      <c r="HE566" s="1098"/>
      <c r="HF566" s="1098"/>
      <c r="HG566" s="1098"/>
      <c r="HH566" s="1098"/>
      <c r="HI566" s="1098"/>
      <c r="HJ566" s="1098"/>
      <c r="HK566" s="1098"/>
      <c r="HL566" s="1098"/>
      <c r="HM566" s="1098"/>
      <c r="HN566" s="1098"/>
      <c r="HO566" s="1098"/>
      <c r="HP566" s="1098"/>
      <c r="HQ566" s="1098"/>
      <c r="HR566" s="1098"/>
      <c r="HS566" s="1098"/>
      <c r="HT566" s="1098"/>
      <c r="HU566" s="1098"/>
      <c r="HV566" s="1098"/>
      <c r="HW566" s="1098"/>
      <c r="HX566" s="1098"/>
      <c r="HY566" s="1098"/>
      <c r="HZ566" s="1098"/>
      <c r="IA566" s="1098"/>
      <c r="IB566" s="1098"/>
      <c r="IC566" s="1098"/>
      <c r="ID566" s="1098"/>
      <c r="IE566" s="1098"/>
      <c r="IF566" s="1098"/>
      <c r="IG566" s="1098"/>
      <c r="IH566" s="1098"/>
      <c r="II566" s="1098"/>
      <c r="IJ566" s="1098"/>
      <c r="IK566" s="1098"/>
      <c r="IL566" s="1098"/>
      <c r="IM566" s="1098"/>
      <c r="IN566" s="1098"/>
      <c r="IO566" s="1098"/>
      <c r="IP566" s="1098"/>
      <c r="IQ566" s="1098"/>
      <c r="IR566" s="1098"/>
      <c r="IS566" s="1098"/>
      <c r="IT566" s="1098"/>
      <c r="IU566" s="1098"/>
      <c r="IV566" s="1098"/>
      <c r="IW566" s="1098"/>
      <c r="IX566" s="1098"/>
      <c r="IY566" s="1098"/>
      <c r="IZ566" s="1098"/>
      <c r="JA566" s="1098"/>
      <c r="JB566" s="1098"/>
      <c r="JC566" s="1098"/>
      <c r="JD566" s="1098"/>
      <c r="JE566" s="1098"/>
      <c r="JF566" s="1098"/>
      <c r="JG566" s="1098"/>
      <c r="JH566" s="1098"/>
      <c r="JI566" s="1098"/>
      <c r="JJ566" s="1098"/>
      <c r="JK566" s="1098"/>
      <c r="JL566" s="1098"/>
      <c r="JM566" s="1098"/>
      <c r="JN566" s="1098"/>
      <c r="JO566" s="1098"/>
      <c r="JP566" s="1098"/>
      <c r="JQ566" s="1098"/>
      <c r="JR566" s="1098"/>
      <c r="JS566" s="1098"/>
      <c r="JT566" s="1098"/>
      <c r="JU566" s="1098"/>
      <c r="JV566" s="1098"/>
      <c r="JW566" s="1098"/>
      <c r="JX566" s="1098"/>
      <c r="JY566" s="1098"/>
      <c r="JZ566" s="1098"/>
      <c r="KA566" s="1098"/>
      <c r="KB566" s="1099"/>
    </row>
    <row r="567" spans="2:288" ht="15" customHeight="1" x14ac:dyDescent="0.35">
      <c r="B567" s="146" t="str">
        <f t="shared" si="46"/>
        <v>Desk 40</v>
      </c>
      <c r="C567" s="148" t="str">
        <v/>
      </c>
      <c r="D567" s="148" t="str">
        <v/>
      </c>
      <c r="E567" s="148" t="str">
        <v/>
      </c>
      <c r="F567" s="148" t="str">
        <v/>
      </c>
      <c r="G567" s="268" t="str">
        <v/>
      </c>
      <c r="H567" s="1098"/>
      <c r="I567" s="1098"/>
      <c r="J567" s="1098"/>
      <c r="K567" s="1098"/>
      <c r="L567" s="1098"/>
      <c r="M567" s="1098"/>
      <c r="N567" s="1098"/>
      <c r="O567" s="1098"/>
      <c r="P567" s="1098"/>
      <c r="Q567" s="1098"/>
      <c r="R567" s="1098"/>
      <c r="S567" s="1098"/>
      <c r="T567" s="1098"/>
      <c r="U567" s="1098"/>
      <c r="V567" s="1098"/>
      <c r="W567" s="1098"/>
      <c r="X567" s="1098"/>
      <c r="Y567" s="1098"/>
      <c r="Z567" s="1098"/>
      <c r="AA567" s="1098"/>
      <c r="AB567" s="1098"/>
      <c r="AC567" s="1098"/>
      <c r="AD567" s="1098"/>
      <c r="AE567" s="1098"/>
      <c r="AF567" s="1098"/>
      <c r="AG567" s="1098"/>
      <c r="AH567" s="1098"/>
      <c r="AI567" s="1098"/>
      <c r="AJ567" s="1098"/>
      <c r="AK567" s="1098"/>
      <c r="AL567" s="1098"/>
      <c r="AM567" s="1098"/>
      <c r="AN567" s="1098"/>
      <c r="AO567" s="1098"/>
      <c r="AP567" s="1098"/>
      <c r="AQ567" s="1098"/>
      <c r="AR567" s="1098"/>
      <c r="AS567" s="1098"/>
      <c r="AT567" s="1098"/>
      <c r="AU567" s="1098"/>
      <c r="AV567" s="1098"/>
      <c r="AW567" s="1098"/>
      <c r="AX567" s="1098"/>
      <c r="AY567" s="1098"/>
      <c r="AZ567" s="1098"/>
      <c r="BA567" s="1098"/>
      <c r="BB567" s="1098"/>
      <c r="BC567" s="1098"/>
      <c r="BD567" s="1098"/>
      <c r="BE567" s="1098"/>
      <c r="BF567" s="1098"/>
      <c r="BG567" s="1098"/>
      <c r="BH567" s="1098"/>
      <c r="BI567" s="1098"/>
      <c r="BJ567" s="1098"/>
      <c r="BK567" s="1098"/>
      <c r="BL567" s="1098"/>
      <c r="BM567" s="1098"/>
      <c r="BN567" s="1098"/>
      <c r="BO567" s="1098"/>
      <c r="BP567" s="1098"/>
      <c r="BQ567" s="1098"/>
      <c r="BR567" s="1098"/>
      <c r="BS567" s="1098"/>
      <c r="BT567" s="1098"/>
      <c r="BU567" s="1098"/>
      <c r="BV567" s="1098"/>
      <c r="BW567" s="1098"/>
      <c r="BX567" s="1098"/>
      <c r="BY567" s="1098"/>
      <c r="BZ567" s="1098"/>
      <c r="CA567" s="1098"/>
      <c r="CB567" s="1098"/>
      <c r="CC567" s="1098"/>
      <c r="CD567" s="1098"/>
      <c r="CE567" s="1098"/>
      <c r="CF567" s="1098"/>
      <c r="CG567" s="1098"/>
      <c r="CH567" s="1098"/>
      <c r="CI567" s="1098"/>
      <c r="CJ567" s="1098"/>
      <c r="CK567" s="1098"/>
      <c r="CL567" s="1098"/>
      <c r="CM567" s="1098"/>
      <c r="CN567" s="1098"/>
      <c r="CO567" s="1098"/>
      <c r="CP567" s="1098"/>
      <c r="CQ567" s="1098"/>
      <c r="CR567" s="1098"/>
      <c r="CS567" s="1098"/>
      <c r="CT567" s="1098"/>
      <c r="CU567" s="1098"/>
      <c r="CV567" s="1098"/>
      <c r="CW567" s="1098"/>
      <c r="CX567" s="1098"/>
      <c r="CY567" s="1098"/>
      <c r="CZ567" s="1098"/>
      <c r="DA567" s="1098"/>
      <c r="DB567" s="1098"/>
      <c r="DC567" s="1098"/>
      <c r="DD567" s="1098"/>
      <c r="DE567" s="1098"/>
      <c r="DF567" s="1098"/>
      <c r="DG567" s="1098"/>
      <c r="DH567" s="1098"/>
      <c r="DI567" s="1098"/>
      <c r="DJ567" s="1098"/>
      <c r="DK567" s="1098"/>
      <c r="DL567" s="1098"/>
      <c r="DM567" s="1098"/>
      <c r="DN567" s="1098"/>
      <c r="DO567" s="1098"/>
      <c r="DP567" s="1098"/>
      <c r="DQ567" s="1098"/>
      <c r="DR567" s="1098"/>
      <c r="DS567" s="1098"/>
      <c r="DT567" s="1098"/>
      <c r="DU567" s="1098"/>
      <c r="DV567" s="1098"/>
      <c r="DW567" s="1098"/>
      <c r="DX567" s="1098"/>
      <c r="DY567" s="1098"/>
      <c r="DZ567" s="1098"/>
      <c r="EA567" s="1098"/>
      <c r="EB567" s="1098"/>
      <c r="EC567" s="1098"/>
      <c r="ED567" s="1098"/>
      <c r="EE567" s="1098"/>
      <c r="EF567" s="1098"/>
      <c r="EG567" s="1098"/>
      <c r="EH567" s="1098"/>
      <c r="EI567" s="1098"/>
      <c r="EJ567" s="1098"/>
      <c r="EK567" s="1098"/>
      <c r="EL567" s="1098"/>
      <c r="EM567" s="1098"/>
      <c r="EN567" s="1098"/>
      <c r="EO567" s="1098"/>
      <c r="EP567" s="1098"/>
      <c r="EQ567" s="1098"/>
      <c r="ER567" s="1098"/>
      <c r="ES567" s="1098"/>
      <c r="ET567" s="1098"/>
      <c r="EU567" s="1098"/>
      <c r="EV567" s="1098"/>
      <c r="EW567" s="1098"/>
      <c r="EX567" s="1098"/>
      <c r="EY567" s="1098"/>
      <c r="EZ567" s="1098"/>
      <c r="FA567" s="1098"/>
      <c r="FB567" s="1098"/>
      <c r="FC567" s="1098"/>
      <c r="FD567" s="1098"/>
      <c r="FE567" s="1098"/>
      <c r="FF567" s="1098"/>
      <c r="FG567" s="1098"/>
      <c r="FH567" s="1098"/>
      <c r="FI567" s="1098"/>
      <c r="FJ567" s="1098"/>
      <c r="FK567" s="1098"/>
      <c r="FL567" s="1098"/>
      <c r="FM567" s="1098"/>
      <c r="FN567" s="1098"/>
      <c r="FO567" s="1098"/>
      <c r="FP567" s="1098"/>
      <c r="FQ567" s="1098"/>
      <c r="FR567" s="1098"/>
      <c r="FS567" s="1098"/>
      <c r="FT567" s="1098"/>
      <c r="FU567" s="1098"/>
      <c r="FV567" s="1098"/>
      <c r="FW567" s="1098"/>
      <c r="FX567" s="1098"/>
      <c r="FY567" s="1098"/>
      <c r="FZ567" s="1098"/>
      <c r="GA567" s="1098"/>
      <c r="GB567" s="1098"/>
      <c r="GC567" s="1098"/>
      <c r="GD567" s="1098"/>
      <c r="GE567" s="1098"/>
      <c r="GF567" s="1098"/>
      <c r="GG567" s="1098"/>
      <c r="GH567" s="1098"/>
      <c r="GI567" s="1098"/>
      <c r="GJ567" s="1098"/>
      <c r="GK567" s="1098"/>
      <c r="GL567" s="1098"/>
      <c r="GM567" s="1098"/>
      <c r="GN567" s="1098"/>
      <c r="GO567" s="1098"/>
      <c r="GP567" s="1098"/>
      <c r="GQ567" s="1098"/>
      <c r="GR567" s="1098"/>
      <c r="GS567" s="1098"/>
      <c r="GT567" s="1098"/>
      <c r="GU567" s="1098"/>
      <c r="GV567" s="1098"/>
      <c r="GW567" s="1098"/>
      <c r="GX567" s="1098"/>
      <c r="GY567" s="1098"/>
      <c r="GZ567" s="1098"/>
      <c r="HA567" s="1098"/>
      <c r="HB567" s="1098"/>
      <c r="HC567" s="1098"/>
      <c r="HD567" s="1098"/>
      <c r="HE567" s="1098"/>
      <c r="HF567" s="1098"/>
      <c r="HG567" s="1098"/>
      <c r="HH567" s="1098"/>
      <c r="HI567" s="1098"/>
      <c r="HJ567" s="1098"/>
      <c r="HK567" s="1098"/>
      <c r="HL567" s="1098"/>
      <c r="HM567" s="1098"/>
      <c r="HN567" s="1098"/>
      <c r="HO567" s="1098"/>
      <c r="HP567" s="1098"/>
      <c r="HQ567" s="1098"/>
      <c r="HR567" s="1098"/>
      <c r="HS567" s="1098"/>
      <c r="HT567" s="1098"/>
      <c r="HU567" s="1098"/>
      <c r="HV567" s="1098"/>
      <c r="HW567" s="1098"/>
      <c r="HX567" s="1098"/>
      <c r="HY567" s="1098"/>
      <c r="HZ567" s="1098"/>
      <c r="IA567" s="1098"/>
      <c r="IB567" s="1098"/>
      <c r="IC567" s="1098"/>
      <c r="ID567" s="1098"/>
      <c r="IE567" s="1098"/>
      <c r="IF567" s="1098"/>
      <c r="IG567" s="1098"/>
      <c r="IH567" s="1098"/>
      <c r="II567" s="1098"/>
      <c r="IJ567" s="1098"/>
      <c r="IK567" s="1098"/>
      <c r="IL567" s="1098"/>
      <c r="IM567" s="1098"/>
      <c r="IN567" s="1098"/>
      <c r="IO567" s="1098"/>
      <c r="IP567" s="1098"/>
      <c r="IQ567" s="1098"/>
      <c r="IR567" s="1098"/>
      <c r="IS567" s="1098"/>
      <c r="IT567" s="1098"/>
      <c r="IU567" s="1098"/>
      <c r="IV567" s="1098"/>
      <c r="IW567" s="1098"/>
      <c r="IX567" s="1098"/>
      <c r="IY567" s="1098"/>
      <c r="IZ567" s="1098"/>
      <c r="JA567" s="1098"/>
      <c r="JB567" s="1098"/>
      <c r="JC567" s="1098"/>
      <c r="JD567" s="1098"/>
      <c r="JE567" s="1098"/>
      <c r="JF567" s="1098"/>
      <c r="JG567" s="1098"/>
      <c r="JH567" s="1098"/>
      <c r="JI567" s="1098"/>
      <c r="JJ567" s="1098"/>
      <c r="JK567" s="1098"/>
      <c r="JL567" s="1098"/>
      <c r="JM567" s="1098"/>
      <c r="JN567" s="1098"/>
      <c r="JO567" s="1098"/>
      <c r="JP567" s="1098"/>
      <c r="JQ567" s="1098"/>
      <c r="JR567" s="1098"/>
      <c r="JS567" s="1098"/>
      <c r="JT567" s="1098"/>
      <c r="JU567" s="1098"/>
      <c r="JV567" s="1098"/>
      <c r="JW567" s="1098"/>
      <c r="JX567" s="1098"/>
      <c r="JY567" s="1098"/>
      <c r="JZ567" s="1098"/>
      <c r="KA567" s="1098"/>
      <c r="KB567" s="1099"/>
    </row>
    <row r="568" spans="2:288" ht="15" customHeight="1" x14ac:dyDescent="0.35">
      <c r="B568" s="146" t="str">
        <f t="shared" si="46"/>
        <v>Desk 41</v>
      </c>
      <c r="C568" s="148" t="str">
        <v/>
      </c>
      <c r="D568" s="148" t="str">
        <v/>
      </c>
      <c r="E568" s="148" t="str">
        <v/>
      </c>
      <c r="F568" s="148" t="str">
        <v/>
      </c>
      <c r="G568" s="268" t="str">
        <v/>
      </c>
      <c r="H568" s="1098"/>
      <c r="I568" s="1098"/>
      <c r="J568" s="1098"/>
      <c r="K568" s="1098"/>
      <c r="L568" s="1098"/>
      <c r="M568" s="1098"/>
      <c r="N568" s="1098"/>
      <c r="O568" s="1098"/>
      <c r="P568" s="1098"/>
      <c r="Q568" s="1098"/>
      <c r="R568" s="1098"/>
      <c r="S568" s="1098"/>
      <c r="T568" s="1098"/>
      <c r="U568" s="1098"/>
      <c r="V568" s="1098"/>
      <c r="W568" s="1098"/>
      <c r="X568" s="1098"/>
      <c r="Y568" s="1098"/>
      <c r="Z568" s="1098"/>
      <c r="AA568" s="1098"/>
      <c r="AB568" s="1098"/>
      <c r="AC568" s="1098"/>
      <c r="AD568" s="1098"/>
      <c r="AE568" s="1098"/>
      <c r="AF568" s="1098"/>
      <c r="AG568" s="1098"/>
      <c r="AH568" s="1098"/>
      <c r="AI568" s="1098"/>
      <c r="AJ568" s="1098"/>
      <c r="AK568" s="1098"/>
      <c r="AL568" s="1098"/>
      <c r="AM568" s="1098"/>
      <c r="AN568" s="1098"/>
      <c r="AO568" s="1098"/>
      <c r="AP568" s="1098"/>
      <c r="AQ568" s="1098"/>
      <c r="AR568" s="1098"/>
      <c r="AS568" s="1098"/>
      <c r="AT568" s="1098"/>
      <c r="AU568" s="1098"/>
      <c r="AV568" s="1098"/>
      <c r="AW568" s="1098"/>
      <c r="AX568" s="1098"/>
      <c r="AY568" s="1098"/>
      <c r="AZ568" s="1098"/>
      <c r="BA568" s="1098"/>
      <c r="BB568" s="1098"/>
      <c r="BC568" s="1098"/>
      <c r="BD568" s="1098"/>
      <c r="BE568" s="1098"/>
      <c r="BF568" s="1098"/>
      <c r="BG568" s="1098"/>
      <c r="BH568" s="1098"/>
      <c r="BI568" s="1098"/>
      <c r="BJ568" s="1098"/>
      <c r="BK568" s="1098"/>
      <c r="BL568" s="1098"/>
      <c r="BM568" s="1098"/>
      <c r="BN568" s="1098"/>
      <c r="BO568" s="1098"/>
      <c r="BP568" s="1098"/>
      <c r="BQ568" s="1098"/>
      <c r="BR568" s="1098"/>
      <c r="BS568" s="1098"/>
      <c r="BT568" s="1098"/>
      <c r="BU568" s="1098"/>
      <c r="BV568" s="1098"/>
      <c r="BW568" s="1098"/>
      <c r="BX568" s="1098"/>
      <c r="BY568" s="1098"/>
      <c r="BZ568" s="1098"/>
      <c r="CA568" s="1098"/>
      <c r="CB568" s="1098"/>
      <c r="CC568" s="1098"/>
      <c r="CD568" s="1098"/>
      <c r="CE568" s="1098"/>
      <c r="CF568" s="1098"/>
      <c r="CG568" s="1098"/>
      <c r="CH568" s="1098"/>
      <c r="CI568" s="1098"/>
      <c r="CJ568" s="1098"/>
      <c r="CK568" s="1098"/>
      <c r="CL568" s="1098"/>
      <c r="CM568" s="1098"/>
      <c r="CN568" s="1098"/>
      <c r="CO568" s="1098"/>
      <c r="CP568" s="1098"/>
      <c r="CQ568" s="1098"/>
      <c r="CR568" s="1098"/>
      <c r="CS568" s="1098"/>
      <c r="CT568" s="1098"/>
      <c r="CU568" s="1098"/>
      <c r="CV568" s="1098"/>
      <c r="CW568" s="1098"/>
      <c r="CX568" s="1098"/>
      <c r="CY568" s="1098"/>
      <c r="CZ568" s="1098"/>
      <c r="DA568" s="1098"/>
      <c r="DB568" s="1098"/>
      <c r="DC568" s="1098"/>
      <c r="DD568" s="1098"/>
      <c r="DE568" s="1098"/>
      <c r="DF568" s="1098"/>
      <c r="DG568" s="1098"/>
      <c r="DH568" s="1098"/>
      <c r="DI568" s="1098"/>
      <c r="DJ568" s="1098"/>
      <c r="DK568" s="1098"/>
      <c r="DL568" s="1098"/>
      <c r="DM568" s="1098"/>
      <c r="DN568" s="1098"/>
      <c r="DO568" s="1098"/>
      <c r="DP568" s="1098"/>
      <c r="DQ568" s="1098"/>
      <c r="DR568" s="1098"/>
      <c r="DS568" s="1098"/>
      <c r="DT568" s="1098"/>
      <c r="DU568" s="1098"/>
      <c r="DV568" s="1098"/>
      <c r="DW568" s="1098"/>
      <c r="DX568" s="1098"/>
      <c r="DY568" s="1098"/>
      <c r="DZ568" s="1098"/>
      <c r="EA568" s="1098"/>
      <c r="EB568" s="1098"/>
      <c r="EC568" s="1098"/>
      <c r="ED568" s="1098"/>
      <c r="EE568" s="1098"/>
      <c r="EF568" s="1098"/>
      <c r="EG568" s="1098"/>
      <c r="EH568" s="1098"/>
      <c r="EI568" s="1098"/>
      <c r="EJ568" s="1098"/>
      <c r="EK568" s="1098"/>
      <c r="EL568" s="1098"/>
      <c r="EM568" s="1098"/>
      <c r="EN568" s="1098"/>
      <c r="EO568" s="1098"/>
      <c r="EP568" s="1098"/>
      <c r="EQ568" s="1098"/>
      <c r="ER568" s="1098"/>
      <c r="ES568" s="1098"/>
      <c r="ET568" s="1098"/>
      <c r="EU568" s="1098"/>
      <c r="EV568" s="1098"/>
      <c r="EW568" s="1098"/>
      <c r="EX568" s="1098"/>
      <c r="EY568" s="1098"/>
      <c r="EZ568" s="1098"/>
      <c r="FA568" s="1098"/>
      <c r="FB568" s="1098"/>
      <c r="FC568" s="1098"/>
      <c r="FD568" s="1098"/>
      <c r="FE568" s="1098"/>
      <c r="FF568" s="1098"/>
      <c r="FG568" s="1098"/>
      <c r="FH568" s="1098"/>
      <c r="FI568" s="1098"/>
      <c r="FJ568" s="1098"/>
      <c r="FK568" s="1098"/>
      <c r="FL568" s="1098"/>
      <c r="FM568" s="1098"/>
      <c r="FN568" s="1098"/>
      <c r="FO568" s="1098"/>
      <c r="FP568" s="1098"/>
      <c r="FQ568" s="1098"/>
      <c r="FR568" s="1098"/>
      <c r="FS568" s="1098"/>
      <c r="FT568" s="1098"/>
      <c r="FU568" s="1098"/>
      <c r="FV568" s="1098"/>
      <c r="FW568" s="1098"/>
      <c r="FX568" s="1098"/>
      <c r="FY568" s="1098"/>
      <c r="FZ568" s="1098"/>
      <c r="GA568" s="1098"/>
      <c r="GB568" s="1098"/>
      <c r="GC568" s="1098"/>
      <c r="GD568" s="1098"/>
      <c r="GE568" s="1098"/>
      <c r="GF568" s="1098"/>
      <c r="GG568" s="1098"/>
      <c r="GH568" s="1098"/>
      <c r="GI568" s="1098"/>
      <c r="GJ568" s="1098"/>
      <c r="GK568" s="1098"/>
      <c r="GL568" s="1098"/>
      <c r="GM568" s="1098"/>
      <c r="GN568" s="1098"/>
      <c r="GO568" s="1098"/>
      <c r="GP568" s="1098"/>
      <c r="GQ568" s="1098"/>
      <c r="GR568" s="1098"/>
      <c r="GS568" s="1098"/>
      <c r="GT568" s="1098"/>
      <c r="GU568" s="1098"/>
      <c r="GV568" s="1098"/>
      <c r="GW568" s="1098"/>
      <c r="GX568" s="1098"/>
      <c r="GY568" s="1098"/>
      <c r="GZ568" s="1098"/>
      <c r="HA568" s="1098"/>
      <c r="HB568" s="1098"/>
      <c r="HC568" s="1098"/>
      <c r="HD568" s="1098"/>
      <c r="HE568" s="1098"/>
      <c r="HF568" s="1098"/>
      <c r="HG568" s="1098"/>
      <c r="HH568" s="1098"/>
      <c r="HI568" s="1098"/>
      <c r="HJ568" s="1098"/>
      <c r="HK568" s="1098"/>
      <c r="HL568" s="1098"/>
      <c r="HM568" s="1098"/>
      <c r="HN568" s="1098"/>
      <c r="HO568" s="1098"/>
      <c r="HP568" s="1098"/>
      <c r="HQ568" s="1098"/>
      <c r="HR568" s="1098"/>
      <c r="HS568" s="1098"/>
      <c r="HT568" s="1098"/>
      <c r="HU568" s="1098"/>
      <c r="HV568" s="1098"/>
      <c r="HW568" s="1098"/>
      <c r="HX568" s="1098"/>
      <c r="HY568" s="1098"/>
      <c r="HZ568" s="1098"/>
      <c r="IA568" s="1098"/>
      <c r="IB568" s="1098"/>
      <c r="IC568" s="1098"/>
      <c r="ID568" s="1098"/>
      <c r="IE568" s="1098"/>
      <c r="IF568" s="1098"/>
      <c r="IG568" s="1098"/>
      <c r="IH568" s="1098"/>
      <c r="II568" s="1098"/>
      <c r="IJ568" s="1098"/>
      <c r="IK568" s="1098"/>
      <c r="IL568" s="1098"/>
      <c r="IM568" s="1098"/>
      <c r="IN568" s="1098"/>
      <c r="IO568" s="1098"/>
      <c r="IP568" s="1098"/>
      <c r="IQ568" s="1098"/>
      <c r="IR568" s="1098"/>
      <c r="IS568" s="1098"/>
      <c r="IT568" s="1098"/>
      <c r="IU568" s="1098"/>
      <c r="IV568" s="1098"/>
      <c r="IW568" s="1098"/>
      <c r="IX568" s="1098"/>
      <c r="IY568" s="1098"/>
      <c r="IZ568" s="1098"/>
      <c r="JA568" s="1098"/>
      <c r="JB568" s="1098"/>
      <c r="JC568" s="1098"/>
      <c r="JD568" s="1098"/>
      <c r="JE568" s="1098"/>
      <c r="JF568" s="1098"/>
      <c r="JG568" s="1098"/>
      <c r="JH568" s="1098"/>
      <c r="JI568" s="1098"/>
      <c r="JJ568" s="1098"/>
      <c r="JK568" s="1098"/>
      <c r="JL568" s="1098"/>
      <c r="JM568" s="1098"/>
      <c r="JN568" s="1098"/>
      <c r="JO568" s="1098"/>
      <c r="JP568" s="1098"/>
      <c r="JQ568" s="1098"/>
      <c r="JR568" s="1098"/>
      <c r="JS568" s="1098"/>
      <c r="JT568" s="1098"/>
      <c r="JU568" s="1098"/>
      <c r="JV568" s="1098"/>
      <c r="JW568" s="1098"/>
      <c r="JX568" s="1098"/>
      <c r="JY568" s="1098"/>
      <c r="JZ568" s="1098"/>
      <c r="KA568" s="1098"/>
      <c r="KB568" s="1099"/>
    </row>
    <row r="569" spans="2:288" ht="15" customHeight="1" x14ac:dyDescent="0.35">
      <c r="B569" s="146" t="str">
        <f t="shared" si="46"/>
        <v>Desk 42</v>
      </c>
      <c r="C569" s="148" t="str">
        <v/>
      </c>
      <c r="D569" s="148" t="str">
        <v/>
      </c>
      <c r="E569" s="148" t="str">
        <v/>
      </c>
      <c r="F569" s="148" t="str">
        <v/>
      </c>
      <c r="G569" s="268" t="str">
        <v/>
      </c>
      <c r="H569" s="1098"/>
      <c r="I569" s="1098"/>
      <c r="J569" s="1098"/>
      <c r="K569" s="1098"/>
      <c r="L569" s="1098"/>
      <c r="M569" s="1098"/>
      <c r="N569" s="1098"/>
      <c r="O569" s="1098"/>
      <c r="P569" s="1098"/>
      <c r="Q569" s="1098"/>
      <c r="R569" s="1098"/>
      <c r="S569" s="1098"/>
      <c r="T569" s="1098"/>
      <c r="U569" s="1098"/>
      <c r="V569" s="1098"/>
      <c r="W569" s="1098"/>
      <c r="X569" s="1098"/>
      <c r="Y569" s="1098"/>
      <c r="Z569" s="1098"/>
      <c r="AA569" s="1098"/>
      <c r="AB569" s="1098"/>
      <c r="AC569" s="1098"/>
      <c r="AD569" s="1098"/>
      <c r="AE569" s="1098"/>
      <c r="AF569" s="1098"/>
      <c r="AG569" s="1098"/>
      <c r="AH569" s="1098"/>
      <c r="AI569" s="1098"/>
      <c r="AJ569" s="1098"/>
      <c r="AK569" s="1098"/>
      <c r="AL569" s="1098"/>
      <c r="AM569" s="1098"/>
      <c r="AN569" s="1098"/>
      <c r="AO569" s="1098"/>
      <c r="AP569" s="1098"/>
      <c r="AQ569" s="1098"/>
      <c r="AR569" s="1098"/>
      <c r="AS569" s="1098"/>
      <c r="AT569" s="1098"/>
      <c r="AU569" s="1098"/>
      <c r="AV569" s="1098"/>
      <c r="AW569" s="1098"/>
      <c r="AX569" s="1098"/>
      <c r="AY569" s="1098"/>
      <c r="AZ569" s="1098"/>
      <c r="BA569" s="1098"/>
      <c r="BB569" s="1098"/>
      <c r="BC569" s="1098"/>
      <c r="BD569" s="1098"/>
      <c r="BE569" s="1098"/>
      <c r="BF569" s="1098"/>
      <c r="BG569" s="1098"/>
      <c r="BH569" s="1098"/>
      <c r="BI569" s="1098"/>
      <c r="BJ569" s="1098"/>
      <c r="BK569" s="1098"/>
      <c r="BL569" s="1098"/>
      <c r="BM569" s="1098"/>
      <c r="BN569" s="1098"/>
      <c r="BO569" s="1098"/>
      <c r="BP569" s="1098"/>
      <c r="BQ569" s="1098"/>
      <c r="BR569" s="1098"/>
      <c r="BS569" s="1098"/>
      <c r="BT569" s="1098"/>
      <c r="BU569" s="1098"/>
      <c r="BV569" s="1098"/>
      <c r="BW569" s="1098"/>
      <c r="BX569" s="1098"/>
      <c r="BY569" s="1098"/>
      <c r="BZ569" s="1098"/>
      <c r="CA569" s="1098"/>
      <c r="CB569" s="1098"/>
      <c r="CC569" s="1098"/>
      <c r="CD569" s="1098"/>
      <c r="CE569" s="1098"/>
      <c r="CF569" s="1098"/>
      <c r="CG569" s="1098"/>
      <c r="CH569" s="1098"/>
      <c r="CI569" s="1098"/>
      <c r="CJ569" s="1098"/>
      <c r="CK569" s="1098"/>
      <c r="CL569" s="1098"/>
      <c r="CM569" s="1098"/>
      <c r="CN569" s="1098"/>
      <c r="CO569" s="1098"/>
      <c r="CP569" s="1098"/>
      <c r="CQ569" s="1098"/>
      <c r="CR569" s="1098"/>
      <c r="CS569" s="1098"/>
      <c r="CT569" s="1098"/>
      <c r="CU569" s="1098"/>
      <c r="CV569" s="1098"/>
      <c r="CW569" s="1098"/>
      <c r="CX569" s="1098"/>
      <c r="CY569" s="1098"/>
      <c r="CZ569" s="1098"/>
      <c r="DA569" s="1098"/>
      <c r="DB569" s="1098"/>
      <c r="DC569" s="1098"/>
      <c r="DD569" s="1098"/>
      <c r="DE569" s="1098"/>
      <c r="DF569" s="1098"/>
      <c r="DG569" s="1098"/>
      <c r="DH569" s="1098"/>
      <c r="DI569" s="1098"/>
      <c r="DJ569" s="1098"/>
      <c r="DK569" s="1098"/>
      <c r="DL569" s="1098"/>
      <c r="DM569" s="1098"/>
      <c r="DN569" s="1098"/>
      <c r="DO569" s="1098"/>
      <c r="DP569" s="1098"/>
      <c r="DQ569" s="1098"/>
      <c r="DR569" s="1098"/>
      <c r="DS569" s="1098"/>
      <c r="DT569" s="1098"/>
      <c r="DU569" s="1098"/>
      <c r="DV569" s="1098"/>
      <c r="DW569" s="1098"/>
      <c r="DX569" s="1098"/>
      <c r="DY569" s="1098"/>
      <c r="DZ569" s="1098"/>
      <c r="EA569" s="1098"/>
      <c r="EB569" s="1098"/>
      <c r="EC569" s="1098"/>
      <c r="ED569" s="1098"/>
      <c r="EE569" s="1098"/>
      <c r="EF569" s="1098"/>
      <c r="EG569" s="1098"/>
      <c r="EH569" s="1098"/>
      <c r="EI569" s="1098"/>
      <c r="EJ569" s="1098"/>
      <c r="EK569" s="1098"/>
      <c r="EL569" s="1098"/>
      <c r="EM569" s="1098"/>
      <c r="EN569" s="1098"/>
      <c r="EO569" s="1098"/>
      <c r="EP569" s="1098"/>
      <c r="EQ569" s="1098"/>
      <c r="ER569" s="1098"/>
      <c r="ES569" s="1098"/>
      <c r="ET569" s="1098"/>
      <c r="EU569" s="1098"/>
      <c r="EV569" s="1098"/>
      <c r="EW569" s="1098"/>
      <c r="EX569" s="1098"/>
      <c r="EY569" s="1098"/>
      <c r="EZ569" s="1098"/>
      <c r="FA569" s="1098"/>
      <c r="FB569" s="1098"/>
      <c r="FC569" s="1098"/>
      <c r="FD569" s="1098"/>
      <c r="FE569" s="1098"/>
      <c r="FF569" s="1098"/>
      <c r="FG569" s="1098"/>
      <c r="FH569" s="1098"/>
      <c r="FI569" s="1098"/>
      <c r="FJ569" s="1098"/>
      <c r="FK569" s="1098"/>
      <c r="FL569" s="1098"/>
      <c r="FM569" s="1098"/>
      <c r="FN569" s="1098"/>
      <c r="FO569" s="1098"/>
      <c r="FP569" s="1098"/>
      <c r="FQ569" s="1098"/>
      <c r="FR569" s="1098"/>
      <c r="FS569" s="1098"/>
      <c r="FT569" s="1098"/>
      <c r="FU569" s="1098"/>
      <c r="FV569" s="1098"/>
      <c r="FW569" s="1098"/>
      <c r="FX569" s="1098"/>
      <c r="FY569" s="1098"/>
      <c r="FZ569" s="1098"/>
      <c r="GA569" s="1098"/>
      <c r="GB569" s="1098"/>
      <c r="GC569" s="1098"/>
      <c r="GD569" s="1098"/>
      <c r="GE569" s="1098"/>
      <c r="GF569" s="1098"/>
      <c r="GG569" s="1098"/>
      <c r="GH569" s="1098"/>
      <c r="GI569" s="1098"/>
      <c r="GJ569" s="1098"/>
      <c r="GK569" s="1098"/>
      <c r="GL569" s="1098"/>
      <c r="GM569" s="1098"/>
      <c r="GN569" s="1098"/>
      <c r="GO569" s="1098"/>
      <c r="GP569" s="1098"/>
      <c r="GQ569" s="1098"/>
      <c r="GR569" s="1098"/>
      <c r="GS569" s="1098"/>
      <c r="GT569" s="1098"/>
      <c r="GU569" s="1098"/>
      <c r="GV569" s="1098"/>
      <c r="GW569" s="1098"/>
      <c r="GX569" s="1098"/>
      <c r="GY569" s="1098"/>
      <c r="GZ569" s="1098"/>
      <c r="HA569" s="1098"/>
      <c r="HB569" s="1098"/>
      <c r="HC569" s="1098"/>
      <c r="HD569" s="1098"/>
      <c r="HE569" s="1098"/>
      <c r="HF569" s="1098"/>
      <c r="HG569" s="1098"/>
      <c r="HH569" s="1098"/>
      <c r="HI569" s="1098"/>
      <c r="HJ569" s="1098"/>
      <c r="HK569" s="1098"/>
      <c r="HL569" s="1098"/>
      <c r="HM569" s="1098"/>
      <c r="HN569" s="1098"/>
      <c r="HO569" s="1098"/>
      <c r="HP569" s="1098"/>
      <c r="HQ569" s="1098"/>
      <c r="HR569" s="1098"/>
      <c r="HS569" s="1098"/>
      <c r="HT569" s="1098"/>
      <c r="HU569" s="1098"/>
      <c r="HV569" s="1098"/>
      <c r="HW569" s="1098"/>
      <c r="HX569" s="1098"/>
      <c r="HY569" s="1098"/>
      <c r="HZ569" s="1098"/>
      <c r="IA569" s="1098"/>
      <c r="IB569" s="1098"/>
      <c r="IC569" s="1098"/>
      <c r="ID569" s="1098"/>
      <c r="IE569" s="1098"/>
      <c r="IF569" s="1098"/>
      <c r="IG569" s="1098"/>
      <c r="IH569" s="1098"/>
      <c r="II569" s="1098"/>
      <c r="IJ569" s="1098"/>
      <c r="IK569" s="1098"/>
      <c r="IL569" s="1098"/>
      <c r="IM569" s="1098"/>
      <c r="IN569" s="1098"/>
      <c r="IO569" s="1098"/>
      <c r="IP569" s="1098"/>
      <c r="IQ569" s="1098"/>
      <c r="IR569" s="1098"/>
      <c r="IS569" s="1098"/>
      <c r="IT569" s="1098"/>
      <c r="IU569" s="1098"/>
      <c r="IV569" s="1098"/>
      <c r="IW569" s="1098"/>
      <c r="IX569" s="1098"/>
      <c r="IY569" s="1098"/>
      <c r="IZ569" s="1098"/>
      <c r="JA569" s="1098"/>
      <c r="JB569" s="1098"/>
      <c r="JC569" s="1098"/>
      <c r="JD569" s="1098"/>
      <c r="JE569" s="1098"/>
      <c r="JF569" s="1098"/>
      <c r="JG569" s="1098"/>
      <c r="JH569" s="1098"/>
      <c r="JI569" s="1098"/>
      <c r="JJ569" s="1098"/>
      <c r="JK569" s="1098"/>
      <c r="JL569" s="1098"/>
      <c r="JM569" s="1098"/>
      <c r="JN569" s="1098"/>
      <c r="JO569" s="1098"/>
      <c r="JP569" s="1098"/>
      <c r="JQ569" s="1098"/>
      <c r="JR569" s="1098"/>
      <c r="JS569" s="1098"/>
      <c r="JT569" s="1098"/>
      <c r="JU569" s="1098"/>
      <c r="JV569" s="1098"/>
      <c r="JW569" s="1098"/>
      <c r="JX569" s="1098"/>
      <c r="JY569" s="1098"/>
      <c r="JZ569" s="1098"/>
      <c r="KA569" s="1098"/>
      <c r="KB569" s="1099"/>
    </row>
    <row r="570" spans="2:288" ht="15" customHeight="1" x14ac:dyDescent="0.35">
      <c r="B570" s="146" t="str">
        <f t="shared" si="46"/>
        <v>Desk 43</v>
      </c>
      <c r="C570" s="148" t="str">
        <v/>
      </c>
      <c r="D570" s="148" t="str">
        <v/>
      </c>
      <c r="E570" s="148" t="str">
        <v/>
      </c>
      <c r="F570" s="148" t="str">
        <v/>
      </c>
      <c r="G570" s="268" t="str">
        <v/>
      </c>
      <c r="H570" s="1098"/>
      <c r="I570" s="1098"/>
      <c r="J570" s="1098"/>
      <c r="K570" s="1098"/>
      <c r="L570" s="1098"/>
      <c r="M570" s="1098"/>
      <c r="N570" s="1098"/>
      <c r="O570" s="1098"/>
      <c r="P570" s="1098"/>
      <c r="Q570" s="1098"/>
      <c r="R570" s="1098"/>
      <c r="S570" s="1098"/>
      <c r="T570" s="1098"/>
      <c r="U570" s="1098"/>
      <c r="V570" s="1098"/>
      <c r="W570" s="1098"/>
      <c r="X570" s="1098"/>
      <c r="Y570" s="1098"/>
      <c r="Z570" s="1098"/>
      <c r="AA570" s="1098"/>
      <c r="AB570" s="1098"/>
      <c r="AC570" s="1098"/>
      <c r="AD570" s="1098"/>
      <c r="AE570" s="1098"/>
      <c r="AF570" s="1098"/>
      <c r="AG570" s="1098"/>
      <c r="AH570" s="1098"/>
      <c r="AI570" s="1098"/>
      <c r="AJ570" s="1098"/>
      <c r="AK570" s="1098"/>
      <c r="AL570" s="1098"/>
      <c r="AM570" s="1098"/>
      <c r="AN570" s="1098"/>
      <c r="AO570" s="1098"/>
      <c r="AP570" s="1098"/>
      <c r="AQ570" s="1098"/>
      <c r="AR570" s="1098"/>
      <c r="AS570" s="1098"/>
      <c r="AT570" s="1098"/>
      <c r="AU570" s="1098"/>
      <c r="AV570" s="1098"/>
      <c r="AW570" s="1098"/>
      <c r="AX570" s="1098"/>
      <c r="AY570" s="1098"/>
      <c r="AZ570" s="1098"/>
      <c r="BA570" s="1098"/>
      <c r="BB570" s="1098"/>
      <c r="BC570" s="1098"/>
      <c r="BD570" s="1098"/>
      <c r="BE570" s="1098"/>
      <c r="BF570" s="1098"/>
      <c r="BG570" s="1098"/>
      <c r="BH570" s="1098"/>
      <c r="BI570" s="1098"/>
      <c r="BJ570" s="1098"/>
      <c r="BK570" s="1098"/>
      <c r="BL570" s="1098"/>
      <c r="BM570" s="1098"/>
      <c r="BN570" s="1098"/>
      <c r="BO570" s="1098"/>
      <c r="BP570" s="1098"/>
      <c r="BQ570" s="1098"/>
      <c r="BR570" s="1098"/>
      <c r="BS570" s="1098"/>
      <c r="BT570" s="1098"/>
      <c r="BU570" s="1098"/>
      <c r="BV570" s="1098"/>
      <c r="BW570" s="1098"/>
      <c r="BX570" s="1098"/>
      <c r="BY570" s="1098"/>
      <c r="BZ570" s="1098"/>
      <c r="CA570" s="1098"/>
      <c r="CB570" s="1098"/>
      <c r="CC570" s="1098"/>
      <c r="CD570" s="1098"/>
      <c r="CE570" s="1098"/>
      <c r="CF570" s="1098"/>
      <c r="CG570" s="1098"/>
      <c r="CH570" s="1098"/>
      <c r="CI570" s="1098"/>
      <c r="CJ570" s="1098"/>
      <c r="CK570" s="1098"/>
      <c r="CL570" s="1098"/>
      <c r="CM570" s="1098"/>
      <c r="CN570" s="1098"/>
      <c r="CO570" s="1098"/>
      <c r="CP570" s="1098"/>
      <c r="CQ570" s="1098"/>
      <c r="CR570" s="1098"/>
      <c r="CS570" s="1098"/>
      <c r="CT570" s="1098"/>
      <c r="CU570" s="1098"/>
      <c r="CV570" s="1098"/>
      <c r="CW570" s="1098"/>
      <c r="CX570" s="1098"/>
      <c r="CY570" s="1098"/>
      <c r="CZ570" s="1098"/>
      <c r="DA570" s="1098"/>
      <c r="DB570" s="1098"/>
      <c r="DC570" s="1098"/>
      <c r="DD570" s="1098"/>
      <c r="DE570" s="1098"/>
      <c r="DF570" s="1098"/>
      <c r="DG570" s="1098"/>
      <c r="DH570" s="1098"/>
      <c r="DI570" s="1098"/>
      <c r="DJ570" s="1098"/>
      <c r="DK570" s="1098"/>
      <c r="DL570" s="1098"/>
      <c r="DM570" s="1098"/>
      <c r="DN570" s="1098"/>
      <c r="DO570" s="1098"/>
      <c r="DP570" s="1098"/>
      <c r="DQ570" s="1098"/>
      <c r="DR570" s="1098"/>
      <c r="DS570" s="1098"/>
      <c r="DT570" s="1098"/>
      <c r="DU570" s="1098"/>
      <c r="DV570" s="1098"/>
      <c r="DW570" s="1098"/>
      <c r="DX570" s="1098"/>
      <c r="DY570" s="1098"/>
      <c r="DZ570" s="1098"/>
      <c r="EA570" s="1098"/>
      <c r="EB570" s="1098"/>
      <c r="EC570" s="1098"/>
      <c r="ED570" s="1098"/>
      <c r="EE570" s="1098"/>
      <c r="EF570" s="1098"/>
      <c r="EG570" s="1098"/>
      <c r="EH570" s="1098"/>
      <c r="EI570" s="1098"/>
      <c r="EJ570" s="1098"/>
      <c r="EK570" s="1098"/>
      <c r="EL570" s="1098"/>
      <c r="EM570" s="1098"/>
      <c r="EN570" s="1098"/>
      <c r="EO570" s="1098"/>
      <c r="EP570" s="1098"/>
      <c r="EQ570" s="1098"/>
      <c r="ER570" s="1098"/>
      <c r="ES570" s="1098"/>
      <c r="ET570" s="1098"/>
      <c r="EU570" s="1098"/>
      <c r="EV570" s="1098"/>
      <c r="EW570" s="1098"/>
      <c r="EX570" s="1098"/>
      <c r="EY570" s="1098"/>
      <c r="EZ570" s="1098"/>
      <c r="FA570" s="1098"/>
      <c r="FB570" s="1098"/>
      <c r="FC570" s="1098"/>
      <c r="FD570" s="1098"/>
      <c r="FE570" s="1098"/>
      <c r="FF570" s="1098"/>
      <c r="FG570" s="1098"/>
      <c r="FH570" s="1098"/>
      <c r="FI570" s="1098"/>
      <c r="FJ570" s="1098"/>
      <c r="FK570" s="1098"/>
      <c r="FL570" s="1098"/>
      <c r="FM570" s="1098"/>
      <c r="FN570" s="1098"/>
      <c r="FO570" s="1098"/>
      <c r="FP570" s="1098"/>
      <c r="FQ570" s="1098"/>
      <c r="FR570" s="1098"/>
      <c r="FS570" s="1098"/>
      <c r="FT570" s="1098"/>
      <c r="FU570" s="1098"/>
      <c r="FV570" s="1098"/>
      <c r="FW570" s="1098"/>
      <c r="FX570" s="1098"/>
      <c r="FY570" s="1098"/>
      <c r="FZ570" s="1098"/>
      <c r="GA570" s="1098"/>
      <c r="GB570" s="1098"/>
      <c r="GC570" s="1098"/>
      <c r="GD570" s="1098"/>
      <c r="GE570" s="1098"/>
      <c r="GF570" s="1098"/>
      <c r="GG570" s="1098"/>
      <c r="GH570" s="1098"/>
      <c r="GI570" s="1098"/>
      <c r="GJ570" s="1098"/>
      <c r="GK570" s="1098"/>
      <c r="GL570" s="1098"/>
      <c r="GM570" s="1098"/>
      <c r="GN570" s="1098"/>
      <c r="GO570" s="1098"/>
      <c r="GP570" s="1098"/>
      <c r="GQ570" s="1098"/>
      <c r="GR570" s="1098"/>
      <c r="GS570" s="1098"/>
      <c r="GT570" s="1098"/>
      <c r="GU570" s="1098"/>
      <c r="GV570" s="1098"/>
      <c r="GW570" s="1098"/>
      <c r="GX570" s="1098"/>
      <c r="GY570" s="1098"/>
      <c r="GZ570" s="1098"/>
      <c r="HA570" s="1098"/>
      <c r="HB570" s="1098"/>
      <c r="HC570" s="1098"/>
      <c r="HD570" s="1098"/>
      <c r="HE570" s="1098"/>
      <c r="HF570" s="1098"/>
      <c r="HG570" s="1098"/>
      <c r="HH570" s="1098"/>
      <c r="HI570" s="1098"/>
      <c r="HJ570" s="1098"/>
      <c r="HK570" s="1098"/>
      <c r="HL570" s="1098"/>
      <c r="HM570" s="1098"/>
      <c r="HN570" s="1098"/>
      <c r="HO570" s="1098"/>
      <c r="HP570" s="1098"/>
      <c r="HQ570" s="1098"/>
      <c r="HR570" s="1098"/>
      <c r="HS570" s="1098"/>
      <c r="HT570" s="1098"/>
      <c r="HU570" s="1098"/>
      <c r="HV570" s="1098"/>
      <c r="HW570" s="1098"/>
      <c r="HX570" s="1098"/>
      <c r="HY570" s="1098"/>
      <c r="HZ570" s="1098"/>
      <c r="IA570" s="1098"/>
      <c r="IB570" s="1098"/>
      <c r="IC570" s="1098"/>
      <c r="ID570" s="1098"/>
      <c r="IE570" s="1098"/>
      <c r="IF570" s="1098"/>
      <c r="IG570" s="1098"/>
      <c r="IH570" s="1098"/>
      <c r="II570" s="1098"/>
      <c r="IJ570" s="1098"/>
      <c r="IK570" s="1098"/>
      <c r="IL570" s="1098"/>
      <c r="IM570" s="1098"/>
      <c r="IN570" s="1098"/>
      <c r="IO570" s="1098"/>
      <c r="IP570" s="1098"/>
      <c r="IQ570" s="1098"/>
      <c r="IR570" s="1098"/>
      <c r="IS570" s="1098"/>
      <c r="IT570" s="1098"/>
      <c r="IU570" s="1098"/>
      <c r="IV570" s="1098"/>
      <c r="IW570" s="1098"/>
      <c r="IX570" s="1098"/>
      <c r="IY570" s="1098"/>
      <c r="IZ570" s="1098"/>
      <c r="JA570" s="1098"/>
      <c r="JB570" s="1098"/>
      <c r="JC570" s="1098"/>
      <c r="JD570" s="1098"/>
      <c r="JE570" s="1098"/>
      <c r="JF570" s="1098"/>
      <c r="JG570" s="1098"/>
      <c r="JH570" s="1098"/>
      <c r="JI570" s="1098"/>
      <c r="JJ570" s="1098"/>
      <c r="JK570" s="1098"/>
      <c r="JL570" s="1098"/>
      <c r="JM570" s="1098"/>
      <c r="JN570" s="1098"/>
      <c r="JO570" s="1098"/>
      <c r="JP570" s="1098"/>
      <c r="JQ570" s="1098"/>
      <c r="JR570" s="1098"/>
      <c r="JS570" s="1098"/>
      <c r="JT570" s="1098"/>
      <c r="JU570" s="1098"/>
      <c r="JV570" s="1098"/>
      <c r="JW570" s="1098"/>
      <c r="JX570" s="1098"/>
      <c r="JY570" s="1098"/>
      <c r="JZ570" s="1098"/>
      <c r="KA570" s="1098"/>
      <c r="KB570" s="1099"/>
    </row>
    <row r="571" spans="2:288" ht="15" customHeight="1" x14ac:dyDescent="0.35">
      <c r="B571" s="146" t="str">
        <f t="shared" si="46"/>
        <v>Desk 44</v>
      </c>
      <c r="C571" s="148" t="str">
        <v/>
      </c>
      <c r="D571" s="148" t="str">
        <v/>
      </c>
      <c r="E571" s="148" t="str">
        <v/>
      </c>
      <c r="F571" s="148" t="str">
        <v/>
      </c>
      <c r="G571" s="268" t="str">
        <v/>
      </c>
      <c r="H571" s="1098"/>
      <c r="I571" s="1098"/>
      <c r="J571" s="1098"/>
      <c r="K571" s="1098"/>
      <c r="L571" s="1098"/>
      <c r="M571" s="1098"/>
      <c r="N571" s="1098"/>
      <c r="O571" s="1098"/>
      <c r="P571" s="1098"/>
      <c r="Q571" s="1098"/>
      <c r="R571" s="1098"/>
      <c r="S571" s="1098"/>
      <c r="T571" s="1098"/>
      <c r="U571" s="1098"/>
      <c r="V571" s="1098"/>
      <c r="W571" s="1098"/>
      <c r="X571" s="1098"/>
      <c r="Y571" s="1098"/>
      <c r="Z571" s="1098"/>
      <c r="AA571" s="1098"/>
      <c r="AB571" s="1098"/>
      <c r="AC571" s="1098"/>
      <c r="AD571" s="1098"/>
      <c r="AE571" s="1098"/>
      <c r="AF571" s="1098"/>
      <c r="AG571" s="1098"/>
      <c r="AH571" s="1098"/>
      <c r="AI571" s="1098"/>
      <c r="AJ571" s="1098"/>
      <c r="AK571" s="1098"/>
      <c r="AL571" s="1098"/>
      <c r="AM571" s="1098"/>
      <c r="AN571" s="1098"/>
      <c r="AO571" s="1098"/>
      <c r="AP571" s="1098"/>
      <c r="AQ571" s="1098"/>
      <c r="AR571" s="1098"/>
      <c r="AS571" s="1098"/>
      <c r="AT571" s="1098"/>
      <c r="AU571" s="1098"/>
      <c r="AV571" s="1098"/>
      <c r="AW571" s="1098"/>
      <c r="AX571" s="1098"/>
      <c r="AY571" s="1098"/>
      <c r="AZ571" s="1098"/>
      <c r="BA571" s="1098"/>
      <c r="BB571" s="1098"/>
      <c r="BC571" s="1098"/>
      <c r="BD571" s="1098"/>
      <c r="BE571" s="1098"/>
      <c r="BF571" s="1098"/>
      <c r="BG571" s="1098"/>
      <c r="BH571" s="1098"/>
      <c r="BI571" s="1098"/>
      <c r="BJ571" s="1098"/>
      <c r="BK571" s="1098"/>
      <c r="BL571" s="1098"/>
      <c r="BM571" s="1098"/>
      <c r="BN571" s="1098"/>
      <c r="BO571" s="1098"/>
      <c r="BP571" s="1098"/>
      <c r="BQ571" s="1098"/>
      <c r="BR571" s="1098"/>
      <c r="BS571" s="1098"/>
      <c r="BT571" s="1098"/>
      <c r="BU571" s="1098"/>
      <c r="BV571" s="1098"/>
      <c r="BW571" s="1098"/>
      <c r="BX571" s="1098"/>
      <c r="BY571" s="1098"/>
      <c r="BZ571" s="1098"/>
      <c r="CA571" s="1098"/>
      <c r="CB571" s="1098"/>
      <c r="CC571" s="1098"/>
      <c r="CD571" s="1098"/>
      <c r="CE571" s="1098"/>
      <c r="CF571" s="1098"/>
      <c r="CG571" s="1098"/>
      <c r="CH571" s="1098"/>
      <c r="CI571" s="1098"/>
      <c r="CJ571" s="1098"/>
      <c r="CK571" s="1098"/>
      <c r="CL571" s="1098"/>
      <c r="CM571" s="1098"/>
      <c r="CN571" s="1098"/>
      <c r="CO571" s="1098"/>
      <c r="CP571" s="1098"/>
      <c r="CQ571" s="1098"/>
      <c r="CR571" s="1098"/>
      <c r="CS571" s="1098"/>
      <c r="CT571" s="1098"/>
      <c r="CU571" s="1098"/>
      <c r="CV571" s="1098"/>
      <c r="CW571" s="1098"/>
      <c r="CX571" s="1098"/>
      <c r="CY571" s="1098"/>
      <c r="CZ571" s="1098"/>
      <c r="DA571" s="1098"/>
      <c r="DB571" s="1098"/>
      <c r="DC571" s="1098"/>
      <c r="DD571" s="1098"/>
      <c r="DE571" s="1098"/>
      <c r="DF571" s="1098"/>
      <c r="DG571" s="1098"/>
      <c r="DH571" s="1098"/>
      <c r="DI571" s="1098"/>
      <c r="DJ571" s="1098"/>
      <c r="DK571" s="1098"/>
      <c r="DL571" s="1098"/>
      <c r="DM571" s="1098"/>
      <c r="DN571" s="1098"/>
      <c r="DO571" s="1098"/>
      <c r="DP571" s="1098"/>
      <c r="DQ571" s="1098"/>
      <c r="DR571" s="1098"/>
      <c r="DS571" s="1098"/>
      <c r="DT571" s="1098"/>
      <c r="DU571" s="1098"/>
      <c r="DV571" s="1098"/>
      <c r="DW571" s="1098"/>
      <c r="DX571" s="1098"/>
      <c r="DY571" s="1098"/>
      <c r="DZ571" s="1098"/>
      <c r="EA571" s="1098"/>
      <c r="EB571" s="1098"/>
      <c r="EC571" s="1098"/>
      <c r="ED571" s="1098"/>
      <c r="EE571" s="1098"/>
      <c r="EF571" s="1098"/>
      <c r="EG571" s="1098"/>
      <c r="EH571" s="1098"/>
      <c r="EI571" s="1098"/>
      <c r="EJ571" s="1098"/>
      <c r="EK571" s="1098"/>
      <c r="EL571" s="1098"/>
      <c r="EM571" s="1098"/>
      <c r="EN571" s="1098"/>
      <c r="EO571" s="1098"/>
      <c r="EP571" s="1098"/>
      <c r="EQ571" s="1098"/>
      <c r="ER571" s="1098"/>
      <c r="ES571" s="1098"/>
      <c r="ET571" s="1098"/>
      <c r="EU571" s="1098"/>
      <c r="EV571" s="1098"/>
      <c r="EW571" s="1098"/>
      <c r="EX571" s="1098"/>
      <c r="EY571" s="1098"/>
      <c r="EZ571" s="1098"/>
      <c r="FA571" s="1098"/>
      <c r="FB571" s="1098"/>
      <c r="FC571" s="1098"/>
      <c r="FD571" s="1098"/>
      <c r="FE571" s="1098"/>
      <c r="FF571" s="1098"/>
      <c r="FG571" s="1098"/>
      <c r="FH571" s="1098"/>
      <c r="FI571" s="1098"/>
      <c r="FJ571" s="1098"/>
      <c r="FK571" s="1098"/>
      <c r="FL571" s="1098"/>
      <c r="FM571" s="1098"/>
      <c r="FN571" s="1098"/>
      <c r="FO571" s="1098"/>
      <c r="FP571" s="1098"/>
      <c r="FQ571" s="1098"/>
      <c r="FR571" s="1098"/>
      <c r="FS571" s="1098"/>
      <c r="FT571" s="1098"/>
      <c r="FU571" s="1098"/>
      <c r="FV571" s="1098"/>
      <c r="FW571" s="1098"/>
      <c r="FX571" s="1098"/>
      <c r="FY571" s="1098"/>
      <c r="FZ571" s="1098"/>
      <c r="GA571" s="1098"/>
      <c r="GB571" s="1098"/>
      <c r="GC571" s="1098"/>
      <c r="GD571" s="1098"/>
      <c r="GE571" s="1098"/>
      <c r="GF571" s="1098"/>
      <c r="GG571" s="1098"/>
      <c r="GH571" s="1098"/>
      <c r="GI571" s="1098"/>
      <c r="GJ571" s="1098"/>
      <c r="GK571" s="1098"/>
      <c r="GL571" s="1098"/>
      <c r="GM571" s="1098"/>
      <c r="GN571" s="1098"/>
      <c r="GO571" s="1098"/>
      <c r="GP571" s="1098"/>
      <c r="GQ571" s="1098"/>
      <c r="GR571" s="1098"/>
      <c r="GS571" s="1098"/>
      <c r="GT571" s="1098"/>
      <c r="GU571" s="1098"/>
      <c r="GV571" s="1098"/>
      <c r="GW571" s="1098"/>
      <c r="GX571" s="1098"/>
      <c r="GY571" s="1098"/>
      <c r="GZ571" s="1098"/>
      <c r="HA571" s="1098"/>
      <c r="HB571" s="1098"/>
      <c r="HC571" s="1098"/>
      <c r="HD571" s="1098"/>
      <c r="HE571" s="1098"/>
      <c r="HF571" s="1098"/>
      <c r="HG571" s="1098"/>
      <c r="HH571" s="1098"/>
      <c r="HI571" s="1098"/>
      <c r="HJ571" s="1098"/>
      <c r="HK571" s="1098"/>
      <c r="HL571" s="1098"/>
      <c r="HM571" s="1098"/>
      <c r="HN571" s="1098"/>
      <c r="HO571" s="1098"/>
      <c r="HP571" s="1098"/>
      <c r="HQ571" s="1098"/>
      <c r="HR571" s="1098"/>
      <c r="HS571" s="1098"/>
      <c r="HT571" s="1098"/>
      <c r="HU571" s="1098"/>
      <c r="HV571" s="1098"/>
      <c r="HW571" s="1098"/>
      <c r="HX571" s="1098"/>
      <c r="HY571" s="1098"/>
      <c r="HZ571" s="1098"/>
      <c r="IA571" s="1098"/>
      <c r="IB571" s="1098"/>
      <c r="IC571" s="1098"/>
      <c r="ID571" s="1098"/>
      <c r="IE571" s="1098"/>
      <c r="IF571" s="1098"/>
      <c r="IG571" s="1098"/>
      <c r="IH571" s="1098"/>
      <c r="II571" s="1098"/>
      <c r="IJ571" s="1098"/>
      <c r="IK571" s="1098"/>
      <c r="IL571" s="1098"/>
      <c r="IM571" s="1098"/>
      <c r="IN571" s="1098"/>
      <c r="IO571" s="1098"/>
      <c r="IP571" s="1098"/>
      <c r="IQ571" s="1098"/>
      <c r="IR571" s="1098"/>
      <c r="IS571" s="1098"/>
      <c r="IT571" s="1098"/>
      <c r="IU571" s="1098"/>
      <c r="IV571" s="1098"/>
      <c r="IW571" s="1098"/>
      <c r="IX571" s="1098"/>
      <c r="IY571" s="1098"/>
      <c r="IZ571" s="1098"/>
      <c r="JA571" s="1098"/>
      <c r="JB571" s="1098"/>
      <c r="JC571" s="1098"/>
      <c r="JD571" s="1098"/>
      <c r="JE571" s="1098"/>
      <c r="JF571" s="1098"/>
      <c r="JG571" s="1098"/>
      <c r="JH571" s="1098"/>
      <c r="JI571" s="1098"/>
      <c r="JJ571" s="1098"/>
      <c r="JK571" s="1098"/>
      <c r="JL571" s="1098"/>
      <c r="JM571" s="1098"/>
      <c r="JN571" s="1098"/>
      <c r="JO571" s="1098"/>
      <c r="JP571" s="1098"/>
      <c r="JQ571" s="1098"/>
      <c r="JR571" s="1098"/>
      <c r="JS571" s="1098"/>
      <c r="JT571" s="1098"/>
      <c r="JU571" s="1098"/>
      <c r="JV571" s="1098"/>
      <c r="JW571" s="1098"/>
      <c r="JX571" s="1098"/>
      <c r="JY571" s="1098"/>
      <c r="JZ571" s="1098"/>
      <c r="KA571" s="1098"/>
      <c r="KB571" s="1099"/>
    </row>
    <row r="572" spans="2:288" ht="15" customHeight="1" x14ac:dyDescent="0.35">
      <c r="B572" s="146" t="str">
        <f t="shared" si="46"/>
        <v>Desk 45</v>
      </c>
      <c r="C572" s="148" t="str">
        <v/>
      </c>
      <c r="D572" s="148" t="str">
        <v/>
      </c>
      <c r="E572" s="148" t="str">
        <v/>
      </c>
      <c r="F572" s="148" t="str">
        <v/>
      </c>
      <c r="G572" s="268" t="str">
        <v/>
      </c>
      <c r="H572" s="1098"/>
      <c r="I572" s="1098"/>
      <c r="J572" s="1098"/>
      <c r="K572" s="1098"/>
      <c r="L572" s="1098"/>
      <c r="M572" s="1098"/>
      <c r="N572" s="1098"/>
      <c r="O572" s="1098"/>
      <c r="P572" s="1098"/>
      <c r="Q572" s="1098"/>
      <c r="R572" s="1098"/>
      <c r="S572" s="1098"/>
      <c r="T572" s="1098"/>
      <c r="U572" s="1098"/>
      <c r="V572" s="1098"/>
      <c r="W572" s="1098"/>
      <c r="X572" s="1098"/>
      <c r="Y572" s="1098"/>
      <c r="Z572" s="1098"/>
      <c r="AA572" s="1098"/>
      <c r="AB572" s="1098"/>
      <c r="AC572" s="1098"/>
      <c r="AD572" s="1098"/>
      <c r="AE572" s="1098"/>
      <c r="AF572" s="1098"/>
      <c r="AG572" s="1098"/>
      <c r="AH572" s="1098"/>
      <c r="AI572" s="1098"/>
      <c r="AJ572" s="1098"/>
      <c r="AK572" s="1098"/>
      <c r="AL572" s="1098"/>
      <c r="AM572" s="1098"/>
      <c r="AN572" s="1098"/>
      <c r="AO572" s="1098"/>
      <c r="AP572" s="1098"/>
      <c r="AQ572" s="1098"/>
      <c r="AR572" s="1098"/>
      <c r="AS572" s="1098"/>
      <c r="AT572" s="1098"/>
      <c r="AU572" s="1098"/>
      <c r="AV572" s="1098"/>
      <c r="AW572" s="1098"/>
      <c r="AX572" s="1098"/>
      <c r="AY572" s="1098"/>
      <c r="AZ572" s="1098"/>
      <c r="BA572" s="1098"/>
      <c r="BB572" s="1098"/>
      <c r="BC572" s="1098"/>
      <c r="BD572" s="1098"/>
      <c r="BE572" s="1098"/>
      <c r="BF572" s="1098"/>
      <c r="BG572" s="1098"/>
      <c r="BH572" s="1098"/>
      <c r="BI572" s="1098"/>
      <c r="BJ572" s="1098"/>
      <c r="BK572" s="1098"/>
      <c r="BL572" s="1098"/>
      <c r="BM572" s="1098"/>
      <c r="BN572" s="1098"/>
      <c r="BO572" s="1098"/>
      <c r="BP572" s="1098"/>
      <c r="BQ572" s="1098"/>
      <c r="BR572" s="1098"/>
      <c r="BS572" s="1098"/>
      <c r="BT572" s="1098"/>
      <c r="BU572" s="1098"/>
      <c r="BV572" s="1098"/>
      <c r="BW572" s="1098"/>
      <c r="BX572" s="1098"/>
      <c r="BY572" s="1098"/>
      <c r="BZ572" s="1098"/>
      <c r="CA572" s="1098"/>
      <c r="CB572" s="1098"/>
      <c r="CC572" s="1098"/>
      <c r="CD572" s="1098"/>
      <c r="CE572" s="1098"/>
      <c r="CF572" s="1098"/>
      <c r="CG572" s="1098"/>
      <c r="CH572" s="1098"/>
      <c r="CI572" s="1098"/>
      <c r="CJ572" s="1098"/>
      <c r="CK572" s="1098"/>
      <c r="CL572" s="1098"/>
      <c r="CM572" s="1098"/>
      <c r="CN572" s="1098"/>
      <c r="CO572" s="1098"/>
      <c r="CP572" s="1098"/>
      <c r="CQ572" s="1098"/>
      <c r="CR572" s="1098"/>
      <c r="CS572" s="1098"/>
      <c r="CT572" s="1098"/>
      <c r="CU572" s="1098"/>
      <c r="CV572" s="1098"/>
      <c r="CW572" s="1098"/>
      <c r="CX572" s="1098"/>
      <c r="CY572" s="1098"/>
      <c r="CZ572" s="1098"/>
      <c r="DA572" s="1098"/>
      <c r="DB572" s="1098"/>
      <c r="DC572" s="1098"/>
      <c r="DD572" s="1098"/>
      <c r="DE572" s="1098"/>
      <c r="DF572" s="1098"/>
      <c r="DG572" s="1098"/>
      <c r="DH572" s="1098"/>
      <c r="DI572" s="1098"/>
      <c r="DJ572" s="1098"/>
      <c r="DK572" s="1098"/>
      <c r="DL572" s="1098"/>
      <c r="DM572" s="1098"/>
      <c r="DN572" s="1098"/>
      <c r="DO572" s="1098"/>
      <c r="DP572" s="1098"/>
      <c r="DQ572" s="1098"/>
      <c r="DR572" s="1098"/>
      <c r="DS572" s="1098"/>
      <c r="DT572" s="1098"/>
      <c r="DU572" s="1098"/>
      <c r="DV572" s="1098"/>
      <c r="DW572" s="1098"/>
      <c r="DX572" s="1098"/>
      <c r="DY572" s="1098"/>
      <c r="DZ572" s="1098"/>
      <c r="EA572" s="1098"/>
      <c r="EB572" s="1098"/>
      <c r="EC572" s="1098"/>
      <c r="ED572" s="1098"/>
      <c r="EE572" s="1098"/>
      <c r="EF572" s="1098"/>
      <c r="EG572" s="1098"/>
      <c r="EH572" s="1098"/>
      <c r="EI572" s="1098"/>
      <c r="EJ572" s="1098"/>
      <c r="EK572" s="1098"/>
      <c r="EL572" s="1098"/>
      <c r="EM572" s="1098"/>
      <c r="EN572" s="1098"/>
      <c r="EO572" s="1098"/>
      <c r="EP572" s="1098"/>
      <c r="EQ572" s="1098"/>
      <c r="ER572" s="1098"/>
      <c r="ES572" s="1098"/>
      <c r="ET572" s="1098"/>
      <c r="EU572" s="1098"/>
      <c r="EV572" s="1098"/>
      <c r="EW572" s="1098"/>
      <c r="EX572" s="1098"/>
      <c r="EY572" s="1098"/>
      <c r="EZ572" s="1098"/>
      <c r="FA572" s="1098"/>
      <c r="FB572" s="1098"/>
      <c r="FC572" s="1098"/>
      <c r="FD572" s="1098"/>
      <c r="FE572" s="1098"/>
      <c r="FF572" s="1098"/>
      <c r="FG572" s="1098"/>
      <c r="FH572" s="1098"/>
      <c r="FI572" s="1098"/>
      <c r="FJ572" s="1098"/>
      <c r="FK572" s="1098"/>
      <c r="FL572" s="1098"/>
      <c r="FM572" s="1098"/>
      <c r="FN572" s="1098"/>
      <c r="FO572" s="1098"/>
      <c r="FP572" s="1098"/>
      <c r="FQ572" s="1098"/>
      <c r="FR572" s="1098"/>
      <c r="FS572" s="1098"/>
      <c r="FT572" s="1098"/>
      <c r="FU572" s="1098"/>
      <c r="FV572" s="1098"/>
      <c r="FW572" s="1098"/>
      <c r="FX572" s="1098"/>
      <c r="FY572" s="1098"/>
      <c r="FZ572" s="1098"/>
      <c r="GA572" s="1098"/>
      <c r="GB572" s="1098"/>
      <c r="GC572" s="1098"/>
      <c r="GD572" s="1098"/>
      <c r="GE572" s="1098"/>
      <c r="GF572" s="1098"/>
      <c r="GG572" s="1098"/>
      <c r="GH572" s="1098"/>
      <c r="GI572" s="1098"/>
      <c r="GJ572" s="1098"/>
      <c r="GK572" s="1098"/>
      <c r="GL572" s="1098"/>
      <c r="GM572" s="1098"/>
      <c r="GN572" s="1098"/>
      <c r="GO572" s="1098"/>
      <c r="GP572" s="1098"/>
      <c r="GQ572" s="1098"/>
      <c r="GR572" s="1098"/>
      <c r="GS572" s="1098"/>
      <c r="GT572" s="1098"/>
      <c r="GU572" s="1098"/>
      <c r="GV572" s="1098"/>
      <c r="GW572" s="1098"/>
      <c r="GX572" s="1098"/>
      <c r="GY572" s="1098"/>
      <c r="GZ572" s="1098"/>
      <c r="HA572" s="1098"/>
      <c r="HB572" s="1098"/>
      <c r="HC572" s="1098"/>
      <c r="HD572" s="1098"/>
      <c r="HE572" s="1098"/>
      <c r="HF572" s="1098"/>
      <c r="HG572" s="1098"/>
      <c r="HH572" s="1098"/>
      <c r="HI572" s="1098"/>
      <c r="HJ572" s="1098"/>
      <c r="HK572" s="1098"/>
      <c r="HL572" s="1098"/>
      <c r="HM572" s="1098"/>
      <c r="HN572" s="1098"/>
      <c r="HO572" s="1098"/>
      <c r="HP572" s="1098"/>
      <c r="HQ572" s="1098"/>
      <c r="HR572" s="1098"/>
      <c r="HS572" s="1098"/>
      <c r="HT572" s="1098"/>
      <c r="HU572" s="1098"/>
      <c r="HV572" s="1098"/>
      <c r="HW572" s="1098"/>
      <c r="HX572" s="1098"/>
      <c r="HY572" s="1098"/>
      <c r="HZ572" s="1098"/>
      <c r="IA572" s="1098"/>
      <c r="IB572" s="1098"/>
      <c r="IC572" s="1098"/>
      <c r="ID572" s="1098"/>
      <c r="IE572" s="1098"/>
      <c r="IF572" s="1098"/>
      <c r="IG572" s="1098"/>
      <c r="IH572" s="1098"/>
      <c r="II572" s="1098"/>
      <c r="IJ572" s="1098"/>
      <c r="IK572" s="1098"/>
      <c r="IL572" s="1098"/>
      <c r="IM572" s="1098"/>
      <c r="IN572" s="1098"/>
      <c r="IO572" s="1098"/>
      <c r="IP572" s="1098"/>
      <c r="IQ572" s="1098"/>
      <c r="IR572" s="1098"/>
      <c r="IS572" s="1098"/>
      <c r="IT572" s="1098"/>
      <c r="IU572" s="1098"/>
      <c r="IV572" s="1098"/>
      <c r="IW572" s="1098"/>
      <c r="IX572" s="1098"/>
      <c r="IY572" s="1098"/>
      <c r="IZ572" s="1098"/>
      <c r="JA572" s="1098"/>
      <c r="JB572" s="1098"/>
      <c r="JC572" s="1098"/>
      <c r="JD572" s="1098"/>
      <c r="JE572" s="1098"/>
      <c r="JF572" s="1098"/>
      <c r="JG572" s="1098"/>
      <c r="JH572" s="1098"/>
      <c r="JI572" s="1098"/>
      <c r="JJ572" s="1098"/>
      <c r="JK572" s="1098"/>
      <c r="JL572" s="1098"/>
      <c r="JM572" s="1098"/>
      <c r="JN572" s="1098"/>
      <c r="JO572" s="1098"/>
      <c r="JP572" s="1098"/>
      <c r="JQ572" s="1098"/>
      <c r="JR572" s="1098"/>
      <c r="JS572" s="1098"/>
      <c r="JT572" s="1098"/>
      <c r="JU572" s="1098"/>
      <c r="JV572" s="1098"/>
      <c r="JW572" s="1098"/>
      <c r="JX572" s="1098"/>
      <c r="JY572" s="1098"/>
      <c r="JZ572" s="1098"/>
      <c r="KA572" s="1098"/>
      <c r="KB572" s="1099"/>
    </row>
    <row r="573" spans="2:288" ht="15" customHeight="1" x14ac:dyDescent="0.35">
      <c r="B573" s="146" t="str">
        <f t="shared" si="46"/>
        <v>Desk 46</v>
      </c>
      <c r="C573" s="148" t="str">
        <v/>
      </c>
      <c r="D573" s="148" t="str">
        <v/>
      </c>
      <c r="E573" s="148" t="str">
        <v/>
      </c>
      <c r="F573" s="148" t="str">
        <v/>
      </c>
      <c r="G573" s="268" t="str">
        <v/>
      </c>
      <c r="H573" s="1098"/>
      <c r="I573" s="1098"/>
      <c r="J573" s="1098"/>
      <c r="K573" s="1098"/>
      <c r="L573" s="1098"/>
      <c r="M573" s="1098"/>
      <c r="N573" s="1098"/>
      <c r="O573" s="1098"/>
      <c r="P573" s="1098"/>
      <c r="Q573" s="1098"/>
      <c r="R573" s="1098"/>
      <c r="S573" s="1098"/>
      <c r="T573" s="1098"/>
      <c r="U573" s="1098"/>
      <c r="V573" s="1098"/>
      <c r="W573" s="1098"/>
      <c r="X573" s="1098"/>
      <c r="Y573" s="1098"/>
      <c r="Z573" s="1098"/>
      <c r="AA573" s="1098"/>
      <c r="AB573" s="1098"/>
      <c r="AC573" s="1098"/>
      <c r="AD573" s="1098"/>
      <c r="AE573" s="1098"/>
      <c r="AF573" s="1098"/>
      <c r="AG573" s="1098"/>
      <c r="AH573" s="1098"/>
      <c r="AI573" s="1098"/>
      <c r="AJ573" s="1098"/>
      <c r="AK573" s="1098"/>
      <c r="AL573" s="1098"/>
      <c r="AM573" s="1098"/>
      <c r="AN573" s="1098"/>
      <c r="AO573" s="1098"/>
      <c r="AP573" s="1098"/>
      <c r="AQ573" s="1098"/>
      <c r="AR573" s="1098"/>
      <c r="AS573" s="1098"/>
      <c r="AT573" s="1098"/>
      <c r="AU573" s="1098"/>
      <c r="AV573" s="1098"/>
      <c r="AW573" s="1098"/>
      <c r="AX573" s="1098"/>
      <c r="AY573" s="1098"/>
      <c r="AZ573" s="1098"/>
      <c r="BA573" s="1098"/>
      <c r="BB573" s="1098"/>
      <c r="BC573" s="1098"/>
      <c r="BD573" s="1098"/>
      <c r="BE573" s="1098"/>
      <c r="BF573" s="1098"/>
      <c r="BG573" s="1098"/>
      <c r="BH573" s="1098"/>
      <c r="BI573" s="1098"/>
      <c r="BJ573" s="1098"/>
      <c r="BK573" s="1098"/>
      <c r="BL573" s="1098"/>
      <c r="BM573" s="1098"/>
      <c r="BN573" s="1098"/>
      <c r="BO573" s="1098"/>
      <c r="BP573" s="1098"/>
      <c r="BQ573" s="1098"/>
      <c r="BR573" s="1098"/>
      <c r="BS573" s="1098"/>
      <c r="BT573" s="1098"/>
      <c r="BU573" s="1098"/>
      <c r="BV573" s="1098"/>
      <c r="BW573" s="1098"/>
      <c r="BX573" s="1098"/>
      <c r="BY573" s="1098"/>
      <c r="BZ573" s="1098"/>
      <c r="CA573" s="1098"/>
      <c r="CB573" s="1098"/>
      <c r="CC573" s="1098"/>
      <c r="CD573" s="1098"/>
      <c r="CE573" s="1098"/>
      <c r="CF573" s="1098"/>
      <c r="CG573" s="1098"/>
      <c r="CH573" s="1098"/>
      <c r="CI573" s="1098"/>
      <c r="CJ573" s="1098"/>
      <c r="CK573" s="1098"/>
      <c r="CL573" s="1098"/>
      <c r="CM573" s="1098"/>
      <c r="CN573" s="1098"/>
      <c r="CO573" s="1098"/>
      <c r="CP573" s="1098"/>
      <c r="CQ573" s="1098"/>
      <c r="CR573" s="1098"/>
      <c r="CS573" s="1098"/>
      <c r="CT573" s="1098"/>
      <c r="CU573" s="1098"/>
      <c r="CV573" s="1098"/>
      <c r="CW573" s="1098"/>
      <c r="CX573" s="1098"/>
      <c r="CY573" s="1098"/>
      <c r="CZ573" s="1098"/>
      <c r="DA573" s="1098"/>
      <c r="DB573" s="1098"/>
      <c r="DC573" s="1098"/>
      <c r="DD573" s="1098"/>
      <c r="DE573" s="1098"/>
      <c r="DF573" s="1098"/>
      <c r="DG573" s="1098"/>
      <c r="DH573" s="1098"/>
      <c r="DI573" s="1098"/>
      <c r="DJ573" s="1098"/>
      <c r="DK573" s="1098"/>
      <c r="DL573" s="1098"/>
      <c r="DM573" s="1098"/>
      <c r="DN573" s="1098"/>
      <c r="DO573" s="1098"/>
      <c r="DP573" s="1098"/>
      <c r="DQ573" s="1098"/>
      <c r="DR573" s="1098"/>
      <c r="DS573" s="1098"/>
      <c r="DT573" s="1098"/>
      <c r="DU573" s="1098"/>
      <c r="DV573" s="1098"/>
      <c r="DW573" s="1098"/>
      <c r="DX573" s="1098"/>
      <c r="DY573" s="1098"/>
      <c r="DZ573" s="1098"/>
      <c r="EA573" s="1098"/>
      <c r="EB573" s="1098"/>
      <c r="EC573" s="1098"/>
      <c r="ED573" s="1098"/>
      <c r="EE573" s="1098"/>
      <c r="EF573" s="1098"/>
      <c r="EG573" s="1098"/>
      <c r="EH573" s="1098"/>
      <c r="EI573" s="1098"/>
      <c r="EJ573" s="1098"/>
      <c r="EK573" s="1098"/>
      <c r="EL573" s="1098"/>
      <c r="EM573" s="1098"/>
      <c r="EN573" s="1098"/>
      <c r="EO573" s="1098"/>
      <c r="EP573" s="1098"/>
      <c r="EQ573" s="1098"/>
      <c r="ER573" s="1098"/>
      <c r="ES573" s="1098"/>
      <c r="ET573" s="1098"/>
      <c r="EU573" s="1098"/>
      <c r="EV573" s="1098"/>
      <c r="EW573" s="1098"/>
      <c r="EX573" s="1098"/>
      <c r="EY573" s="1098"/>
      <c r="EZ573" s="1098"/>
      <c r="FA573" s="1098"/>
      <c r="FB573" s="1098"/>
      <c r="FC573" s="1098"/>
      <c r="FD573" s="1098"/>
      <c r="FE573" s="1098"/>
      <c r="FF573" s="1098"/>
      <c r="FG573" s="1098"/>
      <c r="FH573" s="1098"/>
      <c r="FI573" s="1098"/>
      <c r="FJ573" s="1098"/>
      <c r="FK573" s="1098"/>
      <c r="FL573" s="1098"/>
      <c r="FM573" s="1098"/>
      <c r="FN573" s="1098"/>
      <c r="FO573" s="1098"/>
      <c r="FP573" s="1098"/>
      <c r="FQ573" s="1098"/>
      <c r="FR573" s="1098"/>
      <c r="FS573" s="1098"/>
      <c r="FT573" s="1098"/>
      <c r="FU573" s="1098"/>
      <c r="FV573" s="1098"/>
      <c r="FW573" s="1098"/>
      <c r="FX573" s="1098"/>
      <c r="FY573" s="1098"/>
      <c r="FZ573" s="1098"/>
      <c r="GA573" s="1098"/>
      <c r="GB573" s="1098"/>
      <c r="GC573" s="1098"/>
      <c r="GD573" s="1098"/>
      <c r="GE573" s="1098"/>
      <c r="GF573" s="1098"/>
      <c r="GG573" s="1098"/>
      <c r="GH573" s="1098"/>
      <c r="GI573" s="1098"/>
      <c r="GJ573" s="1098"/>
      <c r="GK573" s="1098"/>
      <c r="GL573" s="1098"/>
      <c r="GM573" s="1098"/>
      <c r="GN573" s="1098"/>
      <c r="GO573" s="1098"/>
      <c r="GP573" s="1098"/>
      <c r="GQ573" s="1098"/>
      <c r="GR573" s="1098"/>
      <c r="GS573" s="1098"/>
      <c r="GT573" s="1098"/>
      <c r="GU573" s="1098"/>
      <c r="GV573" s="1098"/>
      <c r="GW573" s="1098"/>
      <c r="GX573" s="1098"/>
      <c r="GY573" s="1098"/>
      <c r="GZ573" s="1098"/>
      <c r="HA573" s="1098"/>
      <c r="HB573" s="1098"/>
      <c r="HC573" s="1098"/>
      <c r="HD573" s="1098"/>
      <c r="HE573" s="1098"/>
      <c r="HF573" s="1098"/>
      <c r="HG573" s="1098"/>
      <c r="HH573" s="1098"/>
      <c r="HI573" s="1098"/>
      <c r="HJ573" s="1098"/>
      <c r="HK573" s="1098"/>
      <c r="HL573" s="1098"/>
      <c r="HM573" s="1098"/>
      <c r="HN573" s="1098"/>
      <c r="HO573" s="1098"/>
      <c r="HP573" s="1098"/>
      <c r="HQ573" s="1098"/>
      <c r="HR573" s="1098"/>
      <c r="HS573" s="1098"/>
      <c r="HT573" s="1098"/>
      <c r="HU573" s="1098"/>
      <c r="HV573" s="1098"/>
      <c r="HW573" s="1098"/>
      <c r="HX573" s="1098"/>
      <c r="HY573" s="1098"/>
      <c r="HZ573" s="1098"/>
      <c r="IA573" s="1098"/>
      <c r="IB573" s="1098"/>
      <c r="IC573" s="1098"/>
      <c r="ID573" s="1098"/>
      <c r="IE573" s="1098"/>
      <c r="IF573" s="1098"/>
      <c r="IG573" s="1098"/>
      <c r="IH573" s="1098"/>
      <c r="II573" s="1098"/>
      <c r="IJ573" s="1098"/>
      <c r="IK573" s="1098"/>
      <c r="IL573" s="1098"/>
      <c r="IM573" s="1098"/>
      <c r="IN573" s="1098"/>
      <c r="IO573" s="1098"/>
      <c r="IP573" s="1098"/>
      <c r="IQ573" s="1098"/>
      <c r="IR573" s="1098"/>
      <c r="IS573" s="1098"/>
      <c r="IT573" s="1098"/>
      <c r="IU573" s="1098"/>
      <c r="IV573" s="1098"/>
      <c r="IW573" s="1098"/>
      <c r="IX573" s="1098"/>
      <c r="IY573" s="1098"/>
      <c r="IZ573" s="1098"/>
      <c r="JA573" s="1098"/>
      <c r="JB573" s="1098"/>
      <c r="JC573" s="1098"/>
      <c r="JD573" s="1098"/>
      <c r="JE573" s="1098"/>
      <c r="JF573" s="1098"/>
      <c r="JG573" s="1098"/>
      <c r="JH573" s="1098"/>
      <c r="JI573" s="1098"/>
      <c r="JJ573" s="1098"/>
      <c r="JK573" s="1098"/>
      <c r="JL573" s="1098"/>
      <c r="JM573" s="1098"/>
      <c r="JN573" s="1098"/>
      <c r="JO573" s="1098"/>
      <c r="JP573" s="1098"/>
      <c r="JQ573" s="1098"/>
      <c r="JR573" s="1098"/>
      <c r="JS573" s="1098"/>
      <c r="JT573" s="1098"/>
      <c r="JU573" s="1098"/>
      <c r="JV573" s="1098"/>
      <c r="JW573" s="1098"/>
      <c r="JX573" s="1098"/>
      <c r="JY573" s="1098"/>
      <c r="JZ573" s="1098"/>
      <c r="KA573" s="1098"/>
      <c r="KB573" s="1099"/>
    </row>
    <row r="574" spans="2:288" ht="15" customHeight="1" x14ac:dyDescent="0.35">
      <c r="B574" s="146" t="str">
        <f t="shared" si="46"/>
        <v>Desk 47</v>
      </c>
      <c r="C574" s="148" t="str">
        <v/>
      </c>
      <c r="D574" s="148" t="str">
        <v/>
      </c>
      <c r="E574" s="148" t="str">
        <v/>
      </c>
      <c r="F574" s="148" t="str">
        <v/>
      </c>
      <c r="G574" s="268" t="str">
        <v/>
      </c>
      <c r="H574" s="1098"/>
      <c r="I574" s="1098"/>
      <c r="J574" s="1098"/>
      <c r="K574" s="1098"/>
      <c r="L574" s="1098"/>
      <c r="M574" s="1098"/>
      <c r="N574" s="1098"/>
      <c r="O574" s="1098"/>
      <c r="P574" s="1098"/>
      <c r="Q574" s="1098"/>
      <c r="R574" s="1098"/>
      <c r="S574" s="1098"/>
      <c r="T574" s="1098"/>
      <c r="U574" s="1098"/>
      <c r="V574" s="1098"/>
      <c r="W574" s="1098"/>
      <c r="X574" s="1098"/>
      <c r="Y574" s="1098"/>
      <c r="Z574" s="1098"/>
      <c r="AA574" s="1098"/>
      <c r="AB574" s="1098"/>
      <c r="AC574" s="1098"/>
      <c r="AD574" s="1098"/>
      <c r="AE574" s="1098"/>
      <c r="AF574" s="1098"/>
      <c r="AG574" s="1098"/>
      <c r="AH574" s="1098"/>
      <c r="AI574" s="1098"/>
      <c r="AJ574" s="1098"/>
      <c r="AK574" s="1098"/>
      <c r="AL574" s="1098"/>
      <c r="AM574" s="1098"/>
      <c r="AN574" s="1098"/>
      <c r="AO574" s="1098"/>
      <c r="AP574" s="1098"/>
      <c r="AQ574" s="1098"/>
      <c r="AR574" s="1098"/>
      <c r="AS574" s="1098"/>
      <c r="AT574" s="1098"/>
      <c r="AU574" s="1098"/>
      <c r="AV574" s="1098"/>
      <c r="AW574" s="1098"/>
      <c r="AX574" s="1098"/>
      <c r="AY574" s="1098"/>
      <c r="AZ574" s="1098"/>
      <c r="BA574" s="1098"/>
      <c r="BB574" s="1098"/>
      <c r="BC574" s="1098"/>
      <c r="BD574" s="1098"/>
      <c r="BE574" s="1098"/>
      <c r="BF574" s="1098"/>
      <c r="BG574" s="1098"/>
      <c r="BH574" s="1098"/>
      <c r="BI574" s="1098"/>
      <c r="BJ574" s="1098"/>
      <c r="BK574" s="1098"/>
      <c r="BL574" s="1098"/>
      <c r="BM574" s="1098"/>
      <c r="BN574" s="1098"/>
      <c r="BO574" s="1098"/>
      <c r="BP574" s="1098"/>
      <c r="BQ574" s="1098"/>
      <c r="BR574" s="1098"/>
      <c r="BS574" s="1098"/>
      <c r="BT574" s="1098"/>
      <c r="BU574" s="1098"/>
      <c r="BV574" s="1098"/>
      <c r="BW574" s="1098"/>
      <c r="BX574" s="1098"/>
      <c r="BY574" s="1098"/>
      <c r="BZ574" s="1098"/>
      <c r="CA574" s="1098"/>
      <c r="CB574" s="1098"/>
      <c r="CC574" s="1098"/>
      <c r="CD574" s="1098"/>
      <c r="CE574" s="1098"/>
      <c r="CF574" s="1098"/>
      <c r="CG574" s="1098"/>
      <c r="CH574" s="1098"/>
      <c r="CI574" s="1098"/>
      <c r="CJ574" s="1098"/>
      <c r="CK574" s="1098"/>
      <c r="CL574" s="1098"/>
      <c r="CM574" s="1098"/>
      <c r="CN574" s="1098"/>
      <c r="CO574" s="1098"/>
      <c r="CP574" s="1098"/>
      <c r="CQ574" s="1098"/>
      <c r="CR574" s="1098"/>
      <c r="CS574" s="1098"/>
      <c r="CT574" s="1098"/>
      <c r="CU574" s="1098"/>
      <c r="CV574" s="1098"/>
      <c r="CW574" s="1098"/>
      <c r="CX574" s="1098"/>
      <c r="CY574" s="1098"/>
      <c r="CZ574" s="1098"/>
      <c r="DA574" s="1098"/>
      <c r="DB574" s="1098"/>
      <c r="DC574" s="1098"/>
      <c r="DD574" s="1098"/>
      <c r="DE574" s="1098"/>
      <c r="DF574" s="1098"/>
      <c r="DG574" s="1098"/>
      <c r="DH574" s="1098"/>
      <c r="DI574" s="1098"/>
      <c r="DJ574" s="1098"/>
      <c r="DK574" s="1098"/>
      <c r="DL574" s="1098"/>
      <c r="DM574" s="1098"/>
      <c r="DN574" s="1098"/>
      <c r="DO574" s="1098"/>
      <c r="DP574" s="1098"/>
      <c r="DQ574" s="1098"/>
      <c r="DR574" s="1098"/>
      <c r="DS574" s="1098"/>
      <c r="DT574" s="1098"/>
      <c r="DU574" s="1098"/>
      <c r="DV574" s="1098"/>
      <c r="DW574" s="1098"/>
      <c r="DX574" s="1098"/>
      <c r="DY574" s="1098"/>
      <c r="DZ574" s="1098"/>
      <c r="EA574" s="1098"/>
      <c r="EB574" s="1098"/>
      <c r="EC574" s="1098"/>
      <c r="ED574" s="1098"/>
      <c r="EE574" s="1098"/>
      <c r="EF574" s="1098"/>
      <c r="EG574" s="1098"/>
      <c r="EH574" s="1098"/>
      <c r="EI574" s="1098"/>
      <c r="EJ574" s="1098"/>
      <c r="EK574" s="1098"/>
      <c r="EL574" s="1098"/>
      <c r="EM574" s="1098"/>
      <c r="EN574" s="1098"/>
      <c r="EO574" s="1098"/>
      <c r="EP574" s="1098"/>
      <c r="EQ574" s="1098"/>
      <c r="ER574" s="1098"/>
      <c r="ES574" s="1098"/>
      <c r="ET574" s="1098"/>
      <c r="EU574" s="1098"/>
      <c r="EV574" s="1098"/>
      <c r="EW574" s="1098"/>
      <c r="EX574" s="1098"/>
      <c r="EY574" s="1098"/>
      <c r="EZ574" s="1098"/>
      <c r="FA574" s="1098"/>
      <c r="FB574" s="1098"/>
      <c r="FC574" s="1098"/>
      <c r="FD574" s="1098"/>
      <c r="FE574" s="1098"/>
      <c r="FF574" s="1098"/>
      <c r="FG574" s="1098"/>
      <c r="FH574" s="1098"/>
      <c r="FI574" s="1098"/>
      <c r="FJ574" s="1098"/>
      <c r="FK574" s="1098"/>
      <c r="FL574" s="1098"/>
      <c r="FM574" s="1098"/>
      <c r="FN574" s="1098"/>
      <c r="FO574" s="1098"/>
      <c r="FP574" s="1098"/>
      <c r="FQ574" s="1098"/>
      <c r="FR574" s="1098"/>
      <c r="FS574" s="1098"/>
      <c r="FT574" s="1098"/>
      <c r="FU574" s="1098"/>
      <c r="FV574" s="1098"/>
      <c r="FW574" s="1098"/>
      <c r="FX574" s="1098"/>
      <c r="FY574" s="1098"/>
      <c r="FZ574" s="1098"/>
      <c r="GA574" s="1098"/>
      <c r="GB574" s="1098"/>
      <c r="GC574" s="1098"/>
      <c r="GD574" s="1098"/>
      <c r="GE574" s="1098"/>
      <c r="GF574" s="1098"/>
      <c r="GG574" s="1098"/>
      <c r="GH574" s="1098"/>
      <c r="GI574" s="1098"/>
      <c r="GJ574" s="1098"/>
      <c r="GK574" s="1098"/>
      <c r="GL574" s="1098"/>
      <c r="GM574" s="1098"/>
      <c r="GN574" s="1098"/>
      <c r="GO574" s="1098"/>
      <c r="GP574" s="1098"/>
      <c r="GQ574" s="1098"/>
      <c r="GR574" s="1098"/>
      <c r="GS574" s="1098"/>
      <c r="GT574" s="1098"/>
      <c r="GU574" s="1098"/>
      <c r="GV574" s="1098"/>
      <c r="GW574" s="1098"/>
      <c r="GX574" s="1098"/>
      <c r="GY574" s="1098"/>
      <c r="GZ574" s="1098"/>
      <c r="HA574" s="1098"/>
      <c r="HB574" s="1098"/>
      <c r="HC574" s="1098"/>
      <c r="HD574" s="1098"/>
      <c r="HE574" s="1098"/>
      <c r="HF574" s="1098"/>
      <c r="HG574" s="1098"/>
      <c r="HH574" s="1098"/>
      <c r="HI574" s="1098"/>
      <c r="HJ574" s="1098"/>
      <c r="HK574" s="1098"/>
      <c r="HL574" s="1098"/>
      <c r="HM574" s="1098"/>
      <c r="HN574" s="1098"/>
      <c r="HO574" s="1098"/>
      <c r="HP574" s="1098"/>
      <c r="HQ574" s="1098"/>
      <c r="HR574" s="1098"/>
      <c r="HS574" s="1098"/>
      <c r="HT574" s="1098"/>
      <c r="HU574" s="1098"/>
      <c r="HV574" s="1098"/>
      <c r="HW574" s="1098"/>
      <c r="HX574" s="1098"/>
      <c r="HY574" s="1098"/>
      <c r="HZ574" s="1098"/>
      <c r="IA574" s="1098"/>
      <c r="IB574" s="1098"/>
      <c r="IC574" s="1098"/>
      <c r="ID574" s="1098"/>
      <c r="IE574" s="1098"/>
      <c r="IF574" s="1098"/>
      <c r="IG574" s="1098"/>
      <c r="IH574" s="1098"/>
      <c r="II574" s="1098"/>
      <c r="IJ574" s="1098"/>
      <c r="IK574" s="1098"/>
      <c r="IL574" s="1098"/>
      <c r="IM574" s="1098"/>
      <c r="IN574" s="1098"/>
      <c r="IO574" s="1098"/>
      <c r="IP574" s="1098"/>
      <c r="IQ574" s="1098"/>
      <c r="IR574" s="1098"/>
      <c r="IS574" s="1098"/>
      <c r="IT574" s="1098"/>
      <c r="IU574" s="1098"/>
      <c r="IV574" s="1098"/>
      <c r="IW574" s="1098"/>
      <c r="IX574" s="1098"/>
      <c r="IY574" s="1098"/>
      <c r="IZ574" s="1098"/>
      <c r="JA574" s="1098"/>
      <c r="JB574" s="1098"/>
      <c r="JC574" s="1098"/>
      <c r="JD574" s="1098"/>
      <c r="JE574" s="1098"/>
      <c r="JF574" s="1098"/>
      <c r="JG574" s="1098"/>
      <c r="JH574" s="1098"/>
      <c r="JI574" s="1098"/>
      <c r="JJ574" s="1098"/>
      <c r="JK574" s="1098"/>
      <c r="JL574" s="1098"/>
      <c r="JM574" s="1098"/>
      <c r="JN574" s="1098"/>
      <c r="JO574" s="1098"/>
      <c r="JP574" s="1098"/>
      <c r="JQ574" s="1098"/>
      <c r="JR574" s="1098"/>
      <c r="JS574" s="1098"/>
      <c r="JT574" s="1098"/>
      <c r="JU574" s="1098"/>
      <c r="JV574" s="1098"/>
      <c r="JW574" s="1098"/>
      <c r="JX574" s="1098"/>
      <c r="JY574" s="1098"/>
      <c r="JZ574" s="1098"/>
      <c r="KA574" s="1098"/>
      <c r="KB574" s="1099"/>
    </row>
    <row r="575" spans="2:288" ht="15" customHeight="1" x14ac:dyDescent="0.35">
      <c r="B575" s="146" t="str">
        <f t="shared" si="46"/>
        <v>Desk 48</v>
      </c>
      <c r="C575" s="148" t="str">
        <v/>
      </c>
      <c r="D575" s="148" t="str">
        <v/>
      </c>
      <c r="E575" s="148" t="str">
        <v/>
      </c>
      <c r="F575" s="148" t="str">
        <v/>
      </c>
      <c r="G575" s="268" t="str">
        <v/>
      </c>
      <c r="H575" s="1098"/>
      <c r="I575" s="1098"/>
      <c r="J575" s="1098"/>
      <c r="K575" s="1098"/>
      <c r="L575" s="1098"/>
      <c r="M575" s="1098"/>
      <c r="N575" s="1098"/>
      <c r="O575" s="1098"/>
      <c r="P575" s="1098"/>
      <c r="Q575" s="1098"/>
      <c r="R575" s="1098"/>
      <c r="S575" s="1098"/>
      <c r="T575" s="1098"/>
      <c r="U575" s="1098"/>
      <c r="V575" s="1098"/>
      <c r="W575" s="1098"/>
      <c r="X575" s="1098"/>
      <c r="Y575" s="1098"/>
      <c r="Z575" s="1098"/>
      <c r="AA575" s="1098"/>
      <c r="AB575" s="1098"/>
      <c r="AC575" s="1098"/>
      <c r="AD575" s="1098"/>
      <c r="AE575" s="1098"/>
      <c r="AF575" s="1098"/>
      <c r="AG575" s="1098"/>
      <c r="AH575" s="1098"/>
      <c r="AI575" s="1098"/>
      <c r="AJ575" s="1098"/>
      <c r="AK575" s="1098"/>
      <c r="AL575" s="1098"/>
      <c r="AM575" s="1098"/>
      <c r="AN575" s="1098"/>
      <c r="AO575" s="1098"/>
      <c r="AP575" s="1098"/>
      <c r="AQ575" s="1098"/>
      <c r="AR575" s="1098"/>
      <c r="AS575" s="1098"/>
      <c r="AT575" s="1098"/>
      <c r="AU575" s="1098"/>
      <c r="AV575" s="1098"/>
      <c r="AW575" s="1098"/>
      <c r="AX575" s="1098"/>
      <c r="AY575" s="1098"/>
      <c r="AZ575" s="1098"/>
      <c r="BA575" s="1098"/>
      <c r="BB575" s="1098"/>
      <c r="BC575" s="1098"/>
      <c r="BD575" s="1098"/>
      <c r="BE575" s="1098"/>
      <c r="BF575" s="1098"/>
      <c r="BG575" s="1098"/>
      <c r="BH575" s="1098"/>
      <c r="BI575" s="1098"/>
      <c r="BJ575" s="1098"/>
      <c r="BK575" s="1098"/>
      <c r="BL575" s="1098"/>
      <c r="BM575" s="1098"/>
      <c r="BN575" s="1098"/>
      <c r="BO575" s="1098"/>
      <c r="BP575" s="1098"/>
      <c r="BQ575" s="1098"/>
      <c r="BR575" s="1098"/>
      <c r="BS575" s="1098"/>
      <c r="BT575" s="1098"/>
      <c r="BU575" s="1098"/>
      <c r="BV575" s="1098"/>
      <c r="BW575" s="1098"/>
      <c r="BX575" s="1098"/>
      <c r="BY575" s="1098"/>
      <c r="BZ575" s="1098"/>
      <c r="CA575" s="1098"/>
      <c r="CB575" s="1098"/>
      <c r="CC575" s="1098"/>
      <c r="CD575" s="1098"/>
      <c r="CE575" s="1098"/>
      <c r="CF575" s="1098"/>
      <c r="CG575" s="1098"/>
      <c r="CH575" s="1098"/>
      <c r="CI575" s="1098"/>
      <c r="CJ575" s="1098"/>
      <c r="CK575" s="1098"/>
      <c r="CL575" s="1098"/>
      <c r="CM575" s="1098"/>
      <c r="CN575" s="1098"/>
      <c r="CO575" s="1098"/>
      <c r="CP575" s="1098"/>
      <c r="CQ575" s="1098"/>
      <c r="CR575" s="1098"/>
      <c r="CS575" s="1098"/>
      <c r="CT575" s="1098"/>
      <c r="CU575" s="1098"/>
      <c r="CV575" s="1098"/>
      <c r="CW575" s="1098"/>
      <c r="CX575" s="1098"/>
      <c r="CY575" s="1098"/>
      <c r="CZ575" s="1098"/>
      <c r="DA575" s="1098"/>
      <c r="DB575" s="1098"/>
      <c r="DC575" s="1098"/>
      <c r="DD575" s="1098"/>
      <c r="DE575" s="1098"/>
      <c r="DF575" s="1098"/>
      <c r="DG575" s="1098"/>
      <c r="DH575" s="1098"/>
      <c r="DI575" s="1098"/>
      <c r="DJ575" s="1098"/>
      <c r="DK575" s="1098"/>
      <c r="DL575" s="1098"/>
      <c r="DM575" s="1098"/>
      <c r="DN575" s="1098"/>
      <c r="DO575" s="1098"/>
      <c r="DP575" s="1098"/>
      <c r="DQ575" s="1098"/>
      <c r="DR575" s="1098"/>
      <c r="DS575" s="1098"/>
      <c r="DT575" s="1098"/>
      <c r="DU575" s="1098"/>
      <c r="DV575" s="1098"/>
      <c r="DW575" s="1098"/>
      <c r="DX575" s="1098"/>
      <c r="DY575" s="1098"/>
      <c r="DZ575" s="1098"/>
      <c r="EA575" s="1098"/>
      <c r="EB575" s="1098"/>
      <c r="EC575" s="1098"/>
      <c r="ED575" s="1098"/>
      <c r="EE575" s="1098"/>
      <c r="EF575" s="1098"/>
      <c r="EG575" s="1098"/>
      <c r="EH575" s="1098"/>
      <c r="EI575" s="1098"/>
      <c r="EJ575" s="1098"/>
      <c r="EK575" s="1098"/>
      <c r="EL575" s="1098"/>
      <c r="EM575" s="1098"/>
      <c r="EN575" s="1098"/>
      <c r="EO575" s="1098"/>
      <c r="EP575" s="1098"/>
      <c r="EQ575" s="1098"/>
      <c r="ER575" s="1098"/>
      <c r="ES575" s="1098"/>
      <c r="ET575" s="1098"/>
      <c r="EU575" s="1098"/>
      <c r="EV575" s="1098"/>
      <c r="EW575" s="1098"/>
      <c r="EX575" s="1098"/>
      <c r="EY575" s="1098"/>
      <c r="EZ575" s="1098"/>
      <c r="FA575" s="1098"/>
      <c r="FB575" s="1098"/>
      <c r="FC575" s="1098"/>
      <c r="FD575" s="1098"/>
      <c r="FE575" s="1098"/>
      <c r="FF575" s="1098"/>
      <c r="FG575" s="1098"/>
      <c r="FH575" s="1098"/>
      <c r="FI575" s="1098"/>
      <c r="FJ575" s="1098"/>
      <c r="FK575" s="1098"/>
      <c r="FL575" s="1098"/>
      <c r="FM575" s="1098"/>
      <c r="FN575" s="1098"/>
      <c r="FO575" s="1098"/>
      <c r="FP575" s="1098"/>
      <c r="FQ575" s="1098"/>
      <c r="FR575" s="1098"/>
      <c r="FS575" s="1098"/>
      <c r="FT575" s="1098"/>
      <c r="FU575" s="1098"/>
      <c r="FV575" s="1098"/>
      <c r="FW575" s="1098"/>
      <c r="FX575" s="1098"/>
      <c r="FY575" s="1098"/>
      <c r="FZ575" s="1098"/>
      <c r="GA575" s="1098"/>
      <c r="GB575" s="1098"/>
      <c r="GC575" s="1098"/>
      <c r="GD575" s="1098"/>
      <c r="GE575" s="1098"/>
      <c r="GF575" s="1098"/>
      <c r="GG575" s="1098"/>
      <c r="GH575" s="1098"/>
      <c r="GI575" s="1098"/>
      <c r="GJ575" s="1098"/>
      <c r="GK575" s="1098"/>
      <c r="GL575" s="1098"/>
      <c r="GM575" s="1098"/>
      <c r="GN575" s="1098"/>
      <c r="GO575" s="1098"/>
      <c r="GP575" s="1098"/>
      <c r="GQ575" s="1098"/>
      <c r="GR575" s="1098"/>
      <c r="GS575" s="1098"/>
      <c r="GT575" s="1098"/>
      <c r="GU575" s="1098"/>
      <c r="GV575" s="1098"/>
      <c r="GW575" s="1098"/>
      <c r="GX575" s="1098"/>
      <c r="GY575" s="1098"/>
      <c r="GZ575" s="1098"/>
      <c r="HA575" s="1098"/>
      <c r="HB575" s="1098"/>
      <c r="HC575" s="1098"/>
      <c r="HD575" s="1098"/>
      <c r="HE575" s="1098"/>
      <c r="HF575" s="1098"/>
      <c r="HG575" s="1098"/>
      <c r="HH575" s="1098"/>
      <c r="HI575" s="1098"/>
      <c r="HJ575" s="1098"/>
      <c r="HK575" s="1098"/>
      <c r="HL575" s="1098"/>
      <c r="HM575" s="1098"/>
      <c r="HN575" s="1098"/>
      <c r="HO575" s="1098"/>
      <c r="HP575" s="1098"/>
      <c r="HQ575" s="1098"/>
      <c r="HR575" s="1098"/>
      <c r="HS575" s="1098"/>
      <c r="HT575" s="1098"/>
      <c r="HU575" s="1098"/>
      <c r="HV575" s="1098"/>
      <c r="HW575" s="1098"/>
      <c r="HX575" s="1098"/>
      <c r="HY575" s="1098"/>
      <c r="HZ575" s="1098"/>
      <c r="IA575" s="1098"/>
      <c r="IB575" s="1098"/>
      <c r="IC575" s="1098"/>
      <c r="ID575" s="1098"/>
      <c r="IE575" s="1098"/>
      <c r="IF575" s="1098"/>
      <c r="IG575" s="1098"/>
      <c r="IH575" s="1098"/>
      <c r="II575" s="1098"/>
      <c r="IJ575" s="1098"/>
      <c r="IK575" s="1098"/>
      <c r="IL575" s="1098"/>
      <c r="IM575" s="1098"/>
      <c r="IN575" s="1098"/>
      <c r="IO575" s="1098"/>
      <c r="IP575" s="1098"/>
      <c r="IQ575" s="1098"/>
      <c r="IR575" s="1098"/>
      <c r="IS575" s="1098"/>
      <c r="IT575" s="1098"/>
      <c r="IU575" s="1098"/>
      <c r="IV575" s="1098"/>
      <c r="IW575" s="1098"/>
      <c r="IX575" s="1098"/>
      <c r="IY575" s="1098"/>
      <c r="IZ575" s="1098"/>
      <c r="JA575" s="1098"/>
      <c r="JB575" s="1098"/>
      <c r="JC575" s="1098"/>
      <c r="JD575" s="1098"/>
      <c r="JE575" s="1098"/>
      <c r="JF575" s="1098"/>
      <c r="JG575" s="1098"/>
      <c r="JH575" s="1098"/>
      <c r="JI575" s="1098"/>
      <c r="JJ575" s="1098"/>
      <c r="JK575" s="1098"/>
      <c r="JL575" s="1098"/>
      <c r="JM575" s="1098"/>
      <c r="JN575" s="1098"/>
      <c r="JO575" s="1098"/>
      <c r="JP575" s="1098"/>
      <c r="JQ575" s="1098"/>
      <c r="JR575" s="1098"/>
      <c r="JS575" s="1098"/>
      <c r="JT575" s="1098"/>
      <c r="JU575" s="1098"/>
      <c r="JV575" s="1098"/>
      <c r="JW575" s="1098"/>
      <c r="JX575" s="1098"/>
      <c r="JY575" s="1098"/>
      <c r="JZ575" s="1098"/>
      <c r="KA575" s="1098"/>
      <c r="KB575" s="1099"/>
    </row>
    <row r="576" spans="2:288" ht="15" customHeight="1" x14ac:dyDescent="0.35">
      <c r="B576" s="146" t="str">
        <f t="shared" si="46"/>
        <v>Desk 49</v>
      </c>
      <c r="C576" s="148" t="str">
        <v/>
      </c>
      <c r="D576" s="148" t="str">
        <v/>
      </c>
      <c r="E576" s="148" t="str">
        <v/>
      </c>
      <c r="F576" s="148" t="str">
        <v/>
      </c>
      <c r="G576" s="268" t="str">
        <v/>
      </c>
      <c r="H576" s="1098"/>
      <c r="I576" s="1098"/>
      <c r="J576" s="1098"/>
      <c r="K576" s="1098"/>
      <c r="L576" s="1098"/>
      <c r="M576" s="1098"/>
      <c r="N576" s="1098"/>
      <c r="O576" s="1098"/>
      <c r="P576" s="1098"/>
      <c r="Q576" s="1098"/>
      <c r="R576" s="1098"/>
      <c r="S576" s="1098"/>
      <c r="T576" s="1098"/>
      <c r="U576" s="1098"/>
      <c r="V576" s="1098"/>
      <c r="W576" s="1098"/>
      <c r="X576" s="1098"/>
      <c r="Y576" s="1098"/>
      <c r="Z576" s="1098"/>
      <c r="AA576" s="1098"/>
      <c r="AB576" s="1098"/>
      <c r="AC576" s="1098"/>
      <c r="AD576" s="1098"/>
      <c r="AE576" s="1098"/>
      <c r="AF576" s="1098"/>
      <c r="AG576" s="1098"/>
      <c r="AH576" s="1098"/>
      <c r="AI576" s="1098"/>
      <c r="AJ576" s="1098"/>
      <c r="AK576" s="1098"/>
      <c r="AL576" s="1098"/>
      <c r="AM576" s="1098"/>
      <c r="AN576" s="1098"/>
      <c r="AO576" s="1098"/>
      <c r="AP576" s="1098"/>
      <c r="AQ576" s="1098"/>
      <c r="AR576" s="1098"/>
      <c r="AS576" s="1098"/>
      <c r="AT576" s="1098"/>
      <c r="AU576" s="1098"/>
      <c r="AV576" s="1098"/>
      <c r="AW576" s="1098"/>
      <c r="AX576" s="1098"/>
      <c r="AY576" s="1098"/>
      <c r="AZ576" s="1098"/>
      <c r="BA576" s="1098"/>
      <c r="BB576" s="1098"/>
      <c r="BC576" s="1098"/>
      <c r="BD576" s="1098"/>
      <c r="BE576" s="1098"/>
      <c r="BF576" s="1098"/>
      <c r="BG576" s="1098"/>
      <c r="BH576" s="1098"/>
      <c r="BI576" s="1098"/>
      <c r="BJ576" s="1098"/>
      <c r="BK576" s="1098"/>
      <c r="BL576" s="1098"/>
      <c r="BM576" s="1098"/>
      <c r="BN576" s="1098"/>
      <c r="BO576" s="1098"/>
      <c r="BP576" s="1098"/>
      <c r="BQ576" s="1098"/>
      <c r="BR576" s="1098"/>
      <c r="BS576" s="1098"/>
      <c r="BT576" s="1098"/>
      <c r="BU576" s="1098"/>
      <c r="BV576" s="1098"/>
      <c r="BW576" s="1098"/>
      <c r="BX576" s="1098"/>
      <c r="BY576" s="1098"/>
      <c r="BZ576" s="1098"/>
      <c r="CA576" s="1098"/>
      <c r="CB576" s="1098"/>
      <c r="CC576" s="1098"/>
      <c r="CD576" s="1098"/>
      <c r="CE576" s="1098"/>
      <c r="CF576" s="1098"/>
      <c r="CG576" s="1098"/>
      <c r="CH576" s="1098"/>
      <c r="CI576" s="1098"/>
      <c r="CJ576" s="1098"/>
      <c r="CK576" s="1098"/>
      <c r="CL576" s="1098"/>
      <c r="CM576" s="1098"/>
      <c r="CN576" s="1098"/>
      <c r="CO576" s="1098"/>
      <c r="CP576" s="1098"/>
      <c r="CQ576" s="1098"/>
      <c r="CR576" s="1098"/>
      <c r="CS576" s="1098"/>
      <c r="CT576" s="1098"/>
      <c r="CU576" s="1098"/>
      <c r="CV576" s="1098"/>
      <c r="CW576" s="1098"/>
      <c r="CX576" s="1098"/>
      <c r="CY576" s="1098"/>
      <c r="CZ576" s="1098"/>
      <c r="DA576" s="1098"/>
      <c r="DB576" s="1098"/>
      <c r="DC576" s="1098"/>
      <c r="DD576" s="1098"/>
      <c r="DE576" s="1098"/>
      <c r="DF576" s="1098"/>
      <c r="DG576" s="1098"/>
      <c r="DH576" s="1098"/>
      <c r="DI576" s="1098"/>
      <c r="DJ576" s="1098"/>
      <c r="DK576" s="1098"/>
      <c r="DL576" s="1098"/>
      <c r="DM576" s="1098"/>
      <c r="DN576" s="1098"/>
      <c r="DO576" s="1098"/>
      <c r="DP576" s="1098"/>
      <c r="DQ576" s="1098"/>
      <c r="DR576" s="1098"/>
      <c r="DS576" s="1098"/>
      <c r="DT576" s="1098"/>
      <c r="DU576" s="1098"/>
      <c r="DV576" s="1098"/>
      <c r="DW576" s="1098"/>
      <c r="DX576" s="1098"/>
      <c r="DY576" s="1098"/>
      <c r="DZ576" s="1098"/>
      <c r="EA576" s="1098"/>
      <c r="EB576" s="1098"/>
      <c r="EC576" s="1098"/>
      <c r="ED576" s="1098"/>
      <c r="EE576" s="1098"/>
      <c r="EF576" s="1098"/>
      <c r="EG576" s="1098"/>
      <c r="EH576" s="1098"/>
      <c r="EI576" s="1098"/>
      <c r="EJ576" s="1098"/>
      <c r="EK576" s="1098"/>
      <c r="EL576" s="1098"/>
      <c r="EM576" s="1098"/>
      <c r="EN576" s="1098"/>
      <c r="EO576" s="1098"/>
      <c r="EP576" s="1098"/>
      <c r="EQ576" s="1098"/>
      <c r="ER576" s="1098"/>
      <c r="ES576" s="1098"/>
      <c r="ET576" s="1098"/>
      <c r="EU576" s="1098"/>
      <c r="EV576" s="1098"/>
      <c r="EW576" s="1098"/>
      <c r="EX576" s="1098"/>
      <c r="EY576" s="1098"/>
      <c r="EZ576" s="1098"/>
      <c r="FA576" s="1098"/>
      <c r="FB576" s="1098"/>
      <c r="FC576" s="1098"/>
      <c r="FD576" s="1098"/>
      <c r="FE576" s="1098"/>
      <c r="FF576" s="1098"/>
      <c r="FG576" s="1098"/>
      <c r="FH576" s="1098"/>
      <c r="FI576" s="1098"/>
      <c r="FJ576" s="1098"/>
      <c r="FK576" s="1098"/>
      <c r="FL576" s="1098"/>
      <c r="FM576" s="1098"/>
      <c r="FN576" s="1098"/>
      <c r="FO576" s="1098"/>
      <c r="FP576" s="1098"/>
      <c r="FQ576" s="1098"/>
      <c r="FR576" s="1098"/>
      <c r="FS576" s="1098"/>
      <c r="FT576" s="1098"/>
      <c r="FU576" s="1098"/>
      <c r="FV576" s="1098"/>
      <c r="FW576" s="1098"/>
      <c r="FX576" s="1098"/>
      <c r="FY576" s="1098"/>
      <c r="FZ576" s="1098"/>
      <c r="GA576" s="1098"/>
      <c r="GB576" s="1098"/>
      <c r="GC576" s="1098"/>
      <c r="GD576" s="1098"/>
      <c r="GE576" s="1098"/>
      <c r="GF576" s="1098"/>
      <c r="GG576" s="1098"/>
      <c r="GH576" s="1098"/>
      <c r="GI576" s="1098"/>
      <c r="GJ576" s="1098"/>
      <c r="GK576" s="1098"/>
      <c r="GL576" s="1098"/>
      <c r="GM576" s="1098"/>
      <c r="GN576" s="1098"/>
      <c r="GO576" s="1098"/>
      <c r="GP576" s="1098"/>
      <c r="GQ576" s="1098"/>
      <c r="GR576" s="1098"/>
      <c r="GS576" s="1098"/>
      <c r="GT576" s="1098"/>
      <c r="GU576" s="1098"/>
      <c r="GV576" s="1098"/>
      <c r="GW576" s="1098"/>
      <c r="GX576" s="1098"/>
      <c r="GY576" s="1098"/>
      <c r="GZ576" s="1098"/>
      <c r="HA576" s="1098"/>
      <c r="HB576" s="1098"/>
      <c r="HC576" s="1098"/>
      <c r="HD576" s="1098"/>
      <c r="HE576" s="1098"/>
      <c r="HF576" s="1098"/>
      <c r="HG576" s="1098"/>
      <c r="HH576" s="1098"/>
      <c r="HI576" s="1098"/>
      <c r="HJ576" s="1098"/>
      <c r="HK576" s="1098"/>
      <c r="HL576" s="1098"/>
      <c r="HM576" s="1098"/>
      <c r="HN576" s="1098"/>
      <c r="HO576" s="1098"/>
      <c r="HP576" s="1098"/>
      <c r="HQ576" s="1098"/>
      <c r="HR576" s="1098"/>
      <c r="HS576" s="1098"/>
      <c r="HT576" s="1098"/>
      <c r="HU576" s="1098"/>
      <c r="HV576" s="1098"/>
      <c r="HW576" s="1098"/>
      <c r="HX576" s="1098"/>
      <c r="HY576" s="1098"/>
      <c r="HZ576" s="1098"/>
      <c r="IA576" s="1098"/>
      <c r="IB576" s="1098"/>
      <c r="IC576" s="1098"/>
      <c r="ID576" s="1098"/>
      <c r="IE576" s="1098"/>
      <c r="IF576" s="1098"/>
      <c r="IG576" s="1098"/>
      <c r="IH576" s="1098"/>
      <c r="II576" s="1098"/>
      <c r="IJ576" s="1098"/>
      <c r="IK576" s="1098"/>
      <c r="IL576" s="1098"/>
      <c r="IM576" s="1098"/>
      <c r="IN576" s="1098"/>
      <c r="IO576" s="1098"/>
      <c r="IP576" s="1098"/>
      <c r="IQ576" s="1098"/>
      <c r="IR576" s="1098"/>
      <c r="IS576" s="1098"/>
      <c r="IT576" s="1098"/>
      <c r="IU576" s="1098"/>
      <c r="IV576" s="1098"/>
      <c r="IW576" s="1098"/>
      <c r="IX576" s="1098"/>
      <c r="IY576" s="1098"/>
      <c r="IZ576" s="1098"/>
      <c r="JA576" s="1098"/>
      <c r="JB576" s="1098"/>
      <c r="JC576" s="1098"/>
      <c r="JD576" s="1098"/>
      <c r="JE576" s="1098"/>
      <c r="JF576" s="1098"/>
      <c r="JG576" s="1098"/>
      <c r="JH576" s="1098"/>
      <c r="JI576" s="1098"/>
      <c r="JJ576" s="1098"/>
      <c r="JK576" s="1098"/>
      <c r="JL576" s="1098"/>
      <c r="JM576" s="1098"/>
      <c r="JN576" s="1098"/>
      <c r="JO576" s="1098"/>
      <c r="JP576" s="1098"/>
      <c r="JQ576" s="1098"/>
      <c r="JR576" s="1098"/>
      <c r="JS576" s="1098"/>
      <c r="JT576" s="1098"/>
      <c r="JU576" s="1098"/>
      <c r="JV576" s="1098"/>
      <c r="JW576" s="1098"/>
      <c r="JX576" s="1098"/>
      <c r="JY576" s="1098"/>
      <c r="JZ576" s="1098"/>
      <c r="KA576" s="1098"/>
      <c r="KB576" s="1099"/>
    </row>
    <row r="577" spans="2:288" ht="15" customHeight="1" x14ac:dyDescent="0.35">
      <c r="B577" s="146" t="str">
        <f t="shared" si="46"/>
        <v>Desk 50</v>
      </c>
      <c r="C577" s="148" t="str">
        <v/>
      </c>
      <c r="D577" s="148" t="str">
        <v/>
      </c>
      <c r="E577" s="148" t="str">
        <v/>
      </c>
      <c r="F577" s="148" t="str">
        <v/>
      </c>
      <c r="G577" s="268" t="str">
        <v/>
      </c>
      <c r="H577" s="1098"/>
      <c r="I577" s="1098"/>
      <c r="J577" s="1098"/>
      <c r="K577" s="1098"/>
      <c r="L577" s="1098"/>
      <c r="M577" s="1098"/>
      <c r="N577" s="1098"/>
      <c r="O577" s="1098"/>
      <c r="P577" s="1098"/>
      <c r="Q577" s="1098"/>
      <c r="R577" s="1098"/>
      <c r="S577" s="1098"/>
      <c r="T577" s="1098"/>
      <c r="U577" s="1098"/>
      <c r="V577" s="1098"/>
      <c r="W577" s="1098"/>
      <c r="X577" s="1098"/>
      <c r="Y577" s="1098"/>
      <c r="Z577" s="1098"/>
      <c r="AA577" s="1098"/>
      <c r="AB577" s="1098"/>
      <c r="AC577" s="1098"/>
      <c r="AD577" s="1098"/>
      <c r="AE577" s="1098"/>
      <c r="AF577" s="1098"/>
      <c r="AG577" s="1098"/>
      <c r="AH577" s="1098"/>
      <c r="AI577" s="1098"/>
      <c r="AJ577" s="1098"/>
      <c r="AK577" s="1098"/>
      <c r="AL577" s="1098"/>
      <c r="AM577" s="1098"/>
      <c r="AN577" s="1098"/>
      <c r="AO577" s="1098"/>
      <c r="AP577" s="1098"/>
      <c r="AQ577" s="1098"/>
      <c r="AR577" s="1098"/>
      <c r="AS577" s="1098"/>
      <c r="AT577" s="1098"/>
      <c r="AU577" s="1098"/>
      <c r="AV577" s="1098"/>
      <c r="AW577" s="1098"/>
      <c r="AX577" s="1098"/>
      <c r="AY577" s="1098"/>
      <c r="AZ577" s="1098"/>
      <c r="BA577" s="1098"/>
      <c r="BB577" s="1098"/>
      <c r="BC577" s="1098"/>
      <c r="BD577" s="1098"/>
      <c r="BE577" s="1098"/>
      <c r="BF577" s="1098"/>
      <c r="BG577" s="1098"/>
      <c r="BH577" s="1098"/>
      <c r="BI577" s="1098"/>
      <c r="BJ577" s="1098"/>
      <c r="BK577" s="1098"/>
      <c r="BL577" s="1098"/>
      <c r="BM577" s="1098"/>
      <c r="BN577" s="1098"/>
      <c r="BO577" s="1098"/>
      <c r="BP577" s="1098"/>
      <c r="BQ577" s="1098"/>
      <c r="BR577" s="1098"/>
      <c r="BS577" s="1098"/>
      <c r="BT577" s="1098"/>
      <c r="BU577" s="1098"/>
      <c r="BV577" s="1098"/>
      <c r="BW577" s="1098"/>
      <c r="BX577" s="1098"/>
      <c r="BY577" s="1098"/>
      <c r="BZ577" s="1098"/>
      <c r="CA577" s="1098"/>
      <c r="CB577" s="1098"/>
      <c r="CC577" s="1098"/>
      <c r="CD577" s="1098"/>
      <c r="CE577" s="1098"/>
      <c r="CF577" s="1098"/>
      <c r="CG577" s="1098"/>
      <c r="CH577" s="1098"/>
      <c r="CI577" s="1098"/>
      <c r="CJ577" s="1098"/>
      <c r="CK577" s="1098"/>
      <c r="CL577" s="1098"/>
      <c r="CM577" s="1098"/>
      <c r="CN577" s="1098"/>
      <c r="CO577" s="1098"/>
      <c r="CP577" s="1098"/>
      <c r="CQ577" s="1098"/>
      <c r="CR577" s="1098"/>
      <c r="CS577" s="1098"/>
      <c r="CT577" s="1098"/>
      <c r="CU577" s="1098"/>
      <c r="CV577" s="1098"/>
      <c r="CW577" s="1098"/>
      <c r="CX577" s="1098"/>
      <c r="CY577" s="1098"/>
      <c r="CZ577" s="1098"/>
      <c r="DA577" s="1098"/>
      <c r="DB577" s="1098"/>
      <c r="DC577" s="1098"/>
      <c r="DD577" s="1098"/>
      <c r="DE577" s="1098"/>
      <c r="DF577" s="1098"/>
      <c r="DG577" s="1098"/>
      <c r="DH577" s="1098"/>
      <c r="DI577" s="1098"/>
      <c r="DJ577" s="1098"/>
      <c r="DK577" s="1098"/>
      <c r="DL577" s="1098"/>
      <c r="DM577" s="1098"/>
      <c r="DN577" s="1098"/>
      <c r="DO577" s="1098"/>
      <c r="DP577" s="1098"/>
      <c r="DQ577" s="1098"/>
      <c r="DR577" s="1098"/>
      <c r="DS577" s="1098"/>
      <c r="DT577" s="1098"/>
      <c r="DU577" s="1098"/>
      <c r="DV577" s="1098"/>
      <c r="DW577" s="1098"/>
      <c r="DX577" s="1098"/>
      <c r="DY577" s="1098"/>
      <c r="DZ577" s="1098"/>
      <c r="EA577" s="1098"/>
      <c r="EB577" s="1098"/>
      <c r="EC577" s="1098"/>
      <c r="ED577" s="1098"/>
      <c r="EE577" s="1098"/>
      <c r="EF577" s="1098"/>
      <c r="EG577" s="1098"/>
      <c r="EH577" s="1098"/>
      <c r="EI577" s="1098"/>
      <c r="EJ577" s="1098"/>
      <c r="EK577" s="1098"/>
      <c r="EL577" s="1098"/>
      <c r="EM577" s="1098"/>
      <c r="EN577" s="1098"/>
      <c r="EO577" s="1098"/>
      <c r="EP577" s="1098"/>
      <c r="EQ577" s="1098"/>
      <c r="ER577" s="1098"/>
      <c r="ES577" s="1098"/>
      <c r="ET577" s="1098"/>
      <c r="EU577" s="1098"/>
      <c r="EV577" s="1098"/>
      <c r="EW577" s="1098"/>
      <c r="EX577" s="1098"/>
      <c r="EY577" s="1098"/>
      <c r="EZ577" s="1098"/>
      <c r="FA577" s="1098"/>
      <c r="FB577" s="1098"/>
      <c r="FC577" s="1098"/>
      <c r="FD577" s="1098"/>
      <c r="FE577" s="1098"/>
      <c r="FF577" s="1098"/>
      <c r="FG577" s="1098"/>
      <c r="FH577" s="1098"/>
      <c r="FI577" s="1098"/>
      <c r="FJ577" s="1098"/>
      <c r="FK577" s="1098"/>
      <c r="FL577" s="1098"/>
      <c r="FM577" s="1098"/>
      <c r="FN577" s="1098"/>
      <c r="FO577" s="1098"/>
      <c r="FP577" s="1098"/>
      <c r="FQ577" s="1098"/>
      <c r="FR577" s="1098"/>
      <c r="FS577" s="1098"/>
      <c r="FT577" s="1098"/>
      <c r="FU577" s="1098"/>
      <c r="FV577" s="1098"/>
      <c r="FW577" s="1098"/>
      <c r="FX577" s="1098"/>
      <c r="FY577" s="1098"/>
      <c r="FZ577" s="1098"/>
      <c r="GA577" s="1098"/>
      <c r="GB577" s="1098"/>
      <c r="GC577" s="1098"/>
      <c r="GD577" s="1098"/>
      <c r="GE577" s="1098"/>
      <c r="GF577" s="1098"/>
      <c r="GG577" s="1098"/>
      <c r="GH577" s="1098"/>
      <c r="GI577" s="1098"/>
      <c r="GJ577" s="1098"/>
      <c r="GK577" s="1098"/>
      <c r="GL577" s="1098"/>
      <c r="GM577" s="1098"/>
      <c r="GN577" s="1098"/>
      <c r="GO577" s="1098"/>
      <c r="GP577" s="1098"/>
      <c r="GQ577" s="1098"/>
      <c r="GR577" s="1098"/>
      <c r="GS577" s="1098"/>
      <c r="GT577" s="1098"/>
      <c r="GU577" s="1098"/>
      <c r="GV577" s="1098"/>
      <c r="GW577" s="1098"/>
      <c r="GX577" s="1098"/>
      <c r="GY577" s="1098"/>
      <c r="GZ577" s="1098"/>
      <c r="HA577" s="1098"/>
      <c r="HB577" s="1098"/>
      <c r="HC577" s="1098"/>
      <c r="HD577" s="1098"/>
      <c r="HE577" s="1098"/>
      <c r="HF577" s="1098"/>
      <c r="HG577" s="1098"/>
      <c r="HH577" s="1098"/>
      <c r="HI577" s="1098"/>
      <c r="HJ577" s="1098"/>
      <c r="HK577" s="1098"/>
      <c r="HL577" s="1098"/>
      <c r="HM577" s="1098"/>
      <c r="HN577" s="1098"/>
      <c r="HO577" s="1098"/>
      <c r="HP577" s="1098"/>
      <c r="HQ577" s="1098"/>
      <c r="HR577" s="1098"/>
      <c r="HS577" s="1098"/>
      <c r="HT577" s="1098"/>
      <c r="HU577" s="1098"/>
      <c r="HV577" s="1098"/>
      <c r="HW577" s="1098"/>
      <c r="HX577" s="1098"/>
      <c r="HY577" s="1098"/>
      <c r="HZ577" s="1098"/>
      <c r="IA577" s="1098"/>
      <c r="IB577" s="1098"/>
      <c r="IC577" s="1098"/>
      <c r="ID577" s="1098"/>
      <c r="IE577" s="1098"/>
      <c r="IF577" s="1098"/>
      <c r="IG577" s="1098"/>
      <c r="IH577" s="1098"/>
      <c r="II577" s="1098"/>
      <c r="IJ577" s="1098"/>
      <c r="IK577" s="1098"/>
      <c r="IL577" s="1098"/>
      <c r="IM577" s="1098"/>
      <c r="IN577" s="1098"/>
      <c r="IO577" s="1098"/>
      <c r="IP577" s="1098"/>
      <c r="IQ577" s="1098"/>
      <c r="IR577" s="1098"/>
      <c r="IS577" s="1098"/>
      <c r="IT577" s="1098"/>
      <c r="IU577" s="1098"/>
      <c r="IV577" s="1098"/>
      <c r="IW577" s="1098"/>
      <c r="IX577" s="1098"/>
      <c r="IY577" s="1098"/>
      <c r="IZ577" s="1098"/>
      <c r="JA577" s="1098"/>
      <c r="JB577" s="1098"/>
      <c r="JC577" s="1098"/>
      <c r="JD577" s="1098"/>
      <c r="JE577" s="1098"/>
      <c r="JF577" s="1098"/>
      <c r="JG577" s="1098"/>
      <c r="JH577" s="1098"/>
      <c r="JI577" s="1098"/>
      <c r="JJ577" s="1098"/>
      <c r="JK577" s="1098"/>
      <c r="JL577" s="1098"/>
      <c r="JM577" s="1098"/>
      <c r="JN577" s="1098"/>
      <c r="JO577" s="1098"/>
      <c r="JP577" s="1098"/>
      <c r="JQ577" s="1098"/>
      <c r="JR577" s="1098"/>
      <c r="JS577" s="1098"/>
      <c r="JT577" s="1098"/>
      <c r="JU577" s="1098"/>
      <c r="JV577" s="1098"/>
      <c r="JW577" s="1098"/>
      <c r="JX577" s="1098"/>
      <c r="JY577" s="1098"/>
      <c r="JZ577" s="1098"/>
      <c r="KA577" s="1098"/>
      <c r="KB577" s="1099"/>
    </row>
    <row r="578" spans="2:288" ht="15" customHeight="1" x14ac:dyDescent="0.35">
      <c r="B578" s="146" t="str">
        <f t="shared" si="46"/>
        <v>Desk 51</v>
      </c>
      <c r="C578" s="148" t="str">
        <v/>
      </c>
      <c r="D578" s="148" t="str">
        <v/>
      </c>
      <c r="E578" s="148" t="str">
        <v/>
      </c>
      <c r="F578" s="148" t="str">
        <v/>
      </c>
      <c r="G578" s="268" t="str">
        <v/>
      </c>
      <c r="H578" s="1098"/>
      <c r="I578" s="1098"/>
      <c r="J578" s="1098"/>
      <c r="K578" s="1098"/>
      <c r="L578" s="1098"/>
      <c r="M578" s="1098"/>
      <c r="N578" s="1098"/>
      <c r="O578" s="1098"/>
      <c r="P578" s="1098"/>
      <c r="Q578" s="1098"/>
      <c r="R578" s="1098"/>
      <c r="S578" s="1098"/>
      <c r="T578" s="1098"/>
      <c r="U578" s="1098"/>
      <c r="V578" s="1098"/>
      <c r="W578" s="1098"/>
      <c r="X578" s="1098"/>
      <c r="Y578" s="1098"/>
      <c r="Z578" s="1098"/>
      <c r="AA578" s="1098"/>
      <c r="AB578" s="1098"/>
      <c r="AC578" s="1098"/>
      <c r="AD578" s="1098"/>
      <c r="AE578" s="1098"/>
      <c r="AF578" s="1098"/>
      <c r="AG578" s="1098"/>
      <c r="AH578" s="1098"/>
      <c r="AI578" s="1098"/>
      <c r="AJ578" s="1098"/>
      <c r="AK578" s="1098"/>
      <c r="AL578" s="1098"/>
      <c r="AM578" s="1098"/>
      <c r="AN578" s="1098"/>
      <c r="AO578" s="1098"/>
      <c r="AP578" s="1098"/>
      <c r="AQ578" s="1098"/>
      <c r="AR578" s="1098"/>
      <c r="AS578" s="1098"/>
      <c r="AT578" s="1098"/>
      <c r="AU578" s="1098"/>
      <c r="AV578" s="1098"/>
      <c r="AW578" s="1098"/>
      <c r="AX578" s="1098"/>
      <c r="AY578" s="1098"/>
      <c r="AZ578" s="1098"/>
      <c r="BA578" s="1098"/>
      <c r="BB578" s="1098"/>
      <c r="BC578" s="1098"/>
      <c r="BD578" s="1098"/>
      <c r="BE578" s="1098"/>
      <c r="BF578" s="1098"/>
      <c r="BG578" s="1098"/>
      <c r="BH578" s="1098"/>
      <c r="BI578" s="1098"/>
      <c r="BJ578" s="1098"/>
      <c r="BK578" s="1098"/>
      <c r="BL578" s="1098"/>
      <c r="BM578" s="1098"/>
      <c r="BN578" s="1098"/>
      <c r="BO578" s="1098"/>
      <c r="BP578" s="1098"/>
      <c r="BQ578" s="1098"/>
      <c r="BR578" s="1098"/>
      <c r="BS578" s="1098"/>
      <c r="BT578" s="1098"/>
      <c r="BU578" s="1098"/>
      <c r="BV578" s="1098"/>
      <c r="BW578" s="1098"/>
      <c r="BX578" s="1098"/>
      <c r="BY578" s="1098"/>
      <c r="BZ578" s="1098"/>
      <c r="CA578" s="1098"/>
      <c r="CB578" s="1098"/>
      <c r="CC578" s="1098"/>
      <c r="CD578" s="1098"/>
      <c r="CE578" s="1098"/>
      <c r="CF578" s="1098"/>
      <c r="CG578" s="1098"/>
      <c r="CH578" s="1098"/>
      <c r="CI578" s="1098"/>
      <c r="CJ578" s="1098"/>
      <c r="CK578" s="1098"/>
      <c r="CL578" s="1098"/>
      <c r="CM578" s="1098"/>
      <c r="CN578" s="1098"/>
      <c r="CO578" s="1098"/>
      <c r="CP578" s="1098"/>
      <c r="CQ578" s="1098"/>
      <c r="CR578" s="1098"/>
      <c r="CS578" s="1098"/>
      <c r="CT578" s="1098"/>
      <c r="CU578" s="1098"/>
      <c r="CV578" s="1098"/>
      <c r="CW578" s="1098"/>
      <c r="CX578" s="1098"/>
      <c r="CY578" s="1098"/>
      <c r="CZ578" s="1098"/>
      <c r="DA578" s="1098"/>
      <c r="DB578" s="1098"/>
      <c r="DC578" s="1098"/>
      <c r="DD578" s="1098"/>
      <c r="DE578" s="1098"/>
      <c r="DF578" s="1098"/>
      <c r="DG578" s="1098"/>
      <c r="DH578" s="1098"/>
      <c r="DI578" s="1098"/>
      <c r="DJ578" s="1098"/>
      <c r="DK578" s="1098"/>
      <c r="DL578" s="1098"/>
      <c r="DM578" s="1098"/>
      <c r="DN578" s="1098"/>
      <c r="DO578" s="1098"/>
      <c r="DP578" s="1098"/>
      <c r="DQ578" s="1098"/>
      <c r="DR578" s="1098"/>
      <c r="DS578" s="1098"/>
      <c r="DT578" s="1098"/>
      <c r="DU578" s="1098"/>
      <c r="DV578" s="1098"/>
      <c r="DW578" s="1098"/>
      <c r="DX578" s="1098"/>
      <c r="DY578" s="1098"/>
      <c r="DZ578" s="1098"/>
      <c r="EA578" s="1098"/>
      <c r="EB578" s="1098"/>
      <c r="EC578" s="1098"/>
      <c r="ED578" s="1098"/>
      <c r="EE578" s="1098"/>
      <c r="EF578" s="1098"/>
      <c r="EG578" s="1098"/>
      <c r="EH578" s="1098"/>
      <c r="EI578" s="1098"/>
      <c r="EJ578" s="1098"/>
      <c r="EK578" s="1098"/>
      <c r="EL578" s="1098"/>
      <c r="EM578" s="1098"/>
      <c r="EN578" s="1098"/>
      <c r="EO578" s="1098"/>
      <c r="EP578" s="1098"/>
      <c r="EQ578" s="1098"/>
      <c r="ER578" s="1098"/>
      <c r="ES578" s="1098"/>
      <c r="ET578" s="1098"/>
      <c r="EU578" s="1098"/>
      <c r="EV578" s="1098"/>
      <c r="EW578" s="1098"/>
      <c r="EX578" s="1098"/>
      <c r="EY578" s="1098"/>
      <c r="EZ578" s="1098"/>
      <c r="FA578" s="1098"/>
      <c r="FB578" s="1098"/>
      <c r="FC578" s="1098"/>
      <c r="FD578" s="1098"/>
      <c r="FE578" s="1098"/>
      <c r="FF578" s="1098"/>
      <c r="FG578" s="1098"/>
      <c r="FH578" s="1098"/>
      <c r="FI578" s="1098"/>
      <c r="FJ578" s="1098"/>
      <c r="FK578" s="1098"/>
      <c r="FL578" s="1098"/>
      <c r="FM578" s="1098"/>
      <c r="FN578" s="1098"/>
      <c r="FO578" s="1098"/>
      <c r="FP578" s="1098"/>
      <c r="FQ578" s="1098"/>
      <c r="FR578" s="1098"/>
      <c r="FS578" s="1098"/>
      <c r="FT578" s="1098"/>
      <c r="FU578" s="1098"/>
      <c r="FV578" s="1098"/>
      <c r="FW578" s="1098"/>
      <c r="FX578" s="1098"/>
      <c r="FY578" s="1098"/>
      <c r="FZ578" s="1098"/>
      <c r="GA578" s="1098"/>
      <c r="GB578" s="1098"/>
      <c r="GC578" s="1098"/>
      <c r="GD578" s="1098"/>
      <c r="GE578" s="1098"/>
      <c r="GF578" s="1098"/>
      <c r="GG578" s="1098"/>
      <c r="GH578" s="1098"/>
      <c r="GI578" s="1098"/>
      <c r="GJ578" s="1098"/>
      <c r="GK578" s="1098"/>
      <c r="GL578" s="1098"/>
      <c r="GM578" s="1098"/>
      <c r="GN578" s="1098"/>
      <c r="GO578" s="1098"/>
      <c r="GP578" s="1098"/>
      <c r="GQ578" s="1098"/>
      <c r="GR578" s="1098"/>
      <c r="GS578" s="1098"/>
      <c r="GT578" s="1098"/>
      <c r="GU578" s="1098"/>
      <c r="GV578" s="1098"/>
      <c r="GW578" s="1098"/>
      <c r="GX578" s="1098"/>
      <c r="GY578" s="1098"/>
      <c r="GZ578" s="1098"/>
      <c r="HA578" s="1098"/>
      <c r="HB578" s="1098"/>
      <c r="HC578" s="1098"/>
      <c r="HD578" s="1098"/>
      <c r="HE578" s="1098"/>
      <c r="HF578" s="1098"/>
      <c r="HG578" s="1098"/>
      <c r="HH578" s="1098"/>
      <c r="HI578" s="1098"/>
      <c r="HJ578" s="1098"/>
      <c r="HK578" s="1098"/>
      <c r="HL578" s="1098"/>
      <c r="HM578" s="1098"/>
      <c r="HN578" s="1098"/>
      <c r="HO578" s="1098"/>
      <c r="HP578" s="1098"/>
      <c r="HQ578" s="1098"/>
      <c r="HR578" s="1098"/>
      <c r="HS578" s="1098"/>
      <c r="HT578" s="1098"/>
      <c r="HU578" s="1098"/>
      <c r="HV578" s="1098"/>
      <c r="HW578" s="1098"/>
      <c r="HX578" s="1098"/>
      <c r="HY578" s="1098"/>
      <c r="HZ578" s="1098"/>
      <c r="IA578" s="1098"/>
      <c r="IB578" s="1098"/>
      <c r="IC578" s="1098"/>
      <c r="ID578" s="1098"/>
      <c r="IE578" s="1098"/>
      <c r="IF578" s="1098"/>
      <c r="IG578" s="1098"/>
      <c r="IH578" s="1098"/>
      <c r="II578" s="1098"/>
      <c r="IJ578" s="1098"/>
      <c r="IK578" s="1098"/>
      <c r="IL578" s="1098"/>
      <c r="IM578" s="1098"/>
      <c r="IN578" s="1098"/>
      <c r="IO578" s="1098"/>
      <c r="IP578" s="1098"/>
      <c r="IQ578" s="1098"/>
      <c r="IR578" s="1098"/>
      <c r="IS578" s="1098"/>
      <c r="IT578" s="1098"/>
      <c r="IU578" s="1098"/>
      <c r="IV578" s="1098"/>
      <c r="IW578" s="1098"/>
      <c r="IX578" s="1098"/>
      <c r="IY578" s="1098"/>
      <c r="IZ578" s="1098"/>
      <c r="JA578" s="1098"/>
      <c r="JB578" s="1098"/>
      <c r="JC578" s="1098"/>
      <c r="JD578" s="1098"/>
      <c r="JE578" s="1098"/>
      <c r="JF578" s="1098"/>
      <c r="JG578" s="1098"/>
      <c r="JH578" s="1098"/>
      <c r="JI578" s="1098"/>
      <c r="JJ578" s="1098"/>
      <c r="JK578" s="1098"/>
      <c r="JL578" s="1098"/>
      <c r="JM578" s="1098"/>
      <c r="JN578" s="1098"/>
      <c r="JO578" s="1098"/>
      <c r="JP578" s="1098"/>
      <c r="JQ578" s="1098"/>
      <c r="JR578" s="1098"/>
      <c r="JS578" s="1098"/>
      <c r="JT578" s="1098"/>
      <c r="JU578" s="1098"/>
      <c r="JV578" s="1098"/>
      <c r="JW578" s="1098"/>
      <c r="JX578" s="1098"/>
      <c r="JY578" s="1098"/>
      <c r="JZ578" s="1098"/>
      <c r="KA578" s="1098"/>
      <c r="KB578" s="1099"/>
    </row>
    <row r="579" spans="2:288" ht="15" customHeight="1" x14ac:dyDescent="0.35">
      <c r="B579" s="146" t="str">
        <f t="shared" si="46"/>
        <v>Desk 52</v>
      </c>
      <c r="C579" s="148" t="str">
        <v/>
      </c>
      <c r="D579" s="148" t="str">
        <v/>
      </c>
      <c r="E579" s="148" t="str">
        <v/>
      </c>
      <c r="F579" s="148" t="str">
        <v/>
      </c>
      <c r="G579" s="268" t="str">
        <v/>
      </c>
      <c r="H579" s="1098"/>
      <c r="I579" s="1098"/>
      <c r="J579" s="1098"/>
      <c r="K579" s="1098"/>
      <c r="L579" s="1098"/>
      <c r="M579" s="1098"/>
      <c r="N579" s="1098"/>
      <c r="O579" s="1098"/>
      <c r="P579" s="1098"/>
      <c r="Q579" s="1098"/>
      <c r="R579" s="1098"/>
      <c r="S579" s="1098"/>
      <c r="T579" s="1098"/>
      <c r="U579" s="1098"/>
      <c r="V579" s="1098"/>
      <c r="W579" s="1098"/>
      <c r="X579" s="1098"/>
      <c r="Y579" s="1098"/>
      <c r="Z579" s="1098"/>
      <c r="AA579" s="1098"/>
      <c r="AB579" s="1098"/>
      <c r="AC579" s="1098"/>
      <c r="AD579" s="1098"/>
      <c r="AE579" s="1098"/>
      <c r="AF579" s="1098"/>
      <c r="AG579" s="1098"/>
      <c r="AH579" s="1098"/>
      <c r="AI579" s="1098"/>
      <c r="AJ579" s="1098"/>
      <c r="AK579" s="1098"/>
      <c r="AL579" s="1098"/>
      <c r="AM579" s="1098"/>
      <c r="AN579" s="1098"/>
      <c r="AO579" s="1098"/>
      <c r="AP579" s="1098"/>
      <c r="AQ579" s="1098"/>
      <c r="AR579" s="1098"/>
      <c r="AS579" s="1098"/>
      <c r="AT579" s="1098"/>
      <c r="AU579" s="1098"/>
      <c r="AV579" s="1098"/>
      <c r="AW579" s="1098"/>
      <c r="AX579" s="1098"/>
      <c r="AY579" s="1098"/>
      <c r="AZ579" s="1098"/>
      <c r="BA579" s="1098"/>
      <c r="BB579" s="1098"/>
      <c r="BC579" s="1098"/>
      <c r="BD579" s="1098"/>
      <c r="BE579" s="1098"/>
      <c r="BF579" s="1098"/>
      <c r="BG579" s="1098"/>
      <c r="BH579" s="1098"/>
      <c r="BI579" s="1098"/>
      <c r="BJ579" s="1098"/>
      <c r="BK579" s="1098"/>
      <c r="BL579" s="1098"/>
      <c r="BM579" s="1098"/>
      <c r="BN579" s="1098"/>
      <c r="BO579" s="1098"/>
      <c r="BP579" s="1098"/>
      <c r="BQ579" s="1098"/>
      <c r="BR579" s="1098"/>
      <c r="BS579" s="1098"/>
      <c r="BT579" s="1098"/>
      <c r="BU579" s="1098"/>
      <c r="BV579" s="1098"/>
      <c r="BW579" s="1098"/>
      <c r="BX579" s="1098"/>
      <c r="BY579" s="1098"/>
      <c r="BZ579" s="1098"/>
      <c r="CA579" s="1098"/>
      <c r="CB579" s="1098"/>
      <c r="CC579" s="1098"/>
      <c r="CD579" s="1098"/>
      <c r="CE579" s="1098"/>
      <c r="CF579" s="1098"/>
      <c r="CG579" s="1098"/>
      <c r="CH579" s="1098"/>
      <c r="CI579" s="1098"/>
      <c r="CJ579" s="1098"/>
      <c r="CK579" s="1098"/>
      <c r="CL579" s="1098"/>
      <c r="CM579" s="1098"/>
      <c r="CN579" s="1098"/>
      <c r="CO579" s="1098"/>
      <c r="CP579" s="1098"/>
      <c r="CQ579" s="1098"/>
      <c r="CR579" s="1098"/>
      <c r="CS579" s="1098"/>
      <c r="CT579" s="1098"/>
      <c r="CU579" s="1098"/>
      <c r="CV579" s="1098"/>
      <c r="CW579" s="1098"/>
      <c r="CX579" s="1098"/>
      <c r="CY579" s="1098"/>
      <c r="CZ579" s="1098"/>
      <c r="DA579" s="1098"/>
      <c r="DB579" s="1098"/>
      <c r="DC579" s="1098"/>
      <c r="DD579" s="1098"/>
      <c r="DE579" s="1098"/>
      <c r="DF579" s="1098"/>
      <c r="DG579" s="1098"/>
      <c r="DH579" s="1098"/>
      <c r="DI579" s="1098"/>
      <c r="DJ579" s="1098"/>
      <c r="DK579" s="1098"/>
      <c r="DL579" s="1098"/>
      <c r="DM579" s="1098"/>
      <c r="DN579" s="1098"/>
      <c r="DO579" s="1098"/>
      <c r="DP579" s="1098"/>
      <c r="DQ579" s="1098"/>
      <c r="DR579" s="1098"/>
      <c r="DS579" s="1098"/>
      <c r="DT579" s="1098"/>
      <c r="DU579" s="1098"/>
      <c r="DV579" s="1098"/>
      <c r="DW579" s="1098"/>
      <c r="DX579" s="1098"/>
      <c r="DY579" s="1098"/>
      <c r="DZ579" s="1098"/>
      <c r="EA579" s="1098"/>
      <c r="EB579" s="1098"/>
      <c r="EC579" s="1098"/>
      <c r="ED579" s="1098"/>
      <c r="EE579" s="1098"/>
      <c r="EF579" s="1098"/>
      <c r="EG579" s="1098"/>
      <c r="EH579" s="1098"/>
      <c r="EI579" s="1098"/>
      <c r="EJ579" s="1098"/>
      <c r="EK579" s="1098"/>
      <c r="EL579" s="1098"/>
      <c r="EM579" s="1098"/>
      <c r="EN579" s="1098"/>
      <c r="EO579" s="1098"/>
      <c r="EP579" s="1098"/>
      <c r="EQ579" s="1098"/>
      <c r="ER579" s="1098"/>
      <c r="ES579" s="1098"/>
      <c r="ET579" s="1098"/>
      <c r="EU579" s="1098"/>
      <c r="EV579" s="1098"/>
      <c r="EW579" s="1098"/>
      <c r="EX579" s="1098"/>
      <c r="EY579" s="1098"/>
      <c r="EZ579" s="1098"/>
      <c r="FA579" s="1098"/>
      <c r="FB579" s="1098"/>
      <c r="FC579" s="1098"/>
      <c r="FD579" s="1098"/>
      <c r="FE579" s="1098"/>
      <c r="FF579" s="1098"/>
      <c r="FG579" s="1098"/>
      <c r="FH579" s="1098"/>
      <c r="FI579" s="1098"/>
      <c r="FJ579" s="1098"/>
      <c r="FK579" s="1098"/>
      <c r="FL579" s="1098"/>
      <c r="FM579" s="1098"/>
      <c r="FN579" s="1098"/>
      <c r="FO579" s="1098"/>
      <c r="FP579" s="1098"/>
      <c r="FQ579" s="1098"/>
      <c r="FR579" s="1098"/>
      <c r="FS579" s="1098"/>
      <c r="FT579" s="1098"/>
      <c r="FU579" s="1098"/>
      <c r="FV579" s="1098"/>
      <c r="FW579" s="1098"/>
      <c r="FX579" s="1098"/>
      <c r="FY579" s="1098"/>
      <c r="FZ579" s="1098"/>
      <c r="GA579" s="1098"/>
      <c r="GB579" s="1098"/>
      <c r="GC579" s="1098"/>
      <c r="GD579" s="1098"/>
      <c r="GE579" s="1098"/>
      <c r="GF579" s="1098"/>
      <c r="GG579" s="1098"/>
      <c r="GH579" s="1098"/>
      <c r="GI579" s="1098"/>
      <c r="GJ579" s="1098"/>
      <c r="GK579" s="1098"/>
      <c r="GL579" s="1098"/>
      <c r="GM579" s="1098"/>
      <c r="GN579" s="1098"/>
      <c r="GO579" s="1098"/>
      <c r="GP579" s="1098"/>
      <c r="GQ579" s="1098"/>
      <c r="GR579" s="1098"/>
      <c r="GS579" s="1098"/>
      <c r="GT579" s="1098"/>
      <c r="GU579" s="1098"/>
      <c r="GV579" s="1098"/>
      <c r="GW579" s="1098"/>
      <c r="GX579" s="1098"/>
      <c r="GY579" s="1098"/>
      <c r="GZ579" s="1098"/>
      <c r="HA579" s="1098"/>
      <c r="HB579" s="1098"/>
      <c r="HC579" s="1098"/>
      <c r="HD579" s="1098"/>
      <c r="HE579" s="1098"/>
      <c r="HF579" s="1098"/>
      <c r="HG579" s="1098"/>
      <c r="HH579" s="1098"/>
      <c r="HI579" s="1098"/>
      <c r="HJ579" s="1098"/>
      <c r="HK579" s="1098"/>
      <c r="HL579" s="1098"/>
      <c r="HM579" s="1098"/>
      <c r="HN579" s="1098"/>
      <c r="HO579" s="1098"/>
      <c r="HP579" s="1098"/>
      <c r="HQ579" s="1098"/>
      <c r="HR579" s="1098"/>
      <c r="HS579" s="1098"/>
      <c r="HT579" s="1098"/>
      <c r="HU579" s="1098"/>
      <c r="HV579" s="1098"/>
      <c r="HW579" s="1098"/>
      <c r="HX579" s="1098"/>
      <c r="HY579" s="1098"/>
      <c r="HZ579" s="1098"/>
      <c r="IA579" s="1098"/>
      <c r="IB579" s="1098"/>
      <c r="IC579" s="1098"/>
      <c r="ID579" s="1098"/>
      <c r="IE579" s="1098"/>
      <c r="IF579" s="1098"/>
      <c r="IG579" s="1098"/>
      <c r="IH579" s="1098"/>
      <c r="II579" s="1098"/>
      <c r="IJ579" s="1098"/>
      <c r="IK579" s="1098"/>
      <c r="IL579" s="1098"/>
      <c r="IM579" s="1098"/>
      <c r="IN579" s="1098"/>
      <c r="IO579" s="1098"/>
      <c r="IP579" s="1098"/>
      <c r="IQ579" s="1098"/>
      <c r="IR579" s="1098"/>
      <c r="IS579" s="1098"/>
      <c r="IT579" s="1098"/>
      <c r="IU579" s="1098"/>
      <c r="IV579" s="1098"/>
      <c r="IW579" s="1098"/>
      <c r="IX579" s="1098"/>
      <c r="IY579" s="1098"/>
      <c r="IZ579" s="1098"/>
      <c r="JA579" s="1098"/>
      <c r="JB579" s="1098"/>
      <c r="JC579" s="1098"/>
      <c r="JD579" s="1098"/>
      <c r="JE579" s="1098"/>
      <c r="JF579" s="1098"/>
      <c r="JG579" s="1098"/>
      <c r="JH579" s="1098"/>
      <c r="JI579" s="1098"/>
      <c r="JJ579" s="1098"/>
      <c r="JK579" s="1098"/>
      <c r="JL579" s="1098"/>
      <c r="JM579" s="1098"/>
      <c r="JN579" s="1098"/>
      <c r="JO579" s="1098"/>
      <c r="JP579" s="1098"/>
      <c r="JQ579" s="1098"/>
      <c r="JR579" s="1098"/>
      <c r="JS579" s="1098"/>
      <c r="JT579" s="1098"/>
      <c r="JU579" s="1098"/>
      <c r="JV579" s="1098"/>
      <c r="JW579" s="1098"/>
      <c r="JX579" s="1098"/>
      <c r="JY579" s="1098"/>
      <c r="JZ579" s="1098"/>
      <c r="KA579" s="1098"/>
      <c r="KB579" s="1099"/>
    </row>
    <row r="580" spans="2:288" ht="15" customHeight="1" x14ac:dyDescent="0.35">
      <c r="B580" s="146" t="str">
        <f t="shared" si="46"/>
        <v>Desk 53</v>
      </c>
      <c r="C580" s="148" t="str">
        <v/>
      </c>
      <c r="D580" s="148" t="str">
        <v/>
      </c>
      <c r="E580" s="148" t="str">
        <v/>
      </c>
      <c r="F580" s="148" t="str">
        <v/>
      </c>
      <c r="G580" s="268" t="str">
        <v/>
      </c>
      <c r="H580" s="1098"/>
      <c r="I580" s="1098"/>
      <c r="J580" s="1098"/>
      <c r="K580" s="1098"/>
      <c r="L580" s="1098"/>
      <c r="M580" s="1098"/>
      <c r="N580" s="1098"/>
      <c r="O580" s="1098"/>
      <c r="P580" s="1098"/>
      <c r="Q580" s="1098"/>
      <c r="R580" s="1098"/>
      <c r="S580" s="1098"/>
      <c r="T580" s="1098"/>
      <c r="U580" s="1098"/>
      <c r="V580" s="1098"/>
      <c r="W580" s="1098"/>
      <c r="X580" s="1098"/>
      <c r="Y580" s="1098"/>
      <c r="Z580" s="1098"/>
      <c r="AA580" s="1098"/>
      <c r="AB580" s="1098"/>
      <c r="AC580" s="1098"/>
      <c r="AD580" s="1098"/>
      <c r="AE580" s="1098"/>
      <c r="AF580" s="1098"/>
      <c r="AG580" s="1098"/>
      <c r="AH580" s="1098"/>
      <c r="AI580" s="1098"/>
      <c r="AJ580" s="1098"/>
      <c r="AK580" s="1098"/>
      <c r="AL580" s="1098"/>
      <c r="AM580" s="1098"/>
      <c r="AN580" s="1098"/>
      <c r="AO580" s="1098"/>
      <c r="AP580" s="1098"/>
      <c r="AQ580" s="1098"/>
      <c r="AR580" s="1098"/>
      <c r="AS580" s="1098"/>
      <c r="AT580" s="1098"/>
      <c r="AU580" s="1098"/>
      <c r="AV580" s="1098"/>
      <c r="AW580" s="1098"/>
      <c r="AX580" s="1098"/>
      <c r="AY580" s="1098"/>
      <c r="AZ580" s="1098"/>
      <c r="BA580" s="1098"/>
      <c r="BB580" s="1098"/>
      <c r="BC580" s="1098"/>
      <c r="BD580" s="1098"/>
      <c r="BE580" s="1098"/>
      <c r="BF580" s="1098"/>
      <c r="BG580" s="1098"/>
      <c r="BH580" s="1098"/>
      <c r="BI580" s="1098"/>
      <c r="BJ580" s="1098"/>
      <c r="BK580" s="1098"/>
      <c r="BL580" s="1098"/>
      <c r="BM580" s="1098"/>
      <c r="BN580" s="1098"/>
      <c r="BO580" s="1098"/>
      <c r="BP580" s="1098"/>
      <c r="BQ580" s="1098"/>
      <c r="BR580" s="1098"/>
      <c r="BS580" s="1098"/>
      <c r="BT580" s="1098"/>
      <c r="BU580" s="1098"/>
      <c r="BV580" s="1098"/>
      <c r="BW580" s="1098"/>
      <c r="BX580" s="1098"/>
      <c r="BY580" s="1098"/>
      <c r="BZ580" s="1098"/>
      <c r="CA580" s="1098"/>
      <c r="CB580" s="1098"/>
      <c r="CC580" s="1098"/>
      <c r="CD580" s="1098"/>
      <c r="CE580" s="1098"/>
      <c r="CF580" s="1098"/>
      <c r="CG580" s="1098"/>
      <c r="CH580" s="1098"/>
      <c r="CI580" s="1098"/>
      <c r="CJ580" s="1098"/>
      <c r="CK580" s="1098"/>
      <c r="CL580" s="1098"/>
      <c r="CM580" s="1098"/>
      <c r="CN580" s="1098"/>
      <c r="CO580" s="1098"/>
      <c r="CP580" s="1098"/>
      <c r="CQ580" s="1098"/>
      <c r="CR580" s="1098"/>
      <c r="CS580" s="1098"/>
      <c r="CT580" s="1098"/>
      <c r="CU580" s="1098"/>
      <c r="CV580" s="1098"/>
      <c r="CW580" s="1098"/>
      <c r="CX580" s="1098"/>
      <c r="CY580" s="1098"/>
      <c r="CZ580" s="1098"/>
      <c r="DA580" s="1098"/>
      <c r="DB580" s="1098"/>
      <c r="DC580" s="1098"/>
      <c r="DD580" s="1098"/>
      <c r="DE580" s="1098"/>
      <c r="DF580" s="1098"/>
      <c r="DG580" s="1098"/>
      <c r="DH580" s="1098"/>
      <c r="DI580" s="1098"/>
      <c r="DJ580" s="1098"/>
      <c r="DK580" s="1098"/>
      <c r="DL580" s="1098"/>
      <c r="DM580" s="1098"/>
      <c r="DN580" s="1098"/>
      <c r="DO580" s="1098"/>
      <c r="DP580" s="1098"/>
      <c r="DQ580" s="1098"/>
      <c r="DR580" s="1098"/>
      <c r="DS580" s="1098"/>
      <c r="DT580" s="1098"/>
      <c r="DU580" s="1098"/>
      <c r="DV580" s="1098"/>
      <c r="DW580" s="1098"/>
      <c r="DX580" s="1098"/>
      <c r="DY580" s="1098"/>
      <c r="DZ580" s="1098"/>
      <c r="EA580" s="1098"/>
      <c r="EB580" s="1098"/>
      <c r="EC580" s="1098"/>
      <c r="ED580" s="1098"/>
      <c r="EE580" s="1098"/>
      <c r="EF580" s="1098"/>
      <c r="EG580" s="1098"/>
      <c r="EH580" s="1098"/>
      <c r="EI580" s="1098"/>
      <c r="EJ580" s="1098"/>
      <c r="EK580" s="1098"/>
      <c r="EL580" s="1098"/>
      <c r="EM580" s="1098"/>
      <c r="EN580" s="1098"/>
      <c r="EO580" s="1098"/>
      <c r="EP580" s="1098"/>
      <c r="EQ580" s="1098"/>
      <c r="ER580" s="1098"/>
      <c r="ES580" s="1098"/>
      <c r="ET580" s="1098"/>
      <c r="EU580" s="1098"/>
      <c r="EV580" s="1098"/>
      <c r="EW580" s="1098"/>
      <c r="EX580" s="1098"/>
      <c r="EY580" s="1098"/>
      <c r="EZ580" s="1098"/>
      <c r="FA580" s="1098"/>
      <c r="FB580" s="1098"/>
      <c r="FC580" s="1098"/>
      <c r="FD580" s="1098"/>
      <c r="FE580" s="1098"/>
      <c r="FF580" s="1098"/>
      <c r="FG580" s="1098"/>
      <c r="FH580" s="1098"/>
      <c r="FI580" s="1098"/>
      <c r="FJ580" s="1098"/>
      <c r="FK580" s="1098"/>
      <c r="FL580" s="1098"/>
      <c r="FM580" s="1098"/>
      <c r="FN580" s="1098"/>
      <c r="FO580" s="1098"/>
      <c r="FP580" s="1098"/>
      <c r="FQ580" s="1098"/>
      <c r="FR580" s="1098"/>
      <c r="FS580" s="1098"/>
      <c r="FT580" s="1098"/>
      <c r="FU580" s="1098"/>
      <c r="FV580" s="1098"/>
      <c r="FW580" s="1098"/>
      <c r="FX580" s="1098"/>
      <c r="FY580" s="1098"/>
      <c r="FZ580" s="1098"/>
      <c r="GA580" s="1098"/>
      <c r="GB580" s="1098"/>
      <c r="GC580" s="1098"/>
      <c r="GD580" s="1098"/>
      <c r="GE580" s="1098"/>
      <c r="GF580" s="1098"/>
      <c r="GG580" s="1098"/>
      <c r="GH580" s="1098"/>
      <c r="GI580" s="1098"/>
      <c r="GJ580" s="1098"/>
      <c r="GK580" s="1098"/>
      <c r="GL580" s="1098"/>
      <c r="GM580" s="1098"/>
      <c r="GN580" s="1098"/>
      <c r="GO580" s="1098"/>
      <c r="GP580" s="1098"/>
      <c r="GQ580" s="1098"/>
      <c r="GR580" s="1098"/>
      <c r="GS580" s="1098"/>
      <c r="GT580" s="1098"/>
      <c r="GU580" s="1098"/>
      <c r="GV580" s="1098"/>
      <c r="GW580" s="1098"/>
      <c r="GX580" s="1098"/>
      <c r="GY580" s="1098"/>
      <c r="GZ580" s="1098"/>
      <c r="HA580" s="1098"/>
      <c r="HB580" s="1098"/>
      <c r="HC580" s="1098"/>
      <c r="HD580" s="1098"/>
      <c r="HE580" s="1098"/>
      <c r="HF580" s="1098"/>
      <c r="HG580" s="1098"/>
      <c r="HH580" s="1098"/>
      <c r="HI580" s="1098"/>
      <c r="HJ580" s="1098"/>
      <c r="HK580" s="1098"/>
      <c r="HL580" s="1098"/>
      <c r="HM580" s="1098"/>
      <c r="HN580" s="1098"/>
      <c r="HO580" s="1098"/>
      <c r="HP580" s="1098"/>
      <c r="HQ580" s="1098"/>
      <c r="HR580" s="1098"/>
      <c r="HS580" s="1098"/>
      <c r="HT580" s="1098"/>
      <c r="HU580" s="1098"/>
      <c r="HV580" s="1098"/>
      <c r="HW580" s="1098"/>
      <c r="HX580" s="1098"/>
      <c r="HY580" s="1098"/>
      <c r="HZ580" s="1098"/>
      <c r="IA580" s="1098"/>
      <c r="IB580" s="1098"/>
      <c r="IC580" s="1098"/>
      <c r="ID580" s="1098"/>
      <c r="IE580" s="1098"/>
      <c r="IF580" s="1098"/>
      <c r="IG580" s="1098"/>
      <c r="IH580" s="1098"/>
      <c r="II580" s="1098"/>
      <c r="IJ580" s="1098"/>
      <c r="IK580" s="1098"/>
      <c r="IL580" s="1098"/>
      <c r="IM580" s="1098"/>
      <c r="IN580" s="1098"/>
      <c r="IO580" s="1098"/>
      <c r="IP580" s="1098"/>
      <c r="IQ580" s="1098"/>
      <c r="IR580" s="1098"/>
      <c r="IS580" s="1098"/>
      <c r="IT580" s="1098"/>
      <c r="IU580" s="1098"/>
      <c r="IV580" s="1098"/>
      <c r="IW580" s="1098"/>
      <c r="IX580" s="1098"/>
      <c r="IY580" s="1098"/>
      <c r="IZ580" s="1098"/>
      <c r="JA580" s="1098"/>
      <c r="JB580" s="1098"/>
      <c r="JC580" s="1098"/>
      <c r="JD580" s="1098"/>
      <c r="JE580" s="1098"/>
      <c r="JF580" s="1098"/>
      <c r="JG580" s="1098"/>
      <c r="JH580" s="1098"/>
      <c r="JI580" s="1098"/>
      <c r="JJ580" s="1098"/>
      <c r="JK580" s="1098"/>
      <c r="JL580" s="1098"/>
      <c r="JM580" s="1098"/>
      <c r="JN580" s="1098"/>
      <c r="JO580" s="1098"/>
      <c r="JP580" s="1098"/>
      <c r="JQ580" s="1098"/>
      <c r="JR580" s="1098"/>
      <c r="JS580" s="1098"/>
      <c r="JT580" s="1098"/>
      <c r="JU580" s="1098"/>
      <c r="JV580" s="1098"/>
      <c r="JW580" s="1098"/>
      <c r="JX580" s="1098"/>
      <c r="JY580" s="1098"/>
      <c r="JZ580" s="1098"/>
      <c r="KA580" s="1098"/>
      <c r="KB580" s="1099"/>
    </row>
    <row r="581" spans="2:288" ht="15" customHeight="1" x14ac:dyDescent="0.35">
      <c r="B581" s="146" t="str">
        <f t="shared" si="46"/>
        <v>Desk 54</v>
      </c>
      <c r="C581" s="148" t="str">
        <v/>
      </c>
      <c r="D581" s="148" t="str">
        <v/>
      </c>
      <c r="E581" s="148" t="str">
        <v/>
      </c>
      <c r="F581" s="148" t="str">
        <v/>
      </c>
      <c r="G581" s="268" t="str">
        <v/>
      </c>
      <c r="H581" s="1098"/>
      <c r="I581" s="1098"/>
      <c r="J581" s="1098"/>
      <c r="K581" s="1098"/>
      <c r="L581" s="1098"/>
      <c r="M581" s="1098"/>
      <c r="N581" s="1098"/>
      <c r="O581" s="1098"/>
      <c r="P581" s="1098"/>
      <c r="Q581" s="1098"/>
      <c r="R581" s="1098"/>
      <c r="S581" s="1098"/>
      <c r="T581" s="1098"/>
      <c r="U581" s="1098"/>
      <c r="V581" s="1098"/>
      <c r="W581" s="1098"/>
      <c r="X581" s="1098"/>
      <c r="Y581" s="1098"/>
      <c r="Z581" s="1098"/>
      <c r="AA581" s="1098"/>
      <c r="AB581" s="1098"/>
      <c r="AC581" s="1098"/>
      <c r="AD581" s="1098"/>
      <c r="AE581" s="1098"/>
      <c r="AF581" s="1098"/>
      <c r="AG581" s="1098"/>
      <c r="AH581" s="1098"/>
      <c r="AI581" s="1098"/>
      <c r="AJ581" s="1098"/>
      <c r="AK581" s="1098"/>
      <c r="AL581" s="1098"/>
      <c r="AM581" s="1098"/>
      <c r="AN581" s="1098"/>
      <c r="AO581" s="1098"/>
      <c r="AP581" s="1098"/>
      <c r="AQ581" s="1098"/>
      <c r="AR581" s="1098"/>
      <c r="AS581" s="1098"/>
      <c r="AT581" s="1098"/>
      <c r="AU581" s="1098"/>
      <c r="AV581" s="1098"/>
      <c r="AW581" s="1098"/>
      <c r="AX581" s="1098"/>
      <c r="AY581" s="1098"/>
      <c r="AZ581" s="1098"/>
      <c r="BA581" s="1098"/>
      <c r="BB581" s="1098"/>
      <c r="BC581" s="1098"/>
      <c r="BD581" s="1098"/>
      <c r="BE581" s="1098"/>
      <c r="BF581" s="1098"/>
      <c r="BG581" s="1098"/>
      <c r="BH581" s="1098"/>
      <c r="BI581" s="1098"/>
      <c r="BJ581" s="1098"/>
      <c r="BK581" s="1098"/>
      <c r="BL581" s="1098"/>
      <c r="BM581" s="1098"/>
      <c r="BN581" s="1098"/>
      <c r="BO581" s="1098"/>
      <c r="BP581" s="1098"/>
      <c r="BQ581" s="1098"/>
      <c r="BR581" s="1098"/>
      <c r="BS581" s="1098"/>
      <c r="BT581" s="1098"/>
      <c r="BU581" s="1098"/>
      <c r="BV581" s="1098"/>
      <c r="BW581" s="1098"/>
      <c r="BX581" s="1098"/>
      <c r="BY581" s="1098"/>
      <c r="BZ581" s="1098"/>
      <c r="CA581" s="1098"/>
      <c r="CB581" s="1098"/>
      <c r="CC581" s="1098"/>
      <c r="CD581" s="1098"/>
      <c r="CE581" s="1098"/>
      <c r="CF581" s="1098"/>
      <c r="CG581" s="1098"/>
      <c r="CH581" s="1098"/>
      <c r="CI581" s="1098"/>
      <c r="CJ581" s="1098"/>
      <c r="CK581" s="1098"/>
      <c r="CL581" s="1098"/>
      <c r="CM581" s="1098"/>
      <c r="CN581" s="1098"/>
      <c r="CO581" s="1098"/>
      <c r="CP581" s="1098"/>
      <c r="CQ581" s="1098"/>
      <c r="CR581" s="1098"/>
      <c r="CS581" s="1098"/>
      <c r="CT581" s="1098"/>
      <c r="CU581" s="1098"/>
      <c r="CV581" s="1098"/>
      <c r="CW581" s="1098"/>
      <c r="CX581" s="1098"/>
      <c r="CY581" s="1098"/>
      <c r="CZ581" s="1098"/>
      <c r="DA581" s="1098"/>
      <c r="DB581" s="1098"/>
      <c r="DC581" s="1098"/>
      <c r="DD581" s="1098"/>
      <c r="DE581" s="1098"/>
      <c r="DF581" s="1098"/>
      <c r="DG581" s="1098"/>
      <c r="DH581" s="1098"/>
      <c r="DI581" s="1098"/>
      <c r="DJ581" s="1098"/>
      <c r="DK581" s="1098"/>
      <c r="DL581" s="1098"/>
      <c r="DM581" s="1098"/>
      <c r="DN581" s="1098"/>
      <c r="DO581" s="1098"/>
      <c r="DP581" s="1098"/>
      <c r="DQ581" s="1098"/>
      <c r="DR581" s="1098"/>
      <c r="DS581" s="1098"/>
      <c r="DT581" s="1098"/>
      <c r="DU581" s="1098"/>
      <c r="DV581" s="1098"/>
      <c r="DW581" s="1098"/>
      <c r="DX581" s="1098"/>
      <c r="DY581" s="1098"/>
      <c r="DZ581" s="1098"/>
      <c r="EA581" s="1098"/>
      <c r="EB581" s="1098"/>
      <c r="EC581" s="1098"/>
      <c r="ED581" s="1098"/>
      <c r="EE581" s="1098"/>
      <c r="EF581" s="1098"/>
      <c r="EG581" s="1098"/>
      <c r="EH581" s="1098"/>
      <c r="EI581" s="1098"/>
      <c r="EJ581" s="1098"/>
      <c r="EK581" s="1098"/>
      <c r="EL581" s="1098"/>
      <c r="EM581" s="1098"/>
      <c r="EN581" s="1098"/>
      <c r="EO581" s="1098"/>
      <c r="EP581" s="1098"/>
      <c r="EQ581" s="1098"/>
      <c r="ER581" s="1098"/>
      <c r="ES581" s="1098"/>
      <c r="ET581" s="1098"/>
      <c r="EU581" s="1098"/>
      <c r="EV581" s="1098"/>
      <c r="EW581" s="1098"/>
      <c r="EX581" s="1098"/>
      <c r="EY581" s="1098"/>
      <c r="EZ581" s="1098"/>
      <c r="FA581" s="1098"/>
      <c r="FB581" s="1098"/>
      <c r="FC581" s="1098"/>
      <c r="FD581" s="1098"/>
      <c r="FE581" s="1098"/>
      <c r="FF581" s="1098"/>
      <c r="FG581" s="1098"/>
      <c r="FH581" s="1098"/>
      <c r="FI581" s="1098"/>
      <c r="FJ581" s="1098"/>
      <c r="FK581" s="1098"/>
      <c r="FL581" s="1098"/>
      <c r="FM581" s="1098"/>
      <c r="FN581" s="1098"/>
      <c r="FO581" s="1098"/>
      <c r="FP581" s="1098"/>
      <c r="FQ581" s="1098"/>
      <c r="FR581" s="1098"/>
      <c r="FS581" s="1098"/>
      <c r="FT581" s="1098"/>
      <c r="FU581" s="1098"/>
      <c r="FV581" s="1098"/>
      <c r="FW581" s="1098"/>
      <c r="FX581" s="1098"/>
      <c r="FY581" s="1098"/>
      <c r="FZ581" s="1098"/>
      <c r="GA581" s="1098"/>
      <c r="GB581" s="1098"/>
      <c r="GC581" s="1098"/>
      <c r="GD581" s="1098"/>
      <c r="GE581" s="1098"/>
      <c r="GF581" s="1098"/>
      <c r="GG581" s="1098"/>
      <c r="GH581" s="1098"/>
      <c r="GI581" s="1098"/>
      <c r="GJ581" s="1098"/>
      <c r="GK581" s="1098"/>
      <c r="GL581" s="1098"/>
      <c r="GM581" s="1098"/>
      <c r="GN581" s="1098"/>
      <c r="GO581" s="1098"/>
      <c r="GP581" s="1098"/>
      <c r="GQ581" s="1098"/>
      <c r="GR581" s="1098"/>
      <c r="GS581" s="1098"/>
      <c r="GT581" s="1098"/>
      <c r="GU581" s="1098"/>
      <c r="GV581" s="1098"/>
      <c r="GW581" s="1098"/>
      <c r="GX581" s="1098"/>
      <c r="GY581" s="1098"/>
      <c r="GZ581" s="1098"/>
      <c r="HA581" s="1098"/>
      <c r="HB581" s="1098"/>
      <c r="HC581" s="1098"/>
      <c r="HD581" s="1098"/>
      <c r="HE581" s="1098"/>
      <c r="HF581" s="1098"/>
      <c r="HG581" s="1098"/>
      <c r="HH581" s="1098"/>
      <c r="HI581" s="1098"/>
      <c r="HJ581" s="1098"/>
      <c r="HK581" s="1098"/>
      <c r="HL581" s="1098"/>
      <c r="HM581" s="1098"/>
      <c r="HN581" s="1098"/>
      <c r="HO581" s="1098"/>
      <c r="HP581" s="1098"/>
      <c r="HQ581" s="1098"/>
      <c r="HR581" s="1098"/>
      <c r="HS581" s="1098"/>
      <c r="HT581" s="1098"/>
      <c r="HU581" s="1098"/>
      <c r="HV581" s="1098"/>
      <c r="HW581" s="1098"/>
      <c r="HX581" s="1098"/>
      <c r="HY581" s="1098"/>
      <c r="HZ581" s="1098"/>
      <c r="IA581" s="1098"/>
      <c r="IB581" s="1098"/>
      <c r="IC581" s="1098"/>
      <c r="ID581" s="1098"/>
      <c r="IE581" s="1098"/>
      <c r="IF581" s="1098"/>
      <c r="IG581" s="1098"/>
      <c r="IH581" s="1098"/>
      <c r="II581" s="1098"/>
      <c r="IJ581" s="1098"/>
      <c r="IK581" s="1098"/>
      <c r="IL581" s="1098"/>
      <c r="IM581" s="1098"/>
      <c r="IN581" s="1098"/>
      <c r="IO581" s="1098"/>
      <c r="IP581" s="1098"/>
      <c r="IQ581" s="1098"/>
      <c r="IR581" s="1098"/>
      <c r="IS581" s="1098"/>
      <c r="IT581" s="1098"/>
      <c r="IU581" s="1098"/>
      <c r="IV581" s="1098"/>
      <c r="IW581" s="1098"/>
      <c r="IX581" s="1098"/>
      <c r="IY581" s="1098"/>
      <c r="IZ581" s="1098"/>
      <c r="JA581" s="1098"/>
      <c r="JB581" s="1098"/>
      <c r="JC581" s="1098"/>
      <c r="JD581" s="1098"/>
      <c r="JE581" s="1098"/>
      <c r="JF581" s="1098"/>
      <c r="JG581" s="1098"/>
      <c r="JH581" s="1098"/>
      <c r="JI581" s="1098"/>
      <c r="JJ581" s="1098"/>
      <c r="JK581" s="1098"/>
      <c r="JL581" s="1098"/>
      <c r="JM581" s="1098"/>
      <c r="JN581" s="1098"/>
      <c r="JO581" s="1098"/>
      <c r="JP581" s="1098"/>
      <c r="JQ581" s="1098"/>
      <c r="JR581" s="1098"/>
      <c r="JS581" s="1098"/>
      <c r="JT581" s="1098"/>
      <c r="JU581" s="1098"/>
      <c r="JV581" s="1098"/>
      <c r="JW581" s="1098"/>
      <c r="JX581" s="1098"/>
      <c r="JY581" s="1098"/>
      <c r="JZ581" s="1098"/>
      <c r="KA581" s="1098"/>
      <c r="KB581" s="1099"/>
    </row>
    <row r="582" spans="2:288" ht="15" customHeight="1" x14ac:dyDescent="0.35">
      <c r="B582" s="146" t="str">
        <f t="shared" si="46"/>
        <v>Desk 55</v>
      </c>
      <c r="C582" s="148" t="str">
        <v/>
      </c>
      <c r="D582" s="148" t="str">
        <v/>
      </c>
      <c r="E582" s="148" t="str">
        <v/>
      </c>
      <c r="F582" s="148" t="str">
        <v/>
      </c>
      <c r="G582" s="268" t="str">
        <v/>
      </c>
      <c r="H582" s="1098"/>
      <c r="I582" s="1098"/>
      <c r="J582" s="1098"/>
      <c r="K582" s="1098"/>
      <c r="L582" s="1098"/>
      <c r="M582" s="1098"/>
      <c r="N582" s="1098"/>
      <c r="O582" s="1098"/>
      <c r="P582" s="1098"/>
      <c r="Q582" s="1098"/>
      <c r="R582" s="1098"/>
      <c r="S582" s="1098"/>
      <c r="T582" s="1098"/>
      <c r="U582" s="1098"/>
      <c r="V582" s="1098"/>
      <c r="W582" s="1098"/>
      <c r="X582" s="1098"/>
      <c r="Y582" s="1098"/>
      <c r="Z582" s="1098"/>
      <c r="AA582" s="1098"/>
      <c r="AB582" s="1098"/>
      <c r="AC582" s="1098"/>
      <c r="AD582" s="1098"/>
      <c r="AE582" s="1098"/>
      <c r="AF582" s="1098"/>
      <c r="AG582" s="1098"/>
      <c r="AH582" s="1098"/>
      <c r="AI582" s="1098"/>
      <c r="AJ582" s="1098"/>
      <c r="AK582" s="1098"/>
      <c r="AL582" s="1098"/>
      <c r="AM582" s="1098"/>
      <c r="AN582" s="1098"/>
      <c r="AO582" s="1098"/>
      <c r="AP582" s="1098"/>
      <c r="AQ582" s="1098"/>
      <c r="AR582" s="1098"/>
      <c r="AS582" s="1098"/>
      <c r="AT582" s="1098"/>
      <c r="AU582" s="1098"/>
      <c r="AV582" s="1098"/>
      <c r="AW582" s="1098"/>
      <c r="AX582" s="1098"/>
      <c r="AY582" s="1098"/>
      <c r="AZ582" s="1098"/>
      <c r="BA582" s="1098"/>
      <c r="BB582" s="1098"/>
      <c r="BC582" s="1098"/>
      <c r="BD582" s="1098"/>
      <c r="BE582" s="1098"/>
      <c r="BF582" s="1098"/>
      <c r="BG582" s="1098"/>
      <c r="BH582" s="1098"/>
      <c r="BI582" s="1098"/>
      <c r="BJ582" s="1098"/>
      <c r="BK582" s="1098"/>
      <c r="BL582" s="1098"/>
      <c r="BM582" s="1098"/>
      <c r="BN582" s="1098"/>
      <c r="BO582" s="1098"/>
      <c r="BP582" s="1098"/>
      <c r="BQ582" s="1098"/>
      <c r="BR582" s="1098"/>
      <c r="BS582" s="1098"/>
      <c r="BT582" s="1098"/>
      <c r="BU582" s="1098"/>
      <c r="BV582" s="1098"/>
      <c r="BW582" s="1098"/>
      <c r="BX582" s="1098"/>
      <c r="BY582" s="1098"/>
      <c r="BZ582" s="1098"/>
      <c r="CA582" s="1098"/>
      <c r="CB582" s="1098"/>
      <c r="CC582" s="1098"/>
      <c r="CD582" s="1098"/>
      <c r="CE582" s="1098"/>
      <c r="CF582" s="1098"/>
      <c r="CG582" s="1098"/>
      <c r="CH582" s="1098"/>
      <c r="CI582" s="1098"/>
      <c r="CJ582" s="1098"/>
      <c r="CK582" s="1098"/>
      <c r="CL582" s="1098"/>
      <c r="CM582" s="1098"/>
      <c r="CN582" s="1098"/>
      <c r="CO582" s="1098"/>
      <c r="CP582" s="1098"/>
      <c r="CQ582" s="1098"/>
      <c r="CR582" s="1098"/>
      <c r="CS582" s="1098"/>
      <c r="CT582" s="1098"/>
      <c r="CU582" s="1098"/>
      <c r="CV582" s="1098"/>
      <c r="CW582" s="1098"/>
      <c r="CX582" s="1098"/>
      <c r="CY582" s="1098"/>
      <c r="CZ582" s="1098"/>
      <c r="DA582" s="1098"/>
      <c r="DB582" s="1098"/>
      <c r="DC582" s="1098"/>
      <c r="DD582" s="1098"/>
      <c r="DE582" s="1098"/>
      <c r="DF582" s="1098"/>
      <c r="DG582" s="1098"/>
      <c r="DH582" s="1098"/>
      <c r="DI582" s="1098"/>
      <c r="DJ582" s="1098"/>
      <c r="DK582" s="1098"/>
      <c r="DL582" s="1098"/>
      <c r="DM582" s="1098"/>
      <c r="DN582" s="1098"/>
      <c r="DO582" s="1098"/>
      <c r="DP582" s="1098"/>
      <c r="DQ582" s="1098"/>
      <c r="DR582" s="1098"/>
      <c r="DS582" s="1098"/>
      <c r="DT582" s="1098"/>
      <c r="DU582" s="1098"/>
      <c r="DV582" s="1098"/>
      <c r="DW582" s="1098"/>
      <c r="DX582" s="1098"/>
      <c r="DY582" s="1098"/>
      <c r="DZ582" s="1098"/>
      <c r="EA582" s="1098"/>
      <c r="EB582" s="1098"/>
      <c r="EC582" s="1098"/>
      <c r="ED582" s="1098"/>
      <c r="EE582" s="1098"/>
      <c r="EF582" s="1098"/>
      <c r="EG582" s="1098"/>
      <c r="EH582" s="1098"/>
      <c r="EI582" s="1098"/>
      <c r="EJ582" s="1098"/>
      <c r="EK582" s="1098"/>
      <c r="EL582" s="1098"/>
      <c r="EM582" s="1098"/>
      <c r="EN582" s="1098"/>
      <c r="EO582" s="1098"/>
      <c r="EP582" s="1098"/>
      <c r="EQ582" s="1098"/>
      <c r="ER582" s="1098"/>
      <c r="ES582" s="1098"/>
      <c r="ET582" s="1098"/>
      <c r="EU582" s="1098"/>
      <c r="EV582" s="1098"/>
      <c r="EW582" s="1098"/>
      <c r="EX582" s="1098"/>
      <c r="EY582" s="1098"/>
      <c r="EZ582" s="1098"/>
      <c r="FA582" s="1098"/>
      <c r="FB582" s="1098"/>
      <c r="FC582" s="1098"/>
      <c r="FD582" s="1098"/>
      <c r="FE582" s="1098"/>
      <c r="FF582" s="1098"/>
      <c r="FG582" s="1098"/>
      <c r="FH582" s="1098"/>
      <c r="FI582" s="1098"/>
      <c r="FJ582" s="1098"/>
      <c r="FK582" s="1098"/>
      <c r="FL582" s="1098"/>
      <c r="FM582" s="1098"/>
      <c r="FN582" s="1098"/>
      <c r="FO582" s="1098"/>
      <c r="FP582" s="1098"/>
      <c r="FQ582" s="1098"/>
      <c r="FR582" s="1098"/>
      <c r="FS582" s="1098"/>
      <c r="FT582" s="1098"/>
      <c r="FU582" s="1098"/>
      <c r="FV582" s="1098"/>
      <c r="FW582" s="1098"/>
      <c r="FX582" s="1098"/>
      <c r="FY582" s="1098"/>
      <c r="FZ582" s="1098"/>
      <c r="GA582" s="1098"/>
      <c r="GB582" s="1098"/>
      <c r="GC582" s="1098"/>
      <c r="GD582" s="1098"/>
      <c r="GE582" s="1098"/>
      <c r="GF582" s="1098"/>
      <c r="GG582" s="1098"/>
      <c r="GH582" s="1098"/>
      <c r="GI582" s="1098"/>
      <c r="GJ582" s="1098"/>
      <c r="GK582" s="1098"/>
      <c r="GL582" s="1098"/>
      <c r="GM582" s="1098"/>
      <c r="GN582" s="1098"/>
      <c r="GO582" s="1098"/>
      <c r="GP582" s="1098"/>
      <c r="GQ582" s="1098"/>
      <c r="GR582" s="1098"/>
      <c r="GS582" s="1098"/>
      <c r="GT582" s="1098"/>
      <c r="GU582" s="1098"/>
      <c r="GV582" s="1098"/>
      <c r="GW582" s="1098"/>
      <c r="GX582" s="1098"/>
      <c r="GY582" s="1098"/>
      <c r="GZ582" s="1098"/>
      <c r="HA582" s="1098"/>
      <c r="HB582" s="1098"/>
      <c r="HC582" s="1098"/>
      <c r="HD582" s="1098"/>
      <c r="HE582" s="1098"/>
      <c r="HF582" s="1098"/>
      <c r="HG582" s="1098"/>
      <c r="HH582" s="1098"/>
      <c r="HI582" s="1098"/>
      <c r="HJ582" s="1098"/>
      <c r="HK582" s="1098"/>
      <c r="HL582" s="1098"/>
      <c r="HM582" s="1098"/>
      <c r="HN582" s="1098"/>
      <c r="HO582" s="1098"/>
      <c r="HP582" s="1098"/>
      <c r="HQ582" s="1098"/>
      <c r="HR582" s="1098"/>
      <c r="HS582" s="1098"/>
      <c r="HT582" s="1098"/>
      <c r="HU582" s="1098"/>
      <c r="HV582" s="1098"/>
      <c r="HW582" s="1098"/>
      <c r="HX582" s="1098"/>
      <c r="HY582" s="1098"/>
      <c r="HZ582" s="1098"/>
      <c r="IA582" s="1098"/>
      <c r="IB582" s="1098"/>
      <c r="IC582" s="1098"/>
      <c r="ID582" s="1098"/>
      <c r="IE582" s="1098"/>
      <c r="IF582" s="1098"/>
      <c r="IG582" s="1098"/>
      <c r="IH582" s="1098"/>
      <c r="II582" s="1098"/>
      <c r="IJ582" s="1098"/>
      <c r="IK582" s="1098"/>
      <c r="IL582" s="1098"/>
      <c r="IM582" s="1098"/>
      <c r="IN582" s="1098"/>
      <c r="IO582" s="1098"/>
      <c r="IP582" s="1098"/>
      <c r="IQ582" s="1098"/>
      <c r="IR582" s="1098"/>
      <c r="IS582" s="1098"/>
      <c r="IT582" s="1098"/>
      <c r="IU582" s="1098"/>
      <c r="IV582" s="1098"/>
      <c r="IW582" s="1098"/>
      <c r="IX582" s="1098"/>
      <c r="IY582" s="1098"/>
      <c r="IZ582" s="1098"/>
      <c r="JA582" s="1098"/>
      <c r="JB582" s="1098"/>
      <c r="JC582" s="1098"/>
      <c r="JD582" s="1098"/>
      <c r="JE582" s="1098"/>
      <c r="JF582" s="1098"/>
      <c r="JG582" s="1098"/>
      <c r="JH582" s="1098"/>
      <c r="JI582" s="1098"/>
      <c r="JJ582" s="1098"/>
      <c r="JK582" s="1098"/>
      <c r="JL582" s="1098"/>
      <c r="JM582" s="1098"/>
      <c r="JN582" s="1098"/>
      <c r="JO582" s="1098"/>
      <c r="JP582" s="1098"/>
      <c r="JQ582" s="1098"/>
      <c r="JR582" s="1098"/>
      <c r="JS582" s="1098"/>
      <c r="JT582" s="1098"/>
      <c r="JU582" s="1098"/>
      <c r="JV582" s="1098"/>
      <c r="JW582" s="1098"/>
      <c r="JX582" s="1098"/>
      <c r="JY582" s="1098"/>
      <c r="JZ582" s="1098"/>
      <c r="KA582" s="1098"/>
      <c r="KB582" s="1099"/>
    </row>
    <row r="583" spans="2:288" ht="15" customHeight="1" x14ac:dyDescent="0.35">
      <c r="B583" s="146" t="str">
        <f t="shared" si="46"/>
        <v>Desk 56</v>
      </c>
      <c r="C583" s="148" t="str">
        <v/>
      </c>
      <c r="D583" s="148" t="str">
        <v/>
      </c>
      <c r="E583" s="148" t="str">
        <v/>
      </c>
      <c r="F583" s="148" t="str">
        <v/>
      </c>
      <c r="G583" s="268" t="str">
        <v/>
      </c>
      <c r="H583" s="1098"/>
      <c r="I583" s="1098"/>
      <c r="J583" s="1098"/>
      <c r="K583" s="1098"/>
      <c r="L583" s="1098"/>
      <c r="M583" s="1098"/>
      <c r="N583" s="1098"/>
      <c r="O583" s="1098"/>
      <c r="P583" s="1098"/>
      <c r="Q583" s="1098"/>
      <c r="R583" s="1098"/>
      <c r="S583" s="1098"/>
      <c r="T583" s="1098"/>
      <c r="U583" s="1098"/>
      <c r="V583" s="1098"/>
      <c r="W583" s="1098"/>
      <c r="X583" s="1098"/>
      <c r="Y583" s="1098"/>
      <c r="Z583" s="1098"/>
      <c r="AA583" s="1098"/>
      <c r="AB583" s="1098"/>
      <c r="AC583" s="1098"/>
      <c r="AD583" s="1098"/>
      <c r="AE583" s="1098"/>
      <c r="AF583" s="1098"/>
      <c r="AG583" s="1098"/>
      <c r="AH583" s="1098"/>
      <c r="AI583" s="1098"/>
      <c r="AJ583" s="1098"/>
      <c r="AK583" s="1098"/>
      <c r="AL583" s="1098"/>
      <c r="AM583" s="1098"/>
      <c r="AN583" s="1098"/>
      <c r="AO583" s="1098"/>
      <c r="AP583" s="1098"/>
      <c r="AQ583" s="1098"/>
      <c r="AR583" s="1098"/>
      <c r="AS583" s="1098"/>
      <c r="AT583" s="1098"/>
      <c r="AU583" s="1098"/>
      <c r="AV583" s="1098"/>
      <c r="AW583" s="1098"/>
      <c r="AX583" s="1098"/>
      <c r="AY583" s="1098"/>
      <c r="AZ583" s="1098"/>
      <c r="BA583" s="1098"/>
      <c r="BB583" s="1098"/>
      <c r="BC583" s="1098"/>
      <c r="BD583" s="1098"/>
      <c r="BE583" s="1098"/>
      <c r="BF583" s="1098"/>
      <c r="BG583" s="1098"/>
      <c r="BH583" s="1098"/>
      <c r="BI583" s="1098"/>
      <c r="BJ583" s="1098"/>
      <c r="BK583" s="1098"/>
      <c r="BL583" s="1098"/>
      <c r="BM583" s="1098"/>
      <c r="BN583" s="1098"/>
      <c r="BO583" s="1098"/>
      <c r="BP583" s="1098"/>
      <c r="BQ583" s="1098"/>
      <c r="BR583" s="1098"/>
      <c r="BS583" s="1098"/>
      <c r="BT583" s="1098"/>
      <c r="BU583" s="1098"/>
      <c r="BV583" s="1098"/>
      <c r="BW583" s="1098"/>
      <c r="BX583" s="1098"/>
      <c r="BY583" s="1098"/>
      <c r="BZ583" s="1098"/>
      <c r="CA583" s="1098"/>
      <c r="CB583" s="1098"/>
      <c r="CC583" s="1098"/>
      <c r="CD583" s="1098"/>
      <c r="CE583" s="1098"/>
      <c r="CF583" s="1098"/>
      <c r="CG583" s="1098"/>
      <c r="CH583" s="1098"/>
      <c r="CI583" s="1098"/>
      <c r="CJ583" s="1098"/>
      <c r="CK583" s="1098"/>
      <c r="CL583" s="1098"/>
      <c r="CM583" s="1098"/>
      <c r="CN583" s="1098"/>
      <c r="CO583" s="1098"/>
      <c r="CP583" s="1098"/>
      <c r="CQ583" s="1098"/>
      <c r="CR583" s="1098"/>
      <c r="CS583" s="1098"/>
      <c r="CT583" s="1098"/>
      <c r="CU583" s="1098"/>
      <c r="CV583" s="1098"/>
      <c r="CW583" s="1098"/>
      <c r="CX583" s="1098"/>
      <c r="CY583" s="1098"/>
      <c r="CZ583" s="1098"/>
      <c r="DA583" s="1098"/>
      <c r="DB583" s="1098"/>
      <c r="DC583" s="1098"/>
      <c r="DD583" s="1098"/>
      <c r="DE583" s="1098"/>
      <c r="DF583" s="1098"/>
      <c r="DG583" s="1098"/>
      <c r="DH583" s="1098"/>
      <c r="DI583" s="1098"/>
      <c r="DJ583" s="1098"/>
      <c r="DK583" s="1098"/>
      <c r="DL583" s="1098"/>
      <c r="DM583" s="1098"/>
      <c r="DN583" s="1098"/>
      <c r="DO583" s="1098"/>
      <c r="DP583" s="1098"/>
      <c r="DQ583" s="1098"/>
      <c r="DR583" s="1098"/>
      <c r="DS583" s="1098"/>
      <c r="DT583" s="1098"/>
      <c r="DU583" s="1098"/>
      <c r="DV583" s="1098"/>
      <c r="DW583" s="1098"/>
      <c r="DX583" s="1098"/>
      <c r="DY583" s="1098"/>
      <c r="DZ583" s="1098"/>
      <c r="EA583" s="1098"/>
      <c r="EB583" s="1098"/>
      <c r="EC583" s="1098"/>
      <c r="ED583" s="1098"/>
      <c r="EE583" s="1098"/>
      <c r="EF583" s="1098"/>
      <c r="EG583" s="1098"/>
      <c r="EH583" s="1098"/>
      <c r="EI583" s="1098"/>
      <c r="EJ583" s="1098"/>
      <c r="EK583" s="1098"/>
      <c r="EL583" s="1098"/>
      <c r="EM583" s="1098"/>
      <c r="EN583" s="1098"/>
      <c r="EO583" s="1098"/>
      <c r="EP583" s="1098"/>
      <c r="EQ583" s="1098"/>
      <c r="ER583" s="1098"/>
      <c r="ES583" s="1098"/>
      <c r="ET583" s="1098"/>
      <c r="EU583" s="1098"/>
      <c r="EV583" s="1098"/>
      <c r="EW583" s="1098"/>
      <c r="EX583" s="1098"/>
      <c r="EY583" s="1098"/>
      <c r="EZ583" s="1098"/>
      <c r="FA583" s="1098"/>
      <c r="FB583" s="1098"/>
      <c r="FC583" s="1098"/>
      <c r="FD583" s="1098"/>
      <c r="FE583" s="1098"/>
      <c r="FF583" s="1098"/>
      <c r="FG583" s="1098"/>
      <c r="FH583" s="1098"/>
      <c r="FI583" s="1098"/>
      <c r="FJ583" s="1098"/>
      <c r="FK583" s="1098"/>
      <c r="FL583" s="1098"/>
      <c r="FM583" s="1098"/>
      <c r="FN583" s="1098"/>
      <c r="FO583" s="1098"/>
      <c r="FP583" s="1098"/>
      <c r="FQ583" s="1098"/>
      <c r="FR583" s="1098"/>
      <c r="FS583" s="1098"/>
      <c r="FT583" s="1098"/>
      <c r="FU583" s="1098"/>
      <c r="FV583" s="1098"/>
      <c r="FW583" s="1098"/>
      <c r="FX583" s="1098"/>
      <c r="FY583" s="1098"/>
      <c r="FZ583" s="1098"/>
      <c r="GA583" s="1098"/>
      <c r="GB583" s="1098"/>
      <c r="GC583" s="1098"/>
      <c r="GD583" s="1098"/>
      <c r="GE583" s="1098"/>
      <c r="GF583" s="1098"/>
      <c r="GG583" s="1098"/>
      <c r="GH583" s="1098"/>
      <c r="GI583" s="1098"/>
      <c r="GJ583" s="1098"/>
      <c r="GK583" s="1098"/>
      <c r="GL583" s="1098"/>
      <c r="GM583" s="1098"/>
      <c r="GN583" s="1098"/>
      <c r="GO583" s="1098"/>
      <c r="GP583" s="1098"/>
      <c r="GQ583" s="1098"/>
      <c r="GR583" s="1098"/>
      <c r="GS583" s="1098"/>
      <c r="GT583" s="1098"/>
      <c r="GU583" s="1098"/>
      <c r="GV583" s="1098"/>
      <c r="GW583" s="1098"/>
      <c r="GX583" s="1098"/>
      <c r="GY583" s="1098"/>
      <c r="GZ583" s="1098"/>
      <c r="HA583" s="1098"/>
      <c r="HB583" s="1098"/>
      <c r="HC583" s="1098"/>
      <c r="HD583" s="1098"/>
      <c r="HE583" s="1098"/>
      <c r="HF583" s="1098"/>
      <c r="HG583" s="1098"/>
      <c r="HH583" s="1098"/>
      <c r="HI583" s="1098"/>
      <c r="HJ583" s="1098"/>
      <c r="HK583" s="1098"/>
      <c r="HL583" s="1098"/>
      <c r="HM583" s="1098"/>
      <c r="HN583" s="1098"/>
      <c r="HO583" s="1098"/>
      <c r="HP583" s="1098"/>
      <c r="HQ583" s="1098"/>
      <c r="HR583" s="1098"/>
      <c r="HS583" s="1098"/>
      <c r="HT583" s="1098"/>
      <c r="HU583" s="1098"/>
      <c r="HV583" s="1098"/>
      <c r="HW583" s="1098"/>
      <c r="HX583" s="1098"/>
      <c r="HY583" s="1098"/>
      <c r="HZ583" s="1098"/>
      <c r="IA583" s="1098"/>
      <c r="IB583" s="1098"/>
      <c r="IC583" s="1098"/>
      <c r="ID583" s="1098"/>
      <c r="IE583" s="1098"/>
      <c r="IF583" s="1098"/>
      <c r="IG583" s="1098"/>
      <c r="IH583" s="1098"/>
      <c r="II583" s="1098"/>
      <c r="IJ583" s="1098"/>
      <c r="IK583" s="1098"/>
      <c r="IL583" s="1098"/>
      <c r="IM583" s="1098"/>
      <c r="IN583" s="1098"/>
      <c r="IO583" s="1098"/>
      <c r="IP583" s="1098"/>
      <c r="IQ583" s="1098"/>
      <c r="IR583" s="1098"/>
      <c r="IS583" s="1098"/>
      <c r="IT583" s="1098"/>
      <c r="IU583" s="1098"/>
      <c r="IV583" s="1098"/>
      <c r="IW583" s="1098"/>
      <c r="IX583" s="1098"/>
      <c r="IY583" s="1098"/>
      <c r="IZ583" s="1098"/>
      <c r="JA583" s="1098"/>
      <c r="JB583" s="1098"/>
      <c r="JC583" s="1098"/>
      <c r="JD583" s="1098"/>
      <c r="JE583" s="1098"/>
      <c r="JF583" s="1098"/>
      <c r="JG583" s="1098"/>
      <c r="JH583" s="1098"/>
      <c r="JI583" s="1098"/>
      <c r="JJ583" s="1098"/>
      <c r="JK583" s="1098"/>
      <c r="JL583" s="1098"/>
      <c r="JM583" s="1098"/>
      <c r="JN583" s="1098"/>
      <c r="JO583" s="1098"/>
      <c r="JP583" s="1098"/>
      <c r="JQ583" s="1098"/>
      <c r="JR583" s="1098"/>
      <c r="JS583" s="1098"/>
      <c r="JT583" s="1098"/>
      <c r="JU583" s="1098"/>
      <c r="JV583" s="1098"/>
      <c r="JW583" s="1098"/>
      <c r="JX583" s="1098"/>
      <c r="JY583" s="1098"/>
      <c r="JZ583" s="1098"/>
      <c r="KA583" s="1098"/>
      <c r="KB583" s="1099"/>
    </row>
    <row r="584" spans="2:288" ht="15" customHeight="1" x14ac:dyDescent="0.35">
      <c r="B584" s="146" t="str">
        <f t="shared" si="46"/>
        <v>Desk 57</v>
      </c>
      <c r="C584" s="148" t="str">
        <v/>
      </c>
      <c r="D584" s="148" t="str">
        <v/>
      </c>
      <c r="E584" s="148" t="str">
        <v/>
      </c>
      <c r="F584" s="148" t="str">
        <v/>
      </c>
      <c r="G584" s="268" t="str">
        <v/>
      </c>
      <c r="H584" s="1098"/>
      <c r="I584" s="1098"/>
      <c r="J584" s="1098"/>
      <c r="K584" s="1098"/>
      <c r="L584" s="1098"/>
      <c r="M584" s="1098"/>
      <c r="N584" s="1098"/>
      <c r="O584" s="1098"/>
      <c r="P584" s="1098"/>
      <c r="Q584" s="1098"/>
      <c r="R584" s="1098"/>
      <c r="S584" s="1098"/>
      <c r="T584" s="1098"/>
      <c r="U584" s="1098"/>
      <c r="V584" s="1098"/>
      <c r="W584" s="1098"/>
      <c r="X584" s="1098"/>
      <c r="Y584" s="1098"/>
      <c r="Z584" s="1098"/>
      <c r="AA584" s="1098"/>
      <c r="AB584" s="1098"/>
      <c r="AC584" s="1098"/>
      <c r="AD584" s="1098"/>
      <c r="AE584" s="1098"/>
      <c r="AF584" s="1098"/>
      <c r="AG584" s="1098"/>
      <c r="AH584" s="1098"/>
      <c r="AI584" s="1098"/>
      <c r="AJ584" s="1098"/>
      <c r="AK584" s="1098"/>
      <c r="AL584" s="1098"/>
      <c r="AM584" s="1098"/>
      <c r="AN584" s="1098"/>
      <c r="AO584" s="1098"/>
      <c r="AP584" s="1098"/>
      <c r="AQ584" s="1098"/>
      <c r="AR584" s="1098"/>
      <c r="AS584" s="1098"/>
      <c r="AT584" s="1098"/>
      <c r="AU584" s="1098"/>
      <c r="AV584" s="1098"/>
      <c r="AW584" s="1098"/>
      <c r="AX584" s="1098"/>
      <c r="AY584" s="1098"/>
      <c r="AZ584" s="1098"/>
      <c r="BA584" s="1098"/>
      <c r="BB584" s="1098"/>
      <c r="BC584" s="1098"/>
      <c r="BD584" s="1098"/>
      <c r="BE584" s="1098"/>
      <c r="BF584" s="1098"/>
      <c r="BG584" s="1098"/>
      <c r="BH584" s="1098"/>
      <c r="BI584" s="1098"/>
      <c r="BJ584" s="1098"/>
      <c r="BK584" s="1098"/>
      <c r="BL584" s="1098"/>
      <c r="BM584" s="1098"/>
      <c r="BN584" s="1098"/>
      <c r="BO584" s="1098"/>
      <c r="BP584" s="1098"/>
      <c r="BQ584" s="1098"/>
      <c r="BR584" s="1098"/>
      <c r="BS584" s="1098"/>
      <c r="BT584" s="1098"/>
      <c r="BU584" s="1098"/>
      <c r="BV584" s="1098"/>
      <c r="BW584" s="1098"/>
      <c r="BX584" s="1098"/>
      <c r="BY584" s="1098"/>
      <c r="BZ584" s="1098"/>
      <c r="CA584" s="1098"/>
      <c r="CB584" s="1098"/>
      <c r="CC584" s="1098"/>
      <c r="CD584" s="1098"/>
      <c r="CE584" s="1098"/>
      <c r="CF584" s="1098"/>
      <c r="CG584" s="1098"/>
      <c r="CH584" s="1098"/>
      <c r="CI584" s="1098"/>
      <c r="CJ584" s="1098"/>
      <c r="CK584" s="1098"/>
      <c r="CL584" s="1098"/>
      <c r="CM584" s="1098"/>
      <c r="CN584" s="1098"/>
      <c r="CO584" s="1098"/>
      <c r="CP584" s="1098"/>
      <c r="CQ584" s="1098"/>
      <c r="CR584" s="1098"/>
      <c r="CS584" s="1098"/>
      <c r="CT584" s="1098"/>
      <c r="CU584" s="1098"/>
      <c r="CV584" s="1098"/>
      <c r="CW584" s="1098"/>
      <c r="CX584" s="1098"/>
      <c r="CY584" s="1098"/>
      <c r="CZ584" s="1098"/>
      <c r="DA584" s="1098"/>
      <c r="DB584" s="1098"/>
      <c r="DC584" s="1098"/>
      <c r="DD584" s="1098"/>
      <c r="DE584" s="1098"/>
      <c r="DF584" s="1098"/>
      <c r="DG584" s="1098"/>
      <c r="DH584" s="1098"/>
      <c r="DI584" s="1098"/>
      <c r="DJ584" s="1098"/>
      <c r="DK584" s="1098"/>
      <c r="DL584" s="1098"/>
      <c r="DM584" s="1098"/>
      <c r="DN584" s="1098"/>
      <c r="DO584" s="1098"/>
      <c r="DP584" s="1098"/>
      <c r="DQ584" s="1098"/>
      <c r="DR584" s="1098"/>
      <c r="DS584" s="1098"/>
      <c r="DT584" s="1098"/>
      <c r="DU584" s="1098"/>
      <c r="DV584" s="1098"/>
      <c r="DW584" s="1098"/>
      <c r="DX584" s="1098"/>
      <c r="DY584" s="1098"/>
      <c r="DZ584" s="1098"/>
      <c r="EA584" s="1098"/>
      <c r="EB584" s="1098"/>
      <c r="EC584" s="1098"/>
      <c r="ED584" s="1098"/>
      <c r="EE584" s="1098"/>
      <c r="EF584" s="1098"/>
      <c r="EG584" s="1098"/>
      <c r="EH584" s="1098"/>
      <c r="EI584" s="1098"/>
      <c r="EJ584" s="1098"/>
      <c r="EK584" s="1098"/>
      <c r="EL584" s="1098"/>
      <c r="EM584" s="1098"/>
      <c r="EN584" s="1098"/>
      <c r="EO584" s="1098"/>
      <c r="EP584" s="1098"/>
      <c r="EQ584" s="1098"/>
      <c r="ER584" s="1098"/>
      <c r="ES584" s="1098"/>
      <c r="ET584" s="1098"/>
      <c r="EU584" s="1098"/>
      <c r="EV584" s="1098"/>
      <c r="EW584" s="1098"/>
      <c r="EX584" s="1098"/>
      <c r="EY584" s="1098"/>
      <c r="EZ584" s="1098"/>
      <c r="FA584" s="1098"/>
      <c r="FB584" s="1098"/>
      <c r="FC584" s="1098"/>
      <c r="FD584" s="1098"/>
      <c r="FE584" s="1098"/>
      <c r="FF584" s="1098"/>
      <c r="FG584" s="1098"/>
      <c r="FH584" s="1098"/>
      <c r="FI584" s="1098"/>
      <c r="FJ584" s="1098"/>
      <c r="FK584" s="1098"/>
      <c r="FL584" s="1098"/>
      <c r="FM584" s="1098"/>
      <c r="FN584" s="1098"/>
      <c r="FO584" s="1098"/>
      <c r="FP584" s="1098"/>
      <c r="FQ584" s="1098"/>
      <c r="FR584" s="1098"/>
      <c r="FS584" s="1098"/>
      <c r="FT584" s="1098"/>
      <c r="FU584" s="1098"/>
      <c r="FV584" s="1098"/>
      <c r="FW584" s="1098"/>
      <c r="FX584" s="1098"/>
      <c r="FY584" s="1098"/>
      <c r="FZ584" s="1098"/>
      <c r="GA584" s="1098"/>
      <c r="GB584" s="1098"/>
      <c r="GC584" s="1098"/>
      <c r="GD584" s="1098"/>
      <c r="GE584" s="1098"/>
      <c r="GF584" s="1098"/>
      <c r="GG584" s="1098"/>
      <c r="GH584" s="1098"/>
      <c r="GI584" s="1098"/>
      <c r="GJ584" s="1098"/>
      <c r="GK584" s="1098"/>
      <c r="GL584" s="1098"/>
      <c r="GM584" s="1098"/>
      <c r="GN584" s="1098"/>
      <c r="GO584" s="1098"/>
      <c r="GP584" s="1098"/>
      <c r="GQ584" s="1098"/>
      <c r="GR584" s="1098"/>
      <c r="GS584" s="1098"/>
      <c r="GT584" s="1098"/>
      <c r="GU584" s="1098"/>
      <c r="GV584" s="1098"/>
      <c r="GW584" s="1098"/>
      <c r="GX584" s="1098"/>
      <c r="GY584" s="1098"/>
      <c r="GZ584" s="1098"/>
      <c r="HA584" s="1098"/>
      <c r="HB584" s="1098"/>
      <c r="HC584" s="1098"/>
      <c r="HD584" s="1098"/>
      <c r="HE584" s="1098"/>
      <c r="HF584" s="1098"/>
      <c r="HG584" s="1098"/>
      <c r="HH584" s="1098"/>
      <c r="HI584" s="1098"/>
      <c r="HJ584" s="1098"/>
      <c r="HK584" s="1098"/>
      <c r="HL584" s="1098"/>
      <c r="HM584" s="1098"/>
      <c r="HN584" s="1098"/>
      <c r="HO584" s="1098"/>
      <c r="HP584" s="1098"/>
      <c r="HQ584" s="1098"/>
      <c r="HR584" s="1098"/>
      <c r="HS584" s="1098"/>
      <c r="HT584" s="1098"/>
      <c r="HU584" s="1098"/>
      <c r="HV584" s="1098"/>
      <c r="HW584" s="1098"/>
      <c r="HX584" s="1098"/>
      <c r="HY584" s="1098"/>
      <c r="HZ584" s="1098"/>
      <c r="IA584" s="1098"/>
      <c r="IB584" s="1098"/>
      <c r="IC584" s="1098"/>
      <c r="ID584" s="1098"/>
      <c r="IE584" s="1098"/>
      <c r="IF584" s="1098"/>
      <c r="IG584" s="1098"/>
      <c r="IH584" s="1098"/>
      <c r="II584" s="1098"/>
      <c r="IJ584" s="1098"/>
      <c r="IK584" s="1098"/>
      <c r="IL584" s="1098"/>
      <c r="IM584" s="1098"/>
      <c r="IN584" s="1098"/>
      <c r="IO584" s="1098"/>
      <c r="IP584" s="1098"/>
      <c r="IQ584" s="1098"/>
      <c r="IR584" s="1098"/>
      <c r="IS584" s="1098"/>
      <c r="IT584" s="1098"/>
      <c r="IU584" s="1098"/>
      <c r="IV584" s="1098"/>
      <c r="IW584" s="1098"/>
      <c r="IX584" s="1098"/>
      <c r="IY584" s="1098"/>
      <c r="IZ584" s="1098"/>
      <c r="JA584" s="1098"/>
      <c r="JB584" s="1098"/>
      <c r="JC584" s="1098"/>
      <c r="JD584" s="1098"/>
      <c r="JE584" s="1098"/>
      <c r="JF584" s="1098"/>
      <c r="JG584" s="1098"/>
      <c r="JH584" s="1098"/>
      <c r="JI584" s="1098"/>
      <c r="JJ584" s="1098"/>
      <c r="JK584" s="1098"/>
      <c r="JL584" s="1098"/>
      <c r="JM584" s="1098"/>
      <c r="JN584" s="1098"/>
      <c r="JO584" s="1098"/>
      <c r="JP584" s="1098"/>
      <c r="JQ584" s="1098"/>
      <c r="JR584" s="1098"/>
      <c r="JS584" s="1098"/>
      <c r="JT584" s="1098"/>
      <c r="JU584" s="1098"/>
      <c r="JV584" s="1098"/>
      <c r="JW584" s="1098"/>
      <c r="JX584" s="1098"/>
      <c r="JY584" s="1098"/>
      <c r="JZ584" s="1098"/>
      <c r="KA584" s="1098"/>
      <c r="KB584" s="1099"/>
    </row>
    <row r="585" spans="2:288" ht="15" customHeight="1" x14ac:dyDescent="0.35">
      <c r="B585" s="146" t="str">
        <f t="shared" si="46"/>
        <v>Desk 58</v>
      </c>
      <c r="C585" s="148" t="str">
        <v/>
      </c>
      <c r="D585" s="148" t="str">
        <v/>
      </c>
      <c r="E585" s="148" t="str">
        <v/>
      </c>
      <c r="F585" s="148" t="str">
        <v/>
      </c>
      <c r="G585" s="268" t="str">
        <v/>
      </c>
      <c r="H585" s="1098"/>
      <c r="I585" s="1098"/>
      <c r="J585" s="1098"/>
      <c r="K585" s="1098"/>
      <c r="L585" s="1098"/>
      <c r="M585" s="1098"/>
      <c r="N585" s="1098"/>
      <c r="O585" s="1098"/>
      <c r="P585" s="1098"/>
      <c r="Q585" s="1098"/>
      <c r="R585" s="1098"/>
      <c r="S585" s="1098"/>
      <c r="T585" s="1098"/>
      <c r="U585" s="1098"/>
      <c r="V585" s="1098"/>
      <c r="W585" s="1098"/>
      <c r="X585" s="1098"/>
      <c r="Y585" s="1098"/>
      <c r="Z585" s="1098"/>
      <c r="AA585" s="1098"/>
      <c r="AB585" s="1098"/>
      <c r="AC585" s="1098"/>
      <c r="AD585" s="1098"/>
      <c r="AE585" s="1098"/>
      <c r="AF585" s="1098"/>
      <c r="AG585" s="1098"/>
      <c r="AH585" s="1098"/>
      <c r="AI585" s="1098"/>
      <c r="AJ585" s="1098"/>
      <c r="AK585" s="1098"/>
      <c r="AL585" s="1098"/>
      <c r="AM585" s="1098"/>
      <c r="AN585" s="1098"/>
      <c r="AO585" s="1098"/>
      <c r="AP585" s="1098"/>
      <c r="AQ585" s="1098"/>
      <c r="AR585" s="1098"/>
      <c r="AS585" s="1098"/>
      <c r="AT585" s="1098"/>
      <c r="AU585" s="1098"/>
      <c r="AV585" s="1098"/>
      <c r="AW585" s="1098"/>
      <c r="AX585" s="1098"/>
      <c r="AY585" s="1098"/>
      <c r="AZ585" s="1098"/>
      <c r="BA585" s="1098"/>
      <c r="BB585" s="1098"/>
      <c r="BC585" s="1098"/>
      <c r="BD585" s="1098"/>
      <c r="BE585" s="1098"/>
      <c r="BF585" s="1098"/>
      <c r="BG585" s="1098"/>
      <c r="BH585" s="1098"/>
      <c r="BI585" s="1098"/>
      <c r="BJ585" s="1098"/>
      <c r="BK585" s="1098"/>
      <c r="BL585" s="1098"/>
      <c r="BM585" s="1098"/>
      <c r="BN585" s="1098"/>
      <c r="BO585" s="1098"/>
      <c r="BP585" s="1098"/>
      <c r="BQ585" s="1098"/>
      <c r="BR585" s="1098"/>
      <c r="BS585" s="1098"/>
      <c r="BT585" s="1098"/>
      <c r="BU585" s="1098"/>
      <c r="BV585" s="1098"/>
      <c r="BW585" s="1098"/>
      <c r="BX585" s="1098"/>
      <c r="BY585" s="1098"/>
      <c r="BZ585" s="1098"/>
      <c r="CA585" s="1098"/>
      <c r="CB585" s="1098"/>
      <c r="CC585" s="1098"/>
      <c r="CD585" s="1098"/>
      <c r="CE585" s="1098"/>
      <c r="CF585" s="1098"/>
      <c r="CG585" s="1098"/>
      <c r="CH585" s="1098"/>
      <c r="CI585" s="1098"/>
      <c r="CJ585" s="1098"/>
      <c r="CK585" s="1098"/>
      <c r="CL585" s="1098"/>
      <c r="CM585" s="1098"/>
      <c r="CN585" s="1098"/>
      <c r="CO585" s="1098"/>
      <c r="CP585" s="1098"/>
      <c r="CQ585" s="1098"/>
      <c r="CR585" s="1098"/>
      <c r="CS585" s="1098"/>
      <c r="CT585" s="1098"/>
      <c r="CU585" s="1098"/>
      <c r="CV585" s="1098"/>
      <c r="CW585" s="1098"/>
      <c r="CX585" s="1098"/>
      <c r="CY585" s="1098"/>
      <c r="CZ585" s="1098"/>
      <c r="DA585" s="1098"/>
      <c r="DB585" s="1098"/>
      <c r="DC585" s="1098"/>
      <c r="DD585" s="1098"/>
      <c r="DE585" s="1098"/>
      <c r="DF585" s="1098"/>
      <c r="DG585" s="1098"/>
      <c r="DH585" s="1098"/>
      <c r="DI585" s="1098"/>
      <c r="DJ585" s="1098"/>
      <c r="DK585" s="1098"/>
      <c r="DL585" s="1098"/>
      <c r="DM585" s="1098"/>
      <c r="DN585" s="1098"/>
      <c r="DO585" s="1098"/>
      <c r="DP585" s="1098"/>
      <c r="DQ585" s="1098"/>
      <c r="DR585" s="1098"/>
      <c r="DS585" s="1098"/>
      <c r="DT585" s="1098"/>
      <c r="DU585" s="1098"/>
      <c r="DV585" s="1098"/>
      <c r="DW585" s="1098"/>
      <c r="DX585" s="1098"/>
      <c r="DY585" s="1098"/>
      <c r="DZ585" s="1098"/>
      <c r="EA585" s="1098"/>
      <c r="EB585" s="1098"/>
      <c r="EC585" s="1098"/>
      <c r="ED585" s="1098"/>
      <c r="EE585" s="1098"/>
      <c r="EF585" s="1098"/>
      <c r="EG585" s="1098"/>
      <c r="EH585" s="1098"/>
      <c r="EI585" s="1098"/>
      <c r="EJ585" s="1098"/>
      <c r="EK585" s="1098"/>
      <c r="EL585" s="1098"/>
      <c r="EM585" s="1098"/>
      <c r="EN585" s="1098"/>
      <c r="EO585" s="1098"/>
      <c r="EP585" s="1098"/>
      <c r="EQ585" s="1098"/>
      <c r="ER585" s="1098"/>
      <c r="ES585" s="1098"/>
      <c r="ET585" s="1098"/>
      <c r="EU585" s="1098"/>
      <c r="EV585" s="1098"/>
      <c r="EW585" s="1098"/>
      <c r="EX585" s="1098"/>
      <c r="EY585" s="1098"/>
      <c r="EZ585" s="1098"/>
      <c r="FA585" s="1098"/>
      <c r="FB585" s="1098"/>
      <c r="FC585" s="1098"/>
      <c r="FD585" s="1098"/>
      <c r="FE585" s="1098"/>
      <c r="FF585" s="1098"/>
      <c r="FG585" s="1098"/>
      <c r="FH585" s="1098"/>
      <c r="FI585" s="1098"/>
      <c r="FJ585" s="1098"/>
      <c r="FK585" s="1098"/>
      <c r="FL585" s="1098"/>
      <c r="FM585" s="1098"/>
      <c r="FN585" s="1098"/>
      <c r="FO585" s="1098"/>
      <c r="FP585" s="1098"/>
      <c r="FQ585" s="1098"/>
      <c r="FR585" s="1098"/>
      <c r="FS585" s="1098"/>
      <c r="FT585" s="1098"/>
      <c r="FU585" s="1098"/>
      <c r="FV585" s="1098"/>
      <c r="FW585" s="1098"/>
      <c r="FX585" s="1098"/>
      <c r="FY585" s="1098"/>
      <c r="FZ585" s="1098"/>
      <c r="GA585" s="1098"/>
      <c r="GB585" s="1098"/>
      <c r="GC585" s="1098"/>
      <c r="GD585" s="1098"/>
      <c r="GE585" s="1098"/>
      <c r="GF585" s="1098"/>
      <c r="GG585" s="1098"/>
      <c r="GH585" s="1098"/>
      <c r="GI585" s="1098"/>
      <c r="GJ585" s="1098"/>
      <c r="GK585" s="1098"/>
      <c r="GL585" s="1098"/>
      <c r="GM585" s="1098"/>
      <c r="GN585" s="1098"/>
      <c r="GO585" s="1098"/>
      <c r="GP585" s="1098"/>
      <c r="GQ585" s="1098"/>
      <c r="GR585" s="1098"/>
      <c r="GS585" s="1098"/>
      <c r="GT585" s="1098"/>
      <c r="GU585" s="1098"/>
      <c r="GV585" s="1098"/>
      <c r="GW585" s="1098"/>
      <c r="GX585" s="1098"/>
      <c r="GY585" s="1098"/>
      <c r="GZ585" s="1098"/>
      <c r="HA585" s="1098"/>
      <c r="HB585" s="1098"/>
      <c r="HC585" s="1098"/>
      <c r="HD585" s="1098"/>
      <c r="HE585" s="1098"/>
      <c r="HF585" s="1098"/>
      <c r="HG585" s="1098"/>
      <c r="HH585" s="1098"/>
      <c r="HI585" s="1098"/>
      <c r="HJ585" s="1098"/>
      <c r="HK585" s="1098"/>
      <c r="HL585" s="1098"/>
      <c r="HM585" s="1098"/>
      <c r="HN585" s="1098"/>
      <c r="HO585" s="1098"/>
      <c r="HP585" s="1098"/>
      <c r="HQ585" s="1098"/>
      <c r="HR585" s="1098"/>
      <c r="HS585" s="1098"/>
      <c r="HT585" s="1098"/>
      <c r="HU585" s="1098"/>
      <c r="HV585" s="1098"/>
      <c r="HW585" s="1098"/>
      <c r="HX585" s="1098"/>
      <c r="HY585" s="1098"/>
      <c r="HZ585" s="1098"/>
      <c r="IA585" s="1098"/>
      <c r="IB585" s="1098"/>
      <c r="IC585" s="1098"/>
      <c r="ID585" s="1098"/>
      <c r="IE585" s="1098"/>
      <c r="IF585" s="1098"/>
      <c r="IG585" s="1098"/>
      <c r="IH585" s="1098"/>
      <c r="II585" s="1098"/>
      <c r="IJ585" s="1098"/>
      <c r="IK585" s="1098"/>
      <c r="IL585" s="1098"/>
      <c r="IM585" s="1098"/>
      <c r="IN585" s="1098"/>
      <c r="IO585" s="1098"/>
      <c r="IP585" s="1098"/>
      <c r="IQ585" s="1098"/>
      <c r="IR585" s="1098"/>
      <c r="IS585" s="1098"/>
      <c r="IT585" s="1098"/>
      <c r="IU585" s="1098"/>
      <c r="IV585" s="1098"/>
      <c r="IW585" s="1098"/>
      <c r="IX585" s="1098"/>
      <c r="IY585" s="1098"/>
      <c r="IZ585" s="1098"/>
      <c r="JA585" s="1098"/>
      <c r="JB585" s="1098"/>
      <c r="JC585" s="1098"/>
      <c r="JD585" s="1098"/>
      <c r="JE585" s="1098"/>
      <c r="JF585" s="1098"/>
      <c r="JG585" s="1098"/>
      <c r="JH585" s="1098"/>
      <c r="JI585" s="1098"/>
      <c r="JJ585" s="1098"/>
      <c r="JK585" s="1098"/>
      <c r="JL585" s="1098"/>
      <c r="JM585" s="1098"/>
      <c r="JN585" s="1098"/>
      <c r="JO585" s="1098"/>
      <c r="JP585" s="1098"/>
      <c r="JQ585" s="1098"/>
      <c r="JR585" s="1098"/>
      <c r="JS585" s="1098"/>
      <c r="JT585" s="1098"/>
      <c r="JU585" s="1098"/>
      <c r="JV585" s="1098"/>
      <c r="JW585" s="1098"/>
      <c r="JX585" s="1098"/>
      <c r="JY585" s="1098"/>
      <c r="JZ585" s="1098"/>
      <c r="KA585" s="1098"/>
      <c r="KB585" s="1099"/>
    </row>
    <row r="586" spans="2:288" ht="15" customHeight="1" x14ac:dyDescent="0.35">
      <c r="B586" s="146" t="str">
        <f t="shared" si="46"/>
        <v>Desk 59</v>
      </c>
      <c r="C586" s="148" t="str">
        <v/>
      </c>
      <c r="D586" s="148" t="str">
        <v/>
      </c>
      <c r="E586" s="148" t="str">
        <v/>
      </c>
      <c r="F586" s="148" t="str">
        <v/>
      </c>
      <c r="G586" s="268" t="str">
        <v/>
      </c>
      <c r="H586" s="1098"/>
      <c r="I586" s="1098"/>
      <c r="J586" s="1098"/>
      <c r="K586" s="1098"/>
      <c r="L586" s="1098"/>
      <c r="M586" s="1098"/>
      <c r="N586" s="1098"/>
      <c r="O586" s="1098"/>
      <c r="P586" s="1098"/>
      <c r="Q586" s="1098"/>
      <c r="R586" s="1098"/>
      <c r="S586" s="1098"/>
      <c r="T586" s="1098"/>
      <c r="U586" s="1098"/>
      <c r="V586" s="1098"/>
      <c r="W586" s="1098"/>
      <c r="X586" s="1098"/>
      <c r="Y586" s="1098"/>
      <c r="Z586" s="1098"/>
      <c r="AA586" s="1098"/>
      <c r="AB586" s="1098"/>
      <c r="AC586" s="1098"/>
      <c r="AD586" s="1098"/>
      <c r="AE586" s="1098"/>
      <c r="AF586" s="1098"/>
      <c r="AG586" s="1098"/>
      <c r="AH586" s="1098"/>
      <c r="AI586" s="1098"/>
      <c r="AJ586" s="1098"/>
      <c r="AK586" s="1098"/>
      <c r="AL586" s="1098"/>
      <c r="AM586" s="1098"/>
      <c r="AN586" s="1098"/>
      <c r="AO586" s="1098"/>
      <c r="AP586" s="1098"/>
      <c r="AQ586" s="1098"/>
      <c r="AR586" s="1098"/>
      <c r="AS586" s="1098"/>
      <c r="AT586" s="1098"/>
      <c r="AU586" s="1098"/>
      <c r="AV586" s="1098"/>
      <c r="AW586" s="1098"/>
      <c r="AX586" s="1098"/>
      <c r="AY586" s="1098"/>
      <c r="AZ586" s="1098"/>
      <c r="BA586" s="1098"/>
      <c r="BB586" s="1098"/>
      <c r="BC586" s="1098"/>
      <c r="BD586" s="1098"/>
      <c r="BE586" s="1098"/>
      <c r="BF586" s="1098"/>
      <c r="BG586" s="1098"/>
      <c r="BH586" s="1098"/>
      <c r="BI586" s="1098"/>
      <c r="BJ586" s="1098"/>
      <c r="BK586" s="1098"/>
      <c r="BL586" s="1098"/>
      <c r="BM586" s="1098"/>
      <c r="BN586" s="1098"/>
      <c r="BO586" s="1098"/>
      <c r="BP586" s="1098"/>
      <c r="BQ586" s="1098"/>
      <c r="BR586" s="1098"/>
      <c r="BS586" s="1098"/>
      <c r="BT586" s="1098"/>
      <c r="BU586" s="1098"/>
      <c r="BV586" s="1098"/>
      <c r="BW586" s="1098"/>
      <c r="BX586" s="1098"/>
      <c r="BY586" s="1098"/>
      <c r="BZ586" s="1098"/>
      <c r="CA586" s="1098"/>
      <c r="CB586" s="1098"/>
      <c r="CC586" s="1098"/>
      <c r="CD586" s="1098"/>
      <c r="CE586" s="1098"/>
      <c r="CF586" s="1098"/>
      <c r="CG586" s="1098"/>
      <c r="CH586" s="1098"/>
      <c r="CI586" s="1098"/>
      <c r="CJ586" s="1098"/>
      <c r="CK586" s="1098"/>
      <c r="CL586" s="1098"/>
      <c r="CM586" s="1098"/>
      <c r="CN586" s="1098"/>
      <c r="CO586" s="1098"/>
      <c r="CP586" s="1098"/>
      <c r="CQ586" s="1098"/>
      <c r="CR586" s="1098"/>
      <c r="CS586" s="1098"/>
      <c r="CT586" s="1098"/>
      <c r="CU586" s="1098"/>
      <c r="CV586" s="1098"/>
      <c r="CW586" s="1098"/>
      <c r="CX586" s="1098"/>
      <c r="CY586" s="1098"/>
      <c r="CZ586" s="1098"/>
      <c r="DA586" s="1098"/>
      <c r="DB586" s="1098"/>
      <c r="DC586" s="1098"/>
      <c r="DD586" s="1098"/>
      <c r="DE586" s="1098"/>
      <c r="DF586" s="1098"/>
      <c r="DG586" s="1098"/>
      <c r="DH586" s="1098"/>
      <c r="DI586" s="1098"/>
      <c r="DJ586" s="1098"/>
      <c r="DK586" s="1098"/>
      <c r="DL586" s="1098"/>
      <c r="DM586" s="1098"/>
      <c r="DN586" s="1098"/>
      <c r="DO586" s="1098"/>
      <c r="DP586" s="1098"/>
      <c r="DQ586" s="1098"/>
      <c r="DR586" s="1098"/>
      <c r="DS586" s="1098"/>
      <c r="DT586" s="1098"/>
      <c r="DU586" s="1098"/>
      <c r="DV586" s="1098"/>
      <c r="DW586" s="1098"/>
      <c r="DX586" s="1098"/>
      <c r="DY586" s="1098"/>
      <c r="DZ586" s="1098"/>
      <c r="EA586" s="1098"/>
      <c r="EB586" s="1098"/>
      <c r="EC586" s="1098"/>
      <c r="ED586" s="1098"/>
      <c r="EE586" s="1098"/>
      <c r="EF586" s="1098"/>
      <c r="EG586" s="1098"/>
      <c r="EH586" s="1098"/>
      <c r="EI586" s="1098"/>
      <c r="EJ586" s="1098"/>
      <c r="EK586" s="1098"/>
      <c r="EL586" s="1098"/>
      <c r="EM586" s="1098"/>
      <c r="EN586" s="1098"/>
      <c r="EO586" s="1098"/>
      <c r="EP586" s="1098"/>
      <c r="EQ586" s="1098"/>
      <c r="ER586" s="1098"/>
      <c r="ES586" s="1098"/>
      <c r="ET586" s="1098"/>
      <c r="EU586" s="1098"/>
      <c r="EV586" s="1098"/>
      <c r="EW586" s="1098"/>
      <c r="EX586" s="1098"/>
      <c r="EY586" s="1098"/>
      <c r="EZ586" s="1098"/>
      <c r="FA586" s="1098"/>
      <c r="FB586" s="1098"/>
      <c r="FC586" s="1098"/>
      <c r="FD586" s="1098"/>
      <c r="FE586" s="1098"/>
      <c r="FF586" s="1098"/>
      <c r="FG586" s="1098"/>
      <c r="FH586" s="1098"/>
      <c r="FI586" s="1098"/>
      <c r="FJ586" s="1098"/>
      <c r="FK586" s="1098"/>
      <c r="FL586" s="1098"/>
      <c r="FM586" s="1098"/>
      <c r="FN586" s="1098"/>
      <c r="FO586" s="1098"/>
      <c r="FP586" s="1098"/>
      <c r="FQ586" s="1098"/>
      <c r="FR586" s="1098"/>
      <c r="FS586" s="1098"/>
      <c r="FT586" s="1098"/>
      <c r="FU586" s="1098"/>
      <c r="FV586" s="1098"/>
      <c r="FW586" s="1098"/>
      <c r="FX586" s="1098"/>
      <c r="FY586" s="1098"/>
      <c r="FZ586" s="1098"/>
      <c r="GA586" s="1098"/>
      <c r="GB586" s="1098"/>
      <c r="GC586" s="1098"/>
      <c r="GD586" s="1098"/>
      <c r="GE586" s="1098"/>
      <c r="GF586" s="1098"/>
      <c r="GG586" s="1098"/>
      <c r="GH586" s="1098"/>
      <c r="GI586" s="1098"/>
      <c r="GJ586" s="1098"/>
      <c r="GK586" s="1098"/>
      <c r="GL586" s="1098"/>
      <c r="GM586" s="1098"/>
      <c r="GN586" s="1098"/>
      <c r="GO586" s="1098"/>
      <c r="GP586" s="1098"/>
      <c r="GQ586" s="1098"/>
      <c r="GR586" s="1098"/>
      <c r="GS586" s="1098"/>
      <c r="GT586" s="1098"/>
      <c r="GU586" s="1098"/>
      <c r="GV586" s="1098"/>
      <c r="GW586" s="1098"/>
      <c r="GX586" s="1098"/>
      <c r="GY586" s="1098"/>
      <c r="GZ586" s="1098"/>
      <c r="HA586" s="1098"/>
      <c r="HB586" s="1098"/>
      <c r="HC586" s="1098"/>
      <c r="HD586" s="1098"/>
      <c r="HE586" s="1098"/>
      <c r="HF586" s="1098"/>
      <c r="HG586" s="1098"/>
      <c r="HH586" s="1098"/>
      <c r="HI586" s="1098"/>
      <c r="HJ586" s="1098"/>
      <c r="HK586" s="1098"/>
      <c r="HL586" s="1098"/>
      <c r="HM586" s="1098"/>
      <c r="HN586" s="1098"/>
      <c r="HO586" s="1098"/>
      <c r="HP586" s="1098"/>
      <c r="HQ586" s="1098"/>
      <c r="HR586" s="1098"/>
      <c r="HS586" s="1098"/>
      <c r="HT586" s="1098"/>
      <c r="HU586" s="1098"/>
      <c r="HV586" s="1098"/>
      <c r="HW586" s="1098"/>
      <c r="HX586" s="1098"/>
      <c r="HY586" s="1098"/>
      <c r="HZ586" s="1098"/>
      <c r="IA586" s="1098"/>
      <c r="IB586" s="1098"/>
      <c r="IC586" s="1098"/>
      <c r="ID586" s="1098"/>
      <c r="IE586" s="1098"/>
      <c r="IF586" s="1098"/>
      <c r="IG586" s="1098"/>
      <c r="IH586" s="1098"/>
      <c r="II586" s="1098"/>
      <c r="IJ586" s="1098"/>
      <c r="IK586" s="1098"/>
      <c r="IL586" s="1098"/>
      <c r="IM586" s="1098"/>
      <c r="IN586" s="1098"/>
      <c r="IO586" s="1098"/>
      <c r="IP586" s="1098"/>
      <c r="IQ586" s="1098"/>
      <c r="IR586" s="1098"/>
      <c r="IS586" s="1098"/>
      <c r="IT586" s="1098"/>
      <c r="IU586" s="1098"/>
      <c r="IV586" s="1098"/>
      <c r="IW586" s="1098"/>
      <c r="IX586" s="1098"/>
      <c r="IY586" s="1098"/>
      <c r="IZ586" s="1098"/>
      <c r="JA586" s="1098"/>
      <c r="JB586" s="1098"/>
      <c r="JC586" s="1098"/>
      <c r="JD586" s="1098"/>
      <c r="JE586" s="1098"/>
      <c r="JF586" s="1098"/>
      <c r="JG586" s="1098"/>
      <c r="JH586" s="1098"/>
      <c r="JI586" s="1098"/>
      <c r="JJ586" s="1098"/>
      <c r="JK586" s="1098"/>
      <c r="JL586" s="1098"/>
      <c r="JM586" s="1098"/>
      <c r="JN586" s="1098"/>
      <c r="JO586" s="1098"/>
      <c r="JP586" s="1098"/>
      <c r="JQ586" s="1098"/>
      <c r="JR586" s="1098"/>
      <c r="JS586" s="1098"/>
      <c r="JT586" s="1098"/>
      <c r="JU586" s="1098"/>
      <c r="JV586" s="1098"/>
      <c r="JW586" s="1098"/>
      <c r="JX586" s="1098"/>
      <c r="JY586" s="1098"/>
      <c r="JZ586" s="1098"/>
      <c r="KA586" s="1098"/>
      <c r="KB586" s="1099"/>
    </row>
    <row r="587" spans="2:288" ht="15" customHeight="1" x14ac:dyDescent="0.35">
      <c r="B587" s="146" t="str">
        <f t="shared" si="46"/>
        <v>Desk 60</v>
      </c>
      <c r="C587" s="148" t="str">
        <v/>
      </c>
      <c r="D587" s="148" t="str">
        <v/>
      </c>
      <c r="E587" s="148" t="str">
        <v/>
      </c>
      <c r="F587" s="148" t="str">
        <v/>
      </c>
      <c r="G587" s="268" t="str">
        <v/>
      </c>
      <c r="H587" s="1098"/>
      <c r="I587" s="1098"/>
      <c r="J587" s="1098"/>
      <c r="K587" s="1098"/>
      <c r="L587" s="1098"/>
      <c r="M587" s="1098"/>
      <c r="N587" s="1098"/>
      <c r="O587" s="1098"/>
      <c r="P587" s="1098"/>
      <c r="Q587" s="1098"/>
      <c r="R587" s="1098"/>
      <c r="S587" s="1098"/>
      <c r="T587" s="1098"/>
      <c r="U587" s="1098"/>
      <c r="V587" s="1098"/>
      <c r="W587" s="1098"/>
      <c r="X587" s="1098"/>
      <c r="Y587" s="1098"/>
      <c r="Z587" s="1098"/>
      <c r="AA587" s="1098"/>
      <c r="AB587" s="1098"/>
      <c r="AC587" s="1098"/>
      <c r="AD587" s="1098"/>
      <c r="AE587" s="1098"/>
      <c r="AF587" s="1098"/>
      <c r="AG587" s="1098"/>
      <c r="AH587" s="1098"/>
      <c r="AI587" s="1098"/>
      <c r="AJ587" s="1098"/>
      <c r="AK587" s="1098"/>
      <c r="AL587" s="1098"/>
      <c r="AM587" s="1098"/>
      <c r="AN587" s="1098"/>
      <c r="AO587" s="1098"/>
      <c r="AP587" s="1098"/>
      <c r="AQ587" s="1098"/>
      <c r="AR587" s="1098"/>
      <c r="AS587" s="1098"/>
      <c r="AT587" s="1098"/>
      <c r="AU587" s="1098"/>
      <c r="AV587" s="1098"/>
      <c r="AW587" s="1098"/>
      <c r="AX587" s="1098"/>
      <c r="AY587" s="1098"/>
      <c r="AZ587" s="1098"/>
      <c r="BA587" s="1098"/>
      <c r="BB587" s="1098"/>
      <c r="BC587" s="1098"/>
      <c r="BD587" s="1098"/>
      <c r="BE587" s="1098"/>
      <c r="BF587" s="1098"/>
      <c r="BG587" s="1098"/>
      <c r="BH587" s="1098"/>
      <c r="BI587" s="1098"/>
      <c r="BJ587" s="1098"/>
      <c r="BK587" s="1098"/>
      <c r="BL587" s="1098"/>
      <c r="BM587" s="1098"/>
      <c r="BN587" s="1098"/>
      <c r="BO587" s="1098"/>
      <c r="BP587" s="1098"/>
      <c r="BQ587" s="1098"/>
      <c r="BR587" s="1098"/>
      <c r="BS587" s="1098"/>
      <c r="BT587" s="1098"/>
      <c r="BU587" s="1098"/>
      <c r="BV587" s="1098"/>
      <c r="BW587" s="1098"/>
      <c r="BX587" s="1098"/>
      <c r="BY587" s="1098"/>
      <c r="BZ587" s="1098"/>
      <c r="CA587" s="1098"/>
      <c r="CB587" s="1098"/>
      <c r="CC587" s="1098"/>
      <c r="CD587" s="1098"/>
      <c r="CE587" s="1098"/>
      <c r="CF587" s="1098"/>
      <c r="CG587" s="1098"/>
      <c r="CH587" s="1098"/>
      <c r="CI587" s="1098"/>
      <c r="CJ587" s="1098"/>
      <c r="CK587" s="1098"/>
      <c r="CL587" s="1098"/>
      <c r="CM587" s="1098"/>
      <c r="CN587" s="1098"/>
      <c r="CO587" s="1098"/>
      <c r="CP587" s="1098"/>
      <c r="CQ587" s="1098"/>
      <c r="CR587" s="1098"/>
      <c r="CS587" s="1098"/>
      <c r="CT587" s="1098"/>
      <c r="CU587" s="1098"/>
      <c r="CV587" s="1098"/>
      <c r="CW587" s="1098"/>
      <c r="CX587" s="1098"/>
      <c r="CY587" s="1098"/>
      <c r="CZ587" s="1098"/>
      <c r="DA587" s="1098"/>
      <c r="DB587" s="1098"/>
      <c r="DC587" s="1098"/>
      <c r="DD587" s="1098"/>
      <c r="DE587" s="1098"/>
      <c r="DF587" s="1098"/>
      <c r="DG587" s="1098"/>
      <c r="DH587" s="1098"/>
      <c r="DI587" s="1098"/>
      <c r="DJ587" s="1098"/>
      <c r="DK587" s="1098"/>
      <c r="DL587" s="1098"/>
      <c r="DM587" s="1098"/>
      <c r="DN587" s="1098"/>
      <c r="DO587" s="1098"/>
      <c r="DP587" s="1098"/>
      <c r="DQ587" s="1098"/>
      <c r="DR587" s="1098"/>
      <c r="DS587" s="1098"/>
      <c r="DT587" s="1098"/>
      <c r="DU587" s="1098"/>
      <c r="DV587" s="1098"/>
      <c r="DW587" s="1098"/>
      <c r="DX587" s="1098"/>
      <c r="DY587" s="1098"/>
      <c r="DZ587" s="1098"/>
      <c r="EA587" s="1098"/>
      <c r="EB587" s="1098"/>
      <c r="EC587" s="1098"/>
      <c r="ED587" s="1098"/>
      <c r="EE587" s="1098"/>
      <c r="EF587" s="1098"/>
      <c r="EG587" s="1098"/>
      <c r="EH587" s="1098"/>
      <c r="EI587" s="1098"/>
      <c r="EJ587" s="1098"/>
      <c r="EK587" s="1098"/>
      <c r="EL587" s="1098"/>
      <c r="EM587" s="1098"/>
      <c r="EN587" s="1098"/>
      <c r="EO587" s="1098"/>
      <c r="EP587" s="1098"/>
      <c r="EQ587" s="1098"/>
      <c r="ER587" s="1098"/>
      <c r="ES587" s="1098"/>
      <c r="ET587" s="1098"/>
      <c r="EU587" s="1098"/>
      <c r="EV587" s="1098"/>
      <c r="EW587" s="1098"/>
      <c r="EX587" s="1098"/>
      <c r="EY587" s="1098"/>
      <c r="EZ587" s="1098"/>
      <c r="FA587" s="1098"/>
      <c r="FB587" s="1098"/>
      <c r="FC587" s="1098"/>
      <c r="FD587" s="1098"/>
      <c r="FE587" s="1098"/>
      <c r="FF587" s="1098"/>
      <c r="FG587" s="1098"/>
      <c r="FH587" s="1098"/>
      <c r="FI587" s="1098"/>
      <c r="FJ587" s="1098"/>
      <c r="FK587" s="1098"/>
      <c r="FL587" s="1098"/>
      <c r="FM587" s="1098"/>
      <c r="FN587" s="1098"/>
      <c r="FO587" s="1098"/>
      <c r="FP587" s="1098"/>
      <c r="FQ587" s="1098"/>
      <c r="FR587" s="1098"/>
      <c r="FS587" s="1098"/>
      <c r="FT587" s="1098"/>
      <c r="FU587" s="1098"/>
      <c r="FV587" s="1098"/>
      <c r="FW587" s="1098"/>
      <c r="FX587" s="1098"/>
      <c r="FY587" s="1098"/>
      <c r="FZ587" s="1098"/>
      <c r="GA587" s="1098"/>
      <c r="GB587" s="1098"/>
      <c r="GC587" s="1098"/>
      <c r="GD587" s="1098"/>
      <c r="GE587" s="1098"/>
      <c r="GF587" s="1098"/>
      <c r="GG587" s="1098"/>
      <c r="GH587" s="1098"/>
      <c r="GI587" s="1098"/>
      <c r="GJ587" s="1098"/>
      <c r="GK587" s="1098"/>
      <c r="GL587" s="1098"/>
      <c r="GM587" s="1098"/>
      <c r="GN587" s="1098"/>
      <c r="GO587" s="1098"/>
      <c r="GP587" s="1098"/>
      <c r="GQ587" s="1098"/>
      <c r="GR587" s="1098"/>
      <c r="GS587" s="1098"/>
      <c r="GT587" s="1098"/>
      <c r="GU587" s="1098"/>
      <c r="GV587" s="1098"/>
      <c r="GW587" s="1098"/>
      <c r="GX587" s="1098"/>
      <c r="GY587" s="1098"/>
      <c r="GZ587" s="1098"/>
      <c r="HA587" s="1098"/>
      <c r="HB587" s="1098"/>
      <c r="HC587" s="1098"/>
      <c r="HD587" s="1098"/>
      <c r="HE587" s="1098"/>
      <c r="HF587" s="1098"/>
      <c r="HG587" s="1098"/>
      <c r="HH587" s="1098"/>
      <c r="HI587" s="1098"/>
      <c r="HJ587" s="1098"/>
      <c r="HK587" s="1098"/>
      <c r="HL587" s="1098"/>
      <c r="HM587" s="1098"/>
      <c r="HN587" s="1098"/>
      <c r="HO587" s="1098"/>
      <c r="HP587" s="1098"/>
      <c r="HQ587" s="1098"/>
      <c r="HR587" s="1098"/>
      <c r="HS587" s="1098"/>
      <c r="HT587" s="1098"/>
      <c r="HU587" s="1098"/>
      <c r="HV587" s="1098"/>
      <c r="HW587" s="1098"/>
      <c r="HX587" s="1098"/>
      <c r="HY587" s="1098"/>
      <c r="HZ587" s="1098"/>
      <c r="IA587" s="1098"/>
      <c r="IB587" s="1098"/>
      <c r="IC587" s="1098"/>
      <c r="ID587" s="1098"/>
      <c r="IE587" s="1098"/>
      <c r="IF587" s="1098"/>
      <c r="IG587" s="1098"/>
      <c r="IH587" s="1098"/>
      <c r="II587" s="1098"/>
      <c r="IJ587" s="1098"/>
      <c r="IK587" s="1098"/>
      <c r="IL587" s="1098"/>
      <c r="IM587" s="1098"/>
      <c r="IN587" s="1098"/>
      <c r="IO587" s="1098"/>
      <c r="IP587" s="1098"/>
      <c r="IQ587" s="1098"/>
      <c r="IR587" s="1098"/>
      <c r="IS587" s="1098"/>
      <c r="IT587" s="1098"/>
      <c r="IU587" s="1098"/>
      <c r="IV587" s="1098"/>
      <c r="IW587" s="1098"/>
      <c r="IX587" s="1098"/>
      <c r="IY587" s="1098"/>
      <c r="IZ587" s="1098"/>
      <c r="JA587" s="1098"/>
      <c r="JB587" s="1098"/>
      <c r="JC587" s="1098"/>
      <c r="JD587" s="1098"/>
      <c r="JE587" s="1098"/>
      <c r="JF587" s="1098"/>
      <c r="JG587" s="1098"/>
      <c r="JH587" s="1098"/>
      <c r="JI587" s="1098"/>
      <c r="JJ587" s="1098"/>
      <c r="JK587" s="1098"/>
      <c r="JL587" s="1098"/>
      <c r="JM587" s="1098"/>
      <c r="JN587" s="1098"/>
      <c r="JO587" s="1098"/>
      <c r="JP587" s="1098"/>
      <c r="JQ587" s="1098"/>
      <c r="JR587" s="1098"/>
      <c r="JS587" s="1098"/>
      <c r="JT587" s="1098"/>
      <c r="JU587" s="1098"/>
      <c r="JV587" s="1098"/>
      <c r="JW587" s="1098"/>
      <c r="JX587" s="1098"/>
      <c r="JY587" s="1098"/>
      <c r="JZ587" s="1098"/>
      <c r="KA587" s="1098"/>
      <c r="KB587" s="1099"/>
    </row>
    <row r="588" spans="2:288" ht="15" customHeight="1" x14ac:dyDescent="0.35">
      <c r="B588" s="146" t="str">
        <f t="shared" si="46"/>
        <v>Desk 61</v>
      </c>
      <c r="C588" s="148" t="str">
        <v/>
      </c>
      <c r="D588" s="148" t="str">
        <v/>
      </c>
      <c r="E588" s="148" t="str">
        <v/>
      </c>
      <c r="F588" s="148" t="str">
        <v/>
      </c>
      <c r="G588" s="268" t="str">
        <v/>
      </c>
      <c r="H588" s="1098"/>
      <c r="I588" s="1098"/>
      <c r="J588" s="1098"/>
      <c r="K588" s="1098"/>
      <c r="L588" s="1098"/>
      <c r="M588" s="1098"/>
      <c r="N588" s="1098"/>
      <c r="O588" s="1098"/>
      <c r="P588" s="1098"/>
      <c r="Q588" s="1098"/>
      <c r="R588" s="1098"/>
      <c r="S588" s="1098"/>
      <c r="T588" s="1098"/>
      <c r="U588" s="1098"/>
      <c r="V588" s="1098"/>
      <c r="W588" s="1098"/>
      <c r="X588" s="1098"/>
      <c r="Y588" s="1098"/>
      <c r="Z588" s="1098"/>
      <c r="AA588" s="1098"/>
      <c r="AB588" s="1098"/>
      <c r="AC588" s="1098"/>
      <c r="AD588" s="1098"/>
      <c r="AE588" s="1098"/>
      <c r="AF588" s="1098"/>
      <c r="AG588" s="1098"/>
      <c r="AH588" s="1098"/>
      <c r="AI588" s="1098"/>
      <c r="AJ588" s="1098"/>
      <c r="AK588" s="1098"/>
      <c r="AL588" s="1098"/>
      <c r="AM588" s="1098"/>
      <c r="AN588" s="1098"/>
      <c r="AO588" s="1098"/>
      <c r="AP588" s="1098"/>
      <c r="AQ588" s="1098"/>
      <c r="AR588" s="1098"/>
      <c r="AS588" s="1098"/>
      <c r="AT588" s="1098"/>
      <c r="AU588" s="1098"/>
      <c r="AV588" s="1098"/>
      <c r="AW588" s="1098"/>
      <c r="AX588" s="1098"/>
      <c r="AY588" s="1098"/>
      <c r="AZ588" s="1098"/>
      <c r="BA588" s="1098"/>
      <c r="BB588" s="1098"/>
      <c r="BC588" s="1098"/>
      <c r="BD588" s="1098"/>
      <c r="BE588" s="1098"/>
      <c r="BF588" s="1098"/>
      <c r="BG588" s="1098"/>
      <c r="BH588" s="1098"/>
      <c r="BI588" s="1098"/>
      <c r="BJ588" s="1098"/>
      <c r="BK588" s="1098"/>
      <c r="BL588" s="1098"/>
      <c r="BM588" s="1098"/>
      <c r="BN588" s="1098"/>
      <c r="BO588" s="1098"/>
      <c r="BP588" s="1098"/>
      <c r="BQ588" s="1098"/>
      <c r="BR588" s="1098"/>
      <c r="BS588" s="1098"/>
      <c r="BT588" s="1098"/>
      <c r="BU588" s="1098"/>
      <c r="BV588" s="1098"/>
      <c r="BW588" s="1098"/>
      <c r="BX588" s="1098"/>
      <c r="BY588" s="1098"/>
      <c r="BZ588" s="1098"/>
      <c r="CA588" s="1098"/>
      <c r="CB588" s="1098"/>
      <c r="CC588" s="1098"/>
      <c r="CD588" s="1098"/>
      <c r="CE588" s="1098"/>
      <c r="CF588" s="1098"/>
      <c r="CG588" s="1098"/>
      <c r="CH588" s="1098"/>
      <c r="CI588" s="1098"/>
      <c r="CJ588" s="1098"/>
      <c r="CK588" s="1098"/>
      <c r="CL588" s="1098"/>
      <c r="CM588" s="1098"/>
      <c r="CN588" s="1098"/>
      <c r="CO588" s="1098"/>
      <c r="CP588" s="1098"/>
      <c r="CQ588" s="1098"/>
      <c r="CR588" s="1098"/>
      <c r="CS588" s="1098"/>
      <c r="CT588" s="1098"/>
      <c r="CU588" s="1098"/>
      <c r="CV588" s="1098"/>
      <c r="CW588" s="1098"/>
      <c r="CX588" s="1098"/>
      <c r="CY588" s="1098"/>
      <c r="CZ588" s="1098"/>
      <c r="DA588" s="1098"/>
      <c r="DB588" s="1098"/>
      <c r="DC588" s="1098"/>
      <c r="DD588" s="1098"/>
      <c r="DE588" s="1098"/>
      <c r="DF588" s="1098"/>
      <c r="DG588" s="1098"/>
      <c r="DH588" s="1098"/>
      <c r="DI588" s="1098"/>
      <c r="DJ588" s="1098"/>
      <c r="DK588" s="1098"/>
      <c r="DL588" s="1098"/>
      <c r="DM588" s="1098"/>
      <c r="DN588" s="1098"/>
      <c r="DO588" s="1098"/>
      <c r="DP588" s="1098"/>
      <c r="DQ588" s="1098"/>
      <c r="DR588" s="1098"/>
      <c r="DS588" s="1098"/>
      <c r="DT588" s="1098"/>
      <c r="DU588" s="1098"/>
      <c r="DV588" s="1098"/>
      <c r="DW588" s="1098"/>
      <c r="DX588" s="1098"/>
      <c r="DY588" s="1098"/>
      <c r="DZ588" s="1098"/>
      <c r="EA588" s="1098"/>
      <c r="EB588" s="1098"/>
      <c r="EC588" s="1098"/>
      <c r="ED588" s="1098"/>
      <c r="EE588" s="1098"/>
      <c r="EF588" s="1098"/>
      <c r="EG588" s="1098"/>
      <c r="EH588" s="1098"/>
      <c r="EI588" s="1098"/>
      <c r="EJ588" s="1098"/>
      <c r="EK588" s="1098"/>
      <c r="EL588" s="1098"/>
      <c r="EM588" s="1098"/>
      <c r="EN588" s="1098"/>
      <c r="EO588" s="1098"/>
      <c r="EP588" s="1098"/>
      <c r="EQ588" s="1098"/>
      <c r="ER588" s="1098"/>
      <c r="ES588" s="1098"/>
      <c r="ET588" s="1098"/>
      <c r="EU588" s="1098"/>
      <c r="EV588" s="1098"/>
      <c r="EW588" s="1098"/>
      <c r="EX588" s="1098"/>
      <c r="EY588" s="1098"/>
      <c r="EZ588" s="1098"/>
      <c r="FA588" s="1098"/>
      <c r="FB588" s="1098"/>
      <c r="FC588" s="1098"/>
      <c r="FD588" s="1098"/>
      <c r="FE588" s="1098"/>
      <c r="FF588" s="1098"/>
      <c r="FG588" s="1098"/>
      <c r="FH588" s="1098"/>
      <c r="FI588" s="1098"/>
      <c r="FJ588" s="1098"/>
      <c r="FK588" s="1098"/>
      <c r="FL588" s="1098"/>
      <c r="FM588" s="1098"/>
      <c r="FN588" s="1098"/>
      <c r="FO588" s="1098"/>
      <c r="FP588" s="1098"/>
      <c r="FQ588" s="1098"/>
      <c r="FR588" s="1098"/>
      <c r="FS588" s="1098"/>
      <c r="FT588" s="1098"/>
      <c r="FU588" s="1098"/>
      <c r="FV588" s="1098"/>
      <c r="FW588" s="1098"/>
      <c r="FX588" s="1098"/>
      <c r="FY588" s="1098"/>
      <c r="FZ588" s="1098"/>
      <c r="GA588" s="1098"/>
      <c r="GB588" s="1098"/>
      <c r="GC588" s="1098"/>
      <c r="GD588" s="1098"/>
      <c r="GE588" s="1098"/>
      <c r="GF588" s="1098"/>
      <c r="GG588" s="1098"/>
      <c r="GH588" s="1098"/>
      <c r="GI588" s="1098"/>
      <c r="GJ588" s="1098"/>
      <c r="GK588" s="1098"/>
      <c r="GL588" s="1098"/>
      <c r="GM588" s="1098"/>
      <c r="GN588" s="1098"/>
      <c r="GO588" s="1098"/>
      <c r="GP588" s="1098"/>
      <c r="GQ588" s="1098"/>
      <c r="GR588" s="1098"/>
      <c r="GS588" s="1098"/>
      <c r="GT588" s="1098"/>
      <c r="GU588" s="1098"/>
      <c r="GV588" s="1098"/>
      <c r="GW588" s="1098"/>
      <c r="GX588" s="1098"/>
      <c r="GY588" s="1098"/>
      <c r="GZ588" s="1098"/>
      <c r="HA588" s="1098"/>
      <c r="HB588" s="1098"/>
      <c r="HC588" s="1098"/>
      <c r="HD588" s="1098"/>
      <c r="HE588" s="1098"/>
      <c r="HF588" s="1098"/>
      <c r="HG588" s="1098"/>
      <c r="HH588" s="1098"/>
      <c r="HI588" s="1098"/>
      <c r="HJ588" s="1098"/>
      <c r="HK588" s="1098"/>
      <c r="HL588" s="1098"/>
      <c r="HM588" s="1098"/>
      <c r="HN588" s="1098"/>
      <c r="HO588" s="1098"/>
      <c r="HP588" s="1098"/>
      <c r="HQ588" s="1098"/>
      <c r="HR588" s="1098"/>
      <c r="HS588" s="1098"/>
      <c r="HT588" s="1098"/>
      <c r="HU588" s="1098"/>
      <c r="HV588" s="1098"/>
      <c r="HW588" s="1098"/>
      <c r="HX588" s="1098"/>
      <c r="HY588" s="1098"/>
      <c r="HZ588" s="1098"/>
      <c r="IA588" s="1098"/>
      <c r="IB588" s="1098"/>
      <c r="IC588" s="1098"/>
      <c r="ID588" s="1098"/>
      <c r="IE588" s="1098"/>
      <c r="IF588" s="1098"/>
      <c r="IG588" s="1098"/>
      <c r="IH588" s="1098"/>
      <c r="II588" s="1098"/>
      <c r="IJ588" s="1098"/>
      <c r="IK588" s="1098"/>
      <c r="IL588" s="1098"/>
      <c r="IM588" s="1098"/>
      <c r="IN588" s="1098"/>
      <c r="IO588" s="1098"/>
      <c r="IP588" s="1098"/>
      <c r="IQ588" s="1098"/>
      <c r="IR588" s="1098"/>
      <c r="IS588" s="1098"/>
      <c r="IT588" s="1098"/>
      <c r="IU588" s="1098"/>
      <c r="IV588" s="1098"/>
      <c r="IW588" s="1098"/>
      <c r="IX588" s="1098"/>
      <c r="IY588" s="1098"/>
      <c r="IZ588" s="1098"/>
      <c r="JA588" s="1098"/>
      <c r="JB588" s="1098"/>
      <c r="JC588" s="1098"/>
      <c r="JD588" s="1098"/>
      <c r="JE588" s="1098"/>
      <c r="JF588" s="1098"/>
      <c r="JG588" s="1098"/>
      <c r="JH588" s="1098"/>
      <c r="JI588" s="1098"/>
      <c r="JJ588" s="1098"/>
      <c r="JK588" s="1098"/>
      <c r="JL588" s="1098"/>
      <c r="JM588" s="1098"/>
      <c r="JN588" s="1098"/>
      <c r="JO588" s="1098"/>
      <c r="JP588" s="1098"/>
      <c r="JQ588" s="1098"/>
      <c r="JR588" s="1098"/>
      <c r="JS588" s="1098"/>
      <c r="JT588" s="1098"/>
      <c r="JU588" s="1098"/>
      <c r="JV588" s="1098"/>
      <c r="JW588" s="1098"/>
      <c r="JX588" s="1098"/>
      <c r="JY588" s="1098"/>
      <c r="JZ588" s="1098"/>
      <c r="KA588" s="1098"/>
      <c r="KB588" s="1099"/>
    </row>
    <row r="589" spans="2:288" ht="15" customHeight="1" x14ac:dyDescent="0.35">
      <c r="B589" s="146" t="str">
        <f t="shared" si="46"/>
        <v>Desk 62</v>
      </c>
      <c r="C589" s="148" t="str">
        <v/>
      </c>
      <c r="D589" s="148" t="str">
        <v/>
      </c>
      <c r="E589" s="148" t="str">
        <v/>
      </c>
      <c r="F589" s="148" t="str">
        <v/>
      </c>
      <c r="G589" s="268" t="str">
        <v/>
      </c>
      <c r="H589" s="1098"/>
      <c r="I589" s="1098"/>
      <c r="J589" s="1098"/>
      <c r="K589" s="1098"/>
      <c r="L589" s="1098"/>
      <c r="M589" s="1098"/>
      <c r="N589" s="1098"/>
      <c r="O589" s="1098"/>
      <c r="P589" s="1098"/>
      <c r="Q589" s="1098"/>
      <c r="R589" s="1098"/>
      <c r="S589" s="1098"/>
      <c r="T589" s="1098"/>
      <c r="U589" s="1098"/>
      <c r="V589" s="1098"/>
      <c r="W589" s="1098"/>
      <c r="X589" s="1098"/>
      <c r="Y589" s="1098"/>
      <c r="Z589" s="1098"/>
      <c r="AA589" s="1098"/>
      <c r="AB589" s="1098"/>
      <c r="AC589" s="1098"/>
      <c r="AD589" s="1098"/>
      <c r="AE589" s="1098"/>
      <c r="AF589" s="1098"/>
      <c r="AG589" s="1098"/>
      <c r="AH589" s="1098"/>
      <c r="AI589" s="1098"/>
      <c r="AJ589" s="1098"/>
      <c r="AK589" s="1098"/>
      <c r="AL589" s="1098"/>
      <c r="AM589" s="1098"/>
      <c r="AN589" s="1098"/>
      <c r="AO589" s="1098"/>
      <c r="AP589" s="1098"/>
      <c r="AQ589" s="1098"/>
      <c r="AR589" s="1098"/>
      <c r="AS589" s="1098"/>
      <c r="AT589" s="1098"/>
      <c r="AU589" s="1098"/>
      <c r="AV589" s="1098"/>
      <c r="AW589" s="1098"/>
      <c r="AX589" s="1098"/>
      <c r="AY589" s="1098"/>
      <c r="AZ589" s="1098"/>
      <c r="BA589" s="1098"/>
      <c r="BB589" s="1098"/>
      <c r="BC589" s="1098"/>
      <c r="BD589" s="1098"/>
      <c r="BE589" s="1098"/>
      <c r="BF589" s="1098"/>
      <c r="BG589" s="1098"/>
      <c r="BH589" s="1098"/>
      <c r="BI589" s="1098"/>
      <c r="BJ589" s="1098"/>
      <c r="BK589" s="1098"/>
      <c r="BL589" s="1098"/>
      <c r="BM589" s="1098"/>
      <c r="BN589" s="1098"/>
      <c r="BO589" s="1098"/>
      <c r="BP589" s="1098"/>
      <c r="BQ589" s="1098"/>
      <c r="BR589" s="1098"/>
      <c r="BS589" s="1098"/>
      <c r="BT589" s="1098"/>
      <c r="BU589" s="1098"/>
      <c r="BV589" s="1098"/>
      <c r="BW589" s="1098"/>
      <c r="BX589" s="1098"/>
      <c r="BY589" s="1098"/>
      <c r="BZ589" s="1098"/>
      <c r="CA589" s="1098"/>
      <c r="CB589" s="1098"/>
      <c r="CC589" s="1098"/>
      <c r="CD589" s="1098"/>
      <c r="CE589" s="1098"/>
      <c r="CF589" s="1098"/>
      <c r="CG589" s="1098"/>
      <c r="CH589" s="1098"/>
      <c r="CI589" s="1098"/>
      <c r="CJ589" s="1098"/>
      <c r="CK589" s="1098"/>
      <c r="CL589" s="1098"/>
      <c r="CM589" s="1098"/>
      <c r="CN589" s="1098"/>
      <c r="CO589" s="1098"/>
      <c r="CP589" s="1098"/>
      <c r="CQ589" s="1098"/>
      <c r="CR589" s="1098"/>
      <c r="CS589" s="1098"/>
      <c r="CT589" s="1098"/>
      <c r="CU589" s="1098"/>
      <c r="CV589" s="1098"/>
      <c r="CW589" s="1098"/>
      <c r="CX589" s="1098"/>
      <c r="CY589" s="1098"/>
      <c r="CZ589" s="1098"/>
      <c r="DA589" s="1098"/>
      <c r="DB589" s="1098"/>
      <c r="DC589" s="1098"/>
      <c r="DD589" s="1098"/>
      <c r="DE589" s="1098"/>
      <c r="DF589" s="1098"/>
      <c r="DG589" s="1098"/>
      <c r="DH589" s="1098"/>
      <c r="DI589" s="1098"/>
      <c r="DJ589" s="1098"/>
      <c r="DK589" s="1098"/>
      <c r="DL589" s="1098"/>
      <c r="DM589" s="1098"/>
      <c r="DN589" s="1098"/>
      <c r="DO589" s="1098"/>
      <c r="DP589" s="1098"/>
      <c r="DQ589" s="1098"/>
      <c r="DR589" s="1098"/>
      <c r="DS589" s="1098"/>
      <c r="DT589" s="1098"/>
      <c r="DU589" s="1098"/>
      <c r="DV589" s="1098"/>
      <c r="DW589" s="1098"/>
      <c r="DX589" s="1098"/>
      <c r="DY589" s="1098"/>
      <c r="DZ589" s="1098"/>
      <c r="EA589" s="1098"/>
      <c r="EB589" s="1098"/>
      <c r="EC589" s="1098"/>
      <c r="ED589" s="1098"/>
      <c r="EE589" s="1098"/>
      <c r="EF589" s="1098"/>
      <c r="EG589" s="1098"/>
      <c r="EH589" s="1098"/>
      <c r="EI589" s="1098"/>
      <c r="EJ589" s="1098"/>
      <c r="EK589" s="1098"/>
      <c r="EL589" s="1098"/>
      <c r="EM589" s="1098"/>
      <c r="EN589" s="1098"/>
      <c r="EO589" s="1098"/>
      <c r="EP589" s="1098"/>
      <c r="EQ589" s="1098"/>
      <c r="ER589" s="1098"/>
      <c r="ES589" s="1098"/>
      <c r="ET589" s="1098"/>
      <c r="EU589" s="1098"/>
      <c r="EV589" s="1098"/>
      <c r="EW589" s="1098"/>
      <c r="EX589" s="1098"/>
      <c r="EY589" s="1098"/>
      <c r="EZ589" s="1098"/>
      <c r="FA589" s="1098"/>
      <c r="FB589" s="1098"/>
      <c r="FC589" s="1098"/>
      <c r="FD589" s="1098"/>
      <c r="FE589" s="1098"/>
      <c r="FF589" s="1098"/>
      <c r="FG589" s="1098"/>
      <c r="FH589" s="1098"/>
      <c r="FI589" s="1098"/>
      <c r="FJ589" s="1098"/>
      <c r="FK589" s="1098"/>
      <c r="FL589" s="1098"/>
      <c r="FM589" s="1098"/>
      <c r="FN589" s="1098"/>
      <c r="FO589" s="1098"/>
      <c r="FP589" s="1098"/>
      <c r="FQ589" s="1098"/>
      <c r="FR589" s="1098"/>
      <c r="FS589" s="1098"/>
      <c r="FT589" s="1098"/>
      <c r="FU589" s="1098"/>
      <c r="FV589" s="1098"/>
      <c r="FW589" s="1098"/>
      <c r="FX589" s="1098"/>
      <c r="FY589" s="1098"/>
      <c r="FZ589" s="1098"/>
      <c r="GA589" s="1098"/>
      <c r="GB589" s="1098"/>
      <c r="GC589" s="1098"/>
      <c r="GD589" s="1098"/>
      <c r="GE589" s="1098"/>
      <c r="GF589" s="1098"/>
      <c r="GG589" s="1098"/>
      <c r="GH589" s="1098"/>
      <c r="GI589" s="1098"/>
      <c r="GJ589" s="1098"/>
      <c r="GK589" s="1098"/>
      <c r="GL589" s="1098"/>
      <c r="GM589" s="1098"/>
      <c r="GN589" s="1098"/>
      <c r="GO589" s="1098"/>
      <c r="GP589" s="1098"/>
      <c r="GQ589" s="1098"/>
      <c r="GR589" s="1098"/>
      <c r="GS589" s="1098"/>
      <c r="GT589" s="1098"/>
      <c r="GU589" s="1098"/>
      <c r="GV589" s="1098"/>
      <c r="GW589" s="1098"/>
      <c r="GX589" s="1098"/>
      <c r="GY589" s="1098"/>
      <c r="GZ589" s="1098"/>
      <c r="HA589" s="1098"/>
      <c r="HB589" s="1098"/>
      <c r="HC589" s="1098"/>
      <c r="HD589" s="1098"/>
      <c r="HE589" s="1098"/>
      <c r="HF589" s="1098"/>
      <c r="HG589" s="1098"/>
      <c r="HH589" s="1098"/>
      <c r="HI589" s="1098"/>
      <c r="HJ589" s="1098"/>
      <c r="HK589" s="1098"/>
      <c r="HL589" s="1098"/>
      <c r="HM589" s="1098"/>
      <c r="HN589" s="1098"/>
      <c r="HO589" s="1098"/>
      <c r="HP589" s="1098"/>
      <c r="HQ589" s="1098"/>
      <c r="HR589" s="1098"/>
      <c r="HS589" s="1098"/>
      <c r="HT589" s="1098"/>
      <c r="HU589" s="1098"/>
      <c r="HV589" s="1098"/>
      <c r="HW589" s="1098"/>
      <c r="HX589" s="1098"/>
      <c r="HY589" s="1098"/>
      <c r="HZ589" s="1098"/>
      <c r="IA589" s="1098"/>
      <c r="IB589" s="1098"/>
      <c r="IC589" s="1098"/>
      <c r="ID589" s="1098"/>
      <c r="IE589" s="1098"/>
      <c r="IF589" s="1098"/>
      <c r="IG589" s="1098"/>
      <c r="IH589" s="1098"/>
      <c r="II589" s="1098"/>
      <c r="IJ589" s="1098"/>
      <c r="IK589" s="1098"/>
      <c r="IL589" s="1098"/>
      <c r="IM589" s="1098"/>
      <c r="IN589" s="1098"/>
      <c r="IO589" s="1098"/>
      <c r="IP589" s="1098"/>
      <c r="IQ589" s="1098"/>
      <c r="IR589" s="1098"/>
      <c r="IS589" s="1098"/>
      <c r="IT589" s="1098"/>
      <c r="IU589" s="1098"/>
      <c r="IV589" s="1098"/>
      <c r="IW589" s="1098"/>
      <c r="IX589" s="1098"/>
      <c r="IY589" s="1098"/>
      <c r="IZ589" s="1098"/>
      <c r="JA589" s="1098"/>
      <c r="JB589" s="1098"/>
      <c r="JC589" s="1098"/>
      <c r="JD589" s="1098"/>
      <c r="JE589" s="1098"/>
      <c r="JF589" s="1098"/>
      <c r="JG589" s="1098"/>
      <c r="JH589" s="1098"/>
      <c r="JI589" s="1098"/>
      <c r="JJ589" s="1098"/>
      <c r="JK589" s="1098"/>
      <c r="JL589" s="1098"/>
      <c r="JM589" s="1098"/>
      <c r="JN589" s="1098"/>
      <c r="JO589" s="1098"/>
      <c r="JP589" s="1098"/>
      <c r="JQ589" s="1098"/>
      <c r="JR589" s="1098"/>
      <c r="JS589" s="1098"/>
      <c r="JT589" s="1098"/>
      <c r="JU589" s="1098"/>
      <c r="JV589" s="1098"/>
      <c r="JW589" s="1098"/>
      <c r="JX589" s="1098"/>
      <c r="JY589" s="1098"/>
      <c r="JZ589" s="1098"/>
      <c r="KA589" s="1098"/>
      <c r="KB589" s="1099"/>
    </row>
    <row r="590" spans="2:288" ht="15" customHeight="1" x14ac:dyDescent="0.35">
      <c r="B590" s="146" t="str">
        <f t="shared" si="46"/>
        <v>Desk 63</v>
      </c>
      <c r="C590" s="148" t="str">
        <v/>
      </c>
      <c r="D590" s="148" t="str">
        <v/>
      </c>
      <c r="E590" s="148" t="str">
        <v/>
      </c>
      <c r="F590" s="148" t="str">
        <v/>
      </c>
      <c r="G590" s="268" t="str">
        <v/>
      </c>
      <c r="H590" s="1098"/>
      <c r="I590" s="1098"/>
      <c r="J590" s="1098"/>
      <c r="K590" s="1098"/>
      <c r="L590" s="1098"/>
      <c r="M590" s="1098"/>
      <c r="N590" s="1098"/>
      <c r="O590" s="1098"/>
      <c r="P590" s="1098"/>
      <c r="Q590" s="1098"/>
      <c r="R590" s="1098"/>
      <c r="S590" s="1098"/>
      <c r="T590" s="1098"/>
      <c r="U590" s="1098"/>
      <c r="V590" s="1098"/>
      <c r="W590" s="1098"/>
      <c r="X590" s="1098"/>
      <c r="Y590" s="1098"/>
      <c r="Z590" s="1098"/>
      <c r="AA590" s="1098"/>
      <c r="AB590" s="1098"/>
      <c r="AC590" s="1098"/>
      <c r="AD590" s="1098"/>
      <c r="AE590" s="1098"/>
      <c r="AF590" s="1098"/>
      <c r="AG590" s="1098"/>
      <c r="AH590" s="1098"/>
      <c r="AI590" s="1098"/>
      <c r="AJ590" s="1098"/>
      <c r="AK590" s="1098"/>
      <c r="AL590" s="1098"/>
      <c r="AM590" s="1098"/>
      <c r="AN590" s="1098"/>
      <c r="AO590" s="1098"/>
      <c r="AP590" s="1098"/>
      <c r="AQ590" s="1098"/>
      <c r="AR590" s="1098"/>
      <c r="AS590" s="1098"/>
      <c r="AT590" s="1098"/>
      <c r="AU590" s="1098"/>
      <c r="AV590" s="1098"/>
      <c r="AW590" s="1098"/>
      <c r="AX590" s="1098"/>
      <c r="AY590" s="1098"/>
      <c r="AZ590" s="1098"/>
      <c r="BA590" s="1098"/>
      <c r="BB590" s="1098"/>
      <c r="BC590" s="1098"/>
      <c r="BD590" s="1098"/>
      <c r="BE590" s="1098"/>
      <c r="BF590" s="1098"/>
      <c r="BG590" s="1098"/>
      <c r="BH590" s="1098"/>
      <c r="BI590" s="1098"/>
      <c r="BJ590" s="1098"/>
      <c r="BK590" s="1098"/>
      <c r="BL590" s="1098"/>
      <c r="BM590" s="1098"/>
      <c r="BN590" s="1098"/>
      <c r="BO590" s="1098"/>
      <c r="BP590" s="1098"/>
      <c r="BQ590" s="1098"/>
      <c r="BR590" s="1098"/>
      <c r="BS590" s="1098"/>
      <c r="BT590" s="1098"/>
      <c r="BU590" s="1098"/>
      <c r="BV590" s="1098"/>
      <c r="BW590" s="1098"/>
      <c r="BX590" s="1098"/>
      <c r="BY590" s="1098"/>
      <c r="BZ590" s="1098"/>
      <c r="CA590" s="1098"/>
      <c r="CB590" s="1098"/>
      <c r="CC590" s="1098"/>
      <c r="CD590" s="1098"/>
      <c r="CE590" s="1098"/>
      <c r="CF590" s="1098"/>
      <c r="CG590" s="1098"/>
      <c r="CH590" s="1098"/>
      <c r="CI590" s="1098"/>
      <c r="CJ590" s="1098"/>
      <c r="CK590" s="1098"/>
      <c r="CL590" s="1098"/>
      <c r="CM590" s="1098"/>
      <c r="CN590" s="1098"/>
      <c r="CO590" s="1098"/>
      <c r="CP590" s="1098"/>
      <c r="CQ590" s="1098"/>
      <c r="CR590" s="1098"/>
      <c r="CS590" s="1098"/>
      <c r="CT590" s="1098"/>
      <c r="CU590" s="1098"/>
      <c r="CV590" s="1098"/>
      <c r="CW590" s="1098"/>
      <c r="CX590" s="1098"/>
      <c r="CY590" s="1098"/>
      <c r="CZ590" s="1098"/>
      <c r="DA590" s="1098"/>
      <c r="DB590" s="1098"/>
      <c r="DC590" s="1098"/>
      <c r="DD590" s="1098"/>
      <c r="DE590" s="1098"/>
      <c r="DF590" s="1098"/>
      <c r="DG590" s="1098"/>
      <c r="DH590" s="1098"/>
      <c r="DI590" s="1098"/>
      <c r="DJ590" s="1098"/>
      <c r="DK590" s="1098"/>
      <c r="DL590" s="1098"/>
      <c r="DM590" s="1098"/>
      <c r="DN590" s="1098"/>
      <c r="DO590" s="1098"/>
      <c r="DP590" s="1098"/>
      <c r="DQ590" s="1098"/>
      <c r="DR590" s="1098"/>
      <c r="DS590" s="1098"/>
      <c r="DT590" s="1098"/>
      <c r="DU590" s="1098"/>
      <c r="DV590" s="1098"/>
      <c r="DW590" s="1098"/>
      <c r="DX590" s="1098"/>
      <c r="DY590" s="1098"/>
      <c r="DZ590" s="1098"/>
      <c r="EA590" s="1098"/>
      <c r="EB590" s="1098"/>
      <c r="EC590" s="1098"/>
      <c r="ED590" s="1098"/>
      <c r="EE590" s="1098"/>
      <c r="EF590" s="1098"/>
      <c r="EG590" s="1098"/>
      <c r="EH590" s="1098"/>
      <c r="EI590" s="1098"/>
      <c r="EJ590" s="1098"/>
      <c r="EK590" s="1098"/>
      <c r="EL590" s="1098"/>
      <c r="EM590" s="1098"/>
      <c r="EN590" s="1098"/>
      <c r="EO590" s="1098"/>
      <c r="EP590" s="1098"/>
      <c r="EQ590" s="1098"/>
      <c r="ER590" s="1098"/>
      <c r="ES590" s="1098"/>
      <c r="ET590" s="1098"/>
      <c r="EU590" s="1098"/>
      <c r="EV590" s="1098"/>
      <c r="EW590" s="1098"/>
      <c r="EX590" s="1098"/>
      <c r="EY590" s="1098"/>
      <c r="EZ590" s="1098"/>
      <c r="FA590" s="1098"/>
      <c r="FB590" s="1098"/>
      <c r="FC590" s="1098"/>
      <c r="FD590" s="1098"/>
      <c r="FE590" s="1098"/>
      <c r="FF590" s="1098"/>
      <c r="FG590" s="1098"/>
      <c r="FH590" s="1098"/>
      <c r="FI590" s="1098"/>
      <c r="FJ590" s="1098"/>
      <c r="FK590" s="1098"/>
      <c r="FL590" s="1098"/>
      <c r="FM590" s="1098"/>
      <c r="FN590" s="1098"/>
      <c r="FO590" s="1098"/>
      <c r="FP590" s="1098"/>
      <c r="FQ590" s="1098"/>
      <c r="FR590" s="1098"/>
      <c r="FS590" s="1098"/>
      <c r="FT590" s="1098"/>
      <c r="FU590" s="1098"/>
      <c r="FV590" s="1098"/>
      <c r="FW590" s="1098"/>
      <c r="FX590" s="1098"/>
      <c r="FY590" s="1098"/>
      <c r="FZ590" s="1098"/>
      <c r="GA590" s="1098"/>
      <c r="GB590" s="1098"/>
      <c r="GC590" s="1098"/>
      <c r="GD590" s="1098"/>
      <c r="GE590" s="1098"/>
      <c r="GF590" s="1098"/>
      <c r="GG590" s="1098"/>
      <c r="GH590" s="1098"/>
      <c r="GI590" s="1098"/>
      <c r="GJ590" s="1098"/>
      <c r="GK590" s="1098"/>
      <c r="GL590" s="1098"/>
      <c r="GM590" s="1098"/>
      <c r="GN590" s="1098"/>
      <c r="GO590" s="1098"/>
      <c r="GP590" s="1098"/>
      <c r="GQ590" s="1098"/>
      <c r="GR590" s="1098"/>
      <c r="GS590" s="1098"/>
      <c r="GT590" s="1098"/>
      <c r="GU590" s="1098"/>
      <c r="GV590" s="1098"/>
      <c r="GW590" s="1098"/>
      <c r="GX590" s="1098"/>
      <c r="GY590" s="1098"/>
      <c r="GZ590" s="1098"/>
      <c r="HA590" s="1098"/>
      <c r="HB590" s="1098"/>
      <c r="HC590" s="1098"/>
      <c r="HD590" s="1098"/>
      <c r="HE590" s="1098"/>
      <c r="HF590" s="1098"/>
      <c r="HG590" s="1098"/>
      <c r="HH590" s="1098"/>
      <c r="HI590" s="1098"/>
      <c r="HJ590" s="1098"/>
      <c r="HK590" s="1098"/>
      <c r="HL590" s="1098"/>
      <c r="HM590" s="1098"/>
      <c r="HN590" s="1098"/>
      <c r="HO590" s="1098"/>
      <c r="HP590" s="1098"/>
      <c r="HQ590" s="1098"/>
      <c r="HR590" s="1098"/>
      <c r="HS590" s="1098"/>
      <c r="HT590" s="1098"/>
      <c r="HU590" s="1098"/>
      <c r="HV590" s="1098"/>
      <c r="HW590" s="1098"/>
      <c r="HX590" s="1098"/>
      <c r="HY590" s="1098"/>
      <c r="HZ590" s="1098"/>
      <c r="IA590" s="1098"/>
      <c r="IB590" s="1098"/>
      <c r="IC590" s="1098"/>
      <c r="ID590" s="1098"/>
      <c r="IE590" s="1098"/>
      <c r="IF590" s="1098"/>
      <c r="IG590" s="1098"/>
      <c r="IH590" s="1098"/>
      <c r="II590" s="1098"/>
      <c r="IJ590" s="1098"/>
      <c r="IK590" s="1098"/>
      <c r="IL590" s="1098"/>
      <c r="IM590" s="1098"/>
      <c r="IN590" s="1098"/>
      <c r="IO590" s="1098"/>
      <c r="IP590" s="1098"/>
      <c r="IQ590" s="1098"/>
      <c r="IR590" s="1098"/>
      <c r="IS590" s="1098"/>
      <c r="IT590" s="1098"/>
      <c r="IU590" s="1098"/>
      <c r="IV590" s="1098"/>
      <c r="IW590" s="1098"/>
      <c r="IX590" s="1098"/>
      <c r="IY590" s="1098"/>
      <c r="IZ590" s="1098"/>
      <c r="JA590" s="1098"/>
      <c r="JB590" s="1098"/>
      <c r="JC590" s="1098"/>
      <c r="JD590" s="1098"/>
      <c r="JE590" s="1098"/>
      <c r="JF590" s="1098"/>
      <c r="JG590" s="1098"/>
      <c r="JH590" s="1098"/>
      <c r="JI590" s="1098"/>
      <c r="JJ590" s="1098"/>
      <c r="JK590" s="1098"/>
      <c r="JL590" s="1098"/>
      <c r="JM590" s="1098"/>
      <c r="JN590" s="1098"/>
      <c r="JO590" s="1098"/>
      <c r="JP590" s="1098"/>
      <c r="JQ590" s="1098"/>
      <c r="JR590" s="1098"/>
      <c r="JS590" s="1098"/>
      <c r="JT590" s="1098"/>
      <c r="JU590" s="1098"/>
      <c r="JV590" s="1098"/>
      <c r="JW590" s="1098"/>
      <c r="JX590" s="1098"/>
      <c r="JY590" s="1098"/>
      <c r="JZ590" s="1098"/>
      <c r="KA590" s="1098"/>
      <c r="KB590" s="1099"/>
    </row>
    <row r="591" spans="2:288" ht="15" customHeight="1" x14ac:dyDescent="0.35">
      <c r="B591" s="146" t="str">
        <f t="shared" si="46"/>
        <v>Desk 64</v>
      </c>
      <c r="C591" s="148" t="str">
        <v/>
      </c>
      <c r="D591" s="148" t="str">
        <v/>
      </c>
      <c r="E591" s="148" t="str">
        <v/>
      </c>
      <c r="F591" s="148" t="str">
        <v/>
      </c>
      <c r="G591" s="268" t="str">
        <v/>
      </c>
      <c r="H591" s="1098"/>
      <c r="I591" s="1098"/>
      <c r="J591" s="1098"/>
      <c r="K591" s="1098"/>
      <c r="L591" s="1098"/>
      <c r="M591" s="1098"/>
      <c r="N591" s="1098"/>
      <c r="O591" s="1098"/>
      <c r="P591" s="1098"/>
      <c r="Q591" s="1098"/>
      <c r="R591" s="1098"/>
      <c r="S591" s="1098"/>
      <c r="T591" s="1098"/>
      <c r="U591" s="1098"/>
      <c r="V591" s="1098"/>
      <c r="W591" s="1098"/>
      <c r="X591" s="1098"/>
      <c r="Y591" s="1098"/>
      <c r="Z591" s="1098"/>
      <c r="AA591" s="1098"/>
      <c r="AB591" s="1098"/>
      <c r="AC591" s="1098"/>
      <c r="AD591" s="1098"/>
      <c r="AE591" s="1098"/>
      <c r="AF591" s="1098"/>
      <c r="AG591" s="1098"/>
      <c r="AH591" s="1098"/>
      <c r="AI591" s="1098"/>
      <c r="AJ591" s="1098"/>
      <c r="AK591" s="1098"/>
      <c r="AL591" s="1098"/>
      <c r="AM591" s="1098"/>
      <c r="AN591" s="1098"/>
      <c r="AO591" s="1098"/>
      <c r="AP591" s="1098"/>
      <c r="AQ591" s="1098"/>
      <c r="AR591" s="1098"/>
      <c r="AS591" s="1098"/>
      <c r="AT591" s="1098"/>
      <c r="AU591" s="1098"/>
      <c r="AV591" s="1098"/>
      <c r="AW591" s="1098"/>
      <c r="AX591" s="1098"/>
      <c r="AY591" s="1098"/>
      <c r="AZ591" s="1098"/>
      <c r="BA591" s="1098"/>
      <c r="BB591" s="1098"/>
      <c r="BC591" s="1098"/>
      <c r="BD591" s="1098"/>
      <c r="BE591" s="1098"/>
      <c r="BF591" s="1098"/>
      <c r="BG591" s="1098"/>
      <c r="BH591" s="1098"/>
      <c r="BI591" s="1098"/>
      <c r="BJ591" s="1098"/>
      <c r="BK591" s="1098"/>
      <c r="BL591" s="1098"/>
      <c r="BM591" s="1098"/>
      <c r="BN591" s="1098"/>
      <c r="BO591" s="1098"/>
      <c r="BP591" s="1098"/>
      <c r="BQ591" s="1098"/>
      <c r="BR591" s="1098"/>
      <c r="BS591" s="1098"/>
      <c r="BT591" s="1098"/>
      <c r="BU591" s="1098"/>
      <c r="BV591" s="1098"/>
      <c r="BW591" s="1098"/>
      <c r="BX591" s="1098"/>
      <c r="BY591" s="1098"/>
      <c r="BZ591" s="1098"/>
      <c r="CA591" s="1098"/>
      <c r="CB591" s="1098"/>
      <c r="CC591" s="1098"/>
      <c r="CD591" s="1098"/>
      <c r="CE591" s="1098"/>
      <c r="CF591" s="1098"/>
      <c r="CG591" s="1098"/>
      <c r="CH591" s="1098"/>
      <c r="CI591" s="1098"/>
      <c r="CJ591" s="1098"/>
      <c r="CK591" s="1098"/>
      <c r="CL591" s="1098"/>
      <c r="CM591" s="1098"/>
      <c r="CN591" s="1098"/>
      <c r="CO591" s="1098"/>
      <c r="CP591" s="1098"/>
      <c r="CQ591" s="1098"/>
      <c r="CR591" s="1098"/>
      <c r="CS591" s="1098"/>
      <c r="CT591" s="1098"/>
      <c r="CU591" s="1098"/>
      <c r="CV591" s="1098"/>
      <c r="CW591" s="1098"/>
      <c r="CX591" s="1098"/>
      <c r="CY591" s="1098"/>
      <c r="CZ591" s="1098"/>
      <c r="DA591" s="1098"/>
      <c r="DB591" s="1098"/>
      <c r="DC591" s="1098"/>
      <c r="DD591" s="1098"/>
      <c r="DE591" s="1098"/>
      <c r="DF591" s="1098"/>
      <c r="DG591" s="1098"/>
      <c r="DH591" s="1098"/>
      <c r="DI591" s="1098"/>
      <c r="DJ591" s="1098"/>
      <c r="DK591" s="1098"/>
      <c r="DL591" s="1098"/>
      <c r="DM591" s="1098"/>
      <c r="DN591" s="1098"/>
      <c r="DO591" s="1098"/>
      <c r="DP591" s="1098"/>
      <c r="DQ591" s="1098"/>
      <c r="DR591" s="1098"/>
      <c r="DS591" s="1098"/>
      <c r="DT591" s="1098"/>
      <c r="DU591" s="1098"/>
      <c r="DV591" s="1098"/>
      <c r="DW591" s="1098"/>
      <c r="DX591" s="1098"/>
      <c r="DY591" s="1098"/>
      <c r="DZ591" s="1098"/>
      <c r="EA591" s="1098"/>
      <c r="EB591" s="1098"/>
      <c r="EC591" s="1098"/>
      <c r="ED591" s="1098"/>
      <c r="EE591" s="1098"/>
      <c r="EF591" s="1098"/>
      <c r="EG591" s="1098"/>
      <c r="EH591" s="1098"/>
      <c r="EI591" s="1098"/>
      <c r="EJ591" s="1098"/>
      <c r="EK591" s="1098"/>
      <c r="EL591" s="1098"/>
      <c r="EM591" s="1098"/>
      <c r="EN591" s="1098"/>
      <c r="EO591" s="1098"/>
      <c r="EP591" s="1098"/>
      <c r="EQ591" s="1098"/>
      <c r="ER591" s="1098"/>
      <c r="ES591" s="1098"/>
      <c r="ET591" s="1098"/>
      <c r="EU591" s="1098"/>
      <c r="EV591" s="1098"/>
      <c r="EW591" s="1098"/>
      <c r="EX591" s="1098"/>
      <c r="EY591" s="1098"/>
      <c r="EZ591" s="1098"/>
      <c r="FA591" s="1098"/>
      <c r="FB591" s="1098"/>
      <c r="FC591" s="1098"/>
      <c r="FD591" s="1098"/>
      <c r="FE591" s="1098"/>
      <c r="FF591" s="1098"/>
      <c r="FG591" s="1098"/>
      <c r="FH591" s="1098"/>
      <c r="FI591" s="1098"/>
      <c r="FJ591" s="1098"/>
      <c r="FK591" s="1098"/>
      <c r="FL591" s="1098"/>
      <c r="FM591" s="1098"/>
      <c r="FN591" s="1098"/>
      <c r="FO591" s="1098"/>
      <c r="FP591" s="1098"/>
      <c r="FQ591" s="1098"/>
      <c r="FR591" s="1098"/>
      <c r="FS591" s="1098"/>
      <c r="FT591" s="1098"/>
      <c r="FU591" s="1098"/>
      <c r="FV591" s="1098"/>
      <c r="FW591" s="1098"/>
      <c r="FX591" s="1098"/>
      <c r="FY591" s="1098"/>
      <c r="FZ591" s="1098"/>
      <c r="GA591" s="1098"/>
      <c r="GB591" s="1098"/>
      <c r="GC591" s="1098"/>
      <c r="GD591" s="1098"/>
      <c r="GE591" s="1098"/>
      <c r="GF591" s="1098"/>
      <c r="GG591" s="1098"/>
      <c r="GH591" s="1098"/>
      <c r="GI591" s="1098"/>
      <c r="GJ591" s="1098"/>
      <c r="GK591" s="1098"/>
      <c r="GL591" s="1098"/>
      <c r="GM591" s="1098"/>
      <c r="GN591" s="1098"/>
      <c r="GO591" s="1098"/>
      <c r="GP591" s="1098"/>
      <c r="GQ591" s="1098"/>
      <c r="GR591" s="1098"/>
      <c r="GS591" s="1098"/>
      <c r="GT591" s="1098"/>
      <c r="GU591" s="1098"/>
      <c r="GV591" s="1098"/>
      <c r="GW591" s="1098"/>
      <c r="GX591" s="1098"/>
      <c r="GY591" s="1098"/>
      <c r="GZ591" s="1098"/>
      <c r="HA591" s="1098"/>
      <c r="HB591" s="1098"/>
      <c r="HC591" s="1098"/>
      <c r="HD591" s="1098"/>
      <c r="HE591" s="1098"/>
      <c r="HF591" s="1098"/>
      <c r="HG591" s="1098"/>
      <c r="HH591" s="1098"/>
      <c r="HI591" s="1098"/>
      <c r="HJ591" s="1098"/>
      <c r="HK591" s="1098"/>
      <c r="HL591" s="1098"/>
      <c r="HM591" s="1098"/>
      <c r="HN591" s="1098"/>
      <c r="HO591" s="1098"/>
      <c r="HP591" s="1098"/>
      <c r="HQ591" s="1098"/>
      <c r="HR591" s="1098"/>
      <c r="HS591" s="1098"/>
      <c r="HT591" s="1098"/>
      <c r="HU591" s="1098"/>
      <c r="HV591" s="1098"/>
      <c r="HW591" s="1098"/>
      <c r="HX591" s="1098"/>
      <c r="HY591" s="1098"/>
      <c r="HZ591" s="1098"/>
      <c r="IA591" s="1098"/>
      <c r="IB591" s="1098"/>
      <c r="IC591" s="1098"/>
      <c r="ID591" s="1098"/>
      <c r="IE591" s="1098"/>
      <c r="IF591" s="1098"/>
      <c r="IG591" s="1098"/>
      <c r="IH591" s="1098"/>
      <c r="II591" s="1098"/>
      <c r="IJ591" s="1098"/>
      <c r="IK591" s="1098"/>
      <c r="IL591" s="1098"/>
      <c r="IM591" s="1098"/>
      <c r="IN591" s="1098"/>
      <c r="IO591" s="1098"/>
      <c r="IP591" s="1098"/>
      <c r="IQ591" s="1098"/>
      <c r="IR591" s="1098"/>
      <c r="IS591" s="1098"/>
      <c r="IT591" s="1098"/>
      <c r="IU591" s="1098"/>
      <c r="IV591" s="1098"/>
      <c r="IW591" s="1098"/>
      <c r="IX591" s="1098"/>
      <c r="IY591" s="1098"/>
      <c r="IZ591" s="1098"/>
      <c r="JA591" s="1098"/>
      <c r="JB591" s="1098"/>
      <c r="JC591" s="1098"/>
      <c r="JD591" s="1098"/>
      <c r="JE591" s="1098"/>
      <c r="JF591" s="1098"/>
      <c r="JG591" s="1098"/>
      <c r="JH591" s="1098"/>
      <c r="JI591" s="1098"/>
      <c r="JJ591" s="1098"/>
      <c r="JK591" s="1098"/>
      <c r="JL591" s="1098"/>
      <c r="JM591" s="1098"/>
      <c r="JN591" s="1098"/>
      <c r="JO591" s="1098"/>
      <c r="JP591" s="1098"/>
      <c r="JQ591" s="1098"/>
      <c r="JR591" s="1098"/>
      <c r="JS591" s="1098"/>
      <c r="JT591" s="1098"/>
      <c r="JU591" s="1098"/>
      <c r="JV591" s="1098"/>
      <c r="JW591" s="1098"/>
      <c r="JX591" s="1098"/>
      <c r="JY591" s="1098"/>
      <c r="JZ591" s="1098"/>
      <c r="KA591" s="1098"/>
      <c r="KB591" s="1099"/>
    </row>
    <row r="592" spans="2:288" ht="15" customHeight="1" x14ac:dyDescent="0.35">
      <c r="B592" s="146" t="str">
        <f t="shared" si="46"/>
        <v>Desk 65</v>
      </c>
      <c r="C592" s="148" t="str">
        <v/>
      </c>
      <c r="D592" s="148" t="str">
        <v/>
      </c>
      <c r="E592" s="148" t="str">
        <v/>
      </c>
      <c r="F592" s="148" t="str">
        <v/>
      </c>
      <c r="G592" s="268" t="str">
        <v/>
      </c>
      <c r="H592" s="1098"/>
      <c r="I592" s="1098"/>
      <c r="J592" s="1098"/>
      <c r="K592" s="1098"/>
      <c r="L592" s="1098"/>
      <c r="M592" s="1098"/>
      <c r="N592" s="1098"/>
      <c r="O592" s="1098"/>
      <c r="P592" s="1098"/>
      <c r="Q592" s="1098"/>
      <c r="R592" s="1098"/>
      <c r="S592" s="1098"/>
      <c r="T592" s="1098"/>
      <c r="U592" s="1098"/>
      <c r="V592" s="1098"/>
      <c r="W592" s="1098"/>
      <c r="X592" s="1098"/>
      <c r="Y592" s="1098"/>
      <c r="Z592" s="1098"/>
      <c r="AA592" s="1098"/>
      <c r="AB592" s="1098"/>
      <c r="AC592" s="1098"/>
      <c r="AD592" s="1098"/>
      <c r="AE592" s="1098"/>
      <c r="AF592" s="1098"/>
      <c r="AG592" s="1098"/>
      <c r="AH592" s="1098"/>
      <c r="AI592" s="1098"/>
      <c r="AJ592" s="1098"/>
      <c r="AK592" s="1098"/>
      <c r="AL592" s="1098"/>
      <c r="AM592" s="1098"/>
      <c r="AN592" s="1098"/>
      <c r="AO592" s="1098"/>
      <c r="AP592" s="1098"/>
      <c r="AQ592" s="1098"/>
      <c r="AR592" s="1098"/>
      <c r="AS592" s="1098"/>
      <c r="AT592" s="1098"/>
      <c r="AU592" s="1098"/>
      <c r="AV592" s="1098"/>
      <c r="AW592" s="1098"/>
      <c r="AX592" s="1098"/>
      <c r="AY592" s="1098"/>
      <c r="AZ592" s="1098"/>
      <c r="BA592" s="1098"/>
      <c r="BB592" s="1098"/>
      <c r="BC592" s="1098"/>
      <c r="BD592" s="1098"/>
      <c r="BE592" s="1098"/>
      <c r="BF592" s="1098"/>
      <c r="BG592" s="1098"/>
      <c r="BH592" s="1098"/>
      <c r="BI592" s="1098"/>
      <c r="BJ592" s="1098"/>
      <c r="BK592" s="1098"/>
      <c r="BL592" s="1098"/>
      <c r="BM592" s="1098"/>
      <c r="BN592" s="1098"/>
      <c r="BO592" s="1098"/>
      <c r="BP592" s="1098"/>
      <c r="BQ592" s="1098"/>
      <c r="BR592" s="1098"/>
      <c r="BS592" s="1098"/>
      <c r="BT592" s="1098"/>
      <c r="BU592" s="1098"/>
      <c r="BV592" s="1098"/>
      <c r="BW592" s="1098"/>
      <c r="BX592" s="1098"/>
      <c r="BY592" s="1098"/>
      <c r="BZ592" s="1098"/>
      <c r="CA592" s="1098"/>
      <c r="CB592" s="1098"/>
      <c r="CC592" s="1098"/>
      <c r="CD592" s="1098"/>
      <c r="CE592" s="1098"/>
      <c r="CF592" s="1098"/>
      <c r="CG592" s="1098"/>
      <c r="CH592" s="1098"/>
      <c r="CI592" s="1098"/>
      <c r="CJ592" s="1098"/>
      <c r="CK592" s="1098"/>
      <c r="CL592" s="1098"/>
      <c r="CM592" s="1098"/>
      <c r="CN592" s="1098"/>
      <c r="CO592" s="1098"/>
      <c r="CP592" s="1098"/>
      <c r="CQ592" s="1098"/>
      <c r="CR592" s="1098"/>
      <c r="CS592" s="1098"/>
      <c r="CT592" s="1098"/>
      <c r="CU592" s="1098"/>
      <c r="CV592" s="1098"/>
      <c r="CW592" s="1098"/>
      <c r="CX592" s="1098"/>
      <c r="CY592" s="1098"/>
      <c r="CZ592" s="1098"/>
      <c r="DA592" s="1098"/>
      <c r="DB592" s="1098"/>
      <c r="DC592" s="1098"/>
      <c r="DD592" s="1098"/>
      <c r="DE592" s="1098"/>
      <c r="DF592" s="1098"/>
      <c r="DG592" s="1098"/>
      <c r="DH592" s="1098"/>
      <c r="DI592" s="1098"/>
      <c r="DJ592" s="1098"/>
      <c r="DK592" s="1098"/>
      <c r="DL592" s="1098"/>
      <c r="DM592" s="1098"/>
      <c r="DN592" s="1098"/>
      <c r="DO592" s="1098"/>
      <c r="DP592" s="1098"/>
      <c r="DQ592" s="1098"/>
      <c r="DR592" s="1098"/>
      <c r="DS592" s="1098"/>
      <c r="DT592" s="1098"/>
      <c r="DU592" s="1098"/>
      <c r="DV592" s="1098"/>
      <c r="DW592" s="1098"/>
      <c r="DX592" s="1098"/>
      <c r="DY592" s="1098"/>
      <c r="DZ592" s="1098"/>
      <c r="EA592" s="1098"/>
      <c r="EB592" s="1098"/>
      <c r="EC592" s="1098"/>
      <c r="ED592" s="1098"/>
      <c r="EE592" s="1098"/>
      <c r="EF592" s="1098"/>
      <c r="EG592" s="1098"/>
      <c r="EH592" s="1098"/>
      <c r="EI592" s="1098"/>
      <c r="EJ592" s="1098"/>
      <c r="EK592" s="1098"/>
      <c r="EL592" s="1098"/>
      <c r="EM592" s="1098"/>
      <c r="EN592" s="1098"/>
      <c r="EO592" s="1098"/>
      <c r="EP592" s="1098"/>
      <c r="EQ592" s="1098"/>
      <c r="ER592" s="1098"/>
      <c r="ES592" s="1098"/>
      <c r="ET592" s="1098"/>
      <c r="EU592" s="1098"/>
      <c r="EV592" s="1098"/>
      <c r="EW592" s="1098"/>
      <c r="EX592" s="1098"/>
      <c r="EY592" s="1098"/>
      <c r="EZ592" s="1098"/>
      <c r="FA592" s="1098"/>
      <c r="FB592" s="1098"/>
      <c r="FC592" s="1098"/>
      <c r="FD592" s="1098"/>
      <c r="FE592" s="1098"/>
      <c r="FF592" s="1098"/>
      <c r="FG592" s="1098"/>
      <c r="FH592" s="1098"/>
      <c r="FI592" s="1098"/>
      <c r="FJ592" s="1098"/>
      <c r="FK592" s="1098"/>
      <c r="FL592" s="1098"/>
      <c r="FM592" s="1098"/>
      <c r="FN592" s="1098"/>
      <c r="FO592" s="1098"/>
      <c r="FP592" s="1098"/>
      <c r="FQ592" s="1098"/>
      <c r="FR592" s="1098"/>
      <c r="FS592" s="1098"/>
      <c r="FT592" s="1098"/>
      <c r="FU592" s="1098"/>
      <c r="FV592" s="1098"/>
      <c r="FW592" s="1098"/>
      <c r="FX592" s="1098"/>
      <c r="FY592" s="1098"/>
      <c r="FZ592" s="1098"/>
      <c r="GA592" s="1098"/>
      <c r="GB592" s="1098"/>
      <c r="GC592" s="1098"/>
      <c r="GD592" s="1098"/>
      <c r="GE592" s="1098"/>
      <c r="GF592" s="1098"/>
      <c r="GG592" s="1098"/>
      <c r="GH592" s="1098"/>
      <c r="GI592" s="1098"/>
      <c r="GJ592" s="1098"/>
      <c r="GK592" s="1098"/>
      <c r="GL592" s="1098"/>
      <c r="GM592" s="1098"/>
      <c r="GN592" s="1098"/>
      <c r="GO592" s="1098"/>
      <c r="GP592" s="1098"/>
      <c r="GQ592" s="1098"/>
      <c r="GR592" s="1098"/>
      <c r="GS592" s="1098"/>
      <c r="GT592" s="1098"/>
      <c r="GU592" s="1098"/>
      <c r="GV592" s="1098"/>
      <c r="GW592" s="1098"/>
      <c r="GX592" s="1098"/>
      <c r="GY592" s="1098"/>
      <c r="GZ592" s="1098"/>
      <c r="HA592" s="1098"/>
      <c r="HB592" s="1098"/>
      <c r="HC592" s="1098"/>
      <c r="HD592" s="1098"/>
      <c r="HE592" s="1098"/>
      <c r="HF592" s="1098"/>
      <c r="HG592" s="1098"/>
      <c r="HH592" s="1098"/>
      <c r="HI592" s="1098"/>
      <c r="HJ592" s="1098"/>
      <c r="HK592" s="1098"/>
      <c r="HL592" s="1098"/>
      <c r="HM592" s="1098"/>
      <c r="HN592" s="1098"/>
      <c r="HO592" s="1098"/>
      <c r="HP592" s="1098"/>
      <c r="HQ592" s="1098"/>
      <c r="HR592" s="1098"/>
      <c r="HS592" s="1098"/>
      <c r="HT592" s="1098"/>
      <c r="HU592" s="1098"/>
      <c r="HV592" s="1098"/>
      <c r="HW592" s="1098"/>
      <c r="HX592" s="1098"/>
      <c r="HY592" s="1098"/>
      <c r="HZ592" s="1098"/>
      <c r="IA592" s="1098"/>
      <c r="IB592" s="1098"/>
      <c r="IC592" s="1098"/>
      <c r="ID592" s="1098"/>
      <c r="IE592" s="1098"/>
      <c r="IF592" s="1098"/>
      <c r="IG592" s="1098"/>
      <c r="IH592" s="1098"/>
      <c r="II592" s="1098"/>
      <c r="IJ592" s="1098"/>
      <c r="IK592" s="1098"/>
      <c r="IL592" s="1098"/>
      <c r="IM592" s="1098"/>
      <c r="IN592" s="1098"/>
      <c r="IO592" s="1098"/>
      <c r="IP592" s="1098"/>
      <c r="IQ592" s="1098"/>
      <c r="IR592" s="1098"/>
      <c r="IS592" s="1098"/>
      <c r="IT592" s="1098"/>
      <c r="IU592" s="1098"/>
      <c r="IV592" s="1098"/>
      <c r="IW592" s="1098"/>
      <c r="IX592" s="1098"/>
      <c r="IY592" s="1098"/>
      <c r="IZ592" s="1098"/>
      <c r="JA592" s="1098"/>
      <c r="JB592" s="1098"/>
      <c r="JC592" s="1098"/>
      <c r="JD592" s="1098"/>
      <c r="JE592" s="1098"/>
      <c r="JF592" s="1098"/>
      <c r="JG592" s="1098"/>
      <c r="JH592" s="1098"/>
      <c r="JI592" s="1098"/>
      <c r="JJ592" s="1098"/>
      <c r="JK592" s="1098"/>
      <c r="JL592" s="1098"/>
      <c r="JM592" s="1098"/>
      <c r="JN592" s="1098"/>
      <c r="JO592" s="1098"/>
      <c r="JP592" s="1098"/>
      <c r="JQ592" s="1098"/>
      <c r="JR592" s="1098"/>
      <c r="JS592" s="1098"/>
      <c r="JT592" s="1098"/>
      <c r="JU592" s="1098"/>
      <c r="JV592" s="1098"/>
      <c r="JW592" s="1098"/>
      <c r="JX592" s="1098"/>
      <c r="JY592" s="1098"/>
      <c r="JZ592" s="1098"/>
      <c r="KA592" s="1098"/>
      <c r="KB592" s="1099"/>
    </row>
    <row r="593" spans="2:288" ht="15" customHeight="1" x14ac:dyDescent="0.35">
      <c r="B593" s="146" t="str">
        <f t="shared" ref="B593:B624" si="47">B179</f>
        <v>Desk 66</v>
      </c>
      <c r="C593" s="148" t="str">
        <v/>
      </c>
      <c r="D593" s="148" t="str">
        <v/>
      </c>
      <c r="E593" s="148" t="str">
        <v/>
      </c>
      <c r="F593" s="148" t="str">
        <v/>
      </c>
      <c r="G593" s="268" t="str">
        <v/>
      </c>
      <c r="H593" s="1098"/>
      <c r="I593" s="1098"/>
      <c r="J593" s="1098"/>
      <c r="K593" s="1098"/>
      <c r="L593" s="1098"/>
      <c r="M593" s="1098"/>
      <c r="N593" s="1098"/>
      <c r="O593" s="1098"/>
      <c r="P593" s="1098"/>
      <c r="Q593" s="1098"/>
      <c r="R593" s="1098"/>
      <c r="S593" s="1098"/>
      <c r="T593" s="1098"/>
      <c r="U593" s="1098"/>
      <c r="V593" s="1098"/>
      <c r="W593" s="1098"/>
      <c r="X593" s="1098"/>
      <c r="Y593" s="1098"/>
      <c r="Z593" s="1098"/>
      <c r="AA593" s="1098"/>
      <c r="AB593" s="1098"/>
      <c r="AC593" s="1098"/>
      <c r="AD593" s="1098"/>
      <c r="AE593" s="1098"/>
      <c r="AF593" s="1098"/>
      <c r="AG593" s="1098"/>
      <c r="AH593" s="1098"/>
      <c r="AI593" s="1098"/>
      <c r="AJ593" s="1098"/>
      <c r="AK593" s="1098"/>
      <c r="AL593" s="1098"/>
      <c r="AM593" s="1098"/>
      <c r="AN593" s="1098"/>
      <c r="AO593" s="1098"/>
      <c r="AP593" s="1098"/>
      <c r="AQ593" s="1098"/>
      <c r="AR593" s="1098"/>
      <c r="AS593" s="1098"/>
      <c r="AT593" s="1098"/>
      <c r="AU593" s="1098"/>
      <c r="AV593" s="1098"/>
      <c r="AW593" s="1098"/>
      <c r="AX593" s="1098"/>
      <c r="AY593" s="1098"/>
      <c r="AZ593" s="1098"/>
      <c r="BA593" s="1098"/>
      <c r="BB593" s="1098"/>
      <c r="BC593" s="1098"/>
      <c r="BD593" s="1098"/>
      <c r="BE593" s="1098"/>
      <c r="BF593" s="1098"/>
      <c r="BG593" s="1098"/>
      <c r="BH593" s="1098"/>
      <c r="BI593" s="1098"/>
      <c r="BJ593" s="1098"/>
      <c r="BK593" s="1098"/>
      <c r="BL593" s="1098"/>
      <c r="BM593" s="1098"/>
      <c r="BN593" s="1098"/>
      <c r="BO593" s="1098"/>
      <c r="BP593" s="1098"/>
      <c r="BQ593" s="1098"/>
      <c r="BR593" s="1098"/>
      <c r="BS593" s="1098"/>
      <c r="BT593" s="1098"/>
      <c r="BU593" s="1098"/>
      <c r="BV593" s="1098"/>
      <c r="BW593" s="1098"/>
      <c r="BX593" s="1098"/>
      <c r="BY593" s="1098"/>
      <c r="BZ593" s="1098"/>
      <c r="CA593" s="1098"/>
      <c r="CB593" s="1098"/>
      <c r="CC593" s="1098"/>
      <c r="CD593" s="1098"/>
      <c r="CE593" s="1098"/>
      <c r="CF593" s="1098"/>
      <c r="CG593" s="1098"/>
      <c r="CH593" s="1098"/>
      <c r="CI593" s="1098"/>
      <c r="CJ593" s="1098"/>
      <c r="CK593" s="1098"/>
      <c r="CL593" s="1098"/>
      <c r="CM593" s="1098"/>
      <c r="CN593" s="1098"/>
      <c r="CO593" s="1098"/>
      <c r="CP593" s="1098"/>
      <c r="CQ593" s="1098"/>
      <c r="CR593" s="1098"/>
      <c r="CS593" s="1098"/>
      <c r="CT593" s="1098"/>
      <c r="CU593" s="1098"/>
      <c r="CV593" s="1098"/>
      <c r="CW593" s="1098"/>
      <c r="CX593" s="1098"/>
      <c r="CY593" s="1098"/>
      <c r="CZ593" s="1098"/>
      <c r="DA593" s="1098"/>
      <c r="DB593" s="1098"/>
      <c r="DC593" s="1098"/>
      <c r="DD593" s="1098"/>
      <c r="DE593" s="1098"/>
      <c r="DF593" s="1098"/>
      <c r="DG593" s="1098"/>
      <c r="DH593" s="1098"/>
      <c r="DI593" s="1098"/>
      <c r="DJ593" s="1098"/>
      <c r="DK593" s="1098"/>
      <c r="DL593" s="1098"/>
      <c r="DM593" s="1098"/>
      <c r="DN593" s="1098"/>
      <c r="DO593" s="1098"/>
      <c r="DP593" s="1098"/>
      <c r="DQ593" s="1098"/>
      <c r="DR593" s="1098"/>
      <c r="DS593" s="1098"/>
      <c r="DT593" s="1098"/>
      <c r="DU593" s="1098"/>
      <c r="DV593" s="1098"/>
      <c r="DW593" s="1098"/>
      <c r="DX593" s="1098"/>
      <c r="DY593" s="1098"/>
      <c r="DZ593" s="1098"/>
      <c r="EA593" s="1098"/>
      <c r="EB593" s="1098"/>
      <c r="EC593" s="1098"/>
      <c r="ED593" s="1098"/>
      <c r="EE593" s="1098"/>
      <c r="EF593" s="1098"/>
      <c r="EG593" s="1098"/>
      <c r="EH593" s="1098"/>
      <c r="EI593" s="1098"/>
      <c r="EJ593" s="1098"/>
      <c r="EK593" s="1098"/>
      <c r="EL593" s="1098"/>
      <c r="EM593" s="1098"/>
      <c r="EN593" s="1098"/>
      <c r="EO593" s="1098"/>
      <c r="EP593" s="1098"/>
      <c r="EQ593" s="1098"/>
      <c r="ER593" s="1098"/>
      <c r="ES593" s="1098"/>
      <c r="ET593" s="1098"/>
      <c r="EU593" s="1098"/>
      <c r="EV593" s="1098"/>
      <c r="EW593" s="1098"/>
      <c r="EX593" s="1098"/>
      <c r="EY593" s="1098"/>
      <c r="EZ593" s="1098"/>
      <c r="FA593" s="1098"/>
      <c r="FB593" s="1098"/>
      <c r="FC593" s="1098"/>
      <c r="FD593" s="1098"/>
      <c r="FE593" s="1098"/>
      <c r="FF593" s="1098"/>
      <c r="FG593" s="1098"/>
      <c r="FH593" s="1098"/>
      <c r="FI593" s="1098"/>
      <c r="FJ593" s="1098"/>
      <c r="FK593" s="1098"/>
      <c r="FL593" s="1098"/>
      <c r="FM593" s="1098"/>
      <c r="FN593" s="1098"/>
      <c r="FO593" s="1098"/>
      <c r="FP593" s="1098"/>
      <c r="FQ593" s="1098"/>
      <c r="FR593" s="1098"/>
      <c r="FS593" s="1098"/>
      <c r="FT593" s="1098"/>
      <c r="FU593" s="1098"/>
      <c r="FV593" s="1098"/>
      <c r="FW593" s="1098"/>
      <c r="FX593" s="1098"/>
      <c r="FY593" s="1098"/>
      <c r="FZ593" s="1098"/>
      <c r="GA593" s="1098"/>
      <c r="GB593" s="1098"/>
      <c r="GC593" s="1098"/>
      <c r="GD593" s="1098"/>
      <c r="GE593" s="1098"/>
      <c r="GF593" s="1098"/>
      <c r="GG593" s="1098"/>
      <c r="GH593" s="1098"/>
      <c r="GI593" s="1098"/>
      <c r="GJ593" s="1098"/>
      <c r="GK593" s="1098"/>
      <c r="GL593" s="1098"/>
      <c r="GM593" s="1098"/>
      <c r="GN593" s="1098"/>
      <c r="GO593" s="1098"/>
      <c r="GP593" s="1098"/>
      <c r="GQ593" s="1098"/>
      <c r="GR593" s="1098"/>
      <c r="GS593" s="1098"/>
      <c r="GT593" s="1098"/>
      <c r="GU593" s="1098"/>
      <c r="GV593" s="1098"/>
      <c r="GW593" s="1098"/>
      <c r="GX593" s="1098"/>
      <c r="GY593" s="1098"/>
      <c r="GZ593" s="1098"/>
      <c r="HA593" s="1098"/>
      <c r="HB593" s="1098"/>
      <c r="HC593" s="1098"/>
      <c r="HD593" s="1098"/>
      <c r="HE593" s="1098"/>
      <c r="HF593" s="1098"/>
      <c r="HG593" s="1098"/>
      <c r="HH593" s="1098"/>
      <c r="HI593" s="1098"/>
      <c r="HJ593" s="1098"/>
      <c r="HK593" s="1098"/>
      <c r="HL593" s="1098"/>
      <c r="HM593" s="1098"/>
      <c r="HN593" s="1098"/>
      <c r="HO593" s="1098"/>
      <c r="HP593" s="1098"/>
      <c r="HQ593" s="1098"/>
      <c r="HR593" s="1098"/>
      <c r="HS593" s="1098"/>
      <c r="HT593" s="1098"/>
      <c r="HU593" s="1098"/>
      <c r="HV593" s="1098"/>
      <c r="HW593" s="1098"/>
      <c r="HX593" s="1098"/>
      <c r="HY593" s="1098"/>
      <c r="HZ593" s="1098"/>
      <c r="IA593" s="1098"/>
      <c r="IB593" s="1098"/>
      <c r="IC593" s="1098"/>
      <c r="ID593" s="1098"/>
      <c r="IE593" s="1098"/>
      <c r="IF593" s="1098"/>
      <c r="IG593" s="1098"/>
      <c r="IH593" s="1098"/>
      <c r="II593" s="1098"/>
      <c r="IJ593" s="1098"/>
      <c r="IK593" s="1098"/>
      <c r="IL593" s="1098"/>
      <c r="IM593" s="1098"/>
      <c r="IN593" s="1098"/>
      <c r="IO593" s="1098"/>
      <c r="IP593" s="1098"/>
      <c r="IQ593" s="1098"/>
      <c r="IR593" s="1098"/>
      <c r="IS593" s="1098"/>
      <c r="IT593" s="1098"/>
      <c r="IU593" s="1098"/>
      <c r="IV593" s="1098"/>
      <c r="IW593" s="1098"/>
      <c r="IX593" s="1098"/>
      <c r="IY593" s="1098"/>
      <c r="IZ593" s="1098"/>
      <c r="JA593" s="1098"/>
      <c r="JB593" s="1098"/>
      <c r="JC593" s="1098"/>
      <c r="JD593" s="1098"/>
      <c r="JE593" s="1098"/>
      <c r="JF593" s="1098"/>
      <c r="JG593" s="1098"/>
      <c r="JH593" s="1098"/>
      <c r="JI593" s="1098"/>
      <c r="JJ593" s="1098"/>
      <c r="JK593" s="1098"/>
      <c r="JL593" s="1098"/>
      <c r="JM593" s="1098"/>
      <c r="JN593" s="1098"/>
      <c r="JO593" s="1098"/>
      <c r="JP593" s="1098"/>
      <c r="JQ593" s="1098"/>
      <c r="JR593" s="1098"/>
      <c r="JS593" s="1098"/>
      <c r="JT593" s="1098"/>
      <c r="JU593" s="1098"/>
      <c r="JV593" s="1098"/>
      <c r="JW593" s="1098"/>
      <c r="JX593" s="1098"/>
      <c r="JY593" s="1098"/>
      <c r="JZ593" s="1098"/>
      <c r="KA593" s="1098"/>
      <c r="KB593" s="1099"/>
    </row>
    <row r="594" spans="2:288" ht="15" customHeight="1" x14ac:dyDescent="0.35">
      <c r="B594" s="146" t="str">
        <f t="shared" si="47"/>
        <v>Desk 67</v>
      </c>
      <c r="C594" s="148" t="str">
        <v/>
      </c>
      <c r="D594" s="148" t="str">
        <v/>
      </c>
      <c r="E594" s="148" t="str">
        <v/>
      </c>
      <c r="F594" s="148" t="str">
        <v/>
      </c>
      <c r="G594" s="268" t="str">
        <v/>
      </c>
      <c r="H594" s="1098"/>
      <c r="I594" s="1098"/>
      <c r="J594" s="1098"/>
      <c r="K594" s="1098"/>
      <c r="L594" s="1098"/>
      <c r="M594" s="1098"/>
      <c r="N594" s="1098"/>
      <c r="O594" s="1098"/>
      <c r="P594" s="1098"/>
      <c r="Q594" s="1098"/>
      <c r="R594" s="1098"/>
      <c r="S594" s="1098"/>
      <c r="T594" s="1098"/>
      <c r="U594" s="1098"/>
      <c r="V594" s="1098"/>
      <c r="W594" s="1098"/>
      <c r="X594" s="1098"/>
      <c r="Y594" s="1098"/>
      <c r="Z594" s="1098"/>
      <c r="AA594" s="1098"/>
      <c r="AB594" s="1098"/>
      <c r="AC594" s="1098"/>
      <c r="AD594" s="1098"/>
      <c r="AE594" s="1098"/>
      <c r="AF594" s="1098"/>
      <c r="AG594" s="1098"/>
      <c r="AH594" s="1098"/>
      <c r="AI594" s="1098"/>
      <c r="AJ594" s="1098"/>
      <c r="AK594" s="1098"/>
      <c r="AL594" s="1098"/>
      <c r="AM594" s="1098"/>
      <c r="AN594" s="1098"/>
      <c r="AO594" s="1098"/>
      <c r="AP594" s="1098"/>
      <c r="AQ594" s="1098"/>
      <c r="AR594" s="1098"/>
      <c r="AS594" s="1098"/>
      <c r="AT594" s="1098"/>
      <c r="AU594" s="1098"/>
      <c r="AV594" s="1098"/>
      <c r="AW594" s="1098"/>
      <c r="AX594" s="1098"/>
      <c r="AY594" s="1098"/>
      <c r="AZ594" s="1098"/>
      <c r="BA594" s="1098"/>
      <c r="BB594" s="1098"/>
      <c r="BC594" s="1098"/>
      <c r="BD594" s="1098"/>
      <c r="BE594" s="1098"/>
      <c r="BF594" s="1098"/>
      <c r="BG594" s="1098"/>
      <c r="BH594" s="1098"/>
      <c r="BI594" s="1098"/>
      <c r="BJ594" s="1098"/>
      <c r="BK594" s="1098"/>
      <c r="BL594" s="1098"/>
      <c r="BM594" s="1098"/>
      <c r="BN594" s="1098"/>
      <c r="BO594" s="1098"/>
      <c r="BP594" s="1098"/>
      <c r="BQ594" s="1098"/>
      <c r="BR594" s="1098"/>
      <c r="BS594" s="1098"/>
      <c r="BT594" s="1098"/>
      <c r="BU594" s="1098"/>
      <c r="BV594" s="1098"/>
      <c r="BW594" s="1098"/>
      <c r="BX594" s="1098"/>
      <c r="BY594" s="1098"/>
      <c r="BZ594" s="1098"/>
      <c r="CA594" s="1098"/>
      <c r="CB594" s="1098"/>
      <c r="CC594" s="1098"/>
      <c r="CD594" s="1098"/>
      <c r="CE594" s="1098"/>
      <c r="CF594" s="1098"/>
      <c r="CG594" s="1098"/>
      <c r="CH594" s="1098"/>
      <c r="CI594" s="1098"/>
      <c r="CJ594" s="1098"/>
      <c r="CK594" s="1098"/>
      <c r="CL594" s="1098"/>
      <c r="CM594" s="1098"/>
      <c r="CN594" s="1098"/>
      <c r="CO594" s="1098"/>
      <c r="CP594" s="1098"/>
      <c r="CQ594" s="1098"/>
      <c r="CR594" s="1098"/>
      <c r="CS594" s="1098"/>
      <c r="CT594" s="1098"/>
      <c r="CU594" s="1098"/>
      <c r="CV594" s="1098"/>
      <c r="CW594" s="1098"/>
      <c r="CX594" s="1098"/>
      <c r="CY594" s="1098"/>
      <c r="CZ594" s="1098"/>
      <c r="DA594" s="1098"/>
      <c r="DB594" s="1098"/>
      <c r="DC594" s="1098"/>
      <c r="DD594" s="1098"/>
      <c r="DE594" s="1098"/>
      <c r="DF594" s="1098"/>
      <c r="DG594" s="1098"/>
      <c r="DH594" s="1098"/>
      <c r="DI594" s="1098"/>
      <c r="DJ594" s="1098"/>
      <c r="DK594" s="1098"/>
      <c r="DL594" s="1098"/>
      <c r="DM594" s="1098"/>
      <c r="DN594" s="1098"/>
      <c r="DO594" s="1098"/>
      <c r="DP594" s="1098"/>
      <c r="DQ594" s="1098"/>
      <c r="DR594" s="1098"/>
      <c r="DS594" s="1098"/>
      <c r="DT594" s="1098"/>
      <c r="DU594" s="1098"/>
      <c r="DV594" s="1098"/>
      <c r="DW594" s="1098"/>
      <c r="DX594" s="1098"/>
      <c r="DY594" s="1098"/>
      <c r="DZ594" s="1098"/>
      <c r="EA594" s="1098"/>
      <c r="EB594" s="1098"/>
      <c r="EC594" s="1098"/>
      <c r="ED594" s="1098"/>
      <c r="EE594" s="1098"/>
      <c r="EF594" s="1098"/>
      <c r="EG594" s="1098"/>
      <c r="EH594" s="1098"/>
      <c r="EI594" s="1098"/>
      <c r="EJ594" s="1098"/>
      <c r="EK594" s="1098"/>
      <c r="EL594" s="1098"/>
      <c r="EM594" s="1098"/>
      <c r="EN594" s="1098"/>
      <c r="EO594" s="1098"/>
      <c r="EP594" s="1098"/>
      <c r="EQ594" s="1098"/>
      <c r="ER594" s="1098"/>
      <c r="ES594" s="1098"/>
      <c r="ET594" s="1098"/>
      <c r="EU594" s="1098"/>
      <c r="EV594" s="1098"/>
      <c r="EW594" s="1098"/>
      <c r="EX594" s="1098"/>
      <c r="EY594" s="1098"/>
      <c r="EZ594" s="1098"/>
      <c r="FA594" s="1098"/>
      <c r="FB594" s="1098"/>
      <c r="FC594" s="1098"/>
      <c r="FD594" s="1098"/>
      <c r="FE594" s="1098"/>
      <c r="FF594" s="1098"/>
      <c r="FG594" s="1098"/>
      <c r="FH594" s="1098"/>
      <c r="FI594" s="1098"/>
      <c r="FJ594" s="1098"/>
      <c r="FK594" s="1098"/>
      <c r="FL594" s="1098"/>
      <c r="FM594" s="1098"/>
      <c r="FN594" s="1098"/>
      <c r="FO594" s="1098"/>
      <c r="FP594" s="1098"/>
      <c r="FQ594" s="1098"/>
      <c r="FR594" s="1098"/>
      <c r="FS594" s="1098"/>
      <c r="FT594" s="1098"/>
      <c r="FU594" s="1098"/>
      <c r="FV594" s="1098"/>
      <c r="FW594" s="1098"/>
      <c r="FX594" s="1098"/>
      <c r="FY594" s="1098"/>
      <c r="FZ594" s="1098"/>
      <c r="GA594" s="1098"/>
      <c r="GB594" s="1098"/>
      <c r="GC594" s="1098"/>
      <c r="GD594" s="1098"/>
      <c r="GE594" s="1098"/>
      <c r="GF594" s="1098"/>
      <c r="GG594" s="1098"/>
      <c r="GH594" s="1098"/>
      <c r="GI594" s="1098"/>
      <c r="GJ594" s="1098"/>
      <c r="GK594" s="1098"/>
      <c r="GL594" s="1098"/>
      <c r="GM594" s="1098"/>
      <c r="GN594" s="1098"/>
      <c r="GO594" s="1098"/>
      <c r="GP594" s="1098"/>
      <c r="GQ594" s="1098"/>
      <c r="GR594" s="1098"/>
      <c r="GS594" s="1098"/>
      <c r="GT594" s="1098"/>
      <c r="GU594" s="1098"/>
      <c r="GV594" s="1098"/>
      <c r="GW594" s="1098"/>
      <c r="GX594" s="1098"/>
      <c r="GY594" s="1098"/>
      <c r="GZ594" s="1098"/>
      <c r="HA594" s="1098"/>
      <c r="HB594" s="1098"/>
      <c r="HC594" s="1098"/>
      <c r="HD594" s="1098"/>
      <c r="HE594" s="1098"/>
      <c r="HF594" s="1098"/>
      <c r="HG594" s="1098"/>
      <c r="HH594" s="1098"/>
      <c r="HI594" s="1098"/>
      <c r="HJ594" s="1098"/>
      <c r="HK594" s="1098"/>
      <c r="HL594" s="1098"/>
      <c r="HM594" s="1098"/>
      <c r="HN594" s="1098"/>
      <c r="HO594" s="1098"/>
      <c r="HP594" s="1098"/>
      <c r="HQ594" s="1098"/>
      <c r="HR594" s="1098"/>
      <c r="HS594" s="1098"/>
      <c r="HT594" s="1098"/>
      <c r="HU594" s="1098"/>
      <c r="HV594" s="1098"/>
      <c r="HW594" s="1098"/>
      <c r="HX594" s="1098"/>
      <c r="HY594" s="1098"/>
      <c r="HZ594" s="1098"/>
      <c r="IA594" s="1098"/>
      <c r="IB594" s="1098"/>
      <c r="IC594" s="1098"/>
      <c r="ID594" s="1098"/>
      <c r="IE594" s="1098"/>
      <c r="IF594" s="1098"/>
      <c r="IG594" s="1098"/>
      <c r="IH594" s="1098"/>
      <c r="II594" s="1098"/>
      <c r="IJ594" s="1098"/>
      <c r="IK594" s="1098"/>
      <c r="IL594" s="1098"/>
      <c r="IM594" s="1098"/>
      <c r="IN594" s="1098"/>
      <c r="IO594" s="1098"/>
      <c r="IP594" s="1098"/>
      <c r="IQ594" s="1098"/>
      <c r="IR594" s="1098"/>
      <c r="IS594" s="1098"/>
      <c r="IT594" s="1098"/>
      <c r="IU594" s="1098"/>
      <c r="IV594" s="1098"/>
      <c r="IW594" s="1098"/>
      <c r="IX594" s="1098"/>
      <c r="IY594" s="1098"/>
      <c r="IZ594" s="1098"/>
      <c r="JA594" s="1098"/>
      <c r="JB594" s="1098"/>
      <c r="JC594" s="1098"/>
      <c r="JD594" s="1098"/>
      <c r="JE594" s="1098"/>
      <c r="JF594" s="1098"/>
      <c r="JG594" s="1098"/>
      <c r="JH594" s="1098"/>
      <c r="JI594" s="1098"/>
      <c r="JJ594" s="1098"/>
      <c r="JK594" s="1098"/>
      <c r="JL594" s="1098"/>
      <c r="JM594" s="1098"/>
      <c r="JN594" s="1098"/>
      <c r="JO594" s="1098"/>
      <c r="JP594" s="1098"/>
      <c r="JQ594" s="1098"/>
      <c r="JR594" s="1098"/>
      <c r="JS594" s="1098"/>
      <c r="JT594" s="1098"/>
      <c r="JU594" s="1098"/>
      <c r="JV594" s="1098"/>
      <c r="JW594" s="1098"/>
      <c r="JX594" s="1098"/>
      <c r="JY594" s="1098"/>
      <c r="JZ594" s="1098"/>
      <c r="KA594" s="1098"/>
      <c r="KB594" s="1099"/>
    </row>
    <row r="595" spans="2:288" ht="15" customHeight="1" x14ac:dyDescent="0.35">
      <c r="B595" s="146" t="str">
        <f t="shared" si="47"/>
        <v>Desk 68</v>
      </c>
      <c r="C595" s="148" t="str">
        <v/>
      </c>
      <c r="D595" s="148" t="str">
        <v/>
      </c>
      <c r="E595" s="148" t="str">
        <v/>
      </c>
      <c r="F595" s="148" t="str">
        <v/>
      </c>
      <c r="G595" s="268" t="str">
        <v/>
      </c>
      <c r="H595" s="1098"/>
      <c r="I595" s="1098"/>
      <c r="J595" s="1098"/>
      <c r="K595" s="1098"/>
      <c r="L595" s="1098"/>
      <c r="M595" s="1098"/>
      <c r="N595" s="1098"/>
      <c r="O595" s="1098"/>
      <c r="P595" s="1098"/>
      <c r="Q595" s="1098"/>
      <c r="R595" s="1098"/>
      <c r="S595" s="1098"/>
      <c r="T595" s="1098"/>
      <c r="U595" s="1098"/>
      <c r="V595" s="1098"/>
      <c r="W595" s="1098"/>
      <c r="X595" s="1098"/>
      <c r="Y595" s="1098"/>
      <c r="Z595" s="1098"/>
      <c r="AA595" s="1098"/>
      <c r="AB595" s="1098"/>
      <c r="AC595" s="1098"/>
      <c r="AD595" s="1098"/>
      <c r="AE595" s="1098"/>
      <c r="AF595" s="1098"/>
      <c r="AG595" s="1098"/>
      <c r="AH595" s="1098"/>
      <c r="AI595" s="1098"/>
      <c r="AJ595" s="1098"/>
      <c r="AK595" s="1098"/>
      <c r="AL595" s="1098"/>
      <c r="AM595" s="1098"/>
      <c r="AN595" s="1098"/>
      <c r="AO595" s="1098"/>
      <c r="AP595" s="1098"/>
      <c r="AQ595" s="1098"/>
      <c r="AR595" s="1098"/>
      <c r="AS595" s="1098"/>
      <c r="AT595" s="1098"/>
      <c r="AU595" s="1098"/>
      <c r="AV595" s="1098"/>
      <c r="AW595" s="1098"/>
      <c r="AX595" s="1098"/>
      <c r="AY595" s="1098"/>
      <c r="AZ595" s="1098"/>
      <c r="BA595" s="1098"/>
      <c r="BB595" s="1098"/>
      <c r="BC595" s="1098"/>
      <c r="BD595" s="1098"/>
      <c r="BE595" s="1098"/>
      <c r="BF595" s="1098"/>
      <c r="BG595" s="1098"/>
      <c r="BH595" s="1098"/>
      <c r="BI595" s="1098"/>
      <c r="BJ595" s="1098"/>
      <c r="BK595" s="1098"/>
      <c r="BL595" s="1098"/>
      <c r="BM595" s="1098"/>
      <c r="BN595" s="1098"/>
      <c r="BO595" s="1098"/>
      <c r="BP595" s="1098"/>
      <c r="BQ595" s="1098"/>
      <c r="BR595" s="1098"/>
      <c r="BS595" s="1098"/>
      <c r="BT595" s="1098"/>
      <c r="BU595" s="1098"/>
      <c r="BV595" s="1098"/>
      <c r="BW595" s="1098"/>
      <c r="BX595" s="1098"/>
      <c r="BY595" s="1098"/>
      <c r="BZ595" s="1098"/>
      <c r="CA595" s="1098"/>
      <c r="CB595" s="1098"/>
      <c r="CC595" s="1098"/>
      <c r="CD595" s="1098"/>
      <c r="CE595" s="1098"/>
      <c r="CF595" s="1098"/>
      <c r="CG595" s="1098"/>
      <c r="CH595" s="1098"/>
      <c r="CI595" s="1098"/>
      <c r="CJ595" s="1098"/>
      <c r="CK595" s="1098"/>
      <c r="CL595" s="1098"/>
      <c r="CM595" s="1098"/>
      <c r="CN595" s="1098"/>
      <c r="CO595" s="1098"/>
      <c r="CP595" s="1098"/>
      <c r="CQ595" s="1098"/>
      <c r="CR595" s="1098"/>
      <c r="CS595" s="1098"/>
      <c r="CT595" s="1098"/>
      <c r="CU595" s="1098"/>
      <c r="CV595" s="1098"/>
      <c r="CW595" s="1098"/>
      <c r="CX595" s="1098"/>
      <c r="CY595" s="1098"/>
      <c r="CZ595" s="1098"/>
      <c r="DA595" s="1098"/>
      <c r="DB595" s="1098"/>
      <c r="DC595" s="1098"/>
      <c r="DD595" s="1098"/>
      <c r="DE595" s="1098"/>
      <c r="DF595" s="1098"/>
      <c r="DG595" s="1098"/>
      <c r="DH595" s="1098"/>
      <c r="DI595" s="1098"/>
      <c r="DJ595" s="1098"/>
      <c r="DK595" s="1098"/>
      <c r="DL595" s="1098"/>
      <c r="DM595" s="1098"/>
      <c r="DN595" s="1098"/>
      <c r="DO595" s="1098"/>
      <c r="DP595" s="1098"/>
      <c r="DQ595" s="1098"/>
      <c r="DR595" s="1098"/>
      <c r="DS595" s="1098"/>
      <c r="DT595" s="1098"/>
      <c r="DU595" s="1098"/>
      <c r="DV595" s="1098"/>
      <c r="DW595" s="1098"/>
      <c r="DX595" s="1098"/>
      <c r="DY595" s="1098"/>
      <c r="DZ595" s="1098"/>
      <c r="EA595" s="1098"/>
      <c r="EB595" s="1098"/>
      <c r="EC595" s="1098"/>
      <c r="ED595" s="1098"/>
      <c r="EE595" s="1098"/>
      <c r="EF595" s="1098"/>
      <c r="EG595" s="1098"/>
      <c r="EH595" s="1098"/>
      <c r="EI595" s="1098"/>
      <c r="EJ595" s="1098"/>
      <c r="EK595" s="1098"/>
      <c r="EL595" s="1098"/>
      <c r="EM595" s="1098"/>
      <c r="EN595" s="1098"/>
      <c r="EO595" s="1098"/>
      <c r="EP595" s="1098"/>
      <c r="EQ595" s="1098"/>
      <c r="ER595" s="1098"/>
      <c r="ES595" s="1098"/>
      <c r="ET595" s="1098"/>
      <c r="EU595" s="1098"/>
      <c r="EV595" s="1098"/>
      <c r="EW595" s="1098"/>
      <c r="EX595" s="1098"/>
      <c r="EY595" s="1098"/>
      <c r="EZ595" s="1098"/>
      <c r="FA595" s="1098"/>
      <c r="FB595" s="1098"/>
      <c r="FC595" s="1098"/>
      <c r="FD595" s="1098"/>
      <c r="FE595" s="1098"/>
      <c r="FF595" s="1098"/>
      <c r="FG595" s="1098"/>
      <c r="FH595" s="1098"/>
      <c r="FI595" s="1098"/>
      <c r="FJ595" s="1098"/>
      <c r="FK595" s="1098"/>
      <c r="FL595" s="1098"/>
      <c r="FM595" s="1098"/>
      <c r="FN595" s="1098"/>
      <c r="FO595" s="1098"/>
      <c r="FP595" s="1098"/>
      <c r="FQ595" s="1098"/>
      <c r="FR595" s="1098"/>
      <c r="FS595" s="1098"/>
      <c r="FT595" s="1098"/>
      <c r="FU595" s="1098"/>
      <c r="FV595" s="1098"/>
      <c r="FW595" s="1098"/>
      <c r="FX595" s="1098"/>
      <c r="FY595" s="1098"/>
      <c r="FZ595" s="1098"/>
      <c r="GA595" s="1098"/>
      <c r="GB595" s="1098"/>
      <c r="GC595" s="1098"/>
      <c r="GD595" s="1098"/>
      <c r="GE595" s="1098"/>
      <c r="GF595" s="1098"/>
      <c r="GG595" s="1098"/>
      <c r="GH595" s="1098"/>
      <c r="GI595" s="1098"/>
      <c r="GJ595" s="1098"/>
      <c r="GK595" s="1098"/>
      <c r="GL595" s="1098"/>
      <c r="GM595" s="1098"/>
      <c r="GN595" s="1098"/>
      <c r="GO595" s="1098"/>
      <c r="GP595" s="1098"/>
      <c r="GQ595" s="1098"/>
      <c r="GR595" s="1098"/>
      <c r="GS595" s="1098"/>
      <c r="GT595" s="1098"/>
      <c r="GU595" s="1098"/>
      <c r="GV595" s="1098"/>
      <c r="GW595" s="1098"/>
      <c r="GX595" s="1098"/>
      <c r="GY595" s="1098"/>
      <c r="GZ595" s="1098"/>
      <c r="HA595" s="1098"/>
      <c r="HB595" s="1098"/>
      <c r="HC595" s="1098"/>
      <c r="HD595" s="1098"/>
      <c r="HE595" s="1098"/>
      <c r="HF595" s="1098"/>
      <c r="HG595" s="1098"/>
      <c r="HH595" s="1098"/>
      <c r="HI595" s="1098"/>
      <c r="HJ595" s="1098"/>
      <c r="HK595" s="1098"/>
      <c r="HL595" s="1098"/>
      <c r="HM595" s="1098"/>
      <c r="HN595" s="1098"/>
      <c r="HO595" s="1098"/>
      <c r="HP595" s="1098"/>
      <c r="HQ595" s="1098"/>
      <c r="HR595" s="1098"/>
      <c r="HS595" s="1098"/>
      <c r="HT595" s="1098"/>
      <c r="HU595" s="1098"/>
      <c r="HV595" s="1098"/>
      <c r="HW595" s="1098"/>
      <c r="HX595" s="1098"/>
      <c r="HY595" s="1098"/>
      <c r="HZ595" s="1098"/>
      <c r="IA595" s="1098"/>
      <c r="IB595" s="1098"/>
      <c r="IC595" s="1098"/>
      <c r="ID595" s="1098"/>
      <c r="IE595" s="1098"/>
      <c r="IF595" s="1098"/>
      <c r="IG595" s="1098"/>
      <c r="IH595" s="1098"/>
      <c r="II595" s="1098"/>
      <c r="IJ595" s="1098"/>
      <c r="IK595" s="1098"/>
      <c r="IL595" s="1098"/>
      <c r="IM595" s="1098"/>
      <c r="IN595" s="1098"/>
      <c r="IO595" s="1098"/>
      <c r="IP595" s="1098"/>
      <c r="IQ595" s="1098"/>
      <c r="IR595" s="1098"/>
      <c r="IS595" s="1098"/>
      <c r="IT595" s="1098"/>
      <c r="IU595" s="1098"/>
      <c r="IV595" s="1098"/>
      <c r="IW595" s="1098"/>
      <c r="IX595" s="1098"/>
      <c r="IY595" s="1098"/>
      <c r="IZ595" s="1098"/>
      <c r="JA595" s="1098"/>
      <c r="JB595" s="1098"/>
      <c r="JC595" s="1098"/>
      <c r="JD595" s="1098"/>
      <c r="JE595" s="1098"/>
      <c r="JF595" s="1098"/>
      <c r="JG595" s="1098"/>
      <c r="JH595" s="1098"/>
      <c r="JI595" s="1098"/>
      <c r="JJ595" s="1098"/>
      <c r="JK595" s="1098"/>
      <c r="JL595" s="1098"/>
      <c r="JM595" s="1098"/>
      <c r="JN595" s="1098"/>
      <c r="JO595" s="1098"/>
      <c r="JP595" s="1098"/>
      <c r="JQ595" s="1098"/>
      <c r="JR595" s="1098"/>
      <c r="JS595" s="1098"/>
      <c r="JT595" s="1098"/>
      <c r="JU595" s="1098"/>
      <c r="JV595" s="1098"/>
      <c r="JW595" s="1098"/>
      <c r="JX595" s="1098"/>
      <c r="JY595" s="1098"/>
      <c r="JZ595" s="1098"/>
      <c r="KA595" s="1098"/>
      <c r="KB595" s="1099"/>
    </row>
    <row r="596" spans="2:288" ht="15" customHeight="1" x14ac:dyDescent="0.35">
      <c r="B596" s="146" t="str">
        <f t="shared" si="47"/>
        <v>Desk 69</v>
      </c>
      <c r="C596" s="148" t="str">
        <v/>
      </c>
      <c r="D596" s="148" t="str">
        <v/>
      </c>
      <c r="E596" s="148" t="str">
        <v/>
      </c>
      <c r="F596" s="148" t="str">
        <v/>
      </c>
      <c r="G596" s="268" t="str">
        <v/>
      </c>
      <c r="H596" s="1098"/>
      <c r="I596" s="1098"/>
      <c r="J596" s="1098"/>
      <c r="K596" s="1098"/>
      <c r="L596" s="1098"/>
      <c r="M596" s="1098"/>
      <c r="N596" s="1098"/>
      <c r="O596" s="1098"/>
      <c r="P596" s="1098"/>
      <c r="Q596" s="1098"/>
      <c r="R596" s="1098"/>
      <c r="S596" s="1098"/>
      <c r="T596" s="1098"/>
      <c r="U596" s="1098"/>
      <c r="V596" s="1098"/>
      <c r="W596" s="1098"/>
      <c r="X596" s="1098"/>
      <c r="Y596" s="1098"/>
      <c r="Z596" s="1098"/>
      <c r="AA596" s="1098"/>
      <c r="AB596" s="1098"/>
      <c r="AC596" s="1098"/>
      <c r="AD596" s="1098"/>
      <c r="AE596" s="1098"/>
      <c r="AF596" s="1098"/>
      <c r="AG596" s="1098"/>
      <c r="AH596" s="1098"/>
      <c r="AI596" s="1098"/>
      <c r="AJ596" s="1098"/>
      <c r="AK596" s="1098"/>
      <c r="AL596" s="1098"/>
      <c r="AM596" s="1098"/>
      <c r="AN596" s="1098"/>
      <c r="AO596" s="1098"/>
      <c r="AP596" s="1098"/>
      <c r="AQ596" s="1098"/>
      <c r="AR596" s="1098"/>
      <c r="AS596" s="1098"/>
      <c r="AT596" s="1098"/>
      <c r="AU596" s="1098"/>
      <c r="AV596" s="1098"/>
      <c r="AW596" s="1098"/>
      <c r="AX596" s="1098"/>
      <c r="AY596" s="1098"/>
      <c r="AZ596" s="1098"/>
      <c r="BA596" s="1098"/>
      <c r="BB596" s="1098"/>
      <c r="BC596" s="1098"/>
      <c r="BD596" s="1098"/>
      <c r="BE596" s="1098"/>
      <c r="BF596" s="1098"/>
      <c r="BG596" s="1098"/>
      <c r="BH596" s="1098"/>
      <c r="BI596" s="1098"/>
      <c r="BJ596" s="1098"/>
      <c r="BK596" s="1098"/>
      <c r="BL596" s="1098"/>
      <c r="BM596" s="1098"/>
      <c r="BN596" s="1098"/>
      <c r="BO596" s="1098"/>
      <c r="BP596" s="1098"/>
      <c r="BQ596" s="1098"/>
      <c r="BR596" s="1098"/>
      <c r="BS596" s="1098"/>
      <c r="BT596" s="1098"/>
      <c r="BU596" s="1098"/>
      <c r="BV596" s="1098"/>
      <c r="BW596" s="1098"/>
      <c r="BX596" s="1098"/>
      <c r="BY596" s="1098"/>
      <c r="BZ596" s="1098"/>
      <c r="CA596" s="1098"/>
      <c r="CB596" s="1098"/>
      <c r="CC596" s="1098"/>
      <c r="CD596" s="1098"/>
      <c r="CE596" s="1098"/>
      <c r="CF596" s="1098"/>
      <c r="CG596" s="1098"/>
      <c r="CH596" s="1098"/>
      <c r="CI596" s="1098"/>
      <c r="CJ596" s="1098"/>
      <c r="CK596" s="1098"/>
      <c r="CL596" s="1098"/>
      <c r="CM596" s="1098"/>
      <c r="CN596" s="1098"/>
      <c r="CO596" s="1098"/>
      <c r="CP596" s="1098"/>
      <c r="CQ596" s="1098"/>
      <c r="CR596" s="1098"/>
      <c r="CS596" s="1098"/>
      <c r="CT596" s="1098"/>
      <c r="CU596" s="1098"/>
      <c r="CV596" s="1098"/>
      <c r="CW596" s="1098"/>
      <c r="CX596" s="1098"/>
      <c r="CY596" s="1098"/>
      <c r="CZ596" s="1098"/>
      <c r="DA596" s="1098"/>
      <c r="DB596" s="1098"/>
      <c r="DC596" s="1098"/>
      <c r="DD596" s="1098"/>
      <c r="DE596" s="1098"/>
      <c r="DF596" s="1098"/>
      <c r="DG596" s="1098"/>
      <c r="DH596" s="1098"/>
      <c r="DI596" s="1098"/>
      <c r="DJ596" s="1098"/>
      <c r="DK596" s="1098"/>
      <c r="DL596" s="1098"/>
      <c r="DM596" s="1098"/>
      <c r="DN596" s="1098"/>
      <c r="DO596" s="1098"/>
      <c r="DP596" s="1098"/>
      <c r="DQ596" s="1098"/>
      <c r="DR596" s="1098"/>
      <c r="DS596" s="1098"/>
      <c r="DT596" s="1098"/>
      <c r="DU596" s="1098"/>
      <c r="DV596" s="1098"/>
      <c r="DW596" s="1098"/>
      <c r="DX596" s="1098"/>
      <c r="DY596" s="1098"/>
      <c r="DZ596" s="1098"/>
      <c r="EA596" s="1098"/>
      <c r="EB596" s="1098"/>
      <c r="EC596" s="1098"/>
      <c r="ED596" s="1098"/>
      <c r="EE596" s="1098"/>
      <c r="EF596" s="1098"/>
      <c r="EG596" s="1098"/>
      <c r="EH596" s="1098"/>
      <c r="EI596" s="1098"/>
      <c r="EJ596" s="1098"/>
      <c r="EK596" s="1098"/>
      <c r="EL596" s="1098"/>
      <c r="EM596" s="1098"/>
      <c r="EN596" s="1098"/>
      <c r="EO596" s="1098"/>
      <c r="EP596" s="1098"/>
      <c r="EQ596" s="1098"/>
      <c r="ER596" s="1098"/>
      <c r="ES596" s="1098"/>
      <c r="ET596" s="1098"/>
      <c r="EU596" s="1098"/>
      <c r="EV596" s="1098"/>
      <c r="EW596" s="1098"/>
      <c r="EX596" s="1098"/>
      <c r="EY596" s="1098"/>
      <c r="EZ596" s="1098"/>
      <c r="FA596" s="1098"/>
      <c r="FB596" s="1098"/>
      <c r="FC596" s="1098"/>
      <c r="FD596" s="1098"/>
      <c r="FE596" s="1098"/>
      <c r="FF596" s="1098"/>
      <c r="FG596" s="1098"/>
      <c r="FH596" s="1098"/>
      <c r="FI596" s="1098"/>
      <c r="FJ596" s="1098"/>
      <c r="FK596" s="1098"/>
      <c r="FL596" s="1098"/>
      <c r="FM596" s="1098"/>
      <c r="FN596" s="1098"/>
      <c r="FO596" s="1098"/>
      <c r="FP596" s="1098"/>
      <c r="FQ596" s="1098"/>
      <c r="FR596" s="1098"/>
      <c r="FS596" s="1098"/>
      <c r="FT596" s="1098"/>
      <c r="FU596" s="1098"/>
      <c r="FV596" s="1098"/>
      <c r="FW596" s="1098"/>
      <c r="FX596" s="1098"/>
      <c r="FY596" s="1098"/>
      <c r="FZ596" s="1098"/>
      <c r="GA596" s="1098"/>
      <c r="GB596" s="1098"/>
      <c r="GC596" s="1098"/>
      <c r="GD596" s="1098"/>
      <c r="GE596" s="1098"/>
      <c r="GF596" s="1098"/>
      <c r="GG596" s="1098"/>
      <c r="GH596" s="1098"/>
      <c r="GI596" s="1098"/>
      <c r="GJ596" s="1098"/>
      <c r="GK596" s="1098"/>
      <c r="GL596" s="1098"/>
      <c r="GM596" s="1098"/>
      <c r="GN596" s="1098"/>
      <c r="GO596" s="1098"/>
      <c r="GP596" s="1098"/>
      <c r="GQ596" s="1098"/>
      <c r="GR596" s="1098"/>
      <c r="GS596" s="1098"/>
      <c r="GT596" s="1098"/>
      <c r="GU596" s="1098"/>
      <c r="GV596" s="1098"/>
      <c r="GW596" s="1098"/>
      <c r="GX596" s="1098"/>
      <c r="GY596" s="1098"/>
      <c r="GZ596" s="1098"/>
      <c r="HA596" s="1098"/>
      <c r="HB596" s="1098"/>
      <c r="HC596" s="1098"/>
      <c r="HD596" s="1098"/>
      <c r="HE596" s="1098"/>
      <c r="HF596" s="1098"/>
      <c r="HG596" s="1098"/>
      <c r="HH596" s="1098"/>
      <c r="HI596" s="1098"/>
      <c r="HJ596" s="1098"/>
      <c r="HK596" s="1098"/>
      <c r="HL596" s="1098"/>
      <c r="HM596" s="1098"/>
      <c r="HN596" s="1098"/>
      <c r="HO596" s="1098"/>
      <c r="HP596" s="1098"/>
      <c r="HQ596" s="1098"/>
      <c r="HR596" s="1098"/>
      <c r="HS596" s="1098"/>
      <c r="HT596" s="1098"/>
      <c r="HU596" s="1098"/>
      <c r="HV596" s="1098"/>
      <c r="HW596" s="1098"/>
      <c r="HX596" s="1098"/>
      <c r="HY596" s="1098"/>
      <c r="HZ596" s="1098"/>
      <c r="IA596" s="1098"/>
      <c r="IB596" s="1098"/>
      <c r="IC596" s="1098"/>
      <c r="ID596" s="1098"/>
      <c r="IE596" s="1098"/>
      <c r="IF596" s="1098"/>
      <c r="IG596" s="1098"/>
      <c r="IH596" s="1098"/>
      <c r="II596" s="1098"/>
      <c r="IJ596" s="1098"/>
      <c r="IK596" s="1098"/>
      <c r="IL596" s="1098"/>
      <c r="IM596" s="1098"/>
      <c r="IN596" s="1098"/>
      <c r="IO596" s="1098"/>
      <c r="IP596" s="1098"/>
      <c r="IQ596" s="1098"/>
      <c r="IR596" s="1098"/>
      <c r="IS596" s="1098"/>
      <c r="IT596" s="1098"/>
      <c r="IU596" s="1098"/>
      <c r="IV596" s="1098"/>
      <c r="IW596" s="1098"/>
      <c r="IX596" s="1098"/>
      <c r="IY596" s="1098"/>
      <c r="IZ596" s="1098"/>
      <c r="JA596" s="1098"/>
      <c r="JB596" s="1098"/>
      <c r="JC596" s="1098"/>
      <c r="JD596" s="1098"/>
      <c r="JE596" s="1098"/>
      <c r="JF596" s="1098"/>
      <c r="JG596" s="1098"/>
      <c r="JH596" s="1098"/>
      <c r="JI596" s="1098"/>
      <c r="JJ596" s="1098"/>
      <c r="JK596" s="1098"/>
      <c r="JL596" s="1098"/>
      <c r="JM596" s="1098"/>
      <c r="JN596" s="1098"/>
      <c r="JO596" s="1098"/>
      <c r="JP596" s="1098"/>
      <c r="JQ596" s="1098"/>
      <c r="JR596" s="1098"/>
      <c r="JS596" s="1098"/>
      <c r="JT596" s="1098"/>
      <c r="JU596" s="1098"/>
      <c r="JV596" s="1098"/>
      <c r="JW596" s="1098"/>
      <c r="JX596" s="1098"/>
      <c r="JY596" s="1098"/>
      <c r="JZ596" s="1098"/>
      <c r="KA596" s="1098"/>
      <c r="KB596" s="1099"/>
    </row>
    <row r="597" spans="2:288" ht="15" customHeight="1" x14ac:dyDescent="0.35">
      <c r="B597" s="146" t="str">
        <f t="shared" si="47"/>
        <v>Desk 70</v>
      </c>
      <c r="C597" s="148" t="str">
        <v/>
      </c>
      <c r="D597" s="148" t="str">
        <v/>
      </c>
      <c r="E597" s="148" t="str">
        <v/>
      </c>
      <c r="F597" s="148" t="str">
        <v/>
      </c>
      <c r="G597" s="268" t="str">
        <v/>
      </c>
      <c r="H597" s="1098"/>
      <c r="I597" s="1098"/>
      <c r="J597" s="1098"/>
      <c r="K597" s="1098"/>
      <c r="L597" s="1098"/>
      <c r="M597" s="1098"/>
      <c r="N597" s="1098"/>
      <c r="O597" s="1098"/>
      <c r="P597" s="1098"/>
      <c r="Q597" s="1098"/>
      <c r="R597" s="1098"/>
      <c r="S597" s="1098"/>
      <c r="T597" s="1098"/>
      <c r="U597" s="1098"/>
      <c r="V597" s="1098"/>
      <c r="W597" s="1098"/>
      <c r="X597" s="1098"/>
      <c r="Y597" s="1098"/>
      <c r="Z597" s="1098"/>
      <c r="AA597" s="1098"/>
      <c r="AB597" s="1098"/>
      <c r="AC597" s="1098"/>
      <c r="AD597" s="1098"/>
      <c r="AE597" s="1098"/>
      <c r="AF597" s="1098"/>
      <c r="AG597" s="1098"/>
      <c r="AH597" s="1098"/>
      <c r="AI597" s="1098"/>
      <c r="AJ597" s="1098"/>
      <c r="AK597" s="1098"/>
      <c r="AL597" s="1098"/>
      <c r="AM597" s="1098"/>
      <c r="AN597" s="1098"/>
      <c r="AO597" s="1098"/>
      <c r="AP597" s="1098"/>
      <c r="AQ597" s="1098"/>
      <c r="AR597" s="1098"/>
      <c r="AS597" s="1098"/>
      <c r="AT597" s="1098"/>
      <c r="AU597" s="1098"/>
      <c r="AV597" s="1098"/>
      <c r="AW597" s="1098"/>
      <c r="AX597" s="1098"/>
      <c r="AY597" s="1098"/>
      <c r="AZ597" s="1098"/>
      <c r="BA597" s="1098"/>
      <c r="BB597" s="1098"/>
      <c r="BC597" s="1098"/>
      <c r="BD597" s="1098"/>
      <c r="BE597" s="1098"/>
      <c r="BF597" s="1098"/>
      <c r="BG597" s="1098"/>
      <c r="BH597" s="1098"/>
      <c r="BI597" s="1098"/>
      <c r="BJ597" s="1098"/>
      <c r="BK597" s="1098"/>
      <c r="BL597" s="1098"/>
      <c r="BM597" s="1098"/>
      <c r="BN597" s="1098"/>
      <c r="BO597" s="1098"/>
      <c r="BP597" s="1098"/>
      <c r="BQ597" s="1098"/>
      <c r="BR597" s="1098"/>
      <c r="BS597" s="1098"/>
      <c r="BT597" s="1098"/>
      <c r="BU597" s="1098"/>
      <c r="BV597" s="1098"/>
      <c r="BW597" s="1098"/>
      <c r="BX597" s="1098"/>
      <c r="BY597" s="1098"/>
      <c r="BZ597" s="1098"/>
      <c r="CA597" s="1098"/>
      <c r="CB597" s="1098"/>
      <c r="CC597" s="1098"/>
      <c r="CD597" s="1098"/>
      <c r="CE597" s="1098"/>
      <c r="CF597" s="1098"/>
      <c r="CG597" s="1098"/>
      <c r="CH597" s="1098"/>
      <c r="CI597" s="1098"/>
      <c r="CJ597" s="1098"/>
      <c r="CK597" s="1098"/>
      <c r="CL597" s="1098"/>
      <c r="CM597" s="1098"/>
      <c r="CN597" s="1098"/>
      <c r="CO597" s="1098"/>
      <c r="CP597" s="1098"/>
      <c r="CQ597" s="1098"/>
      <c r="CR597" s="1098"/>
      <c r="CS597" s="1098"/>
      <c r="CT597" s="1098"/>
      <c r="CU597" s="1098"/>
      <c r="CV597" s="1098"/>
      <c r="CW597" s="1098"/>
      <c r="CX597" s="1098"/>
      <c r="CY597" s="1098"/>
      <c r="CZ597" s="1098"/>
      <c r="DA597" s="1098"/>
      <c r="DB597" s="1098"/>
      <c r="DC597" s="1098"/>
      <c r="DD597" s="1098"/>
      <c r="DE597" s="1098"/>
      <c r="DF597" s="1098"/>
      <c r="DG597" s="1098"/>
      <c r="DH597" s="1098"/>
      <c r="DI597" s="1098"/>
      <c r="DJ597" s="1098"/>
      <c r="DK597" s="1098"/>
      <c r="DL597" s="1098"/>
      <c r="DM597" s="1098"/>
      <c r="DN597" s="1098"/>
      <c r="DO597" s="1098"/>
      <c r="DP597" s="1098"/>
      <c r="DQ597" s="1098"/>
      <c r="DR597" s="1098"/>
      <c r="DS597" s="1098"/>
      <c r="DT597" s="1098"/>
      <c r="DU597" s="1098"/>
      <c r="DV597" s="1098"/>
      <c r="DW597" s="1098"/>
      <c r="DX597" s="1098"/>
      <c r="DY597" s="1098"/>
      <c r="DZ597" s="1098"/>
      <c r="EA597" s="1098"/>
      <c r="EB597" s="1098"/>
      <c r="EC597" s="1098"/>
      <c r="ED597" s="1098"/>
      <c r="EE597" s="1098"/>
      <c r="EF597" s="1098"/>
      <c r="EG597" s="1098"/>
      <c r="EH597" s="1098"/>
      <c r="EI597" s="1098"/>
      <c r="EJ597" s="1098"/>
      <c r="EK597" s="1098"/>
      <c r="EL597" s="1098"/>
      <c r="EM597" s="1098"/>
      <c r="EN597" s="1098"/>
      <c r="EO597" s="1098"/>
      <c r="EP597" s="1098"/>
      <c r="EQ597" s="1098"/>
      <c r="ER597" s="1098"/>
      <c r="ES597" s="1098"/>
      <c r="ET597" s="1098"/>
      <c r="EU597" s="1098"/>
      <c r="EV597" s="1098"/>
      <c r="EW597" s="1098"/>
      <c r="EX597" s="1098"/>
      <c r="EY597" s="1098"/>
      <c r="EZ597" s="1098"/>
      <c r="FA597" s="1098"/>
      <c r="FB597" s="1098"/>
      <c r="FC597" s="1098"/>
      <c r="FD597" s="1098"/>
      <c r="FE597" s="1098"/>
      <c r="FF597" s="1098"/>
      <c r="FG597" s="1098"/>
      <c r="FH597" s="1098"/>
      <c r="FI597" s="1098"/>
      <c r="FJ597" s="1098"/>
      <c r="FK597" s="1098"/>
      <c r="FL597" s="1098"/>
      <c r="FM597" s="1098"/>
      <c r="FN597" s="1098"/>
      <c r="FO597" s="1098"/>
      <c r="FP597" s="1098"/>
      <c r="FQ597" s="1098"/>
      <c r="FR597" s="1098"/>
      <c r="FS597" s="1098"/>
      <c r="FT597" s="1098"/>
      <c r="FU597" s="1098"/>
      <c r="FV597" s="1098"/>
      <c r="FW597" s="1098"/>
      <c r="FX597" s="1098"/>
      <c r="FY597" s="1098"/>
      <c r="FZ597" s="1098"/>
      <c r="GA597" s="1098"/>
      <c r="GB597" s="1098"/>
      <c r="GC597" s="1098"/>
      <c r="GD597" s="1098"/>
      <c r="GE597" s="1098"/>
      <c r="GF597" s="1098"/>
      <c r="GG597" s="1098"/>
      <c r="GH597" s="1098"/>
      <c r="GI597" s="1098"/>
      <c r="GJ597" s="1098"/>
      <c r="GK597" s="1098"/>
      <c r="GL597" s="1098"/>
      <c r="GM597" s="1098"/>
      <c r="GN597" s="1098"/>
      <c r="GO597" s="1098"/>
      <c r="GP597" s="1098"/>
      <c r="GQ597" s="1098"/>
      <c r="GR597" s="1098"/>
      <c r="GS597" s="1098"/>
      <c r="GT597" s="1098"/>
      <c r="GU597" s="1098"/>
      <c r="GV597" s="1098"/>
      <c r="GW597" s="1098"/>
      <c r="GX597" s="1098"/>
      <c r="GY597" s="1098"/>
      <c r="GZ597" s="1098"/>
      <c r="HA597" s="1098"/>
      <c r="HB597" s="1098"/>
      <c r="HC597" s="1098"/>
      <c r="HD597" s="1098"/>
      <c r="HE597" s="1098"/>
      <c r="HF597" s="1098"/>
      <c r="HG597" s="1098"/>
      <c r="HH597" s="1098"/>
      <c r="HI597" s="1098"/>
      <c r="HJ597" s="1098"/>
      <c r="HK597" s="1098"/>
      <c r="HL597" s="1098"/>
      <c r="HM597" s="1098"/>
      <c r="HN597" s="1098"/>
      <c r="HO597" s="1098"/>
      <c r="HP597" s="1098"/>
      <c r="HQ597" s="1098"/>
      <c r="HR597" s="1098"/>
      <c r="HS597" s="1098"/>
      <c r="HT597" s="1098"/>
      <c r="HU597" s="1098"/>
      <c r="HV597" s="1098"/>
      <c r="HW597" s="1098"/>
      <c r="HX597" s="1098"/>
      <c r="HY597" s="1098"/>
      <c r="HZ597" s="1098"/>
      <c r="IA597" s="1098"/>
      <c r="IB597" s="1098"/>
      <c r="IC597" s="1098"/>
      <c r="ID597" s="1098"/>
      <c r="IE597" s="1098"/>
      <c r="IF597" s="1098"/>
      <c r="IG597" s="1098"/>
      <c r="IH597" s="1098"/>
      <c r="II597" s="1098"/>
      <c r="IJ597" s="1098"/>
      <c r="IK597" s="1098"/>
      <c r="IL597" s="1098"/>
      <c r="IM597" s="1098"/>
      <c r="IN597" s="1098"/>
      <c r="IO597" s="1098"/>
      <c r="IP597" s="1098"/>
      <c r="IQ597" s="1098"/>
      <c r="IR597" s="1098"/>
      <c r="IS597" s="1098"/>
      <c r="IT597" s="1098"/>
      <c r="IU597" s="1098"/>
      <c r="IV597" s="1098"/>
      <c r="IW597" s="1098"/>
      <c r="IX597" s="1098"/>
      <c r="IY597" s="1098"/>
      <c r="IZ597" s="1098"/>
      <c r="JA597" s="1098"/>
      <c r="JB597" s="1098"/>
      <c r="JC597" s="1098"/>
      <c r="JD597" s="1098"/>
      <c r="JE597" s="1098"/>
      <c r="JF597" s="1098"/>
      <c r="JG597" s="1098"/>
      <c r="JH597" s="1098"/>
      <c r="JI597" s="1098"/>
      <c r="JJ597" s="1098"/>
      <c r="JK597" s="1098"/>
      <c r="JL597" s="1098"/>
      <c r="JM597" s="1098"/>
      <c r="JN597" s="1098"/>
      <c r="JO597" s="1098"/>
      <c r="JP597" s="1098"/>
      <c r="JQ597" s="1098"/>
      <c r="JR597" s="1098"/>
      <c r="JS597" s="1098"/>
      <c r="JT597" s="1098"/>
      <c r="JU597" s="1098"/>
      <c r="JV597" s="1098"/>
      <c r="JW597" s="1098"/>
      <c r="JX597" s="1098"/>
      <c r="JY597" s="1098"/>
      <c r="JZ597" s="1098"/>
      <c r="KA597" s="1098"/>
      <c r="KB597" s="1099"/>
    </row>
    <row r="598" spans="2:288" ht="15" customHeight="1" x14ac:dyDescent="0.35">
      <c r="B598" s="146" t="str">
        <f t="shared" si="47"/>
        <v>Desk 71</v>
      </c>
      <c r="C598" s="148" t="str">
        <v/>
      </c>
      <c r="D598" s="148" t="str">
        <v/>
      </c>
      <c r="E598" s="148" t="str">
        <v/>
      </c>
      <c r="F598" s="148" t="str">
        <v/>
      </c>
      <c r="G598" s="268" t="str">
        <v/>
      </c>
      <c r="H598" s="1098"/>
      <c r="I598" s="1098"/>
      <c r="J598" s="1098"/>
      <c r="K598" s="1098"/>
      <c r="L598" s="1098"/>
      <c r="M598" s="1098"/>
      <c r="N598" s="1098"/>
      <c r="O598" s="1098"/>
      <c r="P598" s="1098"/>
      <c r="Q598" s="1098"/>
      <c r="R598" s="1098"/>
      <c r="S598" s="1098"/>
      <c r="T598" s="1098"/>
      <c r="U598" s="1098"/>
      <c r="V598" s="1098"/>
      <c r="W598" s="1098"/>
      <c r="X598" s="1098"/>
      <c r="Y598" s="1098"/>
      <c r="Z598" s="1098"/>
      <c r="AA598" s="1098"/>
      <c r="AB598" s="1098"/>
      <c r="AC598" s="1098"/>
      <c r="AD598" s="1098"/>
      <c r="AE598" s="1098"/>
      <c r="AF598" s="1098"/>
      <c r="AG598" s="1098"/>
      <c r="AH598" s="1098"/>
      <c r="AI598" s="1098"/>
      <c r="AJ598" s="1098"/>
      <c r="AK598" s="1098"/>
      <c r="AL598" s="1098"/>
      <c r="AM598" s="1098"/>
      <c r="AN598" s="1098"/>
      <c r="AO598" s="1098"/>
      <c r="AP598" s="1098"/>
      <c r="AQ598" s="1098"/>
      <c r="AR598" s="1098"/>
      <c r="AS598" s="1098"/>
      <c r="AT598" s="1098"/>
      <c r="AU598" s="1098"/>
      <c r="AV598" s="1098"/>
      <c r="AW598" s="1098"/>
      <c r="AX598" s="1098"/>
      <c r="AY598" s="1098"/>
      <c r="AZ598" s="1098"/>
      <c r="BA598" s="1098"/>
      <c r="BB598" s="1098"/>
      <c r="BC598" s="1098"/>
      <c r="BD598" s="1098"/>
      <c r="BE598" s="1098"/>
      <c r="BF598" s="1098"/>
      <c r="BG598" s="1098"/>
      <c r="BH598" s="1098"/>
      <c r="BI598" s="1098"/>
      <c r="BJ598" s="1098"/>
      <c r="BK598" s="1098"/>
      <c r="BL598" s="1098"/>
      <c r="BM598" s="1098"/>
      <c r="BN598" s="1098"/>
      <c r="BO598" s="1098"/>
      <c r="BP598" s="1098"/>
      <c r="BQ598" s="1098"/>
      <c r="BR598" s="1098"/>
      <c r="BS598" s="1098"/>
      <c r="BT598" s="1098"/>
      <c r="BU598" s="1098"/>
      <c r="BV598" s="1098"/>
      <c r="BW598" s="1098"/>
      <c r="BX598" s="1098"/>
      <c r="BY598" s="1098"/>
      <c r="BZ598" s="1098"/>
      <c r="CA598" s="1098"/>
      <c r="CB598" s="1098"/>
      <c r="CC598" s="1098"/>
      <c r="CD598" s="1098"/>
      <c r="CE598" s="1098"/>
      <c r="CF598" s="1098"/>
      <c r="CG598" s="1098"/>
      <c r="CH598" s="1098"/>
      <c r="CI598" s="1098"/>
      <c r="CJ598" s="1098"/>
      <c r="CK598" s="1098"/>
      <c r="CL598" s="1098"/>
      <c r="CM598" s="1098"/>
      <c r="CN598" s="1098"/>
      <c r="CO598" s="1098"/>
      <c r="CP598" s="1098"/>
      <c r="CQ598" s="1098"/>
      <c r="CR598" s="1098"/>
      <c r="CS598" s="1098"/>
      <c r="CT598" s="1098"/>
      <c r="CU598" s="1098"/>
      <c r="CV598" s="1098"/>
      <c r="CW598" s="1098"/>
      <c r="CX598" s="1098"/>
      <c r="CY598" s="1098"/>
      <c r="CZ598" s="1098"/>
      <c r="DA598" s="1098"/>
      <c r="DB598" s="1098"/>
      <c r="DC598" s="1098"/>
      <c r="DD598" s="1098"/>
      <c r="DE598" s="1098"/>
      <c r="DF598" s="1098"/>
      <c r="DG598" s="1098"/>
      <c r="DH598" s="1098"/>
      <c r="DI598" s="1098"/>
      <c r="DJ598" s="1098"/>
      <c r="DK598" s="1098"/>
      <c r="DL598" s="1098"/>
      <c r="DM598" s="1098"/>
      <c r="DN598" s="1098"/>
      <c r="DO598" s="1098"/>
      <c r="DP598" s="1098"/>
      <c r="DQ598" s="1098"/>
      <c r="DR598" s="1098"/>
      <c r="DS598" s="1098"/>
      <c r="DT598" s="1098"/>
      <c r="DU598" s="1098"/>
      <c r="DV598" s="1098"/>
      <c r="DW598" s="1098"/>
      <c r="DX598" s="1098"/>
      <c r="DY598" s="1098"/>
      <c r="DZ598" s="1098"/>
      <c r="EA598" s="1098"/>
      <c r="EB598" s="1098"/>
      <c r="EC598" s="1098"/>
      <c r="ED598" s="1098"/>
      <c r="EE598" s="1098"/>
      <c r="EF598" s="1098"/>
      <c r="EG598" s="1098"/>
      <c r="EH598" s="1098"/>
      <c r="EI598" s="1098"/>
      <c r="EJ598" s="1098"/>
      <c r="EK598" s="1098"/>
      <c r="EL598" s="1098"/>
      <c r="EM598" s="1098"/>
      <c r="EN598" s="1098"/>
      <c r="EO598" s="1098"/>
      <c r="EP598" s="1098"/>
      <c r="EQ598" s="1098"/>
      <c r="ER598" s="1098"/>
      <c r="ES598" s="1098"/>
      <c r="ET598" s="1098"/>
      <c r="EU598" s="1098"/>
      <c r="EV598" s="1098"/>
      <c r="EW598" s="1098"/>
      <c r="EX598" s="1098"/>
      <c r="EY598" s="1098"/>
      <c r="EZ598" s="1098"/>
      <c r="FA598" s="1098"/>
      <c r="FB598" s="1098"/>
      <c r="FC598" s="1098"/>
      <c r="FD598" s="1098"/>
      <c r="FE598" s="1098"/>
      <c r="FF598" s="1098"/>
      <c r="FG598" s="1098"/>
      <c r="FH598" s="1098"/>
      <c r="FI598" s="1098"/>
      <c r="FJ598" s="1098"/>
      <c r="FK598" s="1098"/>
      <c r="FL598" s="1098"/>
      <c r="FM598" s="1098"/>
      <c r="FN598" s="1098"/>
      <c r="FO598" s="1098"/>
      <c r="FP598" s="1098"/>
      <c r="FQ598" s="1098"/>
      <c r="FR598" s="1098"/>
      <c r="FS598" s="1098"/>
      <c r="FT598" s="1098"/>
      <c r="FU598" s="1098"/>
      <c r="FV598" s="1098"/>
      <c r="FW598" s="1098"/>
      <c r="FX598" s="1098"/>
      <c r="FY598" s="1098"/>
      <c r="FZ598" s="1098"/>
      <c r="GA598" s="1098"/>
      <c r="GB598" s="1098"/>
      <c r="GC598" s="1098"/>
      <c r="GD598" s="1098"/>
      <c r="GE598" s="1098"/>
      <c r="GF598" s="1098"/>
      <c r="GG598" s="1098"/>
      <c r="GH598" s="1098"/>
      <c r="GI598" s="1098"/>
      <c r="GJ598" s="1098"/>
      <c r="GK598" s="1098"/>
      <c r="GL598" s="1098"/>
      <c r="GM598" s="1098"/>
      <c r="GN598" s="1098"/>
      <c r="GO598" s="1098"/>
      <c r="GP598" s="1098"/>
      <c r="GQ598" s="1098"/>
      <c r="GR598" s="1098"/>
      <c r="GS598" s="1098"/>
      <c r="GT598" s="1098"/>
      <c r="GU598" s="1098"/>
      <c r="GV598" s="1098"/>
      <c r="GW598" s="1098"/>
      <c r="GX598" s="1098"/>
      <c r="GY598" s="1098"/>
      <c r="GZ598" s="1098"/>
      <c r="HA598" s="1098"/>
      <c r="HB598" s="1098"/>
      <c r="HC598" s="1098"/>
      <c r="HD598" s="1098"/>
      <c r="HE598" s="1098"/>
      <c r="HF598" s="1098"/>
      <c r="HG598" s="1098"/>
      <c r="HH598" s="1098"/>
      <c r="HI598" s="1098"/>
      <c r="HJ598" s="1098"/>
      <c r="HK598" s="1098"/>
      <c r="HL598" s="1098"/>
      <c r="HM598" s="1098"/>
      <c r="HN598" s="1098"/>
      <c r="HO598" s="1098"/>
      <c r="HP598" s="1098"/>
      <c r="HQ598" s="1098"/>
      <c r="HR598" s="1098"/>
      <c r="HS598" s="1098"/>
      <c r="HT598" s="1098"/>
      <c r="HU598" s="1098"/>
      <c r="HV598" s="1098"/>
      <c r="HW598" s="1098"/>
      <c r="HX598" s="1098"/>
      <c r="HY598" s="1098"/>
      <c r="HZ598" s="1098"/>
      <c r="IA598" s="1098"/>
      <c r="IB598" s="1098"/>
      <c r="IC598" s="1098"/>
      <c r="ID598" s="1098"/>
      <c r="IE598" s="1098"/>
      <c r="IF598" s="1098"/>
      <c r="IG598" s="1098"/>
      <c r="IH598" s="1098"/>
      <c r="II598" s="1098"/>
      <c r="IJ598" s="1098"/>
      <c r="IK598" s="1098"/>
      <c r="IL598" s="1098"/>
      <c r="IM598" s="1098"/>
      <c r="IN598" s="1098"/>
      <c r="IO598" s="1098"/>
      <c r="IP598" s="1098"/>
      <c r="IQ598" s="1098"/>
      <c r="IR598" s="1098"/>
      <c r="IS598" s="1098"/>
      <c r="IT598" s="1098"/>
      <c r="IU598" s="1098"/>
      <c r="IV598" s="1098"/>
      <c r="IW598" s="1098"/>
      <c r="IX598" s="1098"/>
      <c r="IY598" s="1098"/>
      <c r="IZ598" s="1098"/>
      <c r="JA598" s="1098"/>
      <c r="JB598" s="1098"/>
      <c r="JC598" s="1098"/>
      <c r="JD598" s="1098"/>
      <c r="JE598" s="1098"/>
      <c r="JF598" s="1098"/>
      <c r="JG598" s="1098"/>
      <c r="JH598" s="1098"/>
      <c r="JI598" s="1098"/>
      <c r="JJ598" s="1098"/>
      <c r="JK598" s="1098"/>
      <c r="JL598" s="1098"/>
      <c r="JM598" s="1098"/>
      <c r="JN598" s="1098"/>
      <c r="JO598" s="1098"/>
      <c r="JP598" s="1098"/>
      <c r="JQ598" s="1098"/>
      <c r="JR598" s="1098"/>
      <c r="JS598" s="1098"/>
      <c r="JT598" s="1098"/>
      <c r="JU598" s="1098"/>
      <c r="JV598" s="1098"/>
      <c r="JW598" s="1098"/>
      <c r="JX598" s="1098"/>
      <c r="JY598" s="1098"/>
      <c r="JZ598" s="1098"/>
      <c r="KA598" s="1098"/>
      <c r="KB598" s="1099"/>
    </row>
    <row r="599" spans="2:288" ht="15" customHeight="1" x14ac:dyDescent="0.35">
      <c r="B599" s="146" t="str">
        <f t="shared" si="47"/>
        <v>Desk 72</v>
      </c>
      <c r="C599" s="148" t="str">
        <v/>
      </c>
      <c r="D599" s="148" t="str">
        <v/>
      </c>
      <c r="E599" s="148" t="str">
        <v/>
      </c>
      <c r="F599" s="148" t="str">
        <v/>
      </c>
      <c r="G599" s="268" t="str">
        <v/>
      </c>
      <c r="H599" s="1098"/>
      <c r="I599" s="1098"/>
      <c r="J599" s="1098"/>
      <c r="K599" s="1098"/>
      <c r="L599" s="1098"/>
      <c r="M599" s="1098"/>
      <c r="N599" s="1098"/>
      <c r="O599" s="1098"/>
      <c r="P599" s="1098"/>
      <c r="Q599" s="1098"/>
      <c r="R599" s="1098"/>
      <c r="S599" s="1098"/>
      <c r="T599" s="1098"/>
      <c r="U599" s="1098"/>
      <c r="V599" s="1098"/>
      <c r="W599" s="1098"/>
      <c r="X599" s="1098"/>
      <c r="Y599" s="1098"/>
      <c r="Z599" s="1098"/>
      <c r="AA599" s="1098"/>
      <c r="AB599" s="1098"/>
      <c r="AC599" s="1098"/>
      <c r="AD599" s="1098"/>
      <c r="AE599" s="1098"/>
      <c r="AF599" s="1098"/>
      <c r="AG599" s="1098"/>
      <c r="AH599" s="1098"/>
      <c r="AI599" s="1098"/>
      <c r="AJ599" s="1098"/>
      <c r="AK599" s="1098"/>
      <c r="AL599" s="1098"/>
      <c r="AM599" s="1098"/>
      <c r="AN599" s="1098"/>
      <c r="AO599" s="1098"/>
      <c r="AP599" s="1098"/>
      <c r="AQ599" s="1098"/>
      <c r="AR599" s="1098"/>
      <c r="AS599" s="1098"/>
      <c r="AT599" s="1098"/>
      <c r="AU599" s="1098"/>
      <c r="AV599" s="1098"/>
      <c r="AW599" s="1098"/>
      <c r="AX599" s="1098"/>
      <c r="AY599" s="1098"/>
      <c r="AZ599" s="1098"/>
      <c r="BA599" s="1098"/>
      <c r="BB599" s="1098"/>
      <c r="BC599" s="1098"/>
      <c r="BD599" s="1098"/>
      <c r="BE599" s="1098"/>
      <c r="BF599" s="1098"/>
      <c r="BG599" s="1098"/>
      <c r="BH599" s="1098"/>
      <c r="BI599" s="1098"/>
      <c r="BJ599" s="1098"/>
      <c r="BK599" s="1098"/>
      <c r="BL599" s="1098"/>
      <c r="BM599" s="1098"/>
      <c r="BN599" s="1098"/>
      <c r="BO599" s="1098"/>
      <c r="BP599" s="1098"/>
      <c r="BQ599" s="1098"/>
      <c r="BR599" s="1098"/>
      <c r="BS599" s="1098"/>
      <c r="BT599" s="1098"/>
      <c r="BU599" s="1098"/>
      <c r="BV599" s="1098"/>
      <c r="BW599" s="1098"/>
      <c r="BX599" s="1098"/>
      <c r="BY599" s="1098"/>
      <c r="BZ599" s="1098"/>
      <c r="CA599" s="1098"/>
      <c r="CB599" s="1098"/>
      <c r="CC599" s="1098"/>
      <c r="CD599" s="1098"/>
      <c r="CE599" s="1098"/>
      <c r="CF599" s="1098"/>
      <c r="CG599" s="1098"/>
      <c r="CH599" s="1098"/>
      <c r="CI599" s="1098"/>
      <c r="CJ599" s="1098"/>
      <c r="CK599" s="1098"/>
      <c r="CL599" s="1098"/>
      <c r="CM599" s="1098"/>
      <c r="CN599" s="1098"/>
      <c r="CO599" s="1098"/>
      <c r="CP599" s="1098"/>
      <c r="CQ599" s="1098"/>
      <c r="CR599" s="1098"/>
      <c r="CS599" s="1098"/>
      <c r="CT599" s="1098"/>
      <c r="CU599" s="1098"/>
      <c r="CV599" s="1098"/>
      <c r="CW599" s="1098"/>
      <c r="CX599" s="1098"/>
      <c r="CY599" s="1098"/>
      <c r="CZ599" s="1098"/>
      <c r="DA599" s="1098"/>
      <c r="DB599" s="1098"/>
      <c r="DC599" s="1098"/>
      <c r="DD599" s="1098"/>
      <c r="DE599" s="1098"/>
      <c r="DF599" s="1098"/>
      <c r="DG599" s="1098"/>
      <c r="DH599" s="1098"/>
      <c r="DI599" s="1098"/>
      <c r="DJ599" s="1098"/>
      <c r="DK599" s="1098"/>
      <c r="DL599" s="1098"/>
      <c r="DM599" s="1098"/>
      <c r="DN599" s="1098"/>
      <c r="DO599" s="1098"/>
      <c r="DP599" s="1098"/>
      <c r="DQ599" s="1098"/>
      <c r="DR599" s="1098"/>
      <c r="DS599" s="1098"/>
      <c r="DT599" s="1098"/>
      <c r="DU599" s="1098"/>
      <c r="DV599" s="1098"/>
      <c r="DW599" s="1098"/>
      <c r="DX599" s="1098"/>
      <c r="DY599" s="1098"/>
      <c r="DZ599" s="1098"/>
      <c r="EA599" s="1098"/>
      <c r="EB599" s="1098"/>
      <c r="EC599" s="1098"/>
      <c r="ED599" s="1098"/>
      <c r="EE599" s="1098"/>
      <c r="EF599" s="1098"/>
      <c r="EG599" s="1098"/>
      <c r="EH599" s="1098"/>
      <c r="EI599" s="1098"/>
      <c r="EJ599" s="1098"/>
      <c r="EK599" s="1098"/>
      <c r="EL599" s="1098"/>
      <c r="EM599" s="1098"/>
      <c r="EN599" s="1098"/>
      <c r="EO599" s="1098"/>
      <c r="EP599" s="1098"/>
      <c r="EQ599" s="1098"/>
      <c r="ER599" s="1098"/>
      <c r="ES599" s="1098"/>
      <c r="ET599" s="1098"/>
      <c r="EU599" s="1098"/>
      <c r="EV599" s="1098"/>
      <c r="EW599" s="1098"/>
      <c r="EX599" s="1098"/>
      <c r="EY599" s="1098"/>
      <c r="EZ599" s="1098"/>
      <c r="FA599" s="1098"/>
      <c r="FB599" s="1098"/>
      <c r="FC599" s="1098"/>
      <c r="FD599" s="1098"/>
      <c r="FE599" s="1098"/>
      <c r="FF599" s="1098"/>
      <c r="FG599" s="1098"/>
      <c r="FH599" s="1098"/>
      <c r="FI599" s="1098"/>
      <c r="FJ599" s="1098"/>
      <c r="FK599" s="1098"/>
      <c r="FL599" s="1098"/>
      <c r="FM599" s="1098"/>
      <c r="FN599" s="1098"/>
      <c r="FO599" s="1098"/>
      <c r="FP599" s="1098"/>
      <c r="FQ599" s="1098"/>
      <c r="FR599" s="1098"/>
      <c r="FS599" s="1098"/>
      <c r="FT599" s="1098"/>
      <c r="FU599" s="1098"/>
      <c r="FV599" s="1098"/>
      <c r="FW599" s="1098"/>
      <c r="FX599" s="1098"/>
      <c r="FY599" s="1098"/>
      <c r="FZ599" s="1098"/>
      <c r="GA599" s="1098"/>
      <c r="GB599" s="1098"/>
      <c r="GC599" s="1098"/>
      <c r="GD599" s="1098"/>
      <c r="GE599" s="1098"/>
      <c r="GF599" s="1098"/>
      <c r="GG599" s="1098"/>
      <c r="GH599" s="1098"/>
      <c r="GI599" s="1098"/>
      <c r="GJ599" s="1098"/>
      <c r="GK599" s="1098"/>
      <c r="GL599" s="1098"/>
      <c r="GM599" s="1098"/>
      <c r="GN599" s="1098"/>
      <c r="GO599" s="1098"/>
      <c r="GP599" s="1098"/>
      <c r="GQ599" s="1098"/>
      <c r="GR599" s="1098"/>
      <c r="GS599" s="1098"/>
      <c r="GT599" s="1098"/>
      <c r="GU599" s="1098"/>
      <c r="GV599" s="1098"/>
      <c r="GW599" s="1098"/>
      <c r="GX599" s="1098"/>
      <c r="GY599" s="1098"/>
      <c r="GZ599" s="1098"/>
      <c r="HA599" s="1098"/>
      <c r="HB599" s="1098"/>
      <c r="HC599" s="1098"/>
      <c r="HD599" s="1098"/>
      <c r="HE599" s="1098"/>
      <c r="HF599" s="1098"/>
      <c r="HG599" s="1098"/>
      <c r="HH599" s="1098"/>
      <c r="HI599" s="1098"/>
      <c r="HJ599" s="1098"/>
      <c r="HK599" s="1098"/>
      <c r="HL599" s="1098"/>
      <c r="HM599" s="1098"/>
      <c r="HN599" s="1098"/>
      <c r="HO599" s="1098"/>
      <c r="HP599" s="1098"/>
      <c r="HQ599" s="1098"/>
      <c r="HR599" s="1098"/>
      <c r="HS599" s="1098"/>
      <c r="HT599" s="1098"/>
      <c r="HU599" s="1098"/>
      <c r="HV599" s="1098"/>
      <c r="HW599" s="1098"/>
      <c r="HX599" s="1098"/>
      <c r="HY599" s="1098"/>
      <c r="HZ599" s="1098"/>
      <c r="IA599" s="1098"/>
      <c r="IB599" s="1098"/>
      <c r="IC599" s="1098"/>
      <c r="ID599" s="1098"/>
      <c r="IE599" s="1098"/>
      <c r="IF599" s="1098"/>
      <c r="IG599" s="1098"/>
      <c r="IH599" s="1098"/>
      <c r="II599" s="1098"/>
      <c r="IJ599" s="1098"/>
      <c r="IK599" s="1098"/>
      <c r="IL599" s="1098"/>
      <c r="IM599" s="1098"/>
      <c r="IN599" s="1098"/>
      <c r="IO599" s="1098"/>
      <c r="IP599" s="1098"/>
      <c r="IQ599" s="1098"/>
      <c r="IR599" s="1098"/>
      <c r="IS599" s="1098"/>
      <c r="IT599" s="1098"/>
      <c r="IU599" s="1098"/>
      <c r="IV599" s="1098"/>
      <c r="IW599" s="1098"/>
      <c r="IX599" s="1098"/>
      <c r="IY599" s="1098"/>
      <c r="IZ599" s="1098"/>
      <c r="JA599" s="1098"/>
      <c r="JB599" s="1098"/>
      <c r="JC599" s="1098"/>
      <c r="JD599" s="1098"/>
      <c r="JE599" s="1098"/>
      <c r="JF599" s="1098"/>
      <c r="JG599" s="1098"/>
      <c r="JH599" s="1098"/>
      <c r="JI599" s="1098"/>
      <c r="JJ599" s="1098"/>
      <c r="JK599" s="1098"/>
      <c r="JL599" s="1098"/>
      <c r="JM599" s="1098"/>
      <c r="JN599" s="1098"/>
      <c r="JO599" s="1098"/>
      <c r="JP599" s="1098"/>
      <c r="JQ599" s="1098"/>
      <c r="JR599" s="1098"/>
      <c r="JS599" s="1098"/>
      <c r="JT599" s="1098"/>
      <c r="JU599" s="1098"/>
      <c r="JV599" s="1098"/>
      <c r="JW599" s="1098"/>
      <c r="JX599" s="1098"/>
      <c r="JY599" s="1098"/>
      <c r="JZ599" s="1098"/>
      <c r="KA599" s="1098"/>
      <c r="KB599" s="1099"/>
    </row>
    <row r="600" spans="2:288" ht="15" customHeight="1" x14ac:dyDescent="0.35">
      <c r="B600" s="146" t="str">
        <f t="shared" si="47"/>
        <v>Desk 73</v>
      </c>
      <c r="C600" s="148" t="str">
        <v/>
      </c>
      <c r="D600" s="148" t="str">
        <v/>
      </c>
      <c r="E600" s="148" t="str">
        <v/>
      </c>
      <c r="F600" s="148" t="str">
        <v/>
      </c>
      <c r="G600" s="268" t="str">
        <v/>
      </c>
      <c r="H600" s="1098"/>
      <c r="I600" s="1098"/>
      <c r="J600" s="1098"/>
      <c r="K600" s="1098"/>
      <c r="L600" s="1098"/>
      <c r="M600" s="1098"/>
      <c r="N600" s="1098"/>
      <c r="O600" s="1098"/>
      <c r="P600" s="1098"/>
      <c r="Q600" s="1098"/>
      <c r="R600" s="1098"/>
      <c r="S600" s="1098"/>
      <c r="T600" s="1098"/>
      <c r="U600" s="1098"/>
      <c r="V600" s="1098"/>
      <c r="W600" s="1098"/>
      <c r="X600" s="1098"/>
      <c r="Y600" s="1098"/>
      <c r="Z600" s="1098"/>
      <c r="AA600" s="1098"/>
      <c r="AB600" s="1098"/>
      <c r="AC600" s="1098"/>
      <c r="AD600" s="1098"/>
      <c r="AE600" s="1098"/>
      <c r="AF600" s="1098"/>
      <c r="AG600" s="1098"/>
      <c r="AH600" s="1098"/>
      <c r="AI600" s="1098"/>
      <c r="AJ600" s="1098"/>
      <c r="AK600" s="1098"/>
      <c r="AL600" s="1098"/>
      <c r="AM600" s="1098"/>
      <c r="AN600" s="1098"/>
      <c r="AO600" s="1098"/>
      <c r="AP600" s="1098"/>
      <c r="AQ600" s="1098"/>
      <c r="AR600" s="1098"/>
      <c r="AS600" s="1098"/>
      <c r="AT600" s="1098"/>
      <c r="AU600" s="1098"/>
      <c r="AV600" s="1098"/>
      <c r="AW600" s="1098"/>
      <c r="AX600" s="1098"/>
      <c r="AY600" s="1098"/>
      <c r="AZ600" s="1098"/>
      <c r="BA600" s="1098"/>
      <c r="BB600" s="1098"/>
      <c r="BC600" s="1098"/>
      <c r="BD600" s="1098"/>
      <c r="BE600" s="1098"/>
      <c r="BF600" s="1098"/>
      <c r="BG600" s="1098"/>
      <c r="BH600" s="1098"/>
      <c r="BI600" s="1098"/>
      <c r="BJ600" s="1098"/>
      <c r="BK600" s="1098"/>
      <c r="BL600" s="1098"/>
      <c r="BM600" s="1098"/>
      <c r="BN600" s="1098"/>
      <c r="BO600" s="1098"/>
      <c r="BP600" s="1098"/>
      <c r="BQ600" s="1098"/>
      <c r="BR600" s="1098"/>
      <c r="BS600" s="1098"/>
      <c r="BT600" s="1098"/>
      <c r="BU600" s="1098"/>
      <c r="BV600" s="1098"/>
      <c r="BW600" s="1098"/>
      <c r="BX600" s="1098"/>
      <c r="BY600" s="1098"/>
      <c r="BZ600" s="1098"/>
      <c r="CA600" s="1098"/>
      <c r="CB600" s="1098"/>
      <c r="CC600" s="1098"/>
      <c r="CD600" s="1098"/>
      <c r="CE600" s="1098"/>
      <c r="CF600" s="1098"/>
      <c r="CG600" s="1098"/>
      <c r="CH600" s="1098"/>
      <c r="CI600" s="1098"/>
      <c r="CJ600" s="1098"/>
      <c r="CK600" s="1098"/>
      <c r="CL600" s="1098"/>
      <c r="CM600" s="1098"/>
      <c r="CN600" s="1098"/>
      <c r="CO600" s="1098"/>
      <c r="CP600" s="1098"/>
      <c r="CQ600" s="1098"/>
      <c r="CR600" s="1098"/>
      <c r="CS600" s="1098"/>
      <c r="CT600" s="1098"/>
      <c r="CU600" s="1098"/>
      <c r="CV600" s="1098"/>
      <c r="CW600" s="1098"/>
      <c r="CX600" s="1098"/>
      <c r="CY600" s="1098"/>
      <c r="CZ600" s="1098"/>
      <c r="DA600" s="1098"/>
      <c r="DB600" s="1098"/>
      <c r="DC600" s="1098"/>
      <c r="DD600" s="1098"/>
      <c r="DE600" s="1098"/>
      <c r="DF600" s="1098"/>
      <c r="DG600" s="1098"/>
      <c r="DH600" s="1098"/>
      <c r="DI600" s="1098"/>
      <c r="DJ600" s="1098"/>
      <c r="DK600" s="1098"/>
      <c r="DL600" s="1098"/>
      <c r="DM600" s="1098"/>
      <c r="DN600" s="1098"/>
      <c r="DO600" s="1098"/>
      <c r="DP600" s="1098"/>
      <c r="DQ600" s="1098"/>
      <c r="DR600" s="1098"/>
      <c r="DS600" s="1098"/>
      <c r="DT600" s="1098"/>
      <c r="DU600" s="1098"/>
      <c r="DV600" s="1098"/>
      <c r="DW600" s="1098"/>
      <c r="DX600" s="1098"/>
      <c r="DY600" s="1098"/>
      <c r="DZ600" s="1098"/>
      <c r="EA600" s="1098"/>
      <c r="EB600" s="1098"/>
      <c r="EC600" s="1098"/>
      <c r="ED600" s="1098"/>
      <c r="EE600" s="1098"/>
      <c r="EF600" s="1098"/>
      <c r="EG600" s="1098"/>
      <c r="EH600" s="1098"/>
      <c r="EI600" s="1098"/>
      <c r="EJ600" s="1098"/>
      <c r="EK600" s="1098"/>
      <c r="EL600" s="1098"/>
      <c r="EM600" s="1098"/>
      <c r="EN600" s="1098"/>
      <c r="EO600" s="1098"/>
      <c r="EP600" s="1098"/>
      <c r="EQ600" s="1098"/>
      <c r="ER600" s="1098"/>
      <c r="ES600" s="1098"/>
      <c r="ET600" s="1098"/>
      <c r="EU600" s="1098"/>
      <c r="EV600" s="1098"/>
      <c r="EW600" s="1098"/>
      <c r="EX600" s="1098"/>
      <c r="EY600" s="1098"/>
      <c r="EZ600" s="1098"/>
      <c r="FA600" s="1098"/>
      <c r="FB600" s="1098"/>
      <c r="FC600" s="1098"/>
      <c r="FD600" s="1098"/>
      <c r="FE600" s="1098"/>
      <c r="FF600" s="1098"/>
      <c r="FG600" s="1098"/>
      <c r="FH600" s="1098"/>
      <c r="FI600" s="1098"/>
      <c r="FJ600" s="1098"/>
      <c r="FK600" s="1098"/>
      <c r="FL600" s="1098"/>
      <c r="FM600" s="1098"/>
      <c r="FN600" s="1098"/>
      <c r="FO600" s="1098"/>
      <c r="FP600" s="1098"/>
      <c r="FQ600" s="1098"/>
      <c r="FR600" s="1098"/>
      <c r="FS600" s="1098"/>
      <c r="FT600" s="1098"/>
      <c r="FU600" s="1098"/>
      <c r="FV600" s="1098"/>
      <c r="FW600" s="1098"/>
      <c r="FX600" s="1098"/>
      <c r="FY600" s="1098"/>
      <c r="FZ600" s="1098"/>
      <c r="GA600" s="1098"/>
      <c r="GB600" s="1098"/>
      <c r="GC600" s="1098"/>
      <c r="GD600" s="1098"/>
      <c r="GE600" s="1098"/>
      <c r="GF600" s="1098"/>
      <c r="GG600" s="1098"/>
      <c r="GH600" s="1098"/>
      <c r="GI600" s="1098"/>
      <c r="GJ600" s="1098"/>
      <c r="GK600" s="1098"/>
      <c r="GL600" s="1098"/>
      <c r="GM600" s="1098"/>
      <c r="GN600" s="1098"/>
      <c r="GO600" s="1098"/>
      <c r="GP600" s="1098"/>
      <c r="GQ600" s="1098"/>
      <c r="GR600" s="1098"/>
      <c r="GS600" s="1098"/>
      <c r="GT600" s="1098"/>
      <c r="GU600" s="1098"/>
      <c r="GV600" s="1098"/>
      <c r="GW600" s="1098"/>
      <c r="GX600" s="1098"/>
      <c r="GY600" s="1098"/>
      <c r="GZ600" s="1098"/>
      <c r="HA600" s="1098"/>
      <c r="HB600" s="1098"/>
      <c r="HC600" s="1098"/>
      <c r="HD600" s="1098"/>
      <c r="HE600" s="1098"/>
      <c r="HF600" s="1098"/>
      <c r="HG600" s="1098"/>
      <c r="HH600" s="1098"/>
      <c r="HI600" s="1098"/>
      <c r="HJ600" s="1098"/>
      <c r="HK600" s="1098"/>
      <c r="HL600" s="1098"/>
      <c r="HM600" s="1098"/>
      <c r="HN600" s="1098"/>
      <c r="HO600" s="1098"/>
      <c r="HP600" s="1098"/>
      <c r="HQ600" s="1098"/>
      <c r="HR600" s="1098"/>
      <c r="HS600" s="1098"/>
      <c r="HT600" s="1098"/>
      <c r="HU600" s="1098"/>
      <c r="HV600" s="1098"/>
      <c r="HW600" s="1098"/>
      <c r="HX600" s="1098"/>
      <c r="HY600" s="1098"/>
      <c r="HZ600" s="1098"/>
      <c r="IA600" s="1098"/>
      <c r="IB600" s="1098"/>
      <c r="IC600" s="1098"/>
      <c r="ID600" s="1098"/>
      <c r="IE600" s="1098"/>
      <c r="IF600" s="1098"/>
      <c r="IG600" s="1098"/>
      <c r="IH600" s="1098"/>
      <c r="II600" s="1098"/>
      <c r="IJ600" s="1098"/>
      <c r="IK600" s="1098"/>
      <c r="IL600" s="1098"/>
      <c r="IM600" s="1098"/>
      <c r="IN600" s="1098"/>
      <c r="IO600" s="1098"/>
      <c r="IP600" s="1098"/>
      <c r="IQ600" s="1098"/>
      <c r="IR600" s="1098"/>
      <c r="IS600" s="1098"/>
      <c r="IT600" s="1098"/>
      <c r="IU600" s="1098"/>
      <c r="IV600" s="1098"/>
      <c r="IW600" s="1098"/>
      <c r="IX600" s="1098"/>
      <c r="IY600" s="1098"/>
      <c r="IZ600" s="1098"/>
      <c r="JA600" s="1098"/>
      <c r="JB600" s="1098"/>
      <c r="JC600" s="1098"/>
      <c r="JD600" s="1098"/>
      <c r="JE600" s="1098"/>
      <c r="JF600" s="1098"/>
      <c r="JG600" s="1098"/>
      <c r="JH600" s="1098"/>
      <c r="JI600" s="1098"/>
      <c r="JJ600" s="1098"/>
      <c r="JK600" s="1098"/>
      <c r="JL600" s="1098"/>
      <c r="JM600" s="1098"/>
      <c r="JN600" s="1098"/>
      <c r="JO600" s="1098"/>
      <c r="JP600" s="1098"/>
      <c r="JQ600" s="1098"/>
      <c r="JR600" s="1098"/>
      <c r="JS600" s="1098"/>
      <c r="JT600" s="1098"/>
      <c r="JU600" s="1098"/>
      <c r="JV600" s="1098"/>
      <c r="JW600" s="1098"/>
      <c r="JX600" s="1098"/>
      <c r="JY600" s="1098"/>
      <c r="JZ600" s="1098"/>
      <c r="KA600" s="1098"/>
      <c r="KB600" s="1099"/>
    </row>
    <row r="601" spans="2:288" ht="15" customHeight="1" x14ac:dyDescent="0.35">
      <c r="B601" s="146" t="str">
        <f t="shared" si="47"/>
        <v>Desk 74</v>
      </c>
      <c r="C601" s="148" t="str">
        <v/>
      </c>
      <c r="D601" s="148" t="str">
        <v/>
      </c>
      <c r="E601" s="148" t="str">
        <v/>
      </c>
      <c r="F601" s="148" t="str">
        <v/>
      </c>
      <c r="G601" s="268" t="str">
        <v/>
      </c>
      <c r="H601" s="1098"/>
      <c r="I601" s="1098"/>
      <c r="J601" s="1098"/>
      <c r="K601" s="1098"/>
      <c r="L601" s="1098"/>
      <c r="M601" s="1098"/>
      <c r="N601" s="1098"/>
      <c r="O601" s="1098"/>
      <c r="P601" s="1098"/>
      <c r="Q601" s="1098"/>
      <c r="R601" s="1098"/>
      <c r="S601" s="1098"/>
      <c r="T601" s="1098"/>
      <c r="U601" s="1098"/>
      <c r="V601" s="1098"/>
      <c r="W601" s="1098"/>
      <c r="X601" s="1098"/>
      <c r="Y601" s="1098"/>
      <c r="Z601" s="1098"/>
      <c r="AA601" s="1098"/>
      <c r="AB601" s="1098"/>
      <c r="AC601" s="1098"/>
      <c r="AD601" s="1098"/>
      <c r="AE601" s="1098"/>
      <c r="AF601" s="1098"/>
      <c r="AG601" s="1098"/>
      <c r="AH601" s="1098"/>
      <c r="AI601" s="1098"/>
      <c r="AJ601" s="1098"/>
      <c r="AK601" s="1098"/>
      <c r="AL601" s="1098"/>
      <c r="AM601" s="1098"/>
      <c r="AN601" s="1098"/>
      <c r="AO601" s="1098"/>
      <c r="AP601" s="1098"/>
      <c r="AQ601" s="1098"/>
      <c r="AR601" s="1098"/>
      <c r="AS601" s="1098"/>
      <c r="AT601" s="1098"/>
      <c r="AU601" s="1098"/>
      <c r="AV601" s="1098"/>
      <c r="AW601" s="1098"/>
      <c r="AX601" s="1098"/>
      <c r="AY601" s="1098"/>
      <c r="AZ601" s="1098"/>
      <c r="BA601" s="1098"/>
      <c r="BB601" s="1098"/>
      <c r="BC601" s="1098"/>
      <c r="BD601" s="1098"/>
      <c r="BE601" s="1098"/>
      <c r="BF601" s="1098"/>
      <c r="BG601" s="1098"/>
      <c r="BH601" s="1098"/>
      <c r="BI601" s="1098"/>
      <c r="BJ601" s="1098"/>
      <c r="BK601" s="1098"/>
      <c r="BL601" s="1098"/>
      <c r="BM601" s="1098"/>
      <c r="BN601" s="1098"/>
      <c r="BO601" s="1098"/>
      <c r="BP601" s="1098"/>
      <c r="BQ601" s="1098"/>
      <c r="BR601" s="1098"/>
      <c r="BS601" s="1098"/>
      <c r="BT601" s="1098"/>
      <c r="BU601" s="1098"/>
      <c r="BV601" s="1098"/>
      <c r="BW601" s="1098"/>
      <c r="BX601" s="1098"/>
      <c r="BY601" s="1098"/>
      <c r="BZ601" s="1098"/>
      <c r="CA601" s="1098"/>
      <c r="CB601" s="1098"/>
      <c r="CC601" s="1098"/>
      <c r="CD601" s="1098"/>
      <c r="CE601" s="1098"/>
      <c r="CF601" s="1098"/>
      <c r="CG601" s="1098"/>
      <c r="CH601" s="1098"/>
      <c r="CI601" s="1098"/>
      <c r="CJ601" s="1098"/>
      <c r="CK601" s="1098"/>
      <c r="CL601" s="1098"/>
      <c r="CM601" s="1098"/>
      <c r="CN601" s="1098"/>
      <c r="CO601" s="1098"/>
      <c r="CP601" s="1098"/>
      <c r="CQ601" s="1098"/>
      <c r="CR601" s="1098"/>
      <c r="CS601" s="1098"/>
      <c r="CT601" s="1098"/>
      <c r="CU601" s="1098"/>
      <c r="CV601" s="1098"/>
      <c r="CW601" s="1098"/>
      <c r="CX601" s="1098"/>
      <c r="CY601" s="1098"/>
      <c r="CZ601" s="1098"/>
      <c r="DA601" s="1098"/>
      <c r="DB601" s="1098"/>
      <c r="DC601" s="1098"/>
      <c r="DD601" s="1098"/>
      <c r="DE601" s="1098"/>
      <c r="DF601" s="1098"/>
      <c r="DG601" s="1098"/>
      <c r="DH601" s="1098"/>
      <c r="DI601" s="1098"/>
      <c r="DJ601" s="1098"/>
      <c r="DK601" s="1098"/>
      <c r="DL601" s="1098"/>
      <c r="DM601" s="1098"/>
      <c r="DN601" s="1098"/>
      <c r="DO601" s="1098"/>
      <c r="DP601" s="1098"/>
      <c r="DQ601" s="1098"/>
      <c r="DR601" s="1098"/>
      <c r="DS601" s="1098"/>
      <c r="DT601" s="1098"/>
      <c r="DU601" s="1098"/>
      <c r="DV601" s="1098"/>
      <c r="DW601" s="1098"/>
      <c r="DX601" s="1098"/>
      <c r="DY601" s="1098"/>
      <c r="DZ601" s="1098"/>
      <c r="EA601" s="1098"/>
      <c r="EB601" s="1098"/>
      <c r="EC601" s="1098"/>
      <c r="ED601" s="1098"/>
      <c r="EE601" s="1098"/>
      <c r="EF601" s="1098"/>
      <c r="EG601" s="1098"/>
      <c r="EH601" s="1098"/>
      <c r="EI601" s="1098"/>
      <c r="EJ601" s="1098"/>
      <c r="EK601" s="1098"/>
      <c r="EL601" s="1098"/>
      <c r="EM601" s="1098"/>
      <c r="EN601" s="1098"/>
      <c r="EO601" s="1098"/>
      <c r="EP601" s="1098"/>
      <c r="EQ601" s="1098"/>
      <c r="ER601" s="1098"/>
      <c r="ES601" s="1098"/>
      <c r="ET601" s="1098"/>
      <c r="EU601" s="1098"/>
      <c r="EV601" s="1098"/>
      <c r="EW601" s="1098"/>
      <c r="EX601" s="1098"/>
      <c r="EY601" s="1098"/>
      <c r="EZ601" s="1098"/>
      <c r="FA601" s="1098"/>
      <c r="FB601" s="1098"/>
      <c r="FC601" s="1098"/>
      <c r="FD601" s="1098"/>
      <c r="FE601" s="1098"/>
      <c r="FF601" s="1098"/>
      <c r="FG601" s="1098"/>
      <c r="FH601" s="1098"/>
      <c r="FI601" s="1098"/>
      <c r="FJ601" s="1098"/>
      <c r="FK601" s="1098"/>
      <c r="FL601" s="1098"/>
      <c r="FM601" s="1098"/>
      <c r="FN601" s="1098"/>
      <c r="FO601" s="1098"/>
      <c r="FP601" s="1098"/>
      <c r="FQ601" s="1098"/>
      <c r="FR601" s="1098"/>
      <c r="FS601" s="1098"/>
      <c r="FT601" s="1098"/>
      <c r="FU601" s="1098"/>
      <c r="FV601" s="1098"/>
      <c r="FW601" s="1098"/>
      <c r="FX601" s="1098"/>
      <c r="FY601" s="1098"/>
      <c r="FZ601" s="1098"/>
      <c r="GA601" s="1098"/>
      <c r="GB601" s="1098"/>
      <c r="GC601" s="1098"/>
      <c r="GD601" s="1098"/>
      <c r="GE601" s="1098"/>
      <c r="GF601" s="1098"/>
      <c r="GG601" s="1098"/>
      <c r="GH601" s="1098"/>
      <c r="GI601" s="1098"/>
      <c r="GJ601" s="1098"/>
      <c r="GK601" s="1098"/>
      <c r="GL601" s="1098"/>
      <c r="GM601" s="1098"/>
      <c r="GN601" s="1098"/>
      <c r="GO601" s="1098"/>
      <c r="GP601" s="1098"/>
      <c r="GQ601" s="1098"/>
      <c r="GR601" s="1098"/>
      <c r="GS601" s="1098"/>
      <c r="GT601" s="1098"/>
      <c r="GU601" s="1098"/>
      <c r="GV601" s="1098"/>
      <c r="GW601" s="1098"/>
      <c r="GX601" s="1098"/>
      <c r="GY601" s="1098"/>
      <c r="GZ601" s="1098"/>
      <c r="HA601" s="1098"/>
      <c r="HB601" s="1098"/>
      <c r="HC601" s="1098"/>
      <c r="HD601" s="1098"/>
      <c r="HE601" s="1098"/>
      <c r="HF601" s="1098"/>
      <c r="HG601" s="1098"/>
      <c r="HH601" s="1098"/>
      <c r="HI601" s="1098"/>
      <c r="HJ601" s="1098"/>
      <c r="HK601" s="1098"/>
      <c r="HL601" s="1098"/>
      <c r="HM601" s="1098"/>
      <c r="HN601" s="1098"/>
      <c r="HO601" s="1098"/>
      <c r="HP601" s="1098"/>
      <c r="HQ601" s="1098"/>
      <c r="HR601" s="1098"/>
      <c r="HS601" s="1098"/>
      <c r="HT601" s="1098"/>
      <c r="HU601" s="1098"/>
      <c r="HV601" s="1098"/>
      <c r="HW601" s="1098"/>
      <c r="HX601" s="1098"/>
      <c r="HY601" s="1098"/>
      <c r="HZ601" s="1098"/>
      <c r="IA601" s="1098"/>
      <c r="IB601" s="1098"/>
      <c r="IC601" s="1098"/>
      <c r="ID601" s="1098"/>
      <c r="IE601" s="1098"/>
      <c r="IF601" s="1098"/>
      <c r="IG601" s="1098"/>
      <c r="IH601" s="1098"/>
      <c r="II601" s="1098"/>
      <c r="IJ601" s="1098"/>
      <c r="IK601" s="1098"/>
      <c r="IL601" s="1098"/>
      <c r="IM601" s="1098"/>
      <c r="IN601" s="1098"/>
      <c r="IO601" s="1098"/>
      <c r="IP601" s="1098"/>
      <c r="IQ601" s="1098"/>
      <c r="IR601" s="1098"/>
      <c r="IS601" s="1098"/>
      <c r="IT601" s="1098"/>
      <c r="IU601" s="1098"/>
      <c r="IV601" s="1098"/>
      <c r="IW601" s="1098"/>
      <c r="IX601" s="1098"/>
      <c r="IY601" s="1098"/>
      <c r="IZ601" s="1098"/>
      <c r="JA601" s="1098"/>
      <c r="JB601" s="1098"/>
      <c r="JC601" s="1098"/>
      <c r="JD601" s="1098"/>
      <c r="JE601" s="1098"/>
      <c r="JF601" s="1098"/>
      <c r="JG601" s="1098"/>
      <c r="JH601" s="1098"/>
      <c r="JI601" s="1098"/>
      <c r="JJ601" s="1098"/>
      <c r="JK601" s="1098"/>
      <c r="JL601" s="1098"/>
      <c r="JM601" s="1098"/>
      <c r="JN601" s="1098"/>
      <c r="JO601" s="1098"/>
      <c r="JP601" s="1098"/>
      <c r="JQ601" s="1098"/>
      <c r="JR601" s="1098"/>
      <c r="JS601" s="1098"/>
      <c r="JT601" s="1098"/>
      <c r="JU601" s="1098"/>
      <c r="JV601" s="1098"/>
      <c r="JW601" s="1098"/>
      <c r="JX601" s="1098"/>
      <c r="JY601" s="1098"/>
      <c r="JZ601" s="1098"/>
      <c r="KA601" s="1098"/>
      <c r="KB601" s="1099"/>
    </row>
    <row r="602" spans="2:288" ht="15" customHeight="1" x14ac:dyDescent="0.35">
      <c r="B602" s="146" t="str">
        <f t="shared" si="47"/>
        <v>Desk 75</v>
      </c>
      <c r="C602" s="148" t="str">
        <v/>
      </c>
      <c r="D602" s="148" t="str">
        <v/>
      </c>
      <c r="E602" s="148" t="str">
        <v/>
      </c>
      <c r="F602" s="148" t="str">
        <v/>
      </c>
      <c r="G602" s="268" t="str">
        <v/>
      </c>
      <c r="H602" s="1098"/>
      <c r="I602" s="1098"/>
      <c r="J602" s="1098"/>
      <c r="K602" s="1098"/>
      <c r="L602" s="1098"/>
      <c r="M602" s="1098"/>
      <c r="N602" s="1098"/>
      <c r="O602" s="1098"/>
      <c r="P602" s="1098"/>
      <c r="Q602" s="1098"/>
      <c r="R602" s="1098"/>
      <c r="S602" s="1098"/>
      <c r="T602" s="1098"/>
      <c r="U602" s="1098"/>
      <c r="V602" s="1098"/>
      <c r="W602" s="1098"/>
      <c r="X602" s="1098"/>
      <c r="Y602" s="1098"/>
      <c r="Z602" s="1098"/>
      <c r="AA602" s="1098"/>
      <c r="AB602" s="1098"/>
      <c r="AC602" s="1098"/>
      <c r="AD602" s="1098"/>
      <c r="AE602" s="1098"/>
      <c r="AF602" s="1098"/>
      <c r="AG602" s="1098"/>
      <c r="AH602" s="1098"/>
      <c r="AI602" s="1098"/>
      <c r="AJ602" s="1098"/>
      <c r="AK602" s="1098"/>
      <c r="AL602" s="1098"/>
      <c r="AM602" s="1098"/>
      <c r="AN602" s="1098"/>
      <c r="AO602" s="1098"/>
      <c r="AP602" s="1098"/>
      <c r="AQ602" s="1098"/>
      <c r="AR602" s="1098"/>
      <c r="AS602" s="1098"/>
      <c r="AT602" s="1098"/>
      <c r="AU602" s="1098"/>
      <c r="AV602" s="1098"/>
      <c r="AW602" s="1098"/>
      <c r="AX602" s="1098"/>
      <c r="AY602" s="1098"/>
      <c r="AZ602" s="1098"/>
      <c r="BA602" s="1098"/>
      <c r="BB602" s="1098"/>
      <c r="BC602" s="1098"/>
      <c r="BD602" s="1098"/>
      <c r="BE602" s="1098"/>
      <c r="BF602" s="1098"/>
      <c r="BG602" s="1098"/>
      <c r="BH602" s="1098"/>
      <c r="BI602" s="1098"/>
      <c r="BJ602" s="1098"/>
      <c r="BK602" s="1098"/>
      <c r="BL602" s="1098"/>
      <c r="BM602" s="1098"/>
      <c r="BN602" s="1098"/>
      <c r="BO602" s="1098"/>
      <c r="BP602" s="1098"/>
      <c r="BQ602" s="1098"/>
      <c r="BR602" s="1098"/>
      <c r="BS602" s="1098"/>
      <c r="BT602" s="1098"/>
      <c r="BU602" s="1098"/>
      <c r="BV602" s="1098"/>
      <c r="BW602" s="1098"/>
      <c r="BX602" s="1098"/>
      <c r="BY602" s="1098"/>
      <c r="BZ602" s="1098"/>
      <c r="CA602" s="1098"/>
      <c r="CB602" s="1098"/>
      <c r="CC602" s="1098"/>
      <c r="CD602" s="1098"/>
      <c r="CE602" s="1098"/>
      <c r="CF602" s="1098"/>
      <c r="CG602" s="1098"/>
      <c r="CH602" s="1098"/>
      <c r="CI602" s="1098"/>
      <c r="CJ602" s="1098"/>
      <c r="CK602" s="1098"/>
      <c r="CL602" s="1098"/>
      <c r="CM602" s="1098"/>
      <c r="CN602" s="1098"/>
      <c r="CO602" s="1098"/>
      <c r="CP602" s="1098"/>
      <c r="CQ602" s="1098"/>
      <c r="CR602" s="1098"/>
      <c r="CS602" s="1098"/>
      <c r="CT602" s="1098"/>
      <c r="CU602" s="1098"/>
      <c r="CV602" s="1098"/>
      <c r="CW602" s="1098"/>
      <c r="CX602" s="1098"/>
      <c r="CY602" s="1098"/>
      <c r="CZ602" s="1098"/>
      <c r="DA602" s="1098"/>
      <c r="DB602" s="1098"/>
      <c r="DC602" s="1098"/>
      <c r="DD602" s="1098"/>
      <c r="DE602" s="1098"/>
      <c r="DF602" s="1098"/>
      <c r="DG602" s="1098"/>
      <c r="DH602" s="1098"/>
      <c r="DI602" s="1098"/>
      <c r="DJ602" s="1098"/>
      <c r="DK602" s="1098"/>
      <c r="DL602" s="1098"/>
      <c r="DM602" s="1098"/>
      <c r="DN602" s="1098"/>
      <c r="DO602" s="1098"/>
      <c r="DP602" s="1098"/>
      <c r="DQ602" s="1098"/>
      <c r="DR602" s="1098"/>
      <c r="DS602" s="1098"/>
      <c r="DT602" s="1098"/>
      <c r="DU602" s="1098"/>
      <c r="DV602" s="1098"/>
      <c r="DW602" s="1098"/>
      <c r="DX602" s="1098"/>
      <c r="DY602" s="1098"/>
      <c r="DZ602" s="1098"/>
      <c r="EA602" s="1098"/>
      <c r="EB602" s="1098"/>
      <c r="EC602" s="1098"/>
      <c r="ED602" s="1098"/>
      <c r="EE602" s="1098"/>
      <c r="EF602" s="1098"/>
      <c r="EG602" s="1098"/>
      <c r="EH602" s="1098"/>
      <c r="EI602" s="1098"/>
      <c r="EJ602" s="1098"/>
      <c r="EK602" s="1098"/>
      <c r="EL602" s="1098"/>
      <c r="EM602" s="1098"/>
      <c r="EN602" s="1098"/>
      <c r="EO602" s="1098"/>
      <c r="EP602" s="1098"/>
      <c r="EQ602" s="1098"/>
      <c r="ER602" s="1098"/>
      <c r="ES602" s="1098"/>
      <c r="ET602" s="1098"/>
      <c r="EU602" s="1098"/>
      <c r="EV602" s="1098"/>
      <c r="EW602" s="1098"/>
      <c r="EX602" s="1098"/>
      <c r="EY602" s="1098"/>
      <c r="EZ602" s="1098"/>
      <c r="FA602" s="1098"/>
      <c r="FB602" s="1098"/>
      <c r="FC602" s="1098"/>
      <c r="FD602" s="1098"/>
      <c r="FE602" s="1098"/>
      <c r="FF602" s="1098"/>
      <c r="FG602" s="1098"/>
      <c r="FH602" s="1098"/>
      <c r="FI602" s="1098"/>
      <c r="FJ602" s="1098"/>
      <c r="FK602" s="1098"/>
      <c r="FL602" s="1098"/>
      <c r="FM602" s="1098"/>
      <c r="FN602" s="1098"/>
      <c r="FO602" s="1098"/>
      <c r="FP602" s="1098"/>
      <c r="FQ602" s="1098"/>
      <c r="FR602" s="1098"/>
      <c r="FS602" s="1098"/>
      <c r="FT602" s="1098"/>
      <c r="FU602" s="1098"/>
      <c r="FV602" s="1098"/>
      <c r="FW602" s="1098"/>
      <c r="FX602" s="1098"/>
      <c r="FY602" s="1098"/>
      <c r="FZ602" s="1098"/>
      <c r="GA602" s="1098"/>
      <c r="GB602" s="1098"/>
      <c r="GC602" s="1098"/>
      <c r="GD602" s="1098"/>
      <c r="GE602" s="1098"/>
      <c r="GF602" s="1098"/>
      <c r="GG602" s="1098"/>
      <c r="GH602" s="1098"/>
      <c r="GI602" s="1098"/>
      <c r="GJ602" s="1098"/>
      <c r="GK602" s="1098"/>
      <c r="GL602" s="1098"/>
      <c r="GM602" s="1098"/>
      <c r="GN602" s="1098"/>
      <c r="GO602" s="1098"/>
      <c r="GP602" s="1098"/>
      <c r="GQ602" s="1098"/>
      <c r="GR602" s="1098"/>
      <c r="GS602" s="1098"/>
      <c r="GT602" s="1098"/>
      <c r="GU602" s="1098"/>
      <c r="GV602" s="1098"/>
      <c r="GW602" s="1098"/>
      <c r="GX602" s="1098"/>
      <c r="GY602" s="1098"/>
      <c r="GZ602" s="1098"/>
      <c r="HA602" s="1098"/>
      <c r="HB602" s="1098"/>
      <c r="HC602" s="1098"/>
      <c r="HD602" s="1098"/>
      <c r="HE602" s="1098"/>
      <c r="HF602" s="1098"/>
      <c r="HG602" s="1098"/>
      <c r="HH602" s="1098"/>
      <c r="HI602" s="1098"/>
      <c r="HJ602" s="1098"/>
      <c r="HK602" s="1098"/>
      <c r="HL602" s="1098"/>
      <c r="HM602" s="1098"/>
      <c r="HN602" s="1098"/>
      <c r="HO602" s="1098"/>
      <c r="HP602" s="1098"/>
      <c r="HQ602" s="1098"/>
      <c r="HR602" s="1098"/>
      <c r="HS602" s="1098"/>
      <c r="HT602" s="1098"/>
      <c r="HU602" s="1098"/>
      <c r="HV602" s="1098"/>
      <c r="HW602" s="1098"/>
      <c r="HX602" s="1098"/>
      <c r="HY602" s="1098"/>
      <c r="HZ602" s="1098"/>
      <c r="IA602" s="1098"/>
      <c r="IB602" s="1098"/>
      <c r="IC602" s="1098"/>
      <c r="ID602" s="1098"/>
      <c r="IE602" s="1098"/>
      <c r="IF602" s="1098"/>
      <c r="IG602" s="1098"/>
      <c r="IH602" s="1098"/>
      <c r="II602" s="1098"/>
      <c r="IJ602" s="1098"/>
      <c r="IK602" s="1098"/>
      <c r="IL602" s="1098"/>
      <c r="IM602" s="1098"/>
      <c r="IN602" s="1098"/>
      <c r="IO602" s="1098"/>
      <c r="IP602" s="1098"/>
      <c r="IQ602" s="1098"/>
      <c r="IR602" s="1098"/>
      <c r="IS602" s="1098"/>
      <c r="IT602" s="1098"/>
      <c r="IU602" s="1098"/>
      <c r="IV602" s="1098"/>
      <c r="IW602" s="1098"/>
      <c r="IX602" s="1098"/>
      <c r="IY602" s="1098"/>
      <c r="IZ602" s="1098"/>
      <c r="JA602" s="1098"/>
      <c r="JB602" s="1098"/>
      <c r="JC602" s="1098"/>
      <c r="JD602" s="1098"/>
      <c r="JE602" s="1098"/>
      <c r="JF602" s="1098"/>
      <c r="JG602" s="1098"/>
      <c r="JH602" s="1098"/>
      <c r="JI602" s="1098"/>
      <c r="JJ602" s="1098"/>
      <c r="JK602" s="1098"/>
      <c r="JL602" s="1098"/>
      <c r="JM602" s="1098"/>
      <c r="JN602" s="1098"/>
      <c r="JO602" s="1098"/>
      <c r="JP602" s="1098"/>
      <c r="JQ602" s="1098"/>
      <c r="JR602" s="1098"/>
      <c r="JS602" s="1098"/>
      <c r="JT602" s="1098"/>
      <c r="JU602" s="1098"/>
      <c r="JV602" s="1098"/>
      <c r="JW602" s="1098"/>
      <c r="JX602" s="1098"/>
      <c r="JY602" s="1098"/>
      <c r="JZ602" s="1098"/>
      <c r="KA602" s="1098"/>
      <c r="KB602" s="1099"/>
    </row>
    <row r="603" spans="2:288" ht="15" customHeight="1" x14ac:dyDescent="0.35">
      <c r="B603" s="146" t="str">
        <f t="shared" si="47"/>
        <v>Desk 76</v>
      </c>
      <c r="C603" s="148" t="str">
        <v/>
      </c>
      <c r="D603" s="148" t="str">
        <v/>
      </c>
      <c r="E603" s="148" t="str">
        <v/>
      </c>
      <c r="F603" s="148" t="str">
        <v/>
      </c>
      <c r="G603" s="268" t="str">
        <v/>
      </c>
      <c r="H603" s="1098"/>
      <c r="I603" s="1098"/>
      <c r="J603" s="1098"/>
      <c r="K603" s="1098"/>
      <c r="L603" s="1098"/>
      <c r="M603" s="1098"/>
      <c r="N603" s="1098"/>
      <c r="O603" s="1098"/>
      <c r="P603" s="1098"/>
      <c r="Q603" s="1098"/>
      <c r="R603" s="1098"/>
      <c r="S603" s="1098"/>
      <c r="T603" s="1098"/>
      <c r="U603" s="1098"/>
      <c r="V603" s="1098"/>
      <c r="W603" s="1098"/>
      <c r="X603" s="1098"/>
      <c r="Y603" s="1098"/>
      <c r="Z603" s="1098"/>
      <c r="AA603" s="1098"/>
      <c r="AB603" s="1098"/>
      <c r="AC603" s="1098"/>
      <c r="AD603" s="1098"/>
      <c r="AE603" s="1098"/>
      <c r="AF603" s="1098"/>
      <c r="AG603" s="1098"/>
      <c r="AH603" s="1098"/>
      <c r="AI603" s="1098"/>
      <c r="AJ603" s="1098"/>
      <c r="AK603" s="1098"/>
      <c r="AL603" s="1098"/>
      <c r="AM603" s="1098"/>
      <c r="AN603" s="1098"/>
      <c r="AO603" s="1098"/>
      <c r="AP603" s="1098"/>
      <c r="AQ603" s="1098"/>
      <c r="AR603" s="1098"/>
      <c r="AS603" s="1098"/>
      <c r="AT603" s="1098"/>
      <c r="AU603" s="1098"/>
      <c r="AV603" s="1098"/>
      <c r="AW603" s="1098"/>
      <c r="AX603" s="1098"/>
      <c r="AY603" s="1098"/>
      <c r="AZ603" s="1098"/>
      <c r="BA603" s="1098"/>
      <c r="BB603" s="1098"/>
      <c r="BC603" s="1098"/>
      <c r="BD603" s="1098"/>
      <c r="BE603" s="1098"/>
      <c r="BF603" s="1098"/>
      <c r="BG603" s="1098"/>
      <c r="BH603" s="1098"/>
      <c r="BI603" s="1098"/>
      <c r="BJ603" s="1098"/>
      <c r="BK603" s="1098"/>
      <c r="BL603" s="1098"/>
      <c r="BM603" s="1098"/>
      <c r="BN603" s="1098"/>
      <c r="BO603" s="1098"/>
      <c r="BP603" s="1098"/>
      <c r="BQ603" s="1098"/>
      <c r="BR603" s="1098"/>
      <c r="BS603" s="1098"/>
      <c r="BT603" s="1098"/>
      <c r="BU603" s="1098"/>
      <c r="BV603" s="1098"/>
      <c r="BW603" s="1098"/>
      <c r="BX603" s="1098"/>
      <c r="BY603" s="1098"/>
      <c r="BZ603" s="1098"/>
      <c r="CA603" s="1098"/>
      <c r="CB603" s="1098"/>
      <c r="CC603" s="1098"/>
      <c r="CD603" s="1098"/>
      <c r="CE603" s="1098"/>
      <c r="CF603" s="1098"/>
      <c r="CG603" s="1098"/>
      <c r="CH603" s="1098"/>
      <c r="CI603" s="1098"/>
      <c r="CJ603" s="1098"/>
      <c r="CK603" s="1098"/>
      <c r="CL603" s="1098"/>
      <c r="CM603" s="1098"/>
      <c r="CN603" s="1098"/>
      <c r="CO603" s="1098"/>
      <c r="CP603" s="1098"/>
      <c r="CQ603" s="1098"/>
      <c r="CR603" s="1098"/>
      <c r="CS603" s="1098"/>
      <c r="CT603" s="1098"/>
      <c r="CU603" s="1098"/>
      <c r="CV603" s="1098"/>
      <c r="CW603" s="1098"/>
      <c r="CX603" s="1098"/>
      <c r="CY603" s="1098"/>
      <c r="CZ603" s="1098"/>
      <c r="DA603" s="1098"/>
      <c r="DB603" s="1098"/>
      <c r="DC603" s="1098"/>
      <c r="DD603" s="1098"/>
      <c r="DE603" s="1098"/>
      <c r="DF603" s="1098"/>
      <c r="DG603" s="1098"/>
      <c r="DH603" s="1098"/>
      <c r="DI603" s="1098"/>
      <c r="DJ603" s="1098"/>
      <c r="DK603" s="1098"/>
      <c r="DL603" s="1098"/>
      <c r="DM603" s="1098"/>
      <c r="DN603" s="1098"/>
      <c r="DO603" s="1098"/>
      <c r="DP603" s="1098"/>
      <c r="DQ603" s="1098"/>
      <c r="DR603" s="1098"/>
      <c r="DS603" s="1098"/>
      <c r="DT603" s="1098"/>
      <c r="DU603" s="1098"/>
      <c r="DV603" s="1098"/>
      <c r="DW603" s="1098"/>
      <c r="DX603" s="1098"/>
      <c r="DY603" s="1098"/>
      <c r="DZ603" s="1098"/>
      <c r="EA603" s="1098"/>
      <c r="EB603" s="1098"/>
      <c r="EC603" s="1098"/>
      <c r="ED603" s="1098"/>
      <c r="EE603" s="1098"/>
      <c r="EF603" s="1098"/>
      <c r="EG603" s="1098"/>
      <c r="EH603" s="1098"/>
      <c r="EI603" s="1098"/>
      <c r="EJ603" s="1098"/>
      <c r="EK603" s="1098"/>
      <c r="EL603" s="1098"/>
      <c r="EM603" s="1098"/>
      <c r="EN603" s="1098"/>
      <c r="EO603" s="1098"/>
      <c r="EP603" s="1098"/>
      <c r="EQ603" s="1098"/>
      <c r="ER603" s="1098"/>
      <c r="ES603" s="1098"/>
      <c r="ET603" s="1098"/>
      <c r="EU603" s="1098"/>
      <c r="EV603" s="1098"/>
      <c r="EW603" s="1098"/>
      <c r="EX603" s="1098"/>
      <c r="EY603" s="1098"/>
      <c r="EZ603" s="1098"/>
      <c r="FA603" s="1098"/>
      <c r="FB603" s="1098"/>
      <c r="FC603" s="1098"/>
      <c r="FD603" s="1098"/>
      <c r="FE603" s="1098"/>
      <c r="FF603" s="1098"/>
      <c r="FG603" s="1098"/>
      <c r="FH603" s="1098"/>
      <c r="FI603" s="1098"/>
      <c r="FJ603" s="1098"/>
      <c r="FK603" s="1098"/>
      <c r="FL603" s="1098"/>
      <c r="FM603" s="1098"/>
      <c r="FN603" s="1098"/>
      <c r="FO603" s="1098"/>
      <c r="FP603" s="1098"/>
      <c r="FQ603" s="1098"/>
      <c r="FR603" s="1098"/>
      <c r="FS603" s="1098"/>
      <c r="FT603" s="1098"/>
      <c r="FU603" s="1098"/>
      <c r="FV603" s="1098"/>
      <c r="FW603" s="1098"/>
      <c r="FX603" s="1098"/>
      <c r="FY603" s="1098"/>
      <c r="FZ603" s="1098"/>
      <c r="GA603" s="1098"/>
      <c r="GB603" s="1098"/>
      <c r="GC603" s="1098"/>
      <c r="GD603" s="1098"/>
      <c r="GE603" s="1098"/>
      <c r="GF603" s="1098"/>
      <c r="GG603" s="1098"/>
      <c r="GH603" s="1098"/>
      <c r="GI603" s="1098"/>
      <c r="GJ603" s="1098"/>
      <c r="GK603" s="1098"/>
      <c r="GL603" s="1098"/>
      <c r="GM603" s="1098"/>
      <c r="GN603" s="1098"/>
      <c r="GO603" s="1098"/>
      <c r="GP603" s="1098"/>
      <c r="GQ603" s="1098"/>
      <c r="GR603" s="1098"/>
      <c r="GS603" s="1098"/>
      <c r="GT603" s="1098"/>
      <c r="GU603" s="1098"/>
      <c r="GV603" s="1098"/>
      <c r="GW603" s="1098"/>
      <c r="GX603" s="1098"/>
      <c r="GY603" s="1098"/>
      <c r="GZ603" s="1098"/>
      <c r="HA603" s="1098"/>
      <c r="HB603" s="1098"/>
      <c r="HC603" s="1098"/>
      <c r="HD603" s="1098"/>
      <c r="HE603" s="1098"/>
      <c r="HF603" s="1098"/>
      <c r="HG603" s="1098"/>
      <c r="HH603" s="1098"/>
      <c r="HI603" s="1098"/>
      <c r="HJ603" s="1098"/>
      <c r="HK603" s="1098"/>
      <c r="HL603" s="1098"/>
      <c r="HM603" s="1098"/>
      <c r="HN603" s="1098"/>
      <c r="HO603" s="1098"/>
      <c r="HP603" s="1098"/>
      <c r="HQ603" s="1098"/>
      <c r="HR603" s="1098"/>
      <c r="HS603" s="1098"/>
      <c r="HT603" s="1098"/>
      <c r="HU603" s="1098"/>
      <c r="HV603" s="1098"/>
      <c r="HW603" s="1098"/>
      <c r="HX603" s="1098"/>
      <c r="HY603" s="1098"/>
      <c r="HZ603" s="1098"/>
      <c r="IA603" s="1098"/>
      <c r="IB603" s="1098"/>
      <c r="IC603" s="1098"/>
      <c r="ID603" s="1098"/>
      <c r="IE603" s="1098"/>
      <c r="IF603" s="1098"/>
      <c r="IG603" s="1098"/>
      <c r="IH603" s="1098"/>
      <c r="II603" s="1098"/>
      <c r="IJ603" s="1098"/>
      <c r="IK603" s="1098"/>
      <c r="IL603" s="1098"/>
      <c r="IM603" s="1098"/>
      <c r="IN603" s="1098"/>
      <c r="IO603" s="1098"/>
      <c r="IP603" s="1098"/>
      <c r="IQ603" s="1098"/>
      <c r="IR603" s="1098"/>
      <c r="IS603" s="1098"/>
      <c r="IT603" s="1098"/>
      <c r="IU603" s="1098"/>
      <c r="IV603" s="1098"/>
      <c r="IW603" s="1098"/>
      <c r="IX603" s="1098"/>
      <c r="IY603" s="1098"/>
      <c r="IZ603" s="1098"/>
      <c r="JA603" s="1098"/>
      <c r="JB603" s="1098"/>
      <c r="JC603" s="1098"/>
      <c r="JD603" s="1098"/>
      <c r="JE603" s="1098"/>
      <c r="JF603" s="1098"/>
      <c r="JG603" s="1098"/>
      <c r="JH603" s="1098"/>
      <c r="JI603" s="1098"/>
      <c r="JJ603" s="1098"/>
      <c r="JK603" s="1098"/>
      <c r="JL603" s="1098"/>
      <c r="JM603" s="1098"/>
      <c r="JN603" s="1098"/>
      <c r="JO603" s="1098"/>
      <c r="JP603" s="1098"/>
      <c r="JQ603" s="1098"/>
      <c r="JR603" s="1098"/>
      <c r="JS603" s="1098"/>
      <c r="JT603" s="1098"/>
      <c r="JU603" s="1098"/>
      <c r="JV603" s="1098"/>
      <c r="JW603" s="1098"/>
      <c r="JX603" s="1098"/>
      <c r="JY603" s="1098"/>
      <c r="JZ603" s="1098"/>
      <c r="KA603" s="1098"/>
      <c r="KB603" s="1099"/>
    </row>
    <row r="604" spans="2:288" ht="15" customHeight="1" x14ac:dyDescent="0.35">
      <c r="B604" s="146" t="str">
        <f t="shared" si="47"/>
        <v>Desk 77</v>
      </c>
      <c r="C604" s="148" t="str">
        <v/>
      </c>
      <c r="D604" s="148" t="str">
        <v/>
      </c>
      <c r="E604" s="148" t="str">
        <v/>
      </c>
      <c r="F604" s="148" t="str">
        <v/>
      </c>
      <c r="G604" s="268" t="str">
        <v/>
      </c>
      <c r="H604" s="1098"/>
      <c r="I604" s="1098"/>
      <c r="J604" s="1098"/>
      <c r="K604" s="1098"/>
      <c r="L604" s="1098"/>
      <c r="M604" s="1098"/>
      <c r="N604" s="1098"/>
      <c r="O604" s="1098"/>
      <c r="P604" s="1098"/>
      <c r="Q604" s="1098"/>
      <c r="R604" s="1098"/>
      <c r="S604" s="1098"/>
      <c r="T604" s="1098"/>
      <c r="U604" s="1098"/>
      <c r="V604" s="1098"/>
      <c r="W604" s="1098"/>
      <c r="X604" s="1098"/>
      <c r="Y604" s="1098"/>
      <c r="Z604" s="1098"/>
      <c r="AA604" s="1098"/>
      <c r="AB604" s="1098"/>
      <c r="AC604" s="1098"/>
      <c r="AD604" s="1098"/>
      <c r="AE604" s="1098"/>
      <c r="AF604" s="1098"/>
      <c r="AG604" s="1098"/>
      <c r="AH604" s="1098"/>
      <c r="AI604" s="1098"/>
      <c r="AJ604" s="1098"/>
      <c r="AK604" s="1098"/>
      <c r="AL604" s="1098"/>
      <c r="AM604" s="1098"/>
      <c r="AN604" s="1098"/>
      <c r="AO604" s="1098"/>
      <c r="AP604" s="1098"/>
      <c r="AQ604" s="1098"/>
      <c r="AR604" s="1098"/>
      <c r="AS604" s="1098"/>
      <c r="AT604" s="1098"/>
      <c r="AU604" s="1098"/>
      <c r="AV604" s="1098"/>
      <c r="AW604" s="1098"/>
      <c r="AX604" s="1098"/>
      <c r="AY604" s="1098"/>
      <c r="AZ604" s="1098"/>
      <c r="BA604" s="1098"/>
      <c r="BB604" s="1098"/>
      <c r="BC604" s="1098"/>
      <c r="BD604" s="1098"/>
      <c r="BE604" s="1098"/>
      <c r="BF604" s="1098"/>
      <c r="BG604" s="1098"/>
      <c r="BH604" s="1098"/>
      <c r="BI604" s="1098"/>
      <c r="BJ604" s="1098"/>
      <c r="BK604" s="1098"/>
      <c r="BL604" s="1098"/>
      <c r="BM604" s="1098"/>
      <c r="BN604" s="1098"/>
      <c r="BO604" s="1098"/>
      <c r="BP604" s="1098"/>
      <c r="BQ604" s="1098"/>
      <c r="BR604" s="1098"/>
      <c r="BS604" s="1098"/>
      <c r="BT604" s="1098"/>
      <c r="BU604" s="1098"/>
      <c r="BV604" s="1098"/>
      <c r="BW604" s="1098"/>
      <c r="BX604" s="1098"/>
      <c r="BY604" s="1098"/>
      <c r="BZ604" s="1098"/>
      <c r="CA604" s="1098"/>
      <c r="CB604" s="1098"/>
      <c r="CC604" s="1098"/>
      <c r="CD604" s="1098"/>
      <c r="CE604" s="1098"/>
      <c r="CF604" s="1098"/>
      <c r="CG604" s="1098"/>
      <c r="CH604" s="1098"/>
      <c r="CI604" s="1098"/>
      <c r="CJ604" s="1098"/>
      <c r="CK604" s="1098"/>
      <c r="CL604" s="1098"/>
      <c r="CM604" s="1098"/>
      <c r="CN604" s="1098"/>
      <c r="CO604" s="1098"/>
      <c r="CP604" s="1098"/>
      <c r="CQ604" s="1098"/>
      <c r="CR604" s="1098"/>
      <c r="CS604" s="1098"/>
      <c r="CT604" s="1098"/>
      <c r="CU604" s="1098"/>
      <c r="CV604" s="1098"/>
      <c r="CW604" s="1098"/>
      <c r="CX604" s="1098"/>
      <c r="CY604" s="1098"/>
      <c r="CZ604" s="1098"/>
      <c r="DA604" s="1098"/>
      <c r="DB604" s="1098"/>
      <c r="DC604" s="1098"/>
      <c r="DD604" s="1098"/>
      <c r="DE604" s="1098"/>
      <c r="DF604" s="1098"/>
      <c r="DG604" s="1098"/>
      <c r="DH604" s="1098"/>
      <c r="DI604" s="1098"/>
      <c r="DJ604" s="1098"/>
      <c r="DK604" s="1098"/>
      <c r="DL604" s="1098"/>
      <c r="DM604" s="1098"/>
      <c r="DN604" s="1098"/>
      <c r="DO604" s="1098"/>
      <c r="DP604" s="1098"/>
      <c r="DQ604" s="1098"/>
      <c r="DR604" s="1098"/>
      <c r="DS604" s="1098"/>
      <c r="DT604" s="1098"/>
      <c r="DU604" s="1098"/>
      <c r="DV604" s="1098"/>
      <c r="DW604" s="1098"/>
      <c r="DX604" s="1098"/>
      <c r="DY604" s="1098"/>
      <c r="DZ604" s="1098"/>
      <c r="EA604" s="1098"/>
      <c r="EB604" s="1098"/>
      <c r="EC604" s="1098"/>
      <c r="ED604" s="1098"/>
      <c r="EE604" s="1098"/>
      <c r="EF604" s="1098"/>
      <c r="EG604" s="1098"/>
      <c r="EH604" s="1098"/>
      <c r="EI604" s="1098"/>
      <c r="EJ604" s="1098"/>
      <c r="EK604" s="1098"/>
      <c r="EL604" s="1098"/>
      <c r="EM604" s="1098"/>
      <c r="EN604" s="1098"/>
      <c r="EO604" s="1098"/>
      <c r="EP604" s="1098"/>
      <c r="EQ604" s="1098"/>
      <c r="ER604" s="1098"/>
      <c r="ES604" s="1098"/>
      <c r="ET604" s="1098"/>
      <c r="EU604" s="1098"/>
      <c r="EV604" s="1098"/>
      <c r="EW604" s="1098"/>
      <c r="EX604" s="1098"/>
      <c r="EY604" s="1098"/>
      <c r="EZ604" s="1098"/>
      <c r="FA604" s="1098"/>
      <c r="FB604" s="1098"/>
      <c r="FC604" s="1098"/>
      <c r="FD604" s="1098"/>
      <c r="FE604" s="1098"/>
      <c r="FF604" s="1098"/>
      <c r="FG604" s="1098"/>
      <c r="FH604" s="1098"/>
      <c r="FI604" s="1098"/>
      <c r="FJ604" s="1098"/>
      <c r="FK604" s="1098"/>
      <c r="FL604" s="1098"/>
      <c r="FM604" s="1098"/>
      <c r="FN604" s="1098"/>
      <c r="FO604" s="1098"/>
      <c r="FP604" s="1098"/>
      <c r="FQ604" s="1098"/>
      <c r="FR604" s="1098"/>
      <c r="FS604" s="1098"/>
      <c r="FT604" s="1098"/>
      <c r="FU604" s="1098"/>
      <c r="FV604" s="1098"/>
      <c r="FW604" s="1098"/>
      <c r="FX604" s="1098"/>
      <c r="FY604" s="1098"/>
      <c r="FZ604" s="1098"/>
      <c r="GA604" s="1098"/>
      <c r="GB604" s="1098"/>
      <c r="GC604" s="1098"/>
      <c r="GD604" s="1098"/>
      <c r="GE604" s="1098"/>
      <c r="GF604" s="1098"/>
      <c r="GG604" s="1098"/>
      <c r="GH604" s="1098"/>
      <c r="GI604" s="1098"/>
      <c r="GJ604" s="1098"/>
      <c r="GK604" s="1098"/>
      <c r="GL604" s="1098"/>
      <c r="GM604" s="1098"/>
      <c r="GN604" s="1098"/>
      <c r="GO604" s="1098"/>
      <c r="GP604" s="1098"/>
      <c r="GQ604" s="1098"/>
      <c r="GR604" s="1098"/>
      <c r="GS604" s="1098"/>
      <c r="GT604" s="1098"/>
      <c r="GU604" s="1098"/>
      <c r="GV604" s="1098"/>
      <c r="GW604" s="1098"/>
      <c r="GX604" s="1098"/>
      <c r="GY604" s="1098"/>
      <c r="GZ604" s="1098"/>
      <c r="HA604" s="1098"/>
      <c r="HB604" s="1098"/>
      <c r="HC604" s="1098"/>
      <c r="HD604" s="1098"/>
      <c r="HE604" s="1098"/>
      <c r="HF604" s="1098"/>
      <c r="HG604" s="1098"/>
      <c r="HH604" s="1098"/>
      <c r="HI604" s="1098"/>
      <c r="HJ604" s="1098"/>
      <c r="HK604" s="1098"/>
      <c r="HL604" s="1098"/>
      <c r="HM604" s="1098"/>
      <c r="HN604" s="1098"/>
      <c r="HO604" s="1098"/>
      <c r="HP604" s="1098"/>
      <c r="HQ604" s="1098"/>
      <c r="HR604" s="1098"/>
      <c r="HS604" s="1098"/>
      <c r="HT604" s="1098"/>
      <c r="HU604" s="1098"/>
      <c r="HV604" s="1098"/>
      <c r="HW604" s="1098"/>
      <c r="HX604" s="1098"/>
      <c r="HY604" s="1098"/>
      <c r="HZ604" s="1098"/>
      <c r="IA604" s="1098"/>
      <c r="IB604" s="1098"/>
      <c r="IC604" s="1098"/>
      <c r="ID604" s="1098"/>
      <c r="IE604" s="1098"/>
      <c r="IF604" s="1098"/>
      <c r="IG604" s="1098"/>
      <c r="IH604" s="1098"/>
      <c r="II604" s="1098"/>
      <c r="IJ604" s="1098"/>
      <c r="IK604" s="1098"/>
      <c r="IL604" s="1098"/>
      <c r="IM604" s="1098"/>
      <c r="IN604" s="1098"/>
      <c r="IO604" s="1098"/>
      <c r="IP604" s="1098"/>
      <c r="IQ604" s="1098"/>
      <c r="IR604" s="1098"/>
      <c r="IS604" s="1098"/>
      <c r="IT604" s="1098"/>
      <c r="IU604" s="1098"/>
      <c r="IV604" s="1098"/>
      <c r="IW604" s="1098"/>
      <c r="IX604" s="1098"/>
      <c r="IY604" s="1098"/>
      <c r="IZ604" s="1098"/>
      <c r="JA604" s="1098"/>
      <c r="JB604" s="1098"/>
      <c r="JC604" s="1098"/>
      <c r="JD604" s="1098"/>
      <c r="JE604" s="1098"/>
      <c r="JF604" s="1098"/>
      <c r="JG604" s="1098"/>
      <c r="JH604" s="1098"/>
      <c r="JI604" s="1098"/>
      <c r="JJ604" s="1098"/>
      <c r="JK604" s="1098"/>
      <c r="JL604" s="1098"/>
      <c r="JM604" s="1098"/>
      <c r="JN604" s="1098"/>
      <c r="JO604" s="1098"/>
      <c r="JP604" s="1098"/>
      <c r="JQ604" s="1098"/>
      <c r="JR604" s="1098"/>
      <c r="JS604" s="1098"/>
      <c r="JT604" s="1098"/>
      <c r="JU604" s="1098"/>
      <c r="JV604" s="1098"/>
      <c r="JW604" s="1098"/>
      <c r="JX604" s="1098"/>
      <c r="JY604" s="1098"/>
      <c r="JZ604" s="1098"/>
      <c r="KA604" s="1098"/>
      <c r="KB604" s="1099"/>
    </row>
    <row r="605" spans="2:288" ht="15" customHeight="1" x14ac:dyDescent="0.35">
      <c r="B605" s="146" t="str">
        <f t="shared" si="47"/>
        <v>Desk 78</v>
      </c>
      <c r="C605" s="148" t="str">
        <v/>
      </c>
      <c r="D605" s="148" t="str">
        <v/>
      </c>
      <c r="E605" s="148" t="str">
        <v/>
      </c>
      <c r="F605" s="148" t="str">
        <v/>
      </c>
      <c r="G605" s="268" t="str">
        <v/>
      </c>
      <c r="H605" s="1098"/>
      <c r="I605" s="1098"/>
      <c r="J605" s="1098"/>
      <c r="K605" s="1098"/>
      <c r="L605" s="1098"/>
      <c r="M605" s="1098"/>
      <c r="N605" s="1098"/>
      <c r="O605" s="1098"/>
      <c r="P605" s="1098"/>
      <c r="Q605" s="1098"/>
      <c r="R605" s="1098"/>
      <c r="S605" s="1098"/>
      <c r="T605" s="1098"/>
      <c r="U605" s="1098"/>
      <c r="V605" s="1098"/>
      <c r="W605" s="1098"/>
      <c r="X605" s="1098"/>
      <c r="Y605" s="1098"/>
      <c r="Z605" s="1098"/>
      <c r="AA605" s="1098"/>
      <c r="AB605" s="1098"/>
      <c r="AC605" s="1098"/>
      <c r="AD605" s="1098"/>
      <c r="AE605" s="1098"/>
      <c r="AF605" s="1098"/>
      <c r="AG605" s="1098"/>
      <c r="AH605" s="1098"/>
      <c r="AI605" s="1098"/>
      <c r="AJ605" s="1098"/>
      <c r="AK605" s="1098"/>
      <c r="AL605" s="1098"/>
      <c r="AM605" s="1098"/>
      <c r="AN605" s="1098"/>
      <c r="AO605" s="1098"/>
      <c r="AP605" s="1098"/>
      <c r="AQ605" s="1098"/>
      <c r="AR605" s="1098"/>
      <c r="AS605" s="1098"/>
      <c r="AT605" s="1098"/>
      <c r="AU605" s="1098"/>
      <c r="AV605" s="1098"/>
      <c r="AW605" s="1098"/>
      <c r="AX605" s="1098"/>
      <c r="AY605" s="1098"/>
      <c r="AZ605" s="1098"/>
      <c r="BA605" s="1098"/>
      <c r="BB605" s="1098"/>
      <c r="BC605" s="1098"/>
      <c r="BD605" s="1098"/>
      <c r="BE605" s="1098"/>
      <c r="BF605" s="1098"/>
      <c r="BG605" s="1098"/>
      <c r="BH605" s="1098"/>
      <c r="BI605" s="1098"/>
      <c r="BJ605" s="1098"/>
      <c r="BK605" s="1098"/>
      <c r="BL605" s="1098"/>
      <c r="BM605" s="1098"/>
      <c r="BN605" s="1098"/>
      <c r="BO605" s="1098"/>
      <c r="BP605" s="1098"/>
      <c r="BQ605" s="1098"/>
      <c r="BR605" s="1098"/>
      <c r="BS605" s="1098"/>
      <c r="BT605" s="1098"/>
      <c r="BU605" s="1098"/>
      <c r="BV605" s="1098"/>
      <c r="BW605" s="1098"/>
      <c r="BX605" s="1098"/>
      <c r="BY605" s="1098"/>
      <c r="BZ605" s="1098"/>
      <c r="CA605" s="1098"/>
      <c r="CB605" s="1098"/>
      <c r="CC605" s="1098"/>
      <c r="CD605" s="1098"/>
      <c r="CE605" s="1098"/>
      <c r="CF605" s="1098"/>
      <c r="CG605" s="1098"/>
      <c r="CH605" s="1098"/>
      <c r="CI605" s="1098"/>
      <c r="CJ605" s="1098"/>
      <c r="CK605" s="1098"/>
      <c r="CL605" s="1098"/>
      <c r="CM605" s="1098"/>
      <c r="CN605" s="1098"/>
      <c r="CO605" s="1098"/>
      <c r="CP605" s="1098"/>
      <c r="CQ605" s="1098"/>
      <c r="CR605" s="1098"/>
      <c r="CS605" s="1098"/>
      <c r="CT605" s="1098"/>
      <c r="CU605" s="1098"/>
      <c r="CV605" s="1098"/>
      <c r="CW605" s="1098"/>
      <c r="CX605" s="1098"/>
      <c r="CY605" s="1098"/>
      <c r="CZ605" s="1098"/>
      <c r="DA605" s="1098"/>
      <c r="DB605" s="1098"/>
      <c r="DC605" s="1098"/>
      <c r="DD605" s="1098"/>
      <c r="DE605" s="1098"/>
      <c r="DF605" s="1098"/>
      <c r="DG605" s="1098"/>
      <c r="DH605" s="1098"/>
      <c r="DI605" s="1098"/>
      <c r="DJ605" s="1098"/>
      <c r="DK605" s="1098"/>
      <c r="DL605" s="1098"/>
      <c r="DM605" s="1098"/>
      <c r="DN605" s="1098"/>
      <c r="DO605" s="1098"/>
      <c r="DP605" s="1098"/>
      <c r="DQ605" s="1098"/>
      <c r="DR605" s="1098"/>
      <c r="DS605" s="1098"/>
      <c r="DT605" s="1098"/>
      <c r="DU605" s="1098"/>
      <c r="DV605" s="1098"/>
      <c r="DW605" s="1098"/>
      <c r="DX605" s="1098"/>
      <c r="DY605" s="1098"/>
      <c r="DZ605" s="1098"/>
      <c r="EA605" s="1098"/>
      <c r="EB605" s="1098"/>
      <c r="EC605" s="1098"/>
      <c r="ED605" s="1098"/>
      <c r="EE605" s="1098"/>
      <c r="EF605" s="1098"/>
      <c r="EG605" s="1098"/>
      <c r="EH605" s="1098"/>
      <c r="EI605" s="1098"/>
      <c r="EJ605" s="1098"/>
      <c r="EK605" s="1098"/>
      <c r="EL605" s="1098"/>
      <c r="EM605" s="1098"/>
      <c r="EN605" s="1098"/>
      <c r="EO605" s="1098"/>
      <c r="EP605" s="1098"/>
      <c r="EQ605" s="1098"/>
      <c r="ER605" s="1098"/>
      <c r="ES605" s="1098"/>
      <c r="ET605" s="1098"/>
      <c r="EU605" s="1098"/>
      <c r="EV605" s="1098"/>
      <c r="EW605" s="1098"/>
      <c r="EX605" s="1098"/>
      <c r="EY605" s="1098"/>
      <c r="EZ605" s="1098"/>
      <c r="FA605" s="1098"/>
      <c r="FB605" s="1098"/>
      <c r="FC605" s="1098"/>
      <c r="FD605" s="1098"/>
      <c r="FE605" s="1098"/>
      <c r="FF605" s="1098"/>
      <c r="FG605" s="1098"/>
      <c r="FH605" s="1098"/>
      <c r="FI605" s="1098"/>
      <c r="FJ605" s="1098"/>
      <c r="FK605" s="1098"/>
      <c r="FL605" s="1098"/>
      <c r="FM605" s="1098"/>
      <c r="FN605" s="1098"/>
      <c r="FO605" s="1098"/>
      <c r="FP605" s="1098"/>
      <c r="FQ605" s="1098"/>
      <c r="FR605" s="1098"/>
      <c r="FS605" s="1098"/>
      <c r="FT605" s="1098"/>
      <c r="FU605" s="1098"/>
      <c r="FV605" s="1098"/>
      <c r="FW605" s="1098"/>
      <c r="FX605" s="1098"/>
      <c r="FY605" s="1098"/>
      <c r="FZ605" s="1098"/>
      <c r="GA605" s="1098"/>
      <c r="GB605" s="1098"/>
      <c r="GC605" s="1098"/>
      <c r="GD605" s="1098"/>
      <c r="GE605" s="1098"/>
      <c r="GF605" s="1098"/>
      <c r="GG605" s="1098"/>
      <c r="GH605" s="1098"/>
      <c r="GI605" s="1098"/>
      <c r="GJ605" s="1098"/>
      <c r="GK605" s="1098"/>
      <c r="GL605" s="1098"/>
      <c r="GM605" s="1098"/>
      <c r="GN605" s="1098"/>
      <c r="GO605" s="1098"/>
      <c r="GP605" s="1098"/>
      <c r="GQ605" s="1098"/>
      <c r="GR605" s="1098"/>
      <c r="GS605" s="1098"/>
      <c r="GT605" s="1098"/>
      <c r="GU605" s="1098"/>
      <c r="GV605" s="1098"/>
      <c r="GW605" s="1098"/>
      <c r="GX605" s="1098"/>
      <c r="GY605" s="1098"/>
      <c r="GZ605" s="1098"/>
      <c r="HA605" s="1098"/>
      <c r="HB605" s="1098"/>
      <c r="HC605" s="1098"/>
      <c r="HD605" s="1098"/>
      <c r="HE605" s="1098"/>
      <c r="HF605" s="1098"/>
      <c r="HG605" s="1098"/>
      <c r="HH605" s="1098"/>
      <c r="HI605" s="1098"/>
      <c r="HJ605" s="1098"/>
      <c r="HK605" s="1098"/>
      <c r="HL605" s="1098"/>
      <c r="HM605" s="1098"/>
      <c r="HN605" s="1098"/>
      <c r="HO605" s="1098"/>
      <c r="HP605" s="1098"/>
      <c r="HQ605" s="1098"/>
      <c r="HR605" s="1098"/>
      <c r="HS605" s="1098"/>
      <c r="HT605" s="1098"/>
      <c r="HU605" s="1098"/>
      <c r="HV605" s="1098"/>
      <c r="HW605" s="1098"/>
      <c r="HX605" s="1098"/>
      <c r="HY605" s="1098"/>
      <c r="HZ605" s="1098"/>
      <c r="IA605" s="1098"/>
      <c r="IB605" s="1098"/>
      <c r="IC605" s="1098"/>
      <c r="ID605" s="1098"/>
      <c r="IE605" s="1098"/>
      <c r="IF605" s="1098"/>
      <c r="IG605" s="1098"/>
      <c r="IH605" s="1098"/>
      <c r="II605" s="1098"/>
      <c r="IJ605" s="1098"/>
      <c r="IK605" s="1098"/>
      <c r="IL605" s="1098"/>
      <c r="IM605" s="1098"/>
      <c r="IN605" s="1098"/>
      <c r="IO605" s="1098"/>
      <c r="IP605" s="1098"/>
      <c r="IQ605" s="1098"/>
      <c r="IR605" s="1098"/>
      <c r="IS605" s="1098"/>
      <c r="IT605" s="1098"/>
      <c r="IU605" s="1098"/>
      <c r="IV605" s="1098"/>
      <c r="IW605" s="1098"/>
      <c r="IX605" s="1098"/>
      <c r="IY605" s="1098"/>
      <c r="IZ605" s="1098"/>
      <c r="JA605" s="1098"/>
      <c r="JB605" s="1098"/>
      <c r="JC605" s="1098"/>
      <c r="JD605" s="1098"/>
      <c r="JE605" s="1098"/>
      <c r="JF605" s="1098"/>
      <c r="JG605" s="1098"/>
      <c r="JH605" s="1098"/>
      <c r="JI605" s="1098"/>
      <c r="JJ605" s="1098"/>
      <c r="JK605" s="1098"/>
      <c r="JL605" s="1098"/>
      <c r="JM605" s="1098"/>
      <c r="JN605" s="1098"/>
      <c r="JO605" s="1098"/>
      <c r="JP605" s="1098"/>
      <c r="JQ605" s="1098"/>
      <c r="JR605" s="1098"/>
      <c r="JS605" s="1098"/>
      <c r="JT605" s="1098"/>
      <c r="JU605" s="1098"/>
      <c r="JV605" s="1098"/>
      <c r="JW605" s="1098"/>
      <c r="JX605" s="1098"/>
      <c r="JY605" s="1098"/>
      <c r="JZ605" s="1098"/>
      <c r="KA605" s="1098"/>
      <c r="KB605" s="1099"/>
    </row>
    <row r="606" spans="2:288" ht="15" customHeight="1" x14ac:dyDescent="0.35">
      <c r="B606" s="146" t="str">
        <f t="shared" si="47"/>
        <v>Desk 79</v>
      </c>
      <c r="C606" s="148" t="str">
        <v/>
      </c>
      <c r="D606" s="148" t="str">
        <v/>
      </c>
      <c r="E606" s="148" t="str">
        <v/>
      </c>
      <c r="F606" s="148" t="str">
        <v/>
      </c>
      <c r="G606" s="268" t="str">
        <v/>
      </c>
      <c r="H606" s="1098"/>
      <c r="I606" s="1098"/>
      <c r="J606" s="1098"/>
      <c r="K606" s="1098"/>
      <c r="L606" s="1098"/>
      <c r="M606" s="1098"/>
      <c r="N606" s="1098"/>
      <c r="O606" s="1098"/>
      <c r="P606" s="1098"/>
      <c r="Q606" s="1098"/>
      <c r="R606" s="1098"/>
      <c r="S606" s="1098"/>
      <c r="T606" s="1098"/>
      <c r="U606" s="1098"/>
      <c r="V606" s="1098"/>
      <c r="W606" s="1098"/>
      <c r="X606" s="1098"/>
      <c r="Y606" s="1098"/>
      <c r="Z606" s="1098"/>
      <c r="AA606" s="1098"/>
      <c r="AB606" s="1098"/>
      <c r="AC606" s="1098"/>
      <c r="AD606" s="1098"/>
      <c r="AE606" s="1098"/>
      <c r="AF606" s="1098"/>
      <c r="AG606" s="1098"/>
      <c r="AH606" s="1098"/>
      <c r="AI606" s="1098"/>
      <c r="AJ606" s="1098"/>
      <c r="AK606" s="1098"/>
      <c r="AL606" s="1098"/>
      <c r="AM606" s="1098"/>
      <c r="AN606" s="1098"/>
      <c r="AO606" s="1098"/>
      <c r="AP606" s="1098"/>
      <c r="AQ606" s="1098"/>
      <c r="AR606" s="1098"/>
      <c r="AS606" s="1098"/>
      <c r="AT606" s="1098"/>
      <c r="AU606" s="1098"/>
      <c r="AV606" s="1098"/>
      <c r="AW606" s="1098"/>
      <c r="AX606" s="1098"/>
      <c r="AY606" s="1098"/>
      <c r="AZ606" s="1098"/>
      <c r="BA606" s="1098"/>
      <c r="BB606" s="1098"/>
      <c r="BC606" s="1098"/>
      <c r="BD606" s="1098"/>
      <c r="BE606" s="1098"/>
      <c r="BF606" s="1098"/>
      <c r="BG606" s="1098"/>
      <c r="BH606" s="1098"/>
      <c r="BI606" s="1098"/>
      <c r="BJ606" s="1098"/>
      <c r="BK606" s="1098"/>
      <c r="BL606" s="1098"/>
      <c r="BM606" s="1098"/>
      <c r="BN606" s="1098"/>
      <c r="BO606" s="1098"/>
      <c r="BP606" s="1098"/>
      <c r="BQ606" s="1098"/>
      <c r="BR606" s="1098"/>
      <c r="BS606" s="1098"/>
      <c r="BT606" s="1098"/>
      <c r="BU606" s="1098"/>
      <c r="BV606" s="1098"/>
      <c r="BW606" s="1098"/>
      <c r="BX606" s="1098"/>
      <c r="BY606" s="1098"/>
      <c r="BZ606" s="1098"/>
      <c r="CA606" s="1098"/>
      <c r="CB606" s="1098"/>
      <c r="CC606" s="1098"/>
      <c r="CD606" s="1098"/>
      <c r="CE606" s="1098"/>
      <c r="CF606" s="1098"/>
      <c r="CG606" s="1098"/>
      <c r="CH606" s="1098"/>
      <c r="CI606" s="1098"/>
      <c r="CJ606" s="1098"/>
      <c r="CK606" s="1098"/>
      <c r="CL606" s="1098"/>
      <c r="CM606" s="1098"/>
      <c r="CN606" s="1098"/>
      <c r="CO606" s="1098"/>
      <c r="CP606" s="1098"/>
      <c r="CQ606" s="1098"/>
      <c r="CR606" s="1098"/>
      <c r="CS606" s="1098"/>
      <c r="CT606" s="1098"/>
      <c r="CU606" s="1098"/>
      <c r="CV606" s="1098"/>
      <c r="CW606" s="1098"/>
      <c r="CX606" s="1098"/>
      <c r="CY606" s="1098"/>
      <c r="CZ606" s="1098"/>
      <c r="DA606" s="1098"/>
      <c r="DB606" s="1098"/>
      <c r="DC606" s="1098"/>
      <c r="DD606" s="1098"/>
      <c r="DE606" s="1098"/>
      <c r="DF606" s="1098"/>
      <c r="DG606" s="1098"/>
      <c r="DH606" s="1098"/>
      <c r="DI606" s="1098"/>
      <c r="DJ606" s="1098"/>
      <c r="DK606" s="1098"/>
      <c r="DL606" s="1098"/>
      <c r="DM606" s="1098"/>
      <c r="DN606" s="1098"/>
      <c r="DO606" s="1098"/>
      <c r="DP606" s="1098"/>
      <c r="DQ606" s="1098"/>
      <c r="DR606" s="1098"/>
      <c r="DS606" s="1098"/>
      <c r="DT606" s="1098"/>
      <c r="DU606" s="1098"/>
      <c r="DV606" s="1098"/>
      <c r="DW606" s="1098"/>
      <c r="DX606" s="1098"/>
      <c r="DY606" s="1098"/>
      <c r="DZ606" s="1098"/>
      <c r="EA606" s="1098"/>
      <c r="EB606" s="1098"/>
      <c r="EC606" s="1098"/>
      <c r="ED606" s="1098"/>
      <c r="EE606" s="1098"/>
      <c r="EF606" s="1098"/>
      <c r="EG606" s="1098"/>
      <c r="EH606" s="1098"/>
      <c r="EI606" s="1098"/>
      <c r="EJ606" s="1098"/>
      <c r="EK606" s="1098"/>
      <c r="EL606" s="1098"/>
      <c r="EM606" s="1098"/>
      <c r="EN606" s="1098"/>
      <c r="EO606" s="1098"/>
      <c r="EP606" s="1098"/>
      <c r="EQ606" s="1098"/>
      <c r="ER606" s="1098"/>
      <c r="ES606" s="1098"/>
      <c r="ET606" s="1098"/>
      <c r="EU606" s="1098"/>
      <c r="EV606" s="1098"/>
      <c r="EW606" s="1098"/>
      <c r="EX606" s="1098"/>
      <c r="EY606" s="1098"/>
      <c r="EZ606" s="1098"/>
      <c r="FA606" s="1098"/>
      <c r="FB606" s="1098"/>
      <c r="FC606" s="1098"/>
      <c r="FD606" s="1098"/>
      <c r="FE606" s="1098"/>
      <c r="FF606" s="1098"/>
      <c r="FG606" s="1098"/>
      <c r="FH606" s="1098"/>
      <c r="FI606" s="1098"/>
      <c r="FJ606" s="1098"/>
      <c r="FK606" s="1098"/>
      <c r="FL606" s="1098"/>
      <c r="FM606" s="1098"/>
      <c r="FN606" s="1098"/>
      <c r="FO606" s="1098"/>
      <c r="FP606" s="1098"/>
      <c r="FQ606" s="1098"/>
      <c r="FR606" s="1098"/>
      <c r="FS606" s="1098"/>
      <c r="FT606" s="1098"/>
      <c r="FU606" s="1098"/>
      <c r="FV606" s="1098"/>
      <c r="FW606" s="1098"/>
      <c r="FX606" s="1098"/>
      <c r="FY606" s="1098"/>
      <c r="FZ606" s="1098"/>
      <c r="GA606" s="1098"/>
      <c r="GB606" s="1098"/>
      <c r="GC606" s="1098"/>
      <c r="GD606" s="1098"/>
      <c r="GE606" s="1098"/>
      <c r="GF606" s="1098"/>
      <c r="GG606" s="1098"/>
      <c r="GH606" s="1098"/>
      <c r="GI606" s="1098"/>
      <c r="GJ606" s="1098"/>
      <c r="GK606" s="1098"/>
      <c r="GL606" s="1098"/>
      <c r="GM606" s="1098"/>
      <c r="GN606" s="1098"/>
      <c r="GO606" s="1098"/>
      <c r="GP606" s="1098"/>
      <c r="GQ606" s="1098"/>
      <c r="GR606" s="1098"/>
      <c r="GS606" s="1098"/>
      <c r="GT606" s="1098"/>
      <c r="GU606" s="1098"/>
      <c r="GV606" s="1098"/>
      <c r="GW606" s="1098"/>
      <c r="GX606" s="1098"/>
      <c r="GY606" s="1098"/>
      <c r="GZ606" s="1098"/>
      <c r="HA606" s="1098"/>
      <c r="HB606" s="1098"/>
      <c r="HC606" s="1098"/>
      <c r="HD606" s="1098"/>
      <c r="HE606" s="1098"/>
      <c r="HF606" s="1098"/>
      <c r="HG606" s="1098"/>
      <c r="HH606" s="1098"/>
      <c r="HI606" s="1098"/>
      <c r="HJ606" s="1098"/>
      <c r="HK606" s="1098"/>
      <c r="HL606" s="1098"/>
      <c r="HM606" s="1098"/>
      <c r="HN606" s="1098"/>
      <c r="HO606" s="1098"/>
      <c r="HP606" s="1098"/>
      <c r="HQ606" s="1098"/>
      <c r="HR606" s="1098"/>
      <c r="HS606" s="1098"/>
      <c r="HT606" s="1098"/>
      <c r="HU606" s="1098"/>
      <c r="HV606" s="1098"/>
      <c r="HW606" s="1098"/>
      <c r="HX606" s="1098"/>
      <c r="HY606" s="1098"/>
      <c r="HZ606" s="1098"/>
      <c r="IA606" s="1098"/>
      <c r="IB606" s="1098"/>
      <c r="IC606" s="1098"/>
      <c r="ID606" s="1098"/>
      <c r="IE606" s="1098"/>
      <c r="IF606" s="1098"/>
      <c r="IG606" s="1098"/>
      <c r="IH606" s="1098"/>
      <c r="II606" s="1098"/>
      <c r="IJ606" s="1098"/>
      <c r="IK606" s="1098"/>
      <c r="IL606" s="1098"/>
      <c r="IM606" s="1098"/>
      <c r="IN606" s="1098"/>
      <c r="IO606" s="1098"/>
      <c r="IP606" s="1098"/>
      <c r="IQ606" s="1098"/>
      <c r="IR606" s="1098"/>
      <c r="IS606" s="1098"/>
      <c r="IT606" s="1098"/>
      <c r="IU606" s="1098"/>
      <c r="IV606" s="1098"/>
      <c r="IW606" s="1098"/>
      <c r="IX606" s="1098"/>
      <c r="IY606" s="1098"/>
      <c r="IZ606" s="1098"/>
      <c r="JA606" s="1098"/>
      <c r="JB606" s="1098"/>
      <c r="JC606" s="1098"/>
      <c r="JD606" s="1098"/>
      <c r="JE606" s="1098"/>
      <c r="JF606" s="1098"/>
      <c r="JG606" s="1098"/>
      <c r="JH606" s="1098"/>
      <c r="JI606" s="1098"/>
      <c r="JJ606" s="1098"/>
      <c r="JK606" s="1098"/>
      <c r="JL606" s="1098"/>
      <c r="JM606" s="1098"/>
      <c r="JN606" s="1098"/>
      <c r="JO606" s="1098"/>
      <c r="JP606" s="1098"/>
      <c r="JQ606" s="1098"/>
      <c r="JR606" s="1098"/>
      <c r="JS606" s="1098"/>
      <c r="JT606" s="1098"/>
      <c r="JU606" s="1098"/>
      <c r="JV606" s="1098"/>
      <c r="JW606" s="1098"/>
      <c r="JX606" s="1098"/>
      <c r="JY606" s="1098"/>
      <c r="JZ606" s="1098"/>
      <c r="KA606" s="1098"/>
      <c r="KB606" s="1099"/>
    </row>
    <row r="607" spans="2:288" ht="15" customHeight="1" x14ac:dyDescent="0.35">
      <c r="B607" s="146" t="str">
        <f t="shared" si="47"/>
        <v>Desk 80</v>
      </c>
      <c r="C607" s="148" t="str">
        <v/>
      </c>
      <c r="D607" s="148" t="str">
        <v/>
      </c>
      <c r="E607" s="148" t="str">
        <v/>
      </c>
      <c r="F607" s="148" t="str">
        <v/>
      </c>
      <c r="G607" s="268" t="str">
        <v/>
      </c>
      <c r="H607" s="1098"/>
      <c r="I607" s="1098"/>
      <c r="J607" s="1098"/>
      <c r="K607" s="1098"/>
      <c r="L607" s="1098"/>
      <c r="M607" s="1098"/>
      <c r="N607" s="1098"/>
      <c r="O607" s="1098"/>
      <c r="P607" s="1098"/>
      <c r="Q607" s="1098"/>
      <c r="R607" s="1098"/>
      <c r="S607" s="1098"/>
      <c r="T607" s="1098"/>
      <c r="U607" s="1098"/>
      <c r="V607" s="1098"/>
      <c r="W607" s="1098"/>
      <c r="X607" s="1098"/>
      <c r="Y607" s="1098"/>
      <c r="Z607" s="1098"/>
      <c r="AA607" s="1098"/>
      <c r="AB607" s="1098"/>
      <c r="AC607" s="1098"/>
      <c r="AD607" s="1098"/>
      <c r="AE607" s="1098"/>
      <c r="AF607" s="1098"/>
      <c r="AG607" s="1098"/>
      <c r="AH607" s="1098"/>
      <c r="AI607" s="1098"/>
      <c r="AJ607" s="1098"/>
      <c r="AK607" s="1098"/>
      <c r="AL607" s="1098"/>
      <c r="AM607" s="1098"/>
      <c r="AN607" s="1098"/>
      <c r="AO607" s="1098"/>
      <c r="AP607" s="1098"/>
      <c r="AQ607" s="1098"/>
      <c r="AR607" s="1098"/>
      <c r="AS607" s="1098"/>
      <c r="AT607" s="1098"/>
      <c r="AU607" s="1098"/>
      <c r="AV607" s="1098"/>
      <c r="AW607" s="1098"/>
      <c r="AX607" s="1098"/>
      <c r="AY607" s="1098"/>
      <c r="AZ607" s="1098"/>
      <c r="BA607" s="1098"/>
      <c r="BB607" s="1098"/>
      <c r="BC607" s="1098"/>
      <c r="BD607" s="1098"/>
      <c r="BE607" s="1098"/>
      <c r="BF607" s="1098"/>
      <c r="BG607" s="1098"/>
      <c r="BH607" s="1098"/>
      <c r="BI607" s="1098"/>
      <c r="BJ607" s="1098"/>
      <c r="BK607" s="1098"/>
      <c r="BL607" s="1098"/>
      <c r="BM607" s="1098"/>
      <c r="BN607" s="1098"/>
      <c r="BO607" s="1098"/>
      <c r="BP607" s="1098"/>
      <c r="BQ607" s="1098"/>
      <c r="BR607" s="1098"/>
      <c r="BS607" s="1098"/>
      <c r="BT607" s="1098"/>
      <c r="BU607" s="1098"/>
      <c r="BV607" s="1098"/>
      <c r="BW607" s="1098"/>
      <c r="BX607" s="1098"/>
      <c r="BY607" s="1098"/>
      <c r="BZ607" s="1098"/>
      <c r="CA607" s="1098"/>
      <c r="CB607" s="1098"/>
      <c r="CC607" s="1098"/>
      <c r="CD607" s="1098"/>
      <c r="CE607" s="1098"/>
      <c r="CF607" s="1098"/>
      <c r="CG607" s="1098"/>
      <c r="CH607" s="1098"/>
      <c r="CI607" s="1098"/>
      <c r="CJ607" s="1098"/>
      <c r="CK607" s="1098"/>
      <c r="CL607" s="1098"/>
      <c r="CM607" s="1098"/>
      <c r="CN607" s="1098"/>
      <c r="CO607" s="1098"/>
      <c r="CP607" s="1098"/>
      <c r="CQ607" s="1098"/>
      <c r="CR607" s="1098"/>
      <c r="CS607" s="1098"/>
      <c r="CT607" s="1098"/>
      <c r="CU607" s="1098"/>
      <c r="CV607" s="1098"/>
      <c r="CW607" s="1098"/>
      <c r="CX607" s="1098"/>
      <c r="CY607" s="1098"/>
      <c r="CZ607" s="1098"/>
      <c r="DA607" s="1098"/>
      <c r="DB607" s="1098"/>
      <c r="DC607" s="1098"/>
      <c r="DD607" s="1098"/>
      <c r="DE607" s="1098"/>
      <c r="DF607" s="1098"/>
      <c r="DG607" s="1098"/>
      <c r="DH607" s="1098"/>
      <c r="DI607" s="1098"/>
      <c r="DJ607" s="1098"/>
      <c r="DK607" s="1098"/>
      <c r="DL607" s="1098"/>
      <c r="DM607" s="1098"/>
      <c r="DN607" s="1098"/>
      <c r="DO607" s="1098"/>
      <c r="DP607" s="1098"/>
      <c r="DQ607" s="1098"/>
      <c r="DR607" s="1098"/>
      <c r="DS607" s="1098"/>
      <c r="DT607" s="1098"/>
      <c r="DU607" s="1098"/>
      <c r="DV607" s="1098"/>
      <c r="DW607" s="1098"/>
      <c r="DX607" s="1098"/>
      <c r="DY607" s="1098"/>
      <c r="DZ607" s="1098"/>
      <c r="EA607" s="1098"/>
      <c r="EB607" s="1098"/>
      <c r="EC607" s="1098"/>
      <c r="ED607" s="1098"/>
      <c r="EE607" s="1098"/>
      <c r="EF607" s="1098"/>
      <c r="EG607" s="1098"/>
      <c r="EH607" s="1098"/>
      <c r="EI607" s="1098"/>
      <c r="EJ607" s="1098"/>
      <c r="EK607" s="1098"/>
      <c r="EL607" s="1098"/>
      <c r="EM607" s="1098"/>
      <c r="EN607" s="1098"/>
      <c r="EO607" s="1098"/>
      <c r="EP607" s="1098"/>
      <c r="EQ607" s="1098"/>
      <c r="ER607" s="1098"/>
      <c r="ES607" s="1098"/>
      <c r="ET607" s="1098"/>
      <c r="EU607" s="1098"/>
      <c r="EV607" s="1098"/>
      <c r="EW607" s="1098"/>
      <c r="EX607" s="1098"/>
      <c r="EY607" s="1098"/>
      <c r="EZ607" s="1098"/>
      <c r="FA607" s="1098"/>
      <c r="FB607" s="1098"/>
      <c r="FC607" s="1098"/>
      <c r="FD607" s="1098"/>
      <c r="FE607" s="1098"/>
      <c r="FF607" s="1098"/>
      <c r="FG607" s="1098"/>
      <c r="FH607" s="1098"/>
      <c r="FI607" s="1098"/>
      <c r="FJ607" s="1098"/>
      <c r="FK607" s="1098"/>
      <c r="FL607" s="1098"/>
      <c r="FM607" s="1098"/>
      <c r="FN607" s="1098"/>
      <c r="FO607" s="1098"/>
      <c r="FP607" s="1098"/>
      <c r="FQ607" s="1098"/>
      <c r="FR607" s="1098"/>
      <c r="FS607" s="1098"/>
      <c r="FT607" s="1098"/>
      <c r="FU607" s="1098"/>
      <c r="FV607" s="1098"/>
      <c r="FW607" s="1098"/>
      <c r="FX607" s="1098"/>
      <c r="FY607" s="1098"/>
      <c r="FZ607" s="1098"/>
      <c r="GA607" s="1098"/>
      <c r="GB607" s="1098"/>
      <c r="GC607" s="1098"/>
      <c r="GD607" s="1098"/>
      <c r="GE607" s="1098"/>
      <c r="GF607" s="1098"/>
      <c r="GG607" s="1098"/>
      <c r="GH607" s="1098"/>
      <c r="GI607" s="1098"/>
      <c r="GJ607" s="1098"/>
      <c r="GK607" s="1098"/>
      <c r="GL607" s="1098"/>
      <c r="GM607" s="1098"/>
      <c r="GN607" s="1098"/>
      <c r="GO607" s="1098"/>
      <c r="GP607" s="1098"/>
      <c r="GQ607" s="1098"/>
      <c r="GR607" s="1098"/>
      <c r="GS607" s="1098"/>
      <c r="GT607" s="1098"/>
      <c r="GU607" s="1098"/>
      <c r="GV607" s="1098"/>
      <c r="GW607" s="1098"/>
      <c r="GX607" s="1098"/>
      <c r="GY607" s="1098"/>
      <c r="GZ607" s="1098"/>
      <c r="HA607" s="1098"/>
      <c r="HB607" s="1098"/>
      <c r="HC607" s="1098"/>
      <c r="HD607" s="1098"/>
      <c r="HE607" s="1098"/>
      <c r="HF607" s="1098"/>
      <c r="HG607" s="1098"/>
      <c r="HH607" s="1098"/>
      <c r="HI607" s="1098"/>
      <c r="HJ607" s="1098"/>
      <c r="HK607" s="1098"/>
      <c r="HL607" s="1098"/>
      <c r="HM607" s="1098"/>
      <c r="HN607" s="1098"/>
      <c r="HO607" s="1098"/>
      <c r="HP607" s="1098"/>
      <c r="HQ607" s="1098"/>
      <c r="HR607" s="1098"/>
      <c r="HS607" s="1098"/>
      <c r="HT607" s="1098"/>
      <c r="HU607" s="1098"/>
      <c r="HV607" s="1098"/>
      <c r="HW607" s="1098"/>
      <c r="HX607" s="1098"/>
      <c r="HY607" s="1098"/>
      <c r="HZ607" s="1098"/>
      <c r="IA607" s="1098"/>
      <c r="IB607" s="1098"/>
      <c r="IC607" s="1098"/>
      <c r="ID607" s="1098"/>
      <c r="IE607" s="1098"/>
      <c r="IF607" s="1098"/>
      <c r="IG607" s="1098"/>
      <c r="IH607" s="1098"/>
      <c r="II607" s="1098"/>
      <c r="IJ607" s="1098"/>
      <c r="IK607" s="1098"/>
      <c r="IL607" s="1098"/>
      <c r="IM607" s="1098"/>
      <c r="IN607" s="1098"/>
      <c r="IO607" s="1098"/>
      <c r="IP607" s="1098"/>
      <c r="IQ607" s="1098"/>
      <c r="IR607" s="1098"/>
      <c r="IS607" s="1098"/>
      <c r="IT607" s="1098"/>
      <c r="IU607" s="1098"/>
      <c r="IV607" s="1098"/>
      <c r="IW607" s="1098"/>
      <c r="IX607" s="1098"/>
      <c r="IY607" s="1098"/>
      <c r="IZ607" s="1098"/>
      <c r="JA607" s="1098"/>
      <c r="JB607" s="1098"/>
      <c r="JC607" s="1098"/>
      <c r="JD607" s="1098"/>
      <c r="JE607" s="1098"/>
      <c r="JF607" s="1098"/>
      <c r="JG607" s="1098"/>
      <c r="JH607" s="1098"/>
      <c r="JI607" s="1098"/>
      <c r="JJ607" s="1098"/>
      <c r="JK607" s="1098"/>
      <c r="JL607" s="1098"/>
      <c r="JM607" s="1098"/>
      <c r="JN607" s="1098"/>
      <c r="JO607" s="1098"/>
      <c r="JP607" s="1098"/>
      <c r="JQ607" s="1098"/>
      <c r="JR607" s="1098"/>
      <c r="JS607" s="1098"/>
      <c r="JT607" s="1098"/>
      <c r="JU607" s="1098"/>
      <c r="JV607" s="1098"/>
      <c r="JW607" s="1098"/>
      <c r="JX607" s="1098"/>
      <c r="JY607" s="1098"/>
      <c r="JZ607" s="1098"/>
      <c r="KA607" s="1098"/>
      <c r="KB607" s="1099"/>
    </row>
    <row r="608" spans="2:288" ht="15" customHeight="1" x14ac:dyDescent="0.35">
      <c r="B608" s="146" t="str">
        <f t="shared" si="47"/>
        <v>Desk 81</v>
      </c>
      <c r="C608" s="148" t="str">
        <v/>
      </c>
      <c r="D608" s="148" t="str">
        <v/>
      </c>
      <c r="E608" s="148" t="str">
        <v/>
      </c>
      <c r="F608" s="148" t="str">
        <v/>
      </c>
      <c r="G608" s="268" t="str">
        <v/>
      </c>
      <c r="H608" s="1098"/>
      <c r="I608" s="1098"/>
      <c r="J608" s="1098"/>
      <c r="K608" s="1098"/>
      <c r="L608" s="1098"/>
      <c r="M608" s="1098"/>
      <c r="N608" s="1098"/>
      <c r="O608" s="1098"/>
      <c r="P608" s="1098"/>
      <c r="Q608" s="1098"/>
      <c r="R608" s="1098"/>
      <c r="S608" s="1098"/>
      <c r="T608" s="1098"/>
      <c r="U608" s="1098"/>
      <c r="V608" s="1098"/>
      <c r="W608" s="1098"/>
      <c r="X608" s="1098"/>
      <c r="Y608" s="1098"/>
      <c r="Z608" s="1098"/>
      <c r="AA608" s="1098"/>
      <c r="AB608" s="1098"/>
      <c r="AC608" s="1098"/>
      <c r="AD608" s="1098"/>
      <c r="AE608" s="1098"/>
      <c r="AF608" s="1098"/>
      <c r="AG608" s="1098"/>
      <c r="AH608" s="1098"/>
      <c r="AI608" s="1098"/>
      <c r="AJ608" s="1098"/>
      <c r="AK608" s="1098"/>
      <c r="AL608" s="1098"/>
      <c r="AM608" s="1098"/>
      <c r="AN608" s="1098"/>
      <c r="AO608" s="1098"/>
      <c r="AP608" s="1098"/>
      <c r="AQ608" s="1098"/>
      <c r="AR608" s="1098"/>
      <c r="AS608" s="1098"/>
      <c r="AT608" s="1098"/>
      <c r="AU608" s="1098"/>
      <c r="AV608" s="1098"/>
      <c r="AW608" s="1098"/>
      <c r="AX608" s="1098"/>
      <c r="AY608" s="1098"/>
      <c r="AZ608" s="1098"/>
      <c r="BA608" s="1098"/>
      <c r="BB608" s="1098"/>
      <c r="BC608" s="1098"/>
      <c r="BD608" s="1098"/>
      <c r="BE608" s="1098"/>
      <c r="BF608" s="1098"/>
      <c r="BG608" s="1098"/>
      <c r="BH608" s="1098"/>
      <c r="BI608" s="1098"/>
      <c r="BJ608" s="1098"/>
      <c r="BK608" s="1098"/>
      <c r="BL608" s="1098"/>
      <c r="BM608" s="1098"/>
      <c r="BN608" s="1098"/>
      <c r="BO608" s="1098"/>
      <c r="BP608" s="1098"/>
      <c r="BQ608" s="1098"/>
      <c r="BR608" s="1098"/>
      <c r="BS608" s="1098"/>
      <c r="BT608" s="1098"/>
      <c r="BU608" s="1098"/>
      <c r="BV608" s="1098"/>
      <c r="BW608" s="1098"/>
      <c r="BX608" s="1098"/>
      <c r="BY608" s="1098"/>
      <c r="BZ608" s="1098"/>
      <c r="CA608" s="1098"/>
      <c r="CB608" s="1098"/>
      <c r="CC608" s="1098"/>
      <c r="CD608" s="1098"/>
      <c r="CE608" s="1098"/>
      <c r="CF608" s="1098"/>
      <c r="CG608" s="1098"/>
      <c r="CH608" s="1098"/>
      <c r="CI608" s="1098"/>
      <c r="CJ608" s="1098"/>
      <c r="CK608" s="1098"/>
      <c r="CL608" s="1098"/>
      <c r="CM608" s="1098"/>
      <c r="CN608" s="1098"/>
      <c r="CO608" s="1098"/>
      <c r="CP608" s="1098"/>
      <c r="CQ608" s="1098"/>
      <c r="CR608" s="1098"/>
      <c r="CS608" s="1098"/>
      <c r="CT608" s="1098"/>
      <c r="CU608" s="1098"/>
      <c r="CV608" s="1098"/>
      <c r="CW608" s="1098"/>
      <c r="CX608" s="1098"/>
      <c r="CY608" s="1098"/>
      <c r="CZ608" s="1098"/>
      <c r="DA608" s="1098"/>
      <c r="DB608" s="1098"/>
      <c r="DC608" s="1098"/>
      <c r="DD608" s="1098"/>
      <c r="DE608" s="1098"/>
      <c r="DF608" s="1098"/>
      <c r="DG608" s="1098"/>
      <c r="DH608" s="1098"/>
      <c r="DI608" s="1098"/>
      <c r="DJ608" s="1098"/>
      <c r="DK608" s="1098"/>
      <c r="DL608" s="1098"/>
      <c r="DM608" s="1098"/>
      <c r="DN608" s="1098"/>
      <c r="DO608" s="1098"/>
      <c r="DP608" s="1098"/>
      <c r="DQ608" s="1098"/>
      <c r="DR608" s="1098"/>
      <c r="DS608" s="1098"/>
      <c r="DT608" s="1098"/>
      <c r="DU608" s="1098"/>
      <c r="DV608" s="1098"/>
      <c r="DW608" s="1098"/>
      <c r="DX608" s="1098"/>
      <c r="DY608" s="1098"/>
      <c r="DZ608" s="1098"/>
      <c r="EA608" s="1098"/>
      <c r="EB608" s="1098"/>
      <c r="EC608" s="1098"/>
      <c r="ED608" s="1098"/>
      <c r="EE608" s="1098"/>
      <c r="EF608" s="1098"/>
      <c r="EG608" s="1098"/>
      <c r="EH608" s="1098"/>
      <c r="EI608" s="1098"/>
      <c r="EJ608" s="1098"/>
      <c r="EK608" s="1098"/>
      <c r="EL608" s="1098"/>
      <c r="EM608" s="1098"/>
      <c r="EN608" s="1098"/>
      <c r="EO608" s="1098"/>
      <c r="EP608" s="1098"/>
      <c r="EQ608" s="1098"/>
      <c r="ER608" s="1098"/>
      <c r="ES608" s="1098"/>
      <c r="ET608" s="1098"/>
      <c r="EU608" s="1098"/>
      <c r="EV608" s="1098"/>
      <c r="EW608" s="1098"/>
      <c r="EX608" s="1098"/>
      <c r="EY608" s="1098"/>
      <c r="EZ608" s="1098"/>
      <c r="FA608" s="1098"/>
      <c r="FB608" s="1098"/>
      <c r="FC608" s="1098"/>
      <c r="FD608" s="1098"/>
      <c r="FE608" s="1098"/>
      <c r="FF608" s="1098"/>
      <c r="FG608" s="1098"/>
      <c r="FH608" s="1098"/>
      <c r="FI608" s="1098"/>
      <c r="FJ608" s="1098"/>
      <c r="FK608" s="1098"/>
      <c r="FL608" s="1098"/>
      <c r="FM608" s="1098"/>
      <c r="FN608" s="1098"/>
      <c r="FO608" s="1098"/>
      <c r="FP608" s="1098"/>
      <c r="FQ608" s="1098"/>
      <c r="FR608" s="1098"/>
      <c r="FS608" s="1098"/>
      <c r="FT608" s="1098"/>
      <c r="FU608" s="1098"/>
      <c r="FV608" s="1098"/>
      <c r="FW608" s="1098"/>
      <c r="FX608" s="1098"/>
      <c r="FY608" s="1098"/>
      <c r="FZ608" s="1098"/>
      <c r="GA608" s="1098"/>
      <c r="GB608" s="1098"/>
      <c r="GC608" s="1098"/>
      <c r="GD608" s="1098"/>
      <c r="GE608" s="1098"/>
      <c r="GF608" s="1098"/>
      <c r="GG608" s="1098"/>
      <c r="GH608" s="1098"/>
      <c r="GI608" s="1098"/>
      <c r="GJ608" s="1098"/>
      <c r="GK608" s="1098"/>
      <c r="GL608" s="1098"/>
      <c r="GM608" s="1098"/>
      <c r="GN608" s="1098"/>
      <c r="GO608" s="1098"/>
      <c r="GP608" s="1098"/>
      <c r="GQ608" s="1098"/>
      <c r="GR608" s="1098"/>
      <c r="GS608" s="1098"/>
      <c r="GT608" s="1098"/>
      <c r="GU608" s="1098"/>
      <c r="GV608" s="1098"/>
      <c r="GW608" s="1098"/>
      <c r="GX608" s="1098"/>
      <c r="GY608" s="1098"/>
      <c r="GZ608" s="1098"/>
      <c r="HA608" s="1098"/>
      <c r="HB608" s="1098"/>
      <c r="HC608" s="1098"/>
      <c r="HD608" s="1098"/>
      <c r="HE608" s="1098"/>
      <c r="HF608" s="1098"/>
      <c r="HG608" s="1098"/>
      <c r="HH608" s="1098"/>
      <c r="HI608" s="1098"/>
      <c r="HJ608" s="1098"/>
      <c r="HK608" s="1098"/>
      <c r="HL608" s="1098"/>
      <c r="HM608" s="1098"/>
      <c r="HN608" s="1098"/>
      <c r="HO608" s="1098"/>
      <c r="HP608" s="1098"/>
      <c r="HQ608" s="1098"/>
      <c r="HR608" s="1098"/>
      <c r="HS608" s="1098"/>
      <c r="HT608" s="1098"/>
      <c r="HU608" s="1098"/>
      <c r="HV608" s="1098"/>
      <c r="HW608" s="1098"/>
      <c r="HX608" s="1098"/>
      <c r="HY608" s="1098"/>
      <c r="HZ608" s="1098"/>
      <c r="IA608" s="1098"/>
      <c r="IB608" s="1098"/>
      <c r="IC608" s="1098"/>
      <c r="ID608" s="1098"/>
      <c r="IE608" s="1098"/>
      <c r="IF608" s="1098"/>
      <c r="IG608" s="1098"/>
      <c r="IH608" s="1098"/>
      <c r="II608" s="1098"/>
      <c r="IJ608" s="1098"/>
      <c r="IK608" s="1098"/>
      <c r="IL608" s="1098"/>
      <c r="IM608" s="1098"/>
      <c r="IN608" s="1098"/>
      <c r="IO608" s="1098"/>
      <c r="IP608" s="1098"/>
      <c r="IQ608" s="1098"/>
      <c r="IR608" s="1098"/>
      <c r="IS608" s="1098"/>
      <c r="IT608" s="1098"/>
      <c r="IU608" s="1098"/>
      <c r="IV608" s="1098"/>
      <c r="IW608" s="1098"/>
      <c r="IX608" s="1098"/>
      <c r="IY608" s="1098"/>
      <c r="IZ608" s="1098"/>
      <c r="JA608" s="1098"/>
      <c r="JB608" s="1098"/>
      <c r="JC608" s="1098"/>
      <c r="JD608" s="1098"/>
      <c r="JE608" s="1098"/>
      <c r="JF608" s="1098"/>
      <c r="JG608" s="1098"/>
      <c r="JH608" s="1098"/>
      <c r="JI608" s="1098"/>
      <c r="JJ608" s="1098"/>
      <c r="JK608" s="1098"/>
      <c r="JL608" s="1098"/>
      <c r="JM608" s="1098"/>
      <c r="JN608" s="1098"/>
      <c r="JO608" s="1098"/>
      <c r="JP608" s="1098"/>
      <c r="JQ608" s="1098"/>
      <c r="JR608" s="1098"/>
      <c r="JS608" s="1098"/>
      <c r="JT608" s="1098"/>
      <c r="JU608" s="1098"/>
      <c r="JV608" s="1098"/>
      <c r="JW608" s="1098"/>
      <c r="JX608" s="1098"/>
      <c r="JY608" s="1098"/>
      <c r="JZ608" s="1098"/>
      <c r="KA608" s="1098"/>
      <c r="KB608" s="1099"/>
    </row>
    <row r="609" spans="2:288" ht="15" customHeight="1" x14ac:dyDescent="0.35">
      <c r="B609" s="146" t="str">
        <f t="shared" si="47"/>
        <v>Desk 82</v>
      </c>
      <c r="C609" s="148" t="str">
        <v/>
      </c>
      <c r="D609" s="148" t="str">
        <v/>
      </c>
      <c r="E609" s="148" t="str">
        <v/>
      </c>
      <c r="F609" s="148" t="str">
        <v/>
      </c>
      <c r="G609" s="268" t="str">
        <v/>
      </c>
      <c r="H609" s="1098"/>
      <c r="I609" s="1098"/>
      <c r="J609" s="1098"/>
      <c r="K609" s="1098"/>
      <c r="L609" s="1098"/>
      <c r="M609" s="1098"/>
      <c r="N609" s="1098"/>
      <c r="O609" s="1098"/>
      <c r="P609" s="1098"/>
      <c r="Q609" s="1098"/>
      <c r="R609" s="1098"/>
      <c r="S609" s="1098"/>
      <c r="T609" s="1098"/>
      <c r="U609" s="1098"/>
      <c r="V609" s="1098"/>
      <c r="W609" s="1098"/>
      <c r="X609" s="1098"/>
      <c r="Y609" s="1098"/>
      <c r="Z609" s="1098"/>
      <c r="AA609" s="1098"/>
      <c r="AB609" s="1098"/>
      <c r="AC609" s="1098"/>
      <c r="AD609" s="1098"/>
      <c r="AE609" s="1098"/>
      <c r="AF609" s="1098"/>
      <c r="AG609" s="1098"/>
      <c r="AH609" s="1098"/>
      <c r="AI609" s="1098"/>
      <c r="AJ609" s="1098"/>
      <c r="AK609" s="1098"/>
      <c r="AL609" s="1098"/>
      <c r="AM609" s="1098"/>
      <c r="AN609" s="1098"/>
      <c r="AO609" s="1098"/>
      <c r="AP609" s="1098"/>
      <c r="AQ609" s="1098"/>
      <c r="AR609" s="1098"/>
      <c r="AS609" s="1098"/>
      <c r="AT609" s="1098"/>
      <c r="AU609" s="1098"/>
      <c r="AV609" s="1098"/>
      <c r="AW609" s="1098"/>
      <c r="AX609" s="1098"/>
      <c r="AY609" s="1098"/>
      <c r="AZ609" s="1098"/>
      <c r="BA609" s="1098"/>
      <c r="BB609" s="1098"/>
      <c r="BC609" s="1098"/>
      <c r="BD609" s="1098"/>
      <c r="BE609" s="1098"/>
      <c r="BF609" s="1098"/>
      <c r="BG609" s="1098"/>
      <c r="BH609" s="1098"/>
      <c r="BI609" s="1098"/>
      <c r="BJ609" s="1098"/>
      <c r="BK609" s="1098"/>
      <c r="BL609" s="1098"/>
      <c r="BM609" s="1098"/>
      <c r="BN609" s="1098"/>
      <c r="BO609" s="1098"/>
      <c r="BP609" s="1098"/>
      <c r="BQ609" s="1098"/>
      <c r="BR609" s="1098"/>
      <c r="BS609" s="1098"/>
      <c r="BT609" s="1098"/>
      <c r="BU609" s="1098"/>
      <c r="BV609" s="1098"/>
      <c r="BW609" s="1098"/>
      <c r="BX609" s="1098"/>
      <c r="BY609" s="1098"/>
      <c r="BZ609" s="1098"/>
      <c r="CA609" s="1098"/>
      <c r="CB609" s="1098"/>
      <c r="CC609" s="1098"/>
      <c r="CD609" s="1098"/>
      <c r="CE609" s="1098"/>
      <c r="CF609" s="1098"/>
      <c r="CG609" s="1098"/>
      <c r="CH609" s="1098"/>
      <c r="CI609" s="1098"/>
      <c r="CJ609" s="1098"/>
      <c r="CK609" s="1098"/>
      <c r="CL609" s="1098"/>
      <c r="CM609" s="1098"/>
      <c r="CN609" s="1098"/>
      <c r="CO609" s="1098"/>
      <c r="CP609" s="1098"/>
      <c r="CQ609" s="1098"/>
      <c r="CR609" s="1098"/>
      <c r="CS609" s="1098"/>
      <c r="CT609" s="1098"/>
      <c r="CU609" s="1098"/>
      <c r="CV609" s="1098"/>
      <c r="CW609" s="1098"/>
      <c r="CX609" s="1098"/>
      <c r="CY609" s="1098"/>
      <c r="CZ609" s="1098"/>
      <c r="DA609" s="1098"/>
      <c r="DB609" s="1098"/>
      <c r="DC609" s="1098"/>
      <c r="DD609" s="1098"/>
      <c r="DE609" s="1098"/>
      <c r="DF609" s="1098"/>
      <c r="DG609" s="1098"/>
      <c r="DH609" s="1098"/>
      <c r="DI609" s="1098"/>
      <c r="DJ609" s="1098"/>
      <c r="DK609" s="1098"/>
      <c r="DL609" s="1098"/>
      <c r="DM609" s="1098"/>
      <c r="DN609" s="1098"/>
      <c r="DO609" s="1098"/>
      <c r="DP609" s="1098"/>
      <c r="DQ609" s="1098"/>
      <c r="DR609" s="1098"/>
      <c r="DS609" s="1098"/>
      <c r="DT609" s="1098"/>
      <c r="DU609" s="1098"/>
      <c r="DV609" s="1098"/>
      <c r="DW609" s="1098"/>
      <c r="DX609" s="1098"/>
      <c r="DY609" s="1098"/>
      <c r="DZ609" s="1098"/>
      <c r="EA609" s="1098"/>
      <c r="EB609" s="1098"/>
      <c r="EC609" s="1098"/>
      <c r="ED609" s="1098"/>
      <c r="EE609" s="1098"/>
      <c r="EF609" s="1098"/>
      <c r="EG609" s="1098"/>
      <c r="EH609" s="1098"/>
      <c r="EI609" s="1098"/>
      <c r="EJ609" s="1098"/>
      <c r="EK609" s="1098"/>
      <c r="EL609" s="1098"/>
      <c r="EM609" s="1098"/>
      <c r="EN609" s="1098"/>
      <c r="EO609" s="1098"/>
      <c r="EP609" s="1098"/>
      <c r="EQ609" s="1098"/>
      <c r="ER609" s="1098"/>
      <c r="ES609" s="1098"/>
      <c r="ET609" s="1098"/>
      <c r="EU609" s="1098"/>
      <c r="EV609" s="1098"/>
      <c r="EW609" s="1098"/>
      <c r="EX609" s="1098"/>
      <c r="EY609" s="1098"/>
      <c r="EZ609" s="1098"/>
      <c r="FA609" s="1098"/>
      <c r="FB609" s="1098"/>
      <c r="FC609" s="1098"/>
      <c r="FD609" s="1098"/>
      <c r="FE609" s="1098"/>
      <c r="FF609" s="1098"/>
      <c r="FG609" s="1098"/>
      <c r="FH609" s="1098"/>
      <c r="FI609" s="1098"/>
      <c r="FJ609" s="1098"/>
      <c r="FK609" s="1098"/>
      <c r="FL609" s="1098"/>
      <c r="FM609" s="1098"/>
      <c r="FN609" s="1098"/>
      <c r="FO609" s="1098"/>
      <c r="FP609" s="1098"/>
      <c r="FQ609" s="1098"/>
      <c r="FR609" s="1098"/>
      <c r="FS609" s="1098"/>
      <c r="FT609" s="1098"/>
      <c r="FU609" s="1098"/>
      <c r="FV609" s="1098"/>
      <c r="FW609" s="1098"/>
      <c r="FX609" s="1098"/>
      <c r="FY609" s="1098"/>
      <c r="FZ609" s="1098"/>
      <c r="GA609" s="1098"/>
      <c r="GB609" s="1098"/>
      <c r="GC609" s="1098"/>
      <c r="GD609" s="1098"/>
      <c r="GE609" s="1098"/>
      <c r="GF609" s="1098"/>
      <c r="GG609" s="1098"/>
      <c r="GH609" s="1098"/>
      <c r="GI609" s="1098"/>
      <c r="GJ609" s="1098"/>
      <c r="GK609" s="1098"/>
      <c r="GL609" s="1098"/>
      <c r="GM609" s="1098"/>
      <c r="GN609" s="1098"/>
      <c r="GO609" s="1098"/>
      <c r="GP609" s="1098"/>
      <c r="GQ609" s="1098"/>
      <c r="GR609" s="1098"/>
      <c r="GS609" s="1098"/>
      <c r="GT609" s="1098"/>
      <c r="GU609" s="1098"/>
      <c r="GV609" s="1098"/>
      <c r="GW609" s="1098"/>
      <c r="GX609" s="1098"/>
      <c r="GY609" s="1098"/>
      <c r="GZ609" s="1098"/>
      <c r="HA609" s="1098"/>
      <c r="HB609" s="1098"/>
      <c r="HC609" s="1098"/>
      <c r="HD609" s="1098"/>
      <c r="HE609" s="1098"/>
      <c r="HF609" s="1098"/>
      <c r="HG609" s="1098"/>
      <c r="HH609" s="1098"/>
      <c r="HI609" s="1098"/>
      <c r="HJ609" s="1098"/>
      <c r="HK609" s="1098"/>
      <c r="HL609" s="1098"/>
      <c r="HM609" s="1098"/>
      <c r="HN609" s="1098"/>
      <c r="HO609" s="1098"/>
      <c r="HP609" s="1098"/>
      <c r="HQ609" s="1098"/>
      <c r="HR609" s="1098"/>
      <c r="HS609" s="1098"/>
      <c r="HT609" s="1098"/>
      <c r="HU609" s="1098"/>
      <c r="HV609" s="1098"/>
      <c r="HW609" s="1098"/>
      <c r="HX609" s="1098"/>
      <c r="HY609" s="1098"/>
      <c r="HZ609" s="1098"/>
      <c r="IA609" s="1098"/>
      <c r="IB609" s="1098"/>
      <c r="IC609" s="1098"/>
      <c r="ID609" s="1098"/>
      <c r="IE609" s="1098"/>
      <c r="IF609" s="1098"/>
      <c r="IG609" s="1098"/>
      <c r="IH609" s="1098"/>
      <c r="II609" s="1098"/>
      <c r="IJ609" s="1098"/>
      <c r="IK609" s="1098"/>
      <c r="IL609" s="1098"/>
      <c r="IM609" s="1098"/>
      <c r="IN609" s="1098"/>
      <c r="IO609" s="1098"/>
      <c r="IP609" s="1098"/>
      <c r="IQ609" s="1098"/>
      <c r="IR609" s="1098"/>
      <c r="IS609" s="1098"/>
      <c r="IT609" s="1098"/>
      <c r="IU609" s="1098"/>
      <c r="IV609" s="1098"/>
      <c r="IW609" s="1098"/>
      <c r="IX609" s="1098"/>
      <c r="IY609" s="1098"/>
      <c r="IZ609" s="1098"/>
      <c r="JA609" s="1098"/>
      <c r="JB609" s="1098"/>
      <c r="JC609" s="1098"/>
      <c r="JD609" s="1098"/>
      <c r="JE609" s="1098"/>
      <c r="JF609" s="1098"/>
      <c r="JG609" s="1098"/>
      <c r="JH609" s="1098"/>
      <c r="JI609" s="1098"/>
      <c r="JJ609" s="1098"/>
      <c r="JK609" s="1098"/>
      <c r="JL609" s="1098"/>
      <c r="JM609" s="1098"/>
      <c r="JN609" s="1098"/>
      <c r="JO609" s="1098"/>
      <c r="JP609" s="1098"/>
      <c r="JQ609" s="1098"/>
      <c r="JR609" s="1098"/>
      <c r="JS609" s="1098"/>
      <c r="JT609" s="1098"/>
      <c r="JU609" s="1098"/>
      <c r="JV609" s="1098"/>
      <c r="JW609" s="1098"/>
      <c r="JX609" s="1098"/>
      <c r="JY609" s="1098"/>
      <c r="JZ609" s="1098"/>
      <c r="KA609" s="1098"/>
      <c r="KB609" s="1099"/>
    </row>
    <row r="610" spans="2:288" ht="15" customHeight="1" x14ac:dyDescent="0.35">
      <c r="B610" s="146" t="str">
        <f t="shared" si="47"/>
        <v>Desk 83</v>
      </c>
      <c r="C610" s="148" t="str">
        <v/>
      </c>
      <c r="D610" s="148" t="str">
        <v/>
      </c>
      <c r="E610" s="148" t="str">
        <v/>
      </c>
      <c r="F610" s="148" t="str">
        <v/>
      </c>
      <c r="G610" s="268" t="str">
        <v/>
      </c>
      <c r="H610" s="1098"/>
      <c r="I610" s="1098"/>
      <c r="J610" s="1098"/>
      <c r="K610" s="1098"/>
      <c r="L610" s="1098"/>
      <c r="M610" s="1098"/>
      <c r="N610" s="1098"/>
      <c r="O610" s="1098"/>
      <c r="P610" s="1098"/>
      <c r="Q610" s="1098"/>
      <c r="R610" s="1098"/>
      <c r="S610" s="1098"/>
      <c r="T610" s="1098"/>
      <c r="U610" s="1098"/>
      <c r="V610" s="1098"/>
      <c r="W610" s="1098"/>
      <c r="X610" s="1098"/>
      <c r="Y610" s="1098"/>
      <c r="Z610" s="1098"/>
      <c r="AA610" s="1098"/>
      <c r="AB610" s="1098"/>
      <c r="AC610" s="1098"/>
      <c r="AD610" s="1098"/>
      <c r="AE610" s="1098"/>
      <c r="AF610" s="1098"/>
      <c r="AG610" s="1098"/>
      <c r="AH610" s="1098"/>
      <c r="AI610" s="1098"/>
      <c r="AJ610" s="1098"/>
      <c r="AK610" s="1098"/>
      <c r="AL610" s="1098"/>
      <c r="AM610" s="1098"/>
      <c r="AN610" s="1098"/>
      <c r="AO610" s="1098"/>
      <c r="AP610" s="1098"/>
      <c r="AQ610" s="1098"/>
      <c r="AR610" s="1098"/>
      <c r="AS610" s="1098"/>
      <c r="AT610" s="1098"/>
      <c r="AU610" s="1098"/>
      <c r="AV610" s="1098"/>
      <c r="AW610" s="1098"/>
      <c r="AX610" s="1098"/>
      <c r="AY610" s="1098"/>
      <c r="AZ610" s="1098"/>
      <c r="BA610" s="1098"/>
      <c r="BB610" s="1098"/>
      <c r="BC610" s="1098"/>
      <c r="BD610" s="1098"/>
      <c r="BE610" s="1098"/>
      <c r="BF610" s="1098"/>
      <c r="BG610" s="1098"/>
      <c r="BH610" s="1098"/>
      <c r="BI610" s="1098"/>
      <c r="BJ610" s="1098"/>
      <c r="BK610" s="1098"/>
      <c r="BL610" s="1098"/>
      <c r="BM610" s="1098"/>
      <c r="BN610" s="1098"/>
      <c r="BO610" s="1098"/>
      <c r="BP610" s="1098"/>
      <c r="BQ610" s="1098"/>
      <c r="BR610" s="1098"/>
      <c r="BS610" s="1098"/>
      <c r="BT610" s="1098"/>
      <c r="BU610" s="1098"/>
      <c r="BV610" s="1098"/>
      <c r="BW610" s="1098"/>
      <c r="BX610" s="1098"/>
      <c r="BY610" s="1098"/>
      <c r="BZ610" s="1098"/>
      <c r="CA610" s="1098"/>
      <c r="CB610" s="1098"/>
      <c r="CC610" s="1098"/>
      <c r="CD610" s="1098"/>
      <c r="CE610" s="1098"/>
      <c r="CF610" s="1098"/>
      <c r="CG610" s="1098"/>
      <c r="CH610" s="1098"/>
      <c r="CI610" s="1098"/>
      <c r="CJ610" s="1098"/>
      <c r="CK610" s="1098"/>
      <c r="CL610" s="1098"/>
      <c r="CM610" s="1098"/>
      <c r="CN610" s="1098"/>
      <c r="CO610" s="1098"/>
      <c r="CP610" s="1098"/>
      <c r="CQ610" s="1098"/>
      <c r="CR610" s="1098"/>
      <c r="CS610" s="1098"/>
      <c r="CT610" s="1098"/>
      <c r="CU610" s="1098"/>
      <c r="CV610" s="1098"/>
      <c r="CW610" s="1098"/>
      <c r="CX610" s="1098"/>
      <c r="CY610" s="1098"/>
      <c r="CZ610" s="1098"/>
      <c r="DA610" s="1098"/>
      <c r="DB610" s="1098"/>
      <c r="DC610" s="1098"/>
      <c r="DD610" s="1098"/>
      <c r="DE610" s="1098"/>
      <c r="DF610" s="1098"/>
      <c r="DG610" s="1098"/>
      <c r="DH610" s="1098"/>
      <c r="DI610" s="1098"/>
      <c r="DJ610" s="1098"/>
      <c r="DK610" s="1098"/>
      <c r="DL610" s="1098"/>
      <c r="DM610" s="1098"/>
      <c r="DN610" s="1098"/>
      <c r="DO610" s="1098"/>
      <c r="DP610" s="1098"/>
      <c r="DQ610" s="1098"/>
      <c r="DR610" s="1098"/>
      <c r="DS610" s="1098"/>
      <c r="DT610" s="1098"/>
      <c r="DU610" s="1098"/>
      <c r="DV610" s="1098"/>
      <c r="DW610" s="1098"/>
      <c r="DX610" s="1098"/>
      <c r="DY610" s="1098"/>
      <c r="DZ610" s="1098"/>
      <c r="EA610" s="1098"/>
      <c r="EB610" s="1098"/>
      <c r="EC610" s="1098"/>
      <c r="ED610" s="1098"/>
      <c r="EE610" s="1098"/>
      <c r="EF610" s="1098"/>
      <c r="EG610" s="1098"/>
      <c r="EH610" s="1098"/>
      <c r="EI610" s="1098"/>
      <c r="EJ610" s="1098"/>
      <c r="EK610" s="1098"/>
      <c r="EL610" s="1098"/>
      <c r="EM610" s="1098"/>
      <c r="EN610" s="1098"/>
      <c r="EO610" s="1098"/>
      <c r="EP610" s="1098"/>
      <c r="EQ610" s="1098"/>
      <c r="ER610" s="1098"/>
      <c r="ES610" s="1098"/>
      <c r="ET610" s="1098"/>
      <c r="EU610" s="1098"/>
      <c r="EV610" s="1098"/>
      <c r="EW610" s="1098"/>
      <c r="EX610" s="1098"/>
      <c r="EY610" s="1098"/>
      <c r="EZ610" s="1098"/>
      <c r="FA610" s="1098"/>
      <c r="FB610" s="1098"/>
      <c r="FC610" s="1098"/>
      <c r="FD610" s="1098"/>
      <c r="FE610" s="1098"/>
      <c r="FF610" s="1098"/>
      <c r="FG610" s="1098"/>
      <c r="FH610" s="1098"/>
      <c r="FI610" s="1098"/>
      <c r="FJ610" s="1098"/>
      <c r="FK610" s="1098"/>
      <c r="FL610" s="1098"/>
      <c r="FM610" s="1098"/>
      <c r="FN610" s="1098"/>
      <c r="FO610" s="1098"/>
      <c r="FP610" s="1098"/>
      <c r="FQ610" s="1098"/>
      <c r="FR610" s="1098"/>
      <c r="FS610" s="1098"/>
      <c r="FT610" s="1098"/>
      <c r="FU610" s="1098"/>
      <c r="FV610" s="1098"/>
      <c r="FW610" s="1098"/>
      <c r="FX610" s="1098"/>
      <c r="FY610" s="1098"/>
      <c r="FZ610" s="1098"/>
      <c r="GA610" s="1098"/>
      <c r="GB610" s="1098"/>
      <c r="GC610" s="1098"/>
      <c r="GD610" s="1098"/>
      <c r="GE610" s="1098"/>
      <c r="GF610" s="1098"/>
      <c r="GG610" s="1098"/>
      <c r="GH610" s="1098"/>
      <c r="GI610" s="1098"/>
      <c r="GJ610" s="1098"/>
      <c r="GK610" s="1098"/>
      <c r="GL610" s="1098"/>
      <c r="GM610" s="1098"/>
      <c r="GN610" s="1098"/>
      <c r="GO610" s="1098"/>
      <c r="GP610" s="1098"/>
      <c r="GQ610" s="1098"/>
      <c r="GR610" s="1098"/>
      <c r="GS610" s="1098"/>
      <c r="GT610" s="1098"/>
      <c r="GU610" s="1098"/>
      <c r="GV610" s="1098"/>
      <c r="GW610" s="1098"/>
      <c r="GX610" s="1098"/>
      <c r="GY610" s="1098"/>
      <c r="GZ610" s="1098"/>
      <c r="HA610" s="1098"/>
      <c r="HB610" s="1098"/>
      <c r="HC610" s="1098"/>
      <c r="HD610" s="1098"/>
      <c r="HE610" s="1098"/>
      <c r="HF610" s="1098"/>
      <c r="HG610" s="1098"/>
      <c r="HH610" s="1098"/>
      <c r="HI610" s="1098"/>
      <c r="HJ610" s="1098"/>
      <c r="HK610" s="1098"/>
      <c r="HL610" s="1098"/>
      <c r="HM610" s="1098"/>
      <c r="HN610" s="1098"/>
      <c r="HO610" s="1098"/>
      <c r="HP610" s="1098"/>
      <c r="HQ610" s="1098"/>
      <c r="HR610" s="1098"/>
      <c r="HS610" s="1098"/>
      <c r="HT610" s="1098"/>
      <c r="HU610" s="1098"/>
      <c r="HV610" s="1098"/>
      <c r="HW610" s="1098"/>
      <c r="HX610" s="1098"/>
      <c r="HY610" s="1098"/>
      <c r="HZ610" s="1098"/>
      <c r="IA610" s="1098"/>
      <c r="IB610" s="1098"/>
      <c r="IC610" s="1098"/>
      <c r="ID610" s="1098"/>
      <c r="IE610" s="1098"/>
      <c r="IF610" s="1098"/>
      <c r="IG610" s="1098"/>
      <c r="IH610" s="1098"/>
      <c r="II610" s="1098"/>
      <c r="IJ610" s="1098"/>
      <c r="IK610" s="1098"/>
      <c r="IL610" s="1098"/>
      <c r="IM610" s="1098"/>
      <c r="IN610" s="1098"/>
      <c r="IO610" s="1098"/>
      <c r="IP610" s="1098"/>
      <c r="IQ610" s="1098"/>
      <c r="IR610" s="1098"/>
      <c r="IS610" s="1098"/>
      <c r="IT610" s="1098"/>
      <c r="IU610" s="1098"/>
      <c r="IV610" s="1098"/>
      <c r="IW610" s="1098"/>
      <c r="IX610" s="1098"/>
      <c r="IY610" s="1098"/>
      <c r="IZ610" s="1098"/>
      <c r="JA610" s="1098"/>
      <c r="JB610" s="1098"/>
      <c r="JC610" s="1098"/>
      <c r="JD610" s="1098"/>
      <c r="JE610" s="1098"/>
      <c r="JF610" s="1098"/>
      <c r="JG610" s="1098"/>
      <c r="JH610" s="1098"/>
      <c r="JI610" s="1098"/>
      <c r="JJ610" s="1098"/>
      <c r="JK610" s="1098"/>
      <c r="JL610" s="1098"/>
      <c r="JM610" s="1098"/>
      <c r="JN610" s="1098"/>
      <c r="JO610" s="1098"/>
      <c r="JP610" s="1098"/>
      <c r="JQ610" s="1098"/>
      <c r="JR610" s="1098"/>
      <c r="JS610" s="1098"/>
      <c r="JT610" s="1098"/>
      <c r="JU610" s="1098"/>
      <c r="JV610" s="1098"/>
      <c r="JW610" s="1098"/>
      <c r="JX610" s="1098"/>
      <c r="JY610" s="1098"/>
      <c r="JZ610" s="1098"/>
      <c r="KA610" s="1098"/>
      <c r="KB610" s="1099"/>
    </row>
    <row r="611" spans="2:288" ht="15" customHeight="1" x14ac:dyDescent="0.35">
      <c r="B611" s="146" t="str">
        <f t="shared" si="47"/>
        <v>Desk 84</v>
      </c>
      <c r="C611" s="148" t="str">
        <v/>
      </c>
      <c r="D611" s="148" t="str">
        <v/>
      </c>
      <c r="E611" s="148" t="str">
        <v/>
      </c>
      <c r="F611" s="148" t="str">
        <v/>
      </c>
      <c r="G611" s="268" t="str">
        <v/>
      </c>
      <c r="H611" s="1098"/>
      <c r="I611" s="1098"/>
      <c r="J611" s="1098"/>
      <c r="K611" s="1098"/>
      <c r="L611" s="1098"/>
      <c r="M611" s="1098"/>
      <c r="N611" s="1098"/>
      <c r="O611" s="1098"/>
      <c r="P611" s="1098"/>
      <c r="Q611" s="1098"/>
      <c r="R611" s="1098"/>
      <c r="S611" s="1098"/>
      <c r="T611" s="1098"/>
      <c r="U611" s="1098"/>
      <c r="V611" s="1098"/>
      <c r="W611" s="1098"/>
      <c r="X611" s="1098"/>
      <c r="Y611" s="1098"/>
      <c r="Z611" s="1098"/>
      <c r="AA611" s="1098"/>
      <c r="AB611" s="1098"/>
      <c r="AC611" s="1098"/>
      <c r="AD611" s="1098"/>
      <c r="AE611" s="1098"/>
      <c r="AF611" s="1098"/>
      <c r="AG611" s="1098"/>
      <c r="AH611" s="1098"/>
      <c r="AI611" s="1098"/>
      <c r="AJ611" s="1098"/>
      <c r="AK611" s="1098"/>
      <c r="AL611" s="1098"/>
      <c r="AM611" s="1098"/>
      <c r="AN611" s="1098"/>
      <c r="AO611" s="1098"/>
      <c r="AP611" s="1098"/>
      <c r="AQ611" s="1098"/>
      <c r="AR611" s="1098"/>
      <c r="AS611" s="1098"/>
      <c r="AT611" s="1098"/>
      <c r="AU611" s="1098"/>
      <c r="AV611" s="1098"/>
      <c r="AW611" s="1098"/>
      <c r="AX611" s="1098"/>
      <c r="AY611" s="1098"/>
      <c r="AZ611" s="1098"/>
      <c r="BA611" s="1098"/>
      <c r="BB611" s="1098"/>
      <c r="BC611" s="1098"/>
      <c r="BD611" s="1098"/>
      <c r="BE611" s="1098"/>
      <c r="BF611" s="1098"/>
      <c r="BG611" s="1098"/>
      <c r="BH611" s="1098"/>
      <c r="BI611" s="1098"/>
      <c r="BJ611" s="1098"/>
      <c r="BK611" s="1098"/>
      <c r="BL611" s="1098"/>
      <c r="BM611" s="1098"/>
      <c r="BN611" s="1098"/>
      <c r="BO611" s="1098"/>
      <c r="BP611" s="1098"/>
      <c r="BQ611" s="1098"/>
      <c r="BR611" s="1098"/>
      <c r="BS611" s="1098"/>
      <c r="BT611" s="1098"/>
      <c r="BU611" s="1098"/>
      <c r="BV611" s="1098"/>
      <c r="BW611" s="1098"/>
      <c r="BX611" s="1098"/>
      <c r="BY611" s="1098"/>
      <c r="BZ611" s="1098"/>
      <c r="CA611" s="1098"/>
      <c r="CB611" s="1098"/>
      <c r="CC611" s="1098"/>
      <c r="CD611" s="1098"/>
      <c r="CE611" s="1098"/>
      <c r="CF611" s="1098"/>
      <c r="CG611" s="1098"/>
      <c r="CH611" s="1098"/>
      <c r="CI611" s="1098"/>
      <c r="CJ611" s="1098"/>
      <c r="CK611" s="1098"/>
      <c r="CL611" s="1098"/>
      <c r="CM611" s="1098"/>
      <c r="CN611" s="1098"/>
      <c r="CO611" s="1098"/>
      <c r="CP611" s="1098"/>
      <c r="CQ611" s="1098"/>
      <c r="CR611" s="1098"/>
      <c r="CS611" s="1098"/>
      <c r="CT611" s="1098"/>
      <c r="CU611" s="1098"/>
      <c r="CV611" s="1098"/>
      <c r="CW611" s="1098"/>
      <c r="CX611" s="1098"/>
      <c r="CY611" s="1098"/>
      <c r="CZ611" s="1098"/>
      <c r="DA611" s="1098"/>
      <c r="DB611" s="1098"/>
      <c r="DC611" s="1098"/>
      <c r="DD611" s="1098"/>
      <c r="DE611" s="1098"/>
      <c r="DF611" s="1098"/>
      <c r="DG611" s="1098"/>
      <c r="DH611" s="1098"/>
      <c r="DI611" s="1098"/>
      <c r="DJ611" s="1098"/>
      <c r="DK611" s="1098"/>
      <c r="DL611" s="1098"/>
      <c r="DM611" s="1098"/>
      <c r="DN611" s="1098"/>
      <c r="DO611" s="1098"/>
      <c r="DP611" s="1098"/>
      <c r="DQ611" s="1098"/>
      <c r="DR611" s="1098"/>
      <c r="DS611" s="1098"/>
      <c r="DT611" s="1098"/>
      <c r="DU611" s="1098"/>
      <c r="DV611" s="1098"/>
      <c r="DW611" s="1098"/>
      <c r="DX611" s="1098"/>
      <c r="DY611" s="1098"/>
      <c r="DZ611" s="1098"/>
      <c r="EA611" s="1098"/>
      <c r="EB611" s="1098"/>
      <c r="EC611" s="1098"/>
      <c r="ED611" s="1098"/>
      <c r="EE611" s="1098"/>
      <c r="EF611" s="1098"/>
      <c r="EG611" s="1098"/>
      <c r="EH611" s="1098"/>
      <c r="EI611" s="1098"/>
      <c r="EJ611" s="1098"/>
      <c r="EK611" s="1098"/>
      <c r="EL611" s="1098"/>
      <c r="EM611" s="1098"/>
      <c r="EN611" s="1098"/>
      <c r="EO611" s="1098"/>
      <c r="EP611" s="1098"/>
      <c r="EQ611" s="1098"/>
      <c r="ER611" s="1098"/>
      <c r="ES611" s="1098"/>
      <c r="ET611" s="1098"/>
      <c r="EU611" s="1098"/>
      <c r="EV611" s="1098"/>
      <c r="EW611" s="1098"/>
      <c r="EX611" s="1098"/>
      <c r="EY611" s="1098"/>
      <c r="EZ611" s="1098"/>
      <c r="FA611" s="1098"/>
      <c r="FB611" s="1098"/>
      <c r="FC611" s="1098"/>
      <c r="FD611" s="1098"/>
      <c r="FE611" s="1098"/>
      <c r="FF611" s="1098"/>
      <c r="FG611" s="1098"/>
      <c r="FH611" s="1098"/>
      <c r="FI611" s="1098"/>
      <c r="FJ611" s="1098"/>
      <c r="FK611" s="1098"/>
      <c r="FL611" s="1098"/>
      <c r="FM611" s="1098"/>
      <c r="FN611" s="1098"/>
      <c r="FO611" s="1098"/>
      <c r="FP611" s="1098"/>
      <c r="FQ611" s="1098"/>
      <c r="FR611" s="1098"/>
      <c r="FS611" s="1098"/>
      <c r="FT611" s="1098"/>
      <c r="FU611" s="1098"/>
      <c r="FV611" s="1098"/>
      <c r="FW611" s="1098"/>
      <c r="FX611" s="1098"/>
      <c r="FY611" s="1098"/>
      <c r="FZ611" s="1098"/>
      <c r="GA611" s="1098"/>
      <c r="GB611" s="1098"/>
      <c r="GC611" s="1098"/>
      <c r="GD611" s="1098"/>
      <c r="GE611" s="1098"/>
      <c r="GF611" s="1098"/>
      <c r="GG611" s="1098"/>
      <c r="GH611" s="1098"/>
      <c r="GI611" s="1098"/>
      <c r="GJ611" s="1098"/>
      <c r="GK611" s="1098"/>
      <c r="GL611" s="1098"/>
      <c r="GM611" s="1098"/>
      <c r="GN611" s="1098"/>
      <c r="GO611" s="1098"/>
      <c r="GP611" s="1098"/>
      <c r="GQ611" s="1098"/>
      <c r="GR611" s="1098"/>
      <c r="GS611" s="1098"/>
      <c r="GT611" s="1098"/>
      <c r="GU611" s="1098"/>
      <c r="GV611" s="1098"/>
      <c r="GW611" s="1098"/>
      <c r="GX611" s="1098"/>
      <c r="GY611" s="1098"/>
      <c r="GZ611" s="1098"/>
      <c r="HA611" s="1098"/>
      <c r="HB611" s="1098"/>
      <c r="HC611" s="1098"/>
      <c r="HD611" s="1098"/>
      <c r="HE611" s="1098"/>
      <c r="HF611" s="1098"/>
      <c r="HG611" s="1098"/>
      <c r="HH611" s="1098"/>
      <c r="HI611" s="1098"/>
      <c r="HJ611" s="1098"/>
      <c r="HK611" s="1098"/>
      <c r="HL611" s="1098"/>
      <c r="HM611" s="1098"/>
      <c r="HN611" s="1098"/>
      <c r="HO611" s="1098"/>
      <c r="HP611" s="1098"/>
      <c r="HQ611" s="1098"/>
      <c r="HR611" s="1098"/>
      <c r="HS611" s="1098"/>
      <c r="HT611" s="1098"/>
      <c r="HU611" s="1098"/>
      <c r="HV611" s="1098"/>
      <c r="HW611" s="1098"/>
      <c r="HX611" s="1098"/>
      <c r="HY611" s="1098"/>
      <c r="HZ611" s="1098"/>
      <c r="IA611" s="1098"/>
      <c r="IB611" s="1098"/>
      <c r="IC611" s="1098"/>
      <c r="ID611" s="1098"/>
      <c r="IE611" s="1098"/>
      <c r="IF611" s="1098"/>
      <c r="IG611" s="1098"/>
      <c r="IH611" s="1098"/>
      <c r="II611" s="1098"/>
      <c r="IJ611" s="1098"/>
      <c r="IK611" s="1098"/>
      <c r="IL611" s="1098"/>
      <c r="IM611" s="1098"/>
      <c r="IN611" s="1098"/>
      <c r="IO611" s="1098"/>
      <c r="IP611" s="1098"/>
      <c r="IQ611" s="1098"/>
      <c r="IR611" s="1098"/>
      <c r="IS611" s="1098"/>
      <c r="IT611" s="1098"/>
      <c r="IU611" s="1098"/>
      <c r="IV611" s="1098"/>
      <c r="IW611" s="1098"/>
      <c r="IX611" s="1098"/>
      <c r="IY611" s="1098"/>
      <c r="IZ611" s="1098"/>
      <c r="JA611" s="1098"/>
      <c r="JB611" s="1098"/>
      <c r="JC611" s="1098"/>
      <c r="JD611" s="1098"/>
      <c r="JE611" s="1098"/>
      <c r="JF611" s="1098"/>
      <c r="JG611" s="1098"/>
      <c r="JH611" s="1098"/>
      <c r="JI611" s="1098"/>
      <c r="JJ611" s="1098"/>
      <c r="JK611" s="1098"/>
      <c r="JL611" s="1098"/>
      <c r="JM611" s="1098"/>
      <c r="JN611" s="1098"/>
      <c r="JO611" s="1098"/>
      <c r="JP611" s="1098"/>
      <c r="JQ611" s="1098"/>
      <c r="JR611" s="1098"/>
      <c r="JS611" s="1098"/>
      <c r="JT611" s="1098"/>
      <c r="JU611" s="1098"/>
      <c r="JV611" s="1098"/>
      <c r="JW611" s="1098"/>
      <c r="JX611" s="1098"/>
      <c r="JY611" s="1098"/>
      <c r="JZ611" s="1098"/>
      <c r="KA611" s="1098"/>
      <c r="KB611" s="1099"/>
    </row>
    <row r="612" spans="2:288" ht="15" customHeight="1" x14ac:dyDescent="0.35">
      <c r="B612" s="146" t="str">
        <f t="shared" si="47"/>
        <v>Desk 85</v>
      </c>
      <c r="C612" s="148" t="str">
        <v/>
      </c>
      <c r="D612" s="148" t="str">
        <v/>
      </c>
      <c r="E612" s="148" t="str">
        <v/>
      </c>
      <c r="F612" s="148" t="str">
        <v/>
      </c>
      <c r="G612" s="268" t="str">
        <v/>
      </c>
      <c r="H612" s="1098"/>
      <c r="I612" s="1098"/>
      <c r="J612" s="1098"/>
      <c r="K612" s="1098"/>
      <c r="L612" s="1098"/>
      <c r="M612" s="1098"/>
      <c r="N612" s="1098"/>
      <c r="O612" s="1098"/>
      <c r="P612" s="1098"/>
      <c r="Q612" s="1098"/>
      <c r="R612" s="1098"/>
      <c r="S612" s="1098"/>
      <c r="T612" s="1098"/>
      <c r="U612" s="1098"/>
      <c r="V612" s="1098"/>
      <c r="W612" s="1098"/>
      <c r="X612" s="1098"/>
      <c r="Y612" s="1098"/>
      <c r="Z612" s="1098"/>
      <c r="AA612" s="1098"/>
      <c r="AB612" s="1098"/>
      <c r="AC612" s="1098"/>
      <c r="AD612" s="1098"/>
      <c r="AE612" s="1098"/>
      <c r="AF612" s="1098"/>
      <c r="AG612" s="1098"/>
      <c r="AH612" s="1098"/>
      <c r="AI612" s="1098"/>
      <c r="AJ612" s="1098"/>
      <c r="AK612" s="1098"/>
      <c r="AL612" s="1098"/>
      <c r="AM612" s="1098"/>
      <c r="AN612" s="1098"/>
      <c r="AO612" s="1098"/>
      <c r="AP612" s="1098"/>
      <c r="AQ612" s="1098"/>
      <c r="AR612" s="1098"/>
      <c r="AS612" s="1098"/>
      <c r="AT612" s="1098"/>
      <c r="AU612" s="1098"/>
      <c r="AV612" s="1098"/>
      <c r="AW612" s="1098"/>
      <c r="AX612" s="1098"/>
      <c r="AY612" s="1098"/>
      <c r="AZ612" s="1098"/>
      <c r="BA612" s="1098"/>
      <c r="BB612" s="1098"/>
      <c r="BC612" s="1098"/>
      <c r="BD612" s="1098"/>
      <c r="BE612" s="1098"/>
      <c r="BF612" s="1098"/>
      <c r="BG612" s="1098"/>
      <c r="BH612" s="1098"/>
      <c r="BI612" s="1098"/>
      <c r="BJ612" s="1098"/>
      <c r="BK612" s="1098"/>
      <c r="BL612" s="1098"/>
      <c r="BM612" s="1098"/>
      <c r="BN612" s="1098"/>
      <c r="BO612" s="1098"/>
      <c r="BP612" s="1098"/>
      <c r="BQ612" s="1098"/>
      <c r="BR612" s="1098"/>
      <c r="BS612" s="1098"/>
      <c r="BT612" s="1098"/>
      <c r="BU612" s="1098"/>
      <c r="BV612" s="1098"/>
      <c r="BW612" s="1098"/>
      <c r="BX612" s="1098"/>
      <c r="BY612" s="1098"/>
      <c r="BZ612" s="1098"/>
      <c r="CA612" s="1098"/>
      <c r="CB612" s="1098"/>
      <c r="CC612" s="1098"/>
      <c r="CD612" s="1098"/>
      <c r="CE612" s="1098"/>
      <c r="CF612" s="1098"/>
      <c r="CG612" s="1098"/>
      <c r="CH612" s="1098"/>
      <c r="CI612" s="1098"/>
      <c r="CJ612" s="1098"/>
      <c r="CK612" s="1098"/>
      <c r="CL612" s="1098"/>
      <c r="CM612" s="1098"/>
      <c r="CN612" s="1098"/>
      <c r="CO612" s="1098"/>
      <c r="CP612" s="1098"/>
      <c r="CQ612" s="1098"/>
      <c r="CR612" s="1098"/>
      <c r="CS612" s="1098"/>
      <c r="CT612" s="1098"/>
      <c r="CU612" s="1098"/>
      <c r="CV612" s="1098"/>
      <c r="CW612" s="1098"/>
      <c r="CX612" s="1098"/>
      <c r="CY612" s="1098"/>
      <c r="CZ612" s="1098"/>
      <c r="DA612" s="1098"/>
      <c r="DB612" s="1098"/>
      <c r="DC612" s="1098"/>
      <c r="DD612" s="1098"/>
      <c r="DE612" s="1098"/>
      <c r="DF612" s="1098"/>
      <c r="DG612" s="1098"/>
      <c r="DH612" s="1098"/>
      <c r="DI612" s="1098"/>
      <c r="DJ612" s="1098"/>
      <c r="DK612" s="1098"/>
      <c r="DL612" s="1098"/>
      <c r="DM612" s="1098"/>
      <c r="DN612" s="1098"/>
      <c r="DO612" s="1098"/>
      <c r="DP612" s="1098"/>
      <c r="DQ612" s="1098"/>
      <c r="DR612" s="1098"/>
      <c r="DS612" s="1098"/>
      <c r="DT612" s="1098"/>
      <c r="DU612" s="1098"/>
      <c r="DV612" s="1098"/>
      <c r="DW612" s="1098"/>
      <c r="DX612" s="1098"/>
      <c r="DY612" s="1098"/>
      <c r="DZ612" s="1098"/>
      <c r="EA612" s="1098"/>
      <c r="EB612" s="1098"/>
      <c r="EC612" s="1098"/>
      <c r="ED612" s="1098"/>
      <c r="EE612" s="1098"/>
      <c r="EF612" s="1098"/>
      <c r="EG612" s="1098"/>
      <c r="EH612" s="1098"/>
      <c r="EI612" s="1098"/>
      <c r="EJ612" s="1098"/>
      <c r="EK612" s="1098"/>
      <c r="EL612" s="1098"/>
      <c r="EM612" s="1098"/>
      <c r="EN612" s="1098"/>
      <c r="EO612" s="1098"/>
      <c r="EP612" s="1098"/>
      <c r="EQ612" s="1098"/>
      <c r="ER612" s="1098"/>
      <c r="ES612" s="1098"/>
      <c r="ET612" s="1098"/>
      <c r="EU612" s="1098"/>
      <c r="EV612" s="1098"/>
      <c r="EW612" s="1098"/>
      <c r="EX612" s="1098"/>
      <c r="EY612" s="1098"/>
      <c r="EZ612" s="1098"/>
      <c r="FA612" s="1098"/>
      <c r="FB612" s="1098"/>
      <c r="FC612" s="1098"/>
      <c r="FD612" s="1098"/>
      <c r="FE612" s="1098"/>
      <c r="FF612" s="1098"/>
      <c r="FG612" s="1098"/>
      <c r="FH612" s="1098"/>
      <c r="FI612" s="1098"/>
      <c r="FJ612" s="1098"/>
      <c r="FK612" s="1098"/>
      <c r="FL612" s="1098"/>
      <c r="FM612" s="1098"/>
      <c r="FN612" s="1098"/>
      <c r="FO612" s="1098"/>
      <c r="FP612" s="1098"/>
      <c r="FQ612" s="1098"/>
      <c r="FR612" s="1098"/>
      <c r="FS612" s="1098"/>
      <c r="FT612" s="1098"/>
      <c r="FU612" s="1098"/>
      <c r="FV612" s="1098"/>
      <c r="FW612" s="1098"/>
      <c r="FX612" s="1098"/>
      <c r="FY612" s="1098"/>
      <c r="FZ612" s="1098"/>
      <c r="GA612" s="1098"/>
      <c r="GB612" s="1098"/>
      <c r="GC612" s="1098"/>
      <c r="GD612" s="1098"/>
      <c r="GE612" s="1098"/>
      <c r="GF612" s="1098"/>
      <c r="GG612" s="1098"/>
      <c r="GH612" s="1098"/>
      <c r="GI612" s="1098"/>
      <c r="GJ612" s="1098"/>
      <c r="GK612" s="1098"/>
      <c r="GL612" s="1098"/>
      <c r="GM612" s="1098"/>
      <c r="GN612" s="1098"/>
      <c r="GO612" s="1098"/>
      <c r="GP612" s="1098"/>
      <c r="GQ612" s="1098"/>
      <c r="GR612" s="1098"/>
      <c r="GS612" s="1098"/>
      <c r="GT612" s="1098"/>
      <c r="GU612" s="1098"/>
      <c r="GV612" s="1098"/>
      <c r="GW612" s="1098"/>
      <c r="GX612" s="1098"/>
      <c r="GY612" s="1098"/>
      <c r="GZ612" s="1098"/>
      <c r="HA612" s="1098"/>
      <c r="HB612" s="1098"/>
      <c r="HC612" s="1098"/>
      <c r="HD612" s="1098"/>
      <c r="HE612" s="1098"/>
      <c r="HF612" s="1098"/>
      <c r="HG612" s="1098"/>
      <c r="HH612" s="1098"/>
      <c r="HI612" s="1098"/>
      <c r="HJ612" s="1098"/>
      <c r="HK612" s="1098"/>
      <c r="HL612" s="1098"/>
      <c r="HM612" s="1098"/>
      <c r="HN612" s="1098"/>
      <c r="HO612" s="1098"/>
      <c r="HP612" s="1098"/>
      <c r="HQ612" s="1098"/>
      <c r="HR612" s="1098"/>
      <c r="HS612" s="1098"/>
      <c r="HT612" s="1098"/>
      <c r="HU612" s="1098"/>
      <c r="HV612" s="1098"/>
      <c r="HW612" s="1098"/>
      <c r="HX612" s="1098"/>
      <c r="HY612" s="1098"/>
      <c r="HZ612" s="1098"/>
      <c r="IA612" s="1098"/>
      <c r="IB612" s="1098"/>
      <c r="IC612" s="1098"/>
      <c r="ID612" s="1098"/>
      <c r="IE612" s="1098"/>
      <c r="IF612" s="1098"/>
      <c r="IG612" s="1098"/>
      <c r="IH612" s="1098"/>
      <c r="II612" s="1098"/>
      <c r="IJ612" s="1098"/>
      <c r="IK612" s="1098"/>
      <c r="IL612" s="1098"/>
      <c r="IM612" s="1098"/>
      <c r="IN612" s="1098"/>
      <c r="IO612" s="1098"/>
      <c r="IP612" s="1098"/>
      <c r="IQ612" s="1098"/>
      <c r="IR612" s="1098"/>
      <c r="IS612" s="1098"/>
      <c r="IT612" s="1098"/>
      <c r="IU612" s="1098"/>
      <c r="IV612" s="1098"/>
      <c r="IW612" s="1098"/>
      <c r="IX612" s="1098"/>
      <c r="IY612" s="1098"/>
      <c r="IZ612" s="1098"/>
      <c r="JA612" s="1098"/>
      <c r="JB612" s="1098"/>
      <c r="JC612" s="1098"/>
      <c r="JD612" s="1098"/>
      <c r="JE612" s="1098"/>
      <c r="JF612" s="1098"/>
      <c r="JG612" s="1098"/>
      <c r="JH612" s="1098"/>
      <c r="JI612" s="1098"/>
      <c r="JJ612" s="1098"/>
      <c r="JK612" s="1098"/>
      <c r="JL612" s="1098"/>
      <c r="JM612" s="1098"/>
      <c r="JN612" s="1098"/>
      <c r="JO612" s="1098"/>
      <c r="JP612" s="1098"/>
      <c r="JQ612" s="1098"/>
      <c r="JR612" s="1098"/>
      <c r="JS612" s="1098"/>
      <c r="JT612" s="1098"/>
      <c r="JU612" s="1098"/>
      <c r="JV612" s="1098"/>
      <c r="JW612" s="1098"/>
      <c r="JX612" s="1098"/>
      <c r="JY612" s="1098"/>
      <c r="JZ612" s="1098"/>
      <c r="KA612" s="1098"/>
      <c r="KB612" s="1099"/>
    </row>
    <row r="613" spans="2:288" ht="15" customHeight="1" x14ac:dyDescent="0.35">
      <c r="B613" s="146" t="str">
        <f t="shared" si="47"/>
        <v>Desk 86</v>
      </c>
      <c r="C613" s="148" t="str">
        <v/>
      </c>
      <c r="D613" s="148" t="str">
        <v/>
      </c>
      <c r="E613" s="148" t="str">
        <v/>
      </c>
      <c r="F613" s="148" t="str">
        <v/>
      </c>
      <c r="G613" s="268" t="str">
        <v/>
      </c>
      <c r="H613" s="1098"/>
      <c r="I613" s="1098"/>
      <c r="J613" s="1098"/>
      <c r="K613" s="1098"/>
      <c r="L613" s="1098"/>
      <c r="M613" s="1098"/>
      <c r="N613" s="1098"/>
      <c r="O613" s="1098"/>
      <c r="P613" s="1098"/>
      <c r="Q613" s="1098"/>
      <c r="R613" s="1098"/>
      <c r="S613" s="1098"/>
      <c r="T613" s="1098"/>
      <c r="U613" s="1098"/>
      <c r="V613" s="1098"/>
      <c r="W613" s="1098"/>
      <c r="X613" s="1098"/>
      <c r="Y613" s="1098"/>
      <c r="Z613" s="1098"/>
      <c r="AA613" s="1098"/>
      <c r="AB613" s="1098"/>
      <c r="AC613" s="1098"/>
      <c r="AD613" s="1098"/>
      <c r="AE613" s="1098"/>
      <c r="AF613" s="1098"/>
      <c r="AG613" s="1098"/>
      <c r="AH613" s="1098"/>
      <c r="AI613" s="1098"/>
      <c r="AJ613" s="1098"/>
      <c r="AK613" s="1098"/>
      <c r="AL613" s="1098"/>
      <c r="AM613" s="1098"/>
      <c r="AN613" s="1098"/>
      <c r="AO613" s="1098"/>
      <c r="AP613" s="1098"/>
      <c r="AQ613" s="1098"/>
      <c r="AR613" s="1098"/>
      <c r="AS613" s="1098"/>
      <c r="AT613" s="1098"/>
      <c r="AU613" s="1098"/>
      <c r="AV613" s="1098"/>
      <c r="AW613" s="1098"/>
      <c r="AX613" s="1098"/>
      <c r="AY613" s="1098"/>
      <c r="AZ613" s="1098"/>
      <c r="BA613" s="1098"/>
      <c r="BB613" s="1098"/>
      <c r="BC613" s="1098"/>
      <c r="BD613" s="1098"/>
      <c r="BE613" s="1098"/>
      <c r="BF613" s="1098"/>
      <c r="BG613" s="1098"/>
      <c r="BH613" s="1098"/>
      <c r="BI613" s="1098"/>
      <c r="BJ613" s="1098"/>
      <c r="BK613" s="1098"/>
      <c r="BL613" s="1098"/>
      <c r="BM613" s="1098"/>
      <c r="BN613" s="1098"/>
      <c r="BO613" s="1098"/>
      <c r="BP613" s="1098"/>
      <c r="BQ613" s="1098"/>
      <c r="BR613" s="1098"/>
      <c r="BS613" s="1098"/>
      <c r="BT613" s="1098"/>
      <c r="BU613" s="1098"/>
      <c r="BV613" s="1098"/>
      <c r="BW613" s="1098"/>
      <c r="BX613" s="1098"/>
      <c r="BY613" s="1098"/>
      <c r="BZ613" s="1098"/>
      <c r="CA613" s="1098"/>
      <c r="CB613" s="1098"/>
      <c r="CC613" s="1098"/>
      <c r="CD613" s="1098"/>
      <c r="CE613" s="1098"/>
      <c r="CF613" s="1098"/>
      <c r="CG613" s="1098"/>
      <c r="CH613" s="1098"/>
      <c r="CI613" s="1098"/>
      <c r="CJ613" s="1098"/>
      <c r="CK613" s="1098"/>
      <c r="CL613" s="1098"/>
      <c r="CM613" s="1098"/>
      <c r="CN613" s="1098"/>
      <c r="CO613" s="1098"/>
      <c r="CP613" s="1098"/>
      <c r="CQ613" s="1098"/>
      <c r="CR613" s="1098"/>
      <c r="CS613" s="1098"/>
      <c r="CT613" s="1098"/>
      <c r="CU613" s="1098"/>
      <c r="CV613" s="1098"/>
      <c r="CW613" s="1098"/>
      <c r="CX613" s="1098"/>
      <c r="CY613" s="1098"/>
      <c r="CZ613" s="1098"/>
      <c r="DA613" s="1098"/>
      <c r="DB613" s="1098"/>
      <c r="DC613" s="1098"/>
      <c r="DD613" s="1098"/>
      <c r="DE613" s="1098"/>
      <c r="DF613" s="1098"/>
      <c r="DG613" s="1098"/>
      <c r="DH613" s="1098"/>
      <c r="DI613" s="1098"/>
      <c r="DJ613" s="1098"/>
      <c r="DK613" s="1098"/>
      <c r="DL613" s="1098"/>
      <c r="DM613" s="1098"/>
      <c r="DN613" s="1098"/>
      <c r="DO613" s="1098"/>
      <c r="DP613" s="1098"/>
      <c r="DQ613" s="1098"/>
      <c r="DR613" s="1098"/>
      <c r="DS613" s="1098"/>
      <c r="DT613" s="1098"/>
      <c r="DU613" s="1098"/>
      <c r="DV613" s="1098"/>
      <c r="DW613" s="1098"/>
      <c r="DX613" s="1098"/>
      <c r="DY613" s="1098"/>
      <c r="DZ613" s="1098"/>
      <c r="EA613" s="1098"/>
      <c r="EB613" s="1098"/>
      <c r="EC613" s="1098"/>
      <c r="ED613" s="1098"/>
      <c r="EE613" s="1098"/>
      <c r="EF613" s="1098"/>
      <c r="EG613" s="1098"/>
      <c r="EH613" s="1098"/>
      <c r="EI613" s="1098"/>
      <c r="EJ613" s="1098"/>
      <c r="EK613" s="1098"/>
      <c r="EL613" s="1098"/>
      <c r="EM613" s="1098"/>
      <c r="EN613" s="1098"/>
      <c r="EO613" s="1098"/>
      <c r="EP613" s="1098"/>
      <c r="EQ613" s="1098"/>
      <c r="ER613" s="1098"/>
      <c r="ES613" s="1098"/>
      <c r="ET613" s="1098"/>
      <c r="EU613" s="1098"/>
      <c r="EV613" s="1098"/>
      <c r="EW613" s="1098"/>
      <c r="EX613" s="1098"/>
      <c r="EY613" s="1098"/>
      <c r="EZ613" s="1098"/>
      <c r="FA613" s="1098"/>
      <c r="FB613" s="1098"/>
      <c r="FC613" s="1098"/>
      <c r="FD613" s="1098"/>
      <c r="FE613" s="1098"/>
      <c r="FF613" s="1098"/>
      <c r="FG613" s="1098"/>
      <c r="FH613" s="1098"/>
      <c r="FI613" s="1098"/>
      <c r="FJ613" s="1098"/>
      <c r="FK613" s="1098"/>
      <c r="FL613" s="1098"/>
      <c r="FM613" s="1098"/>
      <c r="FN613" s="1098"/>
      <c r="FO613" s="1098"/>
      <c r="FP613" s="1098"/>
      <c r="FQ613" s="1098"/>
      <c r="FR613" s="1098"/>
      <c r="FS613" s="1098"/>
      <c r="FT613" s="1098"/>
      <c r="FU613" s="1098"/>
      <c r="FV613" s="1098"/>
      <c r="FW613" s="1098"/>
      <c r="FX613" s="1098"/>
      <c r="FY613" s="1098"/>
      <c r="FZ613" s="1098"/>
      <c r="GA613" s="1098"/>
      <c r="GB613" s="1098"/>
      <c r="GC613" s="1098"/>
      <c r="GD613" s="1098"/>
      <c r="GE613" s="1098"/>
      <c r="GF613" s="1098"/>
      <c r="GG613" s="1098"/>
      <c r="GH613" s="1098"/>
      <c r="GI613" s="1098"/>
      <c r="GJ613" s="1098"/>
      <c r="GK613" s="1098"/>
      <c r="GL613" s="1098"/>
      <c r="GM613" s="1098"/>
      <c r="GN613" s="1098"/>
      <c r="GO613" s="1098"/>
      <c r="GP613" s="1098"/>
      <c r="GQ613" s="1098"/>
      <c r="GR613" s="1098"/>
      <c r="GS613" s="1098"/>
      <c r="GT613" s="1098"/>
      <c r="GU613" s="1098"/>
      <c r="GV613" s="1098"/>
      <c r="GW613" s="1098"/>
      <c r="GX613" s="1098"/>
      <c r="GY613" s="1098"/>
      <c r="GZ613" s="1098"/>
      <c r="HA613" s="1098"/>
      <c r="HB613" s="1098"/>
      <c r="HC613" s="1098"/>
      <c r="HD613" s="1098"/>
      <c r="HE613" s="1098"/>
      <c r="HF613" s="1098"/>
      <c r="HG613" s="1098"/>
      <c r="HH613" s="1098"/>
      <c r="HI613" s="1098"/>
      <c r="HJ613" s="1098"/>
      <c r="HK613" s="1098"/>
      <c r="HL613" s="1098"/>
      <c r="HM613" s="1098"/>
      <c r="HN613" s="1098"/>
      <c r="HO613" s="1098"/>
      <c r="HP613" s="1098"/>
      <c r="HQ613" s="1098"/>
      <c r="HR613" s="1098"/>
      <c r="HS613" s="1098"/>
      <c r="HT613" s="1098"/>
      <c r="HU613" s="1098"/>
      <c r="HV613" s="1098"/>
      <c r="HW613" s="1098"/>
      <c r="HX613" s="1098"/>
      <c r="HY613" s="1098"/>
      <c r="HZ613" s="1098"/>
      <c r="IA613" s="1098"/>
      <c r="IB613" s="1098"/>
      <c r="IC613" s="1098"/>
      <c r="ID613" s="1098"/>
      <c r="IE613" s="1098"/>
      <c r="IF613" s="1098"/>
      <c r="IG613" s="1098"/>
      <c r="IH613" s="1098"/>
      <c r="II613" s="1098"/>
      <c r="IJ613" s="1098"/>
      <c r="IK613" s="1098"/>
      <c r="IL613" s="1098"/>
      <c r="IM613" s="1098"/>
      <c r="IN613" s="1098"/>
      <c r="IO613" s="1098"/>
      <c r="IP613" s="1098"/>
      <c r="IQ613" s="1098"/>
      <c r="IR613" s="1098"/>
      <c r="IS613" s="1098"/>
      <c r="IT613" s="1098"/>
      <c r="IU613" s="1098"/>
      <c r="IV613" s="1098"/>
      <c r="IW613" s="1098"/>
      <c r="IX613" s="1098"/>
      <c r="IY613" s="1098"/>
      <c r="IZ613" s="1098"/>
      <c r="JA613" s="1098"/>
      <c r="JB613" s="1098"/>
      <c r="JC613" s="1098"/>
      <c r="JD613" s="1098"/>
      <c r="JE613" s="1098"/>
      <c r="JF613" s="1098"/>
      <c r="JG613" s="1098"/>
      <c r="JH613" s="1098"/>
      <c r="JI613" s="1098"/>
      <c r="JJ613" s="1098"/>
      <c r="JK613" s="1098"/>
      <c r="JL613" s="1098"/>
      <c r="JM613" s="1098"/>
      <c r="JN613" s="1098"/>
      <c r="JO613" s="1098"/>
      <c r="JP613" s="1098"/>
      <c r="JQ613" s="1098"/>
      <c r="JR613" s="1098"/>
      <c r="JS613" s="1098"/>
      <c r="JT613" s="1098"/>
      <c r="JU613" s="1098"/>
      <c r="JV613" s="1098"/>
      <c r="JW613" s="1098"/>
      <c r="JX613" s="1098"/>
      <c r="JY613" s="1098"/>
      <c r="JZ613" s="1098"/>
      <c r="KA613" s="1098"/>
      <c r="KB613" s="1099"/>
    </row>
    <row r="614" spans="2:288" ht="15" customHeight="1" x14ac:dyDescent="0.35">
      <c r="B614" s="146" t="str">
        <f t="shared" si="47"/>
        <v>Desk 87</v>
      </c>
      <c r="C614" s="148" t="str">
        <v/>
      </c>
      <c r="D614" s="148" t="str">
        <v/>
      </c>
      <c r="E614" s="148" t="str">
        <v/>
      </c>
      <c r="F614" s="148" t="str">
        <v/>
      </c>
      <c r="G614" s="268" t="str">
        <v/>
      </c>
      <c r="H614" s="1098"/>
      <c r="I614" s="1098"/>
      <c r="J614" s="1098"/>
      <c r="K614" s="1098"/>
      <c r="L614" s="1098"/>
      <c r="M614" s="1098"/>
      <c r="N614" s="1098"/>
      <c r="O614" s="1098"/>
      <c r="P614" s="1098"/>
      <c r="Q614" s="1098"/>
      <c r="R614" s="1098"/>
      <c r="S614" s="1098"/>
      <c r="T614" s="1098"/>
      <c r="U614" s="1098"/>
      <c r="V614" s="1098"/>
      <c r="W614" s="1098"/>
      <c r="X614" s="1098"/>
      <c r="Y614" s="1098"/>
      <c r="Z614" s="1098"/>
      <c r="AA614" s="1098"/>
      <c r="AB614" s="1098"/>
      <c r="AC614" s="1098"/>
      <c r="AD614" s="1098"/>
      <c r="AE614" s="1098"/>
      <c r="AF614" s="1098"/>
      <c r="AG614" s="1098"/>
      <c r="AH614" s="1098"/>
      <c r="AI614" s="1098"/>
      <c r="AJ614" s="1098"/>
      <c r="AK614" s="1098"/>
      <c r="AL614" s="1098"/>
      <c r="AM614" s="1098"/>
      <c r="AN614" s="1098"/>
      <c r="AO614" s="1098"/>
      <c r="AP614" s="1098"/>
      <c r="AQ614" s="1098"/>
      <c r="AR614" s="1098"/>
      <c r="AS614" s="1098"/>
      <c r="AT614" s="1098"/>
      <c r="AU614" s="1098"/>
      <c r="AV614" s="1098"/>
      <c r="AW614" s="1098"/>
      <c r="AX614" s="1098"/>
      <c r="AY614" s="1098"/>
      <c r="AZ614" s="1098"/>
      <c r="BA614" s="1098"/>
      <c r="BB614" s="1098"/>
      <c r="BC614" s="1098"/>
      <c r="BD614" s="1098"/>
      <c r="BE614" s="1098"/>
      <c r="BF614" s="1098"/>
      <c r="BG614" s="1098"/>
      <c r="BH614" s="1098"/>
      <c r="BI614" s="1098"/>
      <c r="BJ614" s="1098"/>
      <c r="BK614" s="1098"/>
      <c r="BL614" s="1098"/>
      <c r="BM614" s="1098"/>
      <c r="BN614" s="1098"/>
      <c r="BO614" s="1098"/>
      <c r="BP614" s="1098"/>
      <c r="BQ614" s="1098"/>
      <c r="BR614" s="1098"/>
      <c r="BS614" s="1098"/>
      <c r="BT614" s="1098"/>
      <c r="BU614" s="1098"/>
      <c r="BV614" s="1098"/>
      <c r="BW614" s="1098"/>
      <c r="BX614" s="1098"/>
      <c r="BY614" s="1098"/>
      <c r="BZ614" s="1098"/>
      <c r="CA614" s="1098"/>
      <c r="CB614" s="1098"/>
      <c r="CC614" s="1098"/>
      <c r="CD614" s="1098"/>
      <c r="CE614" s="1098"/>
      <c r="CF614" s="1098"/>
      <c r="CG614" s="1098"/>
      <c r="CH614" s="1098"/>
      <c r="CI614" s="1098"/>
      <c r="CJ614" s="1098"/>
      <c r="CK614" s="1098"/>
      <c r="CL614" s="1098"/>
      <c r="CM614" s="1098"/>
      <c r="CN614" s="1098"/>
      <c r="CO614" s="1098"/>
      <c r="CP614" s="1098"/>
      <c r="CQ614" s="1098"/>
      <c r="CR614" s="1098"/>
      <c r="CS614" s="1098"/>
      <c r="CT614" s="1098"/>
      <c r="CU614" s="1098"/>
      <c r="CV614" s="1098"/>
      <c r="CW614" s="1098"/>
      <c r="CX614" s="1098"/>
      <c r="CY614" s="1098"/>
      <c r="CZ614" s="1098"/>
      <c r="DA614" s="1098"/>
      <c r="DB614" s="1098"/>
      <c r="DC614" s="1098"/>
      <c r="DD614" s="1098"/>
      <c r="DE614" s="1098"/>
      <c r="DF614" s="1098"/>
      <c r="DG614" s="1098"/>
      <c r="DH614" s="1098"/>
      <c r="DI614" s="1098"/>
      <c r="DJ614" s="1098"/>
      <c r="DK614" s="1098"/>
      <c r="DL614" s="1098"/>
      <c r="DM614" s="1098"/>
      <c r="DN614" s="1098"/>
      <c r="DO614" s="1098"/>
      <c r="DP614" s="1098"/>
      <c r="DQ614" s="1098"/>
      <c r="DR614" s="1098"/>
      <c r="DS614" s="1098"/>
      <c r="DT614" s="1098"/>
      <c r="DU614" s="1098"/>
      <c r="DV614" s="1098"/>
      <c r="DW614" s="1098"/>
      <c r="DX614" s="1098"/>
      <c r="DY614" s="1098"/>
      <c r="DZ614" s="1098"/>
      <c r="EA614" s="1098"/>
      <c r="EB614" s="1098"/>
      <c r="EC614" s="1098"/>
      <c r="ED614" s="1098"/>
      <c r="EE614" s="1098"/>
      <c r="EF614" s="1098"/>
      <c r="EG614" s="1098"/>
      <c r="EH614" s="1098"/>
      <c r="EI614" s="1098"/>
      <c r="EJ614" s="1098"/>
      <c r="EK614" s="1098"/>
      <c r="EL614" s="1098"/>
      <c r="EM614" s="1098"/>
      <c r="EN614" s="1098"/>
      <c r="EO614" s="1098"/>
      <c r="EP614" s="1098"/>
      <c r="EQ614" s="1098"/>
      <c r="ER614" s="1098"/>
      <c r="ES614" s="1098"/>
      <c r="ET614" s="1098"/>
      <c r="EU614" s="1098"/>
      <c r="EV614" s="1098"/>
      <c r="EW614" s="1098"/>
      <c r="EX614" s="1098"/>
      <c r="EY614" s="1098"/>
      <c r="EZ614" s="1098"/>
      <c r="FA614" s="1098"/>
      <c r="FB614" s="1098"/>
      <c r="FC614" s="1098"/>
      <c r="FD614" s="1098"/>
      <c r="FE614" s="1098"/>
      <c r="FF614" s="1098"/>
      <c r="FG614" s="1098"/>
      <c r="FH614" s="1098"/>
      <c r="FI614" s="1098"/>
      <c r="FJ614" s="1098"/>
      <c r="FK614" s="1098"/>
      <c r="FL614" s="1098"/>
      <c r="FM614" s="1098"/>
      <c r="FN614" s="1098"/>
      <c r="FO614" s="1098"/>
      <c r="FP614" s="1098"/>
      <c r="FQ614" s="1098"/>
      <c r="FR614" s="1098"/>
      <c r="FS614" s="1098"/>
      <c r="FT614" s="1098"/>
      <c r="FU614" s="1098"/>
      <c r="FV614" s="1098"/>
      <c r="FW614" s="1098"/>
      <c r="FX614" s="1098"/>
      <c r="FY614" s="1098"/>
      <c r="FZ614" s="1098"/>
      <c r="GA614" s="1098"/>
      <c r="GB614" s="1098"/>
      <c r="GC614" s="1098"/>
      <c r="GD614" s="1098"/>
      <c r="GE614" s="1098"/>
      <c r="GF614" s="1098"/>
      <c r="GG614" s="1098"/>
      <c r="GH614" s="1098"/>
      <c r="GI614" s="1098"/>
      <c r="GJ614" s="1098"/>
      <c r="GK614" s="1098"/>
      <c r="GL614" s="1098"/>
      <c r="GM614" s="1098"/>
      <c r="GN614" s="1098"/>
      <c r="GO614" s="1098"/>
      <c r="GP614" s="1098"/>
      <c r="GQ614" s="1098"/>
      <c r="GR614" s="1098"/>
      <c r="GS614" s="1098"/>
      <c r="GT614" s="1098"/>
      <c r="GU614" s="1098"/>
      <c r="GV614" s="1098"/>
      <c r="GW614" s="1098"/>
      <c r="GX614" s="1098"/>
      <c r="GY614" s="1098"/>
      <c r="GZ614" s="1098"/>
      <c r="HA614" s="1098"/>
      <c r="HB614" s="1098"/>
      <c r="HC614" s="1098"/>
      <c r="HD614" s="1098"/>
      <c r="HE614" s="1098"/>
      <c r="HF614" s="1098"/>
      <c r="HG614" s="1098"/>
      <c r="HH614" s="1098"/>
      <c r="HI614" s="1098"/>
      <c r="HJ614" s="1098"/>
      <c r="HK614" s="1098"/>
      <c r="HL614" s="1098"/>
      <c r="HM614" s="1098"/>
      <c r="HN614" s="1098"/>
      <c r="HO614" s="1098"/>
      <c r="HP614" s="1098"/>
      <c r="HQ614" s="1098"/>
      <c r="HR614" s="1098"/>
      <c r="HS614" s="1098"/>
      <c r="HT614" s="1098"/>
      <c r="HU614" s="1098"/>
      <c r="HV614" s="1098"/>
      <c r="HW614" s="1098"/>
      <c r="HX614" s="1098"/>
      <c r="HY614" s="1098"/>
      <c r="HZ614" s="1098"/>
      <c r="IA614" s="1098"/>
      <c r="IB614" s="1098"/>
      <c r="IC614" s="1098"/>
      <c r="ID614" s="1098"/>
      <c r="IE614" s="1098"/>
      <c r="IF614" s="1098"/>
      <c r="IG614" s="1098"/>
      <c r="IH614" s="1098"/>
      <c r="II614" s="1098"/>
      <c r="IJ614" s="1098"/>
      <c r="IK614" s="1098"/>
      <c r="IL614" s="1098"/>
      <c r="IM614" s="1098"/>
      <c r="IN614" s="1098"/>
      <c r="IO614" s="1098"/>
      <c r="IP614" s="1098"/>
      <c r="IQ614" s="1098"/>
      <c r="IR614" s="1098"/>
      <c r="IS614" s="1098"/>
      <c r="IT614" s="1098"/>
      <c r="IU614" s="1098"/>
      <c r="IV614" s="1098"/>
      <c r="IW614" s="1098"/>
      <c r="IX614" s="1098"/>
      <c r="IY614" s="1098"/>
      <c r="IZ614" s="1098"/>
      <c r="JA614" s="1098"/>
      <c r="JB614" s="1098"/>
      <c r="JC614" s="1098"/>
      <c r="JD614" s="1098"/>
      <c r="JE614" s="1098"/>
      <c r="JF614" s="1098"/>
      <c r="JG614" s="1098"/>
      <c r="JH614" s="1098"/>
      <c r="JI614" s="1098"/>
      <c r="JJ614" s="1098"/>
      <c r="JK614" s="1098"/>
      <c r="JL614" s="1098"/>
      <c r="JM614" s="1098"/>
      <c r="JN614" s="1098"/>
      <c r="JO614" s="1098"/>
      <c r="JP614" s="1098"/>
      <c r="JQ614" s="1098"/>
      <c r="JR614" s="1098"/>
      <c r="JS614" s="1098"/>
      <c r="JT614" s="1098"/>
      <c r="JU614" s="1098"/>
      <c r="JV614" s="1098"/>
      <c r="JW614" s="1098"/>
      <c r="JX614" s="1098"/>
      <c r="JY614" s="1098"/>
      <c r="JZ614" s="1098"/>
      <c r="KA614" s="1098"/>
      <c r="KB614" s="1099"/>
    </row>
    <row r="615" spans="2:288" ht="15" customHeight="1" x14ac:dyDescent="0.35">
      <c r="B615" s="146" t="str">
        <f t="shared" si="47"/>
        <v>Desk 88</v>
      </c>
      <c r="C615" s="148" t="str">
        <v/>
      </c>
      <c r="D615" s="148" t="str">
        <v/>
      </c>
      <c r="E615" s="148" t="str">
        <v/>
      </c>
      <c r="F615" s="148" t="str">
        <v/>
      </c>
      <c r="G615" s="268" t="str">
        <v/>
      </c>
      <c r="H615" s="1098"/>
      <c r="I615" s="1098"/>
      <c r="J615" s="1098"/>
      <c r="K615" s="1098"/>
      <c r="L615" s="1098"/>
      <c r="M615" s="1098"/>
      <c r="N615" s="1098"/>
      <c r="O615" s="1098"/>
      <c r="P615" s="1098"/>
      <c r="Q615" s="1098"/>
      <c r="R615" s="1098"/>
      <c r="S615" s="1098"/>
      <c r="T615" s="1098"/>
      <c r="U615" s="1098"/>
      <c r="V615" s="1098"/>
      <c r="W615" s="1098"/>
      <c r="X615" s="1098"/>
      <c r="Y615" s="1098"/>
      <c r="Z615" s="1098"/>
      <c r="AA615" s="1098"/>
      <c r="AB615" s="1098"/>
      <c r="AC615" s="1098"/>
      <c r="AD615" s="1098"/>
      <c r="AE615" s="1098"/>
      <c r="AF615" s="1098"/>
      <c r="AG615" s="1098"/>
      <c r="AH615" s="1098"/>
      <c r="AI615" s="1098"/>
      <c r="AJ615" s="1098"/>
      <c r="AK615" s="1098"/>
      <c r="AL615" s="1098"/>
      <c r="AM615" s="1098"/>
      <c r="AN615" s="1098"/>
      <c r="AO615" s="1098"/>
      <c r="AP615" s="1098"/>
      <c r="AQ615" s="1098"/>
      <c r="AR615" s="1098"/>
      <c r="AS615" s="1098"/>
      <c r="AT615" s="1098"/>
      <c r="AU615" s="1098"/>
      <c r="AV615" s="1098"/>
      <c r="AW615" s="1098"/>
      <c r="AX615" s="1098"/>
      <c r="AY615" s="1098"/>
      <c r="AZ615" s="1098"/>
      <c r="BA615" s="1098"/>
      <c r="BB615" s="1098"/>
      <c r="BC615" s="1098"/>
      <c r="BD615" s="1098"/>
      <c r="BE615" s="1098"/>
      <c r="BF615" s="1098"/>
      <c r="BG615" s="1098"/>
      <c r="BH615" s="1098"/>
      <c r="BI615" s="1098"/>
      <c r="BJ615" s="1098"/>
      <c r="BK615" s="1098"/>
      <c r="BL615" s="1098"/>
      <c r="BM615" s="1098"/>
      <c r="BN615" s="1098"/>
      <c r="BO615" s="1098"/>
      <c r="BP615" s="1098"/>
      <c r="BQ615" s="1098"/>
      <c r="BR615" s="1098"/>
      <c r="BS615" s="1098"/>
      <c r="BT615" s="1098"/>
      <c r="BU615" s="1098"/>
      <c r="BV615" s="1098"/>
      <c r="BW615" s="1098"/>
      <c r="BX615" s="1098"/>
      <c r="BY615" s="1098"/>
      <c r="BZ615" s="1098"/>
      <c r="CA615" s="1098"/>
      <c r="CB615" s="1098"/>
      <c r="CC615" s="1098"/>
      <c r="CD615" s="1098"/>
      <c r="CE615" s="1098"/>
      <c r="CF615" s="1098"/>
      <c r="CG615" s="1098"/>
      <c r="CH615" s="1098"/>
      <c r="CI615" s="1098"/>
      <c r="CJ615" s="1098"/>
      <c r="CK615" s="1098"/>
      <c r="CL615" s="1098"/>
      <c r="CM615" s="1098"/>
      <c r="CN615" s="1098"/>
      <c r="CO615" s="1098"/>
      <c r="CP615" s="1098"/>
      <c r="CQ615" s="1098"/>
      <c r="CR615" s="1098"/>
      <c r="CS615" s="1098"/>
      <c r="CT615" s="1098"/>
      <c r="CU615" s="1098"/>
      <c r="CV615" s="1098"/>
      <c r="CW615" s="1098"/>
      <c r="CX615" s="1098"/>
      <c r="CY615" s="1098"/>
      <c r="CZ615" s="1098"/>
      <c r="DA615" s="1098"/>
      <c r="DB615" s="1098"/>
      <c r="DC615" s="1098"/>
      <c r="DD615" s="1098"/>
      <c r="DE615" s="1098"/>
      <c r="DF615" s="1098"/>
      <c r="DG615" s="1098"/>
      <c r="DH615" s="1098"/>
      <c r="DI615" s="1098"/>
      <c r="DJ615" s="1098"/>
      <c r="DK615" s="1098"/>
      <c r="DL615" s="1098"/>
      <c r="DM615" s="1098"/>
      <c r="DN615" s="1098"/>
      <c r="DO615" s="1098"/>
      <c r="DP615" s="1098"/>
      <c r="DQ615" s="1098"/>
      <c r="DR615" s="1098"/>
      <c r="DS615" s="1098"/>
      <c r="DT615" s="1098"/>
      <c r="DU615" s="1098"/>
      <c r="DV615" s="1098"/>
      <c r="DW615" s="1098"/>
      <c r="DX615" s="1098"/>
      <c r="DY615" s="1098"/>
      <c r="DZ615" s="1098"/>
      <c r="EA615" s="1098"/>
      <c r="EB615" s="1098"/>
      <c r="EC615" s="1098"/>
      <c r="ED615" s="1098"/>
      <c r="EE615" s="1098"/>
      <c r="EF615" s="1098"/>
      <c r="EG615" s="1098"/>
      <c r="EH615" s="1098"/>
      <c r="EI615" s="1098"/>
      <c r="EJ615" s="1098"/>
      <c r="EK615" s="1098"/>
      <c r="EL615" s="1098"/>
      <c r="EM615" s="1098"/>
      <c r="EN615" s="1098"/>
      <c r="EO615" s="1098"/>
      <c r="EP615" s="1098"/>
      <c r="EQ615" s="1098"/>
      <c r="ER615" s="1098"/>
      <c r="ES615" s="1098"/>
      <c r="ET615" s="1098"/>
      <c r="EU615" s="1098"/>
      <c r="EV615" s="1098"/>
      <c r="EW615" s="1098"/>
      <c r="EX615" s="1098"/>
      <c r="EY615" s="1098"/>
      <c r="EZ615" s="1098"/>
      <c r="FA615" s="1098"/>
      <c r="FB615" s="1098"/>
      <c r="FC615" s="1098"/>
      <c r="FD615" s="1098"/>
      <c r="FE615" s="1098"/>
      <c r="FF615" s="1098"/>
      <c r="FG615" s="1098"/>
      <c r="FH615" s="1098"/>
      <c r="FI615" s="1098"/>
      <c r="FJ615" s="1098"/>
      <c r="FK615" s="1098"/>
      <c r="FL615" s="1098"/>
      <c r="FM615" s="1098"/>
      <c r="FN615" s="1098"/>
      <c r="FO615" s="1098"/>
      <c r="FP615" s="1098"/>
      <c r="FQ615" s="1098"/>
      <c r="FR615" s="1098"/>
      <c r="FS615" s="1098"/>
      <c r="FT615" s="1098"/>
      <c r="FU615" s="1098"/>
      <c r="FV615" s="1098"/>
      <c r="FW615" s="1098"/>
      <c r="FX615" s="1098"/>
      <c r="FY615" s="1098"/>
      <c r="FZ615" s="1098"/>
      <c r="GA615" s="1098"/>
      <c r="GB615" s="1098"/>
      <c r="GC615" s="1098"/>
      <c r="GD615" s="1098"/>
      <c r="GE615" s="1098"/>
      <c r="GF615" s="1098"/>
      <c r="GG615" s="1098"/>
      <c r="GH615" s="1098"/>
      <c r="GI615" s="1098"/>
      <c r="GJ615" s="1098"/>
      <c r="GK615" s="1098"/>
      <c r="GL615" s="1098"/>
      <c r="GM615" s="1098"/>
      <c r="GN615" s="1098"/>
      <c r="GO615" s="1098"/>
      <c r="GP615" s="1098"/>
      <c r="GQ615" s="1098"/>
      <c r="GR615" s="1098"/>
      <c r="GS615" s="1098"/>
      <c r="GT615" s="1098"/>
      <c r="GU615" s="1098"/>
      <c r="GV615" s="1098"/>
      <c r="GW615" s="1098"/>
      <c r="GX615" s="1098"/>
      <c r="GY615" s="1098"/>
      <c r="GZ615" s="1098"/>
      <c r="HA615" s="1098"/>
      <c r="HB615" s="1098"/>
      <c r="HC615" s="1098"/>
      <c r="HD615" s="1098"/>
      <c r="HE615" s="1098"/>
      <c r="HF615" s="1098"/>
      <c r="HG615" s="1098"/>
      <c r="HH615" s="1098"/>
      <c r="HI615" s="1098"/>
      <c r="HJ615" s="1098"/>
      <c r="HK615" s="1098"/>
      <c r="HL615" s="1098"/>
      <c r="HM615" s="1098"/>
      <c r="HN615" s="1098"/>
      <c r="HO615" s="1098"/>
      <c r="HP615" s="1098"/>
      <c r="HQ615" s="1098"/>
      <c r="HR615" s="1098"/>
      <c r="HS615" s="1098"/>
      <c r="HT615" s="1098"/>
      <c r="HU615" s="1098"/>
      <c r="HV615" s="1098"/>
      <c r="HW615" s="1098"/>
      <c r="HX615" s="1098"/>
      <c r="HY615" s="1098"/>
      <c r="HZ615" s="1098"/>
      <c r="IA615" s="1098"/>
      <c r="IB615" s="1098"/>
      <c r="IC615" s="1098"/>
      <c r="ID615" s="1098"/>
      <c r="IE615" s="1098"/>
      <c r="IF615" s="1098"/>
      <c r="IG615" s="1098"/>
      <c r="IH615" s="1098"/>
      <c r="II615" s="1098"/>
      <c r="IJ615" s="1098"/>
      <c r="IK615" s="1098"/>
      <c r="IL615" s="1098"/>
      <c r="IM615" s="1098"/>
      <c r="IN615" s="1098"/>
      <c r="IO615" s="1098"/>
      <c r="IP615" s="1098"/>
      <c r="IQ615" s="1098"/>
      <c r="IR615" s="1098"/>
      <c r="IS615" s="1098"/>
      <c r="IT615" s="1098"/>
      <c r="IU615" s="1098"/>
      <c r="IV615" s="1098"/>
      <c r="IW615" s="1098"/>
      <c r="IX615" s="1098"/>
      <c r="IY615" s="1098"/>
      <c r="IZ615" s="1098"/>
      <c r="JA615" s="1098"/>
      <c r="JB615" s="1098"/>
      <c r="JC615" s="1098"/>
      <c r="JD615" s="1098"/>
      <c r="JE615" s="1098"/>
      <c r="JF615" s="1098"/>
      <c r="JG615" s="1098"/>
      <c r="JH615" s="1098"/>
      <c r="JI615" s="1098"/>
      <c r="JJ615" s="1098"/>
      <c r="JK615" s="1098"/>
      <c r="JL615" s="1098"/>
      <c r="JM615" s="1098"/>
      <c r="JN615" s="1098"/>
      <c r="JO615" s="1098"/>
      <c r="JP615" s="1098"/>
      <c r="JQ615" s="1098"/>
      <c r="JR615" s="1098"/>
      <c r="JS615" s="1098"/>
      <c r="JT615" s="1098"/>
      <c r="JU615" s="1098"/>
      <c r="JV615" s="1098"/>
      <c r="JW615" s="1098"/>
      <c r="JX615" s="1098"/>
      <c r="JY615" s="1098"/>
      <c r="JZ615" s="1098"/>
      <c r="KA615" s="1098"/>
      <c r="KB615" s="1099"/>
    </row>
    <row r="616" spans="2:288" ht="15" customHeight="1" x14ac:dyDescent="0.35">
      <c r="B616" s="146" t="str">
        <f t="shared" si="47"/>
        <v>Desk 89</v>
      </c>
      <c r="C616" s="148" t="str">
        <v/>
      </c>
      <c r="D616" s="148" t="str">
        <v/>
      </c>
      <c r="E616" s="148" t="str">
        <v/>
      </c>
      <c r="F616" s="148" t="str">
        <v/>
      </c>
      <c r="G616" s="268" t="str">
        <v/>
      </c>
      <c r="H616" s="1098"/>
      <c r="I616" s="1098"/>
      <c r="J616" s="1098"/>
      <c r="K616" s="1098"/>
      <c r="L616" s="1098"/>
      <c r="M616" s="1098"/>
      <c r="N616" s="1098"/>
      <c r="O616" s="1098"/>
      <c r="P616" s="1098"/>
      <c r="Q616" s="1098"/>
      <c r="R616" s="1098"/>
      <c r="S616" s="1098"/>
      <c r="T616" s="1098"/>
      <c r="U616" s="1098"/>
      <c r="V616" s="1098"/>
      <c r="W616" s="1098"/>
      <c r="X616" s="1098"/>
      <c r="Y616" s="1098"/>
      <c r="Z616" s="1098"/>
      <c r="AA616" s="1098"/>
      <c r="AB616" s="1098"/>
      <c r="AC616" s="1098"/>
      <c r="AD616" s="1098"/>
      <c r="AE616" s="1098"/>
      <c r="AF616" s="1098"/>
      <c r="AG616" s="1098"/>
      <c r="AH616" s="1098"/>
      <c r="AI616" s="1098"/>
      <c r="AJ616" s="1098"/>
      <c r="AK616" s="1098"/>
      <c r="AL616" s="1098"/>
      <c r="AM616" s="1098"/>
      <c r="AN616" s="1098"/>
      <c r="AO616" s="1098"/>
      <c r="AP616" s="1098"/>
      <c r="AQ616" s="1098"/>
      <c r="AR616" s="1098"/>
      <c r="AS616" s="1098"/>
      <c r="AT616" s="1098"/>
      <c r="AU616" s="1098"/>
      <c r="AV616" s="1098"/>
      <c r="AW616" s="1098"/>
      <c r="AX616" s="1098"/>
      <c r="AY616" s="1098"/>
      <c r="AZ616" s="1098"/>
      <c r="BA616" s="1098"/>
      <c r="BB616" s="1098"/>
      <c r="BC616" s="1098"/>
      <c r="BD616" s="1098"/>
      <c r="BE616" s="1098"/>
      <c r="BF616" s="1098"/>
      <c r="BG616" s="1098"/>
      <c r="BH616" s="1098"/>
      <c r="BI616" s="1098"/>
      <c r="BJ616" s="1098"/>
      <c r="BK616" s="1098"/>
      <c r="BL616" s="1098"/>
      <c r="BM616" s="1098"/>
      <c r="BN616" s="1098"/>
      <c r="BO616" s="1098"/>
      <c r="BP616" s="1098"/>
      <c r="BQ616" s="1098"/>
      <c r="BR616" s="1098"/>
      <c r="BS616" s="1098"/>
      <c r="BT616" s="1098"/>
      <c r="BU616" s="1098"/>
      <c r="BV616" s="1098"/>
      <c r="BW616" s="1098"/>
      <c r="BX616" s="1098"/>
      <c r="BY616" s="1098"/>
      <c r="BZ616" s="1098"/>
      <c r="CA616" s="1098"/>
      <c r="CB616" s="1098"/>
      <c r="CC616" s="1098"/>
      <c r="CD616" s="1098"/>
      <c r="CE616" s="1098"/>
      <c r="CF616" s="1098"/>
      <c r="CG616" s="1098"/>
      <c r="CH616" s="1098"/>
      <c r="CI616" s="1098"/>
      <c r="CJ616" s="1098"/>
      <c r="CK616" s="1098"/>
      <c r="CL616" s="1098"/>
      <c r="CM616" s="1098"/>
      <c r="CN616" s="1098"/>
      <c r="CO616" s="1098"/>
      <c r="CP616" s="1098"/>
      <c r="CQ616" s="1098"/>
      <c r="CR616" s="1098"/>
      <c r="CS616" s="1098"/>
      <c r="CT616" s="1098"/>
      <c r="CU616" s="1098"/>
      <c r="CV616" s="1098"/>
      <c r="CW616" s="1098"/>
      <c r="CX616" s="1098"/>
      <c r="CY616" s="1098"/>
      <c r="CZ616" s="1098"/>
      <c r="DA616" s="1098"/>
      <c r="DB616" s="1098"/>
      <c r="DC616" s="1098"/>
      <c r="DD616" s="1098"/>
      <c r="DE616" s="1098"/>
      <c r="DF616" s="1098"/>
      <c r="DG616" s="1098"/>
      <c r="DH616" s="1098"/>
      <c r="DI616" s="1098"/>
      <c r="DJ616" s="1098"/>
      <c r="DK616" s="1098"/>
      <c r="DL616" s="1098"/>
      <c r="DM616" s="1098"/>
      <c r="DN616" s="1098"/>
      <c r="DO616" s="1098"/>
      <c r="DP616" s="1098"/>
      <c r="DQ616" s="1098"/>
      <c r="DR616" s="1098"/>
      <c r="DS616" s="1098"/>
      <c r="DT616" s="1098"/>
      <c r="DU616" s="1098"/>
      <c r="DV616" s="1098"/>
      <c r="DW616" s="1098"/>
      <c r="DX616" s="1098"/>
      <c r="DY616" s="1098"/>
      <c r="DZ616" s="1098"/>
      <c r="EA616" s="1098"/>
      <c r="EB616" s="1098"/>
      <c r="EC616" s="1098"/>
      <c r="ED616" s="1098"/>
      <c r="EE616" s="1098"/>
      <c r="EF616" s="1098"/>
      <c r="EG616" s="1098"/>
      <c r="EH616" s="1098"/>
      <c r="EI616" s="1098"/>
      <c r="EJ616" s="1098"/>
      <c r="EK616" s="1098"/>
      <c r="EL616" s="1098"/>
      <c r="EM616" s="1098"/>
      <c r="EN616" s="1098"/>
      <c r="EO616" s="1098"/>
      <c r="EP616" s="1098"/>
      <c r="EQ616" s="1098"/>
      <c r="ER616" s="1098"/>
      <c r="ES616" s="1098"/>
      <c r="ET616" s="1098"/>
      <c r="EU616" s="1098"/>
      <c r="EV616" s="1098"/>
      <c r="EW616" s="1098"/>
      <c r="EX616" s="1098"/>
      <c r="EY616" s="1098"/>
      <c r="EZ616" s="1098"/>
      <c r="FA616" s="1098"/>
      <c r="FB616" s="1098"/>
      <c r="FC616" s="1098"/>
      <c r="FD616" s="1098"/>
      <c r="FE616" s="1098"/>
      <c r="FF616" s="1098"/>
      <c r="FG616" s="1098"/>
      <c r="FH616" s="1098"/>
      <c r="FI616" s="1098"/>
      <c r="FJ616" s="1098"/>
      <c r="FK616" s="1098"/>
      <c r="FL616" s="1098"/>
      <c r="FM616" s="1098"/>
      <c r="FN616" s="1098"/>
      <c r="FO616" s="1098"/>
      <c r="FP616" s="1098"/>
      <c r="FQ616" s="1098"/>
      <c r="FR616" s="1098"/>
      <c r="FS616" s="1098"/>
      <c r="FT616" s="1098"/>
      <c r="FU616" s="1098"/>
      <c r="FV616" s="1098"/>
      <c r="FW616" s="1098"/>
      <c r="FX616" s="1098"/>
      <c r="FY616" s="1098"/>
      <c r="FZ616" s="1098"/>
      <c r="GA616" s="1098"/>
      <c r="GB616" s="1098"/>
      <c r="GC616" s="1098"/>
      <c r="GD616" s="1098"/>
      <c r="GE616" s="1098"/>
      <c r="GF616" s="1098"/>
      <c r="GG616" s="1098"/>
      <c r="GH616" s="1098"/>
      <c r="GI616" s="1098"/>
      <c r="GJ616" s="1098"/>
      <c r="GK616" s="1098"/>
      <c r="GL616" s="1098"/>
      <c r="GM616" s="1098"/>
      <c r="GN616" s="1098"/>
      <c r="GO616" s="1098"/>
      <c r="GP616" s="1098"/>
      <c r="GQ616" s="1098"/>
      <c r="GR616" s="1098"/>
      <c r="GS616" s="1098"/>
      <c r="GT616" s="1098"/>
      <c r="GU616" s="1098"/>
      <c r="GV616" s="1098"/>
      <c r="GW616" s="1098"/>
      <c r="GX616" s="1098"/>
      <c r="GY616" s="1098"/>
      <c r="GZ616" s="1098"/>
      <c r="HA616" s="1098"/>
      <c r="HB616" s="1098"/>
      <c r="HC616" s="1098"/>
      <c r="HD616" s="1098"/>
      <c r="HE616" s="1098"/>
      <c r="HF616" s="1098"/>
      <c r="HG616" s="1098"/>
      <c r="HH616" s="1098"/>
      <c r="HI616" s="1098"/>
      <c r="HJ616" s="1098"/>
      <c r="HK616" s="1098"/>
      <c r="HL616" s="1098"/>
      <c r="HM616" s="1098"/>
      <c r="HN616" s="1098"/>
      <c r="HO616" s="1098"/>
      <c r="HP616" s="1098"/>
      <c r="HQ616" s="1098"/>
      <c r="HR616" s="1098"/>
      <c r="HS616" s="1098"/>
      <c r="HT616" s="1098"/>
      <c r="HU616" s="1098"/>
      <c r="HV616" s="1098"/>
      <c r="HW616" s="1098"/>
      <c r="HX616" s="1098"/>
      <c r="HY616" s="1098"/>
      <c r="HZ616" s="1098"/>
      <c r="IA616" s="1098"/>
      <c r="IB616" s="1098"/>
      <c r="IC616" s="1098"/>
      <c r="ID616" s="1098"/>
      <c r="IE616" s="1098"/>
      <c r="IF616" s="1098"/>
      <c r="IG616" s="1098"/>
      <c r="IH616" s="1098"/>
      <c r="II616" s="1098"/>
      <c r="IJ616" s="1098"/>
      <c r="IK616" s="1098"/>
      <c r="IL616" s="1098"/>
      <c r="IM616" s="1098"/>
      <c r="IN616" s="1098"/>
      <c r="IO616" s="1098"/>
      <c r="IP616" s="1098"/>
      <c r="IQ616" s="1098"/>
      <c r="IR616" s="1098"/>
      <c r="IS616" s="1098"/>
      <c r="IT616" s="1098"/>
      <c r="IU616" s="1098"/>
      <c r="IV616" s="1098"/>
      <c r="IW616" s="1098"/>
      <c r="IX616" s="1098"/>
      <c r="IY616" s="1098"/>
      <c r="IZ616" s="1098"/>
      <c r="JA616" s="1098"/>
      <c r="JB616" s="1098"/>
      <c r="JC616" s="1098"/>
      <c r="JD616" s="1098"/>
      <c r="JE616" s="1098"/>
      <c r="JF616" s="1098"/>
      <c r="JG616" s="1098"/>
      <c r="JH616" s="1098"/>
      <c r="JI616" s="1098"/>
      <c r="JJ616" s="1098"/>
      <c r="JK616" s="1098"/>
      <c r="JL616" s="1098"/>
      <c r="JM616" s="1098"/>
      <c r="JN616" s="1098"/>
      <c r="JO616" s="1098"/>
      <c r="JP616" s="1098"/>
      <c r="JQ616" s="1098"/>
      <c r="JR616" s="1098"/>
      <c r="JS616" s="1098"/>
      <c r="JT616" s="1098"/>
      <c r="JU616" s="1098"/>
      <c r="JV616" s="1098"/>
      <c r="JW616" s="1098"/>
      <c r="JX616" s="1098"/>
      <c r="JY616" s="1098"/>
      <c r="JZ616" s="1098"/>
      <c r="KA616" s="1098"/>
      <c r="KB616" s="1099"/>
    </row>
    <row r="617" spans="2:288" ht="15" customHeight="1" x14ac:dyDescent="0.35">
      <c r="B617" s="146" t="str">
        <f t="shared" si="47"/>
        <v>Desk 90</v>
      </c>
      <c r="C617" s="148" t="str">
        <v/>
      </c>
      <c r="D617" s="148" t="str">
        <v/>
      </c>
      <c r="E617" s="148" t="str">
        <v/>
      </c>
      <c r="F617" s="148" t="str">
        <v/>
      </c>
      <c r="G617" s="268" t="str">
        <v/>
      </c>
      <c r="H617" s="1098"/>
      <c r="I617" s="1098"/>
      <c r="J617" s="1098"/>
      <c r="K617" s="1098"/>
      <c r="L617" s="1098"/>
      <c r="M617" s="1098"/>
      <c r="N617" s="1098"/>
      <c r="O617" s="1098"/>
      <c r="P617" s="1098"/>
      <c r="Q617" s="1098"/>
      <c r="R617" s="1098"/>
      <c r="S617" s="1098"/>
      <c r="T617" s="1098"/>
      <c r="U617" s="1098"/>
      <c r="V617" s="1098"/>
      <c r="W617" s="1098"/>
      <c r="X617" s="1098"/>
      <c r="Y617" s="1098"/>
      <c r="Z617" s="1098"/>
      <c r="AA617" s="1098"/>
      <c r="AB617" s="1098"/>
      <c r="AC617" s="1098"/>
      <c r="AD617" s="1098"/>
      <c r="AE617" s="1098"/>
      <c r="AF617" s="1098"/>
      <c r="AG617" s="1098"/>
      <c r="AH617" s="1098"/>
      <c r="AI617" s="1098"/>
      <c r="AJ617" s="1098"/>
      <c r="AK617" s="1098"/>
      <c r="AL617" s="1098"/>
      <c r="AM617" s="1098"/>
      <c r="AN617" s="1098"/>
      <c r="AO617" s="1098"/>
      <c r="AP617" s="1098"/>
      <c r="AQ617" s="1098"/>
      <c r="AR617" s="1098"/>
      <c r="AS617" s="1098"/>
      <c r="AT617" s="1098"/>
      <c r="AU617" s="1098"/>
      <c r="AV617" s="1098"/>
      <c r="AW617" s="1098"/>
      <c r="AX617" s="1098"/>
      <c r="AY617" s="1098"/>
      <c r="AZ617" s="1098"/>
      <c r="BA617" s="1098"/>
      <c r="BB617" s="1098"/>
      <c r="BC617" s="1098"/>
      <c r="BD617" s="1098"/>
      <c r="BE617" s="1098"/>
      <c r="BF617" s="1098"/>
      <c r="BG617" s="1098"/>
      <c r="BH617" s="1098"/>
      <c r="BI617" s="1098"/>
      <c r="BJ617" s="1098"/>
      <c r="BK617" s="1098"/>
      <c r="BL617" s="1098"/>
      <c r="BM617" s="1098"/>
      <c r="BN617" s="1098"/>
      <c r="BO617" s="1098"/>
      <c r="BP617" s="1098"/>
      <c r="BQ617" s="1098"/>
      <c r="BR617" s="1098"/>
      <c r="BS617" s="1098"/>
      <c r="BT617" s="1098"/>
      <c r="BU617" s="1098"/>
      <c r="BV617" s="1098"/>
      <c r="BW617" s="1098"/>
      <c r="BX617" s="1098"/>
      <c r="BY617" s="1098"/>
      <c r="BZ617" s="1098"/>
      <c r="CA617" s="1098"/>
      <c r="CB617" s="1098"/>
      <c r="CC617" s="1098"/>
      <c r="CD617" s="1098"/>
      <c r="CE617" s="1098"/>
      <c r="CF617" s="1098"/>
      <c r="CG617" s="1098"/>
      <c r="CH617" s="1098"/>
      <c r="CI617" s="1098"/>
      <c r="CJ617" s="1098"/>
      <c r="CK617" s="1098"/>
      <c r="CL617" s="1098"/>
      <c r="CM617" s="1098"/>
      <c r="CN617" s="1098"/>
      <c r="CO617" s="1098"/>
      <c r="CP617" s="1098"/>
      <c r="CQ617" s="1098"/>
      <c r="CR617" s="1098"/>
      <c r="CS617" s="1098"/>
      <c r="CT617" s="1098"/>
      <c r="CU617" s="1098"/>
      <c r="CV617" s="1098"/>
      <c r="CW617" s="1098"/>
      <c r="CX617" s="1098"/>
      <c r="CY617" s="1098"/>
      <c r="CZ617" s="1098"/>
      <c r="DA617" s="1098"/>
      <c r="DB617" s="1098"/>
      <c r="DC617" s="1098"/>
      <c r="DD617" s="1098"/>
      <c r="DE617" s="1098"/>
      <c r="DF617" s="1098"/>
      <c r="DG617" s="1098"/>
      <c r="DH617" s="1098"/>
      <c r="DI617" s="1098"/>
      <c r="DJ617" s="1098"/>
      <c r="DK617" s="1098"/>
      <c r="DL617" s="1098"/>
      <c r="DM617" s="1098"/>
      <c r="DN617" s="1098"/>
      <c r="DO617" s="1098"/>
      <c r="DP617" s="1098"/>
      <c r="DQ617" s="1098"/>
      <c r="DR617" s="1098"/>
      <c r="DS617" s="1098"/>
      <c r="DT617" s="1098"/>
      <c r="DU617" s="1098"/>
      <c r="DV617" s="1098"/>
      <c r="DW617" s="1098"/>
      <c r="DX617" s="1098"/>
      <c r="DY617" s="1098"/>
      <c r="DZ617" s="1098"/>
      <c r="EA617" s="1098"/>
      <c r="EB617" s="1098"/>
      <c r="EC617" s="1098"/>
      <c r="ED617" s="1098"/>
      <c r="EE617" s="1098"/>
      <c r="EF617" s="1098"/>
      <c r="EG617" s="1098"/>
      <c r="EH617" s="1098"/>
      <c r="EI617" s="1098"/>
      <c r="EJ617" s="1098"/>
      <c r="EK617" s="1098"/>
      <c r="EL617" s="1098"/>
      <c r="EM617" s="1098"/>
      <c r="EN617" s="1098"/>
      <c r="EO617" s="1098"/>
      <c r="EP617" s="1098"/>
      <c r="EQ617" s="1098"/>
      <c r="ER617" s="1098"/>
      <c r="ES617" s="1098"/>
      <c r="ET617" s="1098"/>
      <c r="EU617" s="1098"/>
      <c r="EV617" s="1098"/>
      <c r="EW617" s="1098"/>
      <c r="EX617" s="1098"/>
      <c r="EY617" s="1098"/>
      <c r="EZ617" s="1098"/>
      <c r="FA617" s="1098"/>
      <c r="FB617" s="1098"/>
      <c r="FC617" s="1098"/>
      <c r="FD617" s="1098"/>
      <c r="FE617" s="1098"/>
      <c r="FF617" s="1098"/>
      <c r="FG617" s="1098"/>
      <c r="FH617" s="1098"/>
      <c r="FI617" s="1098"/>
      <c r="FJ617" s="1098"/>
      <c r="FK617" s="1098"/>
      <c r="FL617" s="1098"/>
      <c r="FM617" s="1098"/>
      <c r="FN617" s="1098"/>
      <c r="FO617" s="1098"/>
      <c r="FP617" s="1098"/>
      <c r="FQ617" s="1098"/>
      <c r="FR617" s="1098"/>
      <c r="FS617" s="1098"/>
      <c r="FT617" s="1098"/>
      <c r="FU617" s="1098"/>
      <c r="FV617" s="1098"/>
      <c r="FW617" s="1098"/>
      <c r="FX617" s="1098"/>
      <c r="FY617" s="1098"/>
      <c r="FZ617" s="1098"/>
      <c r="GA617" s="1098"/>
      <c r="GB617" s="1098"/>
      <c r="GC617" s="1098"/>
      <c r="GD617" s="1098"/>
      <c r="GE617" s="1098"/>
      <c r="GF617" s="1098"/>
      <c r="GG617" s="1098"/>
      <c r="GH617" s="1098"/>
      <c r="GI617" s="1098"/>
      <c r="GJ617" s="1098"/>
      <c r="GK617" s="1098"/>
      <c r="GL617" s="1098"/>
      <c r="GM617" s="1098"/>
      <c r="GN617" s="1098"/>
      <c r="GO617" s="1098"/>
      <c r="GP617" s="1098"/>
      <c r="GQ617" s="1098"/>
      <c r="GR617" s="1098"/>
      <c r="GS617" s="1098"/>
      <c r="GT617" s="1098"/>
      <c r="GU617" s="1098"/>
      <c r="GV617" s="1098"/>
      <c r="GW617" s="1098"/>
      <c r="GX617" s="1098"/>
      <c r="GY617" s="1098"/>
      <c r="GZ617" s="1098"/>
      <c r="HA617" s="1098"/>
      <c r="HB617" s="1098"/>
      <c r="HC617" s="1098"/>
      <c r="HD617" s="1098"/>
      <c r="HE617" s="1098"/>
      <c r="HF617" s="1098"/>
      <c r="HG617" s="1098"/>
      <c r="HH617" s="1098"/>
      <c r="HI617" s="1098"/>
      <c r="HJ617" s="1098"/>
      <c r="HK617" s="1098"/>
      <c r="HL617" s="1098"/>
      <c r="HM617" s="1098"/>
      <c r="HN617" s="1098"/>
      <c r="HO617" s="1098"/>
      <c r="HP617" s="1098"/>
      <c r="HQ617" s="1098"/>
      <c r="HR617" s="1098"/>
      <c r="HS617" s="1098"/>
      <c r="HT617" s="1098"/>
      <c r="HU617" s="1098"/>
      <c r="HV617" s="1098"/>
      <c r="HW617" s="1098"/>
      <c r="HX617" s="1098"/>
      <c r="HY617" s="1098"/>
      <c r="HZ617" s="1098"/>
      <c r="IA617" s="1098"/>
      <c r="IB617" s="1098"/>
      <c r="IC617" s="1098"/>
      <c r="ID617" s="1098"/>
      <c r="IE617" s="1098"/>
      <c r="IF617" s="1098"/>
      <c r="IG617" s="1098"/>
      <c r="IH617" s="1098"/>
      <c r="II617" s="1098"/>
      <c r="IJ617" s="1098"/>
      <c r="IK617" s="1098"/>
      <c r="IL617" s="1098"/>
      <c r="IM617" s="1098"/>
      <c r="IN617" s="1098"/>
      <c r="IO617" s="1098"/>
      <c r="IP617" s="1098"/>
      <c r="IQ617" s="1098"/>
      <c r="IR617" s="1098"/>
      <c r="IS617" s="1098"/>
      <c r="IT617" s="1098"/>
      <c r="IU617" s="1098"/>
      <c r="IV617" s="1098"/>
      <c r="IW617" s="1098"/>
      <c r="IX617" s="1098"/>
      <c r="IY617" s="1098"/>
      <c r="IZ617" s="1098"/>
      <c r="JA617" s="1098"/>
      <c r="JB617" s="1098"/>
      <c r="JC617" s="1098"/>
      <c r="JD617" s="1098"/>
      <c r="JE617" s="1098"/>
      <c r="JF617" s="1098"/>
      <c r="JG617" s="1098"/>
      <c r="JH617" s="1098"/>
      <c r="JI617" s="1098"/>
      <c r="JJ617" s="1098"/>
      <c r="JK617" s="1098"/>
      <c r="JL617" s="1098"/>
      <c r="JM617" s="1098"/>
      <c r="JN617" s="1098"/>
      <c r="JO617" s="1098"/>
      <c r="JP617" s="1098"/>
      <c r="JQ617" s="1098"/>
      <c r="JR617" s="1098"/>
      <c r="JS617" s="1098"/>
      <c r="JT617" s="1098"/>
      <c r="JU617" s="1098"/>
      <c r="JV617" s="1098"/>
      <c r="JW617" s="1098"/>
      <c r="JX617" s="1098"/>
      <c r="JY617" s="1098"/>
      <c r="JZ617" s="1098"/>
      <c r="KA617" s="1098"/>
      <c r="KB617" s="1099"/>
    </row>
    <row r="618" spans="2:288" ht="15" customHeight="1" x14ac:dyDescent="0.35">
      <c r="B618" s="146" t="str">
        <f t="shared" si="47"/>
        <v>Desk 91</v>
      </c>
      <c r="C618" s="148" t="str">
        <v/>
      </c>
      <c r="D618" s="148" t="str">
        <v/>
      </c>
      <c r="E618" s="148" t="str">
        <v/>
      </c>
      <c r="F618" s="148" t="str">
        <v/>
      </c>
      <c r="G618" s="268" t="str">
        <v/>
      </c>
      <c r="H618" s="1098"/>
      <c r="I618" s="1098"/>
      <c r="J618" s="1098"/>
      <c r="K618" s="1098"/>
      <c r="L618" s="1098"/>
      <c r="M618" s="1098"/>
      <c r="N618" s="1098"/>
      <c r="O618" s="1098"/>
      <c r="P618" s="1098"/>
      <c r="Q618" s="1098"/>
      <c r="R618" s="1098"/>
      <c r="S618" s="1098"/>
      <c r="T618" s="1098"/>
      <c r="U618" s="1098"/>
      <c r="V618" s="1098"/>
      <c r="W618" s="1098"/>
      <c r="X618" s="1098"/>
      <c r="Y618" s="1098"/>
      <c r="Z618" s="1098"/>
      <c r="AA618" s="1098"/>
      <c r="AB618" s="1098"/>
      <c r="AC618" s="1098"/>
      <c r="AD618" s="1098"/>
      <c r="AE618" s="1098"/>
      <c r="AF618" s="1098"/>
      <c r="AG618" s="1098"/>
      <c r="AH618" s="1098"/>
      <c r="AI618" s="1098"/>
      <c r="AJ618" s="1098"/>
      <c r="AK618" s="1098"/>
      <c r="AL618" s="1098"/>
      <c r="AM618" s="1098"/>
      <c r="AN618" s="1098"/>
      <c r="AO618" s="1098"/>
      <c r="AP618" s="1098"/>
      <c r="AQ618" s="1098"/>
      <c r="AR618" s="1098"/>
      <c r="AS618" s="1098"/>
      <c r="AT618" s="1098"/>
      <c r="AU618" s="1098"/>
      <c r="AV618" s="1098"/>
      <c r="AW618" s="1098"/>
      <c r="AX618" s="1098"/>
      <c r="AY618" s="1098"/>
      <c r="AZ618" s="1098"/>
      <c r="BA618" s="1098"/>
      <c r="BB618" s="1098"/>
      <c r="BC618" s="1098"/>
      <c r="BD618" s="1098"/>
      <c r="BE618" s="1098"/>
      <c r="BF618" s="1098"/>
      <c r="BG618" s="1098"/>
      <c r="BH618" s="1098"/>
      <c r="BI618" s="1098"/>
      <c r="BJ618" s="1098"/>
      <c r="BK618" s="1098"/>
      <c r="BL618" s="1098"/>
      <c r="BM618" s="1098"/>
      <c r="BN618" s="1098"/>
      <c r="BO618" s="1098"/>
      <c r="BP618" s="1098"/>
      <c r="BQ618" s="1098"/>
      <c r="BR618" s="1098"/>
      <c r="BS618" s="1098"/>
      <c r="BT618" s="1098"/>
      <c r="BU618" s="1098"/>
      <c r="BV618" s="1098"/>
      <c r="BW618" s="1098"/>
      <c r="BX618" s="1098"/>
      <c r="BY618" s="1098"/>
      <c r="BZ618" s="1098"/>
      <c r="CA618" s="1098"/>
      <c r="CB618" s="1098"/>
      <c r="CC618" s="1098"/>
      <c r="CD618" s="1098"/>
      <c r="CE618" s="1098"/>
      <c r="CF618" s="1098"/>
      <c r="CG618" s="1098"/>
      <c r="CH618" s="1098"/>
      <c r="CI618" s="1098"/>
      <c r="CJ618" s="1098"/>
      <c r="CK618" s="1098"/>
      <c r="CL618" s="1098"/>
      <c r="CM618" s="1098"/>
      <c r="CN618" s="1098"/>
      <c r="CO618" s="1098"/>
      <c r="CP618" s="1098"/>
      <c r="CQ618" s="1098"/>
      <c r="CR618" s="1098"/>
      <c r="CS618" s="1098"/>
      <c r="CT618" s="1098"/>
      <c r="CU618" s="1098"/>
      <c r="CV618" s="1098"/>
      <c r="CW618" s="1098"/>
      <c r="CX618" s="1098"/>
      <c r="CY618" s="1098"/>
      <c r="CZ618" s="1098"/>
      <c r="DA618" s="1098"/>
      <c r="DB618" s="1098"/>
      <c r="DC618" s="1098"/>
      <c r="DD618" s="1098"/>
      <c r="DE618" s="1098"/>
      <c r="DF618" s="1098"/>
      <c r="DG618" s="1098"/>
      <c r="DH618" s="1098"/>
      <c r="DI618" s="1098"/>
      <c r="DJ618" s="1098"/>
      <c r="DK618" s="1098"/>
      <c r="DL618" s="1098"/>
      <c r="DM618" s="1098"/>
      <c r="DN618" s="1098"/>
      <c r="DO618" s="1098"/>
      <c r="DP618" s="1098"/>
      <c r="DQ618" s="1098"/>
      <c r="DR618" s="1098"/>
      <c r="DS618" s="1098"/>
      <c r="DT618" s="1098"/>
      <c r="DU618" s="1098"/>
      <c r="DV618" s="1098"/>
      <c r="DW618" s="1098"/>
      <c r="DX618" s="1098"/>
      <c r="DY618" s="1098"/>
      <c r="DZ618" s="1098"/>
      <c r="EA618" s="1098"/>
      <c r="EB618" s="1098"/>
      <c r="EC618" s="1098"/>
      <c r="ED618" s="1098"/>
      <c r="EE618" s="1098"/>
      <c r="EF618" s="1098"/>
      <c r="EG618" s="1098"/>
      <c r="EH618" s="1098"/>
      <c r="EI618" s="1098"/>
      <c r="EJ618" s="1098"/>
      <c r="EK618" s="1098"/>
      <c r="EL618" s="1098"/>
      <c r="EM618" s="1098"/>
      <c r="EN618" s="1098"/>
      <c r="EO618" s="1098"/>
      <c r="EP618" s="1098"/>
      <c r="EQ618" s="1098"/>
      <c r="ER618" s="1098"/>
      <c r="ES618" s="1098"/>
      <c r="ET618" s="1098"/>
      <c r="EU618" s="1098"/>
      <c r="EV618" s="1098"/>
      <c r="EW618" s="1098"/>
      <c r="EX618" s="1098"/>
      <c r="EY618" s="1098"/>
      <c r="EZ618" s="1098"/>
      <c r="FA618" s="1098"/>
      <c r="FB618" s="1098"/>
      <c r="FC618" s="1098"/>
      <c r="FD618" s="1098"/>
      <c r="FE618" s="1098"/>
      <c r="FF618" s="1098"/>
      <c r="FG618" s="1098"/>
      <c r="FH618" s="1098"/>
      <c r="FI618" s="1098"/>
      <c r="FJ618" s="1098"/>
      <c r="FK618" s="1098"/>
      <c r="FL618" s="1098"/>
      <c r="FM618" s="1098"/>
      <c r="FN618" s="1098"/>
      <c r="FO618" s="1098"/>
      <c r="FP618" s="1098"/>
      <c r="FQ618" s="1098"/>
      <c r="FR618" s="1098"/>
      <c r="FS618" s="1098"/>
      <c r="FT618" s="1098"/>
      <c r="FU618" s="1098"/>
      <c r="FV618" s="1098"/>
      <c r="FW618" s="1098"/>
      <c r="FX618" s="1098"/>
      <c r="FY618" s="1098"/>
      <c r="FZ618" s="1098"/>
      <c r="GA618" s="1098"/>
      <c r="GB618" s="1098"/>
      <c r="GC618" s="1098"/>
      <c r="GD618" s="1098"/>
      <c r="GE618" s="1098"/>
      <c r="GF618" s="1098"/>
      <c r="GG618" s="1098"/>
      <c r="GH618" s="1098"/>
      <c r="GI618" s="1098"/>
      <c r="GJ618" s="1098"/>
      <c r="GK618" s="1098"/>
      <c r="GL618" s="1098"/>
      <c r="GM618" s="1098"/>
      <c r="GN618" s="1098"/>
      <c r="GO618" s="1098"/>
      <c r="GP618" s="1098"/>
      <c r="GQ618" s="1098"/>
      <c r="GR618" s="1098"/>
      <c r="GS618" s="1098"/>
      <c r="GT618" s="1098"/>
      <c r="GU618" s="1098"/>
      <c r="GV618" s="1098"/>
      <c r="GW618" s="1098"/>
      <c r="GX618" s="1098"/>
      <c r="GY618" s="1098"/>
      <c r="GZ618" s="1098"/>
      <c r="HA618" s="1098"/>
      <c r="HB618" s="1098"/>
      <c r="HC618" s="1098"/>
      <c r="HD618" s="1098"/>
      <c r="HE618" s="1098"/>
      <c r="HF618" s="1098"/>
      <c r="HG618" s="1098"/>
      <c r="HH618" s="1098"/>
      <c r="HI618" s="1098"/>
      <c r="HJ618" s="1098"/>
      <c r="HK618" s="1098"/>
      <c r="HL618" s="1098"/>
      <c r="HM618" s="1098"/>
      <c r="HN618" s="1098"/>
      <c r="HO618" s="1098"/>
      <c r="HP618" s="1098"/>
      <c r="HQ618" s="1098"/>
      <c r="HR618" s="1098"/>
      <c r="HS618" s="1098"/>
      <c r="HT618" s="1098"/>
      <c r="HU618" s="1098"/>
      <c r="HV618" s="1098"/>
      <c r="HW618" s="1098"/>
      <c r="HX618" s="1098"/>
      <c r="HY618" s="1098"/>
      <c r="HZ618" s="1098"/>
      <c r="IA618" s="1098"/>
      <c r="IB618" s="1098"/>
      <c r="IC618" s="1098"/>
      <c r="ID618" s="1098"/>
      <c r="IE618" s="1098"/>
      <c r="IF618" s="1098"/>
      <c r="IG618" s="1098"/>
      <c r="IH618" s="1098"/>
      <c r="II618" s="1098"/>
      <c r="IJ618" s="1098"/>
      <c r="IK618" s="1098"/>
      <c r="IL618" s="1098"/>
      <c r="IM618" s="1098"/>
      <c r="IN618" s="1098"/>
      <c r="IO618" s="1098"/>
      <c r="IP618" s="1098"/>
      <c r="IQ618" s="1098"/>
      <c r="IR618" s="1098"/>
      <c r="IS618" s="1098"/>
      <c r="IT618" s="1098"/>
      <c r="IU618" s="1098"/>
      <c r="IV618" s="1098"/>
      <c r="IW618" s="1098"/>
      <c r="IX618" s="1098"/>
      <c r="IY618" s="1098"/>
      <c r="IZ618" s="1098"/>
      <c r="JA618" s="1098"/>
      <c r="JB618" s="1098"/>
      <c r="JC618" s="1098"/>
      <c r="JD618" s="1098"/>
      <c r="JE618" s="1098"/>
      <c r="JF618" s="1098"/>
      <c r="JG618" s="1098"/>
      <c r="JH618" s="1098"/>
      <c r="JI618" s="1098"/>
      <c r="JJ618" s="1098"/>
      <c r="JK618" s="1098"/>
      <c r="JL618" s="1098"/>
      <c r="JM618" s="1098"/>
      <c r="JN618" s="1098"/>
      <c r="JO618" s="1098"/>
      <c r="JP618" s="1098"/>
      <c r="JQ618" s="1098"/>
      <c r="JR618" s="1098"/>
      <c r="JS618" s="1098"/>
      <c r="JT618" s="1098"/>
      <c r="JU618" s="1098"/>
      <c r="JV618" s="1098"/>
      <c r="JW618" s="1098"/>
      <c r="JX618" s="1098"/>
      <c r="JY618" s="1098"/>
      <c r="JZ618" s="1098"/>
      <c r="KA618" s="1098"/>
      <c r="KB618" s="1099"/>
    </row>
    <row r="619" spans="2:288" ht="15" customHeight="1" x14ac:dyDescent="0.35">
      <c r="B619" s="146" t="str">
        <f t="shared" si="47"/>
        <v>Desk 92</v>
      </c>
      <c r="C619" s="148" t="str">
        <v/>
      </c>
      <c r="D619" s="148" t="str">
        <v/>
      </c>
      <c r="E619" s="148" t="str">
        <v/>
      </c>
      <c r="F619" s="148" t="str">
        <v/>
      </c>
      <c r="G619" s="268" t="str">
        <v/>
      </c>
      <c r="H619" s="1098"/>
      <c r="I619" s="1098"/>
      <c r="J619" s="1098"/>
      <c r="K619" s="1098"/>
      <c r="L619" s="1098"/>
      <c r="M619" s="1098"/>
      <c r="N619" s="1098"/>
      <c r="O619" s="1098"/>
      <c r="P619" s="1098"/>
      <c r="Q619" s="1098"/>
      <c r="R619" s="1098"/>
      <c r="S619" s="1098"/>
      <c r="T619" s="1098"/>
      <c r="U619" s="1098"/>
      <c r="V619" s="1098"/>
      <c r="W619" s="1098"/>
      <c r="X619" s="1098"/>
      <c r="Y619" s="1098"/>
      <c r="Z619" s="1098"/>
      <c r="AA619" s="1098"/>
      <c r="AB619" s="1098"/>
      <c r="AC619" s="1098"/>
      <c r="AD619" s="1098"/>
      <c r="AE619" s="1098"/>
      <c r="AF619" s="1098"/>
      <c r="AG619" s="1098"/>
      <c r="AH619" s="1098"/>
      <c r="AI619" s="1098"/>
      <c r="AJ619" s="1098"/>
      <c r="AK619" s="1098"/>
      <c r="AL619" s="1098"/>
      <c r="AM619" s="1098"/>
      <c r="AN619" s="1098"/>
      <c r="AO619" s="1098"/>
      <c r="AP619" s="1098"/>
      <c r="AQ619" s="1098"/>
      <c r="AR619" s="1098"/>
      <c r="AS619" s="1098"/>
      <c r="AT619" s="1098"/>
      <c r="AU619" s="1098"/>
      <c r="AV619" s="1098"/>
      <c r="AW619" s="1098"/>
      <c r="AX619" s="1098"/>
      <c r="AY619" s="1098"/>
      <c r="AZ619" s="1098"/>
      <c r="BA619" s="1098"/>
      <c r="BB619" s="1098"/>
      <c r="BC619" s="1098"/>
      <c r="BD619" s="1098"/>
      <c r="BE619" s="1098"/>
      <c r="BF619" s="1098"/>
      <c r="BG619" s="1098"/>
      <c r="BH619" s="1098"/>
      <c r="BI619" s="1098"/>
      <c r="BJ619" s="1098"/>
      <c r="BK619" s="1098"/>
      <c r="BL619" s="1098"/>
      <c r="BM619" s="1098"/>
      <c r="BN619" s="1098"/>
      <c r="BO619" s="1098"/>
      <c r="BP619" s="1098"/>
      <c r="BQ619" s="1098"/>
      <c r="BR619" s="1098"/>
      <c r="BS619" s="1098"/>
      <c r="BT619" s="1098"/>
      <c r="BU619" s="1098"/>
      <c r="BV619" s="1098"/>
      <c r="BW619" s="1098"/>
      <c r="BX619" s="1098"/>
      <c r="BY619" s="1098"/>
      <c r="BZ619" s="1098"/>
      <c r="CA619" s="1098"/>
      <c r="CB619" s="1098"/>
      <c r="CC619" s="1098"/>
      <c r="CD619" s="1098"/>
      <c r="CE619" s="1098"/>
      <c r="CF619" s="1098"/>
      <c r="CG619" s="1098"/>
      <c r="CH619" s="1098"/>
      <c r="CI619" s="1098"/>
      <c r="CJ619" s="1098"/>
      <c r="CK619" s="1098"/>
      <c r="CL619" s="1098"/>
      <c r="CM619" s="1098"/>
      <c r="CN619" s="1098"/>
      <c r="CO619" s="1098"/>
      <c r="CP619" s="1098"/>
      <c r="CQ619" s="1098"/>
      <c r="CR619" s="1098"/>
      <c r="CS619" s="1098"/>
      <c r="CT619" s="1098"/>
      <c r="CU619" s="1098"/>
      <c r="CV619" s="1098"/>
      <c r="CW619" s="1098"/>
      <c r="CX619" s="1098"/>
      <c r="CY619" s="1098"/>
      <c r="CZ619" s="1098"/>
      <c r="DA619" s="1098"/>
      <c r="DB619" s="1098"/>
      <c r="DC619" s="1098"/>
      <c r="DD619" s="1098"/>
      <c r="DE619" s="1098"/>
      <c r="DF619" s="1098"/>
      <c r="DG619" s="1098"/>
      <c r="DH619" s="1098"/>
      <c r="DI619" s="1098"/>
      <c r="DJ619" s="1098"/>
      <c r="DK619" s="1098"/>
      <c r="DL619" s="1098"/>
      <c r="DM619" s="1098"/>
      <c r="DN619" s="1098"/>
      <c r="DO619" s="1098"/>
      <c r="DP619" s="1098"/>
      <c r="DQ619" s="1098"/>
      <c r="DR619" s="1098"/>
      <c r="DS619" s="1098"/>
      <c r="DT619" s="1098"/>
      <c r="DU619" s="1098"/>
      <c r="DV619" s="1098"/>
      <c r="DW619" s="1098"/>
      <c r="DX619" s="1098"/>
      <c r="DY619" s="1098"/>
      <c r="DZ619" s="1098"/>
      <c r="EA619" s="1098"/>
      <c r="EB619" s="1098"/>
      <c r="EC619" s="1098"/>
      <c r="ED619" s="1098"/>
      <c r="EE619" s="1098"/>
      <c r="EF619" s="1098"/>
      <c r="EG619" s="1098"/>
      <c r="EH619" s="1098"/>
      <c r="EI619" s="1098"/>
      <c r="EJ619" s="1098"/>
      <c r="EK619" s="1098"/>
      <c r="EL619" s="1098"/>
      <c r="EM619" s="1098"/>
      <c r="EN619" s="1098"/>
      <c r="EO619" s="1098"/>
      <c r="EP619" s="1098"/>
      <c r="EQ619" s="1098"/>
      <c r="ER619" s="1098"/>
      <c r="ES619" s="1098"/>
      <c r="ET619" s="1098"/>
      <c r="EU619" s="1098"/>
      <c r="EV619" s="1098"/>
      <c r="EW619" s="1098"/>
      <c r="EX619" s="1098"/>
      <c r="EY619" s="1098"/>
      <c r="EZ619" s="1098"/>
      <c r="FA619" s="1098"/>
      <c r="FB619" s="1098"/>
      <c r="FC619" s="1098"/>
      <c r="FD619" s="1098"/>
      <c r="FE619" s="1098"/>
      <c r="FF619" s="1098"/>
      <c r="FG619" s="1098"/>
      <c r="FH619" s="1098"/>
      <c r="FI619" s="1098"/>
      <c r="FJ619" s="1098"/>
      <c r="FK619" s="1098"/>
      <c r="FL619" s="1098"/>
      <c r="FM619" s="1098"/>
      <c r="FN619" s="1098"/>
      <c r="FO619" s="1098"/>
      <c r="FP619" s="1098"/>
      <c r="FQ619" s="1098"/>
      <c r="FR619" s="1098"/>
      <c r="FS619" s="1098"/>
      <c r="FT619" s="1098"/>
      <c r="FU619" s="1098"/>
      <c r="FV619" s="1098"/>
      <c r="FW619" s="1098"/>
      <c r="FX619" s="1098"/>
      <c r="FY619" s="1098"/>
      <c r="FZ619" s="1098"/>
      <c r="GA619" s="1098"/>
      <c r="GB619" s="1098"/>
      <c r="GC619" s="1098"/>
      <c r="GD619" s="1098"/>
      <c r="GE619" s="1098"/>
      <c r="GF619" s="1098"/>
      <c r="GG619" s="1098"/>
      <c r="GH619" s="1098"/>
      <c r="GI619" s="1098"/>
      <c r="GJ619" s="1098"/>
      <c r="GK619" s="1098"/>
      <c r="GL619" s="1098"/>
      <c r="GM619" s="1098"/>
      <c r="GN619" s="1098"/>
      <c r="GO619" s="1098"/>
      <c r="GP619" s="1098"/>
      <c r="GQ619" s="1098"/>
      <c r="GR619" s="1098"/>
      <c r="GS619" s="1098"/>
      <c r="GT619" s="1098"/>
      <c r="GU619" s="1098"/>
      <c r="GV619" s="1098"/>
      <c r="GW619" s="1098"/>
      <c r="GX619" s="1098"/>
      <c r="GY619" s="1098"/>
      <c r="GZ619" s="1098"/>
      <c r="HA619" s="1098"/>
      <c r="HB619" s="1098"/>
      <c r="HC619" s="1098"/>
      <c r="HD619" s="1098"/>
      <c r="HE619" s="1098"/>
      <c r="HF619" s="1098"/>
      <c r="HG619" s="1098"/>
      <c r="HH619" s="1098"/>
      <c r="HI619" s="1098"/>
      <c r="HJ619" s="1098"/>
      <c r="HK619" s="1098"/>
      <c r="HL619" s="1098"/>
      <c r="HM619" s="1098"/>
      <c r="HN619" s="1098"/>
      <c r="HO619" s="1098"/>
      <c r="HP619" s="1098"/>
      <c r="HQ619" s="1098"/>
      <c r="HR619" s="1098"/>
      <c r="HS619" s="1098"/>
      <c r="HT619" s="1098"/>
      <c r="HU619" s="1098"/>
      <c r="HV619" s="1098"/>
      <c r="HW619" s="1098"/>
      <c r="HX619" s="1098"/>
      <c r="HY619" s="1098"/>
      <c r="HZ619" s="1098"/>
      <c r="IA619" s="1098"/>
      <c r="IB619" s="1098"/>
      <c r="IC619" s="1098"/>
      <c r="ID619" s="1098"/>
      <c r="IE619" s="1098"/>
      <c r="IF619" s="1098"/>
      <c r="IG619" s="1098"/>
      <c r="IH619" s="1098"/>
      <c r="II619" s="1098"/>
      <c r="IJ619" s="1098"/>
      <c r="IK619" s="1098"/>
      <c r="IL619" s="1098"/>
      <c r="IM619" s="1098"/>
      <c r="IN619" s="1098"/>
      <c r="IO619" s="1098"/>
      <c r="IP619" s="1098"/>
      <c r="IQ619" s="1098"/>
      <c r="IR619" s="1098"/>
      <c r="IS619" s="1098"/>
      <c r="IT619" s="1098"/>
      <c r="IU619" s="1098"/>
      <c r="IV619" s="1098"/>
      <c r="IW619" s="1098"/>
      <c r="IX619" s="1098"/>
      <c r="IY619" s="1098"/>
      <c r="IZ619" s="1098"/>
      <c r="JA619" s="1098"/>
      <c r="JB619" s="1098"/>
      <c r="JC619" s="1098"/>
      <c r="JD619" s="1098"/>
      <c r="JE619" s="1098"/>
      <c r="JF619" s="1098"/>
      <c r="JG619" s="1098"/>
      <c r="JH619" s="1098"/>
      <c r="JI619" s="1098"/>
      <c r="JJ619" s="1098"/>
      <c r="JK619" s="1098"/>
      <c r="JL619" s="1098"/>
      <c r="JM619" s="1098"/>
      <c r="JN619" s="1098"/>
      <c r="JO619" s="1098"/>
      <c r="JP619" s="1098"/>
      <c r="JQ619" s="1098"/>
      <c r="JR619" s="1098"/>
      <c r="JS619" s="1098"/>
      <c r="JT619" s="1098"/>
      <c r="JU619" s="1098"/>
      <c r="JV619" s="1098"/>
      <c r="JW619" s="1098"/>
      <c r="JX619" s="1098"/>
      <c r="JY619" s="1098"/>
      <c r="JZ619" s="1098"/>
      <c r="KA619" s="1098"/>
      <c r="KB619" s="1099"/>
    </row>
    <row r="620" spans="2:288" ht="15" customHeight="1" x14ac:dyDescent="0.35">
      <c r="B620" s="146" t="str">
        <f t="shared" si="47"/>
        <v>Desk 93</v>
      </c>
      <c r="C620" s="148" t="str">
        <v/>
      </c>
      <c r="D620" s="148" t="str">
        <v/>
      </c>
      <c r="E620" s="148" t="str">
        <v/>
      </c>
      <c r="F620" s="148" t="str">
        <v/>
      </c>
      <c r="G620" s="268" t="str">
        <v/>
      </c>
      <c r="H620" s="1098"/>
      <c r="I620" s="1098"/>
      <c r="J620" s="1098"/>
      <c r="K620" s="1098"/>
      <c r="L620" s="1098"/>
      <c r="M620" s="1098"/>
      <c r="N620" s="1098"/>
      <c r="O620" s="1098"/>
      <c r="P620" s="1098"/>
      <c r="Q620" s="1098"/>
      <c r="R620" s="1098"/>
      <c r="S620" s="1098"/>
      <c r="T620" s="1098"/>
      <c r="U620" s="1098"/>
      <c r="V620" s="1098"/>
      <c r="W620" s="1098"/>
      <c r="X620" s="1098"/>
      <c r="Y620" s="1098"/>
      <c r="Z620" s="1098"/>
      <c r="AA620" s="1098"/>
      <c r="AB620" s="1098"/>
      <c r="AC620" s="1098"/>
      <c r="AD620" s="1098"/>
      <c r="AE620" s="1098"/>
      <c r="AF620" s="1098"/>
      <c r="AG620" s="1098"/>
      <c r="AH620" s="1098"/>
      <c r="AI620" s="1098"/>
      <c r="AJ620" s="1098"/>
      <c r="AK620" s="1098"/>
      <c r="AL620" s="1098"/>
      <c r="AM620" s="1098"/>
      <c r="AN620" s="1098"/>
      <c r="AO620" s="1098"/>
      <c r="AP620" s="1098"/>
      <c r="AQ620" s="1098"/>
      <c r="AR620" s="1098"/>
      <c r="AS620" s="1098"/>
      <c r="AT620" s="1098"/>
      <c r="AU620" s="1098"/>
      <c r="AV620" s="1098"/>
      <c r="AW620" s="1098"/>
      <c r="AX620" s="1098"/>
      <c r="AY620" s="1098"/>
      <c r="AZ620" s="1098"/>
      <c r="BA620" s="1098"/>
      <c r="BB620" s="1098"/>
      <c r="BC620" s="1098"/>
      <c r="BD620" s="1098"/>
      <c r="BE620" s="1098"/>
      <c r="BF620" s="1098"/>
      <c r="BG620" s="1098"/>
      <c r="BH620" s="1098"/>
      <c r="BI620" s="1098"/>
      <c r="BJ620" s="1098"/>
      <c r="BK620" s="1098"/>
      <c r="BL620" s="1098"/>
      <c r="BM620" s="1098"/>
      <c r="BN620" s="1098"/>
      <c r="BO620" s="1098"/>
      <c r="BP620" s="1098"/>
      <c r="BQ620" s="1098"/>
      <c r="BR620" s="1098"/>
      <c r="BS620" s="1098"/>
      <c r="BT620" s="1098"/>
      <c r="BU620" s="1098"/>
      <c r="BV620" s="1098"/>
      <c r="BW620" s="1098"/>
      <c r="BX620" s="1098"/>
      <c r="BY620" s="1098"/>
      <c r="BZ620" s="1098"/>
      <c r="CA620" s="1098"/>
      <c r="CB620" s="1098"/>
      <c r="CC620" s="1098"/>
      <c r="CD620" s="1098"/>
      <c r="CE620" s="1098"/>
      <c r="CF620" s="1098"/>
      <c r="CG620" s="1098"/>
      <c r="CH620" s="1098"/>
      <c r="CI620" s="1098"/>
      <c r="CJ620" s="1098"/>
      <c r="CK620" s="1098"/>
      <c r="CL620" s="1098"/>
      <c r="CM620" s="1098"/>
      <c r="CN620" s="1098"/>
      <c r="CO620" s="1098"/>
      <c r="CP620" s="1098"/>
      <c r="CQ620" s="1098"/>
      <c r="CR620" s="1098"/>
      <c r="CS620" s="1098"/>
      <c r="CT620" s="1098"/>
      <c r="CU620" s="1098"/>
      <c r="CV620" s="1098"/>
      <c r="CW620" s="1098"/>
      <c r="CX620" s="1098"/>
      <c r="CY620" s="1098"/>
      <c r="CZ620" s="1098"/>
      <c r="DA620" s="1098"/>
      <c r="DB620" s="1098"/>
      <c r="DC620" s="1098"/>
      <c r="DD620" s="1098"/>
      <c r="DE620" s="1098"/>
      <c r="DF620" s="1098"/>
      <c r="DG620" s="1098"/>
      <c r="DH620" s="1098"/>
      <c r="DI620" s="1098"/>
      <c r="DJ620" s="1098"/>
      <c r="DK620" s="1098"/>
      <c r="DL620" s="1098"/>
      <c r="DM620" s="1098"/>
      <c r="DN620" s="1098"/>
      <c r="DO620" s="1098"/>
      <c r="DP620" s="1098"/>
      <c r="DQ620" s="1098"/>
      <c r="DR620" s="1098"/>
      <c r="DS620" s="1098"/>
      <c r="DT620" s="1098"/>
      <c r="DU620" s="1098"/>
      <c r="DV620" s="1098"/>
      <c r="DW620" s="1098"/>
      <c r="DX620" s="1098"/>
      <c r="DY620" s="1098"/>
      <c r="DZ620" s="1098"/>
      <c r="EA620" s="1098"/>
      <c r="EB620" s="1098"/>
      <c r="EC620" s="1098"/>
      <c r="ED620" s="1098"/>
      <c r="EE620" s="1098"/>
      <c r="EF620" s="1098"/>
      <c r="EG620" s="1098"/>
      <c r="EH620" s="1098"/>
      <c r="EI620" s="1098"/>
      <c r="EJ620" s="1098"/>
      <c r="EK620" s="1098"/>
      <c r="EL620" s="1098"/>
      <c r="EM620" s="1098"/>
      <c r="EN620" s="1098"/>
      <c r="EO620" s="1098"/>
      <c r="EP620" s="1098"/>
      <c r="EQ620" s="1098"/>
      <c r="ER620" s="1098"/>
      <c r="ES620" s="1098"/>
      <c r="ET620" s="1098"/>
      <c r="EU620" s="1098"/>
      <c r="EV620" s="1098"/>
      <c r="EW620" s="1098"/>
      <c r="EX620" s="1098"/>
      <c r="EY620" s="1098"/>
      <c r="EZ620" s="1098"/>
      <c r="FA620" s="1098"/>
      <c r="FB620" s="1098"/>
      <c r="FC620" s="1098"/>
      <c r="FD620" s="1098"/>
      <c r="FE620" s="1098"/>
      <c r="FF620" s="1098"/>
      <c r="FG620" s="1098"/>
      <c r="FH620" s="1098"/>
      <c r="FI620" s="1098"/>
      <c r="FJ620" s="1098"/>
      <c r="FK620" s="1098"/>
      <c r="FL620" s="1098"/>
      <c r="FM620" s="1098"/>
      <c r="FN620" s="1098"/>
      <c r="FO620" s="1098"/>
      <c r="FP620" s="1098"/>
      <c r="FQ620" s="1098"/>
      <c r="FR620" s="1098"/>
      <c r="FS620" s="1098"/>
      <c r="FT620" s="1098"/>
      <c r="FU620" s="1098"/>
      <c r="FV620" s="1098"/>
      <c r="FW620" s="1098"/>
      <c r="FX620" s="1098"/>
      <c r="FY620" s="1098"/>
      <c r="FZ620" s="1098"/>
      <c r="GA620" s="1098"/>
      <c r="GB620" s="1098"/>
      <c r="GC620" s="1098"/>
      <c r="GD620" s="1098"/>
      <c r="GE620" s="1098"/>
      <c r="GF620" s="1098"/>
      <c r="GG620" s="1098"/>
      <c r="GH620" s="1098"/>
      <c r="GI620" s="1098"/>
      <c r="GJ620" s="1098"/>
      <c r="GK620" s="1098"/>
      <c r="GL620" s="1098"/>
      <c r="GM620" s="1098"/>
      <c r="GN620" s="1098"/>
      <c r="GO620" s="1098"/>
      <c r="GP620" s="1098"/>
      <c r="GQ620" s="1098"/>
      <c r="GR620" s="1098"/>
      <c r="GS620" s="1098"/>
      <c r="GT620" s="1098"/>
      <c r="GU620" s="1098"/>
      <c r="GV620" s="1098"/>
      <c r="GW620" s="1098"/>
      <c r="GX620" s="1098"/>
      <c r="GY620" s="1098"/>
      <c r="GZ620" s="1098"/>
      <c r="HA620" s="1098"/>
      <c r="HB620" s="1098"/>
      <c r="HC620" s="1098"/>
      <c r="HD620" s="1098"/>
      <c r="HE620" s="1098"/>
      <c r="HF620" s="1098"/>
      <c r="HG620" s="1098"/>
      <c r="HH620" s="1098"/>
      <c r="HI620" s="1098"/>
      <c r="HJ620" s="1098"/>
      <c r="HK620" s="1098"/>
      <c r="HL620" s="1098"/>
      <c r="HM620" s="1098"/>
      <c r="HN620" s="1098"/>
      <c r="HO620" s="1098"/>
      <c r="HP620" s="1098"/>
      <c r="HQ620" s="1098"/>
      <c r="HR620" s="1098"/>
      <c r="HS620" s="1098"/>
      <c r="HT620" s="1098"/>
      <c r="HU620" s="1098"/>
      <c r="HV620" s="1098"/>
      <c r="HW620" s="1098"/>
      <c r="HX620" s="1098"/>
      <c r="HY620" s="1098"/>
      <c r="HZ620" s="1098"/>
      <c r="IA620" s="1098"/>
      <c r="IB620" s="1098"/>
      <c r="IC620" s="1098"/>
      <c r="ID620" s="1098"/>
      <c r="IE620" s="1098"/>
      <c r="IF620" s="1098"/>
      <c r="IG620" s="1098"/>
      <c r="IH620" s="1098"/>
      <c r="II620" s="1098"/>
      <c r="IJ620" s="1098"/>
      <c r="IK620" s="1098"/>
      <c r="IL620" s="1098"/>
      <c r="IM620" s="1098"/>
      <c r="IN620" s="1098"/>
      <c r="IO620" s="1098"/>
      <c r="IP620" s="1098"/>
      <c r="IQ620" s="1098"/>
      <c r="IR620" s="1098"/>
      <c r="IS620" s="1098"/>
      <c r="IT620" s="1098"/>
      <c r="IU620" s="1098"/>
      <c r="IV620" s="1098"/>
      <c r="IW620" s="1098"/>
      <c r="IX620" s="1098"/>
      <c r="IY620" s="1098"/>
      <c r="IZ620" s="1098"/>
      <c r="JA620" s="1098"/>
      <c r="JB620" s="1098"/>
      <c r="JC620" s="1098"/>
      <c r="JD620" s="1098"/>
      <c r="JE620" s="1098"/>
      <c r="JF620" s="1098"/>
      <c r="JG620" s="1098"/>
      <c r="JH620" s="1098"/>
      <c r="JI620" s="1098"/>
      <c r="JJ620" s="1098"/>
      <c r="JK620" s="1098"/>
      <c r="JL620" s="1098"/>
      <c r="JM620" s="1098"/>
      <c r="JN620" s="1098"/>
      <c r="JO620" s="1098"/>
      <c r="JP620" s="1098"/>
      <c r="JQ620" s="1098"/>
      <c r="JR620" s="1098"/>
      <c r="JS620" s="1098"/>
      <c r="JT620" s="1098"/>
      <c r="JU620" s="1098"/>
      <c r="JV620" s="1098"/>
      <c r="JW620" s="1098"/>
      <c r="JX620" s="1098"/>
      <c r="JY620" s="1098"/>
      <c r="JZ620" s="1098"/>
      <c r="KA620" s="1098"/>
      <c r="KB620" s="1099"/>
    </row>
    <row r="621" spans="2:288" ht="15" customHeight="1" x14ac:dyDescent="0.35">
      <c r="B621" s="146" t="str">
        <f t="shared" si="47"/>
        <v>Desk 94</v>
      </c>
      <c r="C621" s="148" t="str">
        <v/>
      </c>
      <c r="D621" s="148" t="str">
        <v/>
      </c>
      <c r="E621" s="148" t="str">
        <v/>
      </c>
      <c r="F621" s="148" t="str">
        <v/>
      </c>
      <c r="G621" s="268" t="str">
        <v/>
      </c>
      <c r="H621" s="1098"/>
      <c r="I621" s="1098"/>
      <c r="J621" s="1098"/>
      <c r="K621" s="1098"/>
      <c r="L621" s="1098"/>
      <c r="M621" s="1098"/>
      <c r="N621" s="1098"/>
      <c r="O621" s="1098"/>
      <c r="P621" s="1098"/>
      <c r="Q621" s="1098"/>
      <c r="R621" s="1098"/>
      <c r="S621" s="1098"/>
      <c r="T621" s="1098"/>
      <c r="U621" s="1098"/>
      <c r="V621" s="1098"/>
      <c r="W621" s="1098"/>
      <c r="X621" s="1098"/>
      <c r="Y621" s="1098"/>
      <c r="Z621" s="1098"/>
      <c r="AA621" s="1098"/>
      <c r="AB621" s="1098"/>
      <c r="AC621" s="1098"/>
      <c r="AD621" s="1098"/>
      <c r="AE621" s="1098"/>
      <c r="AF621" s="1098"/>
      <c r="AG621" s="1098"/>
      <c r="AH621" s="1098"/>
      <c r="AI621" s="1098"/>
      <c r="AJ621" s="1098"/>
      <c r="AK621" s="1098"/>
      <c r="AL621" s="1098"/>
      <c r="AM621" s="1098"/>
      <c r="AN621" s="1098"/>
      <c r="AO621" s="1098"/>
      <c r="AP621" s="1098"/>
      <c r="AQ621" s="1098"/>
      <c r="AR621" s="1098"/>
      <c r="AS621" s="1098"/>
      <c r="AT621" s="1098"/>
      <c r="AU621" s="1098"/>
      <c r="AV621" s="1098"/>
      <c r="AW621" s="1098"/>
      <c r="AX621" s="1098"/>
      <c r="AY621" s="1098"/>
      <c r="AZ621" s="1098"/>
      <c r="BA621" s="1098"/>
      <c r="BB621" s="1098"/>
      <c r="BC621" s="1098"/>
      <c r="BD621" s="1098"/>
      <c r="BE621" s="1098"/>
      <c r="BF621" s="1098"/>
      <c r="BG621" s="1098"/>
      <c r="BH621" s="1098"/>
      <c r="BI621" s="1098"/>
      <c r="BJ621" s="1098"/>
      <c r="BK621" s="1098"/>
      <c r="BL621" s="1098"/>
      <c r="BM621" s="1098"/>
      <c r="BN621" s="1098"/>
      <c r="BO621" s="1098"/>
      <c r="BP621" s="1098"/>
      <c r="BQ621" s="1098"/>
      <c r="BR621" s="1098"/>
      <c r="BS621" s="1098"/>
      <c r="BT621" s="1098"/>
      <c r="BU621" s="1098"/>
      <c r="BV621" s="1098"/>
      <c r="BW621" s="1098"/>
      <c r="BX621" s="1098"/>
      <c r="BY621" s="1098"/>
      <c r="BZ621" s="1098"/>
      <c r="CA621" s="1098"/>
      <c r="CB621" s="1098"/>
      <c r="CC621" s="1098"/>
      <c r="CD621" s="1098"/>
      <c r="CE621" s="1098"/>
      <c r="CF621" s="1098"/>
      <c r="CG621" s="1098"/>
      <c r="CH621" s="1098"/>
      <c r="CI621" s="1098"/>
      <c r="CJ621" s="1098"/>
      <c r="CK621" s="1098"/>
      <c r="CL621" s="1098"/>
      <c r="CM621" s="1098"/>
      <c r="CN621" s="1098"/>
      <c r="CO621" s="1098"/>
      <c r="CP621" s="1098"/>
      <c r="CQ621" s="1098"/>
      <c r="CR621" s="1098"/>
      <c r="CS621" s="1098"/>
      <c r="CT621" s="1098"/>
      <c r="CU621" s="1098"/>
      <c r="CV621" s="1098"/>
      <c r="CW621" s="1098"/>
      <c r="CX621" s="1098"/>
      <c r="CY621" s="1098"/>
      <c r="CZ621" s="1098"/>
      <c r="DA621" s="1098"/>
      <c r="DB621" s="1098"/>
      <c r="DC621" s="1098"/>
      <c r="DD621" s="1098"/>
      <c r="DE621" s="1098"/>
      <c r="DF621" s="1098"/>
      <c r="DG621" s="1098"/>
      <c r="DH621" s="1098"/>
      <c r="DI621" s="1098"/>
      <c r="DJ621" s="1098"/>
      <c r="DK621" s="1098"/>
      <c r="DL621" s="1098"/>
      <c r="DM621" s="1098"/>
      <c r="DN621" s="1098"/>
      <c r="DO621" s="1098"/>
      <c r="DP621" s="1098"/>
      <c r="DQ621" s="1098"/>
      <c r="DR621" s="1098"/>
      <c r="DS621" s="1098"/>
      <c r="DT621" s="1098"/>
      <c r="DU621" s="1098"/>
      <c r="DV621" s="1098"/>
      <c r="DW621" s="1098"/>
      <c r="DX621" s="1098"/>
      <c r="DY621" s="1098"/>
      <c r="DZ621" s="1098"/>
      <c r="EA621" s="1098"/>
      <c r="EB621" s="1098"/>
      <c r="EC621" s="1098"/>
      <c r="ED621" s="1098"/>
      <c r="EE621" s="1098"/>
      <c r="EF621" s="1098"/>
      <c r="EG621" s="1098"/>
      <c r="EH621" s="1098"/>
      <c r="EI621" s="1098"/>
      <c r="EJ621" s="1098"/>
      <c r="EK621" s="1098"/>
      <c r="EL621" s="1098"/>
      <c r="EM621" s="1098"/>
      <c r="EN621" s="1098"/>
      <c r="EO621" s="1098"/>
      <c r="EP621" s="1098"/>
      <c r="EQ621" s="1098"/>
      <c r="ER621" s="1098"/>
      <c r="ES621" s="1098"/>
      <c r="ET621" s="1098"/>
      <c r="EU621" s="1098"/>
      <c r="EV621" s="1098"/>
      <c r="EW621" s="1098"/>
      <c r="EX621" s="1098"/>
      <c r="EY621" s="1098"/>
      <c r="EZ621" s="1098"/>
      <c r="FA621" s="1098"/>
      <c r="FB621" s="1098"/>
      <c r="FC621" s="1098"/>
      <c r="FD621" s="1098"/>
      <c r="FE621" s="1098"/>
      <c r="FF621" s="1098"/>
      <c r="FG621" s="1098"/>
      <c r="FH621" s="1098"/>
      <c r="FI621" s="1098"/>
      <c r="FJ621" s="1098"/>
      <c r="FK621" s="1098"/>
      <c r="FL621" s="1098"/>
      <c r="FM621" s="1098"/>
      <c r="FN621" s="1098"/>
      <c r="FO621" s="1098"/>
      <c r="FP621" s="1098"/>
      <c r="FQ621" s="1098"/>
      <c r="FR621" s="1098"/>
      <c r="FS621" s="1098"/>
      <c r="FT621" s="1098"/>
      <c r="FU621" s="1098"/>
      <c r="FV621" s="1098"/>
      <c r="FW621" s="1098"/>
      <c r="FX621" s="1098"/>
      <c r="FY621" s="1098"/>
      <c r="FZ621" s="1098"/>
      <c r="GA621" s="1098"/>
      <c r="GB621" s="1098"/>
      <c r="GC621" s="1098"/>
      <c r="GD621" s="1098"/>
      <c r="GE621" s="1098"/>
      <c r="GF621" s="1098"/>
      <c r="GG621" s="1098"/>
      <c r="GH621" s="1098"/>
      <c r="GI621" s="1098"/>
      <c r="GJ621" s="1098"/>
      <c r="GK621" s="1098"/>
      <c r="GL621" s="1098"/>
      <c r="GM621" s="1098"/>
      <c r="GN621" s="1098"/>
      <c r="GO621" s="1098"/>
      <c r="GP621" s="1098"/>
      <c r="GQ621" s="1098"/>
      <c r="GR621" s="1098"/>
      <c r="GS621" s="1098"/>
      <c r="GT621" s="1098"/>
      <c r="GU621" s="1098"/>
      <c r="GV621" s="1098"/>
      <c r="GW621" s="1098"/>
      <c r="GX621" s="1098"/>
      <c r="GY621" s="1098"/>
      <c r="GZ621" s="1098"/>
      <c r="HA621" s="1098"/>
      <c r="HB621" s="1098"/>
      <c r="HC621" s="1098"/>
      <c r="HD621" s="1098"/>
      <c r="HE621" s="1098"/>
      <c r="HF621" s="1098"/>
      <c r="HG621" s="1098"/>
      <c r="HH621" s="1098"/>
      <c r="HI621" s="1098"/>
      <c r="HJ621" s="1098"/>
      <c r="HK621" s="1098"/>
      <c r="HL621" s="1098"/>
      <c r="HM621" s="1098"/>
      <c r="HN621" s="1098"/>
      <c r="HO621" s="1098"/>
      <c r="HP621" s="1098"/>
      <c r="HQ621" s="1098"/>
      <c r="HR621" s="1098"/>
      <c r="HS621" s="1098"/>
      <c r="HT621" s="1098"/>
      <c r="HU621" s="1098"/>
      <c r="HV621" s="1098"/>
      <c r="HW621" s="1098"/>
      <c r="HX621" s="1098"/>
      <c r="HY621" s="1098"/>
      <c r="HZ621" s="1098"/>
      <c r="IA621" s="1098"/>
      <c r="IB621" s="1098"/>
      <c r="IC621" s="1098"/>
      <c r="ID621" s="1098"/>
      <c r="IE621" s="1098"/>
      <c r="IF621" s="1098"/>
      <c r="IG621" s="1098"/>
      <c r="IH621" s="1098"/>
      <c r="II621" s="1098"/>
      <c r="IJ621" s="1098"/>
      <c r="IK621" s="1098"/>
      <c r="IL621" s="1098"/>
      <c r="IM621" s="1098"/>
      <c r="IN621" s="1098"/>
      <c r="IO621" s="1098"/>
      <c r="IP621" s="1098"/>
      <c r="IQ621" s="1098"/>
      <c r="IR621" s="1098"/>
      <c r="IS621" s="1098"/>
      <c r="IT621" s="1098"/>
      <c r="IU621" s="1098"/>
      <c r="IV621" s="1098"/>
      <c r="IW621" s="1098"/>
      <c r="IX621" s="1098"/>
      <c r="IY621" s="1098"/>
      <c r="IZ621" s="1098"/>
      <c r="JA621" s="1098"/>
      <c r="JB621" s="1098"/>
      <c r="JC621" s="1098"/>
      <c r="JD621" s="1098"/>
      <c r="JE621" s="1098"/>
      <c r="JF621" s="1098"/>
      <c r="JG621" s="1098"/>
      <c r="JH621" s="1098"/>
      <c r="JI621" s="1098"/>
      <c r="JJ621" s="1098"/>
      <c r="JK621" s="1098"/>
      <c r="JL621" s="1098"/>
      <c r="JM621" s="1098"/>
      <c r="JN621" s="1098"/>
      <c r="JO621" s="1098"/>
      <c r="JP621" s="1098"/>
      <c r="JQ621" s="1098"/>
      <c r="JR621" s="1098"/>
      <c r="JS621" s="1098"/>
      <c r="JT621" s="1098"/>
      <c r="JU621" s="1098"/>
      <c r="JV621" s="1098"/>
      <c r="JW621" s="1098"/>
      <c r="JX621" s="1098"/>
      <c r="JY621" s="1098"/>
      <c r="JZ621" s="1098"/>
      <c r="KA621" s="1098"/>
      <c r="KB621" s="1099"/>
    </row>
    <row r="622" spans="2:288" ht="15" customHeight="1" x14ac:dyDescent="0.35">
      <c r="B622" s="146" t="str">
        <f t="shared" si="47"/>
        <v>Desk 95</v>
      </c>
      <c r="C622" s="148" t="str">
        <v/>
      </c>
      <c r="D622" s="148" t="str">
        <v/>
      </c>
      <c r="E622" s="148" t="str">
        <v/>
      </c>
      <c r="F622" s="148" t="str">
        <v/>
      </c>
      <c r="G622" s="268" t="str">
        <v/>
      </c>
      <c r="H622" s="1098"/>
      <c r="I622" s="1098"/>
      <c r="J622" s="1098"/>
      <c r="K622" s="1098"/>
      <c r="L622" s="1098"/>
      <c r="M622" s="1098"/>
      <c r="N622" s="1098"/>
      <c r="O622" s="1098"/>
      <c r="P622" s="1098"/>
      <c r="Q622" s="1098"/>
      <c r="R622" s="1098"/>
      <c r="S622" s="1098"/>
      <c r="T622" s="1098"/>
      <c r="U622" s="1098"/>
      <c r="V622" s="1098"/>
      <c r="W622" s="1098"/>
      <c r="X622" s="1098"/>
      <c r="Y622" s="1098"/>
      <c r="Z622" s="1098"/>
      <c r="AA622" s="1098"/>
      <c r="AB622" s="1098"/>
      <c r="AC622" s="1098"/>
      <c r="AD622" s="1098"/>
      <c r="AE622" s="1098"/>
      <c r="AF622" s="1098"/>
      <c r="AG622" s="1098"/>
      <c r="AH622" s="1098"/>
      <c r="AI622" s="1098"/>
      <c r="AJ622" s="1098"/>
      <c r="AK622" s="1098"/>
      <c r="AL622" s="1098"/>
      <c r="AM622" s="1098"/>
      <c r="AN622" s="1098"/>
      <c r="AO622" s="1098"/>
      <c r="AP622" s="1098"/>
      <c r="AQ622" s="1098"/>
      <c r="AR622" s="1098"/>
      <c r="AS622" s="1098"/>
      <c r="AT622" s="1098"/>
      <c r="AU622" s="1098"/>
      <c r="AV622" s="1098"/>
      <c r="AW622" s="1098"/>
      <c r="AX622" s="1098"/>
      <c r="AY622" s="1098"/>
      <c r="AZ622" s="1098"/>
      <c r="BA622" s="1098"/>
      <c r="BB622" s="1098"/>
      <c r="BC622" s="1098"/>
      <c r="BD622" s="1098"/>
      <c r="BE622" s="1098"/>
      <c r="BF622" s="1098"/>
      <c r="BG622" s="1098"/>
      <c r="BH622" s="1098"/>
      <c r="BI622" s="1098"/>
      <c r="BJ622" s="1098"/>
      <c r="BK622" s="1098"/>
      <c r="BL622" s="1098"/>
      <c r="BM622" s="1098"/>
      <c r="BN622" s="1098"/>
      <c r="BO622" s="1098"/>
      <c r="BP622" s="1098"/>
      <c r="BQ622" s="1098"/>
      <c r="BR622" s="1098"/>
      <c r="BS622" s="1098"/>
      <c r="BT622" s="1098"/>
      <c r="BU622" s="1098"/>
      <c r="BV622" s="1098"/>
      <c r="BW622" s="1098"/>
      <c r="BX622" s="1098"/>
      <c r="BY622" s="1098"/>
      <c r="BZ622" s="1098"/>
      <c r="CA622" s="1098"/>
      <c r="CB622" s="1098"/>
      <c r="CC622" s="1098"/>
      <c r="CD622" s="1098"/>
      <c r="CE622" s="1098"/>
      <c r="CF622" s="1098"/>
      <c r="CG622" s="1098"/>
      <c r="CH622" s="1098"/>
      <c r="CI622" s="1098"/>
      <c r="CJ622" s="1098"/>
      <c r="CK622" s="1098"/>
      <c r="CL622" s="1098"/>
      <c r="CM622" s="1098"/>
      <c r="CN622" s="1098"/>
      <c r="CO622" s="1098"/>
      <c r="CP622" s="1098"/>
      <c r="CQ622" s="1098"/>
      <c r="CR622" s="1098"/>
      <c r="CS622" s="1098"/>
      <c r="CT622" s="1098"/>
      <c r="CU622" s="1098"/>
      <c r="CV622" s="1098"/>
      <c r="CW622" s="1098"/>
      <c r="CX622" s="1098"/>
      <c r="CY622" s="1098"/>
      <c r="CZ622" s="1098"/>
      <c r="DA622" s="1098"/>
      <c r="DB622" s="1098"/>
      <c r="DC622" s="1098"/>
      <c r="DD622" s="1098"/>
      <c r="DE622" s="1098"/>
      <c r="DF622" s="1098"/>
      <c r="DG622" s="1098"/>
      <c r="DH622" s="1098"/>
      <c r="DI622" s="1098"/>
      <c r="DJ622" s="1098"/>
      <c r="DK622" s="1098"/>
      <c r="DL622" s="1098"/>
      <c r="DM622" s="1098"/>
      <c r="DN622" s="1098"/>
      <c r="DO622" s="1098"/>
      <c r="DP622" s="1098"/>
      <c r="DQ622" s="1098"/>
      <c r="DR622" s="1098"/>
      <c r="DS622" s="1098"/>
      <c r="DT622" s="1098"/>
      <c r="DU622" s="1098"/>
      <c r="DV622" s="1098"/>
      <c r="DW622" s="1098"/>
      <c r="DX622" s="1098"/>
      <c r="DY622" s="1098"/>
      <c r="DZ622" s="1098"/>
      <c r="EA622" s="1098"/>
      <c r="EB622" s="1098"/>
      <c r="EC622" s="1098"/>
      <c r="ED622" s="1098"/>
      <c r="EE622" s="1098"/>
      <c r="EF622" s="1098"/>
      <c r="EG622" s="1098"/>
      <c r="EH622" s="1098"/>
      <c r="EI622" s="1098"/>
      <c r="EJ622" s="1098"/>
      <c r="EK622" s="1098"/>
      <c r="EL622" s="1098"/>
      <c r="EM622" s="1098"/>
      <c r="EN622" s="1098"/>
      <c r="EO622" s="1098"/>
      <c r="EP622" s="1098"/>
      <c r="EQ622" s="1098"/>
      <c r="ER622" s="1098"/>
      <c r="ES622" s="1098"/>
      <c r="ET622" s="1098"/>
      <c r="EU622" s="1098"/>
      <c r="EV622" s="1098"/>
      <c r="EW622" s="1098"/>
      <c r="EX622" s="1098"/>
      <c r="EY622" s="1098"/>
      <c r="EZ622" s="1098"/>
      <c r="FA622" s="1098"/>
      <c r="FB622" s="1098"/>
      <c r="FC622" s="1098"/>
      <c r="FD622" s="1098"/>
      <c r="FE622" s="1098"/>
      <c r="FF622" s="1098"/>
      <c r="FG622" s="1098"/>
      <c r="FH622" s="1098"/>
      <c r="FI622" s="1098"/>
      <c r="FJ622" s="1098"/>
      <c r="FK622" s="1098"/>
      <c r="FL622" s="1098"/>
      <c r="FM622" s="1098"/>
      <c r="FN622" s="1098"/>
      <c r="FO622" s="1098"/>
      <c r="FP622" s="1098"/>
      <c r="FQ622" s="1098"/>
      <c r="FR622" s="1098"/>
      <c r="FS622" s="1098"/>
      <c r="FT622" s="1098"/>
      <c r="FU622" s="1098"/>
      <c r="FV622" s="1098"/>
      <c r="FW622" s="1098"/>
      <c r="FX622" s="1098"/>
      <c r="FY622" s="1098"/>
      <c r="FZ622" s="1098"/>
      <c r="GA622" s="1098"/>
      <c r="GB622" s="1098"/>
      <c r="GC622" s="1098"/>
      <c r="GD622" s="1098"/>
      <c r="GE622" s="1098"/>
      <c r="GF622" s="1098"/>
      <c r="GG622" s="1098"/>
      <c r="GH622" s="1098"/>
      <c r="GI622" s="1098"/>
      <c r="GJ622" s="1098"/>
      <c r="GK622" s="1098"/>
      <c r="GL622" s="1098"/>
      <c r="GM622" s="1098"/>
      <c r="GN622" s="1098"/>
      <c r="GO622" s="1098"/>
      <c r="GP622" s="1098"/>
      <c r="GQ622" s="1098"/>
      <c r="GR622" s="1098"/>
      <c r="GS622" s="1098"/>
      <c r="GT622" s="1098"/>
      <c r="GU622" s="1098"/>
      <c r="GV622" s="1098"/>
      <c r="GW622" s="1098"/>
      <c r="GX622" s="1098"/>
      <c r="GY622" s="1098"/>
      <c r="GZ622" s="1098"/>
      <c r="HA622" s="1098"/>
      <c r="HB622" s="1098"/>
      <c r="HC622" s="1098"/>
      <c r="HD622" s="1098"/>
      <c r="HE622" s="1098"/>
      <c r="HF622" s="1098"/>
      <c r="HG622" s="1098"/>
      <c r="HH622" s="1098"/>
      <c r="HI622" s="1098"/>
      <c r="HJ622" s="1098"/>
      <c r="HK622" s="1098"/>
      <c r="HL622" s="1098"/>
      <c r="HM622" s="1098"/>
      <c r="HN622" s="1098"/>
      <c r="HO622" s="1098"/>
      <c r="HP622" s="1098"/>
      <c r="HQ622" s="1098"/>
      <c r="HR622" s="1098"/>
      <c r="HS622" s="1098"/>
      <c r="HT622" s="1098"/>
      <c r="HU622" s="1098"/>
      <c r="HV622" s="1098"/>
      <c r="HW622" s="1098"/>
      <c r="HX622" s="1098"/>
      <c r="HY622" s="1098"/>
      <c r="HZ622" s="1098"/>
      <c r="IA622" s="1098"/>
      <c r="IB622" s="1098"/>
      <c r="IC622" s="1098"/>
      <c r="ID622" s="1098"/>
      <c r="IE622" s="1098"/>
      <c r="IF622" s="1098"/>
      <c r="IG622" s="1098"/>
      <c r="IH622" s="1098"/>
      <c r="II622" s="1098"/>
      <c r="IJ622" s="1098"/>
      <c r="IK622" s="1098"/>
      <c r="IL622" s="1098"/>
      <c r="IM622" s="1098"/>
      <c r="IN622" s="1098"/>
      <c r="IO622" s="1098"/>
      <c r="IP622" s="1098"/>
      <c r="IQ622" s="1098"/>
      <c r="IR622" s="1098"/>
      <c r="IS622" s="1098"/>
      <c r="IT622" s="1098"/>
      <c r="IU622" s="1098"/>
      <c r="IV622" s="1098"/>
      <c r="IW622" s="1098"/>
      <c r="IX622" s="1098"/>
      <c r="IY622" s="1098"/>
      <c r="IZ622" s="1098"/>
      <c r="JA622" s="1098"/>
      <c r="JB622" s="1098"/>
      <c r="JC622" s="1098"/>
      <c r="JD622" s="1098"/>
      <c r="JE622" s="1098"/>
      <c r="JF622" s="1098"/>
      <c r="JG622" s="1098"/>
      <c r="JH622" s="1098"/>
      <c r="JI622" s="1098"/>
      <c r="JJ622" s="1098"/>
      <c r="JK622" s="1098"/>
      <c r="JL622" s="1098"/>
      <c r="JM622" s="1098"/>
      <c r="JN622" s="1098"/>
      <c r="JO622" s="1098"/>
      <c r="JP622" s="1098"/>
      <c r="JQ622" s="1098"/>
      <c r="JR622" s="1098"/>
      <c r="JS622" s="1098"/>
      <c r="JT622" s="1098"/>
      <c r="JU622" s="1098"/>
      <c r="JV622" s="1098"/>
      <c r="JW622" s="1098"/>
      <c r="JX622" s="1098"/>
      <c r="JY622" s="1098"/>
      <c r="JZ622" s="1098"/>
      <c r="KA622" s="1098"/>
      <c r="KB622" s="1099"/>
    </row>
    <row r="623" spans="2:288" ht="15" customHeight="1" x14ac:dyDescent="0.35">
      <c r="B623" s="146" t="str">
        <f t="shared" si="47"/>
        <v>Desk 96</v>
      </c>
      <c r="C623" s="148" t="str">
        <v/>
      </c>
      <c r="D623" s="148" t="str">
        <v/>
      </c>
      <c r="E623" s="148" t="str">
        <v/>
      </c>
      <c r="F623" s="148" t="str">
        <v/>
      </c>
      <c r="G623" s="268" t="str">
        <v/>
      </c>
      <c r="H623" s="1098"/>
      <c r="I623" s="1098"/>
      <c r="J623" s="1098"/>
      <c r="K623" s="1098"/>
      <c r="L623" s="1098"/>
      <c r="M623" s="1098"/>
      <c r="N623" s="1098"/>
      <c r="O623" s="1098"/>
      <c r="P623" s="1098"/>
      <c r="Q623" s="1098"/>
      <c r="R623" s="1098"/>
      <c r="S623" s="1098"/>
      <c r="T623" s="1098"/>
      <c r="U623" s="1098"/>
      <c r="V623" s="1098"/>
      <c r="W623" s="1098"/>
      <c r="X623" s="1098"/>
      <c r="Y623" s="1098"/>
      <c r="Z623" s="1098"/>
      <c r="AA623" s="1098"/>
      <c r="AB623" s="1098"/>
      <c r="AC623" s="1098"/>
      <c r="AD623" s="1098"/>
      <c r="AE623" s="1098"/>
      <c r="AF623" s="1098"/>
      <c r="AG623" s="1098"/>
      <c r="AH623" s="1098"/>
      <c r="AI623" s="1098"/>
      <c r="AJ623" s="1098"/>
      <c r="AK623" s="1098"/>
      <c r="AL623" s="1098"/>
      <c r="AM623" s="1098"/>
      <c r="AN623" s="1098"/>
      <c r="AO623" s="1098"/>
      <c r="AP623" s="1098"/>
      <c r="AQ623" s="1098"/>
      <c r="AR623" s="1098"/>
      <c r="AS623" s="1098"/>
      <c r="AT623" s="1098"/>
      <c r="AU623" s="1098"/>
      <c r="AV623" s="1098"/>
      <c r="AW623" s="1098"/>
      <c r="AX623" s="1098"/>
      <c r="AY623" s="1098"/>
      <c r="AZ623" s="1098"/>
      <c r="BA623" s="1098"/>
      <c r="BB623" s="1098"/>
      <c r="BC623" s="1098"/>
      <c r="BD623" s="1098"/>
      <c r="BE623" s="1098"/>
      <c r="BF623" s="1098"/>
      <c r="BG623" s="1098"/>
      <c r="BH623" s="1098"/>
      <c r="BI623" s="1098"/>
      <c r="BJ623" s="1098"/>
      <c r="BK623" s="1098"/>
      <c r="BL623" s="1098"/>
      <c r="BM623" s="1098"/>
      <c r="BN623" s="1098"/>
      <c r="BO623" s="1098"/>
      <c r="BP623" s="1098"/>
      <c r="BQ623" s="1098"/>
      <c r="BR623" s="1098"/>
      <c r="BS623" s="1098"/>
      <c r="BT623" s="1098"/>
      <c r="BU623" s="1098"/>
      <c r="BV623" s="1098"/>
      <c r="BW623" s="1098"/>
      <c r="BX623" s="1098"/>
      <c r="BY623" s="1098"/>
      <c r="BZ623" s="1098"/>
      <c r="CA623" s="1098"/>
      <c r="CB623" s="1098"/>
      <c r="CC623" s="1098"/>
      <c r="CD623" s="1098"/>
      <c r="CE623" s="1098"/>
      <c r="CF623" s="1098"/>
      <c r="CG623" s="1098"/>
      <c r="CH623" s="1098"/>
      <c r="CI623" s="1098"/>
      <c r="CJ623" s="1098"/>
      <c r="CK623" s="1098"/>
      <c r="CL623" s="1098"/>
      <c r="CM623" s="1098"/>
      <c r="CN623" s="1098"/>
      <c r="CO623" s="1098"/>
      <c r="CP623" s="1098"/>
      <c r="CQ623" s="1098"/>
      <c r="CR623" s="1098"/>
      <c r="CS623" s="1098"/>
      <c r="CT623" s="1098"/>
      <c r="CU623" s="1098"/>
      <c r="CV623" s="1098"/>
      <c r="CW623" s="1098"/>
      <c r="CX623" s="1098"/>
      <c r="CY623" s="1098"/>
      <c r="CZ623" s="1098"/>
      <c r="DA623" s="1098"/>
      <c r="DB623" s="1098"/>
      <c r="DC623" s="1098"/>
      <c r="DD623" s="1098"/>
      <c r="DE623" s="1098"/>
      <c r="DF623" s="1098"/>
      <c r="DG623" s="1098"/>
      <c r="DH623" s="1098"/>
      <c r="DI623" s="1098"/>
      <c r="DJ623" s="1098"/>
      <c r="DK623" s="1098"/>
      <c r="DL623" s="1098"/>
      <c r="DM623" s="1098"/>
      <c r="DN623" s="1098"/>
      <c r="DO623" s="1098"/>
      <c r="DP623" s="1098"/>
      <c r="DQ623" s="1098"/>
      <c r="DR623" s="1098"/>
      <c r="DS623" s="1098"/>
      <c r="DT623" s="1098"/>
      <c r="DU623" s="1098"/>
      <c r="DV623" s="1098"/>
      <c r="DW623" s="1098"/>
      <c r="DX623" s="1098"/>
      <c r="DY623" s="1098"/>
      <c r="DZ623" s="1098"/>
      <c r="EA623" s="1098"/>
      <c r="EB623" s="1098"/>
      <c r="EC623" s="1098"/>
      <c r="ED623" s="1098"/>
      <c r="EE623" s="1098"/>
      <c r="EF623" s="1098"/>
      <c r="EG623" s="1098"/>
      <c r="EH623" s="1098"/>
      <c r="EI623" s="1098"/>
      <c r="EJ623" s="1098"/>
      <c r="EK623" s="1098"/>
      <c r="EL623" s="1098"/>
      <c r="EM623" s="1098"/>
      <c r="EN623" s="1098"/>
      <c r="EO623" s="1098"/>
      <c r="EP623" s="1098"/>
      <c r="EQ623" s="1098"/>
      <c r="ER623" s="1098"/>
      <c r="ES623" s="1098"/>
      <c r="ET623" s="1098"/>
      <c r="EU623" s="1098"/>
      <c r="EV623" s="1098"/>
      <c r="EW623" s="1098"/>
      <c r="EX623" s="1098"/>
      <c r="EY623" s="1098"/>
      <c r="EZ623" s="1098"/>
      <c r="FA623" s="1098"/>
      <c r="FB623" s="1098"/>
      <c r="FC623" s="1098"/>
      <c r="FD623" s="1098"/>
      <c r="FE623" s="1098"/>
      <c r="FF623" s="1098"/>
      <c r="FG623" s="1098"/>
      <c r="FH623" s="1098"/>
      <c r="FI623" s="1098"/>
      <c r="FJ623" s="1098"/>
      <c r="FK623" s="1098"/>
      <c r="FL623" s="1098"/>
      <c r="FM623" s="1098"/>
      <c r="FN623" s="1098"/>
      <c r="FO623" s="1098"/>
      <c r="FP623" s="1098"/>
      <c r="FQ623" s="1098"/>
      <c r="FR623" s="1098"/>
      <c r="FS623" s="1098"/>
      <c r="FT623" s="1098"/>
      <c r="FU623" s="1098"/>
      <c r="FV623" s="1098"/>
      <c r="FW623" s="1098"/>
      <c r="FX623" s="1098"/>
      <c r="FY623" s="1098"/>
      <c r="FZ623" s="1098"/>
      <c r="GA623" s="1098"/>
      <c r="GB623" s="1098"/>
      <c r="GC623" s="1098"/>
      <c r="GD623" s="1098"/>
      <c r="GE623" s="1098"/>
      <c r="GF623" s="1098"/>
      <c r="GG623" s="1098"/>
      <c r="GH623" s="1098"/>
      <c r="GI623" s="1098"/>
      <c r="GJ623" s="1098"/>
      <c r="GK623" s="1098"/>
      <c r="GL623" s="1098"/>
      <c r="GM623" s="1098"/>
      <c r="GN623" s="1098"/>
      <c r="GO623" s="1098"/>
      <c r="GP623" s="1098"/>
      <c r="GQ623" s="1098"/>
      <c r="GR623" s="1098"/>
      <c r="GS623" s="1098"/>
      <c r="GT623" s="1098"/>
      <c r="GU623" s="1098"/>
      <c r="GV623" s="1098"/>
      <c r="GW623" s="1098"/>
      <c r="GX623" s="1098"/>
      <c r="GY623" s="1098"/>
      <c r="GZ623" s="1098"/>
      <c r="HA623" s="1098"/>
      <c r="HB623" s="1098"/>
      <c r="HC623" s="1098"/>
      <c r="HD623" s="1098"/>
      <c r="HE623" s="1098"/>
      <c r="HF623" s="1098"/>
      <c r="HG623" s="1098"/>
      <c r="HH623" s="1098"/>
      <c r="HI623" s="1098"/>
      <c r="HJ623" s="1098"/>
      <c r="HK623" s="1098"/>
      <c r="HL623" s="1098"/>
      <c r="HM623" s="1098"/>
      <c r="HN623" s="1098"/>
      <c r="HO623" s="1098"/>
      <c r="HP623" s="1098"/>
      <c r="HQ623" s="1098"/>
      <c r="HR623" s="1098"/>
      <c r="HS623" s="1098"/>
      <c r="HT623" s="1098"/>
      <c r="HU623" s="1098"/>
      <c r="HV623" s="1098"/>
      <c r="HW623" s="1098"/>
      <c r="HX623" s="1098"/>
      <c r="HY623" s="1098"/>
      <c r="HZ623" s="1098"/>
      <c r="IA623" s="1098"/>
      <c r="IB623" s="1098"/>
      <c r="IC623" s="1098"/>
      <c r="ID623" s="1098"/>
      <c r="IE623" s="1098"/>
      <c r="IF623" s="1098"/>
      <c r="IG623" s="1098"/>
      <c r="IH623" s="1098"/>
      <c r="II623" s="1098"/>
      <c r="IJ623" s="1098"/>
      <c r="IK623" s="1098"/>
      <c r="IL623" s="1098"/>
      <c r="IM623" s="1098"/>
      <c r="IN623" s="1098"/>
      <c r="IO623" s="1098"/>
      <c r="IP623" s="1098"/>
      <c r="IQ623" s="1098"/>
      <c r="IR623" s="1098"/>
      <c r="IS623" s="1098"/>
      <c r="IT623" s="1098"/>
      <c r="IU623" s="1098"/>
      <c r="IV623" s="1098"/>
      <c r="IW623" s="1098"/>
      <c r="IX623" s="1098"/>
      <c r="IY623" s="1098"/>
      <c r="IZ623" s="1098"/>
      <c r="JA623" s="1098"/>
      <c r="JB623" s="1098"/>
      <c r="JC623" s="1098"/>
      <c r="JD623" s="1098"/>
      <c r="JE623" s="1098"/>
      <c r="JF623" s="1098"/>
      <c r="JG623" s="1098"/>
      <c r="JH623" s="1098"/>
      <c r="JI623" s="1098"/>
      <c r="JJ623" s="1098"/>
      <c r="JK623" s="1098"/>
      <c r="JL623" s="1098"/>
      <c r="JM623" s="1098"/>
      <c r="JN623" s="1098"/>
      <c r="JO623" s="1098"/>
      <c r="JP623" s="1098"/>
      <c r="JQ623" s="1098"/>
      <c r="JR623" s="1098"/>
      <c r="JS623" s="1098"/>
      <c r="JT623" s="1098"/>
      <c r="JU623" s="1098"/>
      <c r="JV623" s="1098"/>
      <c r="JW623" s="1098"/>
      <c r="JX623" s="1098"/>
      <c r="JY623" s="1098"/>
      <c r="JZ623" s="1098"/>
      <c r="KA623" s="1098"/>
      <c r="KB623" s="1099"/>
    </row>
    <row r="624" spans="2:288" ht="15" customHeight="1" x14ac:dyDescent="0.35">
      <c r="B624" s="146" t="str">
        <f t="shared" si="47"/>
        <v>Desk 97</v>
      </c>
      <c r="C624" s="148" t="str">
        <v/>
      </c>
      <c r="D624" s="148" t="str">
        <v/>
      </c>
      <c r="E624" s="148" t="str">
        <v/>
      </c>
      <c r="F624" s="148" t="str">
        <v/>
      </c>
      <c r="G624" s="268" t="str">
        <v/>
      </c>
      <c r="H624" s="1098"/>
      <c r="I624" s="1098"/>
      <c r="J624" s="1098"/>
      <c r="K624" s="1098"/>
      <c r="L624" s="1098"/>
      <c r="M624" s="1098"/>
      <c r="N624" s="1098"/>
      <c r="O624" s="1098"/>
      <c r="P624" s="1098"/>
      <c r="Q624" s="1098"/>
      <c r="R624" s="1098"/>
      <c r="S624" s="1098"/>
      <c r="T624" s="1098"/>
      <c r="U624" s="1098"/>
      <c r="V624" s="1098"/>
      <c r="W624" s="1098"/>
      <c r="X624" s="1098"/>
      <c r="Y624" s="1098"/>
      <c r="Z624" s="1098"/>
      <c r="AA624" s="1098"/>
      <c r="AB624" s="1098"/>
      <c r="AC624" s="1098"/>
      <c r="AD624" s="1098"/>
      <c r="AE624" s="1098"/>
      <c r="AF624" s="1098"/>
      <c r="AG624" s="1098"/>
      <c r="AH624" s="1098"/>
      <c r="AI624" s="1098"/>
      <c r="AJ624" s="1098"/>
      <c r="AK624" s="1098"/>
      <c r="AL624" s="1098"/>
      <c r="AM624" s="1098"/>
      <c r="AN624" s="1098"/>
      <c r="AO624" s="1098"/>
      <c r="AP624" s="1098"/>
      <c r="AQ624" s="1098"/>
      <c r="AR624" s="1098"/>
      <c r="AS624" s="1098"/>
      <c r="AT624" s="1098"/>
      <c r="AU624" s="1098"/>
      <c r="AV624" s="1098"/>
      <c r="AW624" s="1098"/>
      <c r="AX624" s="1098"/>
      <c r="AY624" s="1098"/>
      <c r="AZ624" s="1098"/>
      <c r="BA624" s="1098"/>
      <c r="BB624" s="1098"/>
      <c r="BC624" s="1098"/>
      <c r="BD624" s="1098"/>
      <c r="BE624" s="1098"/>
      <c r="BF624" s="1098"/>
      <c r="BG624" s="1098"/>
      <c r="BH624" s="1098"/>
      <c r="BI624" s="1098"/>
      <c r="BJ624" s="1098"/>
      <c r="BK624" s="1098"/>
      <c r="BL624" s="1098"/>
      <c r="BM624" s="1098"/>
      <c r="BN624" s="1098"/>
      <c r="BO624" s="1098"/>
      <c r="BP624" s="1098"/>
      <c r="BQ624" s="1098"/>
      <c r="BR624" s="1098"/>
      <c r="BS624" s="1098"/>
      <c r="BT624" s="1098"/>
      <c r="BU624" s="1098"/>
      <c r="BV624" s="1098"/>
      <c r="BW624" s="1098"/>
      <c r="BX624" s="1098"/>
      <c r="BY624" s="1098"/>
      <c r="BZ624" s="1098"/>
      <c r="CA624" s="1098"/>
      <c r="CB624" s="1098"/>
      <c r="CC624" s="1098"/>
      <c r="CD624" s="1098"/>
      <c r="CE624" s="1098"/>
      <c r="CF624" s="1098"/>
      <c r="CG624" s="1098"/>
      <c r="CH624" s="1098"/>
      <c r="CI624" s="1098"/>
      <c r="CJ624" s="1098"/>
      <c r="CK624" s="1098"/>
      <c r="CL624" s="1098"/>
      <c r="CM624" s="1098"/>
      <c r="CN624" s="1098"/>
      <c r="CO624" s="1098"/>
      <c r="CP624" s="1098"/>
      <c r="CQ624" s="1098"/>
      <c r="CR624" s="1098"/>
      <c r="CS624" s="1098"/>
      <c r="CT624" s="1098"/>
      <c r="CU624" s="1098"/>
      <c r="CV624" s="1098"/>
      <c r="CW624" s="1098"/>
      <c r="CX624" s="1098"/>
      <c r="CY624" s="1098"/>
      <c r="CZ624" s="1098"/>
      <c r="DA624" s="1098"/>
      <c r="DB624" s="1098"/>
      <c r="DC624" s="1098"/>
      <c r="DD624" s="1098"/>
      <c r="DE624" s="1098"/>
      <c r="DF624" s="1098"/>
      <c r="DG624" s="1098"/>
      <c r="DH624" s="1098"/>
      <c r="DI624" s="1098"/>
      <c r="DJ624" s="1098"/>
      <c r="DK624" s="1098"/>
      <c r="DL624" s="1098"/>
      <c r="DM624" s="1098"/>
      <c r="DN624" s="1098"/>
      <c r="DO624" s="1098"/>
      <c r="DP624" s="1098"/>
      <c r="DQ624" s="1098"/>
      <c r="DR624" s="1098"/>
      <c r="DS624" s="1098"/>
      <c r="DT624" s="1098"/>
      <c r="DU624" s="1098"/>
      <c r="DV624" s="1098"/>
      <c r="DW624" s="1098"/>
      <c r="DX624" s="1098"/>
      <c r="DY624" s="1098"/>
      <c r="DZ624" s="1098"/>
      <c r="EA624" s="1098"/>
      <c r="EB624" s="1098"/>
      <c r="EC624" s="1098"/>
      <c r="ED624" s="1098"/>
      <c r="EE624" s="1098"/>
      <c r="EF624" s="1098"/>
      <c r="EG624" s="1098"/>
      <c r="EH624" s="1098"/>
      <c r="EI624" s="1098"/>
      <c r="EJ624" s="1098"/>
      <c r="EK624" s="1098"/>
      <c r="EL624" s="1098"/>
      <c r="EM624" s="1098"/>
      <c r="EN624" s="1098"/>
      <c r="EO624" s="1098"/>
      <c r="EP624" s="1098"/>
      <c r="EQ624" s="1098"/>
      <c r="ER624" s="1098"/>
      <c r="ES624" s="1098"/>
      <c r="ET624" s="1098"/>
      <c r="EU624" s="1098"/>
      <c r="EV624" s="1098"/>
      <c r="EW624" s="1098"/>
      <c r="EX624" s="1098"/>
      <c r="EY624" s="1098"/>
      <c r="EZ624" s="1098"/>
      <c r="FA624" s="1098"/>
      <c r="FB624" s="1098"/>
      <c r="FC624" s="1098"/>
      <c r="FD624" s="1098"/>
      <c r="FE624" s="1098"/>
      <c r="FF624" s="1098"/>
      <c r="FG624" s="1098"/>
      <c r="FH624" s="1098"/>
      <c r="FI624" s="1098"/>
      <c r="FJ624" s="1098"/>
      <c r="FK624" s="1098"/>
      <c r="FL624" s="1098"/>
      <c r="FM624" s="1098"/>
      <c r="FN624" s="1098"/>
      <c r="FO624" s="1098"/>
      <c r="FP624" s="1098"/>
      <c r="FQ624" s="1098"/>
      <c r="FR624" s="1098"/>
      <c r="FS624" s="1098"/>
      <c r="FT624" s="1098"/>
      <c r="FU624" s="1098"/>
      <c r="FV624" s="1098"/>
      <c r="FW624" s="1098"/>
      <c r="FX624" s="1098"/>
      <c r="FY624" s="1098"/>
      <c r="FZ624" s="1098"/>
      <c r="GA624" s="1098"/>
      <c r="GB624" s="1098"/>
      <c r="GC624" s="1098"/>
      <c r="GD624" s="1098"/>
      <c r="GE624" s="1098"/>
      <c r="GF624" s="1098"/>
      <c r="GG624" s="1098"/>
      <c r="GH624" s="1098"/>
      <c r="GI624" s="1098"/>
      <c r="GJ624" s="1098"/>
      <c r="GK624" s="1098"/>
      <c r="GL624" s="1098"/>
      <c r="GM624" s="1098"/>
      <c r="GN624" s="1098"/>
      <c r="GO624" s="1098"/>
      <c r="GP624" s="1098"/>
      <c r="GQ624" s="1098"/>
      <c r="GR624" s="1098"/>
      <c r="GS624" s="1098"/>
      <c r="GT624" s="1098"/>
      <c r="GU624" s="1098"/>
      <c r="GV624" s="1098"/>
      <c r="GW624" s="1098"/>
      <c r="GX624" s="1098"/>
      <c r="GY624" s="1098"/>
      <c r="GZ624" s="1098"/>
      <c r="HA624" s="1098"/>
      <c r="HB624" s="1098"/>
      <c r="HC624" s="1098"/>
      <c r="HD624" s="1098"/>
      <c r="HE624" s="1098"/>
      <c r="HF624" s="1098"/>
      <c r="HG624" s="1098"/>
      <c r="HH624" s="1098"/>
      <c r="HI624" s="1098"/>
      <c r="HJ624" s="1098"/>
      <c r="HK624" s="1098"/>
      <c r="HL624" s="1098"/>
      <c r="HM624" s="1098"/>
      <c r="HN624" s="1098"/>
      <c r="HO624" s="1098"/>
      <c r="HP624" s="1098"/>
      <c r="HQ624" s="1098"/>
      <c r="HR624" s="1098"/>
      <c r="HS624" s="1098"/>
      <c r="HT624" s="1098"/>
      <c r="HU624" s="1098"/>
      <c r="HV624" s="1098"/>
      <c r="HW624" s="1098"/>
      <c r="HX624" s="1098"/>
      <c r="HY624" s="1098"/>
      <c r="HZ624" s="1098"/>
      <c r="IA624" s="1098"/>
      <c r="IB624" s="1098"/>
      <c r="IC624" s="1098"/>
      <c r="ID624" s="1098"/>
      <c r="IE624" s="1098"/>
      <c r="IF624" s="1098"/>
      <c r="IG624" s="1098"/>
      <c r="IH624" s="1098"/>
      <c r="II624" s="1098"/>
      <c r="IJ624" s="1098"/>
      <c r="IK624" s="1098"/>
      <c r="IL624" s="1098"/>
      <c r="IM624" s="1098"/>
      <c r="IN624" s="1098"/>
      <c r="IO624" s="1098"/>
      <c r="IP624" s="1098"/>
      <c r="IQ624" s="1098"/>
      <c r="IR624" s="1098"/>
      <c r="IS624" s="1098"/>
      <c r="IT624" s="1098"/>
      <c r="IU624" s="1098"/>
      <c r="IV624" s="1098"/>
      <c r="IW624" s="1098"/>
      <c r="IX624" s="1098"/>
      <c r="IY624" s="1098"/>
      <c r="IZ624" s="1098"/>
      <c r="JA624" s="1098"/>
      <c r="JB624" s="1098"/>
      <c r="JC624" s="1098"/>
      <c r="JD624" s="1098"/>
      <c r="JE624" s="1098"/>
      <c r="JF624" s="1098"/>
      <c r="JG624" s="1098"/>
      <c r="JH624" s="1098"/>
      <c r="JI624" s="1098"/>
      <c r="JJ624" s="1098"/>
      <c r="JK624" s="1098"/>
      <c r="JL624" s="1098"/>
      <c r="JM624" s="1098"/>
      <c r="JN624" s="1098"/>
      <c r="JO624" s="1098"/>
      <c r="JP624" s="1098"/>
      <c r="JQ624" s="1098"/>
      <c r="JR624" s="1098"/>
      <c r="JS624" s="1098"/>
      <c r="JT624" s="1098"/>
      <c r="JU624" s="1098"/>
      <c r="JV624" s="1098"/>
      <c r="JW624" s="1098"/>
      <c r="JX624" s="1098"/>
      <c r="JY624" s="1098"/>
      <c r="JZ624" s="1098"/>
      <c r="KA624" s="1098"/>
      <c r="KB624" s="1099"/>
    </row>
    <row r="625" spans="1:288" ht="15" customHeight="1" x14ac:dyDescent="0.35">
      <c r="B625" s="146" t="str">
        <f t="shared" ref="B625:B627" si="48">B211</f>
        <v>Desk 98</v>
      </c>
      <c r="C625" s="148" t="str">
        <v/>
      </c>
      <c r="D625" s="148" t="str">
        <v/>
      </c>
      <c r="E625" s="148" t="str">
        <v/>
      </c>
      <c r="F625" s="148" t="str">
        <v/>
      </c>
      <c r="G625" s="268" t="str">
        <v/>
      </c>
      <c r="H625" s="1098"/>
      <c r="I625" s="1098"/>
      <c r="J625" s="1098"/>
      <c r="K625" s="1098"/>
      <c r="L625" s="1098"/>
      <c r="M625" s="1098"/>
      <c r="N625" s="1098"/>
      <c r="O625" s="1098"/>
      <c r="P625" s="1098"/>
      <c r="Q625" s="1098"/>
      <c r="R625" s="1098"/>
      <c r="S625" s="1098"/>
      <c r="T625" s="1098"/>
      <c r="U625" s="1098"/>
      <c r="V625" s="1098"/>
      <c r="W625" s="1098"/>
      <c r="X625" s="1098"/>
      <c r="Y625" s="1098"/>
      <c r="Z625" s="1098"/>
      <c r="AA625" s="1098"/>
      <c r="AB625" s="1098"/>
      <c r="AC625" s="1098"/>
      <c r="AD625" s="1098"/>
      <c r="AE625" s="1098"/>
      <c r="AF625" s="1098"/>
      <c r="AG625" s="1098"/>
      <c r="AH625" s="1098"/>
      <c r="AI625" s="1098"/>
      <c r="AJ625" s="1098"/>
      <c r="AK625" s="1098"/>
      <c r="AL625" s="1098"/>
      <c r="AM625" s="1098"/>
      <c r="AN625" s="1098"/>
      <c r="AO625" s="1098"/>
      <c r="AP625" s="1098"/>
      <c r="AQ625" s="1098"/>
      <c r="AR625" s="1098"/>
      <c r="AS625" s="1098"/>
      <c r="AT625" s="1098"/>
      <c r="AU625" s="1098"/>
      <c r="AV625" s="1098"/>
      <c r="AW625" s="1098"/>
      <c r="AX625" s="1098"/>
      <c r="AY625" s="1098"/>
      <c r="AZ625" s="1098"/>
      <c r="BA625" s="1098"/>
      <c r="BB625" s="1098"/>
      <c r="BC625" s="1098"/>
      <c r="BD625" s="1098"/>
      <c r="BE625" s="1098"/>
      <c r="BF625" s="1098"/>
      <c r="BG625" s="1098"/>
      <c r="BH625" s="1098"/>
      <c r="BI625" s="1098"/>
      <c r="BJ625" s="1098"/>
      <c r="BK625" s="1098"/>
      <c r="BL625" s="1098"/>
      <c r="BM625" s="1098"/>
      <c r="BN625" s="1098"/>
      <c r="BO625" s="1098"/>
      <c r="BP625" s="1098"/>
      <c r="BQ625" s="1098"/>
      <c r="BR625" s="1098"/>
      <c r="BS625" s="1098"/>
      <c r="BT625" s="1098"/>
      <c r="BU625" s="1098"/>
      <c r="BV625" s="1098"/>
      <c r="BW625" s="1098"/>
      <c r="BX625" s="1098"/>
      <c r="BY625" s="1098"/>
      <c r="BZ625" s="1098"/>
      <c r="CA625" s="1098"/>
      <c r="CB625" s="1098"/>
      <c r="CC625" s="1098"/>
      <c r="CD625" s="1098"/>
      <c r="CE625" s="1098"/>
      <c r="CF625" s="1098"/>
      <c r="CG625" s="1098"/>
      <c r="CH625" s="1098"/>
      <c r="CI625" s="1098"/>
      <c r="CJ625" s="1098"/>
      <c r="CK625" s="1098"/>
      <c r="CL625" s="1098"/>
      <c r="CM625" s="1098"/>
      <c r="CN625" s="1098"/>
      <c r="CO625" s="1098"/>
      <c r="CP625" s="1098"/>
      <c r="CQ625" s="1098"/>
      <c r="CR625" s="1098"/>
      <c r="CS625" s="1098"/>
      <c r="CT625" s="1098"/>
      <c r="CU625" s="1098"/>
      <c r="CV625" s="1098"/>
      <c r="CW625" s="1098"/>
      <c r="CX625" s="1098"/>
      <c r="CY625" s="1098"/>
      <c r="CZ625" s="1098"/>
      <c r="DA625" s="1098"/>
      <c r="DB625" s="1098"/>
      <c r="DC625" s="1098"/>
      <c r="DD625" s="1098"/>
      <c r="DE625" s="1098"/>
      <c r="DF625" s="1098"/>
      <c r="DG625" s="1098"/>
      <c r="DH625" s="1098"/>
      <c r="DI625" s="1098"/>
      <c r="DJ625" s="1098"/>
      <c r="DK625" s="1098"/>
      <c r="DL625" s="1098"/>
      <c r="DM625" s="1098"/>
      <c r="DN625" s="1098"/>
      <c r="DO625" s="1098"/>
      <c r="DP625" s="1098"/>
      <c r="DQ625" s="1098"/>
      <c r="DR625" s="1098"/>
      <c r="DS625" s="1098"/>
      <c r="DT625" s="1098"/>
      <c r="DU625" s="1098"/>
      <c r="DV625" s="1098"/>
      <c r="DW625" s="1098"/>
      <c r="DX625" s="1098"/>
      <c r="DY625" s="1098"/>
      <c r="DZ625" s="1098"/>
      <c r="EA625" s="1098"/>
      <c r="EB625" s="1098"/>
      <c r="EC625" s="1098"/>
      <c r="ED625" s="1098"/>
      <c r="EE625" s="1098"/>
      <c r="EF625" s="1098"/>
      <c r="EG625" s="1098"/>
      <c r="EH625" s="1098"/>
      <c r="EI625" s="1098"/>
      <c r="EJ625" s="1098"/>
      <c r="EK625" s="1098"/>
      <c r="EL625" s="1098"/>
      <c r="EM625" s="1098"/>
      <c r="EN625" s="1098"/>
      <c r="EO625" s="1098"/>
      <c r="EP625" s="1098"/>
      <c r="EQ625" s="1098"/>
      <c r="ER625" s="1098"/>
      <c r="ES625" s="1098"/>
      <c r="ET625" s="1098"/>
      <c r="EU625" s="1098"/>
      <c r="EV625" s="1098"/>
      <c r="EW625" s="1098"/>
      <c r="EX625" s="1098"/>
      <c r="EY625" s="1098"/>
      <c r="EZ625" s="1098"/>
      <c r="FA625" s="1098"/>
      <c r="FB625" s="1098"/>
      <c r="FC625" s="1098"/>
      <c r="FD625" s="1098"/>
      <c r="FE625" s="1098"/>
      <c r="FF625" s="1098"/>
      <c r="FG625" s="1098"/>
      <c r="FH625" s="1098"/>
      <c r="FI625" s="1098"/>
      <c r="FJ625" s="1098"/>
      <c r="FK625" s="1098"/>
      <c r="FL625" s="1098"/>
      <c r="FM625" s="1098"/>
      <c r="FN625" s="1098"/>
      <c r="FO625" s="1098"/>
      <c r="FP625" s="1098"/>
      <c r="FQ625" s="1098"/>
      <c r="FR625" s="1098"/>
      <c r="FS625" s="1098"/>
      <c r="FT625" s="1098"/>
      <c r="FU625" s="1098"/>
      <c r="FV625" s="1098"/>
      <c r="FW625" s="1098"/>
      <c r="FX625" s="1098"/>
      <c r="FY625" s="1098"/>
      <c r="FZ625" s="1098"/>
      <c r="GA625" s="1098"/>
      <c r="GB625" s="1098"/>
      <c r="GC625" s="1098"/>
      <c r="GD625" s="1098"/>
      <c r="GE625" s="1098"/>
      <c r="GF625" s="1098"/>
      <c r="GG625" s="1098"/>
      <c r="GH625" s="1098"/>
      <c r="GI625" s="1098"/>
      <c r="GJ625" s="1098"/>
      <c r="GK625" s="1098"/>
      <c r="GL625" s="1098"/>
      <c r="GM625" s="1098"/>
      <c r="GN625" s="1098"/>
      <c r="GO625" s="1098"/>
      <c r="GP625" s="1098"/>
      <c r="GQ625" s="1098"/>
      <c r="GR625" s="1098"/>
      <c r="GS625" s="1098"/>
      <c r="GT625" s="1098"/>
      <c r="GU625" s="1098"/>
      <c r="GV625" s="1098"/>
      <c r="GW625" s="1098"/>
      <c r="GX625" s="1098"/>
      <c r="GY625" s="1098"/>
      <c r="GZ625" s="1098"/>
      <c r="HA625" s="1098"/>
      <c r="HB625" s="1098"/>
      <c r="HC625" s="1098"/>
      <c r="HD625" s="1098"/>
      <c r="HE625" s="1098"/>
      <c r="HF625" s="1098"/>
      <c r="HG625" s="1098"/>
      <c r="HH625" s="1098"/>
      <c r="HI625" s="1098"/>
      <c r="HJ625" s="1098"/>
      <c r="HK625" s="1098"/>
      <c r="HL625" s="1098"/>
      <c r="HM625" s="1098"/>
      <c r="HN625" s="1098"/>
      <c r="HO625" s="1098"/>
      <c r="HP625" s="1098"/>
      <c r="HQ625" s="1098"/>
      <c r="HR625" s="1098"/>
      <c r="HS625" s="1098"/>
      <c r="HT625" s="1098"/>
      <c r="HU625" s="1098"/>
      <c r="HV625" s="1098"/>
      <c r="HW625" s="1098"/>
      <c r="HX625" s="1098"/>
      <c r="HY625" s="1098"/>
      <c r="HZ625" s="1098"/>
      <c r="IA625" s="1098"/>
      <c r="IB625" s="1098"/>
      <c r="IC625" s="1098"/>
      <c r="ID625" s="1098"/>
      <c r="IE625" s="1098"/>
      <c r="IF625" s="1098"/>
      <c r="IG625" s="1098"/>
      <c r="IH625" s="1098"/>
      <c r="II625" s="1098"/>
      <c r="IJ625" s="1098"/>
      <c r="IK625" s="1098"/>
      <c r="IL625" s="1098"/>
      <c r="IM625" s="1098"/>
      <c r="IN625" s="1098"/>
      <c r="IO625" s="1098"/>
      <c r="IP625" s="1098"/>
      <c r="IQ625" s="1098"/>
      <c r="IR625" s="1098"/>
      <c r="IS625" s="1098"/>
      <c r="IT625" s="1098"/>
      <c r="IU625" s="1098"/>
      <c r="IV625" s="1098"/>
      <c r="IW625" s="1098"/>
      <c r="IX625" s="1098"/>
      <c r="IY625" s="1098"/>
      <c r="IZ625" s="1098"/>
      <c r="JA625" s="1098"/>
      <c r="JB625" s="1098"/>
      <c r="JC625" s="1098"/>
      <c r="JD625" s="1098"/>
      <c r="JE625" s="1098"/>
      <c r="JF625" s="1098"/>
      <c r="JG625" s="1098"/>
      <c r="JH625" s="1098"/>
      <c r="JI625" s="1098"/>
      <c r="JJ625" s="1098"/>
      <c r="JK625" s="1098"/>
      <c r="JL625" s="1098"/>
      <c r="JM625" s="1098"/>
      <c r="JN625" s="1098"/>
      <c r="JO625" s="1098"/>
      <c r="JP625" s="1098"/>
      <c r="JQ625" s="1098"/>
      <c r="JR625" s="1098"/>
      <c r="JS625" s="1098"/>
      <c r="JT625" s="1098"/>
      <c r="JU625" s="1098"/>
      <c r="JV625" s="1098"/>
      <c r="JW625" s="1098"/>
      <c r="JX625" s="1098"/>
      <c r="JY625" s="1098"/>
      <c r="JZ625" s="1098"/>
      <c r="KA625" s="1098"/>
      <c r="KB625" s="1099"/>
    </row>
    <row r="626" spans="1:288" ht="15" customHeight="1" x14ac:dyDescent="0.35">
      <c r="B626" s="146" t="str">
        <f t="shared" si="48"/>
        <v>Desk 99</v>
      </c>
      <c r="C626" s="148" t="str">
        <v/>
      </c>
      <c r="D626" s="148" t="str">
        <v/>
      </c>
      <c r="E626" s="148" t="str">
        <v/>
      </c>
      <c r="F626" s="148" t="str">
        <v/>
      </c>
      <c r="G626" s="268" t="str">
        <v/>
      </c>
      <c r="H626" s="1098"/>
      <c r="I626" s="1098"/>
      <c r="J626" s="1098"/>
      <c r="K626" s="1098"/>
      <c r="L626" s="1098"/>
      <c r="M626" s="1098"/>
      <c r="N626" s="1098"/>
      <c r="O626" s="1098"/>
      <c r="P626" s="1098"/>
      <c r="Q626" s="1098"/>
      <c r="R626" s="1098"/>
      <c r="S626" s="1098"/>
      <c r="T626" s="1098"/>
      <c r="U626" s="1098"/>
      <c r="V626" s="1098"/>
      <c r="W626" s="1098"/>
      <c r="X626" s="1098"/>
      <c r="Y626" s="1098"/>
      <c r="Z626" s="1098"/>
      <c r="AA626" s="1098"/>
      <c r="AB626" s="1098"/>
      <c r="AC626" s="1098"/>
      <c r="AD626" s="1098"/>
      <c r="AE626" s="1098"/>
      <c r="AF626" s="1098"/>
      <c r="AG626" s="1098"/>
      <c r="AH626" s="1098"/>
      <c r="AI626" s="1098"/>
      <c r="AJ626" s="1098"/>
      <c r="AK626" s="1098"/>
      <c r="AL626" s="1098"/>
      <c r="AM626" s="1098"/>
      <c r="AN626" s="1098"/>
      <c r="AO626" s="1098"/>
      <c r="AP626" s="1098"/>
      <c r="AQ626" s="1098"/>
      <c r="AR626" s="1098"/>
      <c r="AS626" s="1098"/>
      <c r="AT626" s="1098"/>
      <c r="AU626" s="1098"/>
      <c r="AV626" s="1098"/>
      <c r="AW626" s="1098"/>
      <c r="AX626" s="1098"/>
      <c r="AY626" s="1098"/>
      <c r="AZ626" s="1098"/>
      <c r="BA626" s="1098"/>
      <c r="BB626" s="1098"/>
      <c r="BC626" s="1098"/>
      <c r="BD626" s="1098"/>
      <c r="BE626" s="1098"/>
      <c r="BF626" s="1098"/>
      <c r="BG626" s="1098"/>
      <c r="BH626" s="1098"/>
      <c r="BI626" s="1098"/>
      <c r="BJ626" s="1098"/>
      <c r="BK626" s="1098"/>
      <c r="BL626" s="1098"/>
      <c r="BM626" s="1098"/>
      <c r="BN626" s="1098"/>
      <c r="BO626" s="1098"/>
      <c r="BP626" s="1098"/>
      <c r="BQ626" s="1098"/>
      <c r="BR626" s="1098"/>
      <c r="BS626" s="1098"/>
      <c r="BT626" s="1098"/>
      <c r="BU626" s="1098"/>
      <c r="BV626" s="1098"/>
      <c r="BW626" s="1098"/>
      <c r="BX626" s="1098"/>
      <c r="BY626" s="1098"/>
      <c r="BZ626" s="1098"/>
      <c r="CA626" s="1098"/>
      <c r="CB626" s="1098"/>
      <c r="CC626" s="1098"/>
      <c r="CD626" s="1098"/>
      <c r="CE626" s="1098"/>
      <c r="CF626" s="1098"/>
      <c r="CG626" s="1098"/>
      <c r="CH626" s="1098"/>
      <c r="CI626" s="1098"/>
      <c r="CJ626" s="1098"/>
      <c r="CK626" s="1098"/>
      <c r="CL626" s="1098"/>
      <c r="CM626" s="1098"/>
      <c r="CN626" s="1098"/>
      <c r="CO626" s="1098"/>
      <c r="CP626" s="1098"/>
      <c r="CQ626" s="1098"/>
      <c r="CR626" s="1098"/>
      <c r="CS626" s="1098"/>
      <c r="CT626" s="1098"/>
      <c r="CU626" s="1098"/>
      <c r="CV626" s="1098"/>
      <c r="CW626" s="1098"/>
      <c r="CX626" s="1098"/>
      <c r="CY626" s="1098"/>
      <c r="CZ626" s="1098"/>
      <c r="DA626" s="1098"/>
      <c r="DB626" s="1098"/>
      <c r="DC626" s="1098"/>
      <c r="DD626" s="1098"/>
      <c r="DE626" s="1098"/>
      <c r="DF626" s="1098"/>
      <c r="DG626" s="1098"/>
      <c r="DH626" s="1098"/>
      <c r="DI626" s="1098"/>
      <c r="DJ626" s="1098"/>
      <c r="DK626" s="1098"/>
      <c r="DL626" s="1098"/>
      <c r="DM626" s="1098"/>
      <c r="DN626" s="1098"/>
      <c r="DO626" s="1098"/>
      <c r="DP626" s="1098"/>
      <c r="DQ626" s="1098"/>
      <c r="DR626" s="1098"/>
      <c r="DS626" s="1098"/>
      <c r="DT626" s="1098"/>
      <c r="DU626" s="1098"/>
      <c r="DV626" s="1098"/>
      <c r="DW626" s="1098"/>
      <c r="DX626" s="1098"/>
      <c r="DY626" s="1098"/>
      <c r="DZ626" s="1098"/>
      <c r="EA626" s="1098"/>
      <c r="EB626" s="1098"/>
      <c r="EC626" s="1098"/>
      <c r="ED626" s="1098"/>
      <c r="EE626" s="1098"/>
      <c r="EF626" s="1098"/>
      <c r="EG626" s="1098"/>
      <c r="EH626" s="1098"/>
      <c r="EI626" s="1098"/>
      <c r="EJ626" s="1098"/>
      <c r="EK626" s="1098"/>
      <c r="EL626" s="1098"/>
      <c r="EM626" s="1098"/>
      <c r="EN626" s="1098"/>
      <c r="EO626" s="1098"/>
      <c r="EP626" s="1098"/>
      <c r="EQ626" s="1098"/>
      <c r="ER626" s="1098"/>
      <c r="ES626" s="1098"/>
      <c r="ET626" s="1098"/>
      <c r="EU626" s="1098"/>
      <c r="EV626" s="1098"/>
      <c r="EW626" s="1098"/>
      <c r="EX626" s="1098"/>
      <c r="EY626" s="1098"/>
      <c r="EZ626" s="1098"/>
      <c r="FA626" s="1098"/>
      <c r="FB626" s="1098"/>
      <c r="FC626" s="1098"/>
      <c r="FD626" s="1098"/>
      <c r="FE626" s="1098"/>
      <c r="FF626" s="1098"/>
      <c r="FG626" s="1098"/>
      <c r="FH626" s="1098"/>
      <c r="FI626" s="1098"/>
      <c r="FJ626" s="1098"/>
      <c r="FK626" s="1098"/>
      <c r="FL626" s="1098"/>
      <c r="FM626" s="1098"/>
      <c r="FN626" s="1098"/>
      <c r="FO626" s="1098"/>
      <c r="FP626" s="1098"/>
      <c r="FQ626" s="1098"/>
      <c r="FR626" s="1098"/>
      <c r="FS626" s="1098"/>
      <c r="FT626" s="1098"/>
      <c r="FU626" s="1098"/>
      <c r="FV626" s="1098"/>
      <c r="FW626" s="1098"/>
      <c r="FX626" s="1098"/>
      <c r="FY626" s="1098"/>
      <c r="FZ626" s="1098"/>
      <c r="GA626" s="1098"/>
      <c r="GB626" s="1098"/>
      <c r="GC626" s="1098"/>
      <c r="GD626" s="1098"/>
      <c r="GE626" s="1098"/>
      <c r="GF626" s="1098"/>
      <c r="GG626" s="1098"/>
      <c r="GH626" s="1098"/>
      <c r="GI626" s="1098"/>
      <c r="GJ626" s="1098"/>
      <c r="GK626" s="1098"/>
      <c r="GL626" s="1098"/>
      <c r="GM626" s="1098"/>
      <c r="GN626" s="1098"/>
      <c r="GO626" s="1098"/>
      <c r="GP626" s="1098"/>
      <c r="GQ626" s="1098"/>
      <c r="GR626" s="1098"/>
      <c r="GS626" s="1098"/>
      <c r="GT626" s="1098"/>
      <c r="GU626" s="1098"/>
      <c r="GV626" s="1098"/>
      <c r="GW626" s="1098"/>
      <c r="GX626" s="1098"/>
      <c r="GY626" s="1098"/>
      <c r="GZ626" s="1098"/>
      <c r="HA626" s="1098"/>
      <c r="HB626" s="1098"/>
      <c r="HC626" s="1098"/>
      <c r="HD626" s="1098"/>
      <c r="HE626" s="1098"/>
      <c r="HF626" s="1098"/>
      <c r="HG626" s="1098"/>
      <c r="HH626" s="1098"/>
      <c r="HI626" s="1098"/>
      <c r="HJ626" s="1098"/>
      <c r="HK626" s="1098"/>
      <c r="HL626" s="1098"/>
      <c r="HM626" s="1098"/>
      <c r="HN626" s="1098"/>
      <c r="HO626" s="1098"/>
      <c r="HP626" s="1098"/>
      <c r="HQ626" s="1098"/>
      <c r="HR626" s="1098"/>
      <c r="HS626" s="1098"/>
      <c r="HT626" s="1098"/>
      <c r="HU626" s="1098"/>
      <c r="HV626" s="1098"/>
      <c r="HW626" s="1098"/>
      <c r="HX626" s="1098"/>
      <c r="HY626" s="1098"/>
      <c r="HZ626" s="1098"/>
      <c r="IA626" s="1098"/>
      <c r="IB626" s="1098"/>
      <c r="IC626" s="1098"/>
      <c r="ID626" s="1098"/>
      <c r="IE626" s="1098"/>
      <c r="IF626" s="1098"/>
      <c r="IG626" s="1098"/>
      <c r="IH626" s="1098"/>
      <c r="II626" s="1098"/>
      <c r="IJ626" s="1098"/>
      <c r="IK626" s="1098"/>
      <c r="IL626" s="1098"/>
      <c r="IM626" s="1098"/>
      <c r="IN626" s="1098"/>
      <c r="IO626" s="1098"/>
      <c r="IP626" s="1098"/>
      <c r="IQ626" s="1098"/>
      <c r="IR626" s="1098"/>
      <c r="IS626" s="1098"/>
      <c r="IT626" s="1098"/>
      <c r="IU626" s="1098"/>
      <c r="IV626" s="1098"/>
      <c r="IW626" s="1098"/>
      <c r="IX626" s="1098"/>
      <c r="IY626" s="1098"/>
      <c r="IZ626" s="1098"/>
      <c r="JA626" s="1098"/>
      <c r="JB626" s="1098"/>
      <c r="JC626" s="1098"/>
      <c r="JD626" s="1098"/>
      <c r="JE626" s="1098"/>
      <c r="JF626" s="1098"/>
      <c r="JG626" s="1098"/>
      <c r="JH626" s="1098"/>
      <c r="JI626" s="1098"/>
      <c r="JJ626" s="1098"/>
      <c r="JK626" s="1098"/>
      <c r="JL626" s="1098"/>
      <c r="JM626" s="1098"/>
      <c r="JN626" s="1098"/>
      <c r="JO626" s="1098"/>
      <c r="JP626" s="1098"/>
      <c r="JQ626" s="1098"/>
      <c r="JR626" s="1098"/>
      <c r="JS626" s="1098"/>
      <c r="JT626" s="1098"/>
      <c r="JU626" s="1098"/>
      <c r="JV626" s="1098"/>
      <c r="JW626" s="1098"/>
      <c r="JX626" s="1098"/>
      <c r="JY626" s="1098"/>
      <c r="JZ626" s="1098"/>
      <c r="KA626" s="1098"/>
      <c r="KB626" s="1099"/>
    </row>
    <row r="627" spans="1:288" ht="15" customHeight="1" x14ac:dyDescent="0.35">
      <c r="B627" s="149" t="str">
        <f t="shared" si="48"/>
        <v>Desk 100</v>
      </c>
      <c r="C627" s="150" t="str">
        <v/>
      </c>
      <c r="D627" s="150" t="str">
        <v/>
      </c>
      <c r="E627" s="150" t="str">
        <v/>
      </c>
      <c r="F627" s="150" t="str">
        <v/>
      </c>
      <c r="G627" s="268" t="str">
        <v/>
      </c>
      <c r="H627" s="1100"/>
      <c r="I627" s="1100"/>
      <c r="J627" s="1100"/>
      <c r="K627" s="1100"/>
      <c r="L627" s="1100"/>
      <c r="M627" s="1100"/>
      <c r="N627" s="1100"/>
      <c r="O627" s="1100"/>
      <c r="P627" s="1100"/>
      <c r="Q627" s="1100"/>
      <c r="R627" s="1100"/>
      <c r="S627" s="1100"/>
      <c r="T627" s="1100"/>
      <c r="U627" s="1100"/>
      <c r="V627" s="1100"/>
      <c r="W627" s="1100"/>
      <c r="X627" s="1100"/>
      <c r="Y627" s="1100"/>
      <c r="Z627" s="1100"/>
      <c r="AA627" s="1100"/>
      <c r="AB627" s="1100"/>
      <c r="AC627" s="1100"/>
      <c r="AD627" s="1100"/>
      <c r="AE627" s="1100"/>
      <c r="AF627" s="1100"/>
      <c r="AG627" s="1100"/>
      <c r="AH627" s="1100"/>
      <c r="AI627" s="1100"/>
      <c r="AJ627" s="1100"/>
      <c r="AK627" s="1100"/>
      <c r="AL627" s="1100"/>
      <c r="AM627" s="1100"/>
      <c r="AN627" s="1100"/>
      <c r="AO627" s="1100"/>
      <c r="AP627" s="1100"/>
      <c r="AQ627" s="1100"/>
      <c r="AR627" s="1100"/>
      <c r="AS627" s="1100"/>
      <c r="AT627" s="1100"/>
      <c r="AU627" s="1100"/>
      <c r="AV627" s="1100"/>
      <c r="AW627" s="1100"/>
      <c r="AX627" s="1100"/>
      <c r="AY627" s="1100"/>
      <c r="AZ627" s="1100"/>
      <c r="BA627" s="1100"/>
      <c r="BB627" s="1100"/>
      <c r="BC627" s="1100"/>
      <c r="BD627" s="1100"/>
      <c r="BE627" s="1100"/>
      <c r="BF627" s="1100"/>
      <c r="BG627" s="1100"/>
      <c r="BH627" s="1100"/>
      <c r="BI627" s="1100"/>
      <c r="BJ627" s="1100"/>
      <c r="BK627" s="1100"/>
      <c r="BL627" s="1100"/>
      <c r="BM627" s="1100"/>
      <c r="BN627" s="1100"/>
      <c r="BO627" s="1100"/>
      <c r="BP627" s="1100"/>
      <c r="BQ627" s="1100"/>
      <c r="BR627" s="1100"/>
      <c r="BS627" s="1100"/>
      <c r="BT627" s="1100"/>
      <c r="BU627" s="1100"/>
      <c r="BV627" s="1100"/>
      <c r="BW627" s="1100"/>
      <c r="BX627" s="1100"/>
      <c r="BY627" s="1100"/>
      <c r="BZ627" s="1100"/>
      <c r="CA627" s="1100"/>
      <c r="CB627" s="1100"/>
      <c r="CC627" s="1100"/>
      <c r="CD627" s="1100"/>
      <c r="CE627" s="1100"/>
      <c r="CF627" s="1100"/>
      <c r="CG627" s="1100"/>
      <c r="CH627" s="1100"/>
      <c r="CI627" s="1100"/>
      <c r="CJ627" s="1100"/>
      <c r="CK627" s="1100"/>
      <c r="CL627" s="1100"/>
      <c r="CM627" s="1100"/>
      <c r="CN627" s="1100"/>
      <c r="CO627" s="1100"/>
      <c r="CP627" s="1100"/>
      <c r="CQ627" s="1100"/>
      <c r="CR627" s="1100"/>
      <c r="CS627" s="1100"/>
      <c r="CT627" s="1100"/>
      <c r="CU627" s="1100"/>
      <c r="CV627" s="1100"/>
      <c r="CW627" s="1100"/>
      <c r="CX627" s="1100"/>
      <c r="CY627" s="1100"/>
      <c r="CZ627" s="1100"/>
      <c r="DA627" s="1100"/>
      <c r="DB627" s="1100"/>
      <c r="DC627" s="1100"/>
      <c r="DD627" s="1100"/>
      <c r="DE627" s="1100"/>
      <c r="DF627" s="1100"/>
      <c r="DG627" s="1100"/>
      <c r="DH627" s="1100"/>
      <c r="DI627" s="1100"/>
      <c r="DJ627" s="1100"/>
      <c r="DK627" s="1100"/>
      <c r="DL627" s="1100"/>
      <c r="DM627" s="1100"/>
      <c r="DN627" s="1100"/>
      <c r="DO627" s="1100"/>
      <c r="DP627" s="1100"/>
      <c r="DQ627" s="1100"/>
      <c r="DR627" s="1100"/>
      <c r="DS627" s="1100"/>
      <c r="DT627" s="1100"/>
      <c r="DU627" s="1100"/>
      <c r="DV627" s="1100"/>
      <c r="DW627" s="1100"/>
      <c r="DX627" s="1100"/>
      <c r="DY627" s="1100"/>
      <c r="DZ627" s="1100"/>
      <c r="EA627" s="1100"/>
      <c r="EB627" s="1100"/>
      <c r="EC627" s="1100"/>
      <c r="ED627" s="1100"/>
      <c r="EE627" s="1100"/>
      <c r="EF627" s="1100"/>
      <c r="EG627" s="1100"/>
      <c r="EH627" s="1100"/>
      <c r="EI627" s="1100"/>
      <c r="EJ627" s="1100"/>
      <c r="EK627" s="1100"/>
      <c r="EL627" s="1100"/>
      <c r="EM627" s="1100"/>
      <c r="EN627" s="1100"/>
      <c r="EO627" s="1100"/>
      <c r="EP627" s="1100"/>
      <c r="EQ627" s="1100"/>
      <c r="ER627" s="1100"/>
      <c r="ES627" s="1100"/>
      <c r="ET627" s="1100"/>
      <c r="EU627" s="1100"/>
      <c r="EV627" s="1100"/>
      <c r="EW627" s="1100"/>
      <c r="EX627" s="1100"/>
      <c r="EY627" s="1100"/>
      <c r="EZ627" s="1100"/>
      <c r="FA627" s="1100"/>
      <c r="FB627" s="1100"/>
      <c r="FC627" s="1100"/>
      <c r="FD627" s="1100"/>
      <c r="FE627" s="1100"/>
      <c r="FF627" s="1100"/>
      <c r="FG627" s="1100"/>
      <c r="FH627" s="1100"/>
      <c r="FI627" s="1100"/>
      <c r="FJ627" s="1100"/>
      <c r="FK627" s="1100"/>
      <c r="FL627" s="1100"/>
      <c r="FM627" s="1100"/>
      <c r="FN627" s="1100"/>
      <c r="FO627" s="1100"/>
      <c r="FP627" s="1100"/>
      <c r="FQ627" s="1100"/>
      <c r="FR627" s="1100"/>
      <c r="FS627" s="1100"/>
      <c r="FT627" s="1100"/>
      <c r="FU627" s="1100"/>
      <c r="FV627" s="1100"/>
      <c r="FW627" s="1100"/>
      <c r="FX627" s="1100"/>
      <c r="FY627" s="1100"/>
      <c r="FZ627" s="1100"/>
      <c r="GA627" s="1100"/>
      <c r="GB627" s="1100"/>
      <c r="GC627" s="1100"/>
      <c r="GD627" s="1100"/>
      <c r="GE627" s="1100"/>
      <c r="GF627" s="1100"/>
      <c r="GG627" s="1100"/>
      <c r="GH627" s="1100"/>
      <c r="GI627" s="1100"/>
      <c r="GJ627" s="1100"/>
      <c r="GK627" s="1100"/>
      <c r="GL627" s="1100"/>
      <c r="GM627" s="1100"/>
      <c r="GN627" s="1100"/>
      <c r="GO627" s="1100"/>
      <c r="GP627" s="1100"/>
      <c r="GQ627" s="1100"/>
      <c r="GR627" s="1100"/>
      <c r="GS627" s="1100"/>
      <c r="GT627" s="1100"/>
      <c r="GU627" s="1100"/>
      <c r="GV627" s="1100"/>
      <c r="GW627" s="1100"/>
      <c r="GX627" s="1100"/>
      <c r="GY627" s="1100"/>
      <c r="GZ627" s="1100"/>
      <c r="HA627" s="1100"/>
      <c r="HB627" s="1100"/>
      <c r="HC627" s="1100"/>
      <c r="HD627" s="1100"/>
      <c r="HE627" s="1100"/>
      <c r="HF627" s="1100"/>
      <c r="HG627" s="1100"/>
      <c r="HH627" s="1100"/>
      <c r="HI627" s="1100"/>
      <c r="HJ627" s="1100"/>
      <c r="HK627" s="1100"/>
      <c r="HL627" s="1100"/>
      <c r="HM627" s="1100"/>
      <c r="HN627" s="1100"/>
      <c r="HO627" s="1100"/>
      <c r="HP627" s="1100"/>
      <c r="HQ627" s="1100"/>
      <c r="HR627" s="1100"/>
      <c r="HS627" s="1100"/>
      <c r="HT627" s="1100"/>
      <c r="HU627" s="1100"/>
      <c r="HV627" s="1100"/>
      <c r="HW627" s="1100"/>
      <c r="HX627" s="1100"/>
      <c r="HY627" s="1100"/>
      <c r="HZ627" s="1100"/>
      <c r="IA627" s="1100"/>
      <c r="IB627" s="1100"/>
      <c r="IC627" s="1100"/>
      <c r="ID627" s="1100"/>
      <c r="IE627" s="1100"/>
      <c r="IF627" s="1100"/>
      <c r="IG627" s="1100"/>
      <c r="IH627" s="1100"/>
      <c r="II627" s="1100"/>
      <c r="IJ627" s="1100"/>
      <c r="IK627" s="1100"/>
      <c r="IL627" s="1100"/>
      <c r="IM627" s="1100"/>
      <c r="IN627" s="1100"/>
      <c r="IO627" s="1100"/>
      <c r="IP627" s="1100"/>
      <c r="IQ627" s="1100"/>
      <c r="IR627" s="1100"/>
      <c r="IS627" s="1100"/>
      <c r="IT627" s="1100"/>
      <c r="IU627" s="1100"/>
      <c r="IV627" s="1100"/>
      <c r="IW627" s="1100"/>
      <c r="IX627" s="1100"/>
      <c r="IY627" s="1100"/>
      <c r="IZ627" s="1100"/>
      <c r="JA627" s="1100"/>
      <c r="JB627" s="1100"/>
      <c r="JC627" s="1100"/>
      <c r="JD627" s="1100"/>
      <c r="JE627" s="1100"/>
      <c r="JF627" s="1100"/>
      <c r="JG627" s="1100"/>
      <c r="JH627" s="1100"/>
      <c r="JI627" s="1100"/>
      <c r="JJ627" s="1100"/>
      <c r="JK627" s="1100"/>
      <c r="JL627" s="1100"/>
      <c r="JM627" s="1100"/>
      <c r="JN627" s="1100"/>
      <c r="JO627" s="1100"/>
      <c r="JP627" s="1100"/>
      <c r="JQ627" s="1100"/>
      <c r="JR627" s="1100"/>
      <c r="JS627" s="1100"/>
      <c r="JT627" s="1100"/>
      <c r="JU627" s="1100"/>
      <c r="JV627" s="1100"/>
      <c r="JW627" s="1100"/>
      <c r="JX627" s="1100"/>
      <c r="JY627" s="1100"/>
      <c r="JZ627" s="1100"/>
      <c r="KA627" s="1100"/>
      <c r="KB627" s="1101"/>
    </row>
    <row r="628" spans="1:288" ht="15" customHeight="1" x14ac:dyDescent="0.35">
      <c r="B628" s="282" t="s">
        <v>1605</v>
      </c>
      <c r="C628" s="1102"/>
      <c r="D628" s="1102"/>
      <c r="E628" s="1102"/>
      <c r="F628" s="1102"/>
      <c r="G628" s="1102"/>
      <c r="H628" s="1103"/>
      <c r="I628" s="1103"/>
      <c r="J628" s="1103"/>
      <c r="K628" s="1103"/>
      <c r="L628" s="1103"/>
      <c r="M628" s="1103"/>
      <c r="N628" s="1103"/>
      <c r="O628" s="1103"/>
      <c r="P628" s="1103"/>
      <c r="Q628" s="1103"/>
      <c r="R628" s="1103"/>
      <c r="S628" s="1103"/>
      <c r="T628" s="1103"/>
      <c r="U628" s="1103"/>
      <c r="V628" s="1103"/>
      <c r="W628" s="1103"/>
      <c r="X628" s="1103"/>
      <c r="Y628" s="1103"/>
      <c r="Z628" s="1103"/>
      <c r="AA628" s="1103"/>
      <c r="AB628" s="1103"/>
      <c r="AC628" s="1103"/>
      <c r="AD628" s="1103"/>
      <c r="AE628" s="1103"/>
      <c r="AF628" s="1103"/>
      <c r="AG628" s="1103"/>
      <c r="AH628" s="1103"/>
      <c r="AI628" s="1103"/>
      <c r="AJ628" s="1103"/>
      <c r="AK628" s="1103"/>
      <c r="AL628" s="1103"/>
      <c r="AM628" s="1103"/>
      <c r="AN628" s="1103"/>
      <c r="AO628" s="1103"/>
      <c r="AP628" s="1103"/>
      <c r="AQ628" s="1103"/>
      <c r="AR628" s="1103"/>
      <c r="AS628" s="1103"/>
      <c r="AT628" s="1103"/>
      <c r="AU628" s="1103"/>
      <c r="AV628" s="1103"/>
      <c r="AW628" s="1103"/>
      <c r="AX628" s="1103"/>
      <c r="AY628" s="1103"/>
      <c r="AZ628" s="1103"/>
      <c r="BA628" s="1103"/>
      <c r="BB628" s="1103"/>
      <c r="BC628" s="1103"/>
      <c r="BD628" s="1103"/>
      <c r="BE628" s="1103"/>
      <c r="BF628" s="1103"/>
      <c r="BG628" s="1103"/>
      <c r="BH628" s="1103"/>
      <c r="BI628" s="1103"/>
      <c r="BJ628" s="1103"/>
      <c r="BK628" s="1103"/>
      <c r="BL628" s="1103"/>
      <c r="BM628" s="1103"/>
      <c r="BN628" s="1103"/>
      <c r="BO628" s="1103"/>
      <c r="BP628" s="1103"/>
      <c r="BQ628" s="1103"/>
      <c r="BR628" s="1103"/>
      <c r="BS628" s="1103"/>
      <c r="BT628" s="1103"/>
      <c r="BU628" s="1103"/>
      <c r="BV628" s="1103"/>
      <c r="BW628" s="1103"/>
      <c r="BX628" s="1103"/>
      <c r="BY628" s="1103"/>
      <c r="BZ628" s="1103"/>
      <c r="CA628" s="1103"/>
      <c r="CB628" s="1103"/>
      <c r="CC628" s="1103"/>
      <c r="CD628" s="1103"/>
      <c r="CE628" s="1103"/>
      <c r="CF628" s="1103"/>
      <c r="CG628" s="1103"/>
      <c r="CH628" s="1103"/>
      <c r="CI628" s="1103"/>
      <c r="CJ628" s="1103"/>
      <c r="CK628" s="1103"/>
      <c r="CL628" s="1103"/>
      <c r="CM628" s="1103"/>
      <c r="CN628" s="1103"/>
      <c r="CO628" s="1103"/>
      <c r="CP628" s="1103"/>
      <c r="CQ628" s="1103"/>
      <c r="CR628" s="1103"/>
      <c r="CS628" s="1103"/>
      <c r="CT628" s="1103"/>
      <c r="CU628" s="1103"/>
      <c r="CV628" s="1103"/>
      <c r="CW628" s="1103"/>
      <c r="CX628" s="1103"/>
      <c r="CY628" s="1103"/>
      <c r="CZ628" s="1103"/>
      <c r="DA628" s="1103"/>
      <c r="DB628" s="1103"/>
      <c r="DC628" s="1103"/>
      <c r="DD628" s="1103"/>
      <c r="DE628" s="1103"/>
      <c r="DF628" s="1103"/>
      <c r="DG628" s="1103"/>
      <c r="DH628" s="1103"/>
      <c r="DI628" s="1103"/>
      <c r="DJ628" s="1103"/>
      <c r="DK628" s="1103"/>
      <c r="DL628" s="1103"/>
      <c r="DM628" s="1103"/>
      <c r="DN628" s="1103"/>
      <c r="DO628" s="1103"/>
      <c r="DP628" s="1103"/>
      <c r="DQ628" s="1103"/>
      <c r="DR628" s="1103"/>
      <c r="DS628" s="1103"/>
      <c r="DT628" s="1103"/>
      <c r="DU628" s="1103"/>
      <c r="DV628" s="1103"/>
      <c r="DW628" s="1103"/>
      <c r="DX628" s="1103"/>
      <c r="DY628" s="1103"/>
      <c r="DZ628" s="1103"/>
      <c r="EA628" s="1103"/>
      <c r="EB628" s="1103"/>
      <c r="EC628" s="1103"/>
      <c r="ED628" s="1103"/>
      <c r="EE628" s="1103"/>
      <c r="EF628" s="1103"/>
      <c r="EG628" s="1103"/>
      <c r="EH628" s="1103"/>
      <c r="EI628" s="1103"/>
      <c r="EJ628" s="1103"/>
      <c r="EK628" s="1103"/>
      <c r="EL628" s="1103"/>
      <c r="EM628" s="1103"/>
      <c r="EN628" s="1103"/>
      <c r="EO628" s="1103"/>
      <c r="EP628" s="1103"/>
      <c r="EQ628" s="1103"/>
      <c r="ER628" s="1103"/>
      <c r="ES628" s="1103"/>
      <c r="ET628" s="1103"/>
      <c r="EU628" s="1103"/>
      <c r="EV628" s="1103"/>
      <c r="EW628" s="1103"/>
      <c r="EX628" s="1103"/>
      <c r="EY628" s="1103"/>
      <c r="EZ628" s="1103"/>
      <c r="FA628" s="1103"/>
      <c r="FB628" s="1103"/>
      <c r="FC628" s="1103"/>
      <c r="FD628" s="1103"/>
      <c r="FE628" s="1103"/>
      <c r="FF628" s="1103"/>
      <c r="FG628" s="1103"/>
      <c r="FH628" s="1103"/>
      <c r="FI628" s="1103"/>
      <c r="FJ628" s="1103"/>
      <c r="FK628" s="1103"/>
      <c r="FL628" s="1103"/>
      <c r="FM628" s="1103"/>
      <c r="FN628" s="1103"/>
      <c r="FO628" s="1103"/>
      <c r="FP628" s="1103"/>
      <c r="FQ628" s="1103"/>
      <c r="FR628" s="1103"/>
      <c r="FS628" s="1103"/>
      <c r="FT628" s="1103"/>
      <c r="FU628" s="1103"/>
      <c r="FV628" s="1103"/>
      <c r="FW628" s="1103"/>
      <c r="FX628" s="1103"/>
      <c r="FY628" s="1103"/>
      <c r="FZ628" s="1103"/>
      <c r="GA628" s="1103"/>
      <c r="GB628" s="1103"/>
      <c r="GC628" s="1103"/>
      <c r="GD628" s="1103"/>
      <c r="GE628" s="1103"/>
      <c r="GF628" s="1103"/>
      <c r="GG628" s="1103"/>
      <c r="GH628" s="1103"/>
      <c r="GI628" s="1103"/>
      <c r="GJ628" s="1103"/>
      <c r="GK628" s="1103"/>
      <c r="GL628" s="1103"/>
      <c r="GM628" s="1103"/>
      <c r="GN628" s="1103"/>
      <c r="GO628" s="1103"/>
      <c r="GP628" s="1103"/>
      <c r="GQ628" s="1103"/>
      <c r="GR628" s="1103"/>
      <c r="GS628" s="1103"/>
      <c r="GT628" s="1103"/>
      <c r="GU628" s="1103"/>
      <c r="GV628" s="1103"/>
      <c r="GW628" s="1103"/>
      <c r="GX628" s="1103"/>
      <c r="GY628" s="1103"/>
      <c r="GZ628" s="1103"/>
      <c r="HA628" s="1103"/>
      <c r="HB628" s="1103"/>
      <c r="HC628" s="1103"/>
      <c r="HD628" s="1103"/>
      <c r="HE628" s="1103"/>
      <c r="HF628" s="1103"/>
      <c r="HG628" s="1103"/>
      <c r="HH628" s="1103"/>
      <c r="HI628" s="1103"/>
      <c r="HJ628" s="1103"/>
      <c r="HK628" s="1103"/>
      <c r="HL628" s="1103"/>
      <c r="HM628" s="1103"/>
      <c r="HN628" s="1103"/>
      <c r="HO628" s="1103"/>
      <c r="HP628" s="1103"/>
      <c r="HQ628" s="1103"/>
      <c r="HR628" s="1103"/>
      <c r="HS628" s="1103"/>
      <c r="HT628" s="1103"/>
      <c r="HU628" s="1103"/>
      <c r="HV628" s="1103"/>
      <c r="HW628" s="1103"/>
      <c r="HX628" s="1103"/>
      <c r="HY628" s="1103"/>
      <c r="HZ628" s="1103"/>
      <c r="IA628" s="1103"/>
      <c r="IB628" s="1103"/>
      <c r="IC628" s="1103"/>
      <c r="ID628" s="1103"/>
      <c r="IE628" s="1103"/>
      <c r="IF628" s="1103"/>
      <c r="IG628" s="1103"/>
      <c r="IH628" s="1103"/>
      <c r="II628" s="1103"/>
      <c r="IJ628" s="1103"/>
      <c r="IK628" s="1103"/>
      <c r="IL628" s="1103"/>
      <c r="IM628" s="1103"/>
      <c r="IN628" s="1103"/>
      <c r="IO628" s="1103"/>
      <c r="IP628" s="1103"/>
      <c r="IQ628" s="1103"/>
      <c r="IR628" s="1103"/>
      <c r="IS628" s="1103"/>
      <c r="IT628" s="1103"/>
      <c r="IU628" s="1103"/>
      <c r="IV628" s="1103"/>
      <c r="IW628" s="1103"/>
      <c r="IX628" s="1103"/>
      <c r="IY628" s="1103"/>
      <c r="IZ628" s="1103"/>
      <c r="JA628" s="1103"/>
      <c r="JB628" s="1103"/>
      <c r="JC628" s="1103"/>
      <c r="JD628" s="1103"/>
      <c r="JE628" s="1103"/>
      <c r="JF628" s="1103"/>
      <c r="JG628" s="1103"/>
      <c r="JH628" s="1103"/>
      <c r="JI628" s="1103"/>
      <c r="JJ628" s="1103"/>
      <c r="JK628" s="1103"/>
      <c r="JL628" s="1103"/>
      <c r="JM628" s="1103"/>
      <c r="JN628" s="1103"/>
      <c r="JO628" s="1103"/>
      <c r="JP628" s="1103"/>
      <c r="JQ628" s="1103"/>
      <c r="JR628" s="1103"/>
      <c r="JS628" s="1103"/>
      <c r="JT628" s="1103"/>
      <c r="JU628" s="1103"/>
      <c r="JV628" s="1103"/>
      <c r="JW628" s="1103"/>
      <c r="JX628" s="1103"/>
      <c r="JY628" s="1103"/>
      <c r="JZ628" s="1103"/>
      <c r="KA628" s="1103"/>
      <c r="KB628" s="1104"/>
    </row>
    <row r="629" spans="1:288" ht="60" customHeight="1" x14ac:dyDescent="0.35">
      <c r="A629" s="260" t="s">
        <v>1612</v>
      </c>
      <c r="B629" s="192"/>
      <c r="C629" s="192"/>
      <c r="D629" s="192"/>
      <c r="E629" s="192"/>
      <c r="F629" s="192"/>
      <c r="G629" s="192"/>
      <c r="H629" s="192"/>
      <c r="I629" s="192"/>
      <c r="J629" s="192"/>
      <c r="K629" s="192"/>
      <c r="L629" s="192"/>
      <c r="M629" s="192"/>
      <c r="N629" s="192"/>
      <c r="O629" s="192"/>
      <c r="P629" s="192"/>
      <c r="ES629" s="192"/>
      <c r="ET629" s="192"/>
      <c r="EU629" s="192"/>
      <c r="EV629" s="192"/>
      <c r="EW629" s="192"/>
      <c r="EX629" s="192"/>
      <c r="EY629" s="192"/>
      <c r="EZ629" s="192"/>
    </row>
    <row r="630" spans="1:288" ht="60" customHeight="1" x14ac:dyDescent="0.35">
      <c r="B630" s="1384" t="s">
        <v>1199</v>
      </c>
      <c r="C630" s="750" t="s">
        <v>1200</v>
      </c>
      <c r="D630" s="895" t="s">
        <v>1201</v>
      </c>
      <c r="E630" s="750" t="s">
        <v>1202</v>
      </c>
      <c r="F630" s="750" t="s">
        <v>1203</v>
      </c>
      <c r="G630" s="750" t="s">
        <v>1600</v>
      </c>
      <c r="H630" s="750" t="s">
        <v>1601</v>
      </c>
      <c r="I630" s="750" t="str">
        <f t="shared" ref="I630:BT630" si="49">"T+" &amp; (COLUMN(I630)-COLUMN($H630))</f>
        <v>T+1</v>
      </c>
      <c r="J630" s="750" t="str">
        <f t="shared" si="49"/>
        <v>T+2</v>
      </c>
      <c r="K630" s="750" t="str">
        <f t="shared" si="49"/>
        <v>T+3</v>
      </c>
      <c r="L630" s="750" t="str">
        <f t="shared" si="49"/>
        <v>T+4</v>
      </c>
      <c r="M630" s="750" t="str">
        <f t="shared" si="49"/>
        <v>T+5</v>
      </c>
      <c r="N630" s="750" t="str">
        <f t="shared" si="49"/>
        <v>T+6</v>
      </c>
      <c r="O630" s="750" t="str">
        <f t="shared" si="49"/>
        <v>T+7</v>
      </c>
      <c r="P630" s="750" t="str">
        <f t="shared" si="49"/>
        <v>T+8</v>
      </c>
      <c r="Q630" s="750" t="str">
        <f t="shared" si="49"/>
        <v>T+9</v>
      </c>
      <c r="R630" s="750" t="str">
        <f t="shared" si="49"/>
        <v>T+10</v>
      </c>
      <c r="S630" s="750" t="str">
        <f t="shared" si="49"/>
        <v>T+11</v>
      </c>
      <c r="T630" s="750" t="str">
        <f t="shared" si="49"/>
        <v>T+12</v>
      </c>
      <c r="U630" s="750" t="str">
        <f t="shared" si="49"/>
        <v>T+13</v>
      </c>
      <c r="V630" s="750" t="str">
        <f t="shared" si="49"/>
        <v>T+14</v>
      </c>
      <c r="W630" s="750" t="str">
        <f t="shared" si="49"/>
        <v>T+15</v>
      </c>
      <c r="X630" s="750" t="str">
        <f t="shared" si="49"/>
        <v>T+16</v>
      </c>
      <c r="Y630" s="750" t="str">
        <f t="shared" si="49"/>
        <v>T+17</v>
      </c>
      <c r="Z630" s="750" t="str">
        <f t="shared" si="49"/>
        <v>T+18</v>
      </c>
      <c r="AA630" s="750" t="str">
        <f t="shared" si="49"/>
        <v>T+19</v>
      </c>
      <c r="AB630" s="750" t="str">
        <f t="shared" si="49"/>
        <v>T+20</v>
      </c>
      <c r="AC630" s="750" t="str">
        <f t="shared" si="49"/>
        <v>T+21</v>
      </c>
      <c r="AD630" s="750" t="str">
        <f t="shared" si="49"/>
        <v>T+22</v>
      </c>
      <c r="AE630" s="750" t="str">
        <f t="shared" si="49"/>
        <v>T+23</v>
      </c>
      <c r="AF630" s="750" t="str">
        <f t="shared" si="49"/>
        <v>T+24</v>
      </c>
      <c r="AG630" s="750" t="str">
        <f t="shared" si="49"/>
        <v>T+25</v>
      </c>
      <c r="AH630" s="750" t="str">
        <f t="shared" si="49"/>
        <v>T+26</v>
      </c>
      <c r="AI630" s="750" t="str">
        <f t="shared" si="49"/>
        <v>T+27</v>
      </c>
      <c r="AJ630" s="750" t="str">
        <f t="shared" si="49"/>
        <v>T+28</v>
      </c>
      <c r="AK630" s="750" t="str">
        <f t="shared" si="49"/>
        <v>T+29</v>
      </c>
      <c r="AL630" s="750" t="str">
        <f t="shared" si="49"/>
        <v>T+30</v>
      </c>
      <c r="AM630" s="750" t="str">
        <f t="shared" si="49"/>
        <v>T+31</v>
      </c>
      <c r="AN630" s="750" t="str">
        <f t="shared" si="49"/>
        <v>T+32</v>
      </c>
      <c r="AO630" s="750" t="str">
        <f t="shared" si="49"/>
        <v>T+33</v>
      </c>
      <c r="AP630" s="750" t="str">
        <f t="shared" si="49"/>
        <v>T+34</v>
      </c>
      <c r="AQ630" s="750" t="str">
        <f t="shared" si="49"/>
        <v>T+35</v>
      </c>
      <c r="AR630" s="750" t="str">
        <f t="shared" si="49"/>
        <v>T+36</v>
      </c>
      <c r="AS630" s="750" t="str">
        <f t="shared" si="49"/>
        <v>T+37</v>
      </c>
      <c r="AT630" s="750" t="str">
        <f t="shared" si="49"/>
        <v>T+38</v>
      </c>
      <c r="AU630" s="750" t="str">
        <f t="shared" si="49"/>
        <v>T+39</v>
      </c>
      <c r="AV630" s="750" t="str">
        <f t="shared" si="49"/>
        <v>T+40</v>
      </c>
      <c r="AW630" s="750" t="str">
        <f t="shared" si="49"/>
        <v>T+41</v>
      </c>
      <c r="AX630" s="750" t="str">
        <f t="shared" si="49"/>
        <v>T+42</v>
      </c>
      <c r="AY630" s="750" t="str">
        <f t="shared" si="49"/>
        <v>T+43</v>
      </c>
      <c r="AZ630" s="750" t="str">
        <f t="shared" si="49"/>
        <v>T+44</v>
      </c>
      <c r="BA630" s="750" t="str">
        <f t="shared" si="49"/>
        <v>T+45</v>
      </c>
      <c r="BB630" s="750" t="str">
        <f t="shared" si="49"/>
        <v>T+46</v>
      </c>
      <c r="BC630" s="750" t="str">
        <f t="shared" si="49"/>
        <v>T+47</v>
      </c>
      <c r="BD630" s="750" t="str">
        <f t="shared" si="49"/>
        <v>T+48</v>
      </c>
      <c r="BE630" s="750" t="str">
        <f t="shared" si="49"/>
        <v>T+49</v>
      </c>
      <c r="BF630" s="750" t="str">
        <f t="shared" si="49"/>
        <v>T+50</v>
      </c>
      <c r="BG630" s="750" t="str">
        <f t="shared" si="49"/>
        <v>T+51</v>
      </c>
      <c r="BH630" s="750" t="str">
        <f t="shared" si="49"/>
        <v>T+52</v>
      </c>
      <c r="BI630" s="750" t="str">
        <f t="shared" si="49"/>
        <v>T+53</v>
      </c>
      <c r="BJ630" s="750" t="str">
        <f t="shared" si="49"/>
        <v>T+54</v>
      </c>
      <c r="BK630" s="750" t="str">
        <f t="shared" si="49"/>
        <v>T+55</v>
      </c>
      <c r="BL630" s="750" t="str">
        <f t="shared" si="49"/>
        <v>T+56</v>
      </c>
      <c r="BM630" s="750" t="str">
        <f t="shared" si="49"/>
        <v>T+57</v>
      </c>
      <c r="BN630" s="750" t="str">
        <f t="shared" si="49"/>
        <v>T+58</v>
      </c>
      <c r="BO630" s="750" t="str">
        <f t="shared" si="49"/>
        <v>T+59</v>
      </c>
      <c r="BP630" s="750" t="str">
        <f t="shared" si="49"/>
        <v>T+60</v>
      </c>
      <c r="BQ630" s="750" t="str">
        <f t="shared" si="49"/>
        <v>T+61</v>
      </c>
      <c r="BR630" s="750" t="str">
        <f t="shared" si="49"/>
        <v>T+62</v>
      </c>
      <c r="BS630" s="750" t="str">
        <f t="shared" si="49"/>
        <v>T+63</v>
      </c>
      <c r="BT630" s="750" t="str">
        <f t="shared" si="49"/>
        <v>T+64</v>
      </c>
      <c r="BU630" s="750" t="str">
        <f t="shared" ref="BU630:EF630" si="50">"T+" &amp; (COLUMN(BU630)-COLUMN($H630))</f>
        <v>T+65</v>
      </c>
      <c r="BV630" s="750" t="str">
        <f t="shared" si="50"/>
        <v>T+66</v>
      </c>
      <c r="BW630" s="750" t="str">
        <f t="shared" si="50"/>
        <v>T+67</v>
      </c>
      <c r="BX630" s="750" t="str">
        <f t="shared" si="50"/>
        <v>T+68</v>
      </c>
      <c r="BY630" s="750" t="str">
        <f t="shared" si="50"/>
        <v>T+69</v>
      </c>
      <c r="BZ630" s="750" t="str">
        <f t="shared" si="50"/>
        <v>T+70</v>
      </c>
      <c r="CA630" s="750" t="str">
        <f t="shared" si="50"/>
        <v>T+71</v>
      </c>
      <c r="CB630" s="750" t="str">
        <f t="shared" si="50"/>
        <v>T+72</v>
      </c>
      <c r="CC630" s="750" t="str">
        <f t="shared" si="50"/>
        <v>T+73</v>
      </c>
      <c r="CD630" s="750" t="str">
        <f t="shared" si="50"/>
        <v>T+74</v>
      </c>
      <c r="CE630" s="750" t="str">
        <f t="shared" si="50"/>
        <v>T+75</v>
      </c>
      <c r="CF630" s="750" t="str">
        <f t="shared" si="50"/>
        <v>T+76</v>
      </c>
      <c r="CG630" s="750" t="str">
        <f t="shared" si="50"/>
        <v>T+77</v>
      </c>
      <c r="CH630" s="750" t="str">
        <f t="shared" si="50"/>
        <v>T+78</v>
      </c>
      <c r="CI630" s="750" t="str">
        <f t="shared" si="50"/>
        <v>T+79</v>
      </c>
      <c r="CJ630" s="750" t="str">
        <f t="shared" si="50"/>
        <v>T+80</v>
      </c>
      <c r="CK630" s="750" t="str">
        <f t="shared" si="50"/>
        <v>T+81</v>
      </c>
      <c r="CL630" s="750" t="str">
        <f t="shared" si="50"/>
        <v>T+82</v>
      </c>
      <c r="CM630" s="750" t="str">
        <f t="shared" si="50"/>
        <v>T+83</v>
      </c>
      <c r="CN630" s="750" t="str">
        <f t="shared" si="50"/>
        <v>T+84</v>
      </c>
      <c r="CO630" s="750" t="str">
        <f t="shared" si="50"/>
        <v>T+85</v>
      </c>
      <c r="CP630" s="750" t="str">
        <f t="shared" si="50"/>
        <v>T+86</v>
      </c>
      <c r="CQ630" s="750" t="str">
        <f t="shared" si="50"/>
        <v>T+87</v>
      </c>
      <c r="CR630" s="750" t="str">
        <f t="shared" si="50"/>
        <v>T+88</v>
      </c>
      <c r="CS630" s="750" t="str">
        <f t="shared" si="50"/>
        <v>T+89</v>
      </c>
      <c r="CT630" s="750" t="str">
        <f t="shared" si="50"/>
        <v>T+90</v>
      </c>
      <c r="CU630" s="750" t="str">
        <f t="shared" si="50"/>
        <v>T+91</v>
      </c>
      <c r="CV630" s="750" t="str">
        <f t="shared" si="50"/>
        <v>T+92</v>
      </c>
      <c r="CW630" s="750" t="str">
        <f t="shared" si="50"/>
        <v>T+93</v>
      </c>
      <c r="CX630" s="750" t="str">
        <f t="shared" si="50"/>
        <v>T+94</v>
      </c>
      <c r="CY630" s="750" t="str">
        <f t="shared" si="50"/>
        <v>T+95</v>
      </c>
      <c r="CZ630" s="750" t="str">
        <f t="shared" si="50"/>
        <v>T+96</v>
      </c>
      <c r="DA630" s="750" t="str">
        <f t="shared" si="50"/>
        <v>T+97</v>
      </c>
      <c r="DB630" s="750" t="str">
        <f t="shared" si="50"/>
        <v>T+98</v>
      </c>
      <c r="DC630" s="750" t="str">
        <f t="shared" si="50"/>
        <v>T+99</v>
      </c>
      <c r="DD630" s="750" t="str">
        <f t="shared" si="50"/>
        <v>T+100</v>
      </c>
      <c r="DE630" s="750" t="str">
        <f t="shared" si="50"/>
        <v>T+101</v>
      </c>
      <c r="DF630" s="750" t="str">
        <f t="shared" si="50"/>
        <v>T+102</v>
      </c>
      <c r="DG630" s="750" t="str">
        <f t="shared" si="50"/>
        <v>T+103</v>
      </c>
      <c r="DH630" s="750" t="str">
        <f t="shared" si="50"/>
        <v>T+104</v>
      </c>
      <c r="DI630" s="750" t="str">
        <f t="shared" si="50"/>
        <v>T+105</v>
      </c>
      <c r="DJ630" s="750" t="str">
        <f t="shared" si="50"/>
        <v>T+106</v>
      </c>
      <c r="DK630" s="750" t="str">
        <f t="shared" si="50"/>
        <v>T+107</v>
      </c>
      <c r="DL630" s="750" t="str">
        <f t="shared" si="50"/>
        <v>T+108</v>
      </c>
      <c r="DM630" s="750" t="str">
        <f t="shared" si="50"/>
        <v>T+109</v>
      </c>
      <c r="DN630" s="750" t="str">
        <f t="shared" si="50"/>
        <v>T+110</v>
      </c>
      <c r="DO630" s="750" t="str">
        <f t="shared" si="50"/>
        <v>T+111</v>
      </c>
      <c r="DP630" s="750" t="str">
        <f t="shared" si="50"/>
        <v>T+112</v>
      </c>
      <c r="DQ630" s="750" t="str">
        <f t="shared" si="50"/>
        <v>T+113</v>
      </c>
      <c r="DR630" s="750" t="str">
        <f t="shared" si="50"/>
        <v>T+114</v>
      </c>
      <c r="DS630" s="750" t="str">
        <f t="shared" si="50"/>
        <v>T+115</v>
      </c>
      <c r="DT630" s="750" t="str">
        <f t="shared" si="50"/>
        <v>T+116</v>
      </c>
      <c r="DU630" s="750" t="str">
        <f t="shared" si="50"/>
        <v>T+117</v>
      </c>
      <c r="DV630" s="750" t="str">
        <f t="shared" si="50"/>
        <v>T+118</v>
      </c>
      <c r="DW630" s="750" t="str">
        <f t="shared" si="50"/>
        <v>T+119</v>
      </c>
      <c r="DX630" s="750" t="str">
        <f t="shared" si="50"/>
        <v>T+120</v>
      </c>
      <c r="DY630" s="750" t="str">
        <f t="shared" si="50"/>
        <v>T+121</v>
      </c>
      <c r="DZ630" s="750" t="str">
        <f t="shared" si="50"/>
        <v>T+122</v>
      </c>
      <c r="EA630" s="750" t="str">
        <f t="shared" si="50"/>
        <v>T+123</v>
      </c>
      <c r="EB630" s="750" t="str">
        <f t="shared" si="50"/>
        <v>T+124</v>
      </c>
      <c r="EC630" s="750" t="str">
        <f t="shared" si="50"/>
        <v>T+125</v>
      </c>
      <c r="ED630" s="750" t="str">
        <f t="shared" si="50"/>
        <v>T+126</v>
      </c>
      <c r="EE630" s="750" t="str">
        <f t="shared" si="50"/>
        <v>T+127</v>
      </c>
      <c r="EF630" s="750" t="str">
        <f t="shared" si="50"/>
        <v>T+128</v>
      </c>
      <c r="EG630" s="750" t="str">
        <f t="shared" ref="EG630:GR630" si="51">"T+" &amp; (COLUMN(EG630)-COLUMN($H630))</f>
        <v>T+129</v>
      </c>
      <c r="EH630" s="750" t="str">
        <f t="shared" si="51"/>
        <v>T+130</v>
      </c>
      <c r="EI630" s="750" t="str">
        <f t="shared" si="51"/>
        <v>T+131</v>
      </c>
      <c r="EJ630" s="750" t="str">
        <f t="shared" si="51"/>
        <v>T+132</v>
      </c>
      <c r="EK630" s="750" t="str">
        <f t="shared" si="51"/>
        <v>T+133</v>
      </c>
      <c r="EL630" s="750" t="str">
        <f t="shared" si="51"/>
        <v>T+134</v>
      </c>
      <c r="EM630" s="750" t="str">
        <f t="shared" si="51"/>
        <v>T+135</v>
      </c>
      <c r="EN630" s="750" t="str">
        <f t="shared" si="51"/>
        <v>T+136</v>
      </c>
      <c r="EO630" s="750" t="str">
        <f t="shared" si="51"/>
        <v>T+137</v>
      </c>
      <c r="EP630" s="750" t="str">
        <f t="shared" si="51"/>
        <v>T+138</v>
      </c>
      <c r="EQ630" s="750" t="str">
        <f t="shared" si="51"/>
        <v>T+139</v>
      </c>
      <c r="ER630" s="750" t="str">
        <f t="shared" si="51"/>
        <v>T+140</v>
      </c>
      <c r="ES630" s="750" t="str">
        <f t="shared" si="51"/>
        <v>T+141</v>
      </c>
      <c r="ET630" s="750" t="str">
        <f t="shared" si="51"/>
        <v>T+142</v>
      </c>
      <c r="EU630" s="750" t="str">
        <f t="shared" si="51"/>
        <v>T+143</v>
      </c>
      <c r="EV630" s="750" t="str">
        <f t="shared" si="51"/>
        <v>T+144</v>
      </c>
      <c r="EW630" s="750" t="str">
        <f t="shared" si="51"/>
        <v>T+145</v>
      </c>
      <c r="EX630" s="750" t="str">
        <f t="shared" si="51"/>
        <v>T+146</v>
      </c>
      <c r="EY630" s="750" t="str">
        <f t="shared" si="51"/>
        <v>T+147</v>
      </c>
      <c r="EZ630" s="750" t="str">
        <f t="shared" si="51"/>
        <v>T+148</v>
      </c>
      <c r="FA630" s="750" t="str">
        <f t="shared" si="51"/>
        <v>T+149</v>
      </c>
      <c r="FB630" s="750" t="str">
        <f t="shared" si="51"/>
        <v>T+150</v>
      </c>
      <c r="FC630" s="750" t="str">
        <f t="shared" si="51"/>
        <v>T+151</v>
      </c>
      <c r="FD630" s="750" t="str">
        <f t="shared" si="51"/>
        <v>T+152</v>
      </c>
      <c r="FE630" s="750" t="str">
        <f t="shared" si="51"/>
        <v>T+153</v>
      </c>
      <c r="FF630" s="750" t="str">
        <f t="shared" si="51"/>
        <v>T+154</v>
      </c>
      <c r="FG630" s="750" t="str">
        <f t="shared" si="51"/>
        <v>T+155</v>
      </c>
      <c r="FH630" s="750" t="str">
        <f t="shared" si="51"/>
        <v>T+156</v>
      </c>
      <c r="FI630" s="750" t="str">
        <f t="shared" si="51"/>
        <v>T+157</v>
      </c>
      <c r="FJ630" s="750" t="str">
        <f t="shared" si="51"/>
        <v>T+158</v>
      </c>
      <c r="FK630" s="750" t="str">
        <f t="shared" si="51"/>
        <v>T+159</v>
      </c>
      <c r="FL630" s="750" t="str">
        <f t="shared" si="51"/>
        <v>T+160</v>
      </c>
      <c r="FM630" s="750" t="str">
        <f t="shared" si="51"/>
        <v>T+161</v>
      </c>
      <c r="FN630" s="750" t="str">
        <f t="shared" si="51"/>
        <v>T+162</v>
      </c>
      <c r="FO630" s="750" t="str">
        <f t="shared" si="51"/>
        <v>T+163</v>
      </c>
      <c r="FP630" s="750" t="str">
        <f t="shared" si="51"/>
        <v>T+164</v>
      </c>
      <c r="FQ630" s="750" t="str">
        <f t="shared" si="51"/>
        <v>T+165</v>
      </c>
      <c r="FR630" s="750" t="str">
        <f t="shared" si="51"/>
        <v>T+166</v>
      </c>
      <c r="FS630" s="750" t="str">
        <f t="shared" si="51"/>
        <v>T+167</v>
      </c>
      <c r="FT630" s="750" t="str">
        <f t="shared" si="51"/>
        <v>T+168</v>
      </c>
      <c r="FU630" s="750" t="str">
        <f t="shared" si="51"/>
        <v>T+169</v>
      </c>
      <c r="FV630" s="750" t="str">
        <f t="shared" si="51"/>
        <v>T+170</v>
      </c>
      <c r="FW630" s="750" t="str">
        <f t="shared" si="51"/>
        <v>T+171</v>
      </c>
      <c r="FX630" s="750" t="str">
        <f t="shared" si="51"/>
        <v>T+172</v>
      </c>
      <c r="FY630" s="750" t="str">
        <f t="shared" si="51"/>
        <v>T+173</v>
      </c>
      <c r="FZ630" s="750" t="str">
        <f t="shared" si="51"/>
        <v>T+174</v>
      </c>
      <c r="GA630" s="750" t="str">
        <f t="shared" si="51"/>
        <v>T+175</v>
      </c>
      <c r="GB630" s="750" t="str">
        <f t="shared" si="51"/>
        <v>T+176</v>
      </c>
      <c r="GC630" s="750" t="str">
        <f t="shared" si="51"/>
        <v>T+177</v>
      </c>
      <c r="GD630" s="750" t="str">
        <f t="shared" si="51"/>
        <v>T+178</v>
      </c>
      <c r="GE630" s="750" t="str">
        <f t="shared" si="51"/>
        <v>T+179</v>
      </c>
      <c r="GF630" s="750" t="str">
        <f t="shared" si="51"/>
        <v>T+180</v>
      </c>
      <c r="GG630" s="750" t="str">
        <f t="shared" si="51"/>
        <v>T+181</v>
      </c>
      <c r="GH630" s="750" t="str">
        <f t="shared" si="51"/>
        <v>T+182</v>
      </c>
      <c r="GI630" s="750" t="str">
        <f t="shared" si="51"/>
        <v>T+183</v>
      </c>
      <c r="GJ630" s="750" t="str">
        <f t="shared" si="51"/>
        <v>T+184</v>
      </c>
      <c r="GK630" s="750" t="str">
        <f t="shared" si="51"/>
        <v>T+185</v>
      </c>
      <c r="GL630" s="750" t="str">
        <f t="shared" si="51"/>
        <v>T+186</v>
      </c>
      <c r="GM630" s="750" t="str">
        <f t="shared" si="51"/>
        <v>T+187</v>
      </c>
      <c r="GN630" s="750" t="str">
        <f t="shared" si="51"/>
        <v>T+188</v>
      </c>
      <c r="GO630" s="750" t="str">
        <f t="shared" si="51"/>
        <v>T+189</v>
      </c>
      <c r="GP630" s="750" t="str">
        <f t="shared" si="51"/>
        <v>T+190</v>
      </c>
      <c r="GQ630" s="750" t="str">
        <f t="shared" si="51"/>
        <v>T+191</v>
      </c>
      <c r="GR630" s="750" t="str">
        <f t="shared" si="51"/>
        <v>T+192</v>
      </c>
      <c r="GS630" s="750" t="str">
        <f t="shared" ref="GS630:JD630" si="52">"T+" &amp; (COLUMN(GS630)-COLUMN($H630))</f>
        <v>T+193</v>
      </c>
      <c r="GT630" s="750" t="str">
        <f t="shared" si="52"/>
        <v>T+194</v>
      </c>
      <c r="GU630" s="750" t="str">
        <f t="shared" si="52"/>
        <v>T+195</v>
      </c>
      <c r="GV630" s="750" t="str">
        <f t="shared" si="52"/>
        <v>T+196</v>
      </c>
      <c r="GW630" s="750" t="str">
        <f t="shared" si="52"/>
        <v>T+197</v>
      </c>
      <c r="GX630" s="750" t="str">
        <f t="shared" si="52"/>
        <v>T+198</v>
      </c>
      <c r="GY630" s="750" t="str">
        <f t="shared" si="52"/>
        <v>T+199</v>
      </c>
      <c r="GZ630" s="750" t="str">
        <f t="shared" si="52"/>
        <v>T+200</v>
      </c>
      <c r="HA630" s="750" t="str">
        <f t="shared" si="52"/>
        <v>T+201</v>
      </c>
      <c r="HB630" s="750" t="str">
        <f t="shared" si="52"/>
        <v>T+202</v>
      </c>
      <c r="HC630" s="750" t="str">
        <f t="shared" si="52"/>
        <v>T+203</v>
      </c>
      <c r="HD630" s="750" t="str">
        <f t="shared" si="52"/>
        <v>T+204</v>
      </c>
      <c r="HE630" s="750" t="str">
        <f t="shared" si="52"/>
        <v>T+205</v>
      </c>
      <c r="HF630" s="750" t="str">
        <f t="shared" si="52"/>
        <v>T+206</v>
      </c>
      <c r="HG630" s="750" t="str">
        <f t="shared" si="52"/>
        <v>T+207</v>
      </c>
      <c r="HH630" s="750" t="str">
        <f t="shared" si="52"/>
        <v>T+208</v>
      </c>
      <c r="HI630" s="750" t="str">
        <f t="shared" si="52"/>
        <v>T+209</v>
      </c>
      <c r="HJ630" s="750" t="str">
        <f t="shared" si="52"/>
        <v>T+210</v>
      </c>
      <c r="HK630" s="750" t="str">
        <f t="shared" si="52"/>
        <v>T+211</v>
      </c>
      <c r="HL630" s="750" t="str">
        <f t="shared" si="52"/>
        <v>T+212</v>
      </c>
      <c r="HM630" s="750" t="str">
        <f t="shared" si="52"/>
        <v>T+213</v>
      </c>
      <c r="HN630" s="750" t="str">
        <f t="shared" si="52"/>
        <v>T+214</v>
      </c>
      <c r="HO630" s="750" t="str">
        <f t="shared" si="52"/>
        <v>T+215</v>
      </c>
      <c r="HP630" s="750" t="str">
        <f t="shared" si="52"/>
        <v>T+216</v>
      </c>
      <c r="HQ630" s="750" t="str">
        <f t="shared" si="52"/>
        <v>T+217</v>
      </c>
      <c r="HR630" s="750" t="str">
        <f t="shared" si="52"/>
        <v>T+218</v>
      </c>
      <c r="HS630" s="750" t="str">
        <f t="shared" si="52"/>
        <v>T+219</v>
      </c>
      <c r="HT630" s="750" t="str">
        <f t="shared" si="52"/>
        <v>T+220</v>
      </c>
      <c r="HU630" s="750" t="str">
        <f t="shared" si="52"/>
        <v>T+221</v>
      </c>
      <c r="HV630" s="750" t="str">
        <f t="shared" si="52"/>
        <v>T+222</v>
      </c>
      <c r="HW630" s="750" t="str">
        <f t="shared" si="52"/>
        <v>T+223</v>
      </c>
      <c r="HX630" s="750" t="str">
        <f t="shared" si="52"/>
        <v>T+224</v>
      </c>
      <c r="HY630" s="750" t="str">
        <f t="shared" si="52"/>
        <v>T+225</v>
      </c>
      <c r="HZ630" s="750" t="str">
        <f t="shared" si="52"/>
        <v>T+226</v>
      </c>
      <c r="IA630" s="750" t="str">
        <f t="shared" si="52"/>
        <v>T+227</v>
      </c>
      <c r="IB630" s="750" t="str">
        <f t="shared" si="52"/>
        <v>T+228</v>
      </c>
      <c r="IC630" s="750" t="str">
        <f t="shared" si="52"/>
        <v>T+229</v>
      </c>
      <c r="ID630" s="750" t="str">
        <f t="shared" si="52"/>
        <v>T+230</v>
      </c>
      <c r="IE630" s="750" t="str">
        <f t="shared" si="52"/>
        <v>T+231</v>
      </c>
      <c r="IF630" s="750" t="str">
        <f t="shared" si="52"/>
        <v>T+232</v>
      </c>
      <c r="IG630" s="750" t="str">
        <f t="shared" si="52"/>
        <v>T+233</v>
      </c>
      <c r="IH630" s="750" t="str">
        <f t="shared" si="52"/>
        <v>T+234</v>
      </c>
      <c r="II630" s="750" t="str">
        <f t="shared" si="52"/>
        <v>T+235</v>
      </c>
      <c r="IJ630" s="750" t="str">
        <f t="shared" si="52"/>
        <v>T+236</v>
      </c>
      <c r="IK630" s="750" t="str">
        <f t="shared" si="52"/>
        <v>T+237</v>
      </c>
      <c r="IL630" s="750" t="str">
        <f t="shared" si="52"/>
        <v>T+238</v>
      </c>
      <c r="IM630" s="750" t="str">
        <f t="shared" si="52"/>
        <v>T+239</v>
      </c>
      <c r="IN630" s="750" t="str">
        <f t="shared" si="52"/>
        <v>T+240</v>
      </c>
      <c r="IO630" s="750" t="str">
        <f t="shared" si="52"/>
        <v>T+241</v>
      </c>
      <c r="IP630" s="750" t="str">
        <f t="shared" si="52"/>
        <v>T+242</v>
      </c>
      <c r="IQ630" s="750" t="str">
        <f t="shared" si="52"/>
        <v>T+243</v>
      </c>
      <c r="IR630" s="750" t="str">
        <f t="shared" si="52"/>
        <v>T+244</v>
      </c>
      <c r="IS630" s="750" t="str">
        <f t="shared" si="52"/>
        <v>T+245</v>
      </c>
      <c r="IT630" s="750" t="str">
        <f t="shared" si="52"/>
        <v>T+246</v>
      </c>
      <c r="IU630" s="750" t="str">
        <f t="shared" si="52"/>
        <v>T+247</v>
      </c>
      <c r="IV630" s="750" t="str">
        <f t="shared" si="52"/>
        <v>T+248</v>
      </c>
      <c r="IW630" s="750" t="str">
        <f t="shared" si="52"/>
        <v>T+249</v>
      </c>
      <c r="IX630" s="750" t="str">
        <f t="shared" si="52"/>
        <v>T+250</v>
      </c>
      <c r="IY630" s="750" t="str">
        <f t="shared" si="52"/>
        <v>T+251</v>
      </c>
      <c r="IZ630" s="750" t="str">
        <f t="shared" si="52"/>
        <v>T+252</v>
      </c>
      <c r="JA630" s="750" t="str">
        <f t="shared" si="52"/>
        <v>T+253</v>
      </c>
      <c r="JB630" s="750" t="str">
        <f t="shared" si="52"/>
        <v>T+254</v>
      </c>
      <c r="JC630" s="750" t="str">
        <f t="shared" si="52"/>
        <v>T+255</v>
      </c>
      <c r="JD630" s="750" t="str">
        <f t="shared" si="52"/>
        <v>T+256</v>
      </c>
      <c r="JE630" s="750" t="str">
        <f t="shared" ref="JE630:KB630" si="53">"T+" &amp; (COLUMN(JE630)-COLUMN($H630))</f>
        <v>T+257</v>
      </c>
      <c r="JF630" s="750" t="str">
        <f t="shared" si="53"/>
        <v>T+258</v>
      </c>
      <c r="JG630" s="750" t="str">
        <f t="shared" si="53"/>
        <v>T+259</v>
      </c>
      <c r="JH630" s="750" t="str">
        <f t="shared" si="53"/>
        <v>T+260</v>
      </c>
      <c r="JI630" s="750" t="str">
        <f t="shared" si="53"/>
        <v>T+261</v>
      </c>
      <c r="JJ630" s="750" t="str">
        <f t="shared" si="53"/>
        <v>T+262</v>
      </c>
      <c r="JK630" s="750" t="str">
        <f t="shared" si="53"/>
        <v>T+263</v>
      </c>
      <c r="JL630" s="750" t="str">
        <f t="shared" si="53"/>
        <v>T+264</v>
      </c>
      <c r="JM630" s="750" t="str">
        <f t="shared" si="53"/>
        <v>T+265</v>
      </c>
      <c r="JN630" s="750" t="str">
        <f t="shared" si="53"/>
        <v>T+266</v>
      </c>
      <c r="JO630" s="750" t="str">
        <f t="shared" si="53"/>
        <v>T+267</v>
      </c>
      <c r="JP630" s="750" t="str">
        <f t="shared" si="53"/>
        <v>T+268</v>
      </c>
      <c r="JQ630" s="750" t="str">
        <f t="shared" si="53"/>
        <v>T+269</v>
      </c>
      <c r="JR630" s="750" t="str">
        <f t="shared" si="53"/>
        <v>T+270</v>
      </c>
      <c r="JS630" s="750" t="str">
        <f t="shared" si="53"/>
        <v>T+271</v>
      </c>
      <c r="JT630" s="750" t="str">
        <f t="shared" si="53"/>
        <v>T+272</v>
      </c>
      <c r="JU630" s="750" t="str">
        <f t="shared" si="53"/>
        <v>T+273</v>
      </c>
      <c r="JV630" s="750" t="str">
        <f t="shared" si="53"/>
        <v>T+274</v>
      </c>
      <c r="JW630" s="750" t="str">
        <f t="shared" si="53"/>
        <v>T+275</v>
      </c>
      <c r="JX630" s="750" t="str">
        <f t="shared" si="53"/>
        <v>T+276</v>
      </c>
      <c r="JY630" s="750" t="str">
        <f t="shared" si="53"/>
        <v>T+277</v>
      </c>
      <c r="JZ630" s="750" t="str">
        <f t="shared" si="53"/>
        <v>T+278</v>
      </c>
      <c r="KA630" s="750" t="str">
        <f t="shared" si="53"/>
        <v>T+279</v>
      </c>
      <c r="KB630" s="750" t="str">
        <f t="shared" si="53"/>
        <v>T+280</v>
      </c>
    </row>
    <row r="631" spans="1:288" ht="15" customHeight="1" x14ac:dyDescent="0.35">
      <c r="B631" s="686" t="str">
        <f t="shared" ref="B631:B662" si="54">B11</f>
        <v>Desk 1</v>
      </c>
      <c r="C631" s="1828" t="str">
        <f t="array" ref="C631:D730" xml:space="preserve"> IF(ISBLANK(TB!C$170:'TB'!D$269), "", TB!C$170:'TB'!D$269)</f>
        <v/>
      </c>
      <c r="D631" s="1828" t="str">
        <v/>
      </c>
      <c r="E631" s="1828" t="str">
        <f t="array" ref="E631:E730" xml:space="preserve"> IF(ISBLANK(TB!G$170:'TB'!G$269), "", TB!G$170:'TB'!G$269)</f>
        <v/>
      </c>
      <c r="F631" s="1828" t="str">
        <f t="array" ref="F631:F730" xml:space="preserve"> IF(ISBLANK(TB!I$170:'TB'!I$269), "", TB!I$170:'TB'!I$269)</f>
        <v/>
      </c>
      <c r="G631" s="268" t="str">
        <f t="array" ref="G631:G730" xml:space="preserve"> IF(ISBLANK(TB!J$170:'TB'!J$269), "", TB!J$170:'TB'!J$269)</f>
        <v/>
      </c>
      <c r="H631" s="1097"/>
      <c r="I631" s="1097"/>
      <c r="J631" s="1097"/>
      <c r="K631" s="1097"/>
      <c r="L631" s="1097"/>
      <c r="M631" s="1097"/>
      <c r="N631" s="1097"/>
      <c r="O631" s="1097"/>
      <c r="P631" s="1097"/>
      <c r="Q631" s="1097"/>
      <c r="R631" s="1097"/>
      <c r="S631" s="1097"/>
      <c r="T631" s="1097"/>
      <c r="U631" s="1097"/>
      <c r="V631" s="1097"/>
      <c r="W631" s="1097"/>
      <c r="X631" s="1097"/>
      <c r="Y631" s="1097"/>
      <c r="Z631" s="1097"/>
      <c r="AA631" s="1097"/>
      <c r="AB631" s="1097"/>
      <c r="AC631" s="1097"/>
      <c r="AD631" s="1097"/>
      <c r="AE631" s="1097"/>
      <c r="AF631" s="1097"/>
      <c r="AG631" s="1097"/>
      <c r="AH631" s="1097"/>
      <c r="AI631" s="1097"/>
      <c r="AJ631" s="1097"/>
      <c r="AK631" s="1097"/>
      <c r="AL631" s="1097"/>
      <c r="AM631" s="1097"/>
      <c r="AN631" s="1097"/>
      <c r="AO631" s="1097"/>
      <c r="AP631" s="1097"/>
      <c r="AQ631" s="1097"/>
      <c r="AR631" s="1097"/>
      <c r="AS631" s="1097"/>
      <c r="AT631" s="1097"/>
      <c r="AU631" s="1097"/>
      <c r="AV631" s="1097"/>
      <c r="AW631" s="1097"/>
      <c r="AX631" s="1097"/>
      <c r="AY631" s="1097"/>
      <c r="AZ631" s="1097"/>
      <c r="BA631" s="1097"/>
      <c r="BB631" s="1097"/>
      <c r="BC631" s="1097"/>
      <c r="BD631" s="1097"/>
      <c r="BE631" s="1097"/>
      <c r="BF631" s="1097"/>
      <c r="BG631" s="1097"/>
      <c r="BH631" s="1097"/>
      <c r="BI631" s="1097"/>
      <c r="BJ631" s="1097"/>
      <c r="BK631" s="1097"/>
      <c r="BL631" s="1097"/>
      <c r="BM631" s="1097"/>
      <c r="BN631" s="1097"/>
      <c r="BO631" s="1097"/>
      <c r="BP631" s="1097"/>
      <c r="BQ631" s="1097"/>
      <c r="BR631" s="1097"/>
      <c r="BS631" s="1097"/>
      <c r="BT631" s="1097"/>
      <c r="BU631" s="1097"/>
      <c r="BV631" s="1097"/>
      <c r="BW631" s="1097"/>
      <c r="BX631" s="1097"/>
      <c r="BY631" s="1097"/>
      <c r="BZ631" s="1097"/>
      <c r="CA631" s="1097"/>
      <c r="CB631" s="1097"/>
      <c r="CC631" s="1097"/>
      <c r="CD631" s="1097"/>
      <c r="CE631" s="1097"/>
      <c r="CF631" s="1097"/>
      <c r="CG631" s="1097"/>
      <c r="CH631" s="1097"/>
      <c r="CI631" s="1097"/>
      <c r="CJ631" s="1097"/>
      <c r="CK631" s="1097"/>
      <c r="CL631" s="1097"/>
      <c r="CM631" s="1097"/>
      <c r="CN631" s="1097"/>
      <c r="CO631" s="1097"/>
      <c r="CP631" s="1097"/>
      <c r="CQ631" s="1097"/>
      <c r="CR631" s="1097"/>
      <c r="CS631" s="1097"/>
      <c r="CT631" s="1097"/>
      <c r="CU631" s="1097"/>
      <c r="CV631" s="1097"/>
      <c r="CW631" s="1097"/>
      <c r="CX631" s="1097"/>
      <c r="CY631" s="1097"/>
      <c r="CZ631" s="1097"/>
      <c r="DA631" s="1097"/>
      <c r="DB631" s="1097"/>
      <c r="DC631" s="1097"/>
      <c r="DD631" s="1097"/>
      <c r="DE631" s="1097"/>
      <c r="DF631" s="1097"/>
      <c r="DG631" s="1097"/>
      <c r="DH631" s="1097"/>
      <c r="DI631" s="1097"/>
      <c r="DJ631" s="1097"/>
      <c r="DK631" s="1097"/>
      <c r="DL631" s="1097"/>
      <c r="DM631" s="1097"/>
      <c r="DN631" s="1097"/>
      <c r="DO631" s="1097"/>
      <c r="DP631" s="1097"/>
      <c r="DQ631" s="1097"/>
      <c r="DR631" s="1097"/>
      <c r="DS631" s="1097"/>
      <c r="DT631" s="1097"/>
      <c r="DU631" s="1097"/>
      <c r="DV631" s="1097"/>
      <c r="DW631" s="1097"/>
      <c r="DX631" s="1097"/>
      <c r="DY631" s="1097"/>
      <c r="DZ631" s="1097"/>
      <c r="EA631" s="1097"/>
      <c r="EB631" s="1097"/>
      <c r="EC631" s="1097"/>
      <c r="ED631" s="1097"/>
      <c r="EE631" s="1097"/>
      <c r="EF631" s="1097"/>
      <c r="EG631" s="1097"/>
      <c r="EH631" s="1097"/>
      <c r="EI631" s="1097"/>
      <c r="EJ631" s="1097"/>
      <c r="EK631" s="1097"/>
      <c r="EL631" s="1097"/>
      <c r="EM631" s="1097"/>
      <c r="EN631" s="1097"/>
      <c r="EO631" s="1097"/>
      <c r="EP631" s="1097"/>
      <c r="EQ631" s="1097"/>
      <c r="ER631" s="1097"/>
      <c r="ES631" s="1097"/>
      <c r="ET631" s="1097"/>
      <c r="EU631" s="1097"/>
      <c r="EV631" s="1097"/>
      <c r="EW631" s="1097"/>
      <c r="EX631" s="1097"/>
      <c r="EY631" s="1097"/>
      <c r="EZ631" s="1097"/>
      <c r="FA631" s="1097"/>
      <c r="FB631" s="1097"/>
      <c r="FC631" s="1097"/>
      <c r="FD631" s="1097"/>
      <c r="FE631" s="1097"/>
      <c r="FF631" s="1097"/>
      <c r="FG631" s="1097"/>
      <c r="FH631" s="1097"/>
      <c r="FI631" s="1097"/>
      <c r="FJ631" s="1097"/>
      <c r="FK631" s="1097"/>
      <c r="FL631" s="1097"/>
      <c r="FM631" s="1097"/>
      <c r="FN631" s="1097"/>
      <c r="FO631" s="1097"/>
      <c r="FP631" s="1097"/>
      <c r="FQ631" s="1097"/>
      <c r="FR631" s="1097"/>
      <c r="FS631" s="1097"/>
      <c r="FT631" s="1097"/>
      <c r="FU631" s="1097"/>
      <c r="FV631" s="1097"/>
      <c r="FW631" s="1097"/>
      <c r="FX631" s="1097"/>
      <c r="FY631" s="1097"/>
      <c r="FZ631" s="1097"/>
      <c r="GA631" s="1097"/>
      <c r="GB631" s="1097"/>
      <c r="GC631" s="1097"/>
      <c r="GD631" s="1097"/>
      <c r="GE631" s="1097"/>
      <c r="GF631" s="1097"/>
      <c r="GG631" s="1097"/>
      <c r="GH631" s="1097"/>
      <c r="GI631" s="1097"/>
      <c r="GJ631" s="1097"/>
      <c r="GK631" s="1097"/>
      <c r="GL631" s="1097"/>
      <c r="GM631" s="1097"/>
      <c r="GN631" s="1097"/>
      <c r="GO631" s="1097"/>
      <c r="GP631" s="1097"/>
      <c r="GQ631" s="1097"/>
      <c r="GR631" s="1097"/>
      <c r="GS631" s="1097"/>
      <c r="GT631" s="1097"/>
      <c r="GU631" s="1097"/>
      <c r="GV631" s="1097"/>
      <c r="GW631" s="1097"/>
      <c r="GX631" s="1097"/>
      <c r="GY631" s="1097"/>
      <c r="GZ631" s="1097"/>
      <c r="HA631" s="1097"/>
      <c r="HB631" s="1097"/>
      <c r="HC631" s="1097"/>
      <c r="HD631" s="1097"/>
      <c r="HE631" s="1097"/>
      <c r="HF631" s="1097"/>
      <c r="HG631" s="1097"/>
      <c r="HH631" s="1097"/>
      <c r="HI631" s="1097"/>
      <c r="HJ631" s="1097"/>
      <c r="HK631" s="1097"/>
      <c r="HL631" s="1097"/>
      <c r="HM631" s="1097"/>
      <c r="HN631" s="1097"/>
      <c r="HO631" s="1097"/>
      <c r="HP631" s="1097"/>
      <c r="HQ631" s="1097"/>
      <c r="HR631" s="1097"/>
      <c r="HS631" s="1097"/>
      <c r="HT631" s="1097"/>
      <c r="HU631" s="1097"/>
      <c r="HV631" s="1097"/>
      <c r="HW631" s="1097"/>
      <c r="HX631" s="1097"/>
      <c r="HY631" s="1097"/>
      <c r="HZ631" s="1097"/>
      <c r="IA631" s="1097"/>
      <c r="IB631" s="1097"/>
      <c r="IC631" s="1097"/>
      <c r="ID631" s="1097"/>
      <c r="IE631" s="1097"/>
      <c r="IF631" s="1097"/>
      <c r="IG631" s="1097"/>
      <c r="IH631" s="1097"/>
      <c r="II631" s="1097"/>
      <c r="IJ631" s="1097"/>
      <c r="IK631" s="1097"/>
      <c r="IL631" s="1097"/>
      <c r="IM631" s="1097"/>
      <c r="IN631" s="1097"/>
      <c r="IO631" s="1097"/>
      <c r="IP631" s="1097"/>
      <c r="IQ631" s="1097"/>
      <c r="IR631" s="1097"/>
      <c r="IS631" s="1097"/>
      <c r="IT631" s="1097"/>
      <c r="IU631" s="1097"/>
      <c r="IV631" s="1097"/>
      <c r="IW631" s="1097"/>
      <c r="IX631" s="1097"/>
      <c r="IY631" s="1097"/>
      <c r="IZ631" s="1097"/>
      <c r="JA631" s="1097"/>
      <c r="JB631" s="1097"/>
      <c r="JC631" s="1097"/>
      <c r="JD631" s="1097"/>
      <c r="JE631" s="1097"/>
      <c r="JF631" s="1097"/>
      <c r="JG631" s="1097"/>
      <c r="JH631" s="1097"/>
      <c r="JI631" s="1097"/>
      <c r="JJ631" s="1097"/>
      <c r="JK631" s="1097"/>
      <c r="JL631" s="1097"/>
      <c r="JM631" s="1097"/>
      <c r="JN631" s="1097"/>
      <c r="JO631" s="1097"/>
      <c r="JP631" s="1097"/>
      <c r="JQ631" s="1097"/>
      <c r="JR631" s="1097"/>
      <c r="JS631" s="1097"/>
      <c r="JT631" s="1097"/>
      <c r="JU631" s="1097"/>
      <c r="JV631" s="1097"/>
      <c r="JW631" s="1097"/>
      <c r="JX631" s="1097"/>
      <c r="JY631" s="1097"/>
      <c r="JZ631" s="1097"/>
      <c r="KA631" s="1097"/>
      <c r="KB631" s="1833"/>
    </row>
    <row r="632" spans="1:288" ht="15" customHeight="1" x14ac:dyDescent="0.35">
      <c r="B632" s="146" t="str">
        <f t="shared" si="54"/>
        <v>Desk 2</v>
      </c>
      <c r="C632" s="148" t="str">
        <v/>
      </c>
      <c r="D632" s="148" t="str">
        <v/>
      </c>
      <c r="E632" s="148" t="str">
        <v/>
      </c>
      <c r="F632" s="148" t="str">
        <v/>
      </c>
      <c r="G632" s="268" t="str">
        <v/>
      </c>
      <c r="H632" s="1098"/>
      <c r="I632" s="1098"/>
      <c r="J632" s="1098"/>
      <c r="K632" s="1098"/>
      <c r="L632" s="1098"/>
      <c r="M632" s="1098"/>
      <c r="N632" s="1098"/>
      <c r="O632" s="1098"/>
      <c r="P632" s="1098"/>
      <c r="Q632" s="1098"/>
      <c r="R632" s="1098"/>
      <c r="S632" s="1098"/>
      <c r="T632" s="1098"/>
      <c r="U632" s="1098"/>
      <c r="V632" s="1098"/>
      <c r="W632" s="1098"/>
      <c r="X632" s="1098"/>
      <c r="Y632" s="1098"/>
      <c r="Z632" s="1098"/>
      <c r="AA632" s="1098"/>
      <c r="AB632" s="1098"/>
      <c r="AC632" s="1098"/>
      <c r="AD632" s="1098"/>
      <c r="AE632" s="1098"/>
      <c r="AF632" s="1098"/>
      <c r="AG632" s="1098"/>
      <c r="AH632" s="1098"/>
      <c r="AI632" s="1098"/>
      <c r="AJ632" s="1098"/>
      <c r="AK632" s="1098"/>
      <c r="AL632" s="1098"/>
      <c r="AM632" s="1098"/>
      <c r="AN632" s="1098"/>
      <c r="AO632" s="1098"/>
      <c r="AP632" s="1098"/>
      <c r="AQ632" s="1098"/>
      <c r="AR632" s="1098"/>
      <c r="AS632" s="1098"/>
      <c r="AT632" s="1098"/>
      <c r="AU632" s="1098"/>
      <c r="AV632" s="1098"/>
      <c r="AW632" s="1098"/>
      <c r="AX632" s="1098"/>
      <c r="AY632" s="1098"/>
      <c r="AZ632" s="1098"/>
      <c r="BA632" s="1098"/>
      <c r="BB632" s="1098"/>
      <c r="BC632" s="1098"/>
      <c r="BD632" s="1098"/>
      <c r="BE632" s="1098"/>
      <c r="BF632" s="1098"/>
      <c r="BG632" s="1098"/>
      <c r="BH632" s="1098"/>
      <c r="BI632" s="1098"/>
      <c r="BJ632" s="1098"/>
      <c r="BK632" s="1098"/>
      <c r="BL632" s="1098"/>
      <c r="BM632" s="1098"/>
      <c r="BN632" s="1098"/>
      <c r="BO632" s="1098"/>
      <c r="BP632" s="1098"/>
      <c r="BQ632" s="1098"/>
      <c r="BR632" s="1098"/>
      <c r="BS632" s="1098"/>
      <c r="BT632" s="1098"/>
      <c r="BU632" s="1098"/>
      <c r="BV632" s="1098"/>
      <c r="BW632" s="1098"/>
      <c r="BX632" s="1098"/>
      <c r="BY632" s="1098"/>
      <c r="BZ632" s="1098"/>
      <c r="CA632" s="1098"/>
      <c r="CB632" s="1098"/>
      <c r="CC632" s="1098"/>
      <c r="CD632" s="1098"/>
      <c r="CE632" s="1098"/>
      <c r="CF632" s="1098"/>
      <c r="CG632" s="1098"/>
      <c r="CH632" s="1098"/>
      <c r="CI632" s="1098"/>
      <c r="CJ632" s="1098"/>
      <c r="CK632" s="1098"/>
      <c r="CL632" s="1098"/>
      <c r="CM632" s="1098"/>
      <c r="CN632" s="1098"/>
      <c r="CO632" s="1098"/>
      <c r="CP632" s="1098"/>
      <c r="CQ632" s="1098"/>
      <c r="CR632" s="1098"/>
      <c r="CS632" s="1098"/>
      <c r="CT632" s="1098"/>
      <c r="CU632" s="1098"/>
      <c r="CV632" s="1098"/>
      <c r="CW632" s="1098"/>
      <c r="CX632" s="1098"/>
      <c r="CY632" s="1098"/>
      <c r="CZ632" s="1098"/>
      <c r="DA632" s="1098"/>
      <c r="DB632" s="1098"/>
      <c r="DC632" s="1098"/>
      <c r="DD632" s="1098"/>
      <c r="DE632" s="1098"/>
      <c r="DF632" s="1098"/>
      <c r="DG632" s="1098"/>
      <c r="DH632" s="1098"/>
      <c r="DI632" s="1098"/>
      <c r="DJ632" s="1098"/>
      <c r="DK632" s="1098"/>
      <c r="DL632" s="1098"/>
      <c r="DM632" s="1098"/>
      <c r="DN632" s="1098"/>
      <c r="DO632" s="1098"/>
      <c r="DP632" s="1098"/>
      <c r="DQ632" s="1098"/>
      <c r="DR632" s="1098"/>
      <c r="DS632" s="1098"/>
      <c r="DT632" s="1098"/>
      <c r="DU632" s="1098"/>
      <c r="DV632" s="1098"/>
      <c r="DW632" s="1098"/>
      <c r="DX632" s="1098"/>
      <c r="DY632" s="1098"/>
      <c r="DZ632" s="1098"/>
      <c r="EA632" s="1098"/>
      <c r="EB632" s="1098"/>
      <c r="EC632" s="1098"/>
      <c r="ED632" s="1098"/>
      <c r="EE632" s="1098"/>
      <c r="EF632" s="1098"/>
      <c r="EG632" s="1098"/>
      <c r="EH632" s="1098"/>
      <c r="EI632" s="1098"/>
      <c r="EJ632" s="1098"/>
      <c r="EK632" s="1098"/>
      <c r="EL632" s="1098"/>
      <c r="EM632" s="1098"/>
      <c r="EN632" s="1098"/>
      <c r="EO632" s="1098"/>
      <c r="EP632" s="1098"/>
      <c r="EQ632" s="1098"/>
      <c r="ER632" s="1098"/>
      <c r="ES632" s="1098"/>
      <c r="ET632" s="1098"/>
      <c r="EU632" s="1098"/>
      <c r="EV632" s="1098"/>
      <c r="EW632" s="1098"/>
      <c r="EX632" s="1098"/>
      <c r="EY632" s="1098"/>
      <c r="EZ632" s="1098"/>
      <c r="FA632" s="1098"/>
      <c r="FB632" s="1098"/>
      <c r="FC632" s="1098"/>
      <c r="FD632" s="1098"/>
      <c r="FE632" s="1098"/>
      <c r="FF632" s="1098"/>
      <c r="FG632" s="1098"/>
      <c r="FH632" s="1098"/>
      <c r="FI632" s="1098"/>
      <c r="FJ632" s="1098"/>
      <c r="FK632" s="1098"/>
      <c r="FL632" s="1098"/>
      <c r="FM632" s="1098"/>
      <c r="FN632" s="1098"/>
      <c r="FO632" s="1098"/>
      <c r="FP632" s="1098"/>
      <c r="FQ632" s="1098"/>
      <c r="FR632" s="1098"/>
      <c r="FS632" s="1098"/>
      <c r="FT632" s="1098"/>
      <c r="FU632" s="1098"/>
      <c r="FV632" s="1098"/>
      <c r="FW632" s="1098"/>
      <c r="FX632" s="1098"/>
      <c r="FY632" s="1098"/>
      <c r="FZ632" s="1098"/>
      <c r="GA632" s="1098"/>
      <c r="GB632" s="1098"/>
      <c r="GC632" s="1098"/>
      <c r="GD632" s="1098"/>
      <c r="GE632" s="1098"/>
      <c r="GF632" s="1098"/>
      <c r="GG632" s="1098"/>
      <c r="GH632" s="1098"/>
      <c r="GI632" s="1098"/>
      <c r="GJ632" s="1098"/>
      <c r="GK632" s="1098"/>
      <c r="GL632" s="1098"/>
      <c r="GM632" s="1098"/>
      <c r="GN632" s="1098"/>
      <c r="GO632" s="1098"/>
      <c r="GP632" s="1098"/>
      <c r="GQ632" s="1098"/>
      <c r="GR632" s="1098"/>
      <c r="GS632" s="1098"/>
      <c r="GT632" s="1098"/>
      <c r="GU632" s="1098"/>
      <c r="GV632" s="1098"/>
      <c r="GW632" s="1098"/>
      <c r="GX632" s="1098"/>
      <c r="GY632" s="1098"/>
      <c r="GZ632" s="1098"/>
      <c r="HA632" s="1098"/>
      <c r="HB632" s="1098"/>
      <c r="HC632" s="1098"/>
      <c r="HD632" s="1098"/>
      <c r="HE632" s="1098"/>
      <c r="HF632" s="1098"/>
      <c r="HG632" s="1098"/>
      <c r="HH632" s="1098"/>
      <c r="HI632" s="1098"/>
      <c r="HJ632" s="1098"/>
      <c r="HK632" s="1098"/>
      <c r="HL632" s="1098"/>
      <c r="HM632" s="1098"/>
      <c r="HN632" s="1098"/>
      <c r="HO632" s="1098"/>
      <c r="HP632" s="1098"/>
      <c r="HQ632" s="1098"/>
      <c r="HR632" s="1098"/>
      <c r="HS632" s="1098"/>
      <c r="HT632" s="1098"/>
      <c r="HU632" s="1098"/>
      <c r="HV632" s="1098"/>
      <c r="HW632" s="1098"/>
      <c r="HX632" s="1098"/>
      <c r="HY632" s="1098"/>
      <c r="HZ632" s="1098"/>
      <c r="IA632" s="1098"/>
      <c r="IB632" s="1098"/>
      <c r="IC632" s="1098"/>
      <c r="ID632" s="1098"/>
      <c r="IE632" s="1098"/>
      <c r="IF632" s="1098"/>
      <c r="IG632" s="1098"/>
      <c r="IH632" s="1098"/>
      <c r="II632" s="1098"/>
      <c r="IJ632" s="1098"/>
      <c r="IK632" s="1098"/>
      <c r="IL632" s="1098"/>
      <c r="IM632" s="1098"/>
      <c r="IN632" s="1098"/>
      <c r="IO632" s="1098"/>
      <c r="IP632" s="1098"/>
      <c r="IQ632" s="1098"/>
      <c r="IR632" s="1098"/>
      <c r="IS632" s="1098"/>
      <c r="IT632" s="1098"/>
      <c r="IU632" s="1098"/>
      <c r="IV632" s="1098"/>
      <c r="IW632" s="1098"/>
      <c r="IX632" s="1098"/>
      <c r="IY632" s="1098"/>
      <c r="IZ632" s="1098"/>
      <c r="JA632" s="1098"/>
      <c r="JB632" s="1098"/>
      <c r="JC632" s="1098"/>
      <c r="JD632" s="1098"/>
      <c r="JE632" s="1098"/>
      <c r="JF632" s="1098"/>
      <c r="JG632" s="1098"/>
      <c r="JH632" s="1098"/>
      <c r="JI632" s="1098"/>
      <c r="JJ632" s="1098"/>
      <c r="JK632" s="1098"/>
      <c r="JL632" s="1098"/>
      <c r="JM632" s="1098"/>
      <c r="JN632" s="1098"/>
      <c r="JO632" s="1098"/>
      <c r="JP632" s="1098"/>
      <c r="JQ632" s="1098"/>
      <c r="JR632" s="1098"/>
      <c r="JS632" s="1098"/>
      <c r="JT632" s="1098"/>
      <c r="JU632" s="1098"/>
      <c r="JV632" s="1098"/>
      <c r="JW632" s="1098"/>
      <c r="JX632" s="1098"/>
      <c r="JY632" s="1098"/>
      <c r="JZ632" s="1098"/>
      <c r="KA632" s="1098"/>
      <c r="KB632" s="1099"/>
    </row>
    <row r="633" spans="1:288" ht="15" customHeight="1" x14ac:dyDescent="0.35">
      <c r="B633" s="146" t="str">
        <f t="shared" si="54"/>
        <v>Desk 3</v>
      </c>
      <c r="C633" s="148" t="str">
        <v/>
      </c>
      <c r="D633" s="148" t="str">
        <v/>
      </c>
      <c r="E633" s="148" t="str">
        <v/>
      </c>
      <c r="F633" s="148" t="str">
        <v/>
      </c>
      <c r="G633" s="268" t="str">
        <v/>
      </c>
      <c r="H633" s="1098"/>
      <c r="I633" s="1098"/>
      <c r="J633" s="1098"/>
      <c r="K633" s="1098"/>
      <c r="L633" s="1098"/>
      <c r="M633" s="1098"/>
      <c r="N633" s="1098"/>
      <c r="O633" s="1098"/>
      <c r="P633" s="1098"/>
      <c r="Q633" s="1098"/>
      <c r="R633" s="1098"/>
      <c r="S633" s="1098"/>
      <c r="T633" s="1098"/>
      <c r="U633" s="1098"/>
      <c r="V633" s="1098"/>
      <c r="W633" s="1098"/>
      <c r="X633" s="1098"/>
      <c r="Y633" s="1098"/>
      <c r="Z633" s="1098"/>
      <c r="AA633" s="1098"/>
      <c r="AB633" s="1098"/>
      <c r="AC633" s="1098"/>
      <c r="AD633" s="1098"/>
      <c r="AE633" s="1098"/>
      <c r="AF633" s="1098"/>
      <c r="AG633" s="1098"/>
      <c r="AH633" s="1098"/>
      <c r="AI633" s="1098"/>
      <c r="AJ633" s="1098"/>
      <c r="AK633" s="1098"/>
      <c r="AL633" s="1098"/>
      <c r="AM633" s="1098"/>
      <c r="AN633" s="1098"/>
      <c r="AO633" s="1098"/>
      <c r="AP633" s="1098"/>
      <c r="AQ633" s="1098"/>
      <c r="AR633" s="1098"/>
      <c r="AS633" s="1098"/>
      <c r="AT633" s="1098"/>
      <c r="AU633" s="1098"/>
      <c r="AV633" s="1098"/>
      <c r="AW633" s="1098"/>
      <c r="AX633" s="1098"/>
      <c r="AY633" s="1098"/>
      <c r="AZ633" s="1098"/>
      <c r="BA633" s="1098"/>
      <c r="BB633" s="1098"/>
      <c r="BC633" s="1098"/>
      <c r="BD633" s="1098"/>
      <c r="BE633" s="1098"/>
      <c r="BF633" s="1098"/>
      <c r="BG633" s="1098"/>
      <c r="BH633" s="1098"/>
      <c r="BI633" s="1098"/>
      <c r="BJ633" s="1098"/>
      <c r="BK633" s="1098"/>
      <c r="BL633" s="1098"/>
      <c r="BM633" s="1098"/>
      <c r="BN633" s="1098"/>
      <c r="BO633" s="1098"/>
      <c r="BP633" s="1098"/>
      <c r="BQ633" s="1098"/>
      <c r="BR633" s="1098"/>
      <c r="BS633" s="1098"/>
      <c r="BT633" s="1098"/>
      <c r="BU633" s="1098"/>
      <c r="BV633" s="1098"/>
      <c r="BW633" s="1098"/>
      <c r="BX633" s="1098"/>
      <c r="BY633" s="1098"/>
      <c r="BZ633" s="1098"/>
      <c r="CA633" s="1098"/>
      <c r="CB633" s="1098"/>
      <c r="CC633" s="1098"/>
      <c r="CD633" s="1098"/>
      <c r="CE633" s="1098"/>
      <c r="CF633" s="1098"/>
      <c r="CG633" s="1098"/>
      <c r="CH633" s="1098"/>
      <c r="CI633" s="1098"/>
      <c r="CJ633" s="1098"/>
      <c r="CK633" s="1098"/>
      <c r="CL633" s="1098"/>
      <c r="CM633" s="1098"/>
      <c r="CN633" s="1098"/>
      <c r="CO633" s="1098"/>
      <c r="CP633" s="1098"/>
      <c r="CQ633" s="1098"/>
      <c r="CR633" s="1098"/>
      <c r="CS633" s="1098"/>
      <c r="CT633" s="1098"/>
      <c r="CU633" s="1098"/>
      <c r="CV633" s="1098"/>
      <c r="CW633" s="1098"/>
      <c r="CX633" s="1098"/>
      <c r="CY633" s="1098"/>
      <c r="CZ633" s="1098"/>
      <c r="DA633" s="1098"/>
      <c r="DB633" s="1098"/>
      <c r="DC633" s="1098"/>
      <c r="DD633" s="1098"/>
      <c r="DE633" s="1098"/>
      <c r="DF633" s="1098"/>
      <c r="DG633" s="1098"/>
      <c r="DH633" s="1098"/>
      <c r="DI633" s="1098"/>
      <c r="DJ633" s="1098"/>
      <c r="DK633" s="1098"/>
      <c r="DL633" s="1098"/>
      <c r="DM633" s="1098"/>
      <c r="DN633" s="1098"/>
      <c r="DO633" s="1098"/>
      <c r="DP633" s="1098"/>
      <c r="DQ633" s="1098"/>
      <c r="DR633" s="1098"/>
      <c r="DS633" s="1098"/>
      <c r="DT633" s="1098"/>
      <c r="DU633" s="1098"/>
      <c r="DV633" s="1098"/>
      <c r="DW633" s="1098"/>
      <c r="DX633" s="1098"/>
      <c r="DY633" s="1098"/>
      <c r="DZ633" s="1098"/>
      <c r="EA633" s="1098"/>
      <c r="EB633" s="1098"/>
      <c r="EC633" s="1098"/>
      <c r="ED633" s="1098"/>
      <c r="EE633" s="1098"/>
      <c r="EF633" s="1098"/>
      <c r="EG633" s="1098"/>
      <c r="EH633" s="1098"/>
      <c r="EI633" s="1098"/>
      <c r="EJ633" s="1098"/>
      <c r="EK633" s="1098"/>
      <c r="EL633" s="1098"/>
      <c r="EM633" s="1098"/>
      <c r="EN633" s="1098"/>
      <c r="EO633" s="1098"/>
      <c r="EP633" s="1098"/>
      <c r="EQ633" s="1098"/>
      <c r="ER633" s="1098"/>
      <c r="ES633" s="1098"/>
      <c r="ET633" s="1098"/>
      <c r="EU633" s="1098"/>
      <c r="EV633" s="1098"/>
      <c r="EW633" s="1098"/>
      <c r="EX633" s="1098"/>
      <c r="EY633" s="1098"/>
      <c r="EZ633" s="1098"/>
      <c r="FA633" s="1098"/>
      <c r="FB633" s="1098"/>
      <c r="FC633" s="1098"/>
      <c r="FD633" s="1098"/>
      <c r="FE633" s="1098"/>
      <c r="FF633" s="1098"/>
      <c r="FG633" s="1098"/>
      <c r="FH633" s="1098"/>
      <c r="FI633" s="1098"/>
      <c r="FJ633" s="1098"/>
      <c r="FK633" s="1098"/>
      <c r="FL633" s="1098"/>
      <c r="FM633" s="1098"/>
      <c r="FN633" s="1098"/>
      <c r="FO633" s="1098"/>
      <c r="FP633" s="1098"/>
      <c r="FQ633" s="1098"/>
      <c r="FR633" s="1098"/>
      <c r="FS633" s="1098"/>
      <c r="FT633" s="1098"/>
      <c r="FU633" s="1098"/>
      <c r="FV633" s="1098"/>
      <c r="FW633" s="1098"/>
      <c r="FX633" s="1098"/>
      <c r="FY633" s="1098"/>
      <c r="FZ633" s="1098"/>
      <c r="GA633" s="1098"/>
      <c r="GB633" s="1098"/>
      <c r="GC633" s="1098"/>
      <c r="GD633" s="1098"/>
      <c r="GE633" s="1098"/>
      <c r="GF633" s="1098"/>
      <c r="GG633" s="1098"/>
      <c r="GH633" s="1098"/>
      <c r="GI633" s="1098"/>
      <c r="GJ633" s="1098"/>
      <c r="GK633" s="1098"/>
      <c r="GL633" s="1098"/>
      <c r="GM633" s="1098"/>
      <c r="GN633" s="1098"/>
      <c r="GO633" s="1098"/>
      <c r="GP633" s="1098"/>
      <c r="GQ633" s="1098"/>
      <c r="GR633" s="1098"/>
      <c r="GS633" s="1098"/>
      <c r="GT633" s="1098"/>
      <c r="GU633" s="1098"/>
      <c r="GV633" s="1098"/>
      <c r="GW633" s="1098"/>
      <c r="GX633" s="1098"/>
      <c r="GY633" s="1098"/>
      <c r="GZ633" s="1098"/>
      <c r="HA633" s="1098"/>
      <c r="HB633" s="1098"/>
      <c r="HC633" s="1098"/>
      <c r="HD633" s="1098"/>
      <c r="HE633" s="1098"/>
      <c r="HF633" s="1098"/>
      <c r="HG633" s="1098"/>
      <c r="HH633" s="1098"/>
      <c r="HI633" s="1098"/>
      <c r="HJ633" s="1098"/>
      <c r="HK633" s="1098"/>
      <c r="HL633" s="1098"/>
      <c r="HM633" s="1098"/>
      <c r="HN633" s="1098"/>
      <c r="HO633" s="1098"/>
      <c r="HP633" s="1098"/>
      <c r="HQ633" s="1098"/>
      <c r="HR633" s="1098"/>
      <c r="HS633" s="1098"/>
      <c r="HT633" s="1098"/>
      <c r="HU633" s="1098"/>
      <c r="HV633" s="1098"/>
      <c r="HW633" s="1098"/>
      <c r="HX633" s="1098"/>
      <c r="HY633" s="1098"/>
      <c r="HZ633" s="1098"/>
      <c r="IA633" s="1098"/>
      <c r="IB633" s="1098"/>
      <c r="IC633" s="1098"/>
      <c r="ID633" s="1098"/>
      <c r="IE633" s="1098"/>
      <c r="IF633" s="1098"/>
      <c r="IG633" s="1098"/>
      <c r="IH633" s="1098"/>
      <c r="II633" s="1098"/>
      <c r="IJ633" s="1098"/>
      <c r="IK633" s="1098"/>
      <c r="IL633" s="1098"/>
      <c r="IM633" s="1098"/>
      <c r="IN633" s="1098"/>
      <c r="IO633" s="1098"/>
      <c r="IP633" s="1098"/>
      <c r="IQ633" s="1098"/>
      <c r="IR633" s="1098"/>
      <c r="IS633" s="1098"/>
      <c r="IT633" s="1098"/>
      <c r="IU633" s="1098"/>
      <c r="IV633" s="1098"/>
      <c r="IW633" s="1098"/>
      <c r="IX633" s="1098"/>
      <c r="IY633" s="1098"/>
      <c r="IZ633" s="1098"/>
      <c r="JA633" s="1098"/>
      <c r="JB633" s="1098"/>
      <c r="JC633" s="1098"/>
      <c r="JD633" s="1098"/>
      <c r="JE633" s="1098"/>
      <c r="JF633" s="1098"/>
      <c r="JG633" s="1098"/>
      <c r="JH633" s="1098"/>
      <c r="JI633" s="1098"/>
      <c r="JJ633" s="1098"/>
      <c r="JK633" s="1098"/>
      <c r="JL633" s="1098"/>
      <c r="JM633" s="1098"/>
      <c r="JN633" s="1098"/>
      <c r="JO633" s="1098"/>
      <c r="JP633" s="1098"/>
      <c r="JQ633" s="1098"/>
      <c r="JR633" s="1098"/>
      <c r="JS633" s="1098"/>
      <c r="JT633" s="1098"/>
      <c r="JU633" s="1098"/>
      <c r="JV633" s="1098"/>
      <c r="JW633" s="1098"/>
      <c r="JX633" s="1098"/>
      <c r="JY633" s="1098"/>
      <c r="JZ633" s="1098"/>
      <c r="KA633" s="1098"/>
      <c r="KB633" s="1099"/>
    </row>
    <row r="634" spans="1:288" ht="15" customHeight="1" x14ac:dyDescent="0.35">
      <c r="B634" s="146" t="str">
        <f t="shared" si="54"/>
        <v>Desk 4</v>
      </c>
      <c r="C634" s="148" t="str">
        <v/>
      </c>
      <c r="D634" s="148" t="str">
        <v/>
      </c>
      <c r="E634" s="148" t="str">
        <v/>
      </c>
      <c r="F634" s="148" t="str">
        <v/>
      </c>
      <c r="G634" s="268" t="str">
        <v/>
      </c>
      <c r="H634" s="1098"/>
      <c r="I634" s="1098"/>
      <c r="J634" s="1098"/>
      <c r="K634" s="1098"/>
      <c r="L634" s="1098"/>
      <c r="M634" s="1098"/>
      <c r="N634" s="1098"/>
      <c r="O634" s="1098"/>
      <c r="P634" s="1098"/>
      <c r="Q634" s="1098"/>
      <c r="R634" s="1098"/>
      <c r="S634" s="1098"/>
      <c r="T634" s="1098"/>
      <c r="U634" s="1098"/>
      <c r="V634" s="1098"/>
      <c r="W634" s="1098"/>
      <c r="X634" s="1098"/>
      <c r="Y634" s="1098"/>
      <c r="Z634" s="1098"/>
      <c r="AA634" s="1098"/>
      <c r="AB634" s="1098"/>
      <c r="AC634" s="1098"/>
      <c r="AD634" s="1098"/>
      <c r="AE634" s="1098"/>
      <c r="AF634" s="1098"/>
      <c r="AG634" s="1098"/>
      <c r="AH634" s="1098"/>
      <c r="AI634" s="1098"/>
      <c r="AJ634" s="1098"/>
      <c r="AK634" s="1098"/>
      <c r="AL634" s="1098"/>
      <c r="AM634" s="1098"/>
      <c r="AN634" s="1098"/>
      <c r="AO634" s="1098"/>
      <c r="AP634" s="1098"/>
      <c r="AQ634" s="1098"/>
      <c r="AR634" s="1098"/>
      <c r="AS634" s="1098"/>
      <c r="AT634" s="1098"/>
      <c r="AU634" s="1098"/>
      <c r="AV634" s="1098"/>
      <c r="AW634" s="1098"/>
      <c r="AX634" s="1098"/>
      <c r="AY634" s="1098"/>
      <c r="AZ634" s="1098"/>
      <c r="BA634" s="1098"/>
      <c r="BB634" s="1098"/>
      <c r="BC634" s="1098"/>
      <c r="BD634" s="1098"/>
      <c r="BE634" s="1098"/>
      <c r="BF634" s="1098"/>
      <c r="BG634" s="1098"/>
      <c r="BH634" s="1098"/>
      <c r="BI634" s="1098"/>
      <c r="BJ634" s="1098"/>
      <c r="BK634" s="1098"/>
      <c r="BL634" s="1098"/>
      <c r="BM634" s="1098"/>
      <c r="BN634" s="1098"/>
      <c r="BO634" s="1098"/>
      <c r="BP634" s="1098"/>
      <c r="BQ634" s="1098"/>
      <c r="BR634" s="1098"/>
      <c r="BS634" s="1098"/>
      <c r="BT634" s="1098"/>
      <c r="BU634" s="1098"/>
      <c r="BV634" s="1098"/>
      <c r="BW634" s="1098"/>
      <c r="BX634" s="1098"/>
      <c r="BY634" s="1098"/>
      <c r="BZ634" s="1098"/>
      <c r="CA634" s="1098"/>
      <c r="CB634" s="1098"/>
      <c r="CC634" s="1098"/>
      <c r="CD634" s="1098"/>
      <c r="CE634" s="1098"/>
      <c r="CF634" s="1098"/>
      <c r="CG634" s="1098"/>
      <c r="CH634" s="1098"/>
      <c r="CI634" s="1098"/>
      <c r="CJ634" s="1098"/>
      <c r="CK634" s="1098"/>
      <c r="CL634" s="1098"/>
      <c r="CM634" s="1098"/>
      <c r="CN634" s="1098"/>
      <c r="CO634" s="1098"/>
      <c r="CP634" s="1098"/>
      <c r="CQ634" s="1098"/>
      <c r="CR634" s="1098"/>
      <c r="CS634" s="1098"/>
      <c r="CT634" s="1098"/>
      <c r="CU634" s="1098"/>
      <c r="CV634" s="1098"/>
      <c r="CW634" s="1098"/>
      <c r="CX634" s="1098"/>
      <c r="CY634" s="1098"/>
      <c r="CZ634" s="1098"/>
      <c r="DA634" s="1098"/>
      <c r="DB634" s="1098"/>
      <c r="DC634" s="1098"/>
      <c r="DD634" s="1098"/>
      <c r="DE634" s="1098"/>
      <c r="DF634" s="1098"/>
      <c r="DG634" s="1098"/>
      <c r="DH634" s="1098"/>
      <c r="DI634" s="1098"/>
      <c r="DJ634" s="1098"/>
      <c r="DK634" s="1098"/>
      <c r="DL634" s="1098"/>
      <c r="DM634" s="1098"/>
      <c r="DN634" s="1098"/>
      <c r="DO634" s="1098"/>
      <c r="DP634" s="1098"/>
      <c r="DQ634" s="1098"/>
      <c r="DR634" s="1098"/>
      <c r="DS634" s="1098"/>
      <c r="DT634" s="1098"/>
      <c r="DU634" s="1098"/>
      <c r="DV634" s="1098"/>
      <c r="DW634" s="1098"/>
      <c r="DX634" s="1098"/>
      <c r="DY634" s="1098"/>
      <c r="DZ634" s="1098"/>
      <c r="EA634" s="1098"/>
      <c r="EB634" s="1098"/>
      <c r="EC634" s="1098"/>
      <c r="ED634" s="1098"/>
      <c r="EE634" s="1098"/>
      <c r="EF634" s="1098"/>
      <c r="EG634" s="1098"/>
      <c r="EH634" s="1098"/>
      <c r="EI634" s="1098"/>
      <c r="EJ634" s="1098"/>
      <c r="EK634" s="1098"/>
      <c r="EL634" s="1098"/>
      <c r="EM634" s="1098"/>
      <c r="EN634" s="1098"/>
      <c r="EO634" s="1098"/>
      <c r="EP634" s="1098"/>
      <c r="EQ634" s="1098"/>
      <c r="ER634" s="1098"/>
      <c r="ES634" s="1098"/>
      <c r="ET634" s="1098"/>
      <c r="EU634" s="1098"/>
      <c r="EV634" s="1098"/>
      <c r="EW634" s="1098"/>
      <c r="EX634" s="1098"/>
      <c r="EY634" s="1098"/>
      <c r="EZ634" s="1098"/>
      <c r="FA634" s="1098"/>
      <c r="FB634" s="1098"/>
      <c r="FC634" s="1098"/>
      <c r="FD634" s="1098"/>
      <c r="FE634" s="1098"/>
      <c r="FF634" s="1098"/>
      <c r="FG634" s="1098"/>
      <c r="FH634" s="1098"/>
      <c r="FI634" s="1098"/>
      <c r="FJ634" s="1098"/>
      <c r="FK634" s="1098"/>
      <c r="FL634" s="1098"/>
      <c r="FM634" s="1098"/>
      <c r="FN634" s="1098"/>
      <c r="FO634" s="1098"/>
      <c r="FP634" s="1098"/>
      <c r="FQ634" s="1098"/>
      <c r="FR634" s="1098"/>
      <c r="FS634" s="1098"/>
      <c r="FT634" s="1098"/>
      <c r="FU634" s="1098"/>
      <c r="FV634" s="1098"/>
      <c r="FW634" s="1098"/>
      <c r="FX634" s="1098"/>
      <c r="FY634" s="1098"/>
      <c r="FZ634" s="1098"/>
      <c r="GA634" s="1098"/>
      <c r="GB634" s="1098"/>
      <c r="GC634" s="1098"/>
      <c r="GD634" s="1098"/>
      <c r="GE634" s="1098"/>
      <c r="GF634" s="1098"/>
      <c r="GG634" s="1098"/>
      <c r="GH634" s="1098"/>
      <c r="GI634" s="1098"/>
      <c r="GJ634" s="1098"/>
      <c r="GK634" s="1098"/>
      <c r="GL634" s="1098"/>
      <c r="GM634" s="1098"/>
      <c r="GN634" s="1098"/>
      <c r="GO634" s="1098"/>
      <c r="GP634" s="1098"/>
      <c r="GQ634" s="1098"/>
      <c r="GR634" s="1098"/>
      <c r="GS634" s="1098"/>
      <c r="GT634" s="1098"/>
      <c r="GU634" s="1098"/>
      <c r="GV634" s="1098"/>
      <c r="GW634" s="1098"/>
      <c r="GX634" s="1098"/>
      <c r="GY634" s="1098"/>
      <c r="GZ634" s="1098"/>
      <c r="HA634" s="1098"/>
      <c r="HB634" s="1098"/>
      <c r="HC634" s="1098"/>
      <c r="HD634" s="1098"/>
      <c r="HE634" s="1098"/>
      <c r="HF634" s="1098"/>
      <c r="HG634" s="1098"/>
      <c r="HH634" s="1098"/>
      <c r="HI634" s="1098"/>
      <c r="HJ634" s="1098"/>
      <c r="HK634" s="1098"/>
      <c r="HL634" s="1098"/>
      <c r="HM634" s="1098"/>
      <c r="HN634" s="1098"/>
      <c r="HO634" s="1098"/>
      <c r="HP634" s="1098"/>
      <c r="HQ634" s="1098"/>
      <c r="HR634" s="1098"/>
      <c r="HS634" s="1098"/>
      <c r="HT634" s="1098"/>
      <c r="HU634" s="1098"/>
      <c r="HV634" s="1098"/>
      <c r="HW634" s="1098"/>
      <c r="HX634" s="1098"/>
      <c r="HY634" s="1098"/>
      <c r="HZ634" s="1098"/>
      <c r="IA634" s="1098"/>
      <c r="IB634" s="1098"/>
      <c r="IC634" s="1098"/>
      <c r="ID634" s="1098"/>
      <c r="IE634" s="1098"/>
      <c r="IF634" s="1098"/>
      <c r="IG634" s="1098"/>
      <c r="IH634" s="1098"/>
      <c r="II634" s="1098"/>
      <c r="IJ634" s="1098"/>
      <c r="IK634" s="1098"/>
      <c r="IL634" s="1098"/>
      <c r="IM634" s="1098"/>
      <c r="IN634" s="1098"/>
      <c r="IO634" s="1098"/>
      <c r="IP634" s="1098"/>
      <c r="IQ634" s="1098"/>
      <c r="IR634" s="1098"/>
      <c r="IS634" s="1098"/>
      <c r="IT634" s="1098"/>
      <c r="IU634" s="1098"/>
      <c r="IV634" s="1098"/>
      <c r="IW634" s="1098"/>
      <c r="IX634" s="1098"/>
      <c r="IY634" s="1098"/>
      <c r="IZ634" s="1098"/>
      <c r="JA634" s="1098"/>
      <c r="JB634" s="1098"/>
      <c r="JC634" s="1098"/>
      <c r="JD634" s="1098"/>
      <c r="JE634" s="1098"/>
      <c r="JF634" s="1098"/>
      <c r="JG634" s="1098"/>
      <c r="JH634" s="1098"/>
      <c r="JI634" s="1098"/>
      <c r="JJ634" s="1098"/>
      <c r="JK634" s="1098"/>
      <c r="JL634" s="1098"/>
      <c r="JM634" s="1098"/>
      <c r="JN634" s="1098"/>
      <c r="JO634" s="1098"/>
      <c r="JP634" s="1098"/>
      <c r="JQ634" s="1098"/>
      <c r="JR634" s="1098"/>
      <c r="JS634" s="1098"/>
      <c r="JT634" s="1098"/>
      <c r="JU634" s="1098"/>
      <c r="JV634" s="1098"/>
      <c r="JW634" s="1098"/>
      <c r="JX634" s="1098"/>
      <c r="JY634" s="1098"/>
      <c r="JZ634" s="1098"/>
      <c r="KA634" s="1098"/>
      <c r="KB634" s="1099"/>
    </row>
    <row r="635" spans="1:288" ht="15" customHeight="1" x14ac:dyDescent="0.35">
      <c r="B635" s="146" t="str">
        <f t="shared" si="54"/>
        <v>Desk 5</v>
      </c>
      <c r="C635" s="148" t="str">
        <v/>
      </c>
      <c r="D635" s="148" t="str">
        <v/>
      </c>
      <c r="E635" s="148" t="str">
        <v/>
      </c>
      <c r="F635" s="148" t="str">
        <v/>
      </c>
      <c r="G635" s="268" t="str">
        <v/>
      </c>
      <c r="H635" s="1098"/>
      <c r="I635" s="1098"/>
      <c r="J635" s="1098"/>
      <c r="K635" s="1098"/>
      <c r="L635" s="1098"/>
      <c r="M635" s="1098"/>
      <c r="N635" s="1098"/>
      <c r="O635" s="1098"/>
      <c r="P635" s="1098"/>
      <c r="Q635" s="1098"/>
      <c r="R635" s="1098"/>
      <c r="S635" s="1098"/>
      <c r="T635" s="1098"/>
      <c r="U635" s="1098"/>
      <c r="V635" s="1098"/>
      <c r="W635" s="1098"/>
      <c r="X635" s="1098"/>
      <c r="Y635" s="1098"/>
      <c r="Z635" s="1098"/>
      <c r="AA635" s="1098"/>
      <c r="AB635" s="1098"/>
      <c r="AC635" s="1098"/>
      <c r="AD635" s="1098"/>
      <c r="AE635" s="1098"/>
      <c r="AF635" s="1098"/>
      <c r="AG635" s="1098"/>
      <c r="AH635" s="1098"/>
      <c r="AI635" s="1098"/>
      <c r="AJ635" s="1098"/>
      <c r="AK635" s="1098"/>
      <c r="AL635" s="1098"/>
      <c r="AM635" s="1098"/>
      <c r="AN635" s="1098"/>
      <c r="AO635" s="1098"/>
      <c r="AP635" s="1098"/>
      <c r="AQ635" s="1098"/>
      <c r="AR635" s="1098"/>
      <c r="AS635" s="1098"/>
      <c r="AT635" s="1098"/>
      <c r="AU635" s="1098"/>
      <c r="AV635" s="1098"/>
      <c r="AW635" s="1098"/>
      <c r="AX635" s="1098"/>
      <c r="AY635" s="1098"/>
      <c r="AZ635" s="1098"/>
      <c r="BA635" s="1098"/>
      <c r="BB635" s="1098"/>
      <c r="BC635" s="1098"/>
      <c r="BD635" s="1098"/>
      <c r="BE635" s="1098"/>
      <c r="BF635" s="1098"/>
      <c r="BG635" s="1098"/>
      <c r="BH635" s="1098"/>
      <c r="BI635" s="1098"/>
      <c r="BJ635" s="1098"/>
      <c r="BK635" s="1098"/>
      <c r="BL635" s="1098"/>
      <c r="BM635" s="1098"/>
      <c r="BN635" s="1098"/>
      <c r="BO635" s="1098"/>
      <c r="BP635" s="1098"/>
      <c r="BQ635" s="1098"/>
      <c r="BR635" s="1098"/>
      <c r="BS635" s="1098"/>
      <c r="BT635" s="1098"/>
      <c r="BU635" s="1098"/>
      <c r="BV635" s="1098"/>
      <c r="BW635" s="1098"/>
      <c r="BX635" s="1098"/>
      <c r="BY635" s="1098"/>
      <c r="BZ635" s="1098"/>
      <c r="CA635" s="1098"/>
      <c r="CB635" s="1098"/>
      <c r="CC635" s="1098"/>
      <c r="CD635" s="1098"/>
      <c r="CE635" s="1098"/>
      <c r="CF635" s="1098"/>
      <c r="CG635" s="1098"/>
      <c r="CH635" s="1098"/>
      <c r="CI635" s="1098"/>
      <c r="CJ635" s="1098"/>
      <c r="CK635" s="1098"/>
      <c r="CL635" s="1098"/>
      <c r="CM635" s="1098"/>
      <c r="CN635" s="1098"/>
      <c r="CO635" s="1098"/>
      <c r="CP635" s="1098"/>
      <c r="CQ635" s="1098"/>
      <c r="CR635" s="1098"/>
      <c r="CS635" s="1098"/>
      <c r="CT635" s="1098"/>
      <c r="CU635" s="1098"/>
      <c r="CV635" s="1098"/>
      <c r="CW635" s="1098"/>
      <c r="CX635" s="1098"/>
      <c r="CY635" s="1098"/>
      <c r="CZ635" s="1098"/>
      <c r="DA635" s="1098"/>
      <c r="DB635" s="1098"/>
      <c r="DC635" s="1098"/>
      <c r="DD635" s="1098"/>
      <c r="DE635" s="1098"/>
      <c r="DF635" s="1098"/>
      <c r="DG635" s="1098"/>
      <c r="DH635" s="1098"/>
      <c r="DI635" s="1098"/>
      <c r="DJ635" s="1098"/>
      <c r="DK635" s="1098"/>
      <c r="DL635" s="1098"/>
      <c r="DM635" s="1098"/>
      <c r="DN635" s="1098"/>
      <c r="DO635" s="1098"/>
      <c r="DP635" s="1098"/>
      <c r="DQ635" s="1098"/>
      <c r="DR635" s="1098"/>
      <c r="DS635" s="1098"/>
      <c r="DT635" s="1098"/>
      <c r="DU635" s="1098"/>
      <c r="DV635" s="1098"/>
      <c r="DW635" s="1098"/>
      <c r="DX635" s="1098"/>
      <c r="DY635" s="1098"/>
      <c r="DZ635" s="1098"/>
      <c r="EA635" s="1098"/>
      <c r="EB635" s="1098"/>
      <c r="EC635" s="1098"/>
      <c r="ED635" s="1098"/>
      <c r="EE635" s="1098"/>
      <c r="EF635" s="1098"/>
      <c r="EG635" s="1098"/>
      <c r="EH635" s="1098"/>
      <c r="EI635" s="1098"/>
      <c r="EJ635" s="1098"/>
      <c r="EK635" s="1098"/>
      <c r="EL635" s="1098"/>
      <c r="EM635" s="1098"/>
      <c r="EN635" s="1098"/>
      <c r="EO635" s="1098"/>
      <c r="EP635" s="1098"/>
      <c r="EQ635" s="1098"/>
      <c r="ER635" s="1098"/>
      <c r="ES635" s="1098"/>
      <c r="ET635" s="1098"/>
      <c r="EU635" s="1098"/>
      <c r="EV635" s="1098"/>
      <c r="EW635" s="1098"/>
      <c r="EX635" s="1098"/>
      <c r="EY635" s="1098"/>
      <c r="EZ635" s="1098"/>
      <c r="FA635" s="1098"/>
      <c r="FB635" s="1098"/>
      <c r="FC635" s="1098"/>
      <c r="FD635" s="1098"/>
      <c r="FE635" s="1098"/>
      <c r="FF635" s="1098"/>
      <c r="FG635" s="1098"/>
      <c r="FH635" s="1098"/>
      <c r="FI635" s="1098"/>
      <c r="FJ635" s="1098"/>
      <c r="FK635" s="1098"/>
      <c r="FL635" s="1098"/>
      <c r="FM635" s="1098"/>
      <c r="FN635" s="1098"/>
      <c r="FO635" s="1098"/>
      <c r="FP635" s="1098"/>
      <c r="FQ635" s="1098"/>
      <c r="FR635" s="1098"/>
      <c r="FS635" s="1098"/>
      <c r="FT635" s="1098"/>
      <c r="FU635" s="1098"/>
      <c r="FV635" s="1098"/>
      <c r="FW635" s="1098"/>
      <c r="FX635" s="1098"/>
      <c r="FY635" s="1098"/>
      <c r="FZ635" s="1098"/>
      <c r="GA635" s="1098"/>
      <c r="GB635" s="1098"/>
      <c r="GC635" s="1098"/>
      <c r="GD635" s="1098"/>
      <c r="GE635" s="1098"/>
      <c r="GF635" s="1098"/>
      <c r="GG635" s="1098"/>
      <c r="GH635" s="1098"/>
      <c r="GI635" s="1098"/>
      <c r="GJ635" s="1098"/>
      <c r="GK635" s="1098"/>
      <c r="GL635" s="1098"/>
      <c r="GM635" s="1098"/>
      <c r="GN635" s="1098"/>
      <c r="GO635" s="1098"/>
      <c r="GP635" s="1098"/>
      <c r="GQ635" s="1098"/>
      <c r="GR635" s="1098"/>
      <c r="GS635" s="1098"/>
      <c r="GT635" s="1098"/>
      <c r="GU635" s="1098"/>
      <c r="GV635" s="1098"/>
      <c r="GW635" s="1098"/>
      <c r="GX635" s="1098"/>
      <c r="GY635" s="1098"/>
      <c r="GZ635" s="1098"/>
      <c r="HA635" s="1098"/>
      <c r="HB635" s="1098"/>
      <c r="HC635" s="1098"/>
      <c r="HD635" s="1098"/>
      <c r="HE635" s="1098"/>
      <c r="HF635" s="1098"/>
      <c r="HG635" s="1098"/>
      <c r="HH635" s="1098"/>
      <c r="HI635" s="1098"/>
      <c r="HJ635" s="1098"/>
      <c r="HK635" s="1098"/>
      <c r="HL635" s="1098"/>
      <c r="HM635" s="1098"/>
      <c r="HN635" s="1098"/>
      <c r="HO635" s="1098"/>
      <c r="HP635" s="1098"/>
      <c r="HQ635" s="1098"/>
      <c r="HR635" s="1098"/>
      <c r="HS635" s="1098"/>
      <c r="HT635" s="1098"/>
      <c r="HU635" s="1098"/>
      <c r="HV635" s="1098"/>
      <c r="HW635" s="1098"/>
      <c r="HX635" s="1098"/>
      <c r="HY635" s="1098"/>
      <c r="HZ635" s="1098"/>
      <c r="IA635" s="1098"/>
      <c r="IB635" s="1098"/>
      <c r="IC635" s="1098"/>
      <c r="ID635" s="1098"/>
      <c r="IE635" s="1098"/>
      <c r="IF635" s="1098"/>
      <c r="IG635" s="1098"/>
      <c r="IH635" s="1098"/>
      <c r="II635" s="1098"/>
      <c r="IJ635" s="1098"/>
      <c r="IK635" s="1098"/>
      <c r="IL635" s="1098"/>
      <c r="IM635" s="1098"/>
      <c r="IN635" s="1098"/>
      <c r="IO635" s="1098"/>
      <c r="IP635" s="1098"/>
      <c r="IQ635" s="1098"/>
      <c r="IR635" s="1098"/>
      <c r="IS635" s="1098"/>
      <c r="IT635" s="1098"/>
      <c r="IU635" s="1098"/>
      <c r="IV635" s="1098"/>
      <c r="IW635" s="1098"/>
      <c r="IX635" s="1098"/>
      <c r="IY635" s="1098"/>
      <c r="IZ635" s="1098"/>
      <c r="JA635" s="1098"/>
      <c r="JB635" s="1098"/>
      <c r="JC635" s="1098"/>
      <c r="JD635" s="1098"/>
      <c r="JE635" s="1098"/>
      <c r="JF635" s="1098"/>
      <c r="JG635" s="1098"/>
      <c r="JH635" s="1098"/>
      <c r="JI635" s="1098"/>
      <c r="JJ635" s="1098"/>
      <c r="JK635" s="1098"/>
      <c r="JL635" s="1098"/>
      <c r="JM635" s="1098"/>
      <c r="JN635" s="1098"/>
      <c r="JO635" s="1098"/>
      <c r="JP635" s="1098"/>
      <c r="JQ635" s="1098"/>
      <c r="JR635" s="1098"/>
      <c r="JS635" s="1098"/>
      <c r="JT635" s="1098"/>
      <c r="JU635" s="1098"/>
      <c r="JV635" s="1098"/>
      <c r="JW635" s="1098"/>
      <c r="JX635" s="1098"/>
      <c r="JY635" s="1098"/>
      <c r="JZ635" s="1098"/>
      <c r="KA635" s="1098"/>
      <c r="KB635" s="1099"/>
    </row>
    <row r="636" spans="1:288" ht="15" customHeight="1" x14ac:dyDescent="0.35">
      <c r="B636" s="146" t="str">
        <f t="shared" si="54"/>
        <v>Desk 6</v>
      </c>
      <c r="C636" s="148" t="str">
        <v/>
      </c>
      <c r="D636" s="148" t="str">
        <v/>
      </c>
      <c r="E636" s="148" t="str">
        <v/>
      </c>
      <c r="F636" s="148" t="str">
        <v/>
      </c>
      <c r="G636" s="268" t="str">
        <v/>
      </c>
      <c r="H636" s="1098"/>
      <c r="I636" s="1098"/>
      <c r="J636" s="1098"/>
      <c r="K636" s="1098"/>
      <c r="L636" s="1098"/>
      <c r="M636" s="1098"/>
      <c r="N636" s="1098"/>
      <c r="O636" s="1098"/>
      <c r="P636" s="1098"/>
      <c r="Q636" s="1098"/>
      <c r="R636" s="1098"/>
      <c r="S636" s="1098"/>
      <c r="T636" s="1098"/>
      <c r="U636" s="1098"/>
      <c r="V636" s="1098"/>
      <c r="W636" s="1098"/>
      <c r="X636" s="1098"/>
      <c r="Y636" s="1098"/>
      <c r="Z636" s="1098"/>
      <c r="AA636" s="1098"/>
      <c r="AB636" s="1098"/>
      <c r="AC636" s="1098"/>
      <c r="AD636" s="1098"/>
      <c r="AE636" s="1098"/>
      <c r="AF636" s="1098"/>
      <c r="AG636" s="1098"/>
      <c r="AH636" s="1098"/>
      <c r="AI636" s="1098"/>
      <c r="AJ636" s="1098"/>
      <c r="AK636" s="1098"/>
      <c r="AL636" s="1098"/>
      <c r="AM636" s="1098"/>
      <c r="AN636" s="1098"/>
      <c r="AO636" s="1098"/>
      <c r="AP636" s="1098"/>
      <c r="AQ636" s="1098"/>
      <c r="AR636" s="1098"/>
      <c r="AS636" s="1098"/>
      <c r="AT636" s="1098"/>
      <c r="AU636" s="1098"/>
      <c r="AV636" s="1098"/>
      <c r="AW636" s="1098"/>
      <c r="AX636" s="1098"/>
      <c r="AY636" s="1098"/>
      <c r="AZ636" s="1098"/>
      <c r="BA636" s="1098"/>
      <c r="BB636" s="1098"/>
      <c r="BC636" s="1098"/>
      <c r="BD636" s="1098"/>
      <c r="BE636" s="1098"/>
      <c r="BF636" s="1098"/>
      <c r="BG636" s="1098"/>
      <c r="BH636" s="1098"/>
      <c r="BI636" s="1098"/>
      <c r="BJ636" s="1098"/>
      <c r="BK636" s="1098"/>
      <c r="BL636" s="1098"/>
      <c r="BM636" s="1098"/>
      <c r="BN636" s="1098"/>
      <c r="BO636" s="1098"/>
      <c r="BP636" s="1098"/>
      <c r="BQ636" s="1098"/>
      <c r="BR636" s="1098"/>
      <c r="BS636" s="1098"/>
      <c r="BT636" s="1098"/>
      <c r="BU636" s="1098"/>
      <c r="BV636" s="1098"/>
      <c r="BW636" s="1098"/>
      <c r="BX636" s="1098"/>
      <c r="BY636" s="1098"/>
      <c r="BZ636" s="1098"/>
      <c r="CA636" s="1098"/>
      <c r="CB636" s="1098"/>
      <c r="CC636" s="1098"/>
      <c r="CD636" s="1098"/>
      <c r="CE636" s="1098"/>
      <c r="CF636" s="1098"/>
      <c r="CG636" s="1098"/>
      <c r="CH636" s="1098"/>
      <c r="CI636" s="1098"/>
      <c r="CJ636" s="1098"/>
      <c r="CK636" s="1098"/>
      <c r="CL636" s="1098"/>
      <c r="CM636" s="1098"/>
      <c r="CN636" s="1098"/>
      <c r="CO636" s="1098"/>
      <c r="CP636" s="1098"/>
      <c r="CQ636" s="1098"/>
      <c r="CR636" s="1098"/>
      <c r="CS636" s="1098"/>
      <c r="CT636" s="1098"/>
      <c r="CU636" s="1098"/>
      <c r="CV636" s="1098"/>
      <c r="CW636" s="1098"/>
      <c r="CX636" s="1098"/>
      <c r="CY636" s="1098"/>
      <c r="CZ636" s="1098"/>
      <c r="DA636" s="1098"/>
      <c r="DB636" s="1098"/>
      <c r="DC636" s="1098"/>
      <c r="DD636" s="1098"/>
      <c r="DE636" s="1098"/>
      <c r="DF636" s="1098"/>
      <c r="DG636" s="1098"/>
      <c r="DH636" s="1098"/>
      <c r="DI636" s="1098"/>
      <c r="DJ636" s="1098"/>
      <c r="DK636" s="1098"/>
      <c r="DL636" s="1098"/>
      <c r="DM636" s="1098"/>
      <c r="DN636" s="1098"/>
      <c r="DO636" s="1098"/>
      <c r="DP636" s="1098"/>
      <c r="DQ636" s="1098"/>
      <c r="DR636" s="1098"/>
      <c r="DS636" s="1098"/>
      <c r="DT636" s="1098"/>
      <c r="DU636" s="1098"/>
      <c r="DV636" s="1098"/>
      <c r="DW636" s="1098"/>
      <c r="DX636" s="1098"/>
      <c r="DY636" s="1098"/>
      <c r="DZ636" s="1098"/>
      <c r="EA636" s="1098"/>
      <c r="EB636" s="1098"/>
      <c r="EC636" s="1098"/>
      <c r="ED636" s="1098"/>
      <c r="EE636" s="1098"/>
      <c r="EF636" s="1098"/>
      <c r="EG636" s="1098"/>
      <c r="EH636" s="1098"/>
      <c r="EI636" s="1098"/>
      <c r="EJ636" s="1098"/>
      <c r="EK636" s="1098"/>
      <c r="EL636" s="1098"/>
      <c r="EM636" s="1098"/>
      <c r="EN636" s="1098"/>
      <c r="EO636" s="1098"/>
      <c r="EP636" s="1098"/>
      <c r="EQ636" s="1098"/>
      <c r="ER636" s="1098"/>
      <c r="ES636" s="1098"/>
      <c r="ET636" s="1098"/>
      <c r="EU636" s="1098"/>
      <c r="EV636" s="1098"/>
      <c r="EW636" s="1098"/>
      <c r="EX636" s="1098"/>
      <c r="EY636" s="1098"/>
      <c r="EZ636" s="1098"/>
      <c r="FA636" s="1098"/>
      <c r="FB636" s="1098"/>
      <c r="FC636" s="1098"/>
      <c r="FD636" s="1098"/>
      <c r="FE636" s="1098"/>
      <c r="FF636" s="1098"/>
      <c r="FG636" s="1098"/>
      <c r="FH636" s="1098"/>
      <c r="FI636" s="1098"/>
      <c r="FJ636" s="1098"/>
      <c r="FK636" s="1098"/>
      <c r="FL636" s="1098"/>
      <c r="FM636" s="1098"/>
      <c r="FN636" s="1098"/>
      <c r="FO636" s="1098"/>
      <c r="FP636" s="1098"/>
      <c r="FQ636" s="1098"/>
      <c r="FR636" s="1098"/>
      <c r="FS636" s="1098"/>
      <c r="FT636" s="1098"/>
      <c r="FU636" s="1098"/>
      <c r="FV636" s="1098"/>
      <c r="FW636" s="1098"/>
      <c r="FX636" s="1098"/>
      <c r="FY636" s="1098"/>
      <c r="FZ636" s="1098"/>
      <c r="GA636" s="1098"/>
      <c r="GB636" s="1098"/>
      <c r="GC636" s="1098"/>
      <c r="GD636" s="1098"/>
      <c r="GE636" s="1098"/>
      <c r="GF636" s="1098"/>
      <c r="GG636" s="1098"/>
      <c r="GH636" s="1098"/>
      <c r="GI636" s="1098"/>
      <c r="GJ636" s="1098"/>
      <c r="GK636" s="1098"/>
      <c r="GL636" s="1098"/>
      <c r="GM636" s="1098"/>
      <c r="GN636" s="1098"/>
      <c r="GO636" s="1098"/>
      <c r="GP636" s="1098"/>
      <c r="GQ636" s="1098"/>
      <c r="GR636" s="1098"/>
      <c r="GS636" s="1098"/>
      <c r="GT636" s="1098"/>
      <c r="GU636" s="1098"/>
      <c r="GV636" s="1098"/>
      <c r="GW636" s="1098"/>
      <c r="GX636" s="1098"/>
      <c r="GY636" s="1098"/>
      <c r="GZ636" s="1098"/>
      <c r="HA636" s="1098"/>
      <c r="HB636" s="1098"/>
      <c r="HC636" s="1098"/>
      <c r="HD636" s="1098"/>
      <c r="HE636" s="1098"/>
      <c r="HF636" s="1098"/>
      <c r="HG636" s="1098"/>
      <c r="HH636" s="1098"/>
      <c r="HI636" s="1098"/>
      <c r="HJ636" s="1098"/>
      <c r="HK636" s="1098"/>
      <c r="HL636" s="1098"/>
      <c r="HM636" s="1098"/>
      <c r="HN636" s="1098"/>
      <c r="HO636" s="1098"/>
      <c r="HP636" s="1098"/>
      <c r="HQ636" s="1098"/>
      <c r="HR636" s="1098"/>
      <c r="HS636" s="1098"/>
      <c r="HT636" s="1098"/>
      <c r="HU636" s="1098"/>
      <c r="HV636" s="1098"/>
      <c r="HW636" s="1098"/>
      <c r="HX636" s="1098"/>
      <c r="HY636" s="1098"/>
      <c r="HZ636" s="1098"/>
      <c r="IA636" s="1098"/>
      <c r="IB636" s="1098"/>
      <c r="IC636" s="1098"/>
      <c r="ID636" s="1098"/>
      <c r="IE636" s="1098"/>
      <c r="IF636" s="1098"/>
      <c r="IG636" s="1098"/>
      <c r="IH636" s="1098"/>
      <c r="II636" s="1098"/>
      <c r="IJ636" s="1098"/>
      <c r="IK636" s="1098"/>
      <c r="IL636" s="1098"/>
      <c r="IM636" s="1098"/>
      <c r="IN636" s="1098"/>
      <c r="IO636" s="1098"/>
      <c r="IP636" s="1098"/>
      <c r="IQ636" s="1098"/>
      <c r="IR636" s="1098"/>
      <c r="IS636" s="1098"/>
      <c r="IT636" s="1098"/>
      <c r="IU636" s="1098"/>
      <c r="IV636" s="1098"/>
      <c r="IW636" s="1098"/>
      <c r="IX636" s="1098"/>
      <c r="IY636" s="1098"/>
      <c r="IZ636" s="1098"/>
      <c r="JA636" s="1098"/>
      <c r="JB636" s="1098"/>
      <c r="JC636" s="1098"/>
      <c r="JD636" s="1098"/>
      <c r="JE636" s="1098"/>
      <c r="JF636" s="1098"/>
      <c r="JG636" s="1098"/>
      <c r="JH636" s="1098"/>
      <c r="JI636" s="1098"/>
      <c r="JJ636" s="1098"/>
      <c r="JK636" s="1098"/>
      <c r="JL636" s="1098"/>
      <c r="JM636" s="1098"/>
      <c r="JN636" s="1098"/>
      <c r="JO636" s="1098"/>
      <c r="JP636" s="1098"/>
      <c r="JQ636" s="1098"/>
      <c r="JR636" s="1098"/>
      <c r="JS636" s="1098"/>
      <c r="JT636" s="1098"/>
      <c r="JU636" s="1098"/>
      <c r="JV636" s="1098"/>
      <c r="JW636" s="1098"/>
      <c r="JX636" s="1098"/>
      <c r="JY636" s="1098"/>
      <c r="JZ636" s="1098"/>
      <c r="KA636" s="1098"/>
      <c r="KB636" s="1099"/>
    </row>
    <row r="637" spans="1:288" ht="15" customHeight="1" x14ac:dyDescent="0.35">
      <c r="B637" s="146" t="str">
        <f t="shared" si="54"/>
        <v>Desk 7</v>
      </c>
      <c r="C637" s="148" t="str">
        <v/>
      </c>
      <c r="D637" s="148" t="str">
        <v/>
      </c>
      <c r="E637" s="148" t="str">
        <v/>
      </c>
      <c r="F637" s="148" t="str">
        <v/>
      </c>
      <c r="G637" s="268" t="str">
        <v/>
      </c>
      <c r="H637" s="1098"/>
      <c r="I637" s="1098"/>
      <c r="J637" s="1098"/>
      <c r="K637" s="1098"/>
      <c r="L637" s="1098"/>
      <c r="M637" s="1098"/>
      <c r="N637" s="1098"/>
      <c r="O637" s="1098"/>
      <c r="P637" s="1098"/>
      <c r="Q637" s="1098"/>
      <c r="R637" s="1098"/>
      <c r="S637" s="1098"/>
      <c r="T637" s="1098"/>
      <c r="U637" s="1098"/>
      <c r="V637" s="1098"/>
      <c r="W637" s="1098"/>
      <c r="X637" s="1098"/>
      <c r="Y637" s="1098"/>
      <c r="Z637" s="1098"/>
      <c r="AA637" s="1098"/>
      <c r="AB637" s="1098"/>
      <c r="AC637" s="1098"/>
      <c r="AD637" s="1098"/>
      <c r="AE637" s="1098"/>
      <c r="AF637" s="1098"/>
      <c r="AG637" s="1098"/>
      <c r="AH637" s="1098"/>
      <c r="AI637" s="1098"/>
      <c r="AJ637" s="1098"/>
      <c r="AK637" s="1098"/>
      <c r="AL637" s="1098"/>
      <c r="AM637" s="1098"/>
      <c r="AN637" s="1098"/>
      <c r="AO637" s="1098"/>
      <c r="AP637" s="1098"/>
      <c r="AQ637" s="1098"/>
      <c r="AR637" s="1098"/>
      <c r="AS637" s="1098"/>
      <c r="AT637" s="1098"/>
      <c r="AU637" s="1098"/>
      <c r="AV637" s="1098"/>
      <c r="AW637" s="1098"/>
      <c r="AX637" s="1098"/>
      <c r="AY637" s="1098"/>
      <c r="AZ637" s="1098"/>
      <c r="BA637" s="1098"/>
      <c r="BB637" s="1098"/>
      <c r="BC637" s="1098"/>
      <c r="BD637" s="1098"/>
      <c r="BE637" s="1098"/>
      <c r="BF637" s="1098"/>
      <c r="BG637" s="1098"/>
      <c r="BH637" s="1098"/>
      <c r="BI637" s="1098"/>
      <c r="BJ637" s="1098"/>
      <c r="BK637" s="1098"/>
      <c r="BL637" s="1098"/>
      <c r="BM637" s="1098"/>
      <c r="BN637" s="1098"/>
      <c r="BO637" s="1098"/>
      <c r="BP637" s="1098"/>
      <c r="BQ637" s="1098"/>
      <c r="BR637" s="1098"/>
      <c r="BS637" s="1098"/>
      <c r="BT637" s="1098"/>
      <c r="BU637" s="1098"/>
      <c r="BV637" s="1098"/>
      <c r="BW637" s="1098"/>
      <c r="BX637" s="1098"/>
      <c r="BY637" s="1098"/>
      <c r="BZ637" s="1098"/>
      <c r="CA637" s="1098"/>
      <c r="CB637" s="1098"/>
      <c r="CC637" s="1098"/>
      <c r="CD637" s="1098"/>
      <c r="CE637" s="1098"/>
      <c r="CF637" s="1098"/>
      <c r="CG637" s="1098"/>
      <c r="CH637" s="1098"/>
      <c r="CI637" s="1098"/>
      <c r="CJ637" s="1098"/>
      <c r="CK637" s="1098"/>
      <c r="CL637" s="1098"/>
      <c r="CM637" s="1098"/>
      <c r="CN637" s="1098"/>
      <c r="CO637" s="1098"/>
      <c r="CP637" s="1098"/>
      <c r="CQ637" s="1098"/>
      <c r="CR637" s="1098"/>
      <c r="CS637" s="1098"/>
      <c r="CT637" s="1098"/>
      <c r="CU637" s="1098"/>
      <c r="CV637" s="1098"/>
      <c r="CW637" s="1098"/>
      <c r="CX637" s="1098"/>
      <c r="CY637" s="1098"/>
      <c r="CZ637" s="1098"/>
      <c r="DA637" s="1098"/>
      <c r="DB637" s="1098"/>
      <c r="DC637" s="1098"/>
      <c r="DD637" s="1098"/>
      <c r="DE637" s="1098"/>
      <c r="DF637" s="1098"/>
      <c r="DG637" s="1098"/>
      <c r="DH637" s="1098"/>
      <c r="DI637" s="1098"/>
      <c r="DJ637" s="1098"/>
      <c r="DK637" s="1098"/>
      <c r="DL637" s="1098"/>
      <c r="DM637" s="1098"/>
      <c r="DN637" s="1098"/>
      <c r="DO637" s="1098"/>
      <c r="DP637" s="1098"/>
      <c r="DQ637" s="1098"/>
      <c r="DR637" s="1098"/>
      <c r="DS637" s="1098"/>
      <c r="DT637" s="1098"/>
      <c r="DU637" s="1098"/>
      <c r="DV637" s="1098"/>
      <c r="DW637" s="1098"/>
      <c r="DX637" s="1098"/>
      <c r="DY637" s="1098"/>
      <c r="DZ637" s="1098"/>
      <c r="EA637" s="1098"/>
      <c r="EB637" s="1098"/>
      <c r="EC637" s="1098"/>
      <c r="ED637" s="1098"/>
      <c r="EE637" s="1098"/>
      <c r="EF637" s="1098"/>
      <c r="EG637" s="1098"/>
      <c r="EH637" s="1098"/>
      <c r="EI637" s="1098"/>
      <c r="EJ637" s="1098"/>
      <c r="EK637" s="1098"/>
      <c r="EL637" s="1098"/>
      <c r="EM637" s="1098"/>
      <c r="EN637" s="1098"/>
      <c r="EO637" s="1098"/>
      <c r="EP637" s="1098"/>
      <c r="EQ637" s="1098"/>
      <c r="ER637" s="1098"/>
      <c r="ES637" s="1098"/>
      <c r="ET637" s="1098"/>
      <c r="EU637" s="1098"/>
      <c r="EV637" s="1098"/>
      <c r="EW637" s="1098"/>
      <c r="EX637" s="1098"/>
      <c r="EY637" s="1098"/>
      <c r="EZ637" s="1098"/>
      <c r="FA637" s="1098"/>
      <c r="FB637" s="1098"/>
      <c r="FC637" s="1098"/>
      <c r="FD637" s="1098"/>
      <c r="FE637" s="1098"/>
      <c r="FF637" s="1098"/>
      <c r="FG637" s="1098"/>
      <c r="FH637" s="1098"/>
      <c r="FI637" s="1098"/>
      <c r="FJ637" s="1098"/>
      <c r="FK637" s="1098"/>
      <c r="FL637" s="1098"/>
      <c r="FM637" s="1098"/>
      <c r="FN637" s="1098"/>
      <c r="FO637" s="1098"/>
      <c r="FP637" s="1098"/>
      <c r="FQ637" s="1098"/>
      <c r="FR637" s="1098"/>
      <c r="FS637" s="1098"/>
      <c r="FT637" s="1098"/>
      <c r="FU637" s="1098"/>
      <c r="FV637" s="1098"/>
      <c r="FW637" s="1098"/>
      <c r="FX637" s="1098"/>
      <c r="FY637" s="1098"/>
      <c r="FZ637" s="1098"/>
      <c r="GA637" s="1098"/>
      <c r="GB637" s="1098"/>
      <c r="GC637" s="1098"/>
      <c r="GD637" s="1098"/>
      <c r="GE637" s="1098"/>
      <c r="GF637" s="1098"/>
      <c r="GG637" s="1098"/>
      <c r="GH637" s="1098"/>
      <c r="GI637" s="1098"/>
      <c r="GJ637" s="1098"/>
      <c r="GK637" s="1098"/>
      <c r="GL637" s="1098"/>
      <c r="GM637" s="1098"/>
      <c r="GN637" s="1098"/>
      <c r="GO637" s="1098"/>
      <c r="GP637" s="1098"/>
      <c r="GQ637" s="1098"/>
      <c r="GR637" s="1098"/>
      <c r="GS637" s="1098"/>
      <c r="GT637" s="1098"/>
      <c r="GU637" s="1098"/>
      <c r="GV637" s="1098"/>
      <c r="GW637" s="1098"/>
      <c r="GX637" s="1098"/>
      <c r="GY637" s="1098"/>
      <c r="GZ637" s="1098"/>
      <c r="HA637" s="1098"/>
      <c r="HB637" s="1098"/>
      <c r="HC637" s="1098"/>
      <c r="HD637" s="1098"/>
      <c r="HE637" s="1098"/>
      <c r="HF637" s="1098"/>
      <c r="HG637" s="1098"/>
      <c r="HH637" s="1098"/>
      <c r="HI637" s="1098"/>
      <c r="HJ637" s="1098"/>
      <c r="HK637" s="1098"/>
      <c r="HL637" s="1098"/>
      <c r="HM637" s="1098"/>
      <c r="HN637" s="1098"/>
      <c r="HO637" s="1098"/>
      <c r="HP637" s="1098"/>
      <c r="HQ637" s="1098"/>
      <c r="HR637" s="1098"/>
      <c r="HS637" s="1098"/>
      <c r="HT637" s="1098"/>
      <c r="HU637" s="1098"/>
      <c r="HV637" s="1098"/>
      <c r="HW637" s="1098"/>
      <c r="HX637" s="1098"/>
      <c r="HY637" s="1098"/>
      <c r="HZ637" s="1098"/>
      <c r="IA637" s="1098"/>
      <c r="IB637" s="1098"/>
      <c r="IC637" s="1098"/>
      <c r="ID637" s="1098"/>
      <c r="IE637" s="1098"/>
      <c r="IF637" s="1098"/>
      <c r="IG637" s="1098"/>
      <c r="IH637" s="1098"/>
      <c r="II637" s="1098"/>
      <c r="IJ637" s="1098"/>
      <c r="IK637" s="1098"/>
      <c r="IL637" s="1098"/>
      <c r="IM637" s="1098"/>
      <c r="IN637" s="1098"/>
      <c r="IO637" s="1098"/>
      <c r="IP637" s="1098"/>
      <c r="IQ637" s="1098"/>
      <c r="IR637" s="1098"/>
      <c r="IS637" s="1098"/>
      <c r="IT637" s="1098"/>
      <c r="IU637" s="1098"/>
      <c r="IV637" s="1098"/>
      <c r="IW637" s="1098"/>
      <c r="IX637" s="1098"/>
      <c r="IY637" s="1098"/>
      <c r="IZ637" s="1098"/>
      <c r="JA637" s="1098"/>
      <c r="JB637" s="1098"/>
      <c r="JC637" s="1098"/>
      <c r="JD637" s="1098"/>
      <c r="JE637" s="1098"/>
      <c r="JF637" s="1098"/>
      <c r="JG637" s="1098"/>
      <c r="JH637" s="1098"/>
      <c r="JI637" s="1098"/>
      <c r="JJ637" s="1098"/>
      <c r="JK637" s="1098"/>
      <c r="JL637" s="1098"/>
      <c r="JM637" s="1098"/>
      <c r="JN637" s="1098"/>
      <c r="JO637" s="1098"/>
      <c r="JP637" s="1098"/>
      <c r="JQ637" s="1098"/>
      <c r="JR637" s="1098"/>
      <c r="JS637" s="1098"/>
      <c r="JT637" s="1098"/>
      <c r="JU637" s="1098"/>
      <c r="JV637" s="1098"/>
      <c r="JW637" s="1098"/>
      <c r="JX637" s="1098"/>
      <c r="JY637" s="1098"/>
      <c r="JZ637" s="1098"/>
      <c r="KA637" s="1098"/>
      <c r="KB637" s="1099"/>
    </row>
    <row r="638" spans="1:288" ht="15" customHeight="1" x14ac:dyDescent="0.35">
      <c r="B638" s="146" t="str">
        <f t="shared" si="54"/>
        <v>Desk 8</v>
      </c>
      <c r="C638" s="148" t="str">
        <v/>
      </c>
      <c r="D638" s="148" t="str">
        <v/>
      </c>
      <c r="E638" s="148" t="str">
        <v/>
      </c>
      <c r="F638" s="148" t="str">
        <v/>
      </c>
      <c r="G638" s="268" t="str">
        <v/>
      </c>
      <c r="H638" s="1098"/>
      <c r="I638" s="1098"/>
      <c r="J638" s="1098"/>
      <c r="K638" s="1098"/>
      <c r="L638" s="1098"/>
      <c r="M638" s="1098"/>
      <c r="N638" s="1098"/>
      <c r="O638" s="1098"/>
      <c r="P638" s="1098"/>
      <c r="Q638" s="1098"/>
      <c r="R638" s="1098"/>
      <c r="S638" s="1098"/>
      <c r="T638" s="1098"/>
      <c r="U638" s="1098"/>
      <c r="V638" s="1098"/>
      <c r="W638" s="1098"/>
      <c r="X638" s="1098"/>
      <c r="Y638" s="1098"/>
      <c r="Z638" s="1098"/>
      <c r="AA638" s="1098"/>
      <c r="AB638" s="1098"/>
      <c r="AC638" s="1098"/>
      <c r="AD638" s="1098"/>
      <c r="AE638" s="1098"/>
      <c r="AF638" s="1098"/>
      <c r="AG638" s="1098"/>
      <c r="AH638" s="1098"/>
      <c r="AI638" s="1098"/>
      <c r="AJ638" s="1098"/>
      <c r="AK638" s="1098"/>
      <c r="AL638" s="1098"/>
      <c r="AM638" s="1098"/>
      <c r="AN638" s="1098"/>
      <c r="AO638" s="1098"/>
      <c r="AP638" s="1098"/>
      <c r="AQ638" s="1098"/>
      <c r="AR638" s="1098"/>
      <c r="AS638" s="1098"/>
      <c r="AT638" s="1098"/>
      <c r="AU638" s="1098"/>
      <c r="AV638" s="1098"/>
      <c r="AW638" s="1098"/>
      <c r="AX638" s="1098"/>
      <c r="AY638" s="1098"/>
      <c r="AZ638" s="1098"/>
      <c r="BA638" s="1098"/>
      <c r="BB638" s="1098"/>
      <c r="BC638" s="1098"/>
      <c r="BD638" s="1098"/>
      <c r="BE638" s="1098"/>
      <c r="BF638" s="1098"/>
      <c r="BG638" s="1098"/>
      <c r="BH638" s="1098"/>
      <c r="BI638" s="1098"/>
      <c r="BJ638" s="1098"/>
      <c r="BK638" s="1098"/>
      <c r="BL638" s="1098"/>
      <c r="BM638" s="1098"/>
      <c r="BN638" s="1098"/>
      <c r="BO638" s="1098"/>
      <c r="BP638" s="1098"/>
      <c r="BQ638" s="1098"/>
      <c r="BR638" s="1098"/>
      <c r="BS638" s="1098"/>
      <c r="BT638" s="1098"/>
      <c r="BU638" s="1098"/>
      <c r="BV638" s="1098"/>
      <c r="BW638" s="1098"/>
      <c r="BX638" s="1098"/>
      <c r="BY638" s="1098"/>
      <c r="BZ638" s="1098"/>
      <c r="CA638" s="1098"/>
      <c r="CB638" s="1098"/>
      <c r="CC638" s="1098"/>
      <c r="CD638" s="1098"/>
      <c r="CE638" s="1098"/>
      <c r="CF638" s="1098"/>
      <c r="CG638" s="1098"/>
      <c r="CH638" s="1098"/>
      <c r="CI638" s="1098"/>
      <c r="CJ638" s="1098"/>
      <c r="CK638" s="1098"/>
      <c r="CL638" s="1098"/>
      <c r="CM638" s="1098"/>
      <c r="CN638" s="1098"/>
      <c r="CO638" s="1098"/>
      <c r="CP638" s="1098"/>
      <c r="CQ638" s="1098"/>
      <c r="CR638" s="1098"/>
      <c r="CS638" s="1098"/>
      <c r="CT638" s="1098"/>
      <c r="CU638" s="1098"/>
      <c r="CV638" s="1098"/>
      <c r="CW638" s="1098"/>
      <c r="CX638" s="1098"/>
      <c r="CY638" s="1098"/>
      <c r="CZ638" s="1098"/>
      <c r="DA638" s="1098"/>
      <c r="DB638" s="1098"/>
      <c r="DC638" s="1098"/>
      <c r="DD638" s="1098"/>
      <c r="DE638" s="1098"/>
      <c r="DF638" s="1098"/>
      <c r="DG638" s="1098"/>
      <c r="DH638" s="1098"/>
      <c r="DI638" s="1098"/>
      <c r="DJ638" s="1098"/>
      <c r="DK638" s="1098"/>
      <c r="DL638" s="1098"/>
      <c r="DM638" s="1098"/>
      <c r="DN638" s="1098"/>
      <c r="DO638" s="1098"/>
      <c r="DP638" s="1098"/>
      <c r="DQ638" s="1098"/>
      <c r="DR638" s="1098"/>
      <c r="DS638" s="1098"/>
      <c r="DT638" s="1098"/>
      <c r="DU638" s="1098"/>
      <c r="DV638" s="1098"/>
      <c r="DW638" s="1098"/>
      <c r="DX638" s="1098"/>
      <c r="DY638" s="1098"/>
      <c r="DZ638" s="1098"/>
      <c r="EA638" s="1098"/>
      <c r="EB638" s="1098"/>
      <c r="EC638" s="1098"/>
      <c r="ED638" s="1098"/>
      <c r="EE638" s="1098"/>
      <c r="EF638" s="1098"/>
      <c r="EG638" s="1098"/>
      <c r="EH638" s="1098"/>
      <c r="EI638" s="1098"/>
      <c r="EJ638" s="1098"/>
      <c r="EK638" s="1098"/>
      <c r="EL638" s="1098"/>
      <c r="EM638" s="1098"/>
      <c r="EN638" s="1098"/>
      <c r="EO638" s="1098"/>
      <c r="EP638" s="1098"/>
      <c r="EQ638" s="1098"/>
      <c r="ER638" s="1098"/>
      <c r="ES638" s="1098"/>
      <c r="ET638" s="1098"/>
      <c r="EU638" s="1098"/>
      <c r="EV638" s="1098"/>
      <c r="EW638" s="1098"/>
      <c r="EX638" s="1098"/>
      <c r="EY638" s="1098"/>
      <c r="EZ638" s="1098"/>
      <c r="FA638" s="1098"/>
      <c r="FB638" s="1098"/>
      <c r="FC638" s="1098"/>
      <c r="FD638" s="1098"/>
      <c r="FE638" s="1098"/>
      <c r="FF638" s="1098"/>
      <c r="FG638" s="1098"/>
      <c r="FH638" s="1098"/>
      <c r="FI638" s="1098"/>
      <c r="FJ638" s="1098"/>
      <c r="FK638" s="1098"/>
      <c r="FL638" s="1098"/>
      <c r="FM638" s="1098"/>
      <c r="FN638" s="1098"/>
      <c r="FO638" s="1098"/>
      <c r="FP638" s="1098"/>
      <c r="FQ638" s="1098"/>
      <c r="FR638" s="1098"/>
      <c r="FS638" s="1098"/>
      <c r="FT638" s="1098"/>
      <c r="FU638" s="1098"/>
      <c r="FV638" s="1098"/>
      <c r="FW638" s="1098"/>
      <c r="FX638" s="1098"/>
      <c r="FY638" s="1098"/>
      <c r="FZ638" s="1098"/>
      <c r="GA638" s="1098"/>
      <c r="GB638" s="1098"/>
      <c r="GC638" s="1098"/>
      <c r="GD638" s="1098"/>
      <c r="GE638" s="1098"/>
      <c r="GF638" s="1098"/>
      <c r="GG638" s="1098"/>
      <c r="GH638" s="1098"/>
      <c r="GI638" s="1098"/>
      <c r="GJ638" s="1098"/>
      <c r="GK638" s="1098"/>
      <c r="GL638" s="1098"/>
      <c r="GM638" s="1098"/>
      <c r="GN638" s="1098"/>
      <c r="GO638" s="1098"/>
      <c r="GP638" s="1098"/>
      <c r="GQ638" s="1098"/>
      <c r="GR638" s="1098"/>
      <c r="GS638" s="1098"/>
      <c r="GT638" s="1098"/>
      <c r="GU638" s="1098"/>
      <c r="GV638" s="1098"/>
      <c r="GW638" s="1098"/>
      <c r="GX638" s="1098"/>
      <c r="GY638" s="1098"/>
      <c r="GZ638" s="1098"/>
      <c r="HA638" s="1098"/>
      <c r="HB638" s="1098"/>
      <c r="HC638" s="1098"/>
      <c r="HD638" s="1098"/>
      <c r="HE638" s="1098"/>
      <c r="HF638" s="1098"/>
      <c r="HG638" s="1098"/>
      <c r="HH638" s="1098"/>
      <c r="HI638" s="1098"/>
      <c r="HJ638" s="1098"/>
      <c r="HK638" s="1098"/>
      <c r="HL638" s="1098"/>
      <c r="HM638" s="1098"/>
      <c r="HN638" s="1098"/>
      <c r="HO638" s="1098"/>
      <c r="HP638" s="1098"/>
      <c r="HQ638" s="1098"/>
      <c r="HR638" s="1098"/>
      <c r="HS638" s="1098"/>
      <c r="HT638" s="1098"/>
      <c r="HU638" s="1098"/>
      <c r="HV638" s="1098"/>
      <c r="HW638" s="1098"/>
      <c r="HX638" s="1098"/>
      <c r="HY638" s="1098"/>
      <c r="HZ638" s="1098"/>
      <c r="IA638" s="1098"/>
      <c r="IB638" s="1098"/>
      <c r="IC638" s="1098"/>
      <c r="ID638" s="1098"/>
      <c r="IE638" s="1098"/>
      <c r="IF638" s="1098"/>
      <c r="IG638" s="1098"/>
      <c r="IH638" s="1098"/>
      <c r="II638" s="1098"/>
      <c r="IJ638" s="1098"/>
      <c r="IK638" s="1098"/>
      <c r="IL638" s="1098"/>
      <c r="IM638" s="1098"/>
      <c r="IN638" s="1098"/>
      <c r="IO638" s="1098"/>
      <c r="IP638" s="1098"/>
      <c r="IQ638" s="1098"/>
      <c r="IR638" s="1098"/>
      <c r="IS638" s="1098"/>
      <c r="IT638" s="1098"/>
      <c r="IU638" s="1098"/>
      <c r="IV638" s="1098"/>
      <c r="IW638" s="1098"/>
      <c r="IX638" s="1098"/>
      <c r="IY638" s="1098"/>
      <c r="IZ638" s="1098"/>
      <c r="JA638" s="1098"/>
      <c r="JB638" s="1098"/>
      <c r="JC638" s="1098"/>
      <c r="JD638" s="1098"/>
      <c r="JE638" s="1098"/>
      <c r="JF638" s="1098"/>
      <c r="JG638" s="1098"/>
      <c r="JH638" s="1098"/>
      <c r="JI638" s="1098"/>
      <c r="JJ638" s="1098"/>
      <c r="JK638" s="1098"/>
      <c r="JL638" s="1098"/>
      <c r="JM638" s="1098"/>
      <c r="JN638" s="1098"/>
      <c r="JO638" s="1098"/>
      <c r="JP638" s="1098"/>
      <c r="JQ638" s="1098"/>
      <c r="JR638" s="1098"/>
      <c r="JS638" s="1098"/>
      <c r="JT638" s="1098"/>
      <c r="JU638" s="1098"/>
      <c r="JV638" s="1098"/>
      <c r="JW638" s="1098"/>
      <c r="JX638" s="1098"/>
      <c r="JY638" s="1098"/>
      <c r="JZ638" s="1098"/>
      <c r="KA638" s="1098"/>
      <c r="KB638" s="1099"/>
    </row>
    <row r="639" spans="1:288" ht="15" customHeight="1" x14ac:dyDescent="0.35">
      <c r="B639" s="146" t="str">
        <f t="shared" si="54"/>
        <v>Desk 9</v>
      </c>
      <c r="C639" s="148" t="str">
        <v/>
      </c>
      <c r="D639" s="148" t="str">
        <v/>
      </c>
      <c r="E639" s="148" t="str">
        <v/>
      </c>
      <c r="F639" s="148" t="str">
        <v/>
      </c>
      <c r="G639" s="268" t="str">
        <v/>
      </c>
      <c r="H639" s="1098"/>
      <c r="I639" s="1098"/>
      <c r="J639" s="1098"/>
      <c r="K639" s="1098"/>
      <c r="L639" s="1098"/>
      <c r="M639" s="1098"/>
      <c r="N639" s="1098"/>
      <c r="O639" s="1098"/>
      <c r="P639" s="1098"/>
      <c r="Q639" s="1098"/>
      <c r="R639" s="1098"/>
      <c r="S639" s="1098"/>
      <c r="T639" s="1098"/>
      <c r="U639" s="1098"/>
      <c r="V639" s="1098"/>
      <c r="W639" s="1098"/>
      <c r="X639" s="1098"/>
      <c r="Y639" s="1098"/>
      <c r="Z639" s="1098"/>
      <c r="AA639" s="1098"/>
      <c r="AB639" s="1098"/>
      <c r="AC639" s="1098"/>
      <c r="AD639" s="1098"/>
      <c r="AE639" s="1098"/>
      <c r="AF639" s="1098"/>
      <c r="AG639" s="1098"/>
      <c r="AH639" s="1098"/>
      <c r="AI639" s="1098"/>
      <c r="AJ639" s="1098"/>
      <c r="AK639" s="1098"/>
      <c r="AL639" s="1098"/>
      <c r="AM639" s="1098"/>
      <c r="AN639" s="1098"/>
      <c r="AO639" s="1098"/>
      <c r="AP639" s="1098"/>
      <c r="AQ639" s="1098"/>
      <c r="AR639" s="1098"/>
      <c r="AS639" s="1098"/>
      <c r="AT639" s="1098"/>
      <c r="AU639" s="1098"/>
      <c r="AV639" s="1098"/>
      <c r="AW639" s="1098"/>
      <c r="AX639" s="1098"/>
      <c r="AY639" s="1098"/>
      <c r="AZ639" s="1098"/>
      <c r="BA639" s="1098"/>
      <c r="BB639" s="1098"/>
      <c r="BC639" s="1098"/>
      <c r="BD639" s="1098"/>
      <c r="BE639" s="1098"/>
      <c r="BF639" s="1098"/>
      <c r="BG639" s="1098"/>
      <c r="BH639" s="1098"/>
      <c r="BI639" s="1098"/>
      <c r="BJ639" s="1098"/>
      <c r="BK639" s="1098"/>
      <c r="BL639" s="1098"/>
      <c r="BM639" s="1098"/>
      <c r="BN639" s="1098"/>
      <c r="BO639" s="1098"/>
      <c r="BP639" s="1098"/>
      <c r="BQ639" s="1098"/>
      <c r="BR639" s="1098"/>
      <c r="BS639" s="1098"/>
      <c r="BT639" s="1098"/>
      <c r="BU639" s="1098"/>
      <c r="BV639" s="1098"/>
      <c r="BW639" s="1098"/>
      <c r="BX639" s="1098"/>
      <c r="BY639" s="1098"/>
      <c r="BZ639" s="1098"/>
      <c r="CA639" s="1098"/>
      <c r="CB639" s="1098"/>
      <c r="CC639" s="1098"/>
      <c r="CD639" s="1098"/>
      <c r="CE639" s="1098"/>
      <c r="CF639" s="1098"/>
      <c r="CG639" s="1098"/>
      <c r="CH639" s="1098"/>
      <c r="CI639" s="1098"/>
      <c r="CJ639" s="1098"/>
      <c r="CK639" s="1098"/>
      <c r="CL639" s="1098"/>
      <c r="CM639" s="1098"/>
      <c r="CN639" s="1098"/>
      <c r="CO639" s="1098"/>
      <c r="CP639" s="1098"/>
      <c r="CQ639" s="1098"/>
      <c r="CR639" s="1098"/>
      <c r="CS639" s="1098"/>
      <c r="CT639" s="1098"/>
      <c r="CU639" s="1098"/>
      <c r="CV639" s="1098"/>
      <c r="CW639" s="1098"/>
      <c r="CX639" s="1098"/>
      <c r="CY639" s="1098"/>
      <c r="CZ639" s="1098"/>
      <c r="DA639" s="1098"/>
      <c r="DB639" s="1098"/>
      <c r="DC639" s="1098"/>
      <c r="DD639" s="1098"/>
      <c r="DE639" s="1098"/>
      <c r="DF639" s="1098"/>
      <c r="DG639" s="1098"/>
      <c r="DH639" s="1098"/>
      <c r="DI639" s="1098"/>
      <c r="DJ639" s="1098"/>
      <c r="DK639" s="1098"/>
      <c r="DL639" s="1098"/>
      <c r="DM639" s="1098"/>
      <c r="DN639" s="1098"/>
      <c r="DO639" s="1098"/>
      <c r="DP639" s="1098"/>
      <c r="DQ639" s="1098"/>
      <c r="DR639" s="1098"/>
      <c r="DS639" s="1098"/>
      <c r="DT639" s="1098"/>
      <c r="DU639" s="1098"/>
      <c r="DV639" s="1098"/>
      <c r="DW639" s="1098"/>
      <c r="DX639" s="1098"/>
      <c r="DY639" s="1098"/>
      <c r="DZ639" s="1098"/>
      <c r="EA639" s="1098"/>
      <c r="EB639" s="1098"/>
      <c r="EC639" s="1098"/>
      <c r="ED639" s="1098"/>
      <c r="EE639" s="1098"/>
      <c r="EF639" s="1098"/>
      <c r="EG639" s="1098"/>
      <c r="EH639" s="1098"/>
      <c r="EI639" s="1098"/>
      <c r="EJ639" s="1098"/>
      <c r="EK639" s="1098"/>
      <c r="EL639" s="1098"/>
      <c r="EM639" s="1098"/>
      <c r="EN639" s="1098"/>
      <c r="EO639" s="1098"/>
      <c r="EP639" s="1098"/>
      <c r="EQ639" s="1098"/>
      <c r="ER639" s="1098"/>
      <c r="ES639" s="1098"/>
      <c r="ET639" s="1098"/>
      <c r="EU639" s="1098"/>
      <c r="EV639" s="1098"/>
      <c r="EW639" s="1098"/>
      <c r="EX639" s="1098"/>
      <c r="EY639" s="1098"/>
      <c r="EZ639" s="1098"/>
      <c r="FA639" s="1098"/>
      <c r="FB639" s="1098"/>
      <c r="FC639" s="1098"/>
      <c r="FD639" s="1098"/>
      <c r="FE639" s="1098"/>
      <c r="FF639" s="1098"/>
      <c r="FG639" s="1098"/>
      <c r="FH639" s="1098"/>
      <c r="FI639" s="1098"/>
      <c r="FJ639" s="1098"/>
      <c r="FK639" s="1098"/>
      <c r="FL639" s="1098"/>
      <c r="FM639" s="1098"/>
      <c r="FN639" s="1098"/>
      <c r="FO639" s="1098"/>
      <c r="FP639" s="1098"/>
      <c r="FQ639" s="1098"/>
      <c r="FR639" s="1098"/>
      <c r="FS639" s="1098"/>
      <c r="FT639" s="1098"/>
      <c r="FU639" s="1098"/>
      <c r="FV639" s="1098"/>
      <c r="FW639" s="1098"/>
      <c r="FX639" s="1098"/>
      <c r="FY639" s="1098"/>
      <c r="FZ639" s="1098"/>
      <c r="GA639" s="1098"/>
      <c r="GB639" s="1098"/>
      <c r="GC639" s="1098"/>
      <c r="GD639" s="1098"/>
      <c r="GE639" s="1098"/>
      <c r="GF639" s="1098"/>
      <c r="GG639" s="1098"/>
      <c r="GH639" s="1098"/>
      <c r="GI639" s="1098"/>
      <c r="GJ639" s="1098"/>
      <c r="GK639" s="1098"/>
      <c r="GL639" s="1098"/>
      <c r="GM639" s="1098"/>
      <c r="GN639" s="1098"/>
      <c r="GO639" s="1098"/>
      <c r="GP639" s="1098"/>
      <c r="GQ639" s="1098"/>
      <c r="GR639" s="1098"/>
      <c r="GS639" s="1098"/>
      <c r="GT639" s="1098"/>
      <c r="GU639" s="1098"/>
      <c r="GV639" s="1098"/>
      <c r="GW639" s="1098"/>
      <c r="GX639" s="1098"/>
      <c r="GY639" s="1098"/>
      <c r="GZ639" s="1098"/>
      <c r="HA639" s="1098"/>
      <c r="HB639" s="1098"/>
      <c r="HC639" s="1098"/>
      <c r="HD639" s="1098"/>
      <c r="HE639" s="1098"/>
      <c r="HF639" s="1098"/>
      <c r="HG639" s="1098"/>
      <c r="HH639" s="1098"/>
      <c r="HI639" s="1098"/>
      <c r="HJ639" s="1098"/>
      <c r="HK639" s="1098"/>
      <c r="HL639" s="1098"/>
      <c r="HM639" s="1098"/>
      <c r="HN639" s="1098"/>
      <c r="HO639" s="1098"/>
      <c r="HP639" s="1098"/>
      <c r="HQ639" s="1098"/>
      <c r="HR639" s="1098"/>
      <c r="HS639" s="1098"/>
      <c r="HT639" s="1098"/>
      <c r="HU639" s="1098"/>
      <c r="HV639" s="1098"/>
      <c r="HW639" s="1098"/>
      <c r="HX639" s="1098"/>
      <c r="HY639" s="1098"/>
      <c r="HZ639" s="1098"/>
      <c r="IA639" s="1098"/>
      <c r="IB639" s="1098"/>
      <c r="IC639" s="1098"/>
      <c r="ID639" s="1098"/>
      <c r="IE639" s="1098"/>
      <c r="IF639" s="1098"/>
      <c r="IG639" s="1098"/>
      <c r="IH639" s="1098"/>
      <c r="II639" s="1098"/>
      <c r="IJ639" s="1098"/>
      <c r="IK639" s="1098"/>
      <c r="IL639" s="1098"/>
      <c r="IM639" s="1098"/>
      <c r="IN639" s="1098"/>
      <c r="IO639" s="1098"/>
      <c r="IP639" s="1098"/>
      <c r="IQ639" s="1098"/>
      <c r="IR639" s="1098"/>
      <c r="IS639" s="1098"/>
      <c r="IT639" s="1098"/>
      <c r="IU639" s="1098"/>
      <c r="IV639" s="1098"/>
      <c r="IW639" s="1098"/>
      <c r="IX639" s="1098"/>
      <c r="IY639" s="1098"/>
      <c r="IZ639" s="1098"/>
      <c r="JA639" s="1098"/>
      <c r="JB639" s="1098"/>
      <c r="JC639" s="1098"/>
      <c r="JD639" s="1098"/>
      <c r="JE639" s="1098"/>
      <c r="JF639" s="1098"/>
      <c r="JG639" s="1098"/>
      <c r="JH639" s="1098"/>
      <c r="JI639" s="1098"/>
      <c r="JJ639" s="1098"/>
      <c r="JK639" s="1098"/>
      <c r="JL639" s="1098"/>
      <c r="JM639" s="1098"/>
      <c r="JN639" s="1098"/>
      <c r="JO639" s="1098"/>
      <c r="JP639" s="1098"/>
      <c r="JQ639" s="1098"/>
      <c r="JR639" s="1098"/>
      <c r="JS639" s="1098"/>
      <c r="JT639" s="1098"/>
      <c r="JU639" s="1098"/>
      <c r="JV639" s="1098"/>
      <c r="JW639" s="1098"/>
      <c r="JX639" s="1098"/>
      <c r="JY639" s="1098"/>
      <c r="JZ639" s="1098"/>
      <c r="KA639" s="1098"/>
      <c r="KB639" s="1099"/>
    </row>
    <row r="640" spans="1:288" ht="15" customHeight="1" x14ac:dyDescent="0.35">
      <c r="B640" s="146" t="str">
        <f t="shared" si="54"/>
        <v>Desk 10</v>
      </c>
      <c r="C640" s="148" t="str">
        <v/>
      </c>
      <c r="D640" s="148" t="str">
        <v/>
      </c>
      <c r="E640" s="148" t="str">
        <v/>
      </c>
      <c r="F640" s="148" t="str">
        <v/>
      </c>
      <c r="G640" s="268" t="str">
        <v/>
      </c>
      <c r="H640" s="1098"/>
      <c r="I640" s="1098"/>
      <c r="J640" s="1098"/>
      <c r="K640" s="1098"/>
      <c r="L640" s="1098"/>
      <c r="M640" s="1098"/>
      <c r="N640" s="1098"/>
      <c r="O640" s="1098"/>
      <c r="P640" s="1098"/>
      <c r="Q640" s="1098"/>
      <c r="R640" s="1098"/>
      <c r="S640" s="1098"/>
      <c r="T640" s="1098"/>
      <c r="U640" s="1098"/>
      <c r="V640" s="1098"/>
      <c r="W640" s="1098"/>
      <c r="X640" s="1098"/>
      <c r="Y640" s="1098"/>
      <c r="Z640" s="1098"/>
      <c r="AA640" s="1098"/>
      <c r="AB640" s="1098"/>
      <c r="AC640" s="1098"/>
      <c r="AD640" s="1098"/>
      <c r="AE640" s="1098"/>
      <c r="AF640" s="1098"/>
      <c r="AG640" s="1098"/>
      <c r="AH640" s="1098"/>
      <c r="AI640" s="1098"/>
      <c r="AJ640" s="1098"/>
      <c r="AK640" s="1098"/>
      <c r="AL640" s="1098"/>
      <c r="AM640" s="1098"/>
      <c r="AN640" s="1098"/>
      <c r="AO640" s="1098"/>
      <c r="AP640" s="1098"/>
      <c r="AQ640" s="1098"/>
      <c r="AR640" s="1098"/>
      <c r="AS640" s="1098"/>
      <c r="AT640" s="1098"/>
      <c r="AU640" s="1098"/>
      <c r="AV640" s="1098"/>
      <c r="AW640" s="1098"/>
      <c r="AX640" s="1098"/>
      <c r="AY640" s="1098"/>
      <c r="AZ640" s="1098"/>
      <c r="BA640" s="1098"/>
      <c r="BB640" s="1098"/>
      <c r="BC640" s="1098"/>
      <c r="BD640" s="1098"/>
      <c r="BE640" s="1098"/>
      <c r="BF640" s="1098"/>
      <c r="BG640" s="1098"/>
      <c r="BH640" s="1098"/>
      <c r="BI640" s="1098"/>
      <c r="BJ640" s="1098"/>
      <c r="BK640" s="1098"/>
      <c r="BL640" s="1098"/>
      <c r="BM640" s="1098"/>
      <c r="BN640" s="1098"/>
      <c r="BO640" s="1098"/>
      <c r="BP640" s="1098"/>
      <c r="BQ640" s="1098"/>
      <c r="BR640" s="1098"/>
      <c r="BS640" s="1098"/>
      <c r="BT640" s="1098"/>
      <c r="BU640" s="1098"/>
      <c r="BV640" s="1098"/>
      <c r="BW640" s="1098"/>
      <c r="BX640" s="1098"/>
      <c r="BY640" s="1098"/>
      <c r="BZ640" s="1098"/>
      <c r="CA640" s="1098"/>
      <c r="CB640" s="1098"/>
      <c r="CC640" s="1098"/>
      <c r="CD640" s="1098"/>
      <c r="CE640" s="1098"/>
      <c r="CF640" s="1098"/>
      <c r="CG640" s="1098"/>
      <c r="CH640" s="1098"/>
      <c r="CI640" s="1098"/>
      <c r="CJ640" s="1098"/>
      <c r="CK640" s="1098"/>
      <c r="CL640" s="1098"/>
      <c r="CM640" s="1098"/>
      <c r="CN640" s="1098"/>
      <c r="CO640" s="1098"/>
      <c r="CP640" s="1098"/>
      <c r="CQ640" s="1098"/>
      <c r="CR640" s="1098"/>
      <c r="CS640" s="1098"/>
      <c r="CT640" s="1098"/>
      <c r="CU640" s="1098"/>
      <c r="CV640" s="1098"/>
      <c r="CW640" s="1098"/>
      <c r="CX640" s="1098"/>
      <c r="CY640" s="1098"/>
      <c r="CZ640" s="1098"/>
      <c r="DA640" s="1098"/>
      <c r="DB640" s="1098"/>
      <c r="DC640" s="1098"/>
      <c r="DD640" s="1098"/>
      <c r="DE640" s="1098"/>
      <c r="DF640" s="1098"/>
      <c r="DG640" s="1098"/>
      <c r="DH640" s="1098"/>
      <c r="DI640" s="1098"/>
      <c r="DJ640" s="1098"/>
      <c r="DK640" s="1098"/>
      <c r="DL640" s="1098"/>
      <c r="DM640" s="1098"/>
      <c r="DN640" s="1098"/>
      <c r="DO640" s="1098"/>
      <c r="DP640" s="1098"/>
      <c r="DQ640" s="1098"/>
      <c r="DR640" s="1098"/>
      <c r="DS640" s="1098"/>
      <c r="DT640" s="1098"/>
      <c r="DU640" s="1098"/>
      <c r="DV640" s="1098"/>
      <c r="DW640" s="1098"/>
      <c r="DX640" s="1098"/>
      <c r="DY640" s="1098"/>
      <c r="DZ640" s="1098"/>
      <c r="EA640" s="1098"/>
      <c r="EB640" s="1098"/>
      <c r="EC640" s="1098"/>
      <c r="ED640" s="1098"/>
      <c r="EE640" s="1098"/>
      <c r="EF640" s="1098"/>
      <c r="EG640" s="1098"/>
      <c r="EH640" s="1098"/>
      <c r="EI640" s="1098"/>
      <c r="EJ640" s="1098"/>
      <c r="EK640" s="1098"/>
      <c r="EL640" s="1098"/>
      <c r="EM640" s="1098"/>
      <c r="EN640" s="1098"/>
      <c r="EO640" s="1098"/>
      <c r="EP640" s="1098"/>
      <c r="EQ640" s="1098"/>
      <c r="ER640" s="1098"/>
      <c r="ES640" s="1098"/>
      <c r="ET640" s="1098"/>
      <c r="EU640" s="1098"/>
      <c r="EV640" s="1098"/>
      <c r="EW640" s="1098"/>
      <c r="EX640" s="1098"/>
      <c r="EY640" s="1098"/>
      <c r="EZ640" s="1098"/>
      <c r="FA640" s="1098"/>
      <c r="FB640" s="1098"/>
      <c r="FC640" s="1098"/>
      <c r="FD640" s="1098"/>
      <c r="FE640" s="1098"/>
      <c r="FF640" s="1098"/>
      <c r="FG640" s="1098"/>
      <c r="FH640" s="1098"/>
      <c r="FI640" s="1098"/>
      <c r="FJ640" s="1098"/>
      <c r="FK640" s="1098"/>
      <c r="FL640" s="1098"/>
      <c r="FM640" s="1098"/>
      <c r="FN640" s="1098"/>
      <c r="FO640" s="1098"/>
      <c r="FP640" s="1098"/>
      <c r="FQ640" s="1098"/>
      <c r="FR640" s="1098"/>
      <c r="FS640" s="1098"/>
      <c r="FT640" s="1098"/>
      <c r="FU640" s="1098"/>
      <c r="FV640" s="1098"/>
      <c r="FW640" s="1098"/>
      <c r="FX640" s="1098"/>
      <c r="FY640" s="1098"/>
      <c r="FZ640" s="1098"/>
      <c r="GA640" s="1098"/>
      <c r="GB640" s="1098"/>
      <c r="GC640" s="1098"/>
      <c r="GD640" s="1098"/>
      <c r="GE640" s="1098"/>
      <c r="GF640" s="1098"/>
      <c r="GG640" s="1098"/>
      <c r="GH640" s="1098"/>
      <c r="GI640" s="1098"/>
      <c r="GJ640" s="1098"/>
      <c r="GK640" s="1098"/>
      <c r="GL640" s="1098"/>
      <c r="GM640" s="1098"/>
      <c r="GN640" s="1098"/>
      <c r="GO640" s="1098"/>
      <c r="GP640" s="1098"/>
      <c r="GQ640" s="1098"/>
      <c r="GR640" s="1098"/>
      <c r="GS640" s="1098"/>
      <c r="GT640" s="1098"/>
      <c r="GU640" s="1098"/>
      <c r="GV640" s="1098"/>
      <c r="GW640" s="1098"/>
      <c r="GX640" s="1098"/>
      <c r="GY640" s="1098"/>
      <c r="GZ640" s="1098"/>
      <c r="HA640" s="1098"/>
      <c r="HB640" s="1098"/>
      <c r="HC640" s="1098"/>
      <c r="HD640" s="1098"/>
      <c r="HE640" s="1098"/>
      <c r="HF640" s="1098"/>
      <c r="HG640" s="1098"/>
      <c r="HH640" s="1098"/>
      <c r="HI640" s="1098"/>
      <c r="HJ640" s="1098"/>
      <c r="HK640" s="1098"/>
      <c r="HL640" s="1098"/>
      <c r="HM640" s="1098"/>
      <c r="HN640" s="1098"/>
      <c r="HO640" s="1098"/>
      <c r="HP640" s="1098"/>
      <c r="HQ640" s="1098"/>
      <c r="HR640" s="1098"/>
      <c r="HS640" s="1098"/>
      <c r="HT640" s="1098"/>
      <c r="HU640" s="1098"/>
      <c r="HV640" s="1098"/>
      <c r="HW640" s="1098"/>
      <c r="HX640" s="1098"/>
      <c r="HY640" s="1098"/>
      <c r="HZ640" s="1098"/>
      <c r="IA640" s="1098"/>
      <c r="IB640" s="1098"/>
      <c r="IC640" s="1098"/>
      <c r="ID640" s="1098"/>
      <c r="IE640" s="1098"/>
      <c r="IF640" s="1098"/>
      <c r="IG640" s="1098"/>
      <c r="IH640" s="1098"/>
      <c r="II640" s="1098"/>
      <c r="IJ640" s="1098"/>
      <c r="IK640" s="1098"/>
      <c r="IL640" s="1098"/>
      <c r="IM640" s="1098"/>
      <c r="IN640" s="1098"/>
      <c r="IO640" s="1098"/>
      <c r="IP640" s="1098"/>
      <c r="IQ640" s="1098"/>
      <c r="IR640" s="1098"/>
      <c r="IS640" s="1098"/>
      <c r="IT640" s="1098"/>
      <c r="IU640" s="1098"/>
      <c r="IV640" s="1098"/>
      <c r="IW640" s="1098"/>
      <c r="IX640" s="1098"/>
      <c r="IY640" s="1098"/>
      <c r="IZ640" s="1098"/>
      <c r="JA640" s="1098"/>
      <c r="JB640" s="1098"/>
      <c r="JC640" s="1098"/>
      <c r="JD640" s="1098"/>
      <c r="JE640" s="1098"/>
      <c r="JF640" s="1098"/>
      <c r="JG640" s="1098"/>
      <c r="JH640" s="1098"/>
      <c r="JI640" s="1098"/>
      <c r="JJ640" s="1098"/>
      <c r="JK640" s="1098"/>
      <c r="JL640" s="1098"/>
      <c r="JM640" s="1098"/>
      <c r="JN640" s="1098"/>
      <c r="JO640" s="1098"/>
      <c r="JP640" s="1098"/>
      <c r="JQ640" s="1098"/>
      <c r="JR640" s="1098"/>
      <c r="JS640" s="1098"/>
      <c r="JT640" s="1098"/>
      <c r="JU640" s="1098"/>
      <c r="JV640" s="1098"/>
      <c r="JW640" s="1098"/>
      <c r="JX640" s="1098"/>
      <c r="JY640" s="1098"/>
      <c r="JZ640" s="1098"/>
      <c r="KA640" s="1098"/>
      <c r="KB640" s="1099"/>
    </row>
    <row r="641" spans="2:288" ht="15" customHeight="1" x14ac:dyDescent="0.35">
      <c r="B641" s="146" t="str">
        <f t="shared" si="54"/>
        <v>Desk 11</v>
      </c>
      <c r="C641" s="148" t="str">
        <v/>
      </c>
      <c r="D641" s="148" t="str">
        <v/>
      </c>
      <c r="E641" s="148" t="str">
        <v/>
      </c>
      <c r="F641" s="148" t="str">
        <v/>
      </c>
      <c r="G641" s="268" t="str">
        <v/>
      </c>
      <c r="H641" s="1098"/>
      <c r="I641" s="1098"/>
      <c r="J641" s="1098"/>
      <c r="K641" s="1098"/>
      <c r="L641" s="1098"/>
      <c r="M641" s="1098"/>
      <c r="N641" s="1098"/>
      <c r="O641" s="1098"/>
      <c r="P641" s="1098"/>
      <c r="Q641" s="1098"/>
      <c r="R641" s="1098"/>
      <c r="S641" s="1098"/>
      <c r="T641" s="1098"/>
      <c r="U641" s="1098"/>
      <c r="V641" s="1098"/>
      <c r="W641" s="1098"/>
      <c r="X641" s="1098"/>
      <c r="Y641" s="1098"/>
      <c r="Z641" s="1098"/>
      <c r="AA641" s="1098"/>
      <c r="AB641" s="1098"/>
      <c r="AC641" s="1098"/>
      <c r="AD641" s="1098"/>
      <c r="AE641" s="1098"/>
      <c r="AF641" s="1098"/>
      <c r="AG641" s="1098"/>
      <c r="AH641" s="1098"/>
      <c r="AI641" s="1098"/>
      <c r="AJ641" s="1098"/>
      <c r="AK641" s="1098"/>
      <c r="AL641" s="1098"/>
      <c r="AM641" s="1098"/>
      <c r="AN641" s="1098"/>
      <c r="AO641" s="1098"/>
      <c r="AP641" s="1098"/>
      <c r="AQ641" s="1098"/>
      <c r="AR641" s="1098"/>
      <c r="AS641" s="1098"/>
      <c r="AT641" s="1098"/>
      <c r="AU641" s="1098"/>
      <c r="AV641" s="1098"/>
      <c r="AW641" s="1098"/>
      <c r="AX641" s="1098"/>
      <c r="AY641" s="1098"/>
      <c r="AZ641" s="1098"/>
      <c r="BA641" s="1098"/>
      <c r="BB641" s="1098"/>
      <c r="BC641" s="1098"/>
      <c r="BD641" s="1098"/>
      <c r="BE641" s="1098"/>
      <c r="BF641" s="1098"/>
      <c r="BG641" s="1098"/>
      <c r="BH641" s="1098"/>
      <c r="BI641" s="1098"/>
      <c r="BJ641" s="1098"/>
      <c r="BK641" s="1098"/>
      <c r="BL641" s="1098"/>
      <c r="BM641" s="1098"/>
      <c r="BN641" s="1098"/>
      <c r="BO641" s="1098"/>
      <c r="BP641" s="1098"/>
      <c r="BQ641" s="1098"/>
      <c r="BR641" s="1098"/>
      <c r="BS641" s="1098"/>
      <c r="BT641" s="1098"/>
      <c r="BU641" s="1098"/>
      <c r="BV641" s="1098"/>
      <c r="BW641" s="1098"/>
      <c r="BX641" s="1098"/>
      <c r="BY641" s="1098"/>
      <c r="BZ641" s="1098"/>
      <c r="CA641" s="1098"/>
      <c r="CB641" s="1098"/>
      <c r="CC641" s="1098"/>
      <c r="CD641" s="1098"/>
      <c r="CE641" s="1098"/>
      <c r="CF641" s="1098"/>
      <c r="CG641" s="1098"/>
      <c r="CH641" s="1098"/>
      <c r="CI641" s="1098"/>
      <c r="CJ641" s="1098"/>
      <c r="CK641" s="1098"/>
      <c r="CL641" s="1098"/>
      <c r="CM641" s="1098"/>
      <c r="CN641" s="1098"/>
      <c r="CO641" s="1098"/>
      <c r="CP641" s="1098"/>
      <c r="CQ641" s="1098"/>
      <c r="CR641" s="1098"/>
      <c r="CS641" s="1098"/>
      <c r="CT641" s="1098"/>
      <c r="CU641" s="1098"/>
      <c r="CV641" s="1098"/>
      <c r="CW641" s="1098"/>
      <c r="CX641" s="1098"/>
      <c r="CY641" s="1098"/>
      <c r="CZ641" s="1098"/>
      <c r="DA641" s="1098"/>
      <c r="DB641" s="1098"/>
      <c r="DC641" s="1098"/>
      <c r="DD641" s="1098"/>
      <c r="DE641" s="1098"/>
      <c r="DF641" s="1098"/>
      <c r="DG641" s="1098"/>
      <c r="DH641" s="1098"/>
      <c r="DI641" s="1098"/>
      <c r="DJ641" s="1098"/>
      <c r="DK641" s="1098"/>
      <c r="DL641" s="1098"/>
      <c r="DM641" s="1098"/>
      <c r="DN641" s="1098"/>
      <c r="DO641" s="1098"/>
      <c r="DP641" s="1098"/>
      <c r="DQ641" s="1098"/>
      <c r="DR641" s="1098"/>
      <c r="DS641" s="1098"/>
      <c r="DT641" s="1098"/>
      <c r="DU641" s="1098"/>
      <c r="DV641" s="1098"/>
      <c r="DW641" s="1098"/>
      <c r="DX641" s="1098"/>
      <c r="DY641" s="1098"/>
      <c r="DZ641" s="1098"/>
      <c r="EA641" s="1098"/>
      <c r="EB641" s="1098"/>
      <c r="EC641" s="1098"/>
      <c r="ED641" s="1098"/>
      <c r="EE641" s="1098"/>
      <c r="EF641" s="1098"/>
      <c r="EG641" s="1098"/>
      <c r="EH641" s="1098"/>
      <c r="EI641" s="1098"/>
      <c r="EJ641" s="1098"/>
      <c r="EK641" s="1098"/>
      <c r="EL641" s="1098"/>
      <c r="EM641" s="1098"/>
      <c r="EN641" s="1098"/>
      <c r="EO641" s="1098"/>
      <c r="EP641" s="1098"/>
      <c r="EQ641" s="1098"/>
      <c r="ER641" s="1098"/>
      <c r="ES641" s="1098"/>
      <c r="ET641" s="1098"/>
      <c r="EU641" s="1098"/>
      <c r="EV641" s="1098"/>
      <c r="EW641" s="1098"/>
      <c r="EX641" s="1098"/>
      <c r="EY641" s="1098"/>
      <c r="EZ641" s="1098"/>
      <c r="FA641" s="1098"/>
      <c r="FB641" s="1098"/>
      <c r="FC641" s="1098"/>
      <c r="FD641" s="1098"/>
      <c r="FE641" s="1098"/>
      <c r="FF641" s="1098"/>
      <c r="FG641" s="1098"/>
      <c r="FH641" s="1098"/>
      <c r="FI641" s="1098"/>
      <c r="FJ641" s="1098"/>
      <c r="FK641" s="1098"/>
      <c r="FL641" s="1098"/>
      <c r="FM641" s="1098"/>
      <c r="FN641" s="1098"/>
      <c r="FO641" s="1098"/>
      <c r="FP641" s="1098"/>
      <c r="FQ641" s="1098"/>
      <c r="FR641" s="1098"/>
      <c r="FS641" s="1098"/>
      <c r="FT641" s="1098"/>
      <c r="FU641" s="1098"/>
      <c r="FV641" s="1098"/>
      <c r="FW641" s="1098"/>
      <c r="FX641" s="1098"/>
      <c r="FY641" s="1098"/>
      <c r="FZ641" s="1098"/>
      <c r="GA641" s="1098"/>
      <c r="GB641" s="1098"/>
      <c r="GC641" s="1098"/>
      <c r="GD641" s="1098"/>
      <c r="GE641" s="1098"/>
      <c r="GF641" s="1098"/>
      <c r="GG641" s="1098"/>
      <c r="GH641" s="1098"/>
      <c r="GI641" s="1098"/>
      <c r="GJ641" s="1098"/>
      <c r="GK641" s="1098"/>
      <c r="GL641" s="1098"/>
      <c r="GM641" s="1098"/>
      <c r="GN641" s="1098"/>
      <c r="GO641" s="1098"/>
      <c r="GP641" s="1098"/>
      <c r="GQ641" s="1098"/>
      <c r="GR641" s="1098"/>
      <c r="GS641" s="1098"/>
      <c r="GT641" s="1098"/>
      <c r="GU641" s="1098"/>
      <c r="GV641" s="1098"/>
      <c r="GW641" s="1098"/>
      <c r="GX641" s="1098"/>
      <c r="GY641" s="1098"/>
      <c r="GZ641" s="1098"/>
      <c r="HA641" s="1098"/>
      <c r="HB641" s="1098"/>
      <c r="HC641" s="1098"/>
      <c r="HD641" s="1098"/>
      <c r="HE641" s="1098"/>
      <c r="HF641" s="1098"/>
      <c r="HG641" s="1098"/>
      <c r="HH641" s="1098"/>
      <c r="HI641" s="1098"/>
      <c r="HJ641" s="1098"/>
      <c r="HK641" s="1098"/>
      <c r="HL641" s="1098"/>
      <c r="HM641" s="1098"/>
      <c r="HN641" s="1098"/>
      <c r="HO641" s="1098"/>
      <c r="HP641" s="1098"/>
      <c r="HQ641" s="1098"/>
      <c r="HR641" s="1098"/>
      <c r="HS641" s="1098"/>
      <c r="HT641" s="1098"/>
      <c r="HU641" s="1098"/>
      <c r="HV641" s="1098"/>
      <c r="HW641" s="1098"/>
      <c r="HX641" s="1098"/>
      <c r="HY641" s="1098"/>
      <c r="HZ641" s="1098"/>
      <c r="IA641" s="1098"/>
      <c r="IB641" s="1098"/>
      <c r="IC641" s="1098"/>
      <c r="ID641" s="1098"/>
      <c r="IE641" s="1098"/>
      <c r="IF641" s="1098"/>
      <c r="IG641" s="1098"/>
      <c r="IH641" s="1098"/>
      <c r="II641" s="1098"/>
      <c r="IJ641" s="1098"/>
      <c r="IK641" s="1098"/>
      <c r="IL641" s="1098"/>
      <c r="IM641" s="1098"/>
      <c r="IN641" s="1098"/>
      <c r="IO641" s="1098"/>
      <c r="IP641" s="1098"/>
      <c r="IQ641" s="1098"/>
      <c r="IR641" s="1098"/>
      <c r="IS641" s="1098"/>
      <c r="IT641" s="1098"/>
      <c r="IU641" s="1098"/>
      <c r="IV641" s="1098"/>
      <c r="IW641" s="1098"/>
      <c r="IX641" s="1098"/>
      <c r="IY641" s="1098"/>
      <c r="IZ641" s="1098"/>
      <c r="JA641" s="1098"/>
      <c r="JB641" s="1098"/>
      <c r="JC641" s="1098"/>
      <c r="JD641" s="1098"/>
      <c r="JE641" s="1098"/>
      <c r="JF641" s="1098"/>
      <c r="JG641" s="1098"/>
      <c r="JH641" s="1098"/>
      <c r="JI641" s="1098"/>
      <c r="JJ641" s="1098"/>
      <c r="JK641" s="1098"/>
      <c r="JL641" s="1098"/>
      <c r="JM641" s="1098"/>
      <c r="JN641" s="1098"/>
      <c r="JO641" s="1098"/>
      <c r="JP641" s="1098"/>
      <c r="JQ641" s="1098"/>
      <c r="JR641" s="1098"/>
      <c r="JS641" s="1098"/>
      <c r="JT641" s="1098"/>
      <c r="JU641" s="1098"/>
      <c r="JV641" s="1098"/>
      <c r="JW641" s="1098"/>
      <c r="JX641" s="1098"/>
      <c r="JY641" s="1098"/>
      <c r="JZ641" s="1098"/>
      <c r="KA641" s="1098"/>
      <c r="KB641" s="1099"/>
    </row>
    <row r="642" spans="2:288" ht="15" customHeight="1" x14ac:dyDescent="0.35">
      <c r="B642" s="146" t="str">
        <f t="shared" si="54"/>
        <v>Desk 12</v>
      </c>
      <c r="C642" s="148" t="str">
        <v/>
      </c>
      <c r="D642" s="148" t="str">
        <v/>
      </c>
      <c r="E642" s="148" t="str">
        <v/>
      </c>
      <c r="F642" s="148" t="str">
        <v/>
      </c>
      <c r="G642" s="268" t="str">
        <v/>
      </c>
      <c r="H642" s="1098"/>
      <c r="I642" s="1098"/>
      <c r="J642" s="1098"/>
      <c r="K642" s="1098"/>
      <c r="L642" s="1098"/>
      <c r="M642" s="1098"/>
      <c r="N642" s="1098"/>
      <c r="O642" s="1098"/>
      <c r="P642" s="1098"/>
      <c r="Q642" s="1098"/>
      <c r="R642" s="1098"/>
      <c r="S642" s="1098"/>
      <c r="T642" s="1098"/>
      <c r="U642" s="1098"/>
      <c r="V642" s="1098"/>
      <c r="W642" s="1098"/>
      <c r="X642" s="1098"/>
      <c r="Y642" s="1098"/>
      <c r="Z642" s="1098"/>
      <c r="AA642" s="1098"/>
      <c r="AB642" s="1098"/>
      <c r="AC642" s="1098"/>
      <c r="AD642" s="1098"/>
      <c r="AE642" s="1098"/>
      <c r="AF642" s="1098"/>
      <c r="AG642" s="1098"/>
      <c r="AH642" s="1098"/>
      <c r="AI642" s="1098"/>
      <c r="AJ642" s="1098"/>
      <c r="AK642" s="1098"/>
      <c r="AL642" s="1098"/>
      <c r="AM642" s="1098"/>
      <c r="AN642" s="1098"/>
      <c r="AO642" s="1098"/>
      <c r="AP642" s="1098"/>
      <c r="AQ642" s="1098"/>
      <c r="AR642" s="1098"/>
      <c r="AS642" s="1098"/>
      <c r="AT642" s="1098"/>
      <c r="AU642" s="1098"/>
      <c r="AV642" s="1098"/>
      <c r="AW642" s="1098"/>
      <c r="AX642" s="1098"/>
      <c r="AY642" s="1098"/>
      <c r="AZ642" s="1098"/>
      <c r="BA642" s="1098"/>
      <c r="BB642" s="1098"/>
      <c r="BC642" s="1098"/>
      <c r="BD642" s="1098"/>
      <c r="BE642" s="1098"/>
      <c r="BF642" s="1098"/>
      <c r="BG642" s="1098"/>
      <c r="BH642" s="1098"/>
      <c r="BI642" s="1098"/>
      <c r="BJ642" s="1098"/>
      <c r="BK642" s="1098"/>
      <c r="BL642" s="1098"/>
      <c r="BM642" s="1098"/>
      <c r="BN642" s="1098"/>
      <c r="BO642" s="1098"/>
      <c r="BP642" s="1098"/>
      <c r="BQ642" s="1098"/>
      <c r="BR642" s="1098"/>
      <c r="BS642" s="1098"/>
      <c r="BT642" s="1098"/>
      <c r="BU642" s="1098"/>
      <c r="BV642" s="1098"/>
      <c r="BW642" s="1098"/>
      <c r="BX642" s="1098"/>
      <c r="BY642" s="1098"/>
      <c r="BZ642" s="1098"/>
      <c r="CA642" s="1098"/>
      <c r="CB642" s="1098"/>
      <c r="CC642" s="1098"/>
      <c r="CD642" s="1098"/>
      <c r="CE642" s="1098"/>
      <c r="CF642" s="1098"/>
      <c r="CG642" s="1098"/>
      <c r="CH642" s="1098"/>
      <c r="CI642" s="1098"/>
      <c r="CJ642" s="1098"/>
      <c r="CK642" s="1098"/>
      <c r="CL642" s="1098"/>
      <c r="CM642" s="1098"/>
      <c r="CN642" s="1098"/>
      <c r="CO642" s="1098"/>
      <c r="CP642" s="1098"/>
      <c r="CQ642" s="1098"/>
      <c r="CR642" s="1098"/>
      <c r="CS642" s="1098"/>
      <c r="CT642" s="1098"/>
      <c r="CU642" s="1098"/>
      <c r="CV642" s="1098"/>
      <c r="CW642" s="1098"/>
      <c r="CX642" s="1098"/>
      <c r="CY642" s="1098"/>
      <c r="CZ642" s="1098"/>
      <c r="DA642" s="1098"/>
      <c r="DB642" s="1098"/>
      <c r="DC642" s="1098"/>
      <c r="DD642" s="1098"/>
      <c r="DE642" s="1098"/>
      <c r="DF642" s="1098"/>
      <c r="DG642" s="1098"/>
      <c r="DH642" s="1098"/>
      <c r="DI642" s="1098"/>
      <c r="DJ642" s="1098"/>
      <c r="DK642" s="1098"/>
      <c r="DL642" s="1098"/>
      <c r="DM642" s="1098"/>
      <c r="DN642" s="1098"/>
      <c r="DO642" s="1098"/>
      <c r="DP642" s="1098"/>
      <c r="DQ642" s="1098"/>
      <c r="DR642" s="1098"/>
      <c r="DS642" s="1098"/>
      <c r="DT642" s="1098"/>
      <c r="DU642" s="1098"/>
      <c r="DV642" s="1098"/>
      <c r="DW642" s="1098"/>
      <c r="DX642" s="1098"/>
      <c r="DY642" s="1098"/>
      <c r="DZ642" s="1098"/>
      <c r="EA642" s="1098"/>
      <c r="EB642" s="1098"/>
      <c r="EC642" s="1098"/>
      <c r="ED642" s="1098"/>
      <c r="EE642" s="1098"/>
      <c r="EF642" s="1098"/>
      <c r="EG642" s="1098"/>
      <c r="EH642" s="1098"/>
      <c r="EI642" s="1098"/>
      <c r="EJ642" s="1098"/>
      <c r="EK642" s="1098"/>
      <c r="EL642" s="1098"/>
      <c r="EM642" s="1098"/>
      <c r="EN642" s="1098"/>
      <c r="EO642" s="1098"/>
      <c r="EP642" s="1098"/>
      <c r="EQ642" s="1098"/>
      <c r="ER642" s="1098"/>
      <c r="ES642" s="1098"/>
      <c r="ET642" s="1098"/>
      <c r="EU642" s="1098"/>
      <c r="EV642" s="1098"/>
      <c r="EW642" s="1098"/>
      <c r="EX642" s="1098"/>
      <c r="EY642" s="1098"/>
      <c r="EZ642" s="1098"/>
      <c r="FA642" s="1098"/>
      <c r="FB642" s="1098"/>
      <c r="FC642" s="1098"/>
      <c r="FD642" s="1098"/>
      <c r="FE642" s="1098"/>
      <c r="FF642" s="1098"/>
      <c r="FG642" s="1098"/>
      <c r="FH642" s="1098"/>
      <c r="FI642" s="1098"/>
      <c r="FJ642" s="1098"/>
      <c r="FK642" s="1098"/>
      <c r="FL642" s="1098"/>
      <c r="FM642" s="1098"/>
      <c r="FN642" s="1098"/>
      <c r="FO642" s="1098"/>
      <c r="FP642" s="1098"/>
      <c r="FQ642" s="1098"/>
      <c r="FR642" s="1098"/>
      <c r="FS642" s="1098"/>
      <c r="FT642" s="1098"/>
      <c r="FU642" s="1098"/>
      <c r="FV642" s="1098"/>
      <c r="FW642" s="1098"/>
      <c r="FX642" s="1098"/>
      <c r="FY642" s="1098"/>
      <c r="FZ642" s="1098"/>
      <c r="GA642" s="1098"/>
      <c r="GB642" s="1098"/>
      <c r="GC642" s="1098"/>
      <c r="GD642" s="1098"/>
      <c r="GE642" s="1098"/>
      <c r="GF642" s="1098"/>
      <c r="GG642" s="1098"/>
      <c r="GH642" s="1098"/>
      <c r="GI642" s="1098"/>
      <c r="GJ642" s="1098"/>
      <c r="GK642" s="1098"/>
      <c r="GL642" s="1098"/>
      <c r="GM642" s="1098"/>
      <c r="GN642" s="1098"/>
      <c r="GO642" s="1098"/>
      <c r="GP642" s="1098"/>
      <c r="GQ642" s="1098"/>
      <c r="GR642" s="1098"/>
      <c r="GS642" s="1098"/>
      <c r="GT642" s="1098"/>
      <c r="GU642" s="1098"/>
      <c r="GV642" s="1098"/>
      <c r="GW642" s="1098"/>
      <c r="GX642" s="1098"/>
      <c r="GY642" s="1098"/>
      <c r="GZ642" s="1098"/>
      <c r="HA642" s="1098"/>
      <c r="HB642" s="1098"/>
      <c r="HC642" s="1098"/>
      <c r="HD642" s="1098"/>
      <c r="HE642" s="1098"/>
      <c r="HF642" s="1098"/>
      <c r="HG642" s="1098"/>
      <c r="HH642" s="1098"/>
      <c r="HI642" s="1098"/>
      <c r="HJ642" s="1098"/>
      <c r="HK642" s="1098"/>
      <c r="HL642" s="1098"/>
      <c r="HM642" s="1098"/>
      <c r="HN642" s="1098"/>
      <c r="HO642" s="1098"/>
      <c r="HP642" s="1098"/>
      <c r="HQ642" s="1098"/>
      <c r="HR642" s="1098"/>
      <c r="HS642" s="1098"/>
      <c r="HT642" s="1098"/>
      <c r="HU642" s="1098"/>
      <c r="HV642" s="1098"/>
      <c r="HW642" s="1098"/>
      <c r="HX642" s="1098"/>
      <c r="HY642" s="1098"/>
      <c r="HZ642" s="1098"/>
      <c r="IA642" s="1098"/>
      <c r="IB642" s="1098"/>
      <c r="IC642" s="1098"/>
      <c r="ID642" s="1098"/>
      <c r="IE642" s="1098"/>
      <c r="IF642" s="1098"/>
      <c r="IG642" s="1098"/>
      <c r="IH642" s="1098"/>
      <c r="II642" s="1098"/>
      <c r="IJ642" s="1098"/>
      <c r="IK642" s="1098"/>
      <c r="IL642" s="1098"/>
      <c r="IM642" s="1098"/>
      <c r="IN642" s="1098"/>
      <c r="IO642" s="1098"/>
      <c r="IP642" s="1098"/>
      <c r="IQ642" s="1098"/>
      <c r="IR642" s="1098"/>
      <c r="IS642" s="1098"/>
      <c r="IT642" s="1098"/>
      <c r="IU642" s="1098"/>
      <c r="IV642" s="1098"/>
      <c r="IW642" s="1098"/>
      <c r="IX642" s="1098"/>
      <c r="IY642" s="1098"/>
      <c r="IZ642" s="1098"/>
      <c r="JA642" s="1098"/>
      <c r="JB642" s="1098"/>
      <c r="JC642" s="1098"/>
      <c r="JD642" s="1098"/>
      <c r="JE642" s="1098"/>
      <c r="JF642" s="1098"/>
      <c r="JG642" s="1098"/>
      <c r="JH642" s="1098"/>
      <c r="JI642" s="1098"/>
      <c r="JJ642" s="1098"/>
      <c r="JK642" s="1098"/>
      <c r="JL642" s="1098"/>
      <c r="JM642" s="1098"/>
      <c r="JN642" s="1098"/>
      <c r="JO642" s="1098"/>
      <c r="JP642" s="1098"/>
      <c r="JQ642" s="1098"/>
      <c r="JR642" s="1098"/>
      <c r="JS642" s="1098"/>
      <c r="JT642" s="1098"/>
      <c r="JU642" s="1098"/>
      <c r="JV642" s="1098"/>
      <c r="JW642" s="1098"/>
      <c r="JX642" s="1098"/>
      <c r="JY642" s="1098"/>
      <c r="JZ642" s="1098"/>
      <c r="KA642" s="1098"/>
      <c r="KB642" s="1099"/>
    </row>
    <row r="643" spans="2:288" ht="15" customHeight="1" x14ac:dyDescent="0.35">
      <c r="B643" s="146" t="str">
        <f t="shared" si="54"/>
        <v>Desk 13</v>
      </c>
      <c r="C643" s="148" t="str">
        <v/>
      </c>
      <c r="D643" s="148" t="str">
        <v/>
      </c>
      <c r="E643" s="148" t="str">
        <v/>
      </c>
      <c r="F643" s="148" t="str">
        <v/>
      </c>
      <c r="G643" s="268" t="str">
        <v/>
      </c>
      <c r="H643" s="1098"/>
      <c r="I643" s="1098"/>
      <c r="J643" s="1098"/>
      <c r="K643" s="1098"/>
      <c r="L643" s="1098"/>
      <c r="M643" s="1098"/>
      <c r="N643" s="1098"/>
      <c r="O643" s="1098"/>
      <c r="P643" s="1098"/>
      <c r="Q643" s="1098"/>
      <c r="R643" s="1098"/>
      <c r="S643" s="1098"/>
      <c r="T643" s="1098"/>
      <c r="U643" s="1098"/>
      <c r="V643" s="1098"/>
      <c r="W643" s="1098"/>
      <c r="X643" s="1098"/>
      <c r="Y643" s="1098"/>
      <c r="Z643" s="1098"/>
      <c r="AA643" s="1098"/>
      <c r="AB643" s="1098"/>
      <c r="AC643" s="1098"/>
      <c r="AD643" s="1098"/>
      <c r="AE643" s="1098"/>
      <c r="AF643" s="1098"/>
      <c r="AG643" s="1098"/>
      <c r="AH643" s="1098"/>
      <c r="AI643" s="1098"/>
      <c r="AJ643" s="1098"/>
      <c r="AK643" s="1098"/>
      <c r="AL643" s="1098"/>
      <c r="AM643" s="1098"/>
      <c r="AN643" s="1098"/>
      <c r="AO643" s="1098"/>
      <c r="AP643" s="1098"/>
      <c r="AQ643" s="1098"/>
      <c r="AR643" s="1098"/>
      <c r="AS643" s="1098"/>
      <c r="AT643" s="1098"/>
      <c r="AU643" s="1098"/>
      <c r="AV643" s="1098"/>
      <c r="AW643" s="1098"/>
      <c r="AX643" s="1098"/>
      <c r="AY643" s="1098"/>
      <c r="AZ643" s="1098"/>
      <c r="BA643" s="1098"/>
      <c r="BB643" s="1098"/>
      <c r="BC643" s="1098"/>
      <c r="BD643" s="1098"/>
      <c r="BE643" s="1098"/>
      <c r="BF643" s="1098"/>
      <c r="BG643" s="1098"/>
      <c r="BH643" s="1098"/>
      <c r="BI643" s="1098"/>
      <c r="BJ643" s="1098"/>
      <c r="BK643" s="1098"/>
      <c r="BL643" s="1098"/>
      <c r="BM643" s="1098"/>
      <c r="BN643" s="1098"/>
      <c r="BO643" s="1098"/>
      <c r="BP643" s="1098"/>
      <c r="BQ643" s="1098"/>
      <c r="BR643" s="1098"/>
      <c r="BS643" s="1098"/>
      <c r="BT643" s="1098"/>
      <c r="BU643" s="1098"/>
      <c r="BV643" s="1098"/>
      <c r="BW643" s="1098"/>
      <c r="BX643" s="1098"/>
      <c r="BY643" s="1098"/>
      <c r="BZ643" s="1098"/>
      <c r="CA643" s="1098"/>
      <c r="CB643" s="1098"/>
      <c r="CC643" s="1098"/>
      <c r="CD643" s="1098"/>
      <c r="CE643" s="1098"/>
      <c r="CF643" s="1098"/>
      <c r="CG643" s="1098"/>
      <c r="CH643" s="1098"/>
      <c r="CI643" s="1098"/>
      <c r="CJ643" s="1098"/>
      <c r="CK643" s="1098"/>
      <c r="CL643" s="1098"/>
      <c r="CM643" s="1098"/>
      <c r="CN643" s="1098"/>
      <c r="CO643" s="1098"/>
      <c r="CP643" s="1098"/>
      <c r="CQ643" s="1098"/>
      <c r="CR643" s="1098"/>
      <c r="CS643" s="1098"/>
      <c r="CT643" s="1098"/>
      <c r="CU643" s="1098"/>
      <c r="CV643" s="1098"/>
      <c r="CW643" s="1098"/>
      <c r="CX643" s="1098"/>
      <c r="CY643" s="1098"/>
      <c r="CZ643" s="1098"/>
      <c r="DA643" s="1098"/>
      <c r="DB643" s="1098"/>
      <c r="DC643" s="1098"/>
      <c r="DD643" s="1098"/>
      <c r="DE643" s="1098"/>
      <c r="DF643" s="1098"/>
      <c r="DG643" s="1098"/>
      <c r="DH643" s="1098"/>
      <c r="DI643" s="1098"/>
      <c r="DJ643" s="1098"/>
      <c r="DK643" s="1098"/>
      <c r="DL643" s="1098"/>
      <c r="DM643" s="1098"/>
      <c r="DN643" s="1098"/>
      <c r="DO643" s="1098"/>
      <c r="DP643" s="1098"/>
      <c r="DQ643" s="1098"/>
      <c r="DR643" s="1098"/>
      <c r="DS643" s="1098"/>
      <c r="DT643" s="1098"/>
      <c r="DU643" s="1098"/>
      <c r="DV643" s="1098"/>
      <c r="DW643" s="1098"/>
      <c r="DX643" s="1098"/>
      <c r="DY643" s="1098"/>
      <c r="DZ643" s="1098"/>
      <c r="EA643" s="1098"/>
      <c r="EB643" s="1098"/>
      <c r="EC643" s="1098"/>
      <c r="ED643" s="1098"/>
      <c r="EE643" s="1098"/>
      <c r="EF643" s="1098"/>
      <c r="EG643" s="1098"/>
      <c r="EH643" s="1098"/>
      <c r="EI643" s="1098"/>
      <c r="EJ643" s="1098"/>
      <c r="EK643" s="1098"/>
      <c r="EL643" s="1098"/>
      <c r="EM643" s="1098"/>
      <c r="EN643" s="1098"/>
      <c r="EO643" s="1098"/>
      <c r="EP643" s="1098"/>
      <c r="EQ643" s="1098"/>
      <c r="ER643" s="1098"/>
      <c r="ES643" s="1098"/>
      <c r="ET643" s="1098"/>
      <c r="EU643" s="1098"/>
      <c r="EV643" s="1098"/>
      <c r="EW643" s="1098"/>
      <c r="EX643" s="1098"/>
      <c r="EY643" s="1098"/>
      <c r="EZ643" s="1098"/>
      <c r="FA643" s="1098"/>
      <c r="FB643" s="1098"/>
      <c r="FC643" s="1098"/>
      <c r="FD643" s="1098"/>
      <c r="FE643" s="1098"/>
      <c r="FF643" s="1098"/>
      <c r="FG643" s="1098"/>
      <c r="FH643" s="1098"/>
      <c r="FI643" s="1098"/>
      <c r="FJ643" s="1098"/>
      <c r="FK643" s="1098"/>
      <c r="FL643" s="1098"/>
      <c r="FM643" s="1098"/>
      <c r="FN643" s="1098"/>
      <c r="FO643" s="1098"/>
      <c r="FP643" s="1098"/>
      <c r="FQ643" s="1098"/>
      <c r="FR643" s="1098"/>
      <c r="FS643" s="1098"/>
      <c r="FT643" s="1098"/>
      <c r="FU643" s="1098"/>
      <c r="FV643" s="1098"/>
      <c r="FW643" s="1098"/>
      <c r="FX643" s="1098"/>
      <c r="FY643" s="1098"/>
      <c r="FZ643" s="1098"/>
      <c r="GA643" s="1098"/>
      <c r="GB643" s="1098"/>
      <c r="GC643" s="1098"/>
      <c r="GD643" s="1098"/>
      <c r="GE643" s="1098"/>
      <c r="GF643" s="1098"/>
      <c r="GG643" s="1098"/>
      <c r="GH643" s="1098"/>
      <c r="GI643" s="1098"/>
      <c r="GJ643" s="1098"/>
      <c r="GK643" s="1098"/>
      <c r="GL643" s="1098"/>
      <c r="GM643" s="1098"/>
      <c r="GN643" s="1098"/>
      <c r="GO643" s="1098"/>
      <c r="GP643" s="1098"/>
      <c r="GQ643" s="1098"/>
      <c r="GR643" s="1098"/>
      <c r="GS643" s="1098"/>
      <c r="GT643" s="1098"/>
      <c r="GU643" s="1098"/>
      <c r="GV643" s="1098"/>
      <c r="GW643" s="1098"/>
      <c r="GX643" s="1098"/>
      <c r="GY643" s="1098"/>
      <c r="GZ643" s="1098"/>
      <c r="HA643" s="1098"/>
      <c r="HB643" s="1098"/>
      <c r="HC643" s="1098"/>
      <c r="HD643" s="1098"/>
      <c r="HE643" s="1098"/>
      <c r="HF643" s="1098"/>
      <c r="HG643" s="1098"/>
      <c r="HH643" s="1098"/>
      <c r="HI643" s="1098"/>
      <c r="HJ643" s="1098"/>
      <c r="HK643" s="1098"/>
      <c r="HL643" s="1098"/>
      <c r="HM643" s="1098"/>
      <c r="HN643" s="1098"/>
      <c r="HO643" s="1098"/>
      <c r="HP643" s="1098"/>
      <c r="HQ643" s="1098"/>
      <c r="HR643" s="1098"/>
      <c r="HS643" s="1098"/>
      <c r="HT643" s="1098"/>
      <c r="HU643" s="1098"/>
      <c r="HV643" s="1098"/>
      <c r="HW643" s="1098"/>
      <c r="HX643" s="1098"/>
      <c r="HY643" s="1098"/>
      <c r="HZ643" s="1098"/>
      <c r="IA643" s="1098"/>
      <c r="IB643" s="1098"/>
      <c r="IC643" s="1098"/>
      <c r="ID643" s="1098"/>
      <c r="IE643" s="1098"/>
      <c r="IF643" s="1098"/>
      <c r="IG643" s="1098"/>
      <c r="IH643" s="1098"/>
      <c r="II643" s="1098"/>
      <c r="IJ643" s="1098"/>
      <c r="IK643" s="1098"/>
      <c r="IL643" s="1098"/>
      <c r="IM643" s="1098"/>
      <c r="IN643" s="1098"/>
      <c r="IO643" s="1098"/>
      <c r="IP643" s="1098"/>
      <c r="IQ643" s="1098"/>
      <c r="IR643" s="1098"/>
      <c r="IS643" s="1098"/>
      <c r="IT643" s="1098"/>
      <c r="IU643" s="1098"/>
      <c r="IV643" s="1098"/>
      <c r="IW643" s="1098"/>
      <c r="IX643" s="1098"/>
      <c r="IY643" s="1098"/>
      <c r="IZ643" s="1098"/>
      <c r="JA643" s="1098"/>
      <c r="JB643" s="1098"/>
      <c r="JC643" s="1098"/>
      <c r="JD643" s="1098"/>
      <c r="JE643" s="1098"/>
      <c r="JF643" s="1098"/>
      <c r="JG643" s="1098"/>
      <c r="JH643" s="1098"/>
      <c r="JI643" s="1098"/>
      <c r="JJ643" s="1098"/>
      <c r="JK643" s="1098"/>
      <c r="JL643" s="1098"/>
      <c r="JM643" s="1098"/>
      <c r="JN643" s="1098"/>
      <c r="JO643" s="1098"/>
      <c r="JP643" s="1098"/>
      <c r="JQ643" s="1098"/>
      <c r="JR643" s="1098"/>
      <c r="JS643" s="1098"/>
      <c r="JT643" s="1098"/>
      <c r="JU643" s="1098"/>
      <c r="JV643" s="1098"/>
      <c r="JW643" s="1098"/>
      <c r="JX643" s="1098"/>
      <c r="JY643" s="1098"/>
      <c r="JZ643" s="1098"/>
      <c r="KA643" s="1098"/>
      <c r="KB643" s="1099"/>
    </row>
    <row r="644" spans="2:288" ht="15" customHeight="1" x14ac:dyDescent="0.35">
      <c r="B644" s="146" t="str">
        <f t="shared" si="54"/>
        <v>Desk 14</v>
      </c>
      <c r="C644" s="148" t="str">
        <v/>
      </c>
      <c r="D644" s="148" t="str">
        <v/>
      </c>
      <c r="E644" s="148" t="str">
        <v/>
      </c>
      <c r="F644" s="148" t="str">
        <v/>
      </c>
      <c r="G644" s="268" t="str">
        <v/>
      </c>
      <c r="H644" s="1098"/>
      <c r="I644" s="1098"/>
      <c r="J644" s="1098"/>
      <c r="K644" s="1098"/>
      <c r="L644" s="1098"/>
      <c r="M644" s="1098"/>
      <c r="N644" s="1098"/>
      <c r="O644" s="1098"/>
      <c r="P644" s="1098"/>
      <c r="Q644" s="1098"/>
      <c r="R644" s="1098"/>
      <c r="S644" s="1098"/>
      <c r="T644" s="1098"/>
      <c r="U644" s="1098"/>
      <c r="V644" s="1098"/>
      <c r="W644" s="1098"/>
      <c r="X644" s="1098"/>
      <c r="Y644" s="1098"/>
      <c r="Z644" s="1098"/>
      <c r="AA644" s="1098"/>
      <c r="AB644" s="1098"/>
      <c r="AC644" s="1098"/>
      <c r="AD644" s="1098"/>
      <c r="AE644" s="1098"/>
      <c r="AF644" s="1098"/>
      <c r="AG644" s="1098"/>
      <c r="AH644" s="1098"/>
      <c r="AI644" s="1098"/>
      <c r="AJ644" s="1098"/>
      <c r="AK644" s="1098"/>
      <c r="AL644" s="1098"/>
      <c r="AM644" s="1098"/>
      <c r="AN644" s="1098"/>
      <c r="AO644" s="1098"/>
      <c r="AP644" s="1098"/>
      <c r="AQ644" s="1098"/>
      <c r="AR644" s="1098"/>
      <c r="AS644" s="1098"/>
      <c r="AT644" s="1098"/>
      <c r="AU644" s="1098"/>
      <c r="AV644" s="1098"/>
      <c r="AW644" s="1098"/>
      <c r="AX644" s="1098"/>
      <c r="AY644" s="1098"/>
      <c r="AZ644" s="1098"/>
      <c r="BA644" s="1098"/>
      <c r="BB644" s="1098"/>
      <c r="BC644" s="1098"/>
      <c r="BD644" s="1098"/>
      <c r="BE644" s="1098"/>
      <c r="BF644" s="1098"/>
      <c r="BG644" s="1098"/>
      <c r="BH644" s="1098"/>
      <c r="BI644" s="1098"/>
      <c r="BJ644" s="1098"/>
      <c r="BK644" s="1098"/>
      <c r="BL644" s="1098"/>
      <c r="BM644" s="1098"/>
      <c r="BN644" s="1098"/>
      <c r="BO644" s="1098"/>
      <c r="BP644" s="1098"/>
      <c r="BQ644" s="1098"/>
      <c r="BR644" s="1098"/>
      <c r="BS644" s="1098"/>
      <c r="BT644" s="1098"/>
      <c r="BU644" s="1098"/>
      <c r="BV644" s="1098"/>
      <c r="BW644" s="1098"/>
      <c r="BX644" s="1098"/>
      <c r="BY644" s="1098"/>
      <c r="BZ644" s="1098"/>
      <c r="CA644" s="1098"/>
      <c r="CB644" s="1098"/>
      <c r="CC644" s="1098"/>
      <c r="CD644" s="1098"/>
      <c r="CE644" s="1098"/>
      <c r="CF644" s="1098"/>
      <c r="CG644" s="1098"/>
      <c r="CH644" s="1098"/>
      <c r="CI644" s="1098"/>
      <c r="CJ644" s="1098"/>
      <c r="CK644" s="1098"/>
      <c r="CL644" s="1098"/>
      <c r="CM644" s="1098"/>
      <c r="CN644" s="1098"/>
      <c r="CO644" s="1098"/>
      <c r="CP644" s="1098"/>
      <c r="CQ644" s="1098"/>
      <c r="CR644" s="1098"/>
      <c r="CS644" s="1098"/>
      <c r="CT644" s="1098"/>
      <c r="CU644" s="1098"/>
      <c r="CV644" s="1098"/>
      <c r="CW644" s="1098"/>
      <c r="CX644" s="1098"/>
      <c r="CY644" s="1098"/>
      <c r="CZ644" s="1098"/>
      <c r="DA644" s="1098"/>
      <c r="DB644" s="1098"/>
      <c r="DC644" s="1098"/>
      <c r="DD644" s="1098"/>
      <c r="DE644" s="1098"/>
      <c r="DF644" s="1098"/>
      <c r="DG644" s="1098"/>
      <c r="DH644" s="1098"/>
      <c r="DI644" s="1098"/>
      <c r="DJ644" s="1098"/>
      <c r="DK644" s="1098"/>
      <c r="DL644" s="1098"/>
      <c r="DM644" s="1098"/>
      <c r="DN644" s="1098"/>
      <c r="DO644" s="1098"/>
      <c r="DP644" s="1098"/>
      <c r="DQ644" s="1098"/>
      <c r="DR644" s="1098"/>
      <c r="DS644" s="1098"/>
      <c r="DT644" s="1098"/>
      <c r="DU644" s="1098"/>
      <c r="DV644" s="1098"/>
      <c r="DW644" s="1098"/>
      <c r="DX644" s="1098"/>
      <c r="DY644" s="1098"/>
      <c r="DZ644" s="1098"/>
      <c r="EA644" s="1098"/>
      <c r="EB644" s="1098"/>
      <c r="EC644" s="1098"/>
      <c r="ED644" s="1098"/>
      <c r="EE644" s="1098"/>
      <c r="EF644" s="1098"/>
      <c r="EG644" s="1098"/>
      <c r="EH644" s="1098"/>
      <c r="EI644" s="1098"/>
      <c r="EJ644" s="1098"/>
      <c r="EK644" s="1098"/>
      <c r="EL644" s="1098"/>
      <c r="EM644" s="1098"/>
      <c r="EN644" s="1098"/>
      <c r="EO644" s="1098"/>
      <c r="EP644" s="1098"/>
      <c r="EQ644" s="1098"/>
      <c r="ER644" s="1098"/>
      <c r="ES644" s="1098"/>
      <c r="ET644" s="1098"/>
      <c r="EU644" s="1098"/>
      <c r="EV644" s="1098"/>
      <c r="EW644" s="1098"/>
      <c r="EX644" s="1098"/>
      <c r="EY644" s="1098"/>
      <c r="EZ644" s="1098"/>
      <c r="FA644" s="1098"/>
      <c r="FB644" s="1098"/>
      <c r="FC644" s="1098"/>
      <c r="FD644" s="1098"/>
      <c r="FE644" s="1098"/>
      <c r="FF644" s="1098"/>
      <c r="FG644" s="1098"/>
      <c r="FH644" s="1098"/>
      <c r="FI644" s="1098"/>
      <c r="FJ644" s="1098"/>
      <c r="FK644" s="1098"/>
      <c r="FL644" s="1098"/>
      <c r="FM644" s="1098"/>
      <c r="FN644" s="1098"/>
      <c r="FO644" s="1098"/>
      <c r="FP644" s="1098"/>
      <c r="FQ644" s="1098"/>
      <c r="FR644" s="1098"/>
      <c r="FS644" s="1098"/>
      <c r="FT644" s="1098"/>
      <c r="FU644" s="1098"/>
      <c r="FV644" s="1098"/>
      <c r="FW644" s="1098"/>
      <c r="FX644" s="1098"/>
      <c r="FY644" s="1098"/>
      <c r="FZ644" s="1098"/>
      <c r="GA644" s="1098"/>
      <c r="GB644" s="1098"/>
      <c r="GC644" s="1098"/>
      <c r="GD644" s="1098"/>
      <c r="GE644" s="1098"/>
      <c r="GF644" s="1098"/>
      <c r="GG644" s="1098"/>
      <c r="GH644" s="1098"/>
      <c r="GI644" s="1098"/>
      <c r="GJ644" s="1098"/>
      <c r="GK644" s="1098"/>
      <c r="GL644" s="1098"/>
      <c r="GM644" s="1098"/>
      <c r="GN644" s="1098"/>
      <c r="GO644" s="1098"/>
      <c r="GP644" s="1098"/>
      <c r="GQ644" s="1098"/>
      <c r="GR644" s="1098"/>
      <c r="GS644" s="1098"/>
      <c r="GT644" s="1098"/>
      <c r="GU644" s="1098"/>
      <c r="GV644" s="1098"/>
      <c r="GW644" s="1098"/>
      <c r="GX644" s="1098"/>
      <c r="GY644" s="1098"/>
      <c r="GZ644" s="1098"/>
      <c r="HA644" s="1098"/>
      <c r="HB644" s="1098"/>
      <c r="HC644" s="1098"/>
      <c r="HD644" s="1098"/>
      <c r="HE644" s="1098"/>
      <c r="HF644" s="1098"/>
      <c r="HG644" s="1098"/>
      <c r="HH644" s="1098"/>
      <c r="HI644" s="1098"/>
      <c r="HJ644" s="1098"/>
      <c r="HK644" s="1098"/>
      <c r="HL644" s="1098"/>
      <c r="HM644" s="1098"/>
      <c r="HN644" s="1098"/>
      <c r="HO644" s="1098"/>
      <c r="HP644" s="1098"/>
      <c r="HQ644" s="1098"/>
      <c r="HR644" s="1098"/>
      <c r="HS644" s="1098"/>
      <c r="HT644" s="1098"/>
      <c r="HU644" s="1098"/>
      <c r="HV644" s="1098"/>
      <c r="HW644" s="1098"/>
      <c r="HX644" s="1098"/>
      <c r="HY644" s="1098"/>
      <c r="HZ644" s="1098"/>
      <c r="IA644" s="1098"/>
      <c r="IB644" s="1098"/>
      <c r="IC644" s="1098"/>
      <c r="ID644" s="1098"/>
      <c r="IE644" s="1098"/>
      <c r="IF644" s="1098"/>
      <c r="IG644" s="1098"/>
      <c r="IH644" s="1098"/>
      <c r="II644" s="1098"/>
      <c r="IJ644" s="1098"/>
      <c r="IK644" s="1098"/>
      <c r="IL644" s="1098"/>
      <c r="IM644" s="1098"/>
      <c r="IN644" s="1098"/>
      <c r="IO644" s="1098"/>
      <c r="IP644" s="1098"/>
      <c r="IQ644" s="1098"/>
      <c r="IR644" s="1098"/>
      <c r="IS644" s="1098"/>
      <c r="IT644" s="1098"/>
      <c r="IU644" s="1098"/>
      <c r="IV644" s="1098"/>
      <c r="IW644" s="1098"/>
      <c r="IX644" s="1098"/>
      <c r="IY644" s="1098"/>
      <c r="IZ644" s="1098"/>
      <c r="JA644" s="1098"/>
      <c r="JB644" s="1098"/>
      <c r="JC644" s="1098"/>
      <c r="JD644" s="1098"/>
      <c r="JE644" s="1098"/>
      <c r="JF644" s="1098"/>
      <c r="JG644" s="1098"/>
      <c r="JH644" s="1098"/>
      <c r="JI644" s="1098"/>
      <c r="JJ644" s="1098"/>
      <c r="JK644" s="1098"/>
      <c r="JL644" s="1098"/>
      <c r="JM644" s="1098"/>
      <c r="JN644" s="1098"/>
      <c r="JO644" s="1098"/>
      <c r="JP644" s="1098"/>
      <c r="JQ644" s="1098"/>
      <c r="JR644" s="1098"/>
      <c r="JS644" s="1098"/>
      <c r="JT644" s="1098"/>
      <c r="JU644" s="1098"/>
      <c r="JV644" s="1098"/>
      <c r="JW644" s="1098"/>
      <c r="JX644" s="1098"/>
      <c r="JY644" s="1098"/>
      <c r="JZ644" s="1098"/>
      <c r="KA644" s="1098"/>
      <c r="KB644" s="1099"/>
    </row>
    <row r="645" spans="2:288" ht="15" customHeight="1" x14ac:dyDescent="0.35">
      <c r="B645" s="146" t="str">
        <f t="shared" si="54"/>
        <v>Desk 15</v>
      </c>
      <c r="C645" s="148" t="str">
        <v/>
      </c>
      <c r="D645" s="148" t="str">
        <v/>
      </c>
      <c r="E645" s="148" t="str">
        <v/>
      </c>
      <c r="F645" s="148" t="str">
        <v/>
      </c>
      <c r="G645" s="268" t="str">
        <v/>
      </c>
      <c r="H645" s="1098"/>
      <c r="I645" s="1098"/>
      <c r="J645" s="1098"/>
      <c r="K645" s="1098"/>
      <c r="L645" s="1098"/>
      <c r="M645" s="1098"/>
      <c r="N645" s="1098"/>
      <c r="O645" s="1098"/>
      <c r="P645" s="1098"/>
      <c r="Q645" s="1098"/>
      <c r="R645" s="1098"/>
      <c r="S645" s="1098"/>
      <c r="T645" s="1098"/>
      <c r="U645" s="1098"/>
      <c r="V645" s="1098"/>
      <c r="W645" s="1098"/>
      <c r="X645" s="1098"/>
      <c r="Y645" s="1098"/>
      <c r="Z645" s="1098"/>
      <c r="AA645" s="1098"/>
      <c r="AB645" s="1098"/>
      <c r="AC645" s="1098"/>
      <c r="AD645" s="1098"/>
      <c r="AE645" s="1098"/>
      <c r="AF645" s="1098"/>
      <c r="AG645" s="1098"/>
      <c r="AH645" s="1098"/>
      <c r="AI645" s="1098"/>
      <c r="AJ645" s="1098"/>
      <c r="AK645" s="1098"/>
      <c r="AL645" s="1098"/>
      <c r="AM645" s="1098"/>
      <c r="AN645" s="1098"/>
      <c r="AO645" s="1098"/>
      <c r="AP645" s="1098"/>
      <c r="AQ645" s="1098"/>
      <c r="AR645" s="1098"/>
      <c r="AS645" s="1098"/>
      <c r="AT645" s="1098"/>
      <c r="AU645" s="1098"/>
      <c r="AV645" s="1098"/>
      <c r="AW645" s="1098"/>
      <c r="AX645" s="1098"/>
      <c r="AY645" s="1098"/>
      <c r="AZ645" s="1098"/>
      <c r="BA645" s="1098"/>
      <c r="BB645" s="1098"/>
      <c r="BC645" s="1098"/>
      <c r="BD645" s="1098"/>
      <c r="BE645" s="1098"/>
      <c r="BF645" s="1098"/>
      <c r="BG645" s="1098"/>
      <c r="BH645" s="1098"/>
      <c r="BI645" s="1098"/>
      <c r="BJ645" s="1098"/>
      <c r="BK645" s="1098"/>
      <c r="BL645" s="1098"/>
      <c r="BM645" s="1098"/>
      <c r="BN645" s="1098"/>
      <c r="BO645" s="1098"/>
      <c r="BP645" s="1098"/>
      <c r="BQ645" s="1098"/>
      <c r="BR645" s="1098"/>
      <c r="BS645" s="1098"/>
      <c r="BT645" s="1098"/>
      <c r="BU645" s="1098"/>
      <c r="BV645" s="1098"/>
      <c r="BW645" s="1098"/>
      <c r="BX645" s="1098"/>
      <c r="BY645" s="1098"/>
      <c r="BZ645" s="1098"/>
      <c r="CA645" s="1098"/>
      <c r="CB645" s="1098"/>
      <c r="CC645" s="1098"/>
      <c r="CD645" s="1098"/>
      <c r="CE645" s="1098"/>
      <c r="CF645" s="1098"/>
      <c r="CG645" s="1098"/>
      <c r="CH645" s="1098"/>
      <c r="CI645" s="1098"/>
      <c r="CJ645" s="1098"/>
      <c r="CK645" s="1098"/>
      <c r="CL645" s="1098"/>
      <c r="CM645" s="1098"/>
      <c r="CN645" s="1098"/>
      <c r="CO645" s="1098"/>
      <c r="CP645" s="1098"/>
      <c r="CQ645" s="1098"/>
      <c r="CR645" s="1098"/>
      <c r="CS645" s="1098"/>
      <c r="CT645" s="1098"/>
      <c r="CU645" s="1098"/>
      <c r="CV645" s="1098"/>
      <c r="CW645" s="1098"/>
      <c r="CX645" s="1098"/>
      <c r="CY645" s="1098"/>
      <c r="CZ645" s="1098"/>
      <c r="DA645" s="1098"/>
      <c r="DB645" s="1098"/>
      <c r="DC645" s="1098"/>
      <c r="DD645" s="1098"/>
      <c r="DE645" s="1098"/>
      <c r="DF645" s="1098"/>
      <c r="DG645" s="1098"/>
      <c r="DH645" s="1098"/>
      <c r="DI645" s="1098"/>
      <c r="DJ645" s="1098"/>
      <c r="DK645" s="1098"/>
      <c r="DL645" s="1098"/>
      <c r="DM645" s="1098"/>
      <c r="DN645" s="1098"/>
      <c r="DO645" s="1098"/>
      <c r="DP645" s="1098"/>
      <c r="DQ645" s="1098"/>
      <c r="DR645" s="1098"/>
      <c r="DS645" s="1098"/>
      <c r="DT645" s="1098"/>
      <c r="DU645" s="1098"/>
      <c r="DV645" s="1098"/>
      <c r="DW645" s="1098"/>
      <c r="DX645" s="1098"/>
      <c r="DY645" s="1098"/>
      <c r="DZ645" s="1098"/>
      <c r="EA645" s="1098"/>
      <c r="EB645" s="1098"/>
      <c r="EC645" s="1098"/>
      <c r="ED645" s="1098"/>
      <c r="EE645" s="1098"/>
      <c r="EF645" s="1098"/>
      <c r="EG645" s="1098"/>
      <c r="EH645" s="1098"/>
      <c r="EI645" s="1098"/>
      <c r="EJ645" s="1098"/>
      <c r="EK645" s="1098"/>
      <c r="EL645" s="1098"/>
      <c r="EM645" s="1098"/>
      <c r="EN645" s="1098"/>
      <c r="EO645" s="1098"/>
      <c r="EP645" s="1098"/>
      <c r="EQ645" s="1098"/>
      <c r="ER645" s="1098"/>
      <c r="ES645" s="1098"/>
      <c r="ET645" s="1098"/>
      <c r="EU645" s="1098"/>
      <c r="EV645" s="1098"/>
      <c r="EW645" s="1098"/>
      <c r="EX645" s="1098"/>
      <c r="EY645" s="1098"/>
      <c r="EZ645" s="1098"/>
      <c r="FA645" s="1098"/>
      <c r="FB645" s="1098"/>
      <c r="FC645" s="1098"/>
      <c r="FD645" s="1098"/>
      <c r="FE645" s="1098"/>
      <c r="FF645" s="1098"/>
      <c r="FG645" s="1098"/>
      <c r="FH645" s="1098"/>
      <c r="FI645" s="1098"/>
      <c r="FJ645" s="1098"/>
      <c r="FK645" s="1098"/>
      <c r="FL645" s="1098"/>
      <c r="FM645" s="1098"/>
      <c r="FN645" s="1098"/>
      <c r="FO645" s="1098"/>
      <c r="FP645" s="1098"/>
      <c r="FQ645" s="1098"/>
      <c r="FR645" s="1098"/>
      <c r="FS645" s="1098"/>
      <c r="FT645" s="1098"/>
      <c r="FU645" s="1098"/>
      <c r="FV645" s="1098"/>
      <c r="FW645" s="1098"/>
      <c r="FX645" s="1098"/>
      <c r="FY645" s="1098"/>
      <c r="FZ645" s="1098"/>
      <c r="GA645" s="1098"/>
      <c r="GB645" s="1098"/>
      <c r="GC645" s="1098"/>
      <c r="GD645" s="1098"/>
      <c r="GE645" s="1098"/>
      <c r="GF645" s="1098"/>
      <c r="GG645" s="1098"/>
      <c r="GH645" s="1098"/>
      <c r="GI645" s="1098"/>
      <c r="GJ645" s="1098"/>
      <c r="GK645" s="1098"/>
      <c r="GL645" s="1098"/>
      <c r="GM645" s="1098"/>
      <c r="GN645" s="1098"/>
      <c r="GO645" s="1098"/>
      <c r="GP645" s="1098"/>
      <c r="GQ645" s="1098"/>
      <c r="GR645" s="1098"/>
      <c r="GS645" s="1098"/>
      <c r="GT645" s="1098"/>
      <c r="GU645" s="1098"/>
      <c r="GV645" s="1098"/>
      <c r="GW645" s="1098"/>
      <c r="GX645" s="1098"/>
      <c r="GY645" s="1098"/>
      <c r="GZ645" s="1098"/>
      <c r="HA645" s="1098"/>
      <c r="HB645" s="1098"/>
      <c r="HC645" s="1098"/>
      <c r="HD645" s="1098"/>
      <c r="HE645" s="1098"/>
      <c r="HF645" s="1098"/>
      <c r="HG645" s="1098"/>
      <c r="HH645" s="1098"/>
      <c r="HI645" s="1098"/>
      <c r="HJ645" s="1098"/>
      <c r="HK645" s="1098"/>
      <c r="HL645" s="1098"/>
      <c r="HM645" s="1098"/>
      <c r="HN645" s="1098"/>
      <c r="HO645" s="1098"/>
      <c r="HP645" s="1098"/>
      <c r="HQ645" s="1098"/>
      <c r="HR645" s="1098"/>
      <c r="HS645" s="1098"/>
      <c r="HT645" s="1098"/>
      <c r="HU645" s="1098"/>
      <c r="HV645" s="1098"/>
      <c r="HW645" s="1098"/>
      <c r="HX645" s="1098"/>
      <c r="HY645" s="1098"/>
      <c r="HZ645" s="1098"/>
      <c r="IA645" s="1098"/>
      <c r="IB645" s="1098"/>
      <c r="IC645" s="1098"/>
      <c r="ID645" s="1098"/>
      <c r="IE645" s="1098"/>
      <c r="IF645" s="1098"/>
      <c r="IG645" s="1098"/>
      <c r="IH645" s="1098"/>
      <c r="II645" s="1098"/>
      <c r="IJ645" s="1098"/>
      <c r="IK645" s="1098"/>
      <c r="IL645" s="1098"/>
      <c r="IM645" s="1098"/>
      <c r="IN645" s="1098"/>
      <c r="IO645" s="1098"/>
      <c r="IP645" s="1098"/>
      <c r="IQ645" s="1098"/>
      <c r="IR645" s="1098"/>
      <c r="IS645" s="1098"/>
      <c r="IT645" s="1098"/>
      <c r="IU645" s="1098"/>
      <c r="IV645" s="1098"/>
      <c r="IW645" s="1098"/>
      <c r="IX645" s="1098"/>
      <c r="IY645" s="1098"/>
      <c r="IZ645" s="1098"/>
      <c r="JA645" s="1098"/>
      <c r="JB645" s="1098"/>
      <c r="JC645" s="1098"/>
      <c r="JD645" s="1098"/>
      <c r="JE645" s="1098"/>
      <c r="JF645" s="1098"/>
      <c r="JG645" s="1098"/>
      <c r="JH645" s="1098"/>
      <c r="JI645" s="1098"/>
      <c r="JJ645" s="1098"/>
      <c r="JK645" s="1098"/>
      <c r="JL645" s="1098"/>
      <c r="JM645" s="1098"/>
      <c r="JN645" s="1098"/>
      <c r="JO645" s="1098"/>
      <c r="JP645" s="1098"/>
      <c r="JQ645" s="1098"/>
      <c r="JR645" s="1098"/>
      <c r="JS645" s="1098"/>
      <c r="JT645" s="1098"/>
      <c r="JU645" s="1098"/>
      <c r="JV645" s="1098"/>
      <c r="JW645" s="1098"/>
      <c r="JX645" s="1098"/>
      <c r="JY645" s="1098"/>
      <c r="JZ645" s="1098"/>
      <c r="KA645" s="1098"/>
      <c r="KB645" s="1099"/>
    </row>
    <row r="646" spans="2:288" ht="15" customHeight="1" x14ac:dyDescent="0.35">
      <c r="B646" s="146" t="str">
        <f t="shared" si="54"/>
        <v>Desk 16</v>
      </c>
      <c r="C646" s="148" t="str">
        <v/>
      </c>
      <c r="D646" s="148" t="str">
        <v/>
      </c>
      <c r="E646" s="148" t="str">
        <v/>
      </c>
      <c r="F646" s="148" t="str">
        <v/>
      </c>
      <c r="G646" s="268" t="str">
        <v/>
      </c>
      <c r="H646" s="1098"/>
      <c r="I646" s="1098"/>
      <c r="J646" s="1098"/>
      <c r="K646" s="1098"/>
      <c r="L646" s="1098"/>
      <c r="M646" s="1098"/>
      <c r="N646" s="1098"/>
      <c r="O646" s="1098"/>
      <c r="P646" s="1098"/>
      <c r="Q646" s="1098"/>
      <c r="R646" s="1098"/>
      <c r="S646" s="1098"/>
      <c r="T646" s="1098"/>
      <c r="U646" s="1098"/>
      <c r="V646" s="1098"/>
      <c r="W646" s="1098"/>
      <c r="X646" s="1098"/>
      <c r="Y646" s="1098"/>
      <c r="Z646" s="1098"/>
      <c r="AA646" s="1098"/>
      <c r="AB646" s="1098"/>
      <c r="AC646" s="1098"/>
      <c r="AD646" s="1098"/>
      <c r="AE646" s="1098"/>
      <c r="AF646" s="1098"/>
      <c r="AG646" s="1098"/>
      <c r="AH646" s="1098"/>
      <c r="AI646" s="1098"/>
      <c r="AJ646" s="1098"/>
      <c r="AK646" s="1098"/>
      <c r="AL646" s="1098"/>
      <c r="AM646" s="1098"/>
      <c r="AN646" s="1098"/>
      <c r="AO646" s="1098"/>
      <c r="AP646" s="1098"/>
      <c r="AQ646" s="1098"/>
      <c r="AR646" s="1098"/>
      <c r="AS646" s="1098"/>
      <c r="AT646" s="1098"/>
      <c r="AU646" s="1098"/>
      <c r="AV646" s="1098"/>
      <c r="AW646" s="1098"/>
      <c r="AX646" s="1098"/>
      <c r="AY646" s="1098"/>
      <c r="AZ646" s="1098"/>
      <c r="BA646" s="1098"/>
      <c r="BB646" s="1098"/>
      <c r="BC646" s="1098"/>
      <c r="BD646" s="1098"/>
      <c r="BE646" s="1098"/>
      <c r="BF646" s="1098"/>
      <c r="BG646" s="1098"/>
      <c r="BH646" s="1098"/>
      <c r="BI646" s="1098"/>
      <c r="BJ646" s="1098"/>
      <c r="BK646" s="1098"/>
      <c r="BL646" s="1098"/>
      <c r="BM646" s="1098"/>
      <c r="BN646" s="1098"/>
      <c r="BO646" s="1098"/>
      <c r="BP646" s="1098"/>
      <c r="BQ646" s="1098"/>
      <c r="BR646" s="1098"/>
      <c r="BS646" s="1098"/>
      <c r="BT646" s="1098"/>
      <c r="BU646" s="1098"/>
      <c r="BV646" s="1098"/>
      <c r="BW646" s="1098"/>
      <c r="BX646" s="1098"/>
      <c r="BY646" s="1098"/>
      <c r="BZ646" s="1098"/>
      <c r="CA646" s="1098"/>
      <c r="CB646" s="1098"/>
      <c r="CC646" s="1098"/>
      <c r="CD646" s="1098"/>
      <c r="CE646" s="1098"/>
      <c r="CF646" s="1098"/>
      <c r="CG646" s="1098"/>
      <c r="CH646" s="1098"/>
      <c r="CI646" s="1098"/>
      <c r="CJ646" s="1098"/>
      <c r="CK646" s="1098"/>
      <c r="CL646" s="1098"/>
      <c r="CM646" s="1098"/>
      <c r="CN646" s="1098"/>
      <c r="CO646" s="1098"/>
      <c r="CP646" s="1098"/>
      <c r="CQ646" s="1098"/>
      <c r="CR646" s="1098"/>
      <c r="CS646" s="1098"/>
      <c r="CT646" s="1098"/>
      <c r="CU646" s="1098"/>
      <c r="CV646" s="1098"/>
      <c r="CW646" s="1098"/>
      <c r="CX646" s="1098"/>
      <c r="CY646" s="1098"/>
      <c r="CZ646" s="1098"/>
      <c r="DA646" s="1098"/>
      <c r="DB646" s="1098"/>
      <c r="DC646" s="1098"/>
      <c r="DD646" s="1098"/>
      <c r="DE646" s="1098"/>
      <c r="DF646" s="1098"/>
      <c r="DG646" s="1098"/>
      <c r="DH646" s="1098"/>
      <c r="DI646" s="1098"/>
      <c r="DJ646" s="1098"/>
      <c r="DK646" s="1098"/>
      <c r="DL646" s="1098"/>
      <c r="DM646" s="1098"/>
      <c r="DN646" s="1098"/>
      <c r="DO646" s="1098"/>
      <c r="DP646" s="1098"/>
      <c r="DQ646" s="1098"/>
      <c r="DR646" s="1098"/>
      <c r="DS646" s="1098"/>
      <c r="DT646" s="1098"/>
      <c r="DU646" s="1098"/>
      <c r="DV646" s="1098"/>
      <c r="DW646" s="1098"/>
      <c r="DX646" s="1098"/>
      <c r="DY646" s="1098"/>
      <c r="DZ646" s="1098"/>
      <c r="EA646" s="1098"/>
      <c r="EB646" s="1098"/>
      <c r="EC646" s="1098"/>
      <c r="ED646" s="1098"/>
      <c r="EE646" s="1098"/>
      <c r="EF646" s="1098"/>
      <c r="EG646" s="1098"/>
      <c r="EH646" s="1098"/>
      <c r="EI646" s="1098"/>
      <c r="EJ646" s="1098"/>
      <c r="EK646" s="1098"/>
      <c r="EL646" s="1098"/>
      <c r="EM646" s="1098"/>
      <c r="EN646" s="1098"/>
      <c r="EO646" s="1098"/>
      <c r="EP646" s="1098"/>
      <c r="EQ646" s="1098"/>
      <c r="ER646" s="1098"/>
      <c r="ES646" s="1098"/>
      <c r="ET646" s="1098"/>
      <c r="EU646" s="1098"/>
      <c r="EV646" s="1098"/>
      <c r="EW646" s="1098"/>
      <c r="EX646" s="1098"/>
      <c r="EY646" s="1098"/>
      <c r="EZ646" s="1098"/>
      <c r="FA646" s="1098"/>
      <c r="FB646" s="1098"/>
      <c r="FC646" s="1098"/>
      <c r="FD646" s="1098"/>
      <c r="FE646" s="1098"/>
      <c r="FF646" s="1098"/>
      <c r="FG646" s="1098"/>
      <c r="FH646" s="1098"/>
      <c r="FI646" s="1098"/>
      <c r="FJ646" s="1098"/>
      <c r="FK646" s="1098"/>
      <c r="FL646" s="1098"/>
      <c r="FM646" s="1098"/>
      <c r="FN646" s="1098"/>
      <c r="FO646" s="1098"/>
      <c r="FP646" s="1098"/>
      <c r="FQ646" s="1098"/>
      <c r="FR646" s="1098"/>
      <c r="FS646" s="1098"/>
      <c r="FT646" s="1098"/>
      <c r="FU646" s="1098"/>
      <c r="FV646" s="1098"/>
      <c r="FW646" s="1098"/>
      <c r="FX646" s="1098"/>
      <c r="FY646" s="1098"/>
      <c r="FZ646" s="1098"/>
      <c r="GA646" s="1098"/>
      <c r="GB646" s="1098"/>
      <c r="GC646" s="1098"/>
      <c r="GD646" s="1098"/>
      <c r="GE646" s="1098"/>
      <c r="GF646" s="1098"/>
      <c r="GG646" s="1098"/>
      <c r="GH646" s="1098"/>
      <c r="GI646" s="1098"/>
      <c r="GJ646" s="1098"/>
      <c r="GK646" s="1098"/>
      <c r="GL646" s="1098"/>
      <c r="GM646" s="1098"/>
      <c r="GN646" s="1098"/>
      <c r="GO646" s="1098"/>
      <c r="GP646" s="1098"/>
      <c r="GQ646" s="1098"/>
      <c r="GR646" s="1098"/>
      <c r="GS646" s="1098"/>
      <c r="GT646" s="1098"/>
      <c r="GU646" s="1098"/>
      <c r="GV646" s="1098"/>
      <c r="GW646" s="1098"/>
      <c r="GX646" s="1098"/>
      <c r="GY646" s="1098"/>
      <c r="GZ646" s="1098"/>
      <c r="HA646" s="1098"/>
      <c r="HB646" s="1098"/>
      <c r="HC646" s="1098"/>
      <c r="HD646" s="1098"/>
      <c r="HE646" s="1098"/>
      <c r="HF646" s="1098"/>
      <c r="HG646" s="1098"/>
      <c r="HH646" s="1098"/>
      <c r="HI646" s="1098"/>
      <c r="HJ646" s="1098"/>
      <c r="HK646" s="1098"/>
      <c r="HL646" s="1098"/>
      <c r="HM646" s="1098"/>
      <c r="HN646" s="1098"/>
      <c r="HO646" s="1098"/>
      <c r="HP646" s="1098"/>
      <c r="HQ646" s="1098"/>
      <c r="HR646" s="1098"/>
      <c r="HS646" s="1098"/>
      <c r="HT646" s="1098"/>
      <c r="HU646" s="1098"/>
      <c r="HV646" s="1098"/>
      <c r="HW646" s="1098"/>
      <c r="HX646" s="1098"/>
      <c r="HY646" s="1098"/>
      <c r="HZ646" s="1098"/>
      <c r="IA646" s="1098"/>
      <c r="IB646" s="1098"/>
      <c r="IC646" s="1098"/>
      <c r="ID646" s="1098"/>
      <c r="IE646" s="1098"/>
      <c r="IF646" s="1098"/>
      <c r="IG646" s="1098"/>
      <c r="IH646" s="1098"/>
      <c r="II646" s="1098"/>
      <c r="IJ646" s="1098"/>
      <c r="IK646" s="1098"/>
      <c r="IL646" s="1098"/>
      <c r="IM646" s="1098"/>
      <c r="IN646" s="1098"/>
      <c r="IO646" s="1098"/>
      <c r="IP646" s="1098"/>
      <c r="IQ646" s="1098"/>
      <c r="IR646" s="1098"/>
      <c r="IS646" s="1098"/>
      <c r="IT646" s="1098"/>
      <c r="IU646" s="1098"/>
      <c r="IV646" s="1098"/>
      <c r="IW646" s="1098"/>
      <c r="IX646" s="1098"/>
      <c r="IY646" s="1098"/>
      <c r="IZ646" s="1098"/>
      <c r="JA646" s="1098"/>
      <c r="JB646" s="1098"/>
      <c r="JC646" s="1098"/>
      <c r="JD646" s="1098"/>
      <c r="JE646" s="1098"/>
      <c r="JF646" s="1098"/>
      <c r="JG646" s="1098"/>
      <c r="JH646" s="1098"/>
      <c r="JI646" s="1098"/>
      <c r="JJ646" s="1098"/>
      <c r="JK646" s="1098"/>
      <c r="JL646" s="1098"/>
      <c r="JM646" s="1098"/>
      <c r="JN646" s="1098"/>
      <c r="JO646" s="1098"/>
      <c r="JP646" s="1098"/>
      <c r="JQ646" s="1098"/>
      <c r="JR646" s="1098"/>
      <c r="JS646" s="1098"/>
      <c r="JT646" s="1098"/>
      <c r="JU646" s="1098"/>
      <c r="JV646" s="1098"/>
      <c r="JW646" s="1098"/>
      <c r="JX646" s="1098"/>
      <c r="JY646" s="1098"/>
      <c r="JZ646" s="1098"/>
      <c r="KA646" s="1098"/>
      <c r="KB646" s="1099"/>
    </row>
    <row r="647" spans="2:288" ht="15" customHeight="1" x14ac:dyDescent="0.35">
      <c r="B647" s="146" t="str">
        <f t="shared" si="54"/>
        <v>Desk 17</v>
      </c>
      <c r="C647" s="148" t="str">
        <v/>
      </c>
      <c r="D647" s="148" t="str">
        <v/>
      </c>
      <c r="E647" s="148" t="str">
        <v/>
      </c>
      <c r="F647" s="148" t="str">
        <v/>
      </c>
      <c r="G647" s="268" t="str">
        <v/>
      </c>
      <c r="H647" s="1098"/>
      <c r="I647" s="1098"/>
      <c r="J647" s="1098"/>
      <c r="K647" s="1098"/>
      <c r="L647" s="1098"/>
      <c r="M647" s="1098"/>
      <c r="N647" s="1098"/>
      <c r="O647" s="1098"/>
      <c r="P647" s="1098"/>
      <c r="Q647" s="1098"/>
      <c r="R647" s="1098"/>
      <c r="S647" s="1098"/>
      <c r="T647" s="1098"/>
      <c r="U647" s="1098"/>
      <c r="V647" s="1098"/>
      <c r="W647" s="1098"/>
      <c r="X647" s="1098"/>
      <c r="Y647" s="1098"/>
      <c r="Z647" s="1098"/>
      <c r="AA647" s="1098"/>
      <c r="AB647" s="1098"/>
      <c r="AC647" s="1098"/>
      <c r="AD647" s="1098"/>
      <c r="AE647" s="1098"/>
      <c r="AF647" s="1098"/>
      <c r="AG647" s="1098"/>
      <c r="AH647" s="1098"/>
      <c r="AI647" s="1098"/>
      <c r="AJ647" s="1098"/>
      <c r="AK647" s="1098"/>
      <c r="AL647" s="1098"/>
      <c r="AM647" s="1098"/>
      <c r="AN647" s="1098"/>
      <c r="AO647" s="1098"/>
      <c r="AP647" s="1098"/>
      <c r="AQ647" s="1098"/>
      <c r="AR647" s="1098"/>
      <c r="AS647" s="1098"/>
      <c r="AT647" s="1098"/>
      <c r="AU647" s="1098"/>
      <c r="AV647" s="1098"/>
      <c r="AW647" s="1098"/>
      <c r="AX647" s="1098"/>
      <c r="AY647" s="1098"/>
      <c r="AZ647" s="1098"/>
      <c r="BA647" s="1098"/>
      <c r="BB647" s="1098"/>
      <c r="BC647" s="1098"/>
      <c r="BD647" s="1098"/>
      <c r="BE647" s="1098"/>
      <c r="BF647" s="1098"/>
      <c r="BG647" s="1098"/>
      <c r="BH647" s="1098"/>
      <c r="BI647" s="1098"/>
      <c r="BJ647" s="1098"/>
      <c r="BK647" s="1098"/>
      <c r="BL647" s="1098"/>
      <c r="BM647" s="1098"/>
      <c r="BN647" s="1098"/>
      <c r="BO647" s="1098"/>
      <c r="BP647" s="1098"/>
      <c r="BQ647" s="1098"/>
      <c r="BR647" s="1098"/>
      <c r="BS647" s="1098"/>
      <c r="BT647" s="1098"/>
      <c r="BU647" s="1098"/>
      <c r="BV647" s="1098"/>
      <c r="BW647" s="1098"/>
      <c r="BX647" s="1098"/>
      <c r="BY647" s="1098"/>
      <c r="BZ647" s="1098"/>
      <c r="CA647" s="1098"/>
      <c r="CB647" s="1098"/>
      <c r="CC647" s="1098"/>
      <c r="CD647" s="1098"/>
      <c r="CE647" s="1098"/>
      <c r="CF647" s="1098"/>
      <c r="CG647" s="1098"/>
      <c r="CH647" s="1098"/>
      <c r="CI647" s="1098"/>
      <c r="CJ647" s="1098"/>
      <c r="CK647" s="1098"/>
      <c r="CL647" s="1098"/>
      <c r="CM647" s="1098"/>
      <c r="CN647" s="1098"/>
      <c r="CO647" s="1098"/>
      <c r="CP647" s="1098"/>
      <c r="CQ647" s="1098"/>
      <c r="CR647" s="1098"/>
      <c r="CS647" s="1098"/>
      <c r="CT647" s="1098"/>
      <c r="CU647" s="1098"/>
      <c r="CV647" s="1098"/>
      <c r="CW647" s="1098"/>
      <c r="CX647" s="1098"/>
      <c r="CY647" s="1098"/>
      <c r="CZ647" s="1098"/>
      <c r="DA647" s="1098"/>
      <c r="DB647" s="1098"/>
      <c r="DC647" s="1098"/>
      <c r="DD647" s="1098"/>
      <c r="DE647" s="1098"/>
      <c r="DF647" s="1098"/>
      <c r="DG647" s="1098"/>
      <c r="DH647" s="1098"/>
      <c r="DI647" s="1098"/>
      <c r="DJ647" s="1098"/>
      <c r="DK647" s="1098"/>
      <c r="DL647" s="1098"/>
      <c r="DM647" s="1098"/>
      <c r="DN647" s="1098"/>
      <c r="DO647" s="1098"/>
      <c r="DP647" s="1098"/>
      <c r="DQ647" s="1098"/>
      <c r="DR647" s="1098"/>
      <c r="DS647" s="1098"/>
      <c r="DT647" s="1098"/>
      <c r="DU647" s="1098"/>
      <c r="DV647" s="1098"/>
      <c r="DW647" s="1098"/>
      <c r="DX647" s="1098"/>
      <c r="DY647" s="1098"/>
      <c r="DZ647" s="1098"/>
      <c r="EA647" s="1098"/>
      <c r="EB647" s="1098"/>
      <c r="EC647" s="1098"/>
      <c r="ED647" s="1098"/>
      <c r="EE647" s="1098"/>
      <c r="EF647" s="1098"/>
      <c r="EG647" s="1098"/>
      <c r="EH647" s="1098"/>
      <c r="EI647" s="1098"/>
      <c r="EJ647" s="1098"/>
      <c r="EK647" s="1098"/>
      <c r="EL647" s="1098"/>
      <c r="EM647" s="1098"/>
      <c r="EN647" s="1098"/>
      <c r="EO647" s="1098"/>
      <c r="EP647" s="1098"/>
      <c r="EQ647" s="1098"/>
      <c r="ER647" s="1098"/>
      <c r="ES647" s="1098"/>
      <c r="ET647" s="1098"/>
      <c r="EU647" s="1098"/>
      <c r="EV647" s="1098"/>
      <c r="EW647" s="1098"/>
      <c r="EX647" s="1098"/>
      <c r="EY647" s="1098"/>
      <c r="EZ647" s="1098"/>
      <c r="FA647" s="1098"/>
      <c r="FB647" s="1098"/>
      <c r="FC647" s="1098"/>
      <c r="FD647" s="1098"/>
      <c r="FE647" s="1098"/>
      <c r="FF647" s="1098"/>
      <c r="FG647" s="1098"/>
      <c r="FH647" s="1098"/>
      <c r="FI647" s="1098"/>
      <c r="FJ647" s="1098"/>
      <c r="FK647" s="1098"/>
      <c r="FL647" s="1098"/>
      <c r="FM647" s="1098"/>
      <c r="FN647" s="1098"/>
      <c r="FO647" s="1098"/>
      <c r="FP647" s="1098"/>
      <c r="FQ647" s="1098"/>
      <c r="FR647" s="1098"/>
      <c r="FS647" s="1098"/>
      <c r="FT647" s="1098"/>
      <c r="FU647" s="1098"/>
      <c r="FV647" s="1098"/>
      <c r="FW647" s="1098"/>
      <c r="FX647" s="1098"/>
      <c r="FY647" s="1098"/>
      <c r="FZ647" s="1098"/>
      <c r="GA647" s="1098"/>
      <c r="GB647" s="1098"/>
      <c r="GC647" s="1098"/>
      <c r="GD647" s="1098"/>
      <c r="GE647" s="1098"/>
      <c r="GF647" s="1098"/>
      <c r="GG647" s="1098"/>
      <c r="GH647" s="1098"/>
      <c r="GI647" s="1098"/>
      <c r="GJ647" s="1098"/>
      <c r="GK647" s="1098"/>
      <c r="GL647" s="1098"/>
      <c r="GM647" s="1098"/>
      <c r="GN647" s="1098"/>
      <c r="GO647" s="1098"/>
      <c r="GP647" s="1098"/>
      <c r="GQ647" s="1098"/>
      <c r="GR647" s="1098"/>
      <c r="GS647" s="1098"/>
      <c r="GT647" s="1098"/>
      <c r="GU647" s="1098"/>
      <c r="GV647" s="1098"/>
      <c r="GW647" s="1098"/>
      <c r="GX647" s="1098"/>
      <c r="GY647" s="1098"/>
      <c r="GZ647" s="1098"/>
      <c r="HA647" s="1098"/>
      <c r="HB647" s="1098"/>
      <c r="HC647" s="1098"/>
      <c r="HD647" s="1098"/>
      <c r="HE647" s="1098"/>
      <c r="HF647" s="1098"/>
      <c r="HG647" s="1098"/>
      <c r="HH647" s="1098"/>
      <c r="HI647" s="1098"/>
      <c r="HJ647" s="1098"/>
      <c r="HK647" s="1098"/>
      <c r="HL647" s="1098"/>
      <c r="HM647" s="1098"/>
      <c r="HN647" s="1098"/>
      <c r="HO647" s="1098"/>
      <c r="HP647" s="1098"/>
      <c r="HQ647" s="1098"/>
      <c r="HR647" s="1098"/>
      <c r="HS647" s="1098"/>
      <c r="HT647" s="1098"/>
      <c r="HU647" s="1098"/>
      <c r="HV647" s="1098"/>
      <c r="HW647" s="1098"/>
      <c r="HX647" s="1098"/>
      <c r="HY647" s="1098"/>
      <c r="HZ647" s="1098"/>
      <c r="IA647" s="1098"/>
      <c r="IB647" s="1098"/>
      <c r="IC647" s="1098"/>
      <c r="ID647" s="1098"/>
      <c r="IE647" s="1098"/>
      <c r="IF647" s="1098"/>
      <c r="IG647" s="1098"/>
      <c r="IH647" s="1098"/>
      <c r="II647" s="1098"/>
      <c r="IJ647" s="1098"/>
      <c r="IK647" s="1098"/>
      <c r="IL647" s="1098"/>
      <c r="IM647" s="1098"/>
      <c r="IN647" s="1098"/>
      <c r="IO647" s="1098"/>
      <c r="IP647" s="1098"/>
      <c r="IQ647" s="1098"/>
      <c r="IR647" s="1098"/>
      <c r="IS647" s="1098"/>
      <c r="IT647" s="1098"/>
      <c r="IU647" s="1098"/>
      <c r="IV647" s="1098"/>
      <c r="IW647" s="1098"/>
      <c r="IX647" s="1098"/>
      <c r="IY647" s="1098"/>
      <c r="IZ647" s="1098"/>
      <c r="JA647" s="1098"/>
      <c r="JB647" s="1098"/>
      <c r="JC647" s="1098"/>
      <c r="JD647" s="1098"/>
      <c r="JE647" s="1098"/>
      <c r="JF647" s="1098"/>
      <c r="JG647" s="1098"/>
      <c r="JH647" s="1098"/>
      <c r="JI647" s="1098"/>
      <c r="JJ647" s="1098"/>
      <c r="JK647" s="1098"/>
      <c r="JL647" s="1098"/>
      <c r="JM647" s="1098"/>
      <c r="JN647" s="1098"/>
      <c r="JO647" s="1098"/>
      <c r="JP647" s="1098"/>
      <c r="JQ647" s="1098"/>
      <c r="JR647" s="1098"/>
      <c r="JS647" s="1098"/>
      <c r="JT647" s="1098"/>
      <c r="JU647" s="1098"/>
      <c r="JV647" s="1098"/>
      <c r="JW647" s="1098"/>
      <c r="JX647" s="1098"/>
      <c r="JY647" s="1098"/>
      <c r="JZ647" s="1098"/>
      <c r="KA647" s="1098"/>
      <c r="KB647" s="1099"/>
    </row>
    <row r="648" spans="2:288" ht="15" customHeight="1" x14ac:dyDescent="0.35">
      <c r="B648" s="146" t="str">
        <f t="shared" si="54"/>
        <v>Desk 18</v>
      </c>
      <c r="C648" s="148" t="str">
        <v/>
      </c>
      <c r="D648" s="148" t="str">
        <v/>
      </c>
      <c r="E648" s="148" t="str">
        <v/>
      </c>
      <c r="F648" s="148" t="str">
        <v/>
      </c>
      <c r="G648" s="268" t="str">
        <v/>
      </c>
      <c r="H648" s="1098"/>
      <c r="I648" s="1098"/>
      <c r="J648" s="1098"/>
      <c r="K648" s="1098"/>
      <c r="L648" s="1098"/>
      <c r="M648" s="1098"/>
      <c r="N648" s="1098"/>
      <c r="O648" s="1098"/>
      <c r="P648" s="1098"/>
      <c r="Q648" s="1098"/>
      <c r="R648" s="1098"/>
      <c r="S648" s="1098"/>
      <c r="T648" s="1098"/>
      <c r="U648" s="1098"/>
      <c r="V648" s="1098"/>
      <c r="W648" s="1098"/>
      <c r="X648" s="1098"/>
      <c r="Y648" s="1098"/>
      <c r="Z648" s="1098"/>
      <c r="AA648" s="1098"/>
      <c r="AB648" s="1098"/>
      <c r="AC648" s="1098"/>
      <c r="AD648" s="1098"/>
      <c r="AE648" s="1098"/>
      <c r="AF648" s="1098"/>
      <c r="AG648" s="1098"/>
      <c r="AH648" s="1098"/>
      <c r="AI648" s="1098"/>
      <c r="AJ648" s="1098"/>
      <c r="AK648" s="1098"/>
      <c r="AL648" s="1098"/>
      <c r="AM648" s="1098"/>
      <c r="AN648" s="1098"/>
      <c r="AO648" s="1098"/>
      <c r="AP648" s="1098"/>
      <c r="AQ648" s="1098"/>
      <c r="AR648" s="1098"/>
      <c r="AS648" s="1098"/>
      <c r="AT648" s="1098"/>
      <c r="AU648" s="1098"/>
      <c r="AV648" s="1098"/>
      <c r="AW648" s="1098"/>
      <c r="AX648" s="1098"/>
      <c r="AY648" s="1098"/>
      <c r="AZ648" s="1098"/>
      <c r="BA648" s="1098"/>
      <c r="BB648" s="1098"/>
      <c r="BC648" s="1098"/>
      <c r="BD648" s="1098"/>
      <c r="BE648" s="1098"/>
      <c r="BF648" s="1098"/>
      <c r="BG648" s="1098"/>
      <c r="BH648" s="1098"/>
      <c r="BI648" s="1098"/>
      <c r="BJ648" s="1098"/>
      <c r="BK648" s="1098"/>
      <c r="BL648" s="1098"/>
      <c r="BM648" s="1098"/>
      <c r="BN648" s="1098"/>
      <c r="BO648" s="1098"/>
      <c r="BP648" s="1098"/>
      <c r="BQ648" s="1098"/>
      <c r="BR648" s="1098"/>
      <c r="BS648" s="1098"/>
      <c r="BT648" s="1098"/>
      <c r="BU648" s="1098"/>
      <c r="BV648" s="1098"/>
      <c r="BW648" s="1098"/>
      <c r="BX648" s="1098"/>
      <c r="BY648" s="1098"/>
      <c r="BZ648" s="1098"/>
      <c r="CA648" s="1098"/>
      <c r="CB648" s="1098"/>
      <c r="CC648" s="1098"/>
      <c r="CD648" s="1098"/>
      <c r="CE648" s="1098"/>
      <c r="CF648" s="1098"/>
      <c r="CG648" s="1098"/>
      <c r="CH648" s="1098"/>
      <c r="CI648" s="1098"/>
      <c r="CJ648" s="1098"/>
      <c r="CK648" s="1098"/>
      <c r="CL648" s="1098"/>
      <c r="CM648" s="1098"/>
      <c r="CN648" s="1098"/>
      <c r="CO648" s="1098"/>
      <c r="CP648" s="1098"/>
      <c r="CQ648" s="1098"/>
      <c r="CR648" s="1098"/>
      <c r="CS648" s="1098"/>
      <c r="CT648" s="1098"/>
      <c r="CU648" s="1098"/>
      <c r="CV648" s="1098"/>
      <c r="CW648" s="1098"/>
      <c r="CX648" s="1098"/>
      <c r="CY648" s="1098"/>
      <c r="CZ648" s="1098"/>
      <c r="DA648" s="1098"/>
      <c r="DB648" s="1098"/>
      <c r="DC648" s="1098"/>
      <c r="DD648" s="1098"/>
      <c r="DE648" s="1098"/>
      <c r="DF648" s="1098"/>
      <c r="DG648" s="1098"/>
      <c r="DH648" s="1098"/>
      <c r="DI648" s="1098"/>
      <c r="DJ648" s="1098"/>
      <c r="DK648" s="1098"/>
      <c r="DL648" s="1098"/>
      <c r="DM648" s="1098"/>
      <c r="DN648" s="1098"/>
      <c r="DO648" s="1098"/>
      <c r="DP648" s="1098"/>
      <c r="DQ648" s="1098"/>
      <c r="DR648" s="1098"/>
      <c r="DS648" s="1098"/>
      <c r="DT648" s="1098"/>
      <c r="DU648" s="1098"/>
      <c r="DV648" s="1098"/>
      <c r="DW648" s="1098"/>
      <c r="DX648" s="1098"/>
      <c r="DY648" s="1098"/>
      <c r="DZ648" s="1098"/>
      <c r="EA648" s="1098"/>
      <c r="EB648" s="1098"/>
      <c r="EC648" s="1098"/>
      <c r="ED648" s="1098"/>
      <c r="EE648" s="1098"/>
      <c r="EF648" s="1098"/>
      <c r="EG648" s="1098"/>
      <c r="EH648" s="1098"/>
      <c r="EI648" s="1098"/>
      <c r="EJ648" s="1098"/>
      <c r="EK648" s="1098"/>
      <c r="EL648" s="1098"/>
      <c r="EM648" s="1098"/>
      <c r="EN648" s="1098"/>
      <c r="EO648" s="1098"/>
      <c r="EP648" s="1098"/>
      <c r="EQ648" s="1098"/>
      <c r="ER648" s="1098"/>
      <c r="ES648" s="1098"/>
      <c r="ET648" s="1098"/>
      <c r="EU648" s="1098"/>
      <c r="EV648" s="1098"/>
      <c r="EW648" s="1098"/>
      <c r="EX648" s="1098"/>
      <c r="EY648" s="1098"/>
      <c r="EZ648" s="1098"/>
      <c r="FA648" s="1098"/>
      <c r="FB648" s="1098"/>
      <c r="FC648" s="1098"/>
      <c r="FD648" s="1098"/>
      <c r="FE648" s="1098"/>
      <c r="FF648" s="1098"/>
      <c r="FG648" s="1098"/>
      <c r="FH648" s="1098"/>
      <c r="FI648" s="1098"/>
      <c r="FJ648" s="1098"/>
      <c r="FK648" s="1098"/>
      <c r="FL648" s="1098"/>
      <c r="FM648" s="1098"/>
      <c r="FN648" s="1098"/>
      <c r="FO648" s="1098"/>
      <c r="FP648" s="1098"/>
      <c r="FQ648" s="1098"/>
      <c r="FR648" s="1098"/>
      <c r="FS648" s="1098"/>
      <c r="FT648" s="1098"/>
      <c r="FU648" s="1098"/>
      <c r="FV648" s="1098"/>
      <c r="FW648" s="1098"/>
      <c r="FX648" s="1098"/>
      <c r="FY648" s="1098"/>
      <c r="FZ648" s="1098"/>
      <c r="GA648" s="1098"/>
      <c r="GB648" s="1098"/>
      <c r="GC648" s="1098"/>
      <c r="GD648" s="1098"/>
      <c r="GE648" s="1098"/>
      <c r="GF648" s="1098"/>
      <c r="GG648" s="1098"/>
      <c r="GH648" s="1098"/>
      <c r="GI648" s="1098"/>
      <c r="GJ648" s="1098"/>
      <c r="GK648" s="1098"/>
      <c r="GL648" s="1098"/>
      <c r="GM648" s="1098"/>
      <c r="GN648" s="1098"/>
      <c r="GO648" s="1098"/>
      <c r="GP648" s="1098"/>
      <c r="GQ648" s="1098"/>
      <c r="GR648" s="1098"/>
      <c r="GS648" s="1098"/>
      <c r="GT648" s="1098"/>
      <c r="GU648" s="1098"/>
      <c r="GV648" s="1098"/>
      <c r="GW648" s="1098"/>
      <c r="GX648" s="1098"/>
      <c r="GY648" s="1098"/>
      <c r="GZ648" s="1098"/>
      <c r="HA648" s="1098"/>
      <c r="HB648" s="1098"/>
      <c r="HC648" s="1098"/>
      <c r="HD648" s="1098"/>
      <c r="HE648" s="1098"/>
      <c r="HF648" s="1098"/>
      <c r="HG648" s="1098"/>
      <c r="HH648" s="1098"/>
      <c r="HI648" s="1098"/>
      <c r="HJ648" s="1098"/>
      <c r="HK648" s="1098"/>
      <c r="HL648" s="1098"/>
      <c r="HM648" s="1098"/>
      <c r="HN648" s="1098"/>
      <c r="HO648" s="1098"/>
      <c r="HP648" s="1098"/>
      <c r="HQ648" s="1098"/>
      <c r="HR648" s="1098"/>
      <c r="HS648" s="1098"/>
      <c r="HT648" s="1098"/>
      <c r="HU648" s="1098"/>
      <c r="HV648" s="1098"/>
      <c r="HW648" s="1098"/>
      <c r="HX648" s="1098"/>
      <c r="HY648" s="1098"/>
      <c r="HZ648" s="1098"/>
      <c r="IA648" s="1098"/>
      <c r="IB648" s="1098"/>
      <c r="IC648" s="1098"/>
      <c r="ID648" s="1098"/>
      <c r="IE648" s="1098"/>
      <c r="IF648" s="1098"/>
      <c r="IG648" s="1098"/>
      <c r="IH648" s="1098"/>
      <c r="II648" s="1098"/>
      <c r="IJ648" s="1098"/>
      <c r="IK648" s="1098"/>
      <c r="IL648" s="1098"/>
      <c r="IM648" s="1098"/>
      <c r="IN648" s="1098"/>
      <c r="IO648" s="1098"/>
      <c r="IP648" s="1098"/>
      <c r="IQ648" s="1098"/>
      <c r="IR648" s="1098"/>
      <c r="IS648" s="1098"/>
      <c r="IT648" s="1098"/>
      <c r="IU648" s="1098"/>
      <c r="IV648" s="1098"/>
      <c r="IW648" s="1098"/>
      <c r="IX648" s="1098"/>
      <c r="IY648" s="1098"/>
      <c r="IZ648" s="1098"/>
      <c r="JA648" s="1098"/>
      <c r="JB648" s="1098"/>
      <c r="JC648" s="1098"/>
      <c r="JD648" s="1098"/>
      <c r="JE648" s="1098"/>
      <c r="JF648" s="1098"/>
      <c r="JG648" s="1098"/>
      <c r="JH648" s="1098"/>
      <c r="JI648" s="1098"/>
      <c r="JJ648" s="1098"/>
      <c r="JK648" s="1098"/>
      <c r="JL648" s="1098"/>
      <c r="JM648" s="1098"/>
      <c r="JN648" s="1098"/>
      <c r="JO648" s="1098"/>
      <c r="JP648" s="1098"/>
      <c r="JQ648" s="1098"/>
      <c r="JR648" s="1098"/>
      <c r="JS648" s="1098"/>
      <c r="JT648" s="1098"/>
      <c r="JU648" s="1098"/>
      <c r="JV648" s="1098"/>
      <c r="JW648" s="1098"/>
      <c r="JX648" s="1098"/>
      <c r="JY648" s="1098"/>
      <c r="JZ648" s="1098"/>
      <c r="KA648" s="1098"/>
      <c r="KB648" s="1099"/>
    </row>
    <row r="649" spans="2:288" ht="15" customHeight="1" x14ac:dyDescent="0.35">
      <c r="B649" s="146" t="str">
        <f t="shared" si="54"/>
        <v>Desk 19</v>
      </c>
      <c r="C649" s="148" t="str">
        <v/>
      </c>
      <c r="D649" s="148" t="str">
        <v/>
      </c>
      <c r="E649" s="148" t="str">
        <v/>
      </c>
      <c r="F649" s="148" t="str">
        <v/>
      </c>
      <c r="G649" s="268" t="str">
        <v/>
      </c>
      <c r="H649" s="1098"/>
      <c r="I649" s="1098"/>
      <c r="J649" s="1098"/>
      <c r="K649" s="1098"/>
      <c r="L649" s="1098"/>
      <c r="M649" s="1098"/>
      <c r="N649" s="1098"/>
      <c r="O649" s="1098"/>
      <c r="P649" s="1098"/>
      <c r="Q649" s="1098"/>
      <c r="R649" s="1098"/>
      <c r="S649" s="1098"/>
      <c r="T649" s="1098"/>
      <c r="U649" s="1098"/>
      <c r="V649" s="1098"/>
      <c r="W649" s="1098"/>
      <c r="X649" s="1098"/>
      <c r="Y649" s="1098"/>
      <c r="Z649" s="1098"/>
      <c r="AA649" s="1098"/>
      <c r="AB649" s="1098"/>
      <c r="AC649" s="1098"/>
      <c r="AD649" s="1098"/>
      <c r="AE649" s="1098"/>
      <c r="AF649" s="1098"/>
      <c r="AG649" s="1098"/>
      <c r="AH649" s="1098"/>
      <c r="AI649" s="1098"/>
      <c r="AJ649" s="1098"/>
      <c r="AK649" s="1098"/>
      <c r="AL649" s="1098"/>
      <c r="AM649" s="1098"/>
      <c r="AN649" s="1098"/>
      <c r="AO649" s="1098"/>
      <c r="AP649" s="1098"/>
      <c r="AQ649" s="1098"/>
      <c r="AR649" s="1098"/>
      <c r="AS649" s="1098"/>
      <c r="AT649" s="1098"/>
      <c r="AU649" s="1098"/>
      <c r="AV649" s="1098"/>
      <c r="AW649" s="1098"/>
      <c r="AX649" s="1098"/>
      <c r="AY649" s="1098"/>
      <c r="AZ649" s="1098"/>
      <c r="BA649" s="1098"/>
      <c r="BB649" s="1098"/>
      <c r="BC649" s="1098"/>
      <c r="BD649" s="1098"/>
      <c r="BE649" s="1098"/>
      <c r="BF649" s="1098"/>
      <c r="BG649" s="1098"/>
      <c r="BH649" s="1098"/>
      <c r="BI649" s="1098"/>
      <c r="BJ649" s="1098"/>
      <c r="BK649" s="1098"/>
      <c r="BL649" s="1098"/>
      <c r="BM649" s="1098"/>
      <c r="BN649" s="1098"/>
      <c r="BO649" s="1098"/>
      <c r="BP649" s="1098"/>
      <c r="BQ649" s="1098"/>
      <c r="BR649" s="1098"/>
      <c r="BS649" s="1098"/>
      <c r="BT649" s="1098"/>
      <c r="BU649" s="1098"/>
      <c r="BV649" s="1098"/>
      <c r="BW649" s="1098"/>
      <c r="BX649" s="1098"/>
      <c r="BY649" s="1098"/>
      <c r="BZ649" s="1098"/>
      <c r="CA649" s="1098"/>
      <c r="CB649" s="1098"/>
      <c r="CC649" s="1098"/>
      <c r="CD649" s="1098"/>
      <c r="CE649" s="1098"/>
      <c r="CF649" s="1098"/>
      <c r="CG649" s="1098"/>
      <c r="CH649" s="1098"/>
      <c r="CI649" s="1098"/>
      <c r="CJ649" s="1098"/>
      <c r="CK649" s="1098"/>
      <c r="CL649" s="1098"/>
      <c r="CM649" s="1098"/>
      <c r="CN649" s="1098"/>
      <c r="CO649" s="1098"/>
      <c r="CP649" s="1098"/>
      <c r="CQ649" s="1098"/>
      <c r="CR649" s="1098"/>
      <c r="CS649" s="1098"/>
      <c r="CT649" s="1098"/>
      <c r="CU649" s="1098"/>
      <c r="CV649" s="1098"/>
      <c r="CW649" s="1098"/>
      <c r="CX649" s="1098"/>
      <c r="CY649" s="1098"/>
      <c r="CZ649" s="1098"/>
      <c r="DA649" s="1098"/>
      <c r="DB649" s="1098"/>
      <c r="DC649" s="1098"/>
      <c r="DD649" s="1098"/>
      <c r="DE649" s="1098"/>
      <c r="DF649" s="1098"/>
      <c r="DG649" s="1098"/>
      <c r="DH649" s="1098"/>
      <c r="DI649" s="1098"/>
      <c r="DJ649" s="1098"/>
      <c r="DK649" s="1098"/>
      <c r="DL649" s="1098"/>
      <c r="DM649" s="1098"/>
      <c r="DN649" s="1098"/>
      <c r="DO649" s="1098"/>
      <c r="DP649" s="1098"/>
      <c r="DQ649" s="1098"/>
      <c r="DR649" s="1098"/>
      <c r="DS649" s="1098"/>
      <c r="DT649" s="1098"/>
      <c r="DU649" s="1098"/>
      <c r="DV649" s="1098"/>
      <c r="DW649" s="1098"/>
      <c r="DX649" s="1098"/>
      <c r="DY649" s="1098"/>
      <c r="DZ649" s="1098"/>
      <c r="EA649" s="1098"/>
      <c r="EB649" s="1098"/>
      <c r="EC649" s="1098"/>
      <c r="ED649" s="1098"/>
      <c r="EE649" s="1098"/>
      <c r="EF649" s="1098"/>
      <c r="EG649" s="1098"/>
      <c r="EH649" s="1098"/>
      <c r="EI649" s="1098"/>
      <c r="EJ649" s="1098"/>
      <c r="EK649" s="1098"/>
      <c r="EL649" s="1098"/>
      <c r="EM649" s="1098"/>
      <c r="EN649" s="1098"/>
      <c r="EO649" s="1098"/>
      <c r="EP649" s="1098"/>
      <c r="EQ649" s="1098"/>
      <c r="ER649" s="1098"/>
      <c r="ES649" s="1098"/>
      <c r="ET649" s="1098"/>
      <c r="EU649" s="1098"/>
      <c r="EV649" s="1098"/>
      <c r="EW649" s="1098"/>
      <c r="EX649" s="1098"/>
      <c r="EY649" s="1098"/>
      <c r="EZ649" s="1098"/>
      <c r="FA649" s="1098"/>
      <c r="FB649" s="1098"/>
      <c r="FC649" s="1098"/>
      <c r="FD649" s="1098"/>
      <c r="FE649" s="1098"/>
      <c r="FF649" s="1098"/>
      <c r="FG649" s="1098"/>
      <c r="FH649" s="1098"/>
      <c r="FI649" s="1098"/>
      <c r="FJ649" s="1098"/>
      <c r="FK649" s="1098"/>
      <c r="FL649" s="1098"/>
      <c r="FM649" s="1098"/>
      <c r="FN649" s="1098"/>
      <c r="FO649" s="1098"/>
      <c r="FP649" s="1098"/>
      <c r="FQ649" s="1098"/>
      <c r="FR649" s="1098"/>
      <c r="FS649" s="1098"/>
      <c r="FT649" s="1098"/>
      <c r="FU649" s="1098"/>
      <c r="FV649" s="1098"/>
      <c r="FW649" s="1098"/>
      <c r="FX649" s="1098"/>
      <c r="FY649" s="1098"/>
      <c r="FZ649" s="1098"/>
      <c r="GA649" s="1098"/>
      <c r="GB649" s="1098"/>
      <c r="GC649" s="1098"/>
      <c r="GD649" s="1098"/>
      <c r="GE649" s="1098"/>
      <c r="GF649" s="1098"/>
      <c r="GG649" s="1098"/>
      <c r="GH649" s="1098"/>
      <c r="GI649" s="1098"/>
      <c r="GJ649" s="1098"/>
      <c r="GK649" s="1098"/>
      <c r="GL649" s="1098"/>
      <c r="GM649" s="1098"/>
      <c r="GN649" s="1098"/>
      <c r="GO649" s="1098"/>
      <c r="GP649" s="1098"/>
      <c r="GQ649" s="1098"/>
      <c r="GR649" s="1098"/>
      <c r="GS649" s="1098"/>
      <c r="GT649" s="1098"/>
      <c r="GU649" s="1098"/>
      <c r="GV649" s="1098"/>
      <c r="GW649" s="1098"/>
      <c r="GX649" s="1098"/>
      <c r="GY649" s="1098"/>
      <c r="GZ649" s="1098"/>
      <c r="HA649" s="1098"/>
      <c r="HB649" s="1098"/>
      <c r="HC649" s="1098"/>
      <c r="HD649" s="1098"/>
      <c r="HE649" s="1098"/>
      <c r="HF649" s="1098"/>
      <c r="HG649" s="1098"/>
      <c r="HH649" s="1098"/>
      <c r="HI649" s="1098"/>
      <c r="HJ649" s="1098"/>
      <c r="HK649" s="1098"/>
      <c r="HL649" s="1098"/>
      <c r="HM649" s="1098"/>
      <c r="HN649" s="1098"/>
      <c r="HO649" s="1098"/>
      <c r="HP649" s="1098"/>
      <c r="HQ649" s="1098"/>
      <c r="HR649" s="1098"/>
      <c r="HS649" s="1098"/>
      <c r="HT649" s="1098"/>
      <c r="HU649" s="1098"/>
      <c r="HV649" s="1098"/>
      <c r="HW649" s="1098"/>
      <c r="HX649" s="1098"/>
      <c r="HY649" s="1098"/>
      <c r="HZ649" s="1098"/>
      <c r="IA649" s="1098"/>
      <c r="IB649" s="1098"/>
      <c r="IC649" s="1098"/>
      <c r="ID649" s="1098"/>
      <c r="IE649" s="1098"/>
      <c r="IF649" s="1098"/>
      <c r="IG649" s="1098"/>
      <c r="IH649" s="1098"/>
      <c r="II649" s="1098"/>
      <c r="IJ649" s="1098"/>
      <c r="IK649" s="1098"/>
      <c r="IL649" s="1098"/>
      <c r="IM649" s="1098"/>
      <c r="IN649" s="1098"/>
      <c r="IO649" s="1098"/>
      <c r="IP649" s="1098"/>
      <c r="IQ649" s="1098"/>
      <c r="IR649" s="1098"/>
      <c r="IS649" s="1098"/>
      <c r="IT649" s="1098"/>
      <c r="IU649" s="1098"/>
      <c r="IV649" s="1098"/>
      <c r="IW649" s="1098"/>
      <c r="IX649" s="1098"/>
      <c r="IY649" s="1098"/>
      <c r="IZ649" s="1098"/>
      <c r="JA649" s="1098"/>
      <c r="JB649" s="1098"/>
      <c r="JC649" s="1098"/>
      <c r="JD649" s="1098"/>
      <c r="JE649" s="1098"/>
      <c r="JF649" s="1098"/>
      <c r="JG649" s="1098"/>
      <c r="JH649" s="1098"/>
      <c r="JI649" s="1098"/>
      <c r="JJ649" s="1098"/>
      <c r="JK649" s="1098"/>
      <c r="JL649" s="1098"/>
      <c r="JM649" s="1098"/>
      <c r="JN649" s="1098"/>
      <c r="JO649" s="1098"/>
      <c r="JP649" s="1098"/>
      <c r="JQ649" s="1098"/>
      <c r="JR649" s="1098"/>
      <c r="JS649" s="1098"/>
      <c r="JT649" s="1098"/>
      <c r="JU649" s="1098"/>
      <c r="JV649" s="1098"/>
      <c r="JW649" s="1098"/>
      <c r="JX649" s="1098"/>
      <c r="JY649" s="1098"/>
      <c r="JZ649" s="1098"/>
      <c r="KA649" s="1098"/>
      <c r="KB649" s="1099"/>
    </row>
    <row r="650" spans="2:288" ht="15" customHeight="1" x14ac:dyDescent="0.35">
      <c r="B650" s="146" t="str">
        <f t="shared" si="54"/>
        <v>Desk 20</v>
      </c>
      <c r="C650" s="148" t="str">
        <v/>
      </c>
      <c r="D650" s="148" t="str">
        <v/>
      </c>
      <c r="E650" s="148" t="str">
        <v/>
      </c>
      <c r="F650" s="148" t="str">
        <v/>
      </c>
      <c r="G650" s="268" t="str">
        <v/>
      </c>
      <c r="H650" s="1098"/>
      <c r="I650" s="1098"/>
      <c r="J650" s="1098"/>
      <c r="K650" s="1098"/>
      <c r="L650" s="1098"/>
      <c r="M650" s="1098"/>
      <c r="N650" s="1098"/>
      <c r="O650" s="1098"/>
      <c r="P650" s="1098"/>
      <c r="Q650" s="1098"/>
      <c r="R650" s="1098"/>
      <c r="S650" s="1098"/>
      <c r="T650" s="1098"/>
      <c r="U650" s="1098"/>
      <c r="V650" s="1098"/>
      <c r="W650" s="1098"/>
      <c r="X650" s="1098"/>
      <c r="Y650" s="1098"/>
      <c r="Z650" s="1098"/>
      <c r="AA650" s="1098"/>
      <c r="AB650" s="1098"/>
      <c r="AC650" s="1098"/>
      <c r="AD650" s="1098"/>
      <c r="AE650" s="1098"/>
      <c r="AF650" s="1098"/>
      <c r="AG650" s="1098"/>
      <c r="AH650" s="1098"/>
      <c r="AI650" s="1098"/>
      <c r="AJ650" s="1098"/>
      <c r="AK650" s="1098"/>
      <c r="AL650" s="1098"/>
      <c r="AM650" s="1098"/>
      <c r="AN650" s="1098"/>
      <c r="AO650" s="1098"/>
      <c r="AP650" s="1098"/>
      <c r="AQ650" s="1098"/>
      <c r="AR650" s="1098"/>
      <c r="AS650" s="1098"/>
      <c r="AT650" s="1098"/>
      <c r="AU650" s="1098"/>
      <c r="AV650" s="1098"/>
      <c r="AW650" s="1098"/>
      <c r="AX650" s="1098"/>
      <c r="AY650" s="1098"/>
      <c r="AZ650" s="1098"/>
      <c r="BA650" s="1098"/>
      <c r="BB650" s="1098"/>
      <c r="BC650" s="1098"/>
      <c r="BD650" s="1098"/>
      <c r="BE650" s="1098"/>
      <c r="BF650" s="1098"/>
      <c r="BG650" s="1098"/>
      <c r="BH650" s="1098"/>
      <c r="BI650" s="1098"/>
      <c r="BJ650" s="1098"/>
      <c r="BK650" s="1098"/>
      <c r="BL650" s="1098"/>
      <c r="BM650" s="1098"/>
      <c r="BN650" s="1098"/>
      <c r="BO650" s="1098"/>
      <c r="BP650" s="1098"/>
      <c r="BQ650" s="1098"/>
      <c r="BR650" s="1098"/>
      <c r="BS650" s="1098"/>
      <c r="BT650" s="1098"/>
      <c r="BU650" s="1098"/>
      <c r="BV650" s="1098"/>
      <c r="BW650" s="1098"/>
      <c r="BX650" s="1098"/>
      <c r="BY650" s="1098"/>
      <c r="BZ650" s="1098"/>
      <c r="CA650" s="1098"/>
      <c r="CB650" s="1098"/>
      <c r="CC650" s="1098"/>
      <c r="CD650" s="1098"/>
      <c r="CE650" s="1098"/>
      <c r="CF650" s="1098"/>
      <c r="CG650" s="1098"/>
      <c r="CH650" s="1098"/>
      <c r="CI650" s="1098"/>
      <c r="CJ650" s="1098"/>
      <c r="CK650" s="1098"/>
      <c r="CL650" s="1098"/>
      <c r="CM650" s="1098"/>
      <c r="CN650" s="1098"/>
      <c r="CO650" s="1098"/>
      <c r="CP650" s="1098"/>
      <c r="CQ650" s="1098"/>
      <c r="CR650" s="1098"/>
      <c r="CS650" s="1098"/>
      <c r="CT650" s="1098"/>
      <c r="CU650" s="1098"/>
      <c r="CV650" s="1098"/>
      <c r="CW650" s="1098"/>
      <c r="CX650" s="1098"/>
      <c r="CY650" s="1098"/>
      <c r="CZ650" s="1098"/>
      <c r="DA650" s="1098"/>
      <c r="DB650" s="1098"/>
      <c r="DC650" s="1098"/>
      <c r="DD650" s="1098"/>
      <c r="DE650" s="1098"/>
      <c r="DF650" s="1098"/>
      <c r="DG650" s="1098"/>
      <c r="DH650" s="1098"/>
      <c r="DI650" s="1098"/>
      <c r="DJ650" s="1098"/>
      <c r="DK650" s="1098"/>
      <c r="DL650" s="1098"/>
      <c r="DM650" s="1098"/>
      <c r="DN650" s="1098"/>
      <c r="DO650" s="1098"/>
      <c r="DP650" s="1098"/>
      <c r="DQ650" s="1098"/>
      <c r="DR650" s="1098"/>
      <c r="DS650" s="1098"/>
      <c r="DT650" s="1098"/>
      <c r="DU650" s="1098"/>
      <c r="DV650" s="1098"/>
      <c r="DW650" s="1098"/>
      <c r="DX650" s="1098"/>
      <c r="DY650" s="1098"/>
      <c r="DZ650" s="1098"/>
      <c r="EA650" s="1098"/>
      <c r="EB650" s="1098"/>
      <c r="EC650" s="1098"/>
      <c r="ED650" s="1098"/>
      <c r="EE650" s="1098"/>
      <c r="EF650" s="1098"/>
      <c r="EG650" s="1098"/>
      <c r="EH650" s="1098"/>
      <c r="EI650" s="1098"/>
      <c r="EJ650" s="1098"/>
      <c r="EK650" s="1098"/>
      <c r="EL650" s="1098"/>
      <c r="EM650" s="1098"/>
      <c r="EN650" s="1098"/>
      <c r="EO650" s="1098"/>
      <c r="EP650" s="1098"/>
      <c r="EQ650" s="1098"/>
      <c r="ER650" s="1098"/>
      <c r="ES650" s="1098"/>
      <c r="ET650" s="1098"/>
      <c r="EU650" s="1098"/>
      <c r="EV650" s="1098"/>
      <c r="EW650" s="1098"/>
      <c r="EX650" s="1098"/>
      <c r="EY650" s="1098"/>
      <c r="EZ650" s="1098"/>
      <c r="FA650" s="1098"/>
      <c r="FB650" s="1098"/>
      <c r="FC650" s="1098"/>
      <c r="FD650" s="1098"/>
      <c r="FE650" s="1098"/>
      <c r="FF650" s="1098"/>
      <c r="FG650" s="1098"/>
      <c r="FH650" s="1098"/>
      <c r="FI650" s="1098"/>
      <c r="FJ650" s="1098"/>
      <c r="FK650" s="1098"/>
      <c r="FL650" s="1098"/>
      <c r="FM650" s="1098"/>
      <c r="FN650" s="1098"/>
      <c r="FO650" s="1098"/>
      <c r="FP650" s="1098"/>
      <c r="FQ650" s="1098"/>
      <c r="FR650" s="1098"/>
      <c r="FS650" s="1098"/>
      <c r="FT650" s="1098"/>
      <c r="FU650" s="1098"/>
      <c r="FV650" s="1098"/>
      <c r="FW650" s="1098"/>
      <c r="FX650" s="1098"/>
      <c r="FY650" s="1098"/>
      <c r="FZ650" s="1098"/>
      <c r="GA650" s="1098"/>
      <c r="GB650" s="1098"/>
      <c r="GC650" s="1098"/>
      <c r="GD650" s="1098"/>
      <c r="GE650" s="1098"/>
      <c r="GF650" s="1098"/>
      <c r="GG650" s="1098"/>
      <c r="GH650" s="1098"/>
      <c r="GI650" s="1098"/>
      <c r="GJ650" s="1098"/>
      <c r="GK650" s="1098"/>
      <c r="GL650" s="1098"/>
      <c r="GM650" s="1098"/>
      <c r="GN650" s="1098"/>
      <c r="GO650" s="1098"/>
      <c r="GP650" s="1098"/>
      <c r="GQ650" s="1098"/>
      <c r="GR650" s="1098"/>
      <c r="GS650" s="1098"/>
      <c r="GT650" s="1098"/>
      <c r="GU650" s="1098"/>
      <c r="GV650" s="1098"/>
      <c r="GW650" s="1098"/>
      <c r="GX650" s="1098"/>
      <c r="GY650" s="1098"/>
      <c r="GZ650" s="1098"/>
      <c r="HA650" s="1098"/>
      <c r="HB650" s="1098"/>
      <c r="HC650" s="1098"/>
      <c r="HD650" s="1098"/>
      <c r="HE650" s="1098"/>
      <c r="HF650" s="1098"/>
      <c r="HG650" s="1098"/>
      <c r="HH650" s="1098"/>
      <c r="HI650" s="1098"/>
      <c r="HJ650" s="1098"/>
      <c r="HK650" s="1098"/>
      <c r="HL650" s="1098"/>
      <c r="HM650" s="1098"/>
      <c r="HN650" s="1098"/>
      <c r="HO650" s="1098"/>
      <c r="HP650" s="1098"/>
      <c r="HQ650" s="1098"/>
      <c r="HR650" s="1098"/>
      <c r="HS650" s="1098"/>
      <c r="HT650" s="1098"/>
      <c r="HU650" s="1098"/>
      <c r="HV650" s="1098"/>
      <c r="HW650" s="1098"/>
      <c r="HX650" s="1098"/>
      <c r="HY650" s="1098"/>
      <c r="HZ650" s="1098"/>
      <c r="IA650" s="1098"/>
      <c r="IB650" s="1098"/>
      <c r="IC650" s="1098"/>
      <c r="ID650" s="1098"/>
      <c r="IE650" s="1098"/>
      <c r="IF650" s="1098"/>
      <c r="IG650" s="1098"/>
      <c r="IH650" s="1098"/>
      <c r="II650" s="1098"/>
      <c r="IJ650" s="1098"/>
      <c r="IK650" s="1098"/>
      <c r="IL650" s="1098"/>
      <c r="IM650" s="1098"/>
      <c r="IN650" s="1098"/>
      <c r="IO650" s="1098"/>
      <c r="IP650" s="1098"/>
      <c r="IQ650" s="1098"/>
      <c r="IR650" s="1098"/>
      <c r="IS650" s="1098"/>
      <c r="IT650" s="1098"/>
      <c r="IU650" s="1098"/>
      <c r="IV650" s="1098"/>
      <c r="IW650" s="1098"/>
      <c r="IX650" s="1098"/>
      <c r="IY650" s="1098"/>
      <c r="IZ650" s="1098"/>
      <c r="JA650" s="1098"/>
      <c r="JB650" s="1098"/>
      <c r="JC650" s="1098"/>
      <c r="JD650" s="1098"/>
      <c r="JE650" s="1098"/>
      <c r="JF650" s="1098"/>
      <c r="JG650" s="1098"/>
      <c r="JH650" s="1098"/>
      <c r="JI650" s="1098"/>
      <c r="JJ650" s="1098"/>
      <c r="JK650" s="1098"/>
      <c r="JL650" s="1098"/>
      <c r="JM650" s="1098"/>
      <c r="JN650" s="1098"/>
      <c r="JO650" s="1098"/>
      <c r="JP650" s="1098"/>
      <c r="JQ650" s="1098"/>
      <c r="JR650" s="1098"/>
      <c r="JS650" s="1098"/>
      <c r="JT650" s="1098"/>
      <c r="JU650" s="1098"/>
      <c r="JV650" s="1098"/>
      <c r="JW650" s="1098"/>
      <c r="JX650" s="1098"/>
      <c r="JY650" s="1098"/>
      <c r="JZ650" s="1098"/>
      <c r="KA650" s="1098"/>
      <c r="KB650" s="1099"/>
    </row>
    <row r="651" spans="2:288" ht="15" customHeight="1" x14ac:dyDescent="0.35">
      <c r="B651" s="146" t="str">
        <f t="shared" si="54"/>
        <v>Desk 21</v>
      </c>
      <c r="C651" s="148" t="str">
        <v/>
      </c>
      <c r="D651" s="148" t="str">
        <v/>
      </c>
      <c r="E651" s="148" t="str">
        <v/>
      </c>
      <c r="F651" s="148" t="str">
        <v/>
      </c>
      <c r="G651" s="268" t="str">
        <v/>
      </c>
      <c r="H651" s="1098"/>
      <c r="I651" s="1098"/>
      <c r="J651" s="1098"/>
      <c r="K651" s="1098"/>
      <c r="L651" s="1098"/>
      <c r="M651" s="1098"/>
      <c r="N651" s="1098"/>
      <c r="O651" s="1098"/>
      <c r="P651" s="1098"/>
      <c r="Q651" s="1098"/>
      <c r="R651" s="1098"/>
      <c r="S651" s="1098"/>
      <c r="T651" s="1098"/>
      <c r="U651" s="1098"/>
      <c r="V651" s="1098"/>
      <c r="W651" s="1098"/>
      <c r="X651" s="1098"/>
      <c r="Y651" s="1098"/>
      <c r="Z651" s="1098"/>
      <c r="AA651" s="1098"/>
      <c r="AB651" s="1098"/>
      <c r="AC651" s="1098"/>
      <c r="AD651" s="1098"/>
      <c r="AE651" s="1098"/>
      <c r="AF651" s="1098"/>
      <c r="AG651" s="1098"/>
      <c r="AH651" s="1098"/>
      <c r="AI651" s="1098"/>
      <c r="AJ651" s="1098"/>
      <c r="AK651" s="1098"/>
      <c r="AL651" s="1098"/>
      <c r="AM651" s="1098"/>
      <c r="AN651" s="1098"/>
      <c r="AO651" s="1098"/>
      <c r="AP651" s="1098"/>
      <c r="AQ651" s="1098"/>
      <c r="AR651" s="1098"/>
      <c r="AS651" s="1098"/>
      <c r="AT651" s="1098"/>
      <c r="AU651" s="1098"/>
      <c r="AV651" s="1098"/>
      <c r="AW651" s="1098"/>
      <c r="AX651" s="1098"/>
      <c r="AY651" s="1098"/>
      <c r="AZ651" s="1098"/>
      <c r="BA651" s="1098"/>
      <c r="BB651" s="1098"/>
      <c r="BC651" s="1098"/>
      <c r="BD651" s="1098"/>
      <c r="BE651" s="1098"/>
      <c r="BF651" s="1098"/>
      <c r="BG651" s="1098"/>
      <c r="BH651" s="1098"/>
      <c r="BI651" s="1098"/>
      <c r="BJ651" s="1098"/>
      <c r="BK651" s="1098"/>
      <c r="BL651" s="1098"/>
      <c r="BM651" s="1098"/>
      <c r="BN651" s="1098"/>
      <c r="BO651" s="1098"/>
      <c r="BP651" s="1098"/>
      <c r="BQ651" s="1098"/>
      <c r="BR651" s="1098"/>
      <c r="BS651" s="1098"/>
      <c r="BT651" s="1098"/>
      <c r="BU651" s="1098"/>
      <c r="BV651" s="1098"/>
      <c r="BW651" s="1098"/>
      <c r="BX651" s="1098"/>
      <c r="BY651" s="1098"/>
      <c r="BZ651" s="1098"/>
      <c r="CA651" s="1098"/>
      <c r="CB651" s="1098"/>
      <c r="CC651" s="1098"/>
      <c r="CD651" s="1098"/>
      <c r="CE651" s="1098"/>
      <c r="CF651" s="1098"/>
      <c r="CG651" s="1098"/>
      <c r="CH651" s="1098"/>
      <c r="CI651" s="1098"/>
      <c r="CJ651" s="1098"/>
      <c r="CK651" s="1098"/>
      <c r="CL651" s="1098"/>
      <c r="CM651" s="1098"/>
      <c r="CN651" s="1098"/>
      <c r="CO651" s="1098"/>
      <c r="CP651" s="1098"/>
      <c r="CQ651" s="1098"/>
      <c r="CR651" s="1098"/>
      <c r="CS651" s="1098"/>
      <c r="CT651" s="1098"/>
      <c r="CU651" s="1098"/>
      <c r="CV651" s="1098"/>
      <c r="CW651" s="1098"/>
      <c r="CX651" s="1098"/>
      <c r="CY651" s="1098"/>
      <c r="CZ651" s="1098"/>
      <c r="DA651" s="1098"/>
      <c r="DB651" s="1098"/>
      <c r="DC651" s="1098"/>
      <c r="DD651" s="1098"/>
      <c r="DE651" s="1098"/>
      <c r="DF651" s="1098"/>
      <c r="DG651" s="1098"/>
      <c r="DH651" s="1098"/>
      <c r="DI651" s="1098"/>
      <c r="DJ651" s="1098"/>
      <c r="DK651" s="1098"/>
      <c r="DL651" s="1098"/>
      <c r="DM651" s="1098"/>
      <c r="DN651" s="1098"/>
      <c r="DO651" s="1098"/>
      <c r="DP651" s="1098"/>
      <c r="DQ651" s="1098"/>
      <c r="DR651" s="1098"/>
      <c r="DS651" s="1098"/>
      <c r="DT651" s="1098"/>
      <c r="DU651" s="1098"/>
      <c r="DV651" s="1098"/>
      <c r="DW651" s="1098"/>
      <c r="DX651" s="1098"/>
      <c r="DY651" s="1098"/>
      <c r="DZ651" s="1098"/>
      <c r="EA651" s="1098"/>
      <c r="EB651" s="1098"/>
      <c r="EC651" s="1098"/>
      <c r="ED651" s="1098"/>
      <c r="EE651" s="1098"/>
      <c r="EF651" s="1098"/>
      <c r="EG651" s="1098"/>
      <c r="EH651" s="1098"/>
      <c r="EI651" s="1098"/>
      <c r="EJ651" s="1098"/>
      <c r="EK651" s="1098"/>
      <c r="EL651" s="1098"/>
      <c r="EM651" s="1098"/>
      <c r="EN651" s="1098"/>
      <c r="EO651" s="1098"/>
      <c r="EP651" s="1098"/>
      <c r="EQ651" s="1098"/>
      <c r="ER651" s="1098"/>
      <c r="ES651" s="1098"/>
      <c r="ET651" s="1098"/>
      <c r="EU651" s="1098"/>
      <c r="EV651" s="1098"/>
      <c r="EW651" s="1098"/>
      <c r="EX651" s="1098"/>
      <c r="EY651" s="1098"/>
      <c r="EZ651" s="1098"/>
      <c r="FA651" s="1098"/>
      <c r="FB651" s="1098"/>
      <c r="FC651" s="1098"/>
      <c r="FD651" s="1098"/>
      <c r="FE651" s="1098"/>
      <c r="FF651" s="1098"/>
      <c r="FG651" s="1098"/>
      <c r="FH651" s="1098"/>
      <c r="FI651" s="1098"/>
      <c r="FJ651" s="1098"/>
      <c r="FK651" s="1098"/>
      <c r="FL651" s="1098"/>
      <c r="FM651" s="1098"/>
      <c r="FN651" s="1098"/>
      <c r="FO651" s="1098"/>
      <c r="FP651" s="1098"/>
      <c r="FQ651" s="1098"/>
      <c r="FR651" s="1098"/>
      <c r="FS651" s="1098"/>
      <c r="FT651" s="1098"/>
      <c r="FU651" s="1098"/>
      <c r="FV651" s="1098"/>
      <c r="FW651" s="1098"/>
      <c r="FX651" s="1098"/>
      <c r="FY651" s="1098"/>
      <c r="FZ651" s="1098"/>
      <c r="GA651" s="1098"/>
      <c r="GB651" s="1098"/>
      <c r="GC651" s="1098"/>
      <c r="GD651" s="1098"/>
      <c r="GE651" s="1098"/>
      <c r="GF651" s="1098"/>
      <c r="GG651" s="1098"/>
      <c r="GH651" s="1098"/>
      <c r="GI651" s="1098"/>
      <c r="GJ651" s="1098"/>
      <c r="GK651" s="1098"/>
      <c r="GL651" s="1098"/>
      <c r="GM651" s="1098"/>
      <c r="GN651" s="1098"/>
      <c r="GO651" s="1098"/>
      <c r="GP651" s="1098"/>
      <c r="GQ651" s="1098"/>
      <c r="GR651" s="1098"/>
      <c r="GS651" s="1098"/>
      <c r="GT651" s="1098"/>
      <c r="GU651" s="1098"/>
      <c r="GV651" s="1098"/>
      <c r="GW651" s="1098"/>
      <c r="GX651" s="1098"/>
      <c r="GY651" s="1098"/>
      <c r="GZ651" s="1098"/>
      <c r="HA651" s="1098"/>
      <c r="HB651" s="1098"/>
      <c r="HC651" s="1098"/>
      <c r="HD651" s="1098"/>
      <c r="HE651" s="1098"/>
      <c r="HF651" s="1098"/>
      <c r="HG651" s="1098"/>
      <c r="HH651" s="1098"/>
      <c r="HI651" s="1098"/>
      <c r="HJ651" s="1098"/>
      <c r="HK651" s="1098"/>
      <c r="HL651" s="1098"/>
      <c r="HM651" s="1098"/>
      <c r="HN651" s="1098"/>
      <c r="HO651" s="1098"/>
      <c r="HP651" s="1098"/>
      <c r="HQ651" s="1098"/>
      <c r="HR651" s="1098"/>
      <c r="HS651" s="1098"/>
      <c r="HT651" s="1098"/>
      <c r="HU651" s="1098"/>
      <c r="HV651" s="1098"/>
      <c r="HW651" s="1098"/>
      <c r="HX651" s="1098"/>
      <c r="HY651" s="1098"/>
      <c r="HZ651" s="1098"/>
      <c r="IA651" s="1098"/>
      <c r="IB651" s="1098"/>
      <c r="IC651" s="1098"/>
      <c r="ID651" s="1098"/>
      <c r="IE651" s="1098"/>
      <c r="IF651" s="1098"/>
      <c r="IG651" s="1098"/>
      <c r="IH651" s="1098"/>
      <c r="II651" s="1098"/>
      <c r="IJ651" s="1098"/>
      <c r="IK651" s="1098"/>
      <c r="IL651" s="1098"/>
      <c r="IM651" s="1098"/>
      <c r="IN651" s="1098"/>
      <c r="IO651" s="1098"/>
      <c r="IP651" s="1098"/>
      <c r="IQ651" s="1098"/>
      <c r="IR651" s="1098"/>
      <c r="IS651" s="1098"/>
      <c r="IT651" s="1098"/>
      <c r="IU651" s="1098"/>
      <c r="IV651" s="1098"/>
      <c r="IW651" s="1098"/>
      <c r="IX651" s="1098"/>
      <c r="IY651" s="1098"/>
      <c r="IZ651" s="1098"/>
      <c r="JA651" s="1098"/>
      <c r="JB651" s="1098"/>
      <c r="JC651" s="1098"/>
      <c r="JD651" s="1098"/>
      <c r="JE651" s="1098"/>
      <c r="JF651" s="1098"/>
      <c r="JG651" s="1098"/>
      <c r="JH651" s="1098"/>
      <c r="JI651" s="1098"/>
      <c r="JJ651" s="1098"/>
      <c r="JK651" s="1098"/>
      <c r="JL651" s="1098"/>
      <c r="JM651" s="1098"/>
      <c r="JN651" s="1098"/>
      <c r="JO651" s="1098"/>
      <c r="JP651" s="1098"/>
      <c r="JQ651" s="1098"/>
      <c r="JR651" s="1098"/>
      <c r="JS651" s="1098"/>
      <c r="JT651" s="1098"/>
      <c r="JU651" s="1098"/>
      <c r="JV651" s="1098"/>
      <c r="JW651" s="1098"/>
      <c r="JX651" s="1098"/>
      <c r="JY651" s="1098"/>
      <c r="JZ651" s="1098"/>
      <c r="KA651" s="1098"/>
      <c r="KB651" s="1099"/>
    </row>
    <row r="652" spans="2:288" ht="15" customHeight="1" x14ac:dyDescent="0.35">
      <c r="B652" s="146" t="str">
        <f t="shared" si="54"/>
        <v>Desk 22</v>
      </c>
      <c r="C652" s="148" t="str">
        <v/>
      </c>
      <c r="D652" s="148" t="str">
        <v/>
      </c>
      <c r="E652" s="148" t="str">
        <v/>
      </c>
      <c r="F652" s="148" t="str">
        <v/>
      </c>
      <c r="G652" s="268" t="str">
        <v/>
      </c>
      <c r="H652" s="1098"/>
      <c r="I652" s="1098"/>
      <c r="J652" s="1098"/>
      <c r="K652" s="1098"/>
      <c r="L652" s="1098"/>
      <c r="M652" s="1098"/>
      <c r="N652" s="1098"/>
      <c r="O652" s="1098"/>
      <c r="P652" s="1098"/>
      <c r="Q652" s="1098"/>
      <c r="R652" s="1098"/>
      <c r="S652" s="1098"/>
      <c r="T652" s="1098"/>
      <c r="U652" s="1098"/>
      <c r="V652" s="1098"/>
      <c r="W652" s="1098"/>
      <c r="X652" s="1098"/>
      <c r="Y652" s="1098"/>
      <c r="Z652" s="1098"/>
      <c r="AA652" s="1098"/>
      <c r="AB652" s="1098"/>
      <c r="AC652" s="1098"/>
      <c r="AD652" s="1098"/>
      <c r="AE652" s="1098"/>
      <c r="AF652" s="1098"/>
      <c r="AG652" s="1098"/>
      <c r="AH652" s="1098"/>
      <c r="AI652" s="1098"/>
      <c r="AJ652" s="1098"/>
      <c r="AK652" s="1098"/>
      <c r="AL652" s="1098"/>
      <c r="AM652" s="1098"/>
      <c r="AN652" s="1098"/>
      <c r="AO652" s="1098"/>
      <c r="AP652" s="1098"/>
      <c r="AQ652" s="1098"/>
      <c r="AR652" s="1098"/>
      <c r="AS652" s="1098"/>
      <c r="AT652" s="1098"/>
      <c r="AU652" s="1098"/>
      <c r="AV652" s="1098"/>
      <c r="AW652" s="1098"/>
      <c r="AX652" s="1098"/>
      <c r="AY652" s="1098"/>
      <c r="AZ652" s="1098"/>
      <c r="BA652" s="1098"/>
      <c r="BB652" s="1098"/>
      <c r="BC652" s="1098"/>
      <c r="BD652" s="1098"/>
      <c r="BE652" s="1098"/>
      <c r="BF652" s="1098"/>
      <c r="BG652" s="1098"/>
      <c r="BH652" s="1098"/>
      <c r="BI652" s="1098"/>
      <c r="BJ652" s="1098"/>
      <c r="BK652" s="1098"/>
      <c r="BL652" s="1098"/>
      <c r="BM652" s="1098"/>
      <c r="BN652" s="1098"/>
      <c r="BO652" s="1098"/>
      <c r="BP652" s="1098"/>
      <c r="BQ652" s="1098"/>
      <c r="BR652" s="1098"/>
      <c r="BS652" s="1098"/>
      <c r="BT652" s="1098"/>
      <c r="BU652" s="1098"/>
      <c r="BV652" s="1098"/>
      <c r="BW652" s="1098"/>
      <c r="BX652" s="1098"/>
      <c r="BY652" s="1098"/>
      <c r="BZ652" s="1098"/>
      <c r="CA652" s="1098"/>
      <c r="CB652" s="1098"/>
      <c r="CC652" s="1098"/>
      <c r="CD652" s="1098"/>
      <c r="CE652" s="1098"/>
      <c r="CF652" s="1098"/>
      <c r="CG652" s="1098"/>
      <c r="CH652" s="1098"/>
      <c r="CI652" s="1098"/>
      <c r="CJ652" s="1098"/>
      <c r="CK652" s="1098"/>
      <c r="CL652" s="1098"/>
      <c r="CM652" s="1098"/>
      <c r="CN652" s="1098"/>
      <c r="CO652" s="1098"/>
      <c r="CP652" s="1098"/>
      <c r="CQ652" s="1098"/>
      <c r="CR652" s="1098"/>
      <c r="CS652" s="1098"/>
      <c r="CT652" s="1098"/>
      <c r="CU652" s="1098"/>
      <c r="CV652" s="1098"/>
      <c r="CW652" s="1098"/>
      <c r="CX652" s="1098"/>
      <c r="CY652" s="1098"/>
      <c r="CZ652" s="1098"/>
      <c r="DA652" s="1098"/>
      <c r="DB652" s="1098"/>
      <c r="DC652" s="1098"/>
      <c r="DD652" s="1098"/>
      <c r="DE652" s="1098"/>
      <c r="DF652" s="1098"/>
      <c r="DG652" s="1098"/>
      <c r="DH652" s="1098"/>
      <c r="DI652" s="1098"/>
      <c r="DJ652" s="1098"/>
      <c r="DK652" s="1098"/>
      <c r="DL652" s="1098"/>
      <c r="DM652" s="1098"/>
      <c r="DN652" s="1098"/>
      <c r="DO652" s="1098"/>
      <c r="DP652" s="1098"/>
      <c r="DQ652" s="1098"/>
      <c r="DR652" s="1098"/>
      <c r="DS652" s="1098"/>
      <c r="DT652" s="1098"/>
      <c r="DU652" s="1098"/>
      <c r="DV652" s="1098"/>
      <c r="DW652" s="1098"/>
      <c r="DX652" s="1098"/>
      <c r="DY652" s="1098"/>
      <c r="DZ652" s="1098"/>
      <c r="EA652" s="1098"/>
      <c r="EB652" s="1098"/>
      <c r="EC652" s="1098"/>
      <c r="ED652" s="1098"/>
      <c r="EE652" s="1098"/>
      <c r="EF652" s="1098"/>
      <c r="EG652" s="1098"/>
      <c r="EH652" s="1098"/>
      <c r="EI652" s="1098"/>
      <c r="EJ652" s="1098"/>
      <c r="EK652" s="1098"/>
      <c r="EL652" s="1098"/>
      <c r="EM652" s="1098"/>
      <c r="EN652" s="1098"/>
      <c r="EO652" s="1098"/>
      <c r="EP652" s="1098"/>
      <c r="EQ652" s="1098"/>
      <c r="ER652" s="1098"/>
      <c r="ES652" s="1098"/>
      <c r="ET652" s="1098"/>
      <c r="EU652" s="1098"/>
      <c r="EV652" s="1098"/>
      <c r="EW652" s="1098"/>
      <c r="EX652" s="1098"/>
      <c r="EY652" s="1098"/>
      <c r="EZ652" s="1098"/>
      <c r="FA652" s="1098"/>
      <c r="FB652" s="1098"/>
      <c r="FC652" s="1098"/>
      <c r="FD652" s="1098"/>
      <c r="FE652" s="1098"/>
      <c r="FF652" s="1098"/>
      <c r="FG652" s="1098"/>
      <c r="FH652" s="1098"/>
      <c r="FI652" s="1098"/>
      <c r="FJ652" s="1098"/>
      <c r="FK652" s="1098"/>
      <c r="FL652" s="1098"/>
      <c r="FM652" s="1098"/>
      <c r="FN652" s="1098"/>
      <c r="FO652" s="1098"/>
      <c r="FP652" s="1098"/>
      <c r="FQ652" s="1098"/>
      <c r="FR652" s="1098"/>
      <c r="FS652" s="1098"/>
      <c r="FT652" s="1098"/>
      <c r="FU652" s="1098"/>
      <c r="FV652" s="1098"/>
      <c r="FW652" s="1098"/>
      <c r="FX652" s="1098"/>
      <c r="FY652" s="1098"/>
      <c r="FZ652" s="1098"/>
      <c r="GA652" s="1098"/>
      <c r="GB652" s="1098"/>
      <c r="GC652" s="1098"/>
      <c r="GD652" s="1098"/>
      <c r="GE652" s="1098"/>
      <c r="GF652" s="1098"/>
      <c r="GG652" s="1098"/>
      <c r="GH652" s="1098"/>
      <c r="GI652" s="1098"/>
      <c r="GJ652" s="1098"/>
      <c r="GK652" s="1098"/>
      <c r="GL652" s="1098"/>
      <c r="GM652" s="1098"/>
      <c r="GN652" s="1098"/>
      <c r="GO652" s="1098"/>
      <c r="GP652" s="1098"/>
      <c r="GQ652" s="1098"/>
      <c r="GR652" s="1098"/>
      <c r="GS652" s="1098"/>
      <c r="GT652" s="1098"/>
      <c r="GU652" s="1098"/>
      <c r="GV652" s="1098"/>
      <c r="GW652" s="1098"/>
      <c r="GX652" s="1098"/>
      <c r="GY652" s="1098"/>
      <c r="GZ652" s="1098"/>
      <c r="HA652" s="1098"/>
      <c r="HB652" s="1098"/>
      <c r="HC652" s="1098"/>
      <c r="HD652" s="1098"/>
      <c r="HE652" s="1098"/>
      <c r="HF652" s="1098"/>
      <c r="HG652" s="1098"/>
      <c r="HH652" s="1098"/>
      <c r="HI652" s="1098"/>
      <c r="HJ652" s="1098"/>
      <c r="HK652" s="1098"/>
      <c r="HL652" s="1098"/>
      <c r="HM652" s="1098"/>
      <c r="HN652" s="1098"/>
      <c r="HO652" s="1098"/>
      <c r="HP652" s="1098"/>
      <c r="HQ652" s="1098"/>
      <c r="HR652" s="1098"/>
      <c r="HS652" s="1098"/>
      <c r="HT652" s="1098"/>
      <c r="HU652" s="1098"/>
      <c r="HV652" s="1098"/>
      <c r="HW652" s="1098"/>
      <c r="HX652" s="1098"/>
      <c r="HY652" s="1098"/>
      <c r="HZ652" s="1098"/>
      <c r="IA652" s="1098"/>
      <c r="IB652" s="1098"/>
      <c r="IC652" s="1098"/>
      <c r="ID652" s="1098"/>
      <c r="IE652" s="1098"/>
      <c r="IF652" s="1098"/>
      <c r="IG652" s="1098"/>
      <c r="IH652" s="1098"/>
      <c r="II652" s="1098"/>
      <c r="IJ652" s="1098"/>
      <c r="IK652" s="1098"/>
      <c r="IL652" s="1098"/>
      <c r="IM652" s="1098"/>
      <c r="IN652" s="1098"/>
      <c r="IO652" s="1098"/>
      <c r="IP652" s="1098"/>
      <c r="IQ652" s="1098"/>
      <c r="IR652" s="1098"/>
      <c r="IS652" s="1098"/>
      <c r="IT652" s="1098"/>
      <c r="IU652" s="1098"/>
      <c r="IV652" s="1098"/>
      <c r="IW652" s="1098"/>
      <c r="IX652" s="1098"/>
      <c r="IY652" s="1098"/>
      <c r="IZ652" s="1098"/>
      <c r="JA652" s="1098"/>
      <c r="JB652" s="1098"/>
      <c r="JC652" s="1098"/>
      <c r="JD652" s="1098"/>
      <c r="JE652" s="1098"/>
      <c r="JF652" s="1098"/>
      <c r="JG652" s="1098"/>
      <c r="JH652" s="1098"/>
      <c r="JI652" s="1098"/>
      <c r="JJ652" s="1098"/>
      <c r="JK652" s="1098"/>
      <c r="JL652" s="1098"/>
      <c r="JM652" s="1098"/>
      <c r="JN652" s="1098"/>
      <c r="JO652" s="1098"/>
      <c r="JP652" s="1098"/>
      <c r="JQ652" s="1098"/>
      <c r="JR652" s="1098"/>
      <c r="JS652" s="1098"/>
      <c r="JT652" s="1098"/>
      <c r="JU652" s="1098"/>
      <c r="JV652" s="1098"/>
      <c r="JW652" s="1098"/>
      <c r="JX652" s="1098"/>
      <c r="JY652" s="1098"/>
      <c r="JZ652" s="1098"/>
      <c r="KA652" s="1098"/>
      <c r="KB652" s="1099"/>
    </row>
    <row r="653" spans="2:288" ht="15" customHeight="1" x14ac:dyDescent="0.35">
      <c r="B653" s="146" t="str">
        <f t="shared" si="54"/>
        <v>Desk 23</v>
      </c>
      <c r="C653" s="148" t="str">
        <v/>
      </c>
      <c r="D653" s="148" t="str">
        <v/>
      </c>
      <c r="E653" s="148" t="str">
        <v/>
      </c>
      <c r="F653" s="148" t="str">
        <v/>
      </c>
      <c r="G653" s="268" t="str">
        <v/>
      </c>
      <c r="H653" s="1098"/>
      <c r="I653" s="1098"/>
      <c r="J653" s="1098"/>
      <c r="K653" s="1098"/>
      <c r="L653" s="1098"/>
      <c r="M653" s="1098"/>
      <c r="N653" s="1098"/>
      <c r="O653" s="1098"/>
      <c r="P653" s="1098"/>
      <c r="Q653" s="1098"/>
      <c r="R653" s="1098"/>
      <c r="S653" s="1098"/>
      <c r="T653" s="1098"/>
      <c r="U653" s="1098"/>
      <c r="V653" s="1098"/>
      <c r="W653" s="1098"/>
      <c r="X653" s="1098"/>
      <c r="Y653" s="1098"/>
      <c r="Z653" s="1098"/>
      <c r="AA653" s="1098"/>
      <c r="AB653" s="1098"/>
      <c r="AC653" s="1098"/>
      <c r="AD653" s="1098"/>
      <c r="AE653" s="1098"/>
      <c r="AF653" s="1098"/>
      <c r="AG653" s="1098"/>
      <c r="AH653" s="1098"/>
      <c r="AI653" s="1098"/>
      <c r="AJ653" s="1098"/>
      <c r="AK653" s="1098"/>
      <c r="AL653" s="1098"/>
      <c r="AM653" s="1098"/>
      <c r="AN653" s="1098"/>
      <c r="AO653" s="1098"/>
      <c r="AP653" s="1098"/>
      <c r="AQ653" s="1098"/>
      <c r="AR653" s="1098"/>
      <c r="AS653" s="1098"/>
      <c r="AT653" s="1098"/>
      <c r="AU653" s="1098"/>
      <c r="AV653" s="1098"/>
      <c r="AW653" s="1098"/>
      <c r="AX653" s="1098"/>
      <c r="AY653" s="1098"/>
      <c r="AZ653" s="1098"/>
      <c r="BA653" s="1098"/>
      <c r="BB653" s="1098"/>
      <c r="BC653" s="1098"/>
      <c r="BD653" s="1098"/>
      <c r="BE653" s="1098"/>
      <c r="BF653" s="1098"/>
      <c r="BG653" s="1098"/>
      <c r="BH653" s="1098"/>
      <c r="BI653" s="1098"/>
      <c r="BJ653" s="1098"/>
      <c r="BK653" s="1098"/>
      <c r="BL653" s="1098"/>
      <c r="BM653" s="1098"/>
      <c r="BN653" s="1098"/>
      <c r="BO653" s="1098"/>
      <c r="BP653" s="1098"/>
      <c r="BQ653" s="1098"/>
      <c r="BR653" s="1098"/>
      <c r="BS653" s="1098"/>
      <c r="BT653" s="1098"/>
      <c r="BU653" s="1098"/>
      <c r="BV653" s="1098"/>
      <c r="BW653" s="1098"/>
      <c r="BX653" s="1098"/>
      <c r="BY653" s="1098"/>
      <c r="BZ653" s="1098"/>
      <c r="CA653" s="1098"/>
      <c r="CB653" s="1098"/>
      <c r="CC653" s="1098"/>
      <c r="CD653" s="1098"/>
      <c r="CE653" s="1098"/>
      <c r="CF653" s="1098"/>
      <c r="CG653" s="1098"/>
      <c r="CH653" s="1098"/>
      <c r="CI653" s="1098"/>
      <c r="CJ653" s="1098"/>
      <c r="CK653" s="1098"/>
      <c r="CL653" s="1098"/>
      <c r="CM653" s="1098"/>
      <c r="CN653" s="1098"/>
      <c r="CO653" s="1098"/>
      <c r="CP653" s="1098"/>
      <c r="CQ653" s="1098"/>
      <c r="CR653" s="1098"/>
      <c r="CS653" s="1098"/>
      <c r="CT653" s="1098"/>
      <c r="CU653" s="1098"/>
      <c r="CV653" s="1098"/>
      <c r="CW653" s="1098"/>
      <c r="CX653" s="1098"/>
      <c r="CY653" s="1098"/>
      <c r="CZ653" s="1098"/>
      <c r="DA653" s="1098"/>
      <c r="DB653" s="1098"/>
      <c r="DC653" s="1098"/>
      <c r="DD653" s="1098"/>
      <c r="DE653" s="1098"/>
      <c r="DF653" s="1098"/>
      <c r="DG653" s="1098"/>
      <c r="DH653" s="1098"/>
      <c r="DI653" s="1098"/>
      <c r="DJ653" s="1098"/>
      <c r="DK653" s="1098"/>
      <c r="DL653" s="1098"/>
      <c r="DM653" s="1098"/>
      <c r="DN653" s="1098"/>
      <c r="DO653" s="1098"/>
      <c r="DP653" s="1098"/>
      <c r="DQ653" s="1098"/>
      <c r="DR653" s="1098"/>
      <c r="DS653" s="1098"/>
      <c r="DT653" s="1098"/>
      <c r="DU653" s="1098"/>
      <c r="DV653" s="1098"/>
      <c r="DW653" s="1098"/>
      <c r="DX653" s="1098"/>
      <c r="DY653" s="1098"/>
      <c r="DZ653" s="1098"/>
      <c r="EA653" s="1098"/>
      <c r="EB653" s="1098"/>
      <c r="EC653" s="1098"/>
      <c r="ED653" s="1098"/>
      <c r="EE653" s="1098"/>
      <c r="EF653" s="1098"/>
      <c r="EG653" s="1098"/>
      <c r="EH653" s="1098"/>
      <c r="EI653" s="1098"/>
      <c r="EJ653" s="1098"/>
      <c r="EK653" s="1098"/>
      <c r="EL653" s="1098"/>
      <c r="EM653" s="1098"/>
      <c r="EN653" s="1098"/>
      <c r="EO653" s="1098"/>
      <c r="EP653" s="1098"/>
      <c r="EQ653" s="1098"/>
      <c r="ER653" s="1098"/>
      <c r="ES653" s="1098"/>
      <c r="ET653" s="1098"/>
      <c r="EU653" s="1098"/>
      <c r="EV653" s="1098"/>
      <c r="EW653" s="1098"/>
      <c r="EX653" s="1098"/>
      <c r="EY653" s="1098"/>
      <c r="EZ653" s="1098"/>
      <c r="FA653" s="1098"/>
      <c r="FB653" s="1098"/>
      <c r="FC653" s="1098"/>
      <c r="FD653" s="1098"/>
      <c r="FE653" s="1098"/>
      <c r="FF653" s="1098"/>
      <c r="FG653" s="1098"/>
      <c r="FH653" s="1098"/>
      <c r="FI653" s="1098"/>
      <c r="FJ653" s="1098"/>
      <c r="FK653" s="1098"/>
      <c r="FL653" s="1098"/>
      <c r="FM653" s="1098"/>
      <c r="FN653" s="1098"/>
      <c r="FO653" s="1098"/>
      <c r="FP653" s="1098"/>
      <c r="FQ653" s="1098"/>
      <c r="FR653" s="1098"/>
      <c r="FS653" s="1098"/>
      <c r="FT653" s="1098"/>
      <c r="FU653" s="1098"/>
      <c r="FV653" s="1098"/>
      <c r="FW653" s="1098"/>
      <c r="FX653" s="1098"/>
      <c r="FY653" s="1098"/>
      <c r="FZ653" s="1098"/>
      <c r="GA653" s="1098"/>
      <c r="GB653" s="1098"/>
      <c r="GC653" s="1098"/>
      <c r="GD653" s="1098"/>
      <c r="GE653" s="1098"/>
      <c r="GF653" s="1098"/>
      <c r="GG653" s="1098"/>
      <c r="GH653" s="1098"/>
      <c r="GI653" s="1098"/>
      <c r="GJ653" s="1098"/>
      <c r="GK653" s="1098"/>
      <c r="GL653" s="1098"/>
      <c r="GM653" s="1098"/>
      <c r="GN653" s="1098"/>
      <c r="GO653" s="1098"/>
      <c r="GP653" s="1098"/>
      <c r="GQ653" s="1098"/>
      <c r="GR653" s="1098"/>
      <c r="GS653" s="1098"/>
      <c r="GT653" s="1098"/>
      <c r="GU653" s="1098"/>
      <c r="GV653" s="1098"/>
      <c r="GW653" s="1098"/>
      <c r="GX653" s="1098"/>
      <c r="GY653" s="1098"/>
      <c r="GZ653" s="1098"/>
      <c r="HA653" s="1098"/>
      <c r="HB653" s="1098"/>
      <c r="HC653" s="1098"/>
      <c r="HD653" s="1098"/>
      <c r="HE653" s="1098"/>
      <c r="HF653" s="1098"/>
      <c r="HG653" s="1098"/>
      <c r="HH653" s="1098"/>
      <c r="HI653" s="1098"/>
      <c r="HJ653" s="1098"/>
      <c r="HK653" s="1098"/>
      <c r="HL653" s="1098"/>
      <c r="HM653" s="1098"/>
      <c r="HN653" s="1098"/>
      <c r="HO653" s="1098"/>
      <c r="HP653" s="1098"/>
      <c r="HQ653" s="1098"/>
      <c r="HR653" s="1098"/>
      <c r="HS653" s="1098"/>
      <c r="HT653" s="1098"/>
      <c r="HU653" s="1098"/>
      <c r="HV653" s="1098"/>
      <c r="HW653" s="1098"/>
      <c r="HX653" s="1098"/>
      <c r="HY653" s="1098"/>
      <c r="HZ653" s="1098"/>
      <c r="IA653" s="1098"/>
      <c r="IB653" s="1098"/>
      <c r="IC653" s="1098"/>
      <c r="ID653" s="1098"/>
      <c r="IE653" s="1098"/>
      <c r="IF653" s="1098"/>
      <c r="IG653" s="1098"/>
      <c r="IH653" s="1098"/>
      <c r="II653" s="1098"/>
      <c r="IJ653" s="1098"/>
      <c r="IK653" s="1098"/>
      <c r="IL653" s="1098"/>
      <c r="IM653" s="1098"/>
      <c r="IN653" s="1098"/>
      <c r="IO653" s="1098"/>
      <c r="IP653" s="1098"/>
      <c r="IQ653" s="1098"/>
      <c r="IR653" s="1098"/>
      <c r="IS653" s="1098"/>
      <c r="IT653" s="1098"/>
      <c r="IU653" s="1098"/>
      <c r="IV653" s="1098"/>
      <c r="IW653" s="1098"/>
      <c r="IX653" s="1098"/>
      <c r="IY653" s="1098"/>
      <c r="IZ653" s="1098"/>
      <c r="JA653" s="1098"/>
      <c r="JB653" s="1098"/>
      <c r="JC653" s="1098"/>
      <c r="JD653" s="1098"/>
      <c r="JE653" s="1098"/>
      <c r="JF653" s="1098"/>
      <c r="JG653" s="1098"/>
      <c r="JH653" s="1098"/>
      <c r="JI653" s="1098"/>
      <c r="JJ653" s="1098"/>
      <c r="JK653" s="1098"/>
      <c r="JL653" s="1098"/>
      <c r="JM653" s="1098"/>
      <c r="JN653" s="1098"/>
      <c r="JO653" s="1098"/>
      <c r="JP653" s="1098"/>
      <c r="JQ653" s="1098"/>
      <c r="JR653" s="1098"/>
      <c r="JS653" s="1098"/>
      <c r="JT653" s="1098"/>
      <c r="JU653" s="1098"/>
      <c r="JV653" s="1098"/>
      <c r="JW653" s="1098"/>
      <c r="JX653" s="1098"/>
      <c r="JY653" s="1098"/>
      <c r="JZ653" s="1098"/>
      <c r="KA653" s="1098"/>
      <c r="KB653" s="1099"/>
    </row>
    <row r="654" spans="2:288" ht="15" customHeight="1" x14ac:dyDescent="0.35">
      <c r="B654" s="146" t="str">
        <f t="shared" si="54"/>
        <v>Desk 24</v>
      </c>
      <c r="C654" s="148" t="str">
        <v/>
      </c>
      <c r="D654" s="148" t="str">
        <v/>
      </c>
      <c r="E654" s="148" t="str">
        <v/>
      </c>
      <c r="F654" s="148" t="str">
        <v/>
      </c>
      <c r="G654" s="268" t="str">
        <v/>
      </c>
      <c r="H654" s="1098"/>
      <c r="I654" s="1098"/>
      <c r="J654" s="1098"/>
      <c r="K654" s="1098"/>
      <c r="L654" s="1098"/>
      <c r="M654" s="1098"/>
      <c r="N654" s="1098"/>
      <c r="O654" s="1098"/>
      <c r="P654" s="1098"/>
      <c r="Q654" s="1098"/>
      <c r="R654" s="1098"/>
      <c r="S654" s="1098"/>
      <c r="T654" s="1098"/>
      <c r="U654" s="1098"/>
      <c r="V654" s="1098"/>
      <c r="W654" s="1098"/>
      <c r="X654" s="1098"/>
      <c r="Y654" s="1098"/>
      <c r="Z654" s="1098"/>
      <c r="AA654" s="1098"/>
      <c r="AB654" s="1098"/>
      <c r="AC654" s="1098"/>
      <c r="AD654" s="1098"/>
      <c r="AE654" s="1098"/>
      <c r="AF654" s="1098"/>
      <c r="AG654" s="1098"/>
      <c r="AH654" s="1098"/>
      <c r="AI654" s="1098"/>
      <c r="AJ654" s="1098"/>
      <c r="AK654" s="1098"/>
      <c r="AL654" s="1098"/>
      <c r="AM654" s="1098"/>
      <c r="AN654" s="1098"/>
      <c r="AO654" s="1098"/>
      <c r="AP654" s="1098"/>
      <c r="AQ654" s="1098"/>
      <c r="AR654" s="1098"/>
      <c r="AS654" s="1098"/>
      <c r="AT654" s="1098"/>
      <c r="AU654" s="1098"/>
      <c r="AV654" s="1098"/>
      <c r="AW654" s="1098"/>
      <c r="AX654" s="1098"/>
      <c r="AY654" s="1098"/>
      <c r="AZ654" s="1098"/>
      <c r="BA654" s="1098"/>
      <c r="BB654" s="1098"/>
      <c r="BC654" s="1098"/>
      <c r="BD654" s="1098"/>
      <c r="BE654" s="1098"/>
      <c r="BF654" s="1098"/>
      <c r="BG654" s="1098"/>
      <c r="BH654" s="1098"/>
      <c r="BI654" s="1098"/>
      <c r="BJ654" s="1098"/>
      <c r="BK654" s="1098"/>
      <c r="BL654" s="1098"/>
      <c r="BM654" s="1098"/>
      <c r="BN654" s="1098"/>
      <c r="BO654" s="1098"/>
      <c r="BP654" s="1098"/>
      <c r="BQ654" s="1098"/>
      <c r="BR654" s="1098"/>
      <c r="BS654" s="1098"/>
      <c r="BT654" s="1098"/>
      <c r="BU654" s="1098"/>
      <c r="BV654" s="1098"/>
      <c r="BW654" s="1098"/>
      <c r="BX654" s="1098"/>
      <c r="BY654" s="1098"/>
      <c r="BZ654" s="1098"/>
      <c r="CA654" s="1098"/>
      <c r="CB654" s="1098"/>
      <c r="CC654" s="1098"/>
      <c r="CD654" s="1098"/>
      <c r="CE654" s="1098"/>
      <c r="CF654" s="1098"/>
      <c r="CG654" s="1098"/>
      <c r="CH654" s="1098"/>
      <c r="CI654" s="1098"/>
      <c r="CJ654" s="1098"/>
      <c r="CK654" s="1098"/>
      <c r="CL654" s="1098"/>
      <c r="CM654" s="1098"/>
      <c r="CN654" s="1098"/>
      <c r="CO654" s="1098"/>
      <c r="CP654" s="1098"/>
      <c r="CQ654" s="1098"/>
      <c r="CR654" s="1098"/>
      <c r="CS654" s="1098"/>
      <c r="CT654" s="1098"/>
      <c r="CU654" s="1098"/>
      <c r="CV654" s="1098"/>
      <c r="CW654" s="1098"/>
      <c r="CX654" s="1098"/>
      <c r="CY654" s="1098"/>
      <c r="CZ654" s="1098"/>
      <c r="DA654" s="1098"/>
      <c r="DB654" s="1098"/>
      <c r="DC654" s="1098"/>
      <c r="DD654" s="1098"/>
      <c r="DE654" s="1098"/>
      <c r="DF654" s="1098"/>
      <c r="DG654" s="1098"/>
      <c r="DH654" s="1098"/>
      <c r="DI654" s="1098"/>
      <c r="DJ654" s="1098"/>
      <c r="DK654" s="1098"/>
      <c r="DL654" s="1098"/>
      <c r="DM654" s="1098"/>
      <c r="DN654" s="1098"/>
      <c r="DO654" s="1098"/>
      <c r="DP654" s="1098"/>
      <c r="DQ654" s="1098"/>
      <c r="DR654" s="1098"/>
      <c r="DS654" s="1098"/>
      <c r="DT654" s="1098"/>
      <c r="DU654" s="1098"/>
      <c r="DV654" s="1098"/>
      <c r="DW654" s="1098"/>
      <c r="DX654" s="1098"/>
      <c r="DY654" s="1098"/>
      <c r="DZ654" s="1098"/>
      <c r="EA654" s="1098"/>
      <c r="EB654" s="1098"/>
      <c r="EC654" s="1098"/>
      <c r="ED654" s="1098"/>
      <c r="EE654" s="1098"/>
      <c r="EF654" s="1098"/>
      <c r="EG654" s="1098"/>
      <c r="EH654" s="1098"/>
      <c r="EI654" s="1098"/>
      <c r="EJ654" s="1098"/>
      <c r="EK654" s="1098"/>
      <c r="EL654" s="1098"/>
      <c r="EM654" s="1098"/>
      <c r="EN654" s="1098"/>
      <c r="EO654" s="1098"/>
      <c r="EP654" s="1098"/>
      <c r="EQ654" s="1098"/>
      <c r="ER654" s="1098"/>
      <c r="ES654" s="1098"/>
      <c r="ET654" s="1098"/>
      <c r="EU654" s="1098"/>
      <c r="EV654" s="1098"/>
      <c r="EW654" s="1098"/>
      <c r="EX654" s="1098"/>
      <c r="EY654" s="1098"/>
      <c r="EZ654" s="1098"/>
      <c r="FA654" s="1098"/>
      <c r="FB654" s="1098"/>
      <c r="FC654" s="1098"/>
      <c r="FD654" s="1098"/>
      <c r="FE654" s="1098"/>
      <c r="FF654" s="1098"/>
      <c r="FG654" s="1098"/>
      <c r="FH654" s="1098"/>
      <c r="FI654" s="1098"/>
      <c r="FJ654" s="1098"/>
      <c r="FK654" s="1098"/>
      <c r="FL654" s="1098"/>
      <c r="FM654" s="1098"/>
      <c r="FN654" s="1098"/>
      <c r="FO654" s="1098"/>
      <c r="FP654" s="1098"/>
      <c r="FQ654" s="1098"/>
      <c r="FR654" s="1098"/>
      <c r="FS654" s="1098"/>
      <c r="FT654" s="1098"/>
      <c r="FU654" s="1098"/>
      <c r="FV654" s="1098"/>
      <c r="FW654" s="1098"/>
      <c r="FX654" s="1098"/>
      <c r="FY654" s="1098"/>
      <c r="FZ654" s="1098"/>
      <c r="GA654" s="1098"/>
      <c r="GB654" s="1098"/>
      <c r="GC654" s="1098"/>
      <c r="GD654" s="1098"/>
      <c r="GE654" s="1098"/>
      <c r="GF654" s="1098"/>
      <c r="GG654" s="1098"/>
      <c r="GH654" s="1098"/>
      <c r="GI654" s="1098"/>
      <c r="GJ654" s="1098"/>
      <c r="GK654" s="1098"/>
      <c r="GL654" s="1098"/>
      <c r="GM654" s="1098"/>
      <c r="GN654" s="1098"/>
      <c r="GO654" s="1098"/>
      <c r="GP654" s="1098"/>
      <c r="GQ654" s="1098"/>
      <c r="GR654" s="1098"/>
      <c r="GS654" s="1098"/>
      <c r="GT654" s="1098"/>
      <c r="GU654" s="1098"/>
      <c r="GV654" s="1098"/>
      <c r="GW654" s="1098"/>
      <c r="GX654" s="1098"/>
      <c r="GY654" s="1098"/>
      <c r="GZ654" s="1098"/>
      <c r="HA654" s="1098"/>
      <c r="HB654" s="1098"/>
      <c r="HC654" s="1098"/>
      <c r="HD654" s="1098"/>
      <c r="HE654" s="1098"/>
      <c r="HF654" s="1098"/>
      <c r="HG654" s="1098"/>
      <c r="HH654" s="1098"/>
      <c r="HI654" s="1098"/>
      <c r="HJ654" s="1098"/>
      <c r="HK654" s="1098"/>
      <c r="HL654" s="1098"/>
      <c r="HM654" s="1098"/>
      <c r="HN654" s="1098"/>
      <c r="HO654" s="1098"/>
      <c r="HP654" s="1098"/>
      <c r="HQ654" s="1098"/>
      <c r="HR654" s="1098"/>
      <c r="HS654" s="1098"/>
      <c r="HT654" s="1098"/>
      <c r="HU654" s="1098"/>
      <c r="HV654" s="1098"/>
      <c r="HW654" s="1098"/>
      <c r="HX654" s="1098"/>
      <c r="HY654" s="1098"/>
      <c r="HZ654" s="1098"/>
      <c r="IA654" s="1098"/>
      <c r="IB654" s="1098"/>
      <c r="IC654" s="1098"/>
      <c r="ID654" s="1098"/>
      <c r="IE654" s="1098"/>
      <c r="IF654" s="1098"/>
      <c r="IG654" s="1098"/>
      <c r="IH654" s="1098"/>
      <c r="II654" s="1098"/>
      <c r="IJ654" s="1098"/>
      <c r="IK654" s="1098"/>
      <c r="IL654" s="1098"/>
      <c r="IM654" s="1098"/>
      <c r="IN654" s="1098"/>
      <c r="IO654" s="1098"/>
      <c r="IP654" s="1098"/>
      <c r="IQ654" s="1098"/>
      <c r="IR654" s="1098"/>
      <c r="IS654" s="1098"/>
      <c r="IT654" s="1098"/>
      <c r="IU654" s="1098"/>
      <c r="IV654" s="1098"/>
      <c r="IW654" s="1098"/>
      <c r="IX654" s="1098"/>
      <c r="IY654" s="1098"/>
      <c r="IZ654" s="1098"/>
      <c r="JA654" s="1098"/>
      <c r="JB654" s="1098"/>
      <c r="JC654" s="1098"/>
      <c r="JD654" s="1098"/>
      <c r="JE654" s="1098"/>
      <c r="JF654" s="1098"/>
      <c r="JG654" s="1098"/>
      <c r="JH654" s="1098"/>
      <c r="JI654" s="1098"/>
      <c r="JJ654" s="1098"/>
      <c r="JK654" s="1098"/>
      <c r="JL654" s="1098"/>
      <c r="JM654" s="1098"/>
      <c r="JN654" s="1098"/>
      <c r="JO654" s="1098"/>
      <c r="JP654" s="1098"/>
      <c r="JQ654" s="1098"/>
      <c r="JR654" s="1098"/>
      <c r="JS654" s="1098"/>
      <c r="JT654" s="1098"/>
      <c r="JU654" s="1098"/>
      <c r="JV654" s="1098"/>
      <c r="JW654" s="1098"/>
      <c r="JX654" s="1098"/>
      <c r="JY654" s="1098"/>
      <c r="JZ654" s="1098"/>
      <c r="KA654" s="1098"/>
      <c r="KB654" s="1099"/>
    </row>
    <row r="655" spans="2:288" ht="15" customHeight="1" x14ac:dyDescent="0.35">
      <c r="B655" s="146" t="str">
        <f t="shared" si="54"/>
        <v>Desk 25</v>
      </c>
      <c r="C655" s="148" t="str">
        <v/>
      </c>
      <c r="D655" s="148" t="str">
        <v/>
      </c>
      <c r="E655" s="148" t="str">
        <v/>
      </c>
      <c r="F655" s="148" t="str">
        <v/>
      </c>
      <c r="G655" s="268" t="str">
        <v/>
      </c>
      <c r="H655" s="1098"/>
      <c r="I655" s="1098"/>
      <c r="J655" s="1098"/>
      <c r="K655" s="1098"/>
      <c r="L655" s="1098"/>
      <c r="M655" s="1098"/>
      <c r="N655" s="1098"/>
      <c r="O655" s="1098"/>
      <c r="P655" s="1098"/>
      <c r="Q655" s="1098"/>
      <c r="R655" s="1098"/>
      <c r="S655" s="1098"/>
      <c r="T655" s="1098"/>
      <c r="U655" s="1098"/>
      <c r="V655" s="1098"/>
      <c r="W655" s="1098"/>
      <c r="X655" s="1098"/>
      <c r="Y655" s="1098"/>
      <c r="Z655" s="1098"/>
      <c r="AA655" s="1098"/>
      <c r="AB655" s="1098"/>
      <c r="AC655" s="1098"/>
      <c r="AD655" s="1098"/>
      <c r="AE655" s="1098"/>
      <c r="AF655" s="1098"/>
      <c r="AG655" s="1098"/>
      <c r="AH655" s="1098"/>
      <c r="AI655" s="1098"/>
      <c r="AJ655" s="1098"/>
      <c r="AK655" s="1098"/>
      <c r="AL655" s="1098"/>
      <c r="AM655" s="1098"/>
      <c r="AN655" s="1098"/>
      <c r="AO655" s="1098"/>
      <c r="AP655" s="1098"/>
      <c r="AQ655" s="1098"/>
      <c r="AR655" s="1098"/>
      <c r="AS655" s="1098"/>
      <c r="AT655" s="1098"/>
      <c r="AU655" s="1098"/>
      <c r="AV655" s="1098"/>
      <c r="AW655" s="1098"/>
      <c r="AX655" s="1098"/>
      <c r="AY655" s="1098"/>
      <c r="AZ655" s="1098"/>
      <c r="BA655" s="1098"/>
      <c r="BB655" s="1098"/>
      <c r="BC655" s="1098"/>
      <c r="BD655" s="1098"/>
      <c r="BE655" s="1098"/>
      <c r="BF655" s="1098"/>
      <c r="BG655" s="1098"/>
      <c r="BH655" s="1098"/>
      <c r="BI655" s="1098"/>
      <c r="BJ655" s="1098"/>
      <c r="BK655" s="1098"/>
      <c r="BL655" s="1098"/>
      <c r="BM655" s="1098"/>
      <c r="BN655" s="1098"/>
      <c r="BO655" s="1098"/>
      <c r="BP655" s="1098"/>
      <c r="BQ655" s="1098"/>
      <c r="BR655" s="1098"/>
      <c r="BS655" s="1098"/>
      <c r="BT655" s="1098"/>
      <c r="BU655" s="1098"/>
      <c r="BV655" s="1098"/>
      <c r="BW655" s="1098"/>
      <c r="BX655" s="1098"/>
      <c r="BY655" s="1098"/>
      <c r="BZ655" s="1098"/>
      <c r="CA655" s="1098"/>
      <c r="CB655" s="1098"/>
      <c r="CC655" s="1098"/>
      <c r="CD655" s="1098"/>
      <c r="CE655" s="1098"/>
      <c r="CF655" s="1098"/>
      <c r="CG655" s="1098"/>
      <c r="CH655" s="1098"/>
      <c r="CI655" s="1098"/>
      <c r="CJ655" s="1098"/>
      <c r="CK655" s="1098"/>
      <c r="CL655" s="1098"/>
      <c r="CM655" s="1098"/>
      <c r="CN655" s="1098"/>
      <c r="CO655" s="1098"/>
      <c r="CP655" s="1098"/>
      <c r="CQ655" s="1098"/>
      <c r="CR655" s="1098"/>
      <c r="CS655" s="1098"/>
      <c r="CT655" s="1098"/>
      <c r="CU655" s="1098"/>
      <c r="CV655" s="1098"/>
      <c r="CW655" s="1098"/>
      <c r="CX655" s="1098"/>
      <c r="CY655" s="1098"/>
      <c r="CZ655" s="1098"/>
      <c r="DA655" s="1098"/>
      <c r="DB655" s="1098"/>
      <c r="DC655" s="1098"/>
      <c r="DD655" s="1098"/>
      <c r="DE655" s="1098"/>
      <c r="DF655" s="1098"/>
      <c r="DG655" s="1098"/>
      <c r="DH655" s="1098"/>
      <c r="DI655" s="1098"/>
      <c r="DJ655" s="1098"/>
      <c r="DK655" s="1098"/>
      <c r="DL655" s="1098"/>
      <c r="DM655" s="1098"/>
      <c r="DN655" s="1098"/>
      <c r="DO655" s="1098"/>
      <c r="DP655" s="1098"/>
      <c r="DQ655" s="1098"/>
      <c r="DR655" s="1098"/>
      <c r="DS655" s="1098"/>
      <c r="DT655" s="1098"/>
      <c r="DU655" s="1098"/>
      <c r="DV655" s="1098"/>
      <c r="DW655" s="1098"/>
      <c r="DX655" s="1098"/>
      <c r="DY655" s="1098"/>
      <c r="DZ655" s="1098"/>
      <c r="EA655" s="1098"/>
      <c r="EB655" s="1098"/>
      <c r="EC655" s="1098"/>
      <c r="ED655" s="1098"/>
      <c r="EE655" s="1098"/>
      <c r="EF655" s="1098"/>
      <c r="EG655" s="1098"/>
      <c r="EH655" s="1098"/>
      <c r="EI655" s="1098"/>
      <c r="EJ655" s="1098"/>
      <c r="EK655" s="1098"/>
      <c r="EL655" s="1098"/>
      <c r="EM655" s="1098"/>
      <c r="EN655" s="1098"/>
      <c r="EO655" s="1098"/>
      <c r="EP655" s="1098"/>
      <c r="EQ655" s="1098"/>
      <c r="ER655" s="1098"/>
      <c r="ES655" s="1098"/>
      <c r="ET655" s="1098"/>
      <c r="EU655" s="1098"/>
      <c r="EV655" s="1098"/>
      <c r="EW655" s="1098"/>
      <c r="EX655" s="1098"/>
      <c r="EY655" s="1098"/>
      <c r="EZ655" s="1098"/>
      <c r="FA655" s="1098"/>
      <c r="FB655" s="1098"/>
      <c r="FC655" s="1098"/>
      <c r="FD655" s="1098"/>
      <c r="FE655" s="1098"/>
      <c r="FF655" s="1098"/>
      <c r="FG655" s="1098"/>
      <c r="FH655" s="1098"/>
      <c r="FI655" s="1098"/>
      <c r="FJ655" s="1098"/>
      <c r="FK655" s="1098"/>
      <c r="FL655" s="1098"/>
      <c r="FM655" s="1098"/>
      <c r="FN655" s="1098"/>
      <c r="FO655" s="1098"/>
      <c r="FP655" s="1098"/>
      <c r="FQ655" s="1098"/>
      <c r="FR655" s="1098"/>
      <c r="FS655" s="1098"/>
      <c r="FT655" s="1098"/>
      <c r="FU655" s="1098"/>
      <c r="FV655" s="1098"/>
      <c r="FW655" s="1098"/>
      <c r="FX655" s="1098"/>
      <c r="FY655" s="1098"/>
      <c r="FZ655" s="1098"/>
      <c r="GA655" s="1098"/>
      <c r="GB655" s="1098"/>
      <c r="GC655" s="1098"/>
      <c r="GD655" s="1098"/>
      <c r="GE655" s="1098"/>
      <c r="GF655" s="1098"/>
      <c r="GG655" s="1098"/>
      <c r="GH655" s="1098"/>
      <c r="GI655" s="1098"/>
      <c r="GJ655" s="1098"/>
      <c r="GK655" s="1098"/>
      <c r="GL655" s="1098"/>
      <c r="GM655" s="1098"/>
      <c r="GN655" s="1098"/>
      <c r="GO655" s="1098"/>
      <c r="GP655" s="1098"/>
      <c r="GQ655" s="1098"/>
      <c r="GR655" s="1098"/>
      <c r="GS655" s="1098"/>
      <c r="GT655" s="1098"/>
      <c r="GU655" s="1098"/>
      <c r="GV655" s="1098"/>
      <c r="GW655" s="1098"/>
      <c r="GX655" s="1098"/>
      <c r="GY655" s="1098"/>
      <c r="GZ655" s="1098"/>
      <c r="HA655" s="1098"/>
      <c r="HB655" s="1098"/>
      <c r="HC655" s="1098"/>
      <c r="HD655" s="1098"/>
      <c r="HE655" s="1098"/>
      <c r="HF655" s="1098"/>
      <c r="HG655" s="1098"/>
      <c r="HH655" s="1098"/>
      <c r="HI655" s="1098"/>
      <c r="HJ655" s="1098"/>
      <c r="HK655" s="1098"/>
      <c r="HL655" s="1098"/>
      <c r="HM655" s="1098"/>
      <c r="HN655" s="1098"/>
      <c r="HO655" s="1098"/>
      <c r="HP655" s="1098"/>
      <c r="HQ655" s="1098"/>
      <c r="HR655" s="1098"/>
      <c r="HS655" s="1098"/>
      <c r="HT655" s="1098"/>
      <c r="HU655" s="1098"/>
      <c r="HV655" s="1098"/>
      <c r="HW655" s="1098"/>
      <c r="HX655" s="1098"/>
      <c r="HY655" s="1098"/>
      <c r="HZ655" s="1098"/>
      <c r="IA655" s="1098"/>
      <c r="IB655" s="1098"/>
      <c r="IC655" s="1098"/>
      <c r="ID655" s="1098"/>
      <c r="IE655" s="1098"/>
      <c r="IF655" s="1098"/>
      <c r="IG655" s="1098"/>
      <c r="IH655" s="1098"/>
      <c r="II655" s="1098"/>
      <c r="IJ655" s="1098"/>
      <c r="IK655" s="1098"/>
      <c r="IL655" s="1098"/>
      <c r="IM655" s="1098"/>
      <c r="IN655" s="1098"/>
      <c r="IO655" s="1098"/>
      <c r="IP655" s="1098"/>
      <c r="IQ655" s="1098"/>
      <c r="IR655" s="1098"/>
      <c r="IS655" s="1098"/>
      <c r="IT655" s="1098"/>
      <c r="IU655" s="1098"/>
      <c r="IV655" s="1098"/>
      <c r="IW655" s="1098"/>
      <c r="IX655" s="1098"/>
      <c r="IY655" s="1098"/>
      <c r="IZ655" s="1098"/>
      <c r="JA655" s="1098"/>
      <c r="JB655" s="1098"/>
      <c r="JC655" s="1098"/>
      <c r="JD655" s="1098"/>
      <c r="JE655" s="1098"/>
      <c r="JF655" s="1098"/>
      <c r="JG655" s="1098"/>
      <c r="JH655" s="1098"/>
      <c r="JI655" s="1098"/>
      <c r="JJ655" s="1098"/>
      <c r="JK655" s="1098"/>
      <c r="JL655" s="1098"/>
      <c r="JM655" s="1098"/>
      <c r="JN655" s="1098"/>
      <c r="JO655" s="1098"/>
      <c r="JP655" s="1098"/>
      <c r="JQ655" s="1098"/>
      <c r="JR655" s="1098"/>
      <c r="JS655" s="1098"/>
      <c r="JT655" s="1098"/>
      <c r="JU655" s="1098"/>
      <c r="JV655" s="1098"/>
      <c r="JW655" s="1098"/>
      <c r="JX655" s="1098"/>
      <c r="JY655" s="1098"/>
      <c r="JZ655" s="1098"/>
      <c r="KA655" s="1098"/>
      <c r="KB655" s="1099"/>
    </row>
    <row r="656" spans="2:288" ht="15" customHeight="1" x14ac:dyDescent="0.35">
      <c r="B656" s="146" t="str">
        <f t="shared" si="54"/>
        <v>Desk 26</v>
      </c>
      <c r="C656" s="148" t="str">
        <v/>
      </c>
      <c r="D656" s="148" t="str">
        <v/>
      </c>
      <c r="E656" s="148" t="str">
        <v/>
      </c>
      <c r="F656" s="148" t="str">
        <v/>
      </c>
      <c r="G656" s="268" t="str">
        <v/>
      </c>
      <c r="H656" s="1098"/>
      <c r="I656" s="1098"/>
      <c r="J656" s="1098"/>
      <c r="K656" s="1098"/>
      <c r="L656" s="1098"/>
      <c r="M656" s="1098"/>
      <c r="N656" s="1098"/>
      <c r="O656" s="1098"/>
      <c r="P656" s="1098"/>
      <c r="Q656" s="1098"/>
      <c r="R656" s="1098"/>
      <c r="S656" s="1098"/>
      <c r="T656" s="1098"/>
      <c r="U656" s="1098"/>
      <c r="V656" s="1098"/>
      <c r="W656" s="1098"/>
      <c r="X656" s="1098"/>
      <c r="Y656" s="1098"/>
      <c r="Z656" s="1098"/>
      <c r="AA656" s="1098"/>
      <c r="AB656" s="1098"/>
      <c r="AC656" s="1098"/>
      <c r="AD656" s="1098"/>
      <c r="AE656" s="1098"/>
      <c r="AF656" s="1098"/>
      <c r="AG656" s="1098"/>
      <c r="AH656" s="1098"/>
      <c r="AI656" s="1098"/>
      <c r="AJ656" s="1098"/>
      <c r="AK656" s="1098"/>
      <c r="AL656" s="1098"/>
      <c r="AM656" s="1098"/>
      <c r="AN656" s="1098"/>
      <c r="AO656" s="1098"/>
      <c r="AP656" s="1098"/>
      <c r="AQ656" s="1098"/>
      <c r="AR656" s="1098"/>
      <c r="AS656" s="1098"/>
      <c r="AT656" s="1098"/>
      <c r="AU656" s="1098"/>
      <c r="AV656" s="1098"/>
      <c r="AW656" s="1098"/>
      <c r="AX656" s="1098"/>
      <c r="AY656" s="1098"/>
      <c r="AZ656" s="1098"/>
      <c r="BA656" s="1098"/>
      <c r="BB656" s="1098"/>
      <c r="BC656" s="1098"/>
      <c r="BD656" s="1098"/>
      <c r="BE656" s="1098"/>
      <c r="BF656" s="1098"/>
      <c r="BG656" s="1098"/>
      <c r="BH656" s="1098"/>
      <c r="BI656" s="1098"/>
      <c r="BJ656" s="1098"/>
      <c r="BK656" s="1098"/>
      <c r="BL656" s="1098"/>
      <c r="BM656" s="1098"/>
      <c r="BN656" s="1098"/>
      <c r="BO656" s="1098"/>
      <c r="BP656" s="1098"/>
      <c r="BQ656" s="1098"/>
      <c r="BR656" s="1098"/>
      <c r="BS656" s="1098"/>
      <c r="BT656" s="1098"/>
      <c r="BU656" s="1098"/>
      <c r="BV656" s="1098"/>
      <c r="BW656" s="1098"/>
      <c r="BX656" s="1098"/>
      <c r="BY656" s="1098"/>
      <c r="BZ656" s="1098"/>
      <c r="CA656" s="1098"/>
      <c r="CB656" s="1098"/>
      <c r="CC656" s="1098"/>
      <c r="CD656" s="1098"/>
      <c r="CE656" s="1098"/>
      <c r="CF656" s="1098"/>
      <c r="CG656" s="1098"/>
      <c r="CH656" s="1098"/>
      <c r="CI656" s="1098"/>
      <c r="CJ656" s="1098"/>
      <c r="CK656" s="1098"/>
      <c r="CL656" s="1098"/>
      <c r="CM656" s="1098"/>
      <c r="CN656" s="1098"/>
      <c r="CO656" s="1098"/>
      <c r="CP656" s="1098"/>
      <c r="CQ656" s="1098"/>
      <c r="CR656" s="1098"/>
      <c r="CS656" s="1098"/>
      <c r="CT656" s="1098"/>
      <c r="CU656" s="1098"/>
      <c r="CV656" s="1098"/>
      <c r="CW656" s="1098"/>
      <c r="CX656" s="1098"/>
      <c r="CY656" s="1098"/>
      <c r="CZ656" s="1098"/>
      <c r="DA656" s="1098"/>
      <c r="DB656" s="1098"/>
      <c r="DC656" s="1098"/>
      <c r="DD656" s="1098"/>
      <c r="DE656" s="1098"/>
      <c r="DF656" s="1098"/>
      <c r="DG656" s="1098"/>
      <c r="DH656" s="1098"/>
      <c r="DI656" s="1098"/>
      <c r="DJ656" s="1098"/>
      <c r="DK656" s="1098"/>
      <c r="DL656" s="1098"/>
      <c r="DM656" s="1098"/>
      <c r="DN656" s="1098"/>
      <c r="DO656" s="1098"/>
      <c r="DP656" s="1098"/>
      <c r="DQ656" s="1098"/>
      <c r="DR656" s="1098"/>
      <c r="DS656" s="1098"/>
      <c r="DT656" s="1098"/>
      <c r="DU656" s="1098"/>
      <c r="DV656" s="1098"/>
      <c r="DW656" s="1098"/>
      <c r="DX656" s="1098"/>
      <c r="DY656" s="1098"/>
      <c r="DZ656" s="1098"/>
      <c r="EA656" s="1098"/>
      <c r="EB656" s="1098"/>
      <c r="EC656" s="1098"/>
      <c r="ED656" s="1098"/>
      <c r="EE656" s="1098"/>
      <c r="EF656" s="1098"/>
      <c r="EG656" s="1098"/>
      <c r="EH656" s="1098"/>
      <c r="EI656" s="1098"/>
      <c r="EJ656" s="1098"/>
      <c r="EK656" s="1098"/>
      <c r="EL656" s="1098"/>
      <c r="EM656" s="1098"/>
      <c r="EN656" s="1098"/>
      <c r="EO656" s="1098"/>
      <c r="EP656" s="1098"/>
      <c r="EQ656" s="1098"/>
      <c r="ER656" s="1098"/>
      <c r="ES656" s="1098"/>
      <c r="ET656" s="1098"/>
      <c r="EU656" s="1098"/>
      <c r="EV656" s="1098"/>
      <c r="EW656" s="1098"/>
      <c r="EX656" s="1098"/>
      <c r="EY656" s="1098"/>
      <c r="EZ656" s="1098"/>
      <c r="FA656" s="1098"/>
      <c r="FB656" s="1098"/>
      <c r="FC656" s="1098"/>
      <c r="FD656" s="1098"/>
      <c r="FE656" s="1098"/>
      <c r="FF656" s="1098"/>
      <c r="FG656" s="1098"/>
      <c r="FH656" s="1098"/>
      <c r="FI656" s="1098"/>
      <c r="FJ656" s="1098"/>
      <c r="FK656" s="1098"/>
      <c r="FL656" s="1098"/>
      <c r="FM656" s="1098"/>
      <c r="FN656" s="1098"/>
      <c r="FO656" s="1098"/>
      <c r="FP656" s="1098"/>
      <c r="FQ656" s="1098"/>
      <c r="FR656" s="1098"/>
      <c r="FS656" s="1098"/>
      <c r="FT656" s="1098"/>
      <c r="FU656" s="1098"/>
      <c r="FV656" s="1098"/>
      <c r="FW656" s="1098"/>
      <c r="FX656" s="1098"/>
      <c r="FY656" s="1098"/>
      <c r="FZ656" s="1098"/>
      <c r="GA656" s="1098"/>
      <c r="GB656" s="1098"/>
      <c r="GC656" s="1098"/>
      <c r="GD656" s="1098"/>
      <c r="GE656" s="1098"/>
      <c r="GF656" s="1098"/>
      <c r="GG656" s="1098"/>
      <c r="GH656" s="1098"/>
      <c r="GI656" s="1098"/>
      <c r="GJ656" s="1098"/>
      <c r="GK656" s="1098"/>
      <c r="GL656" s="1098"/>
      <c r="GM656" s="1098"/>
      <c r="GN656" s="1098"/>
      <c r="GO656" s="1098"/>
      <c r="GP656" s="1098"/>
      <c r="GQ656" s="1098"/>
      <c r="GR656" s="1098"/>
      <c r="GS656" s="1098"/>
      <c r="GT656" s="1098"/>
      <c r="GU656" s="1098"/>
      <c r="GV656" s="1098"/>
      <c r="GW656" s="1098"/>
      <c r="GX656" s="1098"/>
      <c r="GY656" s="1098"/>
      <c r="GZ656" s="1098"/>
      <c r="HA656" s="1098"/>
      <c r="HB656" s="1098"/>
      <c r="HC656" s="1098"/>
      <c r="HD656" s="1098"/>
      <c r="HE656" s="1098"/>
      <c r="HF656" s="1098"/>
      <c r="HG656" s="1098"/>
      <c r="HH656" s="1098"/>
      <c r="HI656" s="1098"/>
      <c r="HJ656" s="1098"/>
      <c r="HK656" s="1098"/>
      <c r="HL656" s="1098"/>
      <c r="HM656" s="1098"/>
      <c r="HN656" s="1098"/>
      <c r="HO656" s="1098"/>
      <c r="HP656" s="1098"/>
      <c r="HQ656" s="1098"/>
      <c r="HR656" s="1098"/>
      <c r="HS656" s="1098"/>
      <c r="HT656" s="1098"/>
      <c r="HU656" s="1098"/>
      <c r="HV656" s="1098"/>
      <c r="HW656" s="1098"/>
      <c r="HX656" s="1098"/>
      <c r="HY656" s="1098"/>
      <c r="HZ656" s="1098"/>
      <c r="IA656" s="1098"/>
      <c r="IB656" s="1098"/>
      <c r="IC656" s="1098"/>
      <c r="ID656" s="1098"/>
      <c r="IE656" s="1098"/>
      <c r="IF656" s="1098"/>
      <c r="IG656" s="1098"/>
      <c r="IH656" s="1098"/>
      <c r="II656" s="1098"/>
      <c r="IJ656" s="1098"/>
      <c r="IK656" s="1098"/>
      <c r="IL656" s="1098"/>
      <c r="IM656" s="1098"/>
      <c r="IN656" s="1098"/>
      <c r="IO656" s="1098"/>
      <c r="IP656" s="1098"/>
      <c r="IQ656" s="1098"/>
      <c r="IR656" s="1098"/>
      <c r="IS656" s="1098"/>
      <c r="IT656" s="1098"/>
      <c r="IU656" s="1098"/>
      <c r="IV656" s="1098"/>
      <c r="IW656" s="1098"/>
      <c r="IX656" s="1098"/>
      <c r="IY656" s="1098"/>
      <c r="IZ656" s="1098"/>
      <c r="JA656" s="1098"/>
      <c r="JB656" s="1098"/>
      <c r="JC656" s="1098"/>
      <c r="JD656" s="1098"/>
      <c r="JE656" s="1098"/>
      <c r="JF656" s="1098"/>
      <c r="JG656" s="1098"/>
      <c r="JH656" s="1098"/>
      <c r="JI656" s="1098"/>
      <c r="JJ656" s="1098"/>
      <c r="JK656" s="1098"/>
      <c r="JL656" s="1098"/>
      <c r="JM656" s="1098"/>
      <c r="JN656" s="1098"/>
      <c r="JO656" s="1098"/>
      <c r="JP656" s="1098"/>
      <c r="JQ656" s="1098"/>
      <c r="JR656" s="1098"/>
      <c r="JS656" s="1098"/>
      <c r="JT656" s="1098"/>
      <c r="JU656" s="1098"/>
      <c r="JV656" s="1098"/>
      <c r="JW656" s="1098"/>
      <c r="JX656" s="1098"/>
      <c r="JY656" s="1098"/>
      <c r="JZ656" s="1098"/>
      <c r="KA656" s="1098"/>
      <c r="KB656" s="1099"/>
    </row>
    <row r="657" spans="2:288" ht="15" customHeight="1" x14ac:dyDescent="0.35">
      <c r="B657" s="146" t="str">
        <f t="shared" si="54"/>
        <v>Desk 27</v>
      </c>
      <c r="C657" s="148" t="str">
        <v/>
      </c>
      <c r="D657" s="148" t="str">
        <v/>
      </c>
      <c r="E657" s="148" t="str">
        <v/>
      </c>
      <c r="F657" s="148" t="str">
        <v/>
      </c>
      <c r="G657" s="268" t="str">
        <v/>
      </c>
      <c r="H657" s="1098"/>
      <c r="I657" s="1098"/>
      <c r="J657" s="1098"/>
      <c r="K657" s="1098"/>
      <c r="L657" s="1098"/>
      <c r="M657" s="1098"/>
      <c r="N657" s="1098"/>
      <c r="O657" s="1098"/>
      <c r="P657" s="1098"/>
      <c r="Q657" s="1098"/>
      <c r="R657" s="1098"/>
      <c r="S657" s="1098"/>
      <c r="T657" s="1098"/>
      <c r="U657" s="1098"/>
      <c r="V657" s="1098"/>
      <c r="W657" s="1098"/>
      <c r="X657" s="1098"/>
      <c r="Y657" s="1098"/>
      <c r="Z657" s="1098"/>
      <c r="AA657" s="1098"/>
      <c r="AB657" s="1098"/>
      <c r="AC657" s="1098"/>
      <c r="AD657" s="1098"/>
      <c r="AE657" s="1098"/>
      <c r="AF657" s="1098"/>
      <c r="AG657" s="1098"/>
      <c r="AH657" s="1098"/>
      <c r="AI657" s="1098"/>
      <c r="AJ657" s="1098"/>
      <c r="AK657" s="1098"/>
      <c r="AL657" s="1098"/>
      <c r="AM657" s="1098"/>
      <c r="AN657" s="1098"/>
      <c r="AO657" s="1098"/>
      <c r="AP657" s="1098"/>
      <c r="AQ657" s="1098"/>
      <c r="AR657" s="1098"/>
      <c r="AS657" s="1098"/>
      <c r="AT657" s="1098"/>
      <c r="AU657" s="1098"/>
      <c r="AV657" s="1098"/>
      <c r="AW657" s="1098"/>
      <c r="AX657" s="1098"/>
      <c r="AY657" s="1098"/>
      <c r="AZ657" s="1098"/>
      <c r="BA657" s="1098"/>
      <c r="BB657" s="1098"/>
      <c r="BC657" s="1098"/>
      <c r="BD657" s="1098"/>
      <c r="BE657" s="1098"/>
      <c r="BF657" s="1098"/>
      <c r="BG657" s="1098"/>
      <c r="BH657" s="1098"/>
      <c r="BI657" s="1098"/>
      <c r="BJ657" s="1098"/>
      <c r="BK657" s="1098"/>
      <c r="BL657" s="1098"/>
      <c r="BM657" s="1098"/>
      <c r="BN657" s="1098"/>
      <c r="BO657" s="1098"/>
      <c r="BP657" s="1098"/>
      <c r="BQ657" s="1098"/>
      <c r="BR657" s="1098"/>
      <c r="BS657" s="1098"/>
      <c r="BT657" s="1098"/>
      <c r="BU657" s="1098"/>
      <c r="BV657" s="1098"/>
      <c r="BW657" s="1098"/>
      <c r="BX657" s="1098"/>
      <c r="BY657" s="1098"/>
      <c r="BZ657" s="1098"/>
      <c r="CA657" s="1098"/>
      <c r="CB657" s="1098"/>
      <c r="CC657" s="1098"/>
      <c r="CD657" s="1098"/>
      <c r="CE657" s="1098"/>
      <c r="CF657" s="1098"/>
      <c r="CG657" s="1098"/>
      <c r="CH657" s="1098"/>
      <c r="CI657" s="1098"/>
      <c r="CJ657" s="1098"/>
      <c r="CK657" s="1098"/>
      <c r="CL657" s="1098"/>
      <c r="CM657" s="1098"/>
      <c r="CN657" s="1098"/>
      <c r="CO657" s="1098"/>
      <c r="CP657" s="1098"/>
      <c r="CQ657" s="1098"/>
      <c r="CR657" s="1098"/>
      <c r="CS657" s="1098"/>
      <c r="CT657" s="1098"/>
      <c r="CU657" s="1098"/>
      <c r="CV657" s="1098"/>
      <c r="CW657" s="1098"/>
      <c r="CX657" s="1098"/>
      <c r="CY657" s="1098"/>
      <c r="CZ657" s="1098"/>
      <c r="DA657" s="1098"/>
      <c r="DB657" s="1098"/>
      <c r="DC657" s="1098"/>
      <c r="DD657" s="1098"/>
      <c r="DE657" s="1098"/>
      <c r="DF657" s="1098"/>
      <c r="DG657" s="1098"/>
      <c r="DH657" s="1098"/>
      <c r="DI657" s="1098"/>
      <c r="DJ657" s="1098"/>
      <c r="DK657" s="1098"/>
      <c r="DL657" s="1098"/>
      <c r="DM657" s="1098"/>
      <c r="DN657" s="1098"/>
      <c r="DO657" s="1098"/>
      <c r="DP657" s="1098"/>
      <c r="DQ657" s="1098"/>
      <c r="DR657" s="1098"/>
      <c r="DS657" s="1098"/>
      <c r="DT657" s="1098"/>
      <c r="DU657" s="1098"/>
      <c r="DV657" s="1098"/>
      <c r="DW657" s="1098"/>
      <c r="DX657" s="1098"/>
      <c r="DY657" s="1098"/>
      <c r="DZ657" s="1098"/>
      <c r="EA657" s="1098"/>
      <c r="EB657" s="1098"/>
      <c r="EC657" s="1098"/>
      <c r="ED657" s="1098"/>
      <c r="EE657" s="1098"/>
      <c r="EF657" s="1098"/>
      <c r="EG657" s="1098"/>
      <c r="EH657" s="1098"/>
      <c r="EI657" s="1098"/>
      <c r="EJ657" s="1098"/>
      <c r="EK657" s="1098"/>
      <c r="EL657" s="1098"/>
      <c r="EM657" s="1098"/>
      <c r="EN657" s="1098"/>
      <c r="EO657" s="1098"/>
      <c r="EP657" s="1098"/>
      <c r="EQ657" s="1098"/>
      <c r="ER657" s="1098"/>
      <c r="ES657" s="1098"/>
      <c r="ET657" s="1098"/>
      <c r="EU657" s="1098"/>
      <c r="EV657" s="1098"/>
      <c r="EW657" s="1098"/>
      <c r="EX657" s="1098"/>
      <c r="EY657" s="1098"/>
      <c r="EZ657" s="1098"/>
      <c r="FA657" s="1098"/>
      <c r="FB657" s="1098"/>
      <c r="FC657" s="1098"/>
      <c r="FD657" s="1098"/>
      <c r="FE657" s="1098"/>
      <c r="FF657" s="1098"/>
      <c r="FG657" s="1098"/>
      <c r="FH657" s="1098"/>
      <c r="FI657" s="1098"/>
      <c r="FJ657" s="1098"/>
      <c r="FK657" s="1098"/>
      <c r="FL657" s="1098"/>
      <c r="FM657" s="1098"/>
      <c r="FN657" s="1098"/>
      <c r="FO657" s="1098"/>
      <c r="FP657" s="1098"/>
      <c r="FQ657" s="1098"/>
      <c r="FR657" s="1098"/>
      <c r="FS657" s="1098"/>
      <c r="FT657" s="1098"/>
      <c r="FU657" s="1098"/>
      <c r="FV657" s="1098"/>
      <c r="FW657" s="1098"/>
      <c r="FX657" s="1098"/>
      <c r="FY657" s="1098"/>
      <c r="FZ657" s="1098"/>
      <c r="GA657" s="1098"/>
      <c r="GB657" s="1098"/>
      <c r="GC657" s="1098"/>
      <c r="GD657" s="1098"/>
      <c r="GE657" s="1098"/>
      <c r="GF657" s="1098"/>
      <c r="GG657" s="1098"/>
      <c r="GH657" s="1098"/>
      <c r="GI657" s="1098"/>
      <c r="GJ657" s="1098"/>
      <c r="GK657" s="1098"/>
      <c r="GL657" s="1098"/>
      <c r="GM657" s="1098"/>
      <c r="GN657" s="1098"/>
      <c r="GO657" s="1098"/>
      <c r="GP657" s="1098"/>
      <c r="GQ657" s="1098"/>
      <c r="GR657" s="1098"/>
      <c r="GS657" s="1098"/>
      <c r="GT657" s="1098"/>
      <c r="GU657" s="1098"/>
      <c r="GV657" s="1098"/>
      <c r="GW657" s="1098"/>
      <c r="GX657" s="1098"/>
      <c r="GY657" s="1098"/>
      <c r="GZ657" s="1098"/>
      <c r="HA657" s="1098"/>
      <c r="HB657" s="1098"/>
      <c r="HC657" s="1098"/>
      <c r="HD657" s="1098"/>
      <c r="HE657" s="1098"/>
      <c r="HF657" s="1098"/>
      <c r="HG657" s="1098"/>
      <c r="HH657" s="1098"/>
      <c r="HI657" s="1098"/>
      <c r="HJ657" s="1098"/>
      <c r="HK657" s="1098"/>
      <c r="HL657" s="1098"/>
      <c r="HM657" s="1098"/>
      <c r="HN657" s="1098"/>
      <c r="HO657" s="1098"/>
      <c r="HP657" s="1098"/>
      <c r="HQ657" s="1098"/>
      <c r="HR657" s="1098"/>
      <c r="HS657" s="1098"/>
      <c r="HT657" s="1098"/>
      <c r="HU657" s="1098"/>
      <c r="HV657" s="1098"/>
      <c r="HW657" s="1098"/>
      <c r="HX657" s="1098"/>
      <c r="HY657" s="1098"/>
      <c r="HZ657" s="1098"/>
      <c r="IA657" s="1098"/>
      <c r="IB657" s="1098"/>
      <c r="IC657" s="1098"/>
      <c r="ID657" s="1098"/>
      <c r="IE657" s="1098"/>
      <c r="IF657" s="1098"/>
      <c r="IG657" s="1098"/>
      <c r="IH657" s="1098"/>
      <c r="II657" s="1098"/>
      <c r="IJ657" s="1098"/>
      <c r="IK657" s="1098"/>
      <c r="IL657" s="1098"/>
      <c r="IM657" s="1098"/>
      <c r="IN657" s="1098"/>
      <c r="IO657" s="1098"/>
      <c r="IP657" s="1098"/>
      <c r="IQ657" s="1098"/>
      <c r="IR657" s="1098"/>
      <c r="IS657" s="1098"/>
      <c r="IT657" s="1098"/>
      <c r="IU657" s="1098"/>
      <c r="IV657" s="1098"/>
      <c r="IW657" s="1098"/>
      <c r="IX657" s="1098"/>
      <c r="IY657" s="1098"/>
      <c r="IZ657" s="1098"/>
      <c r="JA657" s="1098"/>
      <c r="JB657" s="1098"/>
      <c r="JC657" s="1098"/>
      <c r="JD657" s="1098"/>
      <c r="JE657" s="1098"/>
      <c r="JF657" s="1098"/>
      <c r="JG657" s="1098"/>
      <c r="JH657" s="1098"/>
      <c r="JI657" s="1098"/>
      <c r="JJ657" s="1098"/>
      <c r="JK657" s="1098"/>
      <c r="JL657" s="1098"/>
      <c r="JM657" s="1098"/>
      <c r="JN657" s="1098"/>
      <c r="JO657" s="1098"/>
      <c r="JP657" s="1098"/>
      <c r="JQ657" s="1098"/>
      <c r="JR657" s="1098"/>
      <c r="JS657" s="1098"/>
      <c r="JT657" s="1098"/>
      <c r="JU657" s="1098"/>
      <c r="JV657" s="1098"/>
      <c r="JW657" s="1098"/>
      <c r="JX657" s="1098"/>
      <c r="JY657" s="1098"/>
      <c r="JZ657" s="1098"/>
      <c r="KA657" s="1098"/>
      <c r="KB657" s="1099"/>
    </row>
    <row r="658" spans="2:288" ht="15" customHeight="1" x14ac:dyDescent="0.35">
      <c r="B658" s="146" t="str">
        <f t="shared" si="54"/>
        <v>Desk 28</v>
      </c>
      <c r="C658" s="148" t="str">
        <v/>
      </c>
      <c r="D658" s="148" t="str">
        <v/>
      </c>
      <c r="E658" s="148" t="str">
        <v/>
      </c>
      <c r="F658" s="148" t="str">
        <v/>
      </c>
      <c r="G658" s="268" t="str">
        <v/>
      </c>
      <c r="H658" s="1098"/>
      <c r="I658" s="1098"/>
      <c r="J658" s="1098"/>
      <c r="K658" s="1098"/>
      <c r="L658" s="1098"/>
      <c r="M658" s="1098"/>
      <c r="N658" s="1098"/>
      <c r="O658" s="1098"/>
      <c r="P658" s="1098"/>
      <c r="Q658" s="1098"/>
      <c r="R658" s="1098"/>
      <c r="S658" s="1098"/>
      <c r="T658" s="1098"/>
      <c r="U658" s="1098"/>
      <c r="V658" s="1098"/>
      <c r="W658" s="1098"/>
      <c r="X658" s="1098"/>
      <c r="Y658" s="1098"/>
      <c r="Z658" s="1098"/>
      <c r="AA658" s="1098"/>
      <c r="AB658" s="1098"/>
      <c r="AC658" s="1098"/>
      <c r="AD658" s="1098"/>
      <c r="AE658" s="1098"/>
      <c r="AF658" s="1098"/>
      <c r="AG658" s="1098"/>
      <c r="AH658" s="1098"/>
      <c r="AI658" s="1098"/>
      <c r="AJ658" s="1098"/>
      <c r="AK658" s="1098"/>
      <c r="AL658" s="1098"/>
      <c r="AM658" s="1098"/>
      <c r="AN658" s="1098"/>
      <c r="AO658" s="1098"/>
      <c r="AP658" s="1098"/>
      <c r="AQ658" s="1098"/>
      <c r="AR658" s="1098"/>
      <c r="AS658" s="1098"/>
      <c r="AT658" s="1098"/>
      <c r="AU658" s="1098"/>
      <c r="AV658" s="1098"/>
      <c r="AW658" s="1098"/>
      <c r="AX658" s="1098"/>
      <c r="AY658" s="1098"/>
      <c r="AZ658" s="1098"/>
      <c r="BA658" s="1098"/>
      <c r="BB658" s="1098"/>
      <c r="BC658" s="1098"/>
      <c r="BD658" s="1098"/>
      <c r="BE658" s="1098"/>
      <c r="BF658" s="1098"/>
      <c r="BG658" s="1098"/>
      <c r="BH658" s="1098"/>
      <c r="BI658" s="1098"/>
      <c r="BJ658" s="1098"/>
      <c r="BK658" s="1098"/>
      <c r="BL658" s="1098"/>
      <c r="BM658" s="1098"/>
      <c r="BN658" s="1098"/>
      <c r="BO658" s="1098"/>
      <c r="BP658" s="1098"/>
      <c r="BQ658" s="1098"/>
      <c r="BR658" s="1098"/>
      <c r="BS658" s="1098"/>
      <c r="BT658" s="1098"/>
      <c r="BU658" s="1098"/>
      <c r="BV658" s="1098"/>
      <c r="BW658" s="1098"/>
      <c r="BX658" s="1098"/>
      <c r="BY658" s="1098"/>
      <c r="BZ658" s="1098"/>
      <c r="CA658" s="1098"/>
      <c r="CB658" s="1098"/>
      <c r="CC658" s="1098"/>
      <c r="CD658" s="1098"/>
      <c r="CE658" s="1098"/>
      <c r="CF658" s="1098"/>
      <c r="CG658" s="1098"/>
      <c r="CH658" s="1098"/>
      <c r="CI658" s="1098"/>
      <c r="CJ658" s="1098"/>
      <c r="CK658" s="1098"/>
      <c r="CL658" s="1098"/>
      <c r="CM658" s="1098"/>
      <c r="CN658" s="1098"/>
      <c r="CO658" s="1098"/>
      <c r="CP658" s="1098"/>
      <c r="CQ658" s="1098"/>
      <c r="CR658" s="1098"/>
      <c r="CS658" s="1098"/>
      <c r="CT658" s="1098"/>
      <c r="CU658" s="1098"/>
      <c r="CV658" s="1098"/>
      <c r="CW658" s="1098"/>
      <c r="CX658" s="1098"/>
      <c r="CY658" s="1098"/>
      <c r="CZ658" s="1098"/>
      <c r="DA658" s="1098"/>
      <c r="DB658" s="1098"/>
      <c r="DC658" s="1098"/>
      <c r="DD658" s="1098"/>
      <c r="DE658" s="1098"/>
      <c r="DF658" s="1098"/>
      <c r="DG658" s="1098"/>
      <c r="DH658" s="1098"/>
      <c r="DI658" s="1098"/>
      <c r="DJ658" s="1098"/>
      <c r="DK658" s="1098"/>
      <c r="DL658" s="1098"/>
      <c r="DM658" s="1098"/>
      <c r="DN658" s="1098"/>
      <c r="DO658" s="1098"/>
      <c r="DP658" s="1098"/>
      <c r="DQ658" s="1098"/>
      <c r="DR658" s="1098"/>
      <c r="DS658" s="1098"/>
      <c r="DT658" s="1098"/>
      <c r="DU658" s="1098"/>
      <c r="DV658" s="1098"/>
      <c r="DW658" s="1098"/>
      <c r="DX658" s="1098"/>
      <c r="DY658" s="1098"/>
      <c r="DZ658" s="1098"/>
      <c r="EA658" s="1098"/>
      <c r="EB658" s="1098"/>
      <c r="EC658" s="1098"/>
      <c r="ED658" s="1098"/>
      <c r="EE658" s="1098"/>
      <c r="EF658" s="1098"/>
      <c r="EG658" s="1098"/>
      <c r="EH658" s="1098"/>
      <c r="EI658" s="1098"/>
      <c r="EJ658" s="1098"/>
      <c r="EK658" s="1098"/>
      <c r="EL658" s="1098"/>
      <c r="EM658" s="1098"/>
      <c r="EN658" s="1098"/>
      <c r="EO658" s="1098"/>
      <c r="EP658" s="1098"/>
      <c r="EQ658" s="1098"/>
      <c r="ER658" s="1098"/>
      <c r="ES658" s="1098"/>
      <c r="ET658" s="1098"/>
      <c r="EU658" s="1098"/>
      <c r="EV658" s="1098"/>
      <c r="EW658" s="1098"/>
      <c r="EX658" s="1098"/>
      <c r="EY658" s="1098"/>
      <c r="EZ658" s="1098"/>
      <c r="FA658" s="1098"/>
      <c r="FB658" s="1098"/>
      <c r="FC658" s="1098"/>
      <c r="FD658" s="1098"/>
      <c r="FE658" s="1098"/>
      <c r="FF658" s="1098"/>
      <c r="FG658" s="1098"/>
      <c r="FH658" s="1098"/>
      <c r="FI658" s="1098"/>
      <c r="FJ658" s="1098"/>
      <c r="FK658" s="1098"/>
      <c r="FL658" s="1098"/>
      <c r="FM658" s="1098"/>
      <c r="FN658" s="1098"/>
      <c r="FO658" s="1098"/>
      <c r="FP658" s="1098"/>
      <c r="FQ658" s="1098"/>
      <c r="FR658" s="1098"/>
      <c r="FS658" s="1098"/>
      <c r="FT658" s="1098"/>
      <c r="FU658" s="1098"/>
      <c r="FV658" s="1098"/>
      <c r="FW658" s="1098"/>
      <c r="FX658" s="1098"/>
      <c r="FY658" s="1098"/>
      <c r="FZ658" s="1098"/>
      <c r="GA658" s="1098"/>
      <c r="GB658" s="1098"/>
      <c r="GC658" s="1098"/>
      <c r="GD658" s="1098"/>
      <c r="GE658" s="1098"/>
      <c r="GF658" s="1098"/>
      <c r="GG658" s="1098"/>
      <c r="GH658" s="1098"/>
      <c r="GI658" s="1098"/>
      <c r="GJ658" s="1098"/>
      <c r="GK658" s="1098"/>
      <c r="GL658" s="1098"/>
      <c r="GM658" s="1098"/>
      <c r="GN658" s="1098"/>
      <c r="GO658" s="1098"/>
      <c r="GP658" s="1098"/>
      <c r="GQ658" s="1098"/>
      <c r="GR658" s="1098"/>
      <c r="GS658" s="1098"/>
      <c r="GT658" s="1098"/>
      <c r="GU658" s="1098"/>
      <c r="GV658" s="1098"/>
      <c r="GW658" s="1098"/>
      <c r="GX658" s="1098"/>
      <c r="GY658" s="1098"/>
      <c r="GZ658" s="1098"/>
      <c r="HA658" s="1098"/>
      <c r="HB658" s="1098"/>
      <c r="HC658" s="1098"/>
      <c r="HD658" s="1098"/>
      <c r="HE658" s="1098"/>
      <c r="HF658" s="1098"/>
      <c r="HG658" s="1098"/>
      <c r="HH658" s="1098"/>
      <c r="HI658" s="1098"/>
      <c r="HJ658" s="1098"/>
      <c r="HK658" s="1098"/>
      <c r="HL658" s="1098"/>
      <c r="HM658" s="1098"/>
      <c r="HN658" s="1098"/>
      <c r="HO658" s="1098"/>
      <c r="HP658" s="1098"/>
      <c r="HQ658" s="1098"/>
      <c r="HR658" s="1098"/>
      <c r="HS658" s="1098"/>
      <c r="HT658" s="1098"/>
      <c r="HU658" s="1098"/>
      <c r="HV658" s="1098"/>
      <c r="HW658" s="1098"/>
      <c r="HX658" s="1098"/>
      <c r="HY658" s="1098"/>
      <c r="HZ658" s="1098"/>
      <c r="IA658" s="1098"/>
      <c r="IB658" s="1098"/>
      <c r="IC658" s="1098"/>
      <c r="ID658" s="1098"/>
      <c r="IE658" s="1098"/>
      <c r="IF658" s="1098"/>
      <c r="IG658" s="1098"/>
      <c r="IH658" s="1098"/>
      <c r="II658" s="1098"/>
      <c r="IJ658" s="1098"/>
      <c r="IK658" s="1098"/>
      <c r="IL658" s="1098"/>
      <c r="IM658" s="1098"/>
      <c r="IN658" s="1098"/>
      <c r="IO658" s="1098"/>
      <c r="IP658" s="1098"/>
      <c r="IQ658" s="1098"/>
      <c r="IR658" s="1098"/>
      <c r="IS658" s="1098"/>
      <c r="IT658" s="1098"/>
      <c r="IU658" s="1098"/>
      <c r="IV658" s="1098"/>
      <c r="IW658" s="1098"/>
      <c r="IX658" s="1098"/>
      <c r="IY658" s="1098"/>
      <c r="IZ658" s="1098"/>
      <c r="JA658" s="1098"/>
      <c r="JB658" s="1098"/>
      <c r="JC658" s="1098"/>
      <c r="JD658" s="1098"/>
      <c r="JE658" s="1098"/>
      <c r="JF658" s="1098"/>
      <c r="JG658" s="1098"/>
      <c r="JH658" s="1098"/>
      <c r="JI658" s="1098"/>
      <c r="JJ658" s="1098"/>
      <c r="JK658" s="1098"/>
      <c r="JL658" s="1098"/>
      <c r="JM658" s="1098"/>
      <c r="JN658" s="1098"/>
      <c r="JO658" s="1098"/>
      <c r="JP658" s="1098"/>
      <c r="JQ658" s="1098"/>
      <c r="JR658" s="1098"/>
      <c r="JS658" s="1098"/>
      <c r="JT658" s="1098"/>
      <c r="JU658" s="1098"/>
      <c r="JV658" s="1098"/>
      <c r="JW658" s="1098"/>
      <c r="JX658" s="1098"/>
      <c r="JY658" s="1098"/>
      <c r="JZ658" s="1098"/>
      <c r="KA658" s="1098"/>
      <c r="KB658" s="1099"/>
    </row>
    <row r="659" spans="2:288" ht="15" customHeight="1" x14ac:dyDescent="0.35">
      <c r="B659" s="146" t="str">
        <f t="shared" si="54"/>
        <v>Desk 29</v>
      </c>
      <c r="C659" s="148" t="str">
        <v/>
      </c>
      <c r="D659" s="148" t="str">
        <v/>
      </c>
      <c r="E659" s="148" t="str">
        <v/>
      </c>
      <c r="F659" s="148" t="str">
        <v/>
      </c>
      <c r="G659" s="268" t="str">
        <v/>
      </c>
      <c r="H659" s="1098"/>
      <c r="I659" s="1098"/>
      <c r="J659" s="1098"/>
      <c r="K659" s="1098"/>
      <c r="L659" s="1098"/>
      <c r="M659" s="1098"/>
      <c r="N659" s="1098"/>
      <c r="O659" s="1098"/>
      <c r="P659" s="1098"/>
      <c r="Q659" s="1098"/>
      <c r="R659" s="1098"/>
      <c r="S659" s="1098"/>
      <c r="T659" s="1098"/>
      <c r="U659" s="1098"/>
      <c r="V659" s="1098"/>
      <c r="W659" s="1098"/>
      <c r="X659" s="1098"/>
      <c r="Y659" s="1098"/>
      <c r="Z659" s="1098"/>
      <c r="AA659" s="1098"/>
      <c r="AB659" s="1098"/>
      <c r="AC659" s="1098"/>
      <c r="AD659" s="1098"/>
      <c r="AE659" s="1098"/>
      <c r="AF659" s="1098"/>
      <c r="AG659" s="1098"/>
      <c r="AH659" s="1098"/>
      <c r="AI659" s="1098"/>
      <c r="AJ659" s="1098"/>
      <c r="AK659" s="1098"/>
      <c r="AL659" s="1098"/>
      <c r="AM659" s="1098"/>
      <c r="AN659" s="1098"/>
      <c r="AO659" s="1098"/>
      <c r="AP659" s="1098"/>
      <c r="AQ659" s="1098"/>
      <c r="AR659" s="1098"/>
      <c r="AS659" s="1098"/>
      <c r="AT659" s="1098"/>
      <c r="AU659" s="1098"/>
      <c r="AV659" s="1098"/>
      <c r="AW659" s="1098"/>
      <c r="AX659" s="1098"/>
      <c r="AY659" s="1098"/>
      <c r="AZ659" s="1098"/>
      <c r="BA659" s="1098"/>
      <c r="BB659" s="1098"/>
      <c r="BC659" s="1098"/>
      <c r="BD659" s="1098"/>
      <c r="BE659" s="1098"/>
      <c r="BF659" s="1098"/>
      <c r="BG659" s="1098"/>
      <c r="BH659" s="1098"/>
      <c r="BI659" s="1098"/>
      <c r="BJ659" s="1098"/>
      <c r="BK659" s="1098"/>
      <c r="BL659" s="1098"/>
      <c r="BM659" s="1098"/>
      <c r="BN659" s="1098"/>
      <c r="BO659" s="1098"/>
      <c r="BP659" s="1098"/>
      <c r="BQ659" s="1098"/>
      <c r="BR659" s="1098"/>
      <c r="BS659" s="1098"/>
      <c r="BT659" s="1098"/>
      <c r="BU659" s="1098"/>
      <c r="BV659" s="1098"/>
      <c r="BW659" s="1098"/>
      <c r="BX659" s="1098"/>
      <c r="BY659" s="1098"/>
      <c r="BZ659" s="1098"/>
      <c r="CA659" s="1098"/>
      <c r="CB659" s="1098"/>
      <c r="CC659" s="1098"/>
      <c r="CD659" s="1098"/>
      <c r="CE659" s="1098"/>
      <c r="CF659" s="1098"/>
      <c r="CG659" s="1098"/>
      <c r="CH659" s="1098"/>
      <c r="CI659" s="1098"/>
      <c r="CJ659" s="1098"/>
      <c r="CK659" s="1098"/>
      <c r="CL659" s="1098"/>
      <c r="CM659" s="1098"/>
      <c r="CN659" s="1098"/>
      <c r="CO659" s="1098"/>
      <c r="CP659" s="1098"/>
      <c r="CQ659" s="1098"/>
      <c r="CR659" s="1098"/>
      <c r="CS659" s="1098"/>
      <c r="CT659" s="1098"/>
      <c r="CU659" s="1098"/>
      <c r="CV659" s="1098"/>
      <c r="CW659" s="1098"/>
      <c r="CX659" s="1098"/>
      <c r="CY659" s="1098"/>
      <c r="CZ659" s="1098"/>
      <c r="DA659" s="1098"/>
      <c r="DB659" s="1098"/>
      <c r="DC659" s="1098"/>
      <c r="DD659" s="1098"/>
      <c r="DE659" s="1098"/>
      <c r="DF659" s="1098"/>
      <c r="DG659" s="1098"/>
      <c r="DH659" s="1098"/>
      <c r="DI659" s="1098"/>
      <c r="DJ659" s="1098"/>
      <c r="DK659" s="1098"/>
      <c r="DL659" s="1098"/>
      <c r="DM659" s="1098"/>
      <c r="DN659" s="1098"/>
      <c r="DO659" s="1098"/>
      <c r="DP659" s="1098"/>
      <c r="DQ659" s="1098"/>
      <c r="DR659" s="1098"/>
      <c r="DS659" s="1098"/>
      <c r="DT659" s="1098"/>
      <c r="DU659" s="1098"/>
      <c r="DV659" s="1098"/>
      <c r="DW659" s="1098"/>
      <c r="DX659" s="1098"/>
      <c r="DY659" s="1098"/>
      <c r="DZ659" s="1098"/>
      <c r="EA659" s="1098"/>
      <c r="EB659" s="1098"/>
      <c r="EC659" s="1098"/>
      <c r="ED659" s="1098"/>
      <c r="EE659" s="1098"/>
      <c r="EF659" s="1098"/>
      <c r="EG659" s="1098"/>
      <c r="EH659" s="1098"/>
      <c r="EI659" s="1098"/>
      <c r="EJ659" s="1098"/>
      <c r="EK659" s="1098"/>
      <c r="EL659" s="1098"/>
      <c r="EM659" s="1098"/>
      <c r="EN659" s="1098"/>
      <c r="EO659" s="1098"/>
      <c r="EP659" s="1098"/>
      <c r="EQ659" s="1098"/>
      <c r="ER659" s="1098"/>
      <c r="ES659" s="1098"/>
      <c r="ET659" s="1098"/>
      <c r="EU659" s="1098"/>
      <c r="EV659" s="1098"/>
      <c r="EW659" s="1098"/>
      <c r="EX659" s="1098"/>
      <c r="EY659" s="1098"/>
      <c r="EZ659" s="1098"/>
      <c r="FA659" s="1098"/>
      <c r="FB659" s="1098"/>
      <c r="FC659" s="1098"/>
      <c r="FD659" s="1098"/>
      <c r="FE659" s="1098"/>
      <c r="FF659" s="1098"/>
      <c r="FG659" s="1098"/>
      <c r="FH659" s="1098"/>
      <c r="FI659" s="1098"/>
      <c r="FJ659" s="1098"/>
      <c r="FK659" s="1098"/>
      <c r="FL659" s="1098"/>
      <c r="FM659" s="1098"/>
      <c r="FN659" s="1098"/>
      <c r="FO659" s="1098"/>
      <c r="FP659" s="1098"/>
      <c r="FQ659" s="1098"/>
      <c r="FR659" s="1098"/>
      <c r="FS659" s="1098"/>
      <c r="FT659" s="1098"/>
      <c r="FU659" s="1098"/>
      <c r="FV659" s="1098"/>
      <c r="FW659" s="1098"/>
      <c r="FX659" s="1098"/>
      <c r="FY659" s="1098"/>
      <c r="FZ659" s="1098"/>
      <c r="GA659" s="1098"/>
      <c r="GB659" s="1098"/>
      <c r="GC659" s="1098"/>
      <c r="GD659" s="1098"/>
      <c r="GE659" s="1098"/>
      <c r="GF659" s="1098"/>
      <c r="GG659" s="1098"/>
      <c r="GH659" s="1098"/>
      <c r="GI659" s="1098"/>
      <c r="GJ659" s="1098"/>
      <c r="GK659" s="1098"/>
      <c r="GL659" s="1098"/>
      <c r="GM659" s="1098"/>
      <c r="GN659" s="1098"/>
      <c r="GO659" s="1098"/>
      <c r="GP659" s="1098"/>
      <c r="GQ659" s="1098"/>
      <c r="GR659" s="1098"/>
      <c r="GS659" s="1098"/>
      <c r="GT659" s="1098"/>
      <c r="GU659" s="1098"/>
      <c r="GV659" s="1098"/>
      <c r="GW659" s="1098"/>
      <c r="GX659" s="1098"/>
      <c r="GY659" s="1098"/>
      <c r="GZ659" s="1098"/>
      <c r="HA659" s="1098"/>
      <c r="HB659" s="1098"/>
      <c r="HC659" s="1098"/>
      <c r="HD659" s="1098"/>
      <c r="HE659" s="1098"/>
      <c r="HF659" s="1098"/>
      <c r="HG659" s="1098"/>
      <c r="HH659" s="1098"/>
      <c r="HI659" s="1098"/>
      <c r="HJ659" s="1098"/>
      <c r="HK659" s="1098"/>
      <c r="HL659" s="1098"/>
      <c r="HM659" s="1098"/>
      <c r="HN659" s="1098"/>
      <c r="HO659" s="1098"/>
      <c r="HP659" s="1098"/>
      <c r="HQ659" s="1098"/>
      <c r="HR659" s="1098"/>
      <c r="HS659" s="1098"/>
      <c r="HT659" s="1098"/>
      <c r="HU659" s="1098"/>
      <c r="HV659" s="1098"/>
      <c r="HW659" s="1098"/>
      <c r="HX659" s="1098"/>
      <c r="HY659" s="1098"/>
      <c r="HZ659" s="1098"/>
      <c r="IA659" s="1098"/>
      <c r="IB659" s="1098"/>
      <c r="IC659" s="1098"/>
      <c r="ID659" s="1098"/>
      <c r="IE659" s="1098"/>
      <c r="IF659" s="1098"/>
      <c r="IG659" s="1098"/>
      <c r="IH659" s="1098"/>
      <c r="II659" s="1098"/>
      <c r="IJ659" s="1098"/>
      <c r="IK659" s="1098"/>
      <c r="IL659" s="1098"/>
      <c r="IM659" s="1098"/>
      <c r="IN659" s="1098"/>
      <c r="IO659" s="1098"/>
      <c r="IP659" s="1098"/>
      <c r="IQ659" s="1098"/>
      <c r="IR659" s="1098"/>
      <c r="IS659" s="1098"/>
      <c r="IT659" s="1098"/>
      <c r="IU659" s="1098"/>
      <c r="IV659" s="1098"/>
      <c r="IW659" s="1098"/>
      <c r="IX659" s="1098"/>
      <c r="IY659" s="1098"/>
      <c r="IZ659" s="1098"/>
      <c r="JA659" s="1098"/>
      <c r="JB659" s="1098"/>
      <c r="JC659" s="1098"/>
      <c r="JD659" s="1098"/>
      <c r="JE659" s="1098"/>
      <c r="JF659" s="1098"/>
      <c r="JG659" s="1098"/>
      <c r="JH659" s="1098"/>
      <c r="JI659" s="1098"/>
      <c r="JJ659" s="1098"/>
      <c r="JK659" s="1098"/>
      <c r="JL659" s="1098"/>
      <c r="JM659" s="1098"/>
      <c r="JN659" s="1098"/>
      <c r="JO659" s="1098"/>
      <c r="JP659" s="1098"/>
      <c r="JQ659" s="1098"/>
      <c r="JR659" s="1098"/>
      <c r="JS659" s="1098"/>
      <c r="JT659" s="1098"/>
      <c r="JU659" s="1098"/>
      <c r="JV659" s="1098"/>
      <c r="JW659" s="1098"/>
      <c r="JX659" s="1098"/>
      <c r="JY659" s="1098"/>
      <c r="JZ659" s="1098"/>
      <c r="KA659" s="1098"/>
      <c r="KB659" s="1099"/>
    </row>
    <row r="660" spans="2:288" ht="15" customHeight="1" x14ac:dyDescent="0.35">
      <c r="B660" s="146" t="str">
        <f t="shared" si="54"/>
        <v>Desk 30</v>
      </c>
      <c r="C660" s="148" t="str">
        <v/>
      </c>
      <c r="D660" s="148" t="str">
        <v/>
      </c>
      <c r="E660" s="148" t="str">
        <v/>
      </c>
      <c r="F660" s="148" t="str">
        <v/>
      </c>
      <c r="G660" s="268" t="str">
        <v/>
      </c>
      <c r="H660" s="1098"/>
      <c r="I660" s="1098"/>
      <c r="J660" s="1098"/>
      <c r="K660" s="1098"/>
      <c r="L660" s="1098"/>
      <c r="M660" s="1098"/>
      <c r="N660" s="1098"/>
      <c r="O660" s="1098"/>
      <c r="P660" s="1098"/>
      <c r="Q660" s="1098"/>
      <c r="R660" s="1098"/>
      <c r="S660" s="1098"/>
      <c r="T660" s="1098"/>
      <c r="U660" s="1098"/>
      <c r="V660" s="1098"/>
      <c r="W660" s="1098"/>
      <c r="X660" s="1098"/>
      <c r="Y660" s="1098"/>
      <c r="Z660" s="1098"/>
      <c r="AA660" s="1098"/>
      <c r="AB660" s="1098"/>
      <c r="AC660" s="1098"/>
      <c r="AD660" s="1098"/>
      <c r="AE660" s="1098"/>
      <c r="AF660" s="1098"/>
      <c r="AG660" s="1098"/>
      <c r="AH660" s="1098"/>
      <c r="AI660" s="1098"/>
      <c r="AJ660" s="1098"/>
      <c r="AK660" s="1098"/>
      <c r="AL660" s="1098"/>
      <c r="AM660" s="1098"/>
      <c r="AN660" s="1098"/>
      <c r="AO660" s="1098"/>
      <c r="AP660" s="1098"/>
      <c r="AQ660" s="1098"/>
      <c r="AR660" s="1098"/>
      <c r="AS660" s="1098"/>
      <c r="AT660" s="1098"/>
      <c r="AU660" s="1098"/>
      <c r="AV660" s="1098"/>
      <c r="AW660" s="1098"/>
      <c r="AX660" s="1098"/>
      <c r="AY660" s="1098"/>
      <c r="AZ660" s="1098"/>
      <c r="BA660" s="1098"/>
      <c r="BB660" s="1098"/>
      <c r="BC660" s="1098"/>
      <c r="BD660" s="1098"/>
      <c r="BE660" s="1098"/>
      <c r="BF660" s="1098"/>
      <c r="BG660" s="1098"/>
      <c r="BH660" s="1098"/>
      <c r="BI660" s="1098"/>
      <c r="BJ660" s="1098"/>
      <c r="BK660" s="1098"/>
      <c r="BL660" s="1098"/>
      <c r="BM660" s="1098"/>
      <c r="BN660" s="1098"/>
      <c r="BO660" s="1098"/>
      <c r="BP660" s="1098"/>
      <c r="BQ660" s="1098"/>
      <c r="BR660" s="1098"/>
      <c r="BS660" s="1098"/>
      <c r="BT660" s="1098"/>
      <c r="BU660" s="1098"/>
      <c r="BV660" s="1098"/>
      <c r="BW660" s="1098"/>
      <c r="BX660" s="1098"/>
      <c r="BY660" s="1098"/>
      <c r="BZ660" s="1098"/>
      <c r="CA660" s="1098"/>
      <c r="CB660" s="1098"/>
      <c r="CC660" s="1098"/>
      <c r="CD660" s="1098"/>
      <c r="CE660" s="1098"/>
      <c r="CF660" s="1098"/>
      <c r="CG660" s="1098"/>
      <c r="CH660" s="1098"/>
      <c r="CI660" s="1098"/>
      <c r="CJ660" s="1098"/>
      <c r="CK660" s="1098"/>
      <c r="CL660" s="1098"/>
      <c r="CM660" s="1098"/>
      <c r="CN660" s="1098"/>
      <c r="CO660" s="1098"/>
      <c r="CP660" s="1098"/>
      <c r="CQ660" s="1098"/>
      <c r="CR660" s="1098"/>
      <c r="CS660" s="1098"/>
      <c r="CT660" s="1098"/>
      <c r="CU660" s="1098"/>
      <c r="CV660" s="1098"/>
      <c r="CW660" s="1098"/>
      <c r="CX660" s="1098"/>
      <c r="CY660" s="1098"/>
      <c r="CZ660" s="1098"/>
      <c r="DA660" s="1098"/>
      <c r="DB660" s="1098"/>
      <c r="DC660" s="1098"/>
      <c r="DD660" s="1098"/>
      <c r="DE660" s="1098"/>
      <c r="DF660" s="1098"/>
      <c r="DG660" s="1098"/>
      <c r="DH660" s="1098"/>
      <c r="DI660" s="1098"/>
      <c r="DJ660" s="1098"/>
      <c r="DK660" s="1098"/>
      <c r="DL660" s="1098"/>
      <c r="DM660" s="1098"/>
      <c r="DN660" s="1098"/>
      <c r="DO660" s="1098"/>
      <c r="DP660" s="1098"/>
      <c r="DQ660" s="1098"/>
      <c r="DR660" s="1098"/>
      <c r="DS660" s="1098"/>
      <c r="DT660" s="1098"/>
      <c r="DU660" s="1098"/>
      <c r="DV660" s="1098"/>
      <c r="DW660" s="1098"/>
      <c r="DX660" s="1098"/>
      <c r="DY660" s="1098"/>
      <c r="DZ660" s="1098"/>
      <c r="EA660" s="1098"/>
      <c r="EB660" s="1098"/>
      <c r="EC660" s="1098"/>
      <c r="ED660" s="1098"/>
      <c r="EE660" s="1098"/>
      <c r="EF660" s="1098"/>
      <c r="EG660" s="1098"/>
      <c r="EH660" s="1098"/>
      <c r="EI660" s="1098"/>
      <c r="EJ660" s="1098"/>
      <c r="EK660" s="1098"/>
      <c r="EL660" s="1098"/>
      <c r="EM660" s="1098"/>
      <c r="EN660" s="1098"/>
      <c r="EO660" s="1098"/>
      <c r="EP660" s="1098"/>
      <c r="EQ660" s="1098"/>
      <c r="ER660" s="1098"/>
      <c r="ES660" s="1098"/>
      <c r="ET660" s="1098"/>
      <c r="EU660" s="1098"/>
      <c r="EV660" s="1098"/>
      <c r="EW660" s="1098"/>
      <c r="EX660" s="1098"/>
      <c r="EY660" s="1098"/>
      <c r="EZ660" s="1098"/>
      <c r="FA660" s="1098"/>
      <c r="FB660" s="1098"/>
      <c r="FC660" s="1098"/>
      <c r="FD660" s="1098"/>
      <c r="FE660" s="1098"/>
      <c r="FF660" s="1098"/>
      <c r="FG660" s="1098"/>
      <c r="FH660" s="1098"/>
      <c r="FI660" s="1098"/>
      <c r="FJ660" s="1098"/>
      <c r="FK660" s="1098"/>
      <c r="FL660" s="1098"/>
      <c r="FM660" s="1098"/>
      <c r="FN660" s="1098"/>
      <c r="FO660" s="1098"/>
      <c r="FP660" s="1098"/>
      <c r="FQ660" s="1098"/>
      <c r="FR660" s="1098"/>
      <c r="FS660" s="1098"/>
      <c r="FT660" s="1098"/>
      <c r="FU660" s="1098"/>
      <c r="FV660" s="1098"/>
      <c r="FW660" s="1098"/>
      <c r="FX660" s="1098"/>
      <c r="FY660" s="1098"/>
      <c r="FZ660" s="1098"/>
      <c r="GA660" s="1098"/>
      <c r="GB660" s="1098"/>
      <c r="GC660" s="1098"/>
      <c r="GD660" s="1098"/>
      <c r="GE660" s="1098"/>
      <c r="GF660" s="1098"/>
      <c r="GG660" s="1098"/>
      <c r="GH660" s="1098"/>
      <c r="GI660" s="1098"/>
      <c r="GJ660" s="1098"/>
      <c r="GK660" s="1098"/>
      <c r="GL660" s="1098"/>
      <c r="GM660" s="1098"/>
      <c r="GN660" s="1098"/>
      <c r="GO660" s="1098"/>
      <c r="GP660" s="1098"/>
      <c r="GQ660" s="1098"/>
      <c r="GR660" s="1098"/>
      <c r="GS660" s="1098"/>
      <c r="GT660" s="1098"/>
      <c r="GU660" s="1098"/>
      <c r="GV660" s="1098"/>
      <c r="GW660" s="1098"/>
      <c r="GX660" s="1098"/>
      <c r="GY660" s="1098"/>
      <c r="GZ660" s="1098"/>
      <c r="HA660" s="1098"/>
      <c r="HB660" s="1098"/>
      <c r="HC660" s="1098"/>
      <c r="HD660" s="1098"/>
      <c r="HE660" s="1098"/>
      <c r="HF660" s="1098"/>
      <c r="HG660" s="1098"/>
      <c r="HH660" s="1098"/>
      <c r="HI660" s="1098"/>
      <c r="HJ660" s="1098"/>
      <c r="HK660" s="1098"/>
      <c r="HL660" s="1098"/>
      <c r="HM660" s="1098"/>
      <c r="HN660" s="1098"/>
      <c r="HO660" s="1098"/>
      <c r="HP660" s="1098"/>
      <c r="HQ660" s="1098"/>
      <c r="HR660" s="1098"/>
      <c r="HS660" s="1098"/>
      <c r="HT660" s="1098"/>
      <c r="HU660" s="1098"/>
      <c r="HV660" s="1098"/>
      <c r="HW660" s="1098"/>
      <c r="HX660" s="1098"/>
      <c r="HY660" s="1098"/>
      <c r="HZ660" s="1098"/>
      <c r="IA660" s="1098"/>
      <c r="IB660" s="1098"/>
      <c r="IC660" s="1098"/>
      <c r="ID660" s="1098"/>
      <c r="IE660" s="1098"/>
      <c r="IF660" s="1098"/>
      <c r="IG660" s="1098"/>
      <c r="IH660" s="1098"/>
      <c r="II660" s="1098"/>
      <c r="IJ660" s="1098"/>
      <c r="IK660" s="1098"/>
      <c r="IL660" s="1098"/>
      <c r="IM660" s="1098"/>
      <c r="IN660" s="1098"/>
      <c r="IO660" s="1098"/>
      <c r="IP660" s="1098"/>
      <c r="IQ660" s="1098"/>
      <c r="IR660" s="1098"/>
      <c r="IS660" s="1098"/>
      <c r="IT660" s="1098"/>
      <c r="IU660" s="1098"/>
      <c r="IV660" s="1098"/>
      <c r="IW660" s="1098"/>
      <c r="IX660" s="1098"/>
      <c r="IY660" s="1098"/>
      <c r="IZ660" s="1098"/>
      <c r="JA660" s="1098"/>
      <c r="JB660" s="1098"/>
      <c r="JC660" s="1098"/>
      <c r="JD660" s="1098"/>
      <c r="JE660" s="1098"/>
      <c r="JF660" s="1098"/>
      <c r="JG660" s="1098"/>
      <c r="JH660" s="1098"/>
      <c r="JI660" s="1098"/>
      <c r="JJ660" s="1098"/>
      <c r="JK660" s="1098"/>
      <c r="JL660" s="1098"/>
      <c r="JM660" s="1098"/>
      <c r="JN660" s="1098"/>
      <c r="JO660" s="1098"/>
      <c r="JP660" s="1098"/>
      <c r="JQ660" s="1098"/>
      <c r="JR660" s="1098"/>
      <c r="JS660" s="1098"/>
      <c r="JT660" s="1098"/>
      <c r="JU660" s="1098"/>
      <c r="JV660" s="1098"/>
      <c r="JW660" s="1098"/>
      <c r="JX660" s="1098"/>
      <c r="JY660" s="1098"/>
      <c r="JZ660" s="1098"/>
      <c r="KA660" s="1098"/>
      <c r="KB660" s="1099"/>
    </row>
    <row r="661" spans="2:288" ht="15" customHeight="1" x14ac:dyDescent="0.35">
      <c r="B661" s="146" t="str">
        <f t="shared" si="54"/>
        <v>Desk 31</v>
      </c>
      <c r="C661" s="148" t="str">
        <v/>
      </c>
      <c r="D661" s="148" t="str">
        <v/>
      </c>
      <c r="E661" s="148" t="str">
        <v/>
      </c>
      <c r="F661" s="148" t="str">
        <v/>
      </c>
      <c r="G661" s="268" t="str">
        <v/>
      </c>
      <c r="H661" s="1098"/>
      <c r="I661" s="1098"/>
      <c r="J661" s="1098"/>
      <c r="K661" s="1098"/>
      <c r="L661" s="1098"/>
      <c r="M661" s="1098"/>
      <c r="N661" s="1098"/>
      <c r="O661" s="1098"/>
      <c r="P661" s="1098"/>
      <c r="Q661" s="1098"/>
      <c r="R661" s="1098"/>
      <c r="S661" s="1098"/>
      <c r="T661" s="1098"/>
      <c r="U661" s="1098"/>
      <c r="V661" s="1098"/>
      <c r="W661" s="1098"/>
      <c r="X661" s="1098"/>
      <c r="Y661" s="1098"/>
      <c r="Z661" s="1098"/>
      <c r="AA661" s="1098"/>
      <c r="AB661" s="1098"/>
      <c r="AC661" s="1098"/>
      <c r="AD661" s="1098"/>
      <c r="AE661" s="1098"/>
      <c r="AF661" s="1098"/>
      <c r="AG661" s="1098"/>
      <c r="AH661" s="1098"/>
      <c r="AI661" s="1098"/>
      <c r="AJ661" s="1098"/>
      <c r="AK661" s="1098"/>
      <c r="AL661" s="1098"/>
      <c r="AM661" s="1098"/>
      <c r="AN661" s="1098"/>
      <c r="AO661" s="1098"/>
      <c r="AP661" s="1098"/>
      <c r="AQ661" s="1098"/>
      <c r="AR661" s="1098"/>
      <c r="AS661" s="1098"/>
      <c r="AT661" s="1098"/>
      <c r="AU661" s="1098"/>
      <c r="AV661" s="1098"/>
      <c r="AW661" s="1098"/>
      <c r="AX661" s="1098"/>
      <c r="AY661" s="1098"/>
      <c r="AZ661" s="1098"/>
      <c r="BA661" s="1098"/>
      <c r="BB661" s="1098"/>
      <c r="BC661" s="1098"/>
      <c r="BD661" s="1098"/>
      <c r="BE661" s="1098"/>
      <c r="BF661" s="1098"/>
      <c r="BG661" s="1098"/>
      <c r="BH661" s="1098"/>
      <c r="BI661" s="1098"/>
      <c r="BJ661" s="1098"/>
      <c r="BK661" s="1098"/>
      <c r="BL661" s="1098"/>
      <c r="BM661" s="1098"/>
      <c r="BN661" s="1098"/>
      <c r="BO661" s="1098"/>
      <c r="BP661" s="1098"/>
      <c r="BQ661" s="1098"/>
      <c r="BR661" s="1098"/>
      <c r="BS661" s="1098"/>
      <c r="BT661" s="1098"/>
      <c r="BU661" s="1098"/>
      <c r="BV661" s="1098"/>
      <c r="BW661" s="1098"/>
      <c r="BX661" s="1098"/>
      <c r="BY661" s="1098"/>
      <c r="BZ661" s="1098"/>
      <c r="CA661" s="1098"/>
      <c r="CB661" s="1098"/>
      <c r="CC661" s="1098"/>
      <c r="CD661" s="1098"/>
      <c r="CE661" s="1098"/>
      <c r="CF661" s="1098"/>
      <c r="CG661" s="1098"/>
      <c r="CH661" s="1098"/>
      <c r="CI661" s="1098"/>
      <c r="CJ661" s="1098"/>
      <c r="CK661" s="1098"/>
      <c r="CL661" s="1098"/>
      <c r="CM661" s="1098"/>
      <c r="CN661" s="1098"/>
      <c r="CO661" s="1098"/>
      <c r="CP661" s="1098"/>
      <c r="CQ661" s="1098"/>
      <c r="CR661" s="1098"/>
      <c r="CS661" s="1098"/>
      <c r="CT661" s="1098"/>
      <c r="CU661" s="1098"/>
      <c r="CV661" s="1098"/>
      <c r="CW661" s="1098"/>
      <c r="CX661" s="1098"/>
      <c r="CY661" s="1098"/>
      <c r="CZ661" s="1098"/>
      <c r="DA661" s="1098"/>
      <c r="DB661" s="1098"/>
      <c r="DC661" s="1098"/>
      <c r="DD661" s="1098"/>
      <c r="DE661" s="1098"/>
      <c r="DF661" s="1098"/>
      <c r="DG661" s="1098"/>
      <c r="DH661" s="1098"/>
      <c r="DI661" s="1098"/>
      <c r="DJ661" s="1098"/>
      <c r="DK661" s="1098"/>
      <c r="DL661" s="1098"/>
      <c r="DM661" s="1098"/>
      <c r="DN661" s="1098"/>
      <c r="DO661" s="1098"/>
      <c r="DP661" s="1098"/>
      <c r="DQ661" s="1098"/>
      <c r="DR661" s="1098"/>
      <c r="DS661" s="1098"/>
      <c r="DT661" s="1098"/>
      <c r="DU661" s="1098"/>
      <c r="DV661" s="1098"/>
      <c r="DW661" s="1098"/>
      <c r="DX661" s="1098"/>
      <c r="DY661" s="1098"/>
      <c r="DZ661" s="1098"/>
      <c r="EA661" s="1098"/>
      <c r="EB661" s="1098"/>
      <c r="EC661" s="1098"/>
      <c r="ED661" s="1098"/>
      <c r="EE661" s="1098"/>
      <c r="EF661" s="1098"/>
      <c r="EG661" s="1098"/>
      <c r="EH661" s="1098"/>
      <c r="EI661" s="1098"/>
      <c r="EJ661" s="1098"/>
      <c r="EK661" s="1098"/>
      <c r="EL661" s="1098"/>
      <c r="EM661" s="1098"/>
      <c r="EN661" s="1098"/>
      <c r="EO661" s="1098"/>
      <c r="EP661" s="1098"/>
      <c r="EQ661" s="1098"/>
      <c r="ER661" s="1098"/>
      <c r="ES661" s="1098"/>
      <c r="ET661" s="1098"/>
      <c r="EU661" s="1098"/>
      <c r="EV661" s="1098"/>
      <c r="EW661" s="1098"/>
      <c r="EX661" s="1098"/>
      <c r="EY661" s="1098"/>
      <c r="EZ661" s="1098"/>
      <c r="FA661" s="1098"/>
      <c r="FB661" s="1098"/>
      <c r="FC661" s="1098"/>
      <c r="FD661" s="1098"/>
      <c r="FE661" s="1098"/>
      <c r="FF661" s="1098"/>
      <c r="FG661" s="1098"/>
      <c r="FH661" s="1098"/>
      <c r="FI661" s="1098"/>
      <c r="FJ661" s="1098"/>
      <c r="FK661" s="1098"/>
      <c r="FL661" s="1098"/>
      <c r="FM661" s="1098"/>
      <c r="FN661" s="1098"/>
      <c r="FO661" s="1098"/>
      <c r="FP661" s="1098"/>
      <c r="FQ661" s="1098"/>
      <c r="FR661" s="1098"/>
      <c r="FS661" s="1098"/>
      <c r="FT661" s="1098"/>
      <c r="FU661" s="1098"/>
      <c r="FV661" s="1098"/>
      <c r="FW661" s="1098"/>
      <c r="FX661" s="1098"/>
      <c r="FY661" s="1098"/>
      <c r="FZ661" s="1098"/>
      <c r="GA661" s="1098"/>
      <c r="GB661" s="1098"/>
      <c r="GC661" s="1098"/>
      <c r="GD661" s="1098"/>
      <c r="GE661" s="1098"/>
      <c r="GF661" s="1098"/>
      <c r="GG661" s="1098"/>
      <c r="GH661" s="1098"/>
      <c r="GI661" s="1098"/>
      <c r="GJ661" s="1098"/>
      <c r="GK661" s="1098"/>
      <c r="GL661" s="1098"/>
      <c r="GM661" s="1098"/>
      <c r="GN661" s="1098"/>
      <c r="GO661" s="1098"/>
      <c r="GP661" s="1098"/>
      <c r="GQ661" s="1098"/>
      <c r="GR661" s="1098"/>
      <c r="GS661" s="1098"/>
      <c r="GT661" s="1098"/>
      <c r="GU661" s="1098"/>
      <c r="GV661" s="1098"/>
      <c r="GW661" s="1098"/>
      <c r="GX661" s="1098"/>
      <c r="GY661" s="1098"/>
      <c r="GZ661" s="1098"/>
      <c r="HA661" s="1098"/>
      <c r="HB661" s="1098"/>
      <c r="HC661" s="1098"/>
      <c r="HD661" s="1098"/>
      <c r="HE661" s="1098"/>
      <c r="HF661" s="1098"/>
      <c r="HG661" s="1098"/>
      <c r="HH661" s="1098"/>
      <c r="HI661" s="1098"/>
      <c r="HJ661" s="1098"/>
      <c r="HK661" s="1098"/>
      <c r="HL661" s="1098"/>
      <c r="HM661" s="1098"/>
      <c r="HN661" s="1098"/>
      <c r="HO661" s="1098"/>
      <c r="HP661" s="1098"/>
      <c r="HQ661" s="1098"/>
      <c r="HR661" s="1098"/>
      <c r="HS661" s="1098"/>
      <c r="HT661" s="1098"/>
      <c r="HU661" s="1098"/>
      <c r="HV661" s="1098"/>
      <c r="HW661" s="1098"/>
      <c r="HX661" s="1098"/>
      <c r="HY661" s="1098"/>
      <c r="HZ661" s="1098"/>
      <c r="IA661" s="1098"/>
      <c r="IB661" s="1098"/>
      <c r="IC661" s="1098"/>
      <c r="ID661" s="1098"/>
      <c r="IE661" s="1098"/>
      <c r="IF661" s="1098"/>
      <c r="IG661" s="1098"/>
      <c r="IH661" s="1098"/>
      <c r="II661" s="1098"/>
      <c r="IJ661" s="1098"/>
      <c r="IK661" s="1098"/>
      <c r="IL661" s="1098"/>
      <c r="IM661" s="1098"/>
      <c r="IN661" s="1098"/>
      <c r="IO661" s="1098"/>
      <c r="IP661" s="1098"/>
      <c r="IQ661" s="1098"/>
      <c r="IR661" s="1098"/>
      <c r="IS661" s="1098"/>
      <c r="IT661" s="1098"/>
      <c r="IU661" s="1098"/>
      <c r="IV661" s="1098"/>
      <c r="IW661" s="1098"/>
      <c r="IX661" s="1098"/>
      <c r="IY661" s="1098"/>
      <c r="IZ661" s="1098"/>
      <c r="JA661" s="1098"/>
      <c r="JB661" s="1098"/>
      <c r="JC661" s="1098"/>
      <c r="JD661" s="1098"/>
      <c r="JE661" s="1098"/>
      <c r="JF661" s="1098"/>
      <c r="JG661" s="1098"/>
      <c r="JH661" s="1098"/>
      <c r="JI661" s="1098"/>
      <c r="JJ661" s="1098"/>
      <c r="JK661" s="1098"/>
      <c r="JL661" s="1098"/>
      <c r="JM661" s="1098"/>
      <c r="JN661" s="1098"/>
      <c r="JO661" s="1098"/>
      <c r="JP661" s="1098"/>
      <c r="JQ661" s="1098"/>
      <c r="JR661" s="1098"/>
      <c r="JS661" s="1098"/>
      <c r="JT661" s="1098"/>
      <c r="JU661" s="1098"/>
      <c r="JV661" s="1098"/>
      <c r="JW661" s="1098"/>
      <c r="JX661" s="1098"/>
      <c r="JY661" s="1098"/>
      <c r="JZ661" s="1098"/>
      <c r="KA661" s="1098"/>
      <c r="KB661" s="1099"/>
    </row>
    <row r="662" spans="2:288" ht="15" customHeight="1" x14ac:dyDescent="0.35">
      <c r="B662" s="146" t="str">
        <f t="shared" si="54"/>
        <v>Desk 32</v>
      </c>
      <c r="C662" s="148" t="str">
        <v/>
      </c>
      <c r="D662" s="148" t="str">
        <v/>
      </c>
      <c r="E662" s="148" t="str">
        <v/>
      </c>
      <c r="F662" s="148" t="str">
        <v/>
      </c>
      <c r="G662" s="268" t="str">
        <v/>
      </c>
      <c r="H662" s="1098"/>
      <c r="I662" s="1098"/>
      <c r="J662" s="1098"/>
      <c r="K662" s="1098"/>
      <c r="L662" s="1098"/>
      <c r="M662" s="1098"/>
      <c r="N662" s="1098"/>
      <c r="O662" s="1098"/>
      <c r="P662" s="1098"/>
      <c r="Q662" s="1098"/>
      <c r="R662" s="1098"/>
      <c r="S662" s="1098"/>
      <c r="T662" s="1098"/>
      <c r="U662" s="1098"/>
      <c r="V662" s="1098"/>
      <c r="W662" s="1098"/>
      <c r="X662" s="1098"/>
      <c r="Y662" s="1098"/>
      <c r="Z662" s="1098"/>
      <c r="AA662" s="1098"/>
      <c r="AB662" s="1098"/>
      <c r="AC662" s="1098"/>
      <c r="AD662" s="1098"/>
      <c r="AE662" s="1098"/>
      <c r="AF662" s="1098"/>
      <c r="AG662" s="1098"/>
      <c r="AH662" s="1098"/>
      <c r="AI662" s="1098"/>
      <c r="AJ662" s="1098"/>
      <c r="AK662" s="1098"/>
      <c r="AL662" s="1098"/>
      <c r="AM662" s="1098"/>
      <c r="AN662" s="1098"/>
      <c r="AO662" s="1098"/>
      <c r="AP662" s="1098"/>
      <c r="AQ662" s="1098"/>
      <c r="AR662" s="1098"/>
      <c r="AS662" s="1098"/>
      <c r="AT662" s="1098"/>
      <c r="AU662" s="1098"/>
      <c r="AV662" s="1098"/>
      <c r="AW662" s="1098"/>
      <c r="AX662" s="1098"/>
      <c r="AY662" s="1098"/>
      <c r="AZ662" s="1098"/>
      <c r="BA662" s="1098"/>
      <c r="BB662" s="1098"/>
      <c r="BC662" s="1098"/>
      <c r="BD662" s="1098"/>
      <c r="BE662" s="1098"/>
      <c r="BF662" s="1098"/>
      <c r="BG662" s="1098"/>
      <c r="BH662" s="1098"/>
      <c r="BI662" s="1098"/>
      <c r="BJ662" s="1098"/>
      <c r="BK662" s="1098"/>
      <c r="BL662" s="1098"/>
      <c r="BM662" s="1098"/>
      <c r="BN662" s="1098"/>
      <c r="BO662" s="1098"/>
      <c r="BP662" s="1098"/>
      <c r="BQ662" s="1098"/>
      <c r="BR662" s="1098"/>
      <c r="BS662" s="1098"/>
      <c r="BT662" s="1098"/>
      <c r="BU662" s="1098"/>
      <c r="BV662" s="1098"/>
      <c r="BW662" s="1098"/>
      <c r="BX662" s="1098"/>
      <c r="BY662" s="1098"/>
      <c r="BZ662" s="1098"/>
      <c r="CA662" s="1098"/>
      <c r="CB662" s="1098"/>
      <c r="CC662" s="1098"/>
      <c r="CD662" s="1098"/>
      <c r="CE662" s="1098"/>
      <c r="CF662" s="1098"/>
      <c r="CG662" s="1098"/>
      <c r="CH662" s="1098"/>
      <c r="CI662" s="1098"/>
      <c r="CJ662" s="1098"/>
      <c r="CK662" s="1098"/>
      <c r="CL662" s="1098"/>
      <c r="CM662" s="1098"/>
      <c r="CN662" s="1098"/>
      <c r="CO662" s="1098"/>
      <c r="CP662" s="1098"/>
      <c r="CQ662" s="1098"/>
      <c r="CR662" s="1098"/>
      <c r="CS662" s="1098"/>
      <c r="CT662" s="1098"/>
      <c r="CU662" s="1098"/>
      <c r="CV662" s="1098"/>
      <c r="CW662" s="1098"/>
      <c r="CX662" s="1098"/>
      <c r="CY662" s="1098"/>
      <c r="CZ662" s="1098"/>
      <c r="DA662" s="1098"/>
      <c r="DB662" s="1098"/>
      <c r="DC662" s="1098"/>
      <c r="DD662" s="1098"/>
      <c r="DE662" s="1098"/>
      <c r="DF662" s="1098"/>
      <c r="DG662" s="1098"/>
      <c r="DH662" s="1098"/>
      <c r="DI662" s="1098"/>
      <c r="DJ662" s="1098"/>
      <c r="DK662" s="1098"/>
      <c r="DL662" s="1098"/>
      <c r="DM662" s="1098"/>
      <c r="DN662" s="1098"/>
      <c r="DO662" s="1098"/>
      <c r="DP662" s="1098"/>
      <c r="DQ662" s="1098"/>
      <c r="DR662" s="1098"/>
      <c r="DS662" s="1098"/>
      <c r="DT662" s="1098"/>
      <c r="DU662" s="1098"/>
      <c r="DV662" s="1098"/>
      <c r="DW662" s="1098"/>
      <c r="DX662" s="1098"/>
      <c r="DY662" s="1098"/>
      <c r="DZ662" s="1098"/>
      <c r="EA662" s="1098"/>
      <c r="EB662" s="1098"/>
      <c r="EC662" s="1098"/>
      <c r="ED662" s="1098"/>
      <c r="EE662" s="1098"/>
      <c r="EF662" s="1098"/>
      <c r="EG662" s="1098"/>
      <c r="EH662" s="1098"/>
      <c r="EI662" s="1098"/>
      <c r="EJ662" s="1098"/>
      <c r="EK662" s="1098"/>
      <c r="EL662" s="1098"/>
      <c r="EM662" s="1098"/>
      <c r="EN662" s="1098"/>
      <c r="EO662" s="1098"/>
      <c r="EP662" s="1098"/>
      <c r="EQ662" s="1098"/>
      <c r="ER662" s="1098"/>
      <c r="ES662" s="1098"/>
      <c r="ET662" s="1098"/>
      <c r="EU662" s="1098"/>
      <c r="EV662" s="1098"/>
      <c r="EW662" s="1098"/>
      <c r="EX662" s="1098"/>
      <c r="EY662" s="1098"/>
      <c r="EZ662" s="1098"/>
      <c r="FA662" s="1098"/>
      <c r="FB662" s="1098"/>
      <c r="FC662" s="1098"/>
      <c r="FD662" s="1098"/>
      <c r="FE662" s="1098"/>
      <c r="FF662" s="1098"/>
      <c r="FG662" s="1098"/>
      <c r="FH662" s="1098"/>
      <c r="FI662" s="1098"/>
      <c r="FJ662" s="1098"/>
      <c r="FK662" s="1098"/>
      <c r="FL662" s="1098"/>
      <c r="FM662" s="1098"/>
      <c r="FN662" s="1098"/>
      <c r="FO662" s="1098"/>
      <c r="FP662" s="1098"/>
      <c r="FQ662" s="1098"/>
      <c r="FR662" s="1098"/>
      <c r="FS662" s="1098"/>
      <c r="FT662" s="1098"/>
      <c r="FU662" s="1098"/>
      <c r="FV662" s="1098"/>
      <c r="FW662" s="1098"/>
      <c r="FX662" s="1098"/>
      <c r="FY662" s="1098"/>
      <c r="FZ662" s="1098"/>
      <c r="GA662" s="1098"/>
      <c r="GB662" s="1098"/>
      <c r="GC662" s="1098"/>
      <c r="GD662" s="1098"/>
      <c r="GE662" s="1098"/>
      <c r="GF662" s="1098"/>
      <c r="GG662" s="1098"/>
      <c r="GH662" s="1098"/>
      <c r="GI662" s="1098"/>
      <c r="GJ662" s="1098"/>
      <c r="GK662" s="1098"/>
      <c r="GL662" s="1098"/>
      <c r="GM662" s="1098"/>
      <c r="GN662" s="1098"/>
      <c r="GO662" s="1098"/>
      <c r="GP662" s="1098"/>
      <c r="GQ662" s="1098"/>
      <c r="GR662" s="1098"/>
      <c r="GS662" s="1098"/>
      <c r="GT662" s="1098"/>
      <c r="GU662" s="1098"/>
      <c r="GV662" s="1098"/>
      <c r="GW662" s="1098"/>
      <c r="GX662" s="1098"/>
      <c r="GY662" s="1098"/>
      <c r="GZ662" s="1098"/>
      <c r="HA662" s="1098"/>
      <c r="HB662" s="1098"/>
      <c r="HC662" s="1098"/>
      <c r="HD662" s="1098"/>
      <c r="HE662" s="1098"/>
      <c r="HF662" s="1098"/>
      <c r="HG662" s="1098"/>
      <c r="HH662" s="1098"/>
      <c r="HI662" s="1098"/>
      <c r="HJ662" s="1098"/>
      <c r="HK662" s="1098"/>
      <c r="HL662" s="1098"/>
      <c r="HM662" s="1098"/>
      <c r="HN662" s="1098"/>
      <c r="HO662" s="1098"/>
      <c r="HP662" s="1098"/>
      <c r="HQ662" s="1098"/>
      <c r="HR662" s="1098"/>
      <c r="HS662" s="1098"/>
      <c r="HT662" s="1098"/>
      <c r="HU662" s="1098"/>
      <c r="HV662" s="1098"/>
      <c r="HW662" s="1098"/>
      <c r="HX662" s="1098"/>
      <c r="HY662" s="1098"/>
      <c r="HZ662" s="1098"/>
      <c r="IA662" s="1098"/>
      <c r="IB662" s="1098"/>
      <c r="IC662" s="1098"/>
      <c r="ID662" s="1098"/>
      <c r="IE662" s="1098"/>
      <c r="IF662" s="1098"/>
      <c r="IG662" s="1098"/>
      <c r="IH662" s="1098"/>
      <c r="II662" s="1098"/>
      <c r="IJ662" s="1098"/>
      <c r="IK662" s="1098"/>
      <c r="IL662" s="1098"/>
      <c r="IM662" s="1098"/>
      <c r="IN662" s="1098"/>
      <c r="IO662" s="1098"/>
      <c r="IP662" s="1098"/>
      <c r="IQ662" s="1098"/>
      <c r="IR662" s="1098"/>
      <c r="IS662" s="1098"/>
      <c r="IT662" s="1098"/>
      <c r="IU662" s="1098"/>
      <c r="IV662" s="1098"/>
      <c r="IW662" s="1098"/>
      <c r="IX662" s="1098"/>
      <c r="IY662" s="1098"/>
      <c r="IZ662" s="1098"/>
      <c r="JA662" s="1098"/>
      <c r="JB662" s="1098"/>
      <c r="JC662" s="1098"/>
      <c r="JD662" s="1098"/>
      <c r="JE662" s="1098"/>
      <c r="JF662" s="1098"/>
      <c r="JG662" s="1098"/>
      <c r="JH662" s="1098"/>
      <c r="JI662" s="1098"/>
      <c r="JJ662" s="1098"/>
      <c r="JK662" s="1098"/>
      <c r="JL662" s="1098"/>
      <c r="JM662" s="1098"/>
      <c r="JN662" s="1098"/>
      <c r="JO662" s="1098"/>
      <c r="JP662" s="1098"/>
      <c r="JQ662" s="1098"/>
      <c r="JR662" s="1098"/>
      <c r="JS662" s="1098"/>
      <c r="JT662" s="1098"/>
      <c r="JU662" s="1098"/>
      <c r="JV662" s="1098"/>
      <c r="JW662" s="1098"/>
      <c r="JX662" s="1098"/>
      <c r="JY662" s="1098"/>
      <c r="JZ662" s="1098"/>
      <c r="KA662" s="1098"/>
      <c r="KB662" s="1099"/>
    </row>
    <row r="663" spans="2:288" ht="15" customHeight="1" x14ac:dyDescent="0.35">
      <c r="B663" s="146" t="str">
        <f t="shared" ref="B663:B694" si="55">B43</f>
        <v>Desk 33</v>
      </c>
      <c r="C663" s="148" t="str">
        <v/>
      </c>
      <c r="D663" s="148" t="str">
        <v/>
      </c>
      <c r="E663" s="148" t="str">
        <v/>
      </c>
      <c r="F663" s="148" t="str">
        <v/>
      </c>
      <c r="G663" s="268" t="str">
        <v/>
      </c>
      <c r="H663" s="1098"/>
      <c r="I663" s="1098"/>
      <c r="J663" s="1098"/>
      <c r="K663" s="1098"/>
      <c r="L663" s="1098"/>
      <c r="M663" s="1098"/>
      <c r="N663" s="1098"/>
      <c r="O663" s="1098"/>
      <c r="P663" s="1098"/>
      <c r="Q663" s="1098"/>
      <c r="R663" s="1098"/>
      <c r="S663" s="1098"/>
      <c r="T663" s="1098"/>
      <c r="U663" s="1098"/>
      <c r="V663" s="1098"/>
      <c r="W663" s="1098"/>
      <c r="X663" s="1098"/>
      <c r="Y663" s="1098"/>
      <c r="Z663" s="1098"/>
      <c r="AA663" s="1098"/>
      <c r="AB663" s="1098"/>
      <c r="AC663" s="1098"/>
      <c r="AD663" s="1098"/>
      <c r="AE663" s="1098"/>
      <c r="AF663" s="1098"/>
      <c r="AG663" s="1098"/>
      <c r="AH663" s="1098"/>
      <c r="AI663" s="1098"/>
      <c r="AJ663" s="1098"/>
      <c r="AK663" s="1098"/>
      <c r="AL663" s="1098"/>
      <c r="AM663" s="1098"/>
      <c r="AN663" s="1098"/>
      <c r="AO663" s="1098"/>
      <c r="AP663" s="1098"/>
      <c r="AQ663" s="1098"/>
      <c r="AR663" s="1098"/>
      <c r="AS663" s="1098"/>
      <c r="AT663" s="1098"/>
      <c r="AU663" s="1098"/>
      <c r="AV663" s="1098"/>
      <c r="AW663" s="1098"/>
      <c r="AX663" s="1098"/>
      <c r="AY663" s="1098"/>
      <c r="AZ663" s="1098"/>
      <c r="BA663" s="1098"/>
      <c r="BB663" s="1098"/>
      <c r="BC663" s="1098"/>
      <c r="BD663" s="1098"/>
      <c r="BE663" s="1098"/>
      <c r="BF663" s="1098"/>
      <c r="BG663" s="1098"/>
      <c r="BH663" s="1098"/>
      <c r="BI663" s="1098"/>
      <c r="BJ663" s="1098"/>
      <c r="BK663" s="1098"/>
      <c r="BL663" s="1098"/>
      <c r="BM663" s="1098"/>
      <c r="BN663" s="1098"/>
      <c r="BO663" s="1098"/>
      <c r="BP663" s="1098"/>
      <c r="BQ663" s="1098"/>
      <c r="BR663" s="1098"/>
      <c r="BS663" s="1098"/>
      <c r="BT663" s="1098"/>
      <c r="BU663" s="1098"/>
      <c r="BV663" s="1098"/>
      <c r="BW663" s="1098"/>
      <c r="BX663" s="1098"/>
      <c r="BY663" s="1098"/>
      <c r="BZ663" s="1098"/>
      <c r="CA663" s="1098"/>
      <c r="CB663" s="1098"/>
      <c r="CC663" s="1098"/>
      <c r="CD663" s="1098"/>
      <c r="CE663" s="1098"/>
      <c r="CF663" s="1098"/>
      <c r="CG663" s="1098"/>
      <c r="CH663" s="1098"/>
      <c r="CI663" s="1098"/>
      <c r="CJ663" s="1098"/>
      <c r="CK663" s="1098"/>
      <c r="CL663" s="1098"/>
      <c r="CM663" s="1098"/>
      <c r="CN663" s="1098"/>
      <c r="CO663" s="1098"/>
      <c r="CP663" s="1098"/>
      <c r="CQ663" s="1098"/>
      <c r="CR663" s="1098"/>
      <c r="CS663" s="1098"/>
      <c r="CT663" s="1098"/>
      <c r="CU663" s="1098"/>
      <c r="CV663" s="1098"/>
      <c r="CW663" s="1098"/>
      <c r="CX663" s="1098"/>
      <c r="CY663" s="1098"/>
      <c r="CZ663" s="1098"/>
      <c r="DA663" s="1098"/>
      <c r="DB663" s="1098"/>
      <c r="DC663" s="1098"/>
      <c r="DD663" s="1098"/>
      <c r="DE663" s="1098"/>
      <c r="DF663" s="1098"/>
      <c r="DG663" s="1098"/>
      <c r="DH663" s="1098"/>
      <c r="DI663" s="1098"/>
      <c r="DJ663" s="1098"/>
      <c r="DK663" s="1098"/>
      <c r="DL663" s="1098"/>
      <c r="DM663" s="1098"/>
      <c r="DN663" s="1098"/>
      <c r="DO663" s="1098"/>
      <c r="DP663" s="1098"/>
      <c r="DQ663" s="1098"/>
      <c r="DR663" s="1098"/>
      <c r="DS663" s="1098"/>
      <c r="DT663" s="1098"/>
      <c r="DU663" s="1098"/>
      <c r="DV663" s="1098"/>
      <c r="DW663" s="1098"/>
      <c r="DX663" s="1098"/>
      <c r="DY663" s="1098"/>
      <c r="DZ663" s="1098"/>
      <c r="EA663" s="1098"/>
      <c r="EB663" s="1098"/>
      <c r="EC663" s="1098"/>
      <c r="ED663" s="1098"/>
      <c r="EE663" s="1098"/>
      <c r="EF663" s="1098"/>
      <c r="EG663" s="1098"/>
      <c r="EH663" s="1098"/>
      <c r="EI663" s="1098"/>
      <c r="EJ663" s="1098"/>
      <c r="EK663" s="1098"/>
      <c r="EL663" s="1098"/>
      <c r="EM663" s="1098"/>
      <c r="EN663" s="1098"/>
      <c r="EO663" s="1098"/>
      <c r="EP663" s="1098"/>
      <c r="EQ663" s="1098"/>
      <c r="ER663" s="1098"/>
      <c r="ES663" s="1098"/>
      <c r="ET663" s="1098"/>
      <c r="EU663" s="1098"/>
      <c r="EV663" s="1098"/>
      <c r="EW663" s="1098"/>
      <c r="EX663" s="1098"/>
      <c r="EY663" s="1098"/>
      <c r="EZ663" s="1098"/>
      <c r="FA663" s="1098"/>
      <c r="FB663" s="1098"/>
      <c r="FC663" s="1098"/>
      <c r="FD663" s="1098"/>
      <c r="FE663" s="1098"/>
      <c r="FF663" s="1098"/>
      <c r="FG663" s="1098"/>
      <c r="FH663" s="1098"/>
      <c r="FI663" s="1098"/>
      <c r="FJ663" s="1098"/>
      <c r="FK663" s="1098"/>
      <c r="FL663" s="1098"/>
      <c r="FM663" s="1098"/>
      <c r="FN663" s="1098"/>
      <c r="FO663" s="1098"/>
      <c r="FP663" s="1098"/>
      <c r="FQ663" s="1098"/>
      <c r="FR663" s="1098"/>
      <c r="FS663" s="1098"/>
      <c r="FT663" s="1098"/>
      <c r="FU663" s="1098"/>
      <c r="FV663" s="1098"/>
      <c r="FW663" s="1098"/>
      <c r="FX663" s="1098"/>
      <c r="FY663" s="1098"/>
      <c r="FZ663" s="1098"/>
      <c r="GA663" s="1098"/>
      <c r="GB663" s="1098"/>
      <c r="GC663" s="1098"/>
      <c r="GD663" s="1098"/>
      <c r="GE663" s="1098"/>
      <c r="GF663" s="1098"/>
      <c r="GG663" s="1098"/>
      <c r="GH663" s="1098"/>
      <c r="GI663" s="1098"/>
      <c r="GJ663" s="1098"/>
      <c r="GK663" s="1098"/>
      <c r="GL663" s="1098"/>
      <c r="GM663" s="1098"/>
      <c r="GN663" s="1098"/>
      <c r="GO663" s="1098"/>
      <c r="GP663" s="1098"/>
      <c r="GQ663" s="1098"/>
      <c r="GR663" s="1098"/>
      <c r="GS663" s="1098"/>
      <c r="GT663" s="1098"/>
      <c r="GU663" s="1098"/>
      <c r="GV663" s="1098"/>
      <c r="GW663" s="1098"/>
      <c r="GX663" s="1098"/>
      <c r="GY663" s="1098"/>
      <c r="GZ663" s="1098"/>
      <c r="HA663" s="1098"/>
      <c r="HB663" s="1098"/>
      <c r="HC663" s="1098"/>
      <c r="HD663" s="1098"/>
      <c r="HE663" s="1098"/>
      <c r="HF663" s="1098"/>
      <c r="HG663" s="1098"/>
      <c r="HH663" s="1098"/>
      <c r="HI663" s="1098"/>
      <c r="HJ663" s="1098"/>
      <c r="HK663" s="1098"/>
      <c r="HL663" s="1098"/>
      <c r="HM663" s="1098"/>
      <c r="HN663" s="1098"/>
      <c r="HO663" s="1098"/>
      <c r="HP663" s="1098"/>
      <c r="HQ663" s="1098"/>
      <c r="HR663" s="1098"/>
      <c r="HS663" s="1098"/>
      <c r="HT663" s="1098"/>
      <c r="HU663" s="1098"/>
      <c r="HV663" s="1098"/>
      <c r="HW663" s="1098"/>
      <c r="HX663" s="1098"/>
      <c r="HY663" s="1098"/>
      <c r="HZ663" s="1098"/>
      <c r="IA663" s="1098"/>
      <c r="IB663" s="1098"/>
      <c r="IC663" s="1098"/>
      <c r="ID663" s="1098"/>
      <c r="IE663" s="1098"/>
      <c r="IF663" s="1098"/>
      <c r="IG663" s="1098"/>
      <c r="IH663" s="1098"/>
      <c r="II663" s="1098"/>
      <c r="IJ663" s="1098"/>
      <c r="IK663" s="1098"/>
      <c r="IL663" s="1098"/>
      <c r="IM663" s="1098"/>
      <c r="IN663" s="1098"/>
      <c r="IO663" s="1098"/>
      <c r="IP663" s="1098"/>
      <c r="IQ663" s="1098"/>
      <c r="IR663" s="1098"/>
      <c r="IS663" s="1098"/>
      <c r="IT663" s="1098"/>
      <c r="IU663" s="1098"/>
      <c r="IV663" s="1098"/>
      <c r="IW663" s="1098"/>
      <c r="IX663" s="1098"/>
      <c r="IY663" s="1098"/>
      <c r="IZ663" s="1098"/>
      <c r="JA663" s="1098"/>
      <c r="JB663" s="1098"/>
      <c r="JC663" s="1098"/>
      <c r="JD663" s="1098"/>
      <c r="JE663" s="1098"/>
      <c r="JF663" s="1098"/>
      <c r="JG663" s="1098"/>
      <c r="JH663" s="1098"/>
      <c r="JI663" s="1098"/>
      <c r="JJ663" s="1098"/>
      <c r="JK663" s="1098"/>
      <c r="JL663" s="1098"/>
      <c r="JM663" s="1098"/>
      <c r="JN663" s="1098"/>
      <c r="JO663" s="1098"/>
      <c r="JP663" s="1098"/>
      <c r="JQ663" s="1098"/>
      <c r="JR663" s="1098"/>
      <c r="JS663" s="1098"/>
      <c r="JT663" s="1098"/>
      <c r="JU663" s="1098"/>
      <c r="JV663" s="1098"/>
      <c r="JW663" s="1098"/>
      <c r="JX663" s="1098"/>
      <c r="JY663" s="1098"/>
      <c r="JZ663" s="1098"/>
      <c r="KA663" s="1098"/>
      <c r="KB663" s="1099"/>
    </row>
    <row r="664" spans="2:288" ht="15" customHeight="1" x14ac:dyDescent="0.35">
      <c r="B664" s="146" t="str">
        <f t="shared" si="55"/>
        <v>Desk 34</v>
      </c>
      <c r="C664" s="148" t="str">
        <v/>
      </c>
      <c r="D664" s="148" t="str">
        <v/>
      </c>
      <c r="E664" s="148" t="str">
        <v/>
      </c>
      <c r="F664" s="148" t="str">
        <v/>
      </c>
      <c r="G664" s="268" t="str">
        <v/>
      </c>
      <c r="H664" s="1098"/>
      <c r="I664" s="1098"/>
      <c r="J664" s="1098"/>
      <c r="K664" s="1098"/>
      <c r="L664" s="1098"/>
      <c r="M664" s="1098"/>
      <c r="N664" s="1098"/>
      <c r="O664" s="1098"/>
      <c r="P664" s="1098"/>
      <c r="Q664" s="1098"/>
      <c r="R664" s="1098"/>
      <c r="S664" s="1098"/>
      <c r="T664" s="1098"/>
      <c r="U664" s="1098"/>
      <c r="V664" s="1098"/>
      <c r="W664" s="1098"/>
      <c r="X664" s="1098"/>
      <c r="Y664" s="1098"/>
      <c r="Z664" s="1098"/>
      <c r="AA664" s="1098"/>
      <c r="AB664" s="1098"/>
      <c r="AC664" s="1098"/>
      <c r="AD664" s="1098"/>
      <c r="AE664" s="1098"/>
      <c r="AF664" s="1098"/>
      <c r="AG664" s="1098"/>
      <c r="AH664" s="1098"/>
      <c r="AI664" s="1098"/>
      <c r="AJ664" s="1098"/>
      <c r="AK664" s="1098"/>
      <c r="AL664" s="1098"/>
      <c r="AM664" s="1098"/>
      <c r="AN664" s="1098"/>
      <c r="AO664" s="1098"/>
      <c r="AP664" s="1098"/>
      <c r="AQ664" s="1098"/>
      <c r="AR664" s="1098"/>
      <c r="AS664" s="1098"/>
      <c r="AT664" s="1098"/>
      <c r="AU664" s="1098"/>
      <c r="AV664" s="1098"/>
      <c r="AW664" s="1098"/>
      <c r="AX664" s="1098"/>
      <c r="AY664" s="1098"/>
      <c r="AZ664" s="1098"/>
      <c r="BA664" s="1098"/>
      <c r="BB664" s="1098"/>
      <c r="BC664" s="1098"/>
      <c r="BD664" s="1098"/>
      <c r="BE664" s="1098"/>
      <c r="BF664" s="1098"/>
      <c r="BG664" s="1098"/>
      <c r="BH664" s="1098"/>
      <c r="BI664" s="1098"/>
      <c r="BJ664" s="1098"/>
      <c r="BK664" s="1098"/>
      <c r="BL664" s="1098"/>
      <c r="BM664" s="1098"/>
      <c r="BN664" s="1098"/>
      <c r="BO664" s="1098"/>
      <c r="BP664" s="1098"/>
      <c r="BQ664" s="1098"/>
      <c r="BR664" s="1098"/>
      <c r="BS664" s="1098"/>
      <c r="BT664" s="1098"/>
      <c r="BU664" s="1098"/>
      <c r="BV664" s="1098"/>
      <c r="BW664" s="1098"/>
      <c r="BX664" s="1098"/>
      <c r="BY664" s="1098"/>
      <c r="BZ664" s="1098"/>
      <c r="CA664" s="1098"/>
      <c r="CB664" s="1098"/>
      <c r="CC664" s="1098"/>
      <c r="CD664" s="1098"/>
      <c r="CE664" s="1098"/>
      <c r="CF664" s="1098"/>
      <c r="CG664" s="1098"/>
      <c r="CH664" s="1098"/>
      <c r="CI664" s="1098"/>
      <c r="CJ664" s="1098"/>
      <c r="CK664" s="1098"/>
      <c r="CL664" s="1098"/>
      <c r="CM664" s="1098"/>
      <c r="CN664" s="1098"/>
      <c r="CO664" s="1098"/>
      <c r="CP664" s="1098"/>
      <c r="CQ664" s="1098"/>
      <c r="CR664" s="1098"/>
      <c r="CS664" s="1098"/>
      <c r="CT664" s="1098"/>
      <c r="CU664" s="1098"/>
      <c r="CV664" s="1098"/>
      <c r="CW664" s="1098"/>
      <c r="CX664" s="1098"/>
      <c r="CY664" s="1098"/>
      <c r="CZ664" s="1098"/>
      <c r="DA664" s="1098"/>
      <c r="DB664" s="1098"/>
      <c r="DC664" s="1098"/>
      <c r="DD664" s="1098"/>
      <c r="DE664" s="1098"/>
      <c r="DF664" s="1098"/>
      <c r="DG664" s="1098"/>
      <c r="DH664" s="1098"/>
      <c r="DI664" s="1098"/>
      <c r="DJ664" s="1098"/>
      <c r="DK664" s="1098"/>
      <c r="DL664" s="1098"/>
      <c r="DM664" s="1098"/>
      <c r="DN664" s="1098"/>
      <c r="DO664" s="1098"/>
      <c r="DP664" s="1098"/>
      <c r="DQ664" s="1098"/>
      <c r="DR664" s="1098"/>
      <c r="DS664" s="1098"/>
      <c r="DT664" s="1098"/>
      <c r="DU664" s="1098"/>
      <c r="DV664" s="1098"/>
      <c r="DW664" s="1098"/>
      <c r="DX664" s="1098"/>
      <c r="DY664" s="1098"/>
      <c r="DZ664" s="1098"/>
      <c r="EA664" s="1098"/>
      <c r="EB664" s="1098"/>
      <c r="EC664" s="1098"/>
      <c r="ED664" s="1098"/>
      <c r="EE664" s="1098"/>
      <c r="EF664" s="1098"/>
      <c r="EG664" s="1098"/>
      <c r="EH664" s="1098"/>
      <c r="EI664" s="1098"/>
      <c r="EJ664" s="1098"/>
      <c r="EK664" s="1098"/>
      <c r="EL664" s="1098"/>
      <c r="EM664" s="1098"/>
      <c r="EN664" s="1098"/>
      <c r="EO664" s="1098"/>
      <c r="EP664" s="1098"/>
      <c r="EQ664" s="1098"/>
      <c r="ER664" s="1098"/>
      <c r="ES664" s="1098"/>
      <c r="ET664" s="1098"/>
      <c r="EU664" s="1098"/>
      <c r="EV664" s="1098"/>
      <c r="EW664" s="1098"/>
      <c r="EX664" s="1098"/>
      <c r="EY664" s="1098"/>
      <c r="EZ664" s="1098"/>
      <c r="FA664" s="1098"/>
      <c r="FB664" s="1098"/>
      <c r="FC664" s="1098"/>
      <c r="FD664" s="1098"/>
      <c r="FE664" s="1098"/>
      <c r="FF664" s="1098"/>
      <c r="FG664" s="1098"/>
      <c r="FH664" s="1098"/>
      <c r="FI664" s="1098"/>
      <c r="FJ664" s="1098"/>
      <c r="FK664" s="1098"/>
      <c r="FL664" s="1098"/>
      <c r="FM664" s="1098"/>
      <c r="FN664" s="1098"/>
      <c r="FO664" s="1098"/>
      <c r="FP664" s="1098"/>
      <c r="FQ664" s="1098"/>
      <c r="FR664" s="1098"/>
      <c r="FS664" s="1098"/>
      <c r="FT664" s="1098"/>
      <c r="FU664" s="1098"/>
      <c r="FV664" s="1098"/>
      <c r="FW664" s="1098"/>
      <c r="FX664" s="1098"/>
      <c r="FY664" s="1098"/>
      <c r="FZ664" s="1098"/>
      <c r="GA664" s="1098"/>
      <c r="GB664" s="1098"/>
      <c r="GC664" s="1098"/>
      <c r="GD664" s="1098"/>
      <c r="GE664" s="1098"/>
      <c r="GF664" s="1098"/>
      <c r="GG664" s="1098"/>
      <c r="GH664" s="1098"/>
      <c r="GI664" s="1098"/>
      <c r="GJ664" s="1098"/>
      <c r="GK664" s="1098"/>
      <c r="GL664" s="1098"/>
      <c r="GM664" s="1098"/>
      <c r="GN664" s="1098"/>
      <c r="GO664" s="1098"/>
      <c r="GP664" s="1098"/>
      <c r="GQ664" s="1098"/>
      <c r="GR664" s="1098"/>
      <c r="GS664" s="1098"/>
      <c r="GT664" s="1098"/>
      <c r="GU664" s="1098"/>
      <c r="GV664" s="1098"/>
      <c r="GW664" s="1098"/>
      <c r="GX664" s="1098"/>
      <c r="GY664" s="1098"/>
      <c r="GZ664" s="1098"/>
      <c r="HA664" s="1098"/>
      <c r="HB664" s="1098"/>
      <c r="HC664" s="1098"/>
      <c r="HD664" s="1098"/>
      <c r="HE664" s="1098"/>
      <c r="HF664" s="1098"/>
      <c r="HG664" s="1098"/>
      <c r="HH664" s="1098"/>
      <c r="HI664" s="1098"/>
      <c r="HJ664" s="1098"/>
      <c r="HK664" s="1098"/>
      <c r="HL664" s="1098"/>
      <c r="HM664" s="1098"/>
      <c r="HN664" s="1098"/>
      <c r="HO664" s="1098"/>
      <c r="HP664" s="1098"/>
      <c r="HQ664" s="1098"/>
      <c r="HR664" s="1098"/>
      <c r="HS664" s="1098"/>
      <c r="HT664" s="1098"/>
      <c r="HU664" s="1098"/>
      <c r="HV664" s="1098"/>
      <c r="HW664" s="1098"/>
      <c r="HX664" s="1098"/>
      <c r="HY664" s="1098"/>
      <c r="HZ664" s="1098"/>
      <c r="IA664" s="1098"/>
      <c r="IB664" s="1098"/>
      <c r="IC664" s="1098"/>
      <c r="ID664" s="1098"/>
      <c r="IE664" s="1098"/>
      <c r="IF664" s="1098"/>
      <c r="IG664" s="1098"/>
      <c r="IH664" s="1098"/>
      <c r="II664" s="1098"/>
      <c r="IJ664" s="1098"/>
      <c r="IK664" s="1098"/>
      <c r="IL664" s="1098"/>
      <c r="IM664" s="1098"/>
      <c r="IN664" s="1098"/>
      <c r="IO664" s="1098"/>
      <c r="IP664" s="1098"/>
      <c r="IQ664" s="1098"/>
      <c r="IR664" s="1098"/>
      <c r="IS664" s="1098"/>
      <c r="IT664" s="1098"/>
      <c r="IU664" s="1098"/>
      <c r="IV664" s="1098"/>
      <c r="IW664" s="1098"/>
      <c r="IX664" s="1098"/>
      <c r="IY664" s="1098"/>
      <c r="IZ664" s="1098"/>
      <c r="JA664" s="1098"/>
      <c r="JB664" s="1098"/>
      <c r="JC664" s="1098"/>
      <c r="JD664" s="1098"/>
      <c r="JE664" s="1098"/>
      <c r="JF664" s="1098"/>
      <c r="JG664" s="1098"/>
      <c r="JH664" s="1098"/>
      <c r="JI664" s="1098"/>
      <c r="JJ664" s="1098"/>
      <c r="JK664" s="1098"/>
      <c r="JL664" s="1098"/>
      <c r="JM664" s="1098"/>
      <c r="JN664" s="1098"/>
      <c r="JO664" s="1098"/>
      <c r="JP664" s="1098"/>
      <c r="JQ664" s="1098"/>
      <c r="JR664" s="1098"/>
      <c r="JS664" s="1098"/>
      <c r="JT664" s="1098"/>
      <c r="JU664" s="1098"/>
      <c r="JV664" s="1098"/>
      <c r="JW664" s="1098"/>
      <c r="JX664" s="1098"/>
      <c r="JY664" s="1098"/>
      <c r="JZ664" s="1098"/>
      <c r="KA664" s="1098"/>
      <c r="KB664" s="1099"/>
    </row>
    <row r="665" spans="2:288" ht="15" customHeight="1" x14ac:dyDescent="0.35">
      <c r="B665" s="146" t="str">
        <f t="shared" si="55"/>
        <v>Desk 35</v>
      </c>
      <c r="C665" s="148" t="str">
        <v/>
      </c>
      <c r="D665" s="148" t="str">
        <v/>
      </c>
      <c r="E665" s="148" t="str">
        <v/>
      </c>
      <c r="F665" s="148" t="str">
        <v/>
      </c>
      <c r="G665" s="268" t="str">
        <v/>
      </c>
      <c r="H665" s="1098"/>
      <c r="I665" s="1098"/>
      <c r="J665" s="1098"/>
      <c r="K665" s="1098"/>
      <c r="L665" s="1098"/>
      <c r="M665" s="1098"/>
      <c r="N665" s="1098"/>
      <c r="O665" s="1098"/>
      <c r="P665" s="1098"/>
      <c r="Q665" s="1098"/>
      <c r="R665" s="1098"/>
      <c r="S665" s="1098"/>
      <c r="T665" s="1098"/>
      <c r="U665" s="1098"/>
      <c r="V665" s="1098"/>
      <c r="W665" s="1098"/>
      <c r="X665" s="1098"/>
      <c r="Y665" s="1098"/>
      <c r="Z665" s="1098"/>
      <c r="AA665" s="1098"/>
      <c r="AB665" s="1098"/>
      <c r="AC665" s="1098"/>
      <c r="AD665" s="1098"/>
      <c r="AE665" s="1098"/>
      <c r="AF665" s="1098"/>
      <c r="AG665" s="1098"/>
      <c r="AH665" s="1098"/>
      <c r="AI665" s="1098"/>
      <c r="AJ665" s="1098"/>
      <c r="AK665" s="1098"/>
      <c r="AL665" s="1098"/>
      <c r="AM665" s="1098"/>
      <c r="AN665" s="1098"/>
      <c r="AO665" s="1098"/>
      <c r="AP665" s="1098"/>
      <c r="AQ665" s="1098"/>
      <c r="AR665" s="1098"/>
      <c r="AS665" s="1098"/>
      <c r="AT665" s="1098"/>
      <c r="AU665" s="1098"/>
      <c r="AV665" s="1098"/>
      <c r="AW665" s="1098"/>
      <c r="AX665" s="1098"/>
      <c r="AY665" s="1098"/>
      <c r="AZ665" s="1098"/>
      <c r="BA665" s="1098"/>
      <c r="BB665" s="1098"/>
      <c r="BC665" s="1098"/>
      <c r="BD665" s="1098"/>
      <c r="BE665" s="1098"/>
      <c r="BF665" s="1098"/>
      <c r="BG665" s="1098"/>
      <c r="BH665" s="1098"/>
      <c r="BI665" s="1098"/>
      <c r="BJ665" s="1098"/>
      <c r="BK665" s="1098"/>
      <c r="BL665" s="1098"/>
      <c r="BM665" s="1098"/>
      <c r="BN665" s="1098"/>
      <c r="BO665" s="1098"/>
      <c r="BP665" s="1098"/>
      <c r="BQ665" s="1098"/>
      <c r="BR665" s="1098"/>
      <c r="BS665" s="1098"/>
      <c r="BT665" s="1098"/>
      <c r="BU665" s="1098"/>
      <c r="BV665" s="1098"/>
      <c r="BW665" s="1098"/>
      <c r="BX665" s="1098"/>
      <c r="BY665" s="1098"/>
      <c r="BZ665" s="1098"/>
      <c r="CA665" s="1098"/>
      <c r="CB665" s="1098"/>
      <c r="CC665" s="1098"/>
      <c r="CD665" s="1098"/>
      <c r="CE665" s="1098"/>
      <c r="CF665" s="1098"/>
      <c r="CG665" s="1098"/>
      <c r="CH665" s="1098"/>
      <c r="CI665" s="1098"/>
      <c r="CJ665" s="1098"/>
      <c r="CK665" s="1098"/>
      <c r="CL665" s="1098"/>
      <c r="CM665" s="1098"/>
      <c r="CN665" s="1098"/>
      <c r="CO665" s="1098"/>
      <c r="CP665" s="1098"/>
      <c r="CQ665" s="1098"/>
      <c r="CR665" s="1098"/>
      <c r="CS665" s="1098"/>
      <c r="CT665" s="1098"/>
      <c r="CU665" s="1098"/>
      <c r="CV665" s="1098"/>
      <c r="CW665" s="1098"/>
      <c r="CX665" s="1098"/>
      <c r="CY665" s="1098"/>
      <c r="CZ665" s="1098"/>
      <c r="DA665" s="1098"/>
      <c r="DB665" s="1098"/>
      <c r="DC665" s="1098"/>
      <c r="DD665" s="1098"/>
      <c r="DE665" s="1098"/>
      <c r="DF665" s="1098"/>
      <c r="DG665" s="1098"/>
      <c r="DH665" s="1098"/>
      <c r="DI665" s="1098"/>
      <c r="DJ665" s="1098"/>
      <c r="DK665" s="1098"/>
      <c r="DL665" s="1098"/>
      <c r="DM665" s="1098"/>
      <c r="DN665" s="1098"/>
      <c r="DO665" s="1098"/>
      <c r="DP665" s="1098"/>
      <c r="DQ665" s="1098"/>
      <c r="DR665" s="1098"/>
      <c r="DS665" s="1098"/>
      <c r="DT665" s="1098"/>
      <c r="DU665" s="1098"/>
      <c r="DV665" s="1098"/>
      <c r="DW665" s="1098"/>
      <c r="DX665" s="1098"/>
      <c r="DY665" s="1098"/>
      <c r="DZ665" s="1098"/>
      <c r="EA665" s="1098"/>
      <c r="EB665" s="1098"/>
      <c r="EC665" s="1098"/>
      <c r="ED665" s="1098"/>
      <c r="EE665" s="1098"/>
      <c r="EF665" s="1098"/>
      <c r="EG665" s="1098"/>
      <c r="EH665" s="1098"/>
      <c r="EI665" s="1098"/>
      <c r="EJ665" s="1098"/>
      <c r="EK665" s="1098"/>
      <c r="EL665" s="1098"/>
      <c r="EM665" s="1098"/>
      <c r="EN665" s="1098"/>
      <c r="EO665" s="1098"/>
      <c r="EP665" s="1098"/>
      <c r="EQ665" s="1098"/>
      <c r="ER665" s="1098"/>
      <c r="ES665" s="1098"/>
      <c r="ET665" s="1098"/>
      <c r="EU665" s="1098"/>
      <c r="EV665" s="1098"/>
      <c r="EW665" s="1098"/>
      <c r="EX665" s="1098"/>
      <c r="EY665" s="1098"/>
      <c r="EZ665" s="1098"/>
      <c r="FA665" s="1098"/>
      <c r="FB665" s="1098"/>
      <c r="FC665" s="1098"/>
      <c r="FD665" s="1098"/>
      <c r="FE665" s="1098"/>
      <c r="FF665" s="1098"/>
      <c r="FG665" s="1098"/>
      <c r="FH665" s="1098"/>
      <c r="FI665" s="1098"/>
      <c r="FJ665" s="1098"/>
      <c r="FK665" s="1098"/>
      <c r="FL665" s="1098"/>
      <c r="FM665" s="1098"/>
      <c r="FN665" s="1098"/>
      <c r="FO665" s="1098"/>
      <c r="FP665" s="1098"/>
      <c r="FQ665" s="1098"/>
      <c r="FR665" s="1098"/>
      <c r="FS665" s="1098"/>
      <c r="FT665" s="1098"/>
      <c r="FU665" s="1098"/>
      <c r="FV665" s="1098"/>
      <c r="FW665" s="1098"/>
      <c r="FX665" s="1098"/>
      <c r="FY665" s="1098"/>
      <c r="FZ665" s="1098"/>
      <c r="GA665" s="1098"/>
      <c r="GB665" s="1098"/>
      <c r="GC665" s="1098"/>
      <c r="GD665" s="1098"/>
      <c r="GE665" s="1098"/>
      <c r="GF665" s="1098"/>
      <c r="GG665" s="1098"/>
      <c r="GH665" s="1098"/>
      <c r="GI665" s="1098"/>
      <c r="GJ665" s="1098"/>
      <c r="GK665" s="1098"/>
      <c r="GL665" s="1098"/>
      <c r="GM665" s="1098"/>
      <c r="GN665" s="1098"/>
      <c r="GO665" s="1098"/>
      <c r="GP665" s="1098"/>
      <c r="GQ665" s="1098"/>
      <c r="GR665" s="1098"/>
      <c r="GS665" s="1098"/>
      <c r="GT665" s="1098"/>
      <c r="GU665" s="1098"/>
      <c r="GV665" s="1098"/>
      <c r="GW665" s="1098"/>
      <c r="GX665" s="1098"/>
      <c r="GY665" s="1098"/>
      <c r="GZ665" s="1098"/>
      <c r="HA665" s="1098"/>
      <c r="HB665" s="1098"/>
      <c r="HC665" s="1098"/>
      <c r="HD665" s="1098"/>
      <c r="HE665" s="1098"/>
      <c r="HF665" s="1098"/>
      <c r="HG665" s="1098"/>
      <c r="HH665" s="1098"/>
      <c r="HI665" s="1098"/>
      <c r="HJ665" s="1098"/>
      <c r="HK665" s="1098"/>
      <c r="HL665" s="1098"/>
      <c r="HM665" s="1098"/>
      <c r="HN665" s="1098"/>
      <c r="HO665" s="1098"/>
      <c r="HP665" s="1098"/>
      <c r="HQ665" s="1098"/>
      <c r="HR665" s="1098"/>
      <c r="HS665" s="1098"/>
      <c r="HT665" s="1098"/>
      <c r="HU665" s="1098"/>
      <c r="HV665" s="1098"/>
      <c r="HW665" s="1098"/>
      <c r="HX665" s="1098"/>
      <c r="HY665" s="1098"/>
      <c r="HZ665" s="1098"/>
      <c r="IA665" s="1098"/>
      <c r="IB665" s="1098"/>
      <c r="IC665" s="1098"/>
      <c r="ID665" s="1098"/>
      <c r="IE665" s="1098"/>
      <c r="IF665" s="1098"/>
      <c r="IG665" s="1098"/>
      <c r="IH665" s="1098"/>
      <c r="II665" s="1098"/>
      <c r="IJ665" s="1098"/>
      <c r="IK665" s="1098"/>
      <c r="IL665" s="1098"/>
      <c r="IM665" s="1098"/>
      <c r="IN665" s="1098"/>
      <c r="IO665" s="1098"/>
      <c r="IP665" s="1098"/>
      <c r="IQ665" s="1098"/>
      <c r="IR665" s="1098"/>
      <c r="IS665" s="1098"/>
      <c r="IT665" s="1098"/>
      <c r="IU665" s="1098"/>
      <c r="IV665" s="1098"/>
      <c r="IW665" s="1098"/>
      <c r="IX665" s="1098"/>
      <c r="IY665" s="1098"/>
      <c r="IZ665" s="1098"/>
      <c r="JA665" s="1098"/>
      <c r="JB665" s="1098"/>
      <c r="JC665" s="1098"/>
      <c r="JD665" s="1098"/>
      <c r="JE665" s="1098"/>
      <c r="JF665" s="1098"/>
      <c r="JG665" s="1098"/>
      <c r="JH665" s="1098"/>
      <c r="JI665" s="1098"/>
      <c r="JJ665" s="1098"/>
      <c r="JK665" s="1098"/>
      <c r="JL665" s="1098"/>
      <c r="JM665" s="1098"/>
      <c r="JN665" s="1098"/>
      <c r="JO665" s="1098"/>
      <c r="JP665" s="1098"/>
      <c r="JQ665" s="1098"/>
      <c r="JR665" s="1098"/>
      <c r="JS665" s="1098"/>
      <c r="JT665" s="1098"/>
      <c r="JU665" s="1098"/>
      <c r="JV665" s="1098"/>
      <c r="JW665" s="1098"/>
      <c r="JX665" s="1098"/>
      <c r="JY665" s="1098"/>
      <c r="JZ665" s="1098"/>
      <c r="KA665" s="1098"/>
      <c r="KB665" s="1099"/>
    </row>
    <row r="666" spans="2:288" ht="15" customHeight="1" x14ac:dyDescent="0.35">
      <c r="B666" s="146" t="str">
        <f t="shared" si="55"/>
        <v>Desk 36</v>
      </c>
      <c r="C666" s="148" t="str">
        <v/>
      </c>
      <c r="D666" s="148" t="str">
        <v/>
      </c>
      <c r="E666" s="148" t="str">
        <v/>
      </c>
      <c r="F666" s="148" t="str">
        <v/>
      </c>
      <c r="G666" s="268" t="str">
        <v/>
      </c>
      <c r="H666" s="1098"/>
      <c r="I666" s="1098"/>
      <c r="J666" s="1098"/>
      <c r="K666" s="1098"/>
      <c r="L666" s="1098"/>
      <c r="M666" s="1098"/>
      <c r="N666" s="1098"/>
      <c r="O666" s="1098"/>
      <c r="P666" s="1098"/>
      <c r="Q666" s="1098"/>
      <c r="R666" s="1098"/>
      <c r="S666" s="1098"/>
      <c r="T666" s="1098"/>
      <c r="U666" s="1098"/>
      <c r="V666" s="1098"/>
      <c r="W666" s="1098"/>
      <c r="X666" s="1098"/>
      <c r="Y666" s="1098"/>
      <c r="Z666" s="1098"/>
      <c r="AA666" s="1098"/>
      <c r="AB666" s="1098"/>
      <c r="AC666" s="1098"/>
      <c r="AD666" s="1098"/>
      <c r="AE666" s="1098"/>
      <c r="AF666" s="1098"/>
      <c r="AG666" s="1098"/>
      <c r="AH666" s="1098"/>
      <c r="AI666" s="1098"/>
      <c r="AJ666" s="1098"/>
      <c r="AK666" s="1098"/>
      <c r="AL666" s="1098"/>
      <c r="AM666" s="1098"/>
      <c r="AN666" s="1098"/>
      <c r="AO666" s="1098"/>
      <c r="AP666" s="1098"/>
      <c r="AQ666" s="1098"/>
      <c r="AR666" s="1098"/>
      <c r="AS666" s="1098"/>
      <c r="AT666" s="1098"/>
      <c r="AU666" s="1098"/>
      <c r="AV666" s="1098"/>
      <c r="AW666" s="1098"/>
      <c r="AX666" s="1098"/>
      <c r="AY666" s="1098"/>
      <c r="AZ666" s="1098"/>
      <c r="BA666" s="1098"/>
      <c r="BB666" s="1098"/>
      <c r="BC666" s="1098"/>
      <c r="BD666" s="1098"/>
      <c r="BE666" s="1098"/>
      <c r="BF666" s="1098"/>
      <c r="BG666" s="1098"/>
      <c r="BH666" s="1098"/>
      <c r="BI666" s="1098"/>
      <c r="BJ666" s="1098"/>
      <c r="BK666" s="1098"/>
      <c r="BL666" s="1098"/>
      <c r="BM666" s="1098"/>
      <c r="BN666" s="1098"/>
      <c r="BO666" s="1098"/>
      <c r="BP666" s="1098"/>
      <c r="BQ666" s="1098"/>
      <c r="BR666" s="1098"/>
      <c r="BS666" s="1098"/>
      <c r="BT666" s="1098"/>
      <c r="BU666" s="1098"/>
      <c r="BV666" s="1098"/>
      <c r="BW666" s="1098"/>
      <c r="BX666" s="1098"/>
      <c r="BY666" s="1098"/>
      <c r="BZ666" s="1098"/>
      <c r="CA666" s="1098"/>
      <c r="CB666" s="1098"/>
      <c r="CC666" s="1098"/>
      <c r="CD666" s="1098"/>
      <c r="CE666" s="1098"/>
      <c r="CF666" s="1098"/>
      <c r="CG666" s="1098"/>
      <c r="CH666" s="1098"/>
      <c r="CI666" s="1098"/>
      <c r="CJ666" s="1098"/>
      <c r="CK666" s="1098"/>
      <c r="CL666" s="1098"/>
      <c r="CM666" s="1098"/>
      <c r="CN666" s="1098"/>
      <c r="CO666" s="1098"/>
      <c r="CP666" s="1098"/>
      <c r="CQ666" s="1098"/>
      <c r="CR666" s="1098"/>
      <c r="CS666" s="1098"/>
      <c r="CT666" s="1098"/>
      <c r="CU666" s="1098"/>
      <c r="CV666" s="1098"/>
      <c r="CW666" s="1098"/>
      <c r="CX666" s="1098"/>
      <c r="CY666" s="1098"/>
      <c r="CZ666" s="1098"/>
      <c r="DA666" s="1098"/>
      <c r="DB666" s="1098"/>
      <c r="DC666" s="1098"/>
      <c r="DD666" s="1098"/>
      <c r="DE666" s="1098"/>
      <c r="DF666" s="1098"/>
      <c r="DG666" s="1098"/>
      <c r="DH666" s="1098"/>
      <c r="DI666" s="1098"/>
      <c r="DJ666" s="1098"/>
      <c r="DK666" s="1098"/>
      <c r="DL666" s="1098"/>
      <c r="DM666" s="1098"/>
      <c r="DN666" s="1098"/>
      <c r="DO666" s="1098"/>
      <c r="DP666" s="1098"/>
      <c r="DQ666" s="1098"/>
      <c r="DR666" s="1098"/>
      <c r="DS666" s="1098"/>
      <c r="DT666" s="1098"/>
      <c r="DU666" s="1098"/>
      <c r="DV666" s="1098"/>
      <c r="DW666" s="1098"/>
      <c r="DX666" s="1098"/>
      <c r="DY666" s="1098"/>
      <c r="DZ666" s="1098"/>
      <c r="EA666" s="1098"/>
      <c r="EB666" s="1098"/>
      <c r="EC666" s="1098"/>
      <c r="ED666" s="1098"/>
      <c r="EE666" s="1098"/>
      <c r="EF666" s="1098"/>
      <c r="EG666" s="1098"/>
      <c r="EH666" s="1098"/>
      <c r="EI666" s="1098"/>
      <c r="EJ666" s="1098"/>
      <c r="EK666" s="1098"/>
      <c r="EL666" s="1098"/>
      <c r="EM666" s="1098"/>
      <c r="EN666" s="1098"/>
      <c r="EO666" s="1098"/>
      <c r="EP666" s="1098"/>
      <c r="EQ666" s="1098"/>
      <c r="ER666" s="1098"/>
      <c r="ES666" s="1098"/>
      <c r="ET666" s="1098"/>
      <c r="EU666" s="1098"/>
      <c r="EV666" s="1098"/>
      <c r="EW666" s="1098"/>
      <c r="EX666" s="1098"/>
      <c r="EY666" s="1098"/>
      <c r="EZ666" s="1098"/>
      <c r="FA666" s="1098"/>
      <c r="FB666" s="1098"/>
      <c r="FC666" s="1098"/>
      <c r="FD666" s="1098"/>
      <c r="FE666" s="1098"/>
      <c r="FF666" s="1098"/>
      <c r="FG666" s="1098"/>
      <c r="FH666" s="1098"/>
      <c r="FI666" s="1098"/>
      <c r="FJ666" s="1098"/>
      <c r="FK666" s="1098"/>
      <c r="FL666" s="1098"/>
      <c r="FM666" s="1098"/>
      <c r="FN666" s="1098"/>
      <c r="FO666" s="1098"/>
      <c r="FP666" s="1098"/>
      <c r="FQ666" s="1098"/>
      <c r="FR666" s="1098"/>
      <c r="FS666" s="1098"/>
      <c r="FT666" s="1098"/>
      <c r="FU666" s="1098"/>
      <c r="FV666" s="1098"/>
      <c r="FW666" s="1098"/>
      <c r="FX666" s="1098"/>
      <c r="FY666" s="1098"/>
      <c r="FZ666" s="1098"/>
      <c r="GA666" s="1098"/>
      <c r="GB666" s="1098"/>
      <c r="GC666" s="1098"/>
      <c r="GD666" s="1098"/>
      <c r="GE666" s="1098"/>
      <c r="GF666" s="1098"/>
      <c r="GG666" s="1098"/>
      <c r="GH666" s="1098"/>
      <c r="GI666" s="1098"/>
      <c r="GJ666" s="1098"/>
      <c r="GK666" s="1098"/>
      <c r="GL666" s="1098"/>
      <c r="GM666" s="1098"/>
      <c r="GN666" s="1098"/>
      <c r="GO666" s="1098"/>
      <c r="GP666" s="1098"/>
      <c r="GQ666" s="1098"/>
      <c r="GR666" s="1098"/>
      <c r="GS666" s="1098"/>
      <c r="GT666" s="1098"/>
      <c r="GU666" s="1098"/>
      <c r="GV666" s="1098"/>
      <c r="GW666" s="1098"/>
      <c r="GX666" s="1098"/>
      <c r="GY666" s="1098"/>
      <c r="GZ666" s="1098"/>
      <c r="HA666" s="1098"/>
      <c r="HB666" s="1098"/>
      <c r="HC666" s="1098"/>
      <c r="HD666" s="1098"/>
      <c r="HE666" s="1098"/>
      <c r="HF666" s="1098"/>
      <c r="HG666" s="1098"/>
      <c r="HH666" s="1098"/>
      <c r="HI666" s="1098"/>
      <c r="HJ666" s="1098"/>
      <c r="HK666" s="1098"/>
      <c r="HL666" s="1098"/>
      <c r="HM666" s="1098"/>
      <c r="HN666" s="1098"/>
      <c r="HO666" s="1098"/>
      <c r="HP666" s="1098"/>
      <c r="HQ666" s="1098"/>
      <c r="HR666" s="1098"/>
      <c r="HS666" s="1098"/>
      <c r="HT666" s="1098"/>
      <c r="HU666" s="1098"/>
      <c r="HV666" s="1098"/>
      <c r="HW666" s="1098"/>
      <c r="HX666" s="1098"/>
      <c r="HY666" s="1098"/>
      <c r="HZ666" s="1098"/>
      <c r="IA666" s="1098"/>
      <c r="IB666" s="1098"/>
      <c r="IC666" s="1098"/>
      <c r="ID666" s="1098"/>
      <c r="IE666" s="1098"/>
      <c r="IF666" s="1098"/>
      <c r="IG666" s="1098"/>
      <c r="IH666" s="1098"/>
      <c r="II666" s="1098"/>
      <c r="IJ666" s="1098"/>
      <c r="IK666" s="1098"/>
      <c r="IL666" s="1098"/>
      <c r="IM666" s="1098"/>
      <c r="IN666" s="1098"/>
      <c r="IO666" s="1098"/>
      <c r="IP666" s="1098"/>
      <c r="IQ666" s="1098"/>
      <c r="IR666" s="1098"/>
      <c r="IS666" s="1098"/>
      <c r="IT666" s="1098"/>
      <c r="IU666" s="1098"/>
      <c r="IV666" s="1098"/>
      <c r="IW666" s="1098"/>
      <c r="IX666" s="1098"/>
      <c r="IY666" s="1098"/>
      <c r="IZ666" s="1098"/>
      <c r="JA666" s="1098"/>
      <c r="JB666" s="1098"/>
      <c r="JC666" s="1098"/>
      <c r="JD666" s="1098"/>
      <c r="JE666" s="1098"/>
      <c r="JF666" s="1098"/>
      <c r="JG666" s="1098"/>
      <c r="JH666" s="1098"/>
      <c r="JI666" s="1098"/>
      <c r="JJ666" s="1098"/>
      <c r="JK666" s="1098"/>
      <c r="JL666" s="1098"/>
      <c r="JM666" s="1098"/>
      <c r="JN666" s="1098"/>
      <c r="JO666" s="1098"/>
      <c r="JP666" s="1098"/>
      <c r="JQ666" s="1098"/>
      <c r="JR666" s="1098"/>
      <c r="JS666" s="1098"/>
      <c r="JT666" s="1098"/>
      <c r="JU666" s="1098"/>
      <c r="JV666" s="1098"/>
      <c r="JW666" s="1098"/>
      <c r="JX666" s="1098"/>
      <c r="JY666" s="1098"/>
      <c r="JZ666" s="1098"/>
      <c r="KA666" s="1098"/>
      <c r="KB666" s="1099"/>
    </row>
    <row r="667" spans="2:288" ht="15" customHeight="1" x14ac:dyDescent="0.35">
      <c r="B667" s="146" t="str">
        <f t="shared" si="55"/>
        <v>Desk 37</v>
      </c>
      <c r="C667" s="148" t="str">
        <v/>
      </c>
      <c r="D667" s="148" t="str">
        <v/>
      </c>
      <c r="E667" s="148" t="str">
        <v/>
      </c>
      <c r="F667" s="148" t="str">
        <v/>
      </c>
      <c r="G667" s="268" t="str">
        <v/>
      </c>
      <c r="H667" s="1098"/>
      <c r="I667" s="1098"/>
      <c r="J667" s="1098"/>
      <c r="K667" s="1098"/>
      <c r="L667" s="1098"/>
      <c r="M667" s="1098"/>
      <c r="N667" s="1098"/>
      <c r="O667" s="1098"/>
      <c r="P667" s="1098"/>
      <c r="Q667" s="1098"/>
      <c r="R667" s="1098"/>
      <c r="S667" s="1098"/>
      <c r="T667" s="1098"/>
      <c r="U667" s="1098"/>
      <c r="V667" s="1098"/>
      <c r="W667" s="1098"/>
      <c r="X667" s="1098"/>
      <c r="Y667" s="1098"/>
      <c r="Z667" s="1098"/>
      <c r="AA667" s="1098"/>
      <c r="AB667" s="1098"/>
      <c r="AC667" s="1098"/>
      <c r="AD667" s="1098"/>
      <c r="AE667" s="1098"/>
      <c r="AF667" s="1098"/>
      <c r="AG667" s="1098"/>
      <c r="AH667" s="1098"/>
      <c r="AI667" s="1098"/>
      <c r="AJ667" s="1098"/>
      <c r="AK667" s="1098"/>
      <c r="AL667" s="1098"/>
      <c r="AM667" s="1098"/>
      <c r="AN667" s="1098"/>
      <c r="AO667" s="1098"/>
      <c r="AP667" s="1098"/>
      <c r="AQ667" s="1098"/>
      <c r="AR667" s="1098"/>
      <c r="AS667" s="1098"/>
      <c r="AT667" s="1098"/>
      <c r="AU667" s="1098"/>
      <c r="AV667" s="1098"/>
      <c r="AW667" s="1098"/>
      <c r="AX667" s="1098"/>
      <c r="AY667" s="1098"/>
      <c r="AZ667" s="1098"/>
      <c r="BA667" s="1098"/>
      <c r="BB667" s="1098"/>
      <c r="BC667" s="1098"/>
      <c r="BD667" s="1098"/>
      <c r="BE667" s="1098"/>
      <c r="BF667" s="1098"/>
      <c r="BG667" s="1098"/>
      <c r="BH667" s="1098"/>
      <c r="BI667" s="1098"/>
      <c r="BJ667" s="1098"/>
      <c r="BK667" s="1098"/>
      <c r="BL667" s="1098"/>
      <c r="BM667" s="1098"/>
      <c r="BN667" s="1098"/>
      <c r="BO667" s="1098"/>
      <c r="BP667" s="1098"/>
      <c r="BQ667" s="1098"/>
      <c r="BR667" s="1098"/>
      <c r="BS667" s="1098"/>
      <c r="BT667" s="1098"/>
      <c r="BU667" s="1098"/>
      <c r="BV667" s="1098"/>
      <c r="BW667" s="1098"/>
      <c r="BX667" s="1098"/>
      <c r="BY667" s="1098"/>
      <c r="BZ667" s="1098"/>
      <c r="CA667" s="1098"/>
      <c r="CB667" s="1098"/>
      <c r="CC667" s="1098"/>
      <c r="CD667" s="1098"/>
      <c r="CE667" s="1098"/>
      <c r="CF667" s="1098"/>
      <c r="CG667" s="1098"/>
      <c r="CH667" s="1098"/>
      <c r="CI667" s="1098"/>
      <c r="CJ667" s="1098"/>
      <c r="CK667" s="1098"/>
      <c r="CL667" s="1098"/>
      <c r="CM667" s="1098"/>
      <c r="CN667" s="1098"/>
      <c r="CO667" s="1098"/>
      <c r="CP667" s="1098"/>
      <c r="CQ667" s="1098"/>
      <c r="CR667" s="1098"/>
      <c r="CS667" s="1098"/>
      <c r="CT667" s="1098"/>
      <c r="CU667" s="1098"/>
      <c r="CV667" s="1098"/>
      <c r="CW667" s="1098"/>
      <c r="CX667" s="1098"/>
      <c r="CY667" s="1098"/>
      <c r="CZ667" s="1098"/>
      <c r="DA667" s="1098"/>
      <c r="DB667" s="1098"/>
      <c r="DC667" s="1098"/>
      <c r="DD667" s="1098"/>
      <c r="DE667" s="1098"/>
      <c r="DF667" s="1098"/>
      <c r="DG667" s="1098"/>
      <c r="DH667" s="1098"/>
      <c r="DI667" s="1098"/>
      <c r="DJ667" s="1098"/>
      <c r="DK667" s="1098"/>
      <c r="DL667" s="1098"/>
      <c r="DM667" s="1098"/>
      <c r="DN667" s="1098"/>
      <c r="DO667" s="1098"/>
      <c r="DP667" s="1098"/>
      <c r="DQ667" s="1098"/>
      <c r="DR667" s="1098"/>
      <c r="DS667" s="1098"/>
      <c r="DT667" s="1098"/>
      <c r="DU667" s="1098"/>
      <c r="DV667" s="1098"/>
      <c r="DW667" s="1098"/>
      <c r="DX667" s="1098"/>
      <c r="DY667" s="1098"/>
      <c r="DZ667" s="1098"/>
      <c r="EA667" s="1098"/>
      <c r="EB667" s="1098"/>
      <c r="EC667" s="1098"/>
      <c r="ED667" s="1098"/>
      <c r="EE667" s="1098"/>
      <c r="EF667" s="1098"/>
      <c r="EG667" s="1098"/>
      <c r="EH667" s="1098"/>
      <c r="EI667" s="1098"/>
      <c r="EJ667" s="1098"/>
      <c r="EK667" s="1098"/>
      <c r="EL667" s="1098"/>
      <c r="EM667" s="1098"/>
      <c r="EN667" s="1098"/>
      <c r="EO667" s="1098"/>
      <c r="EP667" s="1098"/>
      <c r="EQ667" s="1098"/>
      <c r="ER667" s="1098"/>
      <c r="ES667" s="1098"/>
      <c r="ET667" s="1098"/>
      <c r="EU667" s="1098"/>
      <c r="EV667" s="1098"/>
      <c r="EW667" s="1098"/>
      <c r="EX667" s="1098"/>
      <c r="EY667" s="1098"/>
      <c r="EZ667" s="1098"/>
      <c r="FA667" s="1098"/>
      <c r="FB667" s="1098"/>
      <c r="FC667" s="1098"/>
      <c r="FD667" s="1098"/>
      <c r="FE667" s="1098"/>
      <c r="FF667" s="1098"/>
      <c r="FG667" s="1098"/>
      <c r="FH667" s="1098"/>
      <c r="FI667" s="1098"/>
      <c r="FJ667" s="1098"/>
      <c r="FK667" s="1098"/>
      <c r="FL667" s="1098"/>
      <c r="FM667" s="1098"/>
      <c r="FN667" s="1098"/>
      <c r="FO667" s="1098"/>
      <c r="FP667" s="1098"/>
      <c r="FQ667" s="1098"/>
      <c r="FR667" s="1098"/>
      <c r="FS667" s="1098"/>
      <c r="FT667" s="1098"/>
      <c r="FU667" s="1098"/>
      <c r="FV667" s="1098"/>
      <c r="FW667" s="1098"/>
      <c r="FX667" s="1098"/>
      <c r="FY667" s="1098"/>
      <c r="FZ667" s="1098"/>
      <c r="GA667" s="1098"/>
      <c r="GB667" s="1098"/>
      <c r="GC667" s="1098"/>
      <c r="GD667" s="1098"/>
      <c r="GE667" s="1098"/>
      <c r="GF667" s="1098"/>
      <c r="GG667" s="1098"/>
      <c r="GH667" s="1098"/>
      <c r="GI667" s="1098"/>
      <c r="GJ667" s="1098"/>
      <c r="GK667" s="1098"/>
      <c r="GL667" s="1098"/>
      <c r="GM667" s="1098"/>
      <c r="GN667" s="1098"/>
      <c r="GO667" s="1098"/>
      <c r="GP667" s="1098"/>
      <c r="GQ667" s="1098"/>
      <c r="GR667" s="1098"/>
      <c r="GS667" s="1098"/>
      <c r="GT667" s="1098"/>
      <c r="GU667" s="1098"/>
      <c r="GV667" s="1098"/>
      <c r="GW667" s="1098"/>
      <c r="GX667" s="1098"/>
      <c r="GY667" s="1098"/>
      <c r="GZ667" s="1098"/>
      <c r="HA667" s="1098"/>
      <c r="HB667" s="1098"/>
      <c r="HC667" s="1098"/>
      <c r="HD667" s="1098"/>
      <c r="HE667" s="1098"/>
      <c r="HF667" s="1098"/>
      <c r="HG667" s="1098"/>
      <c r="HH667" s="1098"/>
      <c r="HI667" s="1098"/>
      <c r="HJ667" s="1098"/>
      <c r="HK667" s="1098"/>
      <c r="HL667" s="1098"/>
      <c r="HM667" s="1098"/>
      <c r="HN667" s="1098"/>
      <c r="HO667" s="1098"/>
      <c r="HP667" s="1098"/>
      <c r="HQ667" s="1098"/>
      <c r="HR667" s="1098"/>
      <c r="HS667" s="1098"/>
      <c r="HT667" s="1098"/>
      <c r="HU667" s="1098"/>
      <c r="HV667" s="1098"/>
      <c r="HW667" s="1098"/>
      <c r="HX667" s="1098"/>
      <c r="HY667" s="1098"/>
      <c r="HZ667" s="1098"/>
      <c r="IA667" s="1098"/>
      <c r="IB667" s="1098"/>
      <c r="IC667" s="1098"/>
      <c r="ID667" s="1098"/>
      <c r="IE667" s="1098"/>
      <c r="IF667" s="1098"/>
      <c r="IG667" s="1098"/>
      <c r="IH667" s="1098"/>
      <c r="II667" s="1098"/>
      <c r="IJ667" s="1098"/>
      <c r="IK667" s="1098"/>
      <c r="IL667" s="1098"/>
      <c r="IM667" s="1098"/>
      <c r="IN667" s="1098"/>
      <c r="IO667" s="1098"/>
      <c r="IP667" s="1098"/>
      <c r="IQ667" s="1098"/>
      <c r="IR667" s="1098"/>
      <c r="IS667" s="1098"/>
      <c r="IT667" s="1098"/>
      <c r="IU667" s="1098"/>
      <c r="IV667" s="1098"/>
      <c r="IW667" s="1098"/>
      <c r="IX667" s="1098"/>
      <c r="IY667" s="1098"/>
      <c r="IZ667" s="1098"/>
      <c r="JA667" s="1098"/>
      <c r="JB667" s="1098"/>
      <c r="JC667" s="1098"/>
      <c r="JD667" s="1098"/>
      <c r="JE667" s="1098"/>
      <c r="JF667" s="1098"/>
      <c r="JG667" s="1098"/>
      <c r="JH667" s="1098"/>
      <c r="JI667" s="1098"/>
      <c r="JJ667" s="1098"/>
      <c r="JK667" s="1098"/>
      <c r="JL667" s="1098"/>
      <c r="JM667" s="1098"/>
      <c r="JN667" s="1098"/>
      <c r="JO667" s="1098"/>
      <c r="JP667" s="1098"/>
      <c r="JQ667" s="1098"/>
      <c r="JR667" s="1098"/>
      <c r="JS667" s="1098"/>
      <c r="JT667" s="1098"/>
      <c r="JU667" s="1098"/>
      <c r="JV667" s="1098"/>
      <c r="JW667" s="1098"/>
      <c r="JX667" s="1098"/>
      <c r="JY667" s="1098"/>
      <c r="JZ667" s="1098"/>
      <c r="KA667" s="1098"/>
      <c r="KB667" s="1099"/>
    </row>
    <row r="668" spans="2:288" ht="15" customHeight="1" x14ac:dyDescent="0.35">
      <c r="B668" s="146" t="str">
        <f t="shared" si="55"/>
        <v>Desk 38</v>
      </c>
      <c r="C668" s="148" t="str">
        <v/>
      </c>
      <c r="D668" s="148" t="str">
        <v/>
      </c>
      <c r="E668" s="148" t="str">
        <v/>
      </c>
      <c r="F668" s="148" t="str">
        <v/>
      </c>
      <c r="G668" s="268" t="str">
        <v/>
      </c>
      <c r="H668" s="1098"/>
      <c r="I668" s="1098"/>
      <c r="J668" s="1098"/>
      <c r="K668" s="1098"/>
      <c r="L668" s="1098"/>
      <c r="M668" s="1098"/>
      <c r="N668" s="1098"/>
      <c r="O668" s="1098"/>
      <c r="P668" s="1098"/>
      <c r="Q668" s="1098"/>
      <c r="R668" s="1098"/>
      <c r="S668" s="1098"/>
      <c r="T668" s="1098"/>
      <c r="U668" s="1098"/>
      <c r="V668" s="1098"/>
      <c r="W668" s="1098"/>
      <c r="X668" s="1098"/>
      <c r="Y668" s="1098"/>
      <c r="Z668" s="1098"/>
      <c r="AA668" s="1098"/>
      <c r="AB668" s="1098"/>
      <c r="AC668" s="1098"/>
      <c r="AD668" s="1098"/>
      <c r="AE668" s="1098"/>
      <c r="AF668" s="1098"/>
      <c r="AG668" s="1098"/>
      <c r="AH668" s="1098"/>
      <c r="AI668" s="1098"/>
      <c r="AJ668" s="1098"/>
      <c r="AK668" s="1098"/>
      <c r="AL668" s="1098"/>
      <c r="AM668" s="1098"/>
      <c r="AN668" s="1098"/>
      <c r="AO668" s="1098"/>
      <c r="AP668" s="1098"/>
      <c r="AQ668" s="1098"/>
      <c r="AR668" s="1098"/>
      <c r="AS668" s="1098"/>
      <c r="AT668" s="1098"/>
      <c r="AU668" s="1098"/>
      <c r="AV668" s="1098"/>
      <c r="AW668" s="1098"/>
      <c r="AX668" s="1098"/>
      <c r="AY668" s="1098"/>
      <c r="AZ668" s="1098"/>
      <c r="BA668" s="1098"/>
      <c r="BB668" s="1098"/>
      <c r="BC668" s="1098"/>
      <c r="BD668" s="1098"/>
      <c r="BE668" s="1098"/>
      <c r="BF668" s="1098"/>
      <c r="BG668" s="1098"/>
      <c r="BH668" s="1098"/>
      <c r="BI668" s="1098"/>
      <c r="BJ668" s="1098"/>
      <c r="BK668" s="1098"/>
      <c r="BL668" s="1098"/>
      <c r="BM668" s="1098"/>
      <c r="BN668" s="1098"/>
      <c r="BO668" s="1098"/>
      <c r="BP668" s="1098"/>
      <c r="BQ668" s="1098"/>
      <c r="BR668" s="1098"/>
      <c r="BS668" s="1098"/>
      <c r="BT668" s="1098"/>
      <c r="BU668" s="1098"/>
      <c r="BV668" s="1098"/>
      <c r="BW668" s="1098"/>
      <c r="BX668" s="1098"/>
      <c r="BY668" s="1098"/>
      <c r="BZ668" s="1098"/>
      <c r="CA668" s="1098"/>
      <c r="CB668" s="1098"/>
      <c r="CC668" s="1098"/>
      <c r="CD668" s="1098"/>
      <c r="CE668" s="1098"/>
      <c r="CF668" s="1098"/>
      <c r="CG668" s="1098"/>
      <c r="CH668" s="1098"/>
      <c r="CI668" s="1098"/>
      <c r="CJ668" s="1098"/>
      <c r="CK668" s="1098"/>
      <c r="CL668" s="1098"/>
      <c r="CM668" s="1098"/>
      <c r="CN668" s="1098"/>
      <c r="CO668" s="1098"/>
      <c r="CP668" s="1098"/>
      <c r="CQ668" s="1098"/>
      <c r="CR668" s="1098"/>
      <c r="CS668" s="1098"/>
      <c r="CT668" s="1098"/>
      <c r="CU668" s="1098"/>
      <c r="CV668" s="1098"/>
      <c r="CW668" s="1098"/>
      <c r="CX668" s="1098"/>
      <c r="CY668" s="1098"/>
      <c r="CZ668" s="1098"/>
      <c r="DA668" s="1098"/>
      <c r="DB668" s="1098"/>
      <c r="DC668" s="1098"/>
      <c r="DD668" s="1098"/>
      <c r="DE668" s="1098"/>
      <c r="DF668" s="1098"/>
      <c r="DG668" s="1098"/>
      <c r="DH668" s="1098"/>
      <c r="DI668" s="1098"/>
      <c r="DJ668" s="1098"/>
      <c r="DK668" s="1098"/>
      <c r="DL668" s="1098"/>
      <c r="DM668" s="1098"/>
      <c r="DN668" s="1098"/>
      <c r="DO668" s="1098"/>
      <c r="DP668" s="1098"/>
      <c r="DQ668" s="1098"/>
      <c r="DR668" s="1098"/>
      <c r="DS668" s="1098"/>
      <c r="DT668" s="1098"/>
      <c r="DU668" s="1098"/>
      <c r="DV668" s="1098"/>
      <c r="DW668" s="1098"/>
      <c r="DX668" s="1098"/>
      <c r="DY668" s="1098"/>
      <c r="DZ668" s="1098"/>
      <c r="EA668" s="1098"/>
      <c r="EB668" s="1098"/>
      <c r="EC668" s="1098"/>
      <c r="ED668" s="1098"/>
      <c r="EE668" s="1098"/>
      <c r="EF668" s="1098"/>
      <c r="EG668" s="1098"/>
      <c r="EH668" s="1098"/>
      <c r="EI668" s="1098"/>
      <c r="EJ668" s="1098"/>
      <c r="EK668" s="1098"/>
      <c r="EL668" s="1098"/>
      <c r="EM668" s="1098"/>
      <c r="EN668" s="1098"/>
      <c r="EO668" s="1098"/>
      <c r="EP668" s="1098"/>
      <c r="EQ668" s="1098"/>
      <c r="ER668" s="1098"/>
      <c r="ES668" s="1098"/>
      <c r="ET668" s="1098"/>
      <c r="EU668" s="1098"/>
      <c r="EV668" s="1098"/>
      <c r="EW668" s="1098"/>
      <c r="EX668" s="1098"/>
      <c r="EY668" s="1098"/>
      <c r="EZ668" s="1098"/>
      <c r="FA668" s="1098"/>
      <c r="FB668" s="1098"/>
      <c r="FC668" s="1098"/>
      <c r="FD668" s="1098"/>
      <c r="FE668" s="1098"/>
      <c r="FF668" s="1098"/>
      <c r="FG668" s="1098"/>
      <c r="FH668" s="1098"/>
      <c r="FI668" s="1098"/>
      <c r="FJ668" s="1098"/>
      <c r="FK668" s="1098"/>
      <c r="FL668" s="1098"/>
      <c r="FM668" s="1098"/>
      <c r="FN668" s="1098"/>
      <c r="FO668" s="1098"/>
      <c r="FP668" s="1098"/>
      <c r="FQ668" s="1098"/>
      <c r="FR668" s="1098"/>
      <c r="FS668" s="1098"/>
      <c r="FT668" s="1098"/>
      <c r="FU668" s="1098"/>
      <c r="FV668" s="1098"/>
      <c r="FW668" s="1098"/>
      <c r="FX668" s="1098"/>
      <c r="FY668" s="1098"/>
      <c r="FZ668" s="1098"/>
      <c r="GA668" s="1098"/>
      <c r="GB668" s="1098"/>
      <c r="GC668" s="1098"/>
      <c r="GD668" s="1098"/>
      <c r="GE668" s="1098"/>
      <c r="GF668" s="1098"/>
      <c r="GG668" s="1098"/>
      <c r="GH668" s="1098"/>
      <c r="GI668" s="1098"/>
      <c r="GJ668" s="1098"/>
      <c r="GK668" s="1098"/>
      <c r="GL668" s="1098"/>
      <c r="GM668" s="1098"/>
      <c r="GN668" s="1098"/>
      <c r="GO668" s="1098"/>
      <c r="GP668" s="1098"/>
      <c r="GQ668" s="1098"/>
      <c r="GR668" s="1098"/>
      <c r="GS668" s="1098"/>
      <c r="GT668" s="1098"/>
      <c r="GU668" s="1098"/>
      <c r="GV668" s="1098"/>
      <c r="GW668" s="1098"/>
      <c r="GX668" s="1098"/>
      <c r="GY668" s="1098"/>
      <c r="GZ668" s="1098"/>
      <c r="HA668" s="1098"/>
      <c r="HB668" s="1098"/>
      <c r="HC668" s="1098"/>
      <c r="HD668" s="1098"/>
      <c r="HE668" s="1098"/>
      <c r="HF668" s="1098"/>
      <c r="HG668" s="1098"/>
      <c r="HH668" s="1098"/>
      <c r="HI668" s="1098"/>
      <c r="HJ668" s="1098"/>
      <c r="HK668" s="1098"/>
      <c r="HL668" s="1098"/>
      <c r="HM668" s="1098"/>
      <c r="HN668" s="1098"/>
      <c r="HO668" s="1098"/>
      <c r="HP668" s="1098"/>
      <c r="HQ668" s="1098"/>
      <c r="HR668" s="1098"/>
      <c r="HS668" s="1098"/>
      <c r="HT668" s="1098"/>
      <c r="HU668" s="1098"/>
      <c r="HV668" s="1098"/>
      <c r="HW668" s="1098"/>
      <c r="HX668" s="1098"/>
      <c r="HY668" s="1098"/>
      <c r="HZ668" s="1098"/>
      <c r="IA668" s="1098"/>
      <c r="IB668" s="1098"/>
      <c r="IC668" s="1098"/>
      <c r="ID668" s="1098"/>
      <c r="IE668" s="1098"/>
      <c r="IF668" s="1098"/>
      <c r="IG668" s="1098"/>
      <c r="IH668" s="1098"/>
      <c r="II668" s="1098"/>
      <c r="IJ668" s="1098"/>
      <c r="IK668" s="1098"/>
      <c r="IL668" s="1098"/>
      <c r="IM668" s="1098"/>
      <c r="IN668" s="1098"/>
      <c r="IO668" s="1098"/>
      <c r="IP668" s="1098"/>
      <c r="IQ668" s="1098"/>
      <c r="IR668" s="1098"/>
      <c r="IS668" s="1098"/>
      <c r="IT668" s="1098"/>
      <c r="IU668" s="1098"/>
      <c r="IV668" s="1098"/>
      <c r="IW668" s="1098"/>
      <c r="IX668" s="1098"/>
      <c r="IY668" s="1098"/>
      <c r="IZ668" s="1098"/>
      <c r="JA668" s="1098"/>
      <c r="JB668" s="1098"/>
      <c r="JC668" s="1098"/>
      <c r="JD668" s="1098"/>
      <c r="JE668" s="1098"/>
      <c r="JF668" s="1098"/>
      <c r="JG668" s="1098"/>
      <c r="JH668" s="1098"/>
      <c r="JI668" s="1098"/>
      <c r="JJ668" s="1098"/>
      <c r="JK668" s="1098"/>
      <c r="JL668" s="1098"/>
      <c r="JM668" s="1098"/>
      <c r="JN668" s="1098"/>
      <c r="JO668" s="1098"/>
      <c r="JP668" s="1098"/>
      <c r="JQ668" s="1098"/>
      <c r="JR668" s="1098"/>
      <c r="JS668" s="1098"/>
      <c r="JT668" s="1098"/>
      <c r="JU668" s="1098"/>
      <c r="JV668" s="1098"/>
      <c r="JW668" s="1098"/>
      <c r="JX668" s="1098"/>
      <c r="JY668" s="1098"/>
      <c r="JZ668" s="1098"/>
      <c r="KA668" s="1098"/>
      <c r="KB668" s="1099"/>
    </row>
    <row r="669" spans="2:288" ht="15" customHeight="1" x14ac:dyDescent="0.35">
      <c r="B669" s="146" t="str">
        <f t="shared" si="55"/>
        <v>Desk 39</v>
      </c>
      <c r="C669" s="148" t="str">
        <v/>
      </c>
      <c r="D669" s="148" t="str">
        <v/>
      </c>
      <c r="E669" s="148" t="str">
        <v/>
      </c>
      <c r="F669" s="148" t="str">
        <v/>
      </c>
      <c r="G669" s="268" t="str">
        <v/>
      </c>
      <c r="H669" s="1098"/>
      <c r="I669" s="1098"/>
      <c r="J669" s="1098"/>
      <c r="K669" s="1098"/>
      <c r="L669" s="1098"/>
      <c r="M669" s="1098"/>
      <c r="N669" s="1098"/>
      <c r="O669" s="1098"/>
      <c r="P669" s="1098"/>
      <c r="Q669" s="1098"/>
      <c r="R669" s="1098"/>
      <c r="S669" s="1098"/>
      <c r="T669" s="1098"/>
      <c r="U669" s="1098"/>
      <c r="V669" s="1098"/>
      <c r="W669" s="1098"/>
      <c r="X669" s="1098"/>
      <c r="Y669" s="1098"/>
      <c r="Z669" s="1098"/>
      <c r="AA669" s="1098"/>
      <c r="AB669" s="1098"/>
      <c r="AC669" s="1098"/>
      <c r="AD669" s="1098"/>
      <c r="AE669" s="1098"/>
      <c r="AF669" s="1098"/>
      <c r="AG669" s="1098"/>
      <c r="AH669" s="1098"/>
      <c r="AI669" s="1098"/>
      <c r="AJ669" s="1098"/>
      <c r="AK669" s="1098"/>
      <c r="AL669" s="1098"/>
      <c r="AM669" s="1098"/>
      <c r="AN669" s="1098"/>
      <c r="AO669" s="1098"/>
      <c r="AP669" s="1098"/>
      <c r="AQ669" s="1098"/>
      <c r="AR669" s="1098"/>
      <c r="AS669" s="1098"/>
      <c r="AT669" s="1098"/>
      <c r="AU669" s="1098"/>
      <c r="AV669" s="1098"/>
      <c r="AW669" s="1098"/>
      <c r="AX669" s="1098"/>
      <c r="AY669" s="1098"/>
      <c r="AZ669" s="1098"/>
      <c r="BA669" s="1098"/>
      <c r="BB669" s="1098"/>
      <c r="BC669" s="1098"/>
      <c r="BD669" s="1098"/>
      <c r="BE669" s="1098"/>
      <c r="BF669" s="1098"/>
      <c r="BG669" s="1098"/>
      <c r="BH669" s="1098"/>
      <c r="BI669" s="1098"/>
      <c r="BJ669" s="1098"/>
      <c r="BK669" s="1098"/>
      <c r="BL669" s="1098"/>
      <c r="BM669" s="1098"/>
      <c r="BN669" s="1098"/>
      <c r="BO669" s="1098"/>
      <c r="BP669" s="1098"/>
      <c r="BQ669" s="1098"/>
      <c r="BR669" s="1098"/>
      <c r="BS669" s="1098"/>
      <c r="BT669" s="1098"/>
      <c r="BU669" s="1098"/>
      <c r="BV669" s="1098"/>
      <c r="BW669" s="1098"/>
      <c r="BX669" s="1098"/>
      <c r="BY669" s="1098"/>
      <c r="BZ669" s="1098"/>
      <c r="CA669" s="1098"/>
      <c r="CB669" s="1098"/>
      <c r="CC669" s="1098"/>
      <c r="CD669" s="1098"/>
      <c r="CE669" s="1098"/>
      <c r="CF669" s="1098"/>
      <c r="CG669" s="1098"/>
      <c r="CH669" s="1098"/>
      <c r="CI669" s="1098"/>
      <c r="CJ669" s="1098"/>
      <c r="CK669" s="1098"/>
      <c r="CL669" s="1098"/>
      <c r="CM669" s="1098"/>
      <c r="CN669" s="1098"/>
      <c r="CO669" s="1098"/>
      <c r="CP669" s="1098"/>
      <c r="CQ669" s="1098"/>
      <c r="CR669" s="1098"/>
      <c r="CS669" s="1098"/>
      <c r="CT669" s="1098"/>
      <c r="CU669" s="1098"/>
      <c r="CV669" s="1098"/>
      <c r="CW669" s="1098"/>
      <c r="CX669" s="1098"/>
      <c r="CY669" s="1098"/>
      <c r="CZ669" s="1098"/>
      <c r="DA669" s="1098"/>
      <c r="DB669" s="1098"/>
      <c r="DC669" s="1098"/>
      <c r="DD669" s="1098"/>
      <c r="DE669" s="1098"/>
      <c r="DF669" s="1098"/>
      <c r="DG669" s="1098"/>
      <c r="DH669" s="1098"/>
      <c r="DI669" s="1098"/>
      <c r="DJ669" s="1098"/>
      <c r="DK669" s="1098"/>
      <c r="DL669" s="1098"/>
      <c r="DM669" s="1098"/>
      <c r="DN669" s="1098"/>
      <c r="DO669" s="1098"/>
      <c r="DP669" s="1098"/>
      <c r="DQ669" s="1098"/>
      <c r="DR669" s="1098"/>
      <c r="DS669" s="1098"/>
      <c r="DT669" s="1098"/>
      <c r="DU669" s="1098"/>
      <c r="DV669" s="1098"/>
      <c r="DW669" s="1098"/>
      <c r="DX669" s="1098"/>
      <c r="DY669" s="1098"/>
      <c r="DZ669" s="1098"/>
      <c r="EA669" s="1098"/>
      <c r="EB669" s="1098"/>
      <c r="EC669" s="1098"/>
      <c r="ED669" s="1098"/>
      <c r="EE669" s="1098"/>
      <c r="EF669" s="1098"/>
      <c r="EG669" s="1098"/>
      <c r="EH669" s="1098"/>
      <c r="EI669" s="1098"/>
      <c r="EJ669" s="1098"/>
      <c r="EK669" s="1098"/>
      <c r="EL669" s="1098"/>
      <c r="EM669" s="1098"/>
      <c r="EN669" s="1098"/>
      <c r="EO669" s="1098"/>
      <c r="EP669" s="1098"/>
      <c r="EQ669" s="1098"/>
      <c r="ER669" s="1098"/>
      <c r="ES669" s="1098"/>
      <c r="ET669" s="1098"/>
      <c r="EU669" s="1098"/>
      <c r="EV669" s="1098"/>
      <c r="EW669" s="1098"/>
      <c r="EX669" s="1098"/>
      <c r="EY669" s="1098"/>
      <c r="EZ669" s="1098"/>
      <c r="FA669" s="1098"/>
      <c r="FB669" s="1098"/>
      <c r="FC669" s="1098"/>
      <c r="FD669" s="1098"/>
      <c r="FE669" s="1098"/>
      <c r="FF669" s="1098"/>
      <c r="FG669" s="1098"/>
      <c r="FH669" s="1098"/>
      <c r="FI669" s="1098"/>
      <c r="FJ669" s="1098"/>
      <c r="FK669" s="1098"/>
      <c r="FL669" s="1098"/>
      <c r="FM669" s="1098"/>
      <c r="FN669" s="1098"/>
      <c r="FO669" s="1098"/>
      <c r="FP669" s="1098"/>
      <c r="FQ669" s="1098"/>
      <c r="FR669" s="1098"/>
      <c r="FS669" s="1098"/>
      <c r="FT669" s="1098"/>
      <c r="FU669" s="1098"/>
      <c r="FV669" s="1098"/>
      <c r="FW669" s="1098"/>
      <c r="FX669" s="1098"/>
      <c r="FY669" s="1098"/>
      <c r="FZ669" s="1098"/>
      <c r="GA669" s="1098"/>
      <c r="GB669" s="1098"/>
      <c r="GC669" s="1098"/>
      <c r="GD669" s="1098"/>
      <c r="GE669" s="1098"/>
      <c r="GF669" s="1098"/>
      <c r="GG669" s="1098"/>
      <c r="GH669" s="1098"/>
      <c r="GI669" s="1098"/>
      <c r="GJ669" s="1098"/>
      <c r="GK669" s="1098"/>
      <c r="GL669" s="1098"/>
      <c r="GM669" s="1098"/>
      <c r="GN669" s="1098"/>
      <c r="GO669" s="1098"/>
      <c r="GP669" s="1098"/>
      <c r="GQ669" s="1098"/>
      <c r="GR669" s="1098"/>
      <c r="GS669" s="1098"/>
      <c r="GT669" s="1098"/>
      <c r="GU669" s="1098"/>
      <c r="GV669" s="1098"/>
      <c r="GW669" s="1098"/>
      <c r="GX669" s="1098"/>
      <c r="GY669" s="1098"/>
      <c r="GZ669" s="1098"/>
      <c r="HA669" s="1098"/>
      <c r="HB669" s="1098"/>
      <c r="HC669" s="1098"/>
      <c r="HD669" s="1098"/>
      <c r="HE669" s="1098"/>
      <c r="HF669" s="1098"/>
      <c r="HG669" s="1098"/>
      <c r="HH669" s="1098"/>
      <c r="HI669" s="1098"/>
      <c r="HJ669" s="1098"/>
      <c r="HK669" s="1098"/>
      <c r="HL669" s="1098"/>
      <c r="HM669" s="1098"/>
      <c r="HN669" s="1098"/>
      <c r="HO669" s="1098"/>
      <c r="HP669" s="1098"/>
      <c r="HQ669" s="1098"/>
      <c r="HR669" s="1098"/>
      <c r="HS669" s="1098"/>
      <c r="HT669" s="1098"/>
      <c r="HU669" s="1098"/>
      <c r="HV669" s="1098"/>
      <c r="HW669" s="1098"/>
      <c r="HX669" s="1098"/>
      <c r="HY669" s="1098"/>
      <c r="HZ669" s="1098"/>
      <c r="IA669" s="1098"/>
      <c r="IB669" s="1098"/>
      <c r="IC669" s="1098"/>
      <c r="ID669" s="1098"/>
      <c r="IE669" s="1098"/>
      <c r="IF669" s="1098"/>
      <c r="IG669" s="1098"/>
      <c r="IH669" s="1098"/>
      <c r="II669" s="1098"/>
      <c r="IJ669" s="1098"/>
      <c r="IK669" s="1098"/>
      <c r="IL669" s="1098"/>
      <c r="IM669" s="1098"/>
      <c r="IN669" s="1098"/>
      <c r="IO669" s="1098"/>
      <c r="IP669" s="1098"/>
      <c r="IQ669" s="1098"/>
      <c r="IR669" s="1098"/>
      <c r="IS669" s="1098"/>
      <c r="IT669" s="1098"/>
      <c r="IU669" s="1098"/>
      <c r="IV669" s="1098"/>
      <c r="IW669" s="1098"/>
      <c r="IX669" s="1098"/>
      <c r="IY669" s="1098"/>
      <c r="IZ669" s="1098"/>
      <c r="JA669" s="1098"/>
      <c r="JB669" s="1098"/>
      <c r="JC669" s="1098"/>
      <c r="JD669" s="1098"/>
      <c r="JE669" s="1098"/>
      <c r="JF669" s="1098"/>
      <c r="JG669" s="1098"/>
      <c r="JH669" s="1098"/>
      <c r="JI669" s="1098"/>
      <c r="JJ669" s="1098"/>
      <c r="JK669" s="1098"/>
      <c r="JL669" s="1098"/>
      <c r="JM669" s="1098"/>
      <c r="JN669" s="1098"/>
      <c r="JO669" s="1098"/>
      <c r="JP669" s="1098"/>
      <c r="JQ669" s="1098"/>
      <c r="JR669" s="1098"/>
      <c r="JS669" s="1098"/>
      <c r="JT669" s="1098"/>
      <c r="JU669" s="1098"/>
      <c r="JV669" s="1098"/>
      <c r="JW669" s="1098"/>
      <c r="JX669" s="1098"/>
      <c r="JY669" s="1098"/>
      <c r="JZ669" s="1098"/>
      <c r="KA669" s="1098"/>
      <c r="KB669" s="1099"/>
    </row>
    <row r="670" spans="2:288" ht="15" customHeight="1" x14ac:dyDescent="0.35">
      <c r="B670" s="146" t="str">
        <f t="shared" si="55"/>
        <v>Desk 40</v>
      </c>
      <c r="C670" s="148" t="str">
        <v/>
      </c>
      <c r="D670" s="148" t="str">
        <v/>
      </c>
      <c r="E670" s="148" t="str">
        <v/>
      </c>
      <c r="F670" s="148" t="str">
        <v/>
      </c>
      <c r="G670" s="268" t="str">
        <v/>
      </c>
      <c r="H670" s="1098"/>
      <c r="I670" s="1098"/>
      <c r="J670" s="1098"/>
      <c r="K670" s="1098"/>
      <c r="L670" s="1098"/>
      <c r="M670" s="1098"/>
      <c r="N670" s="1098"/>
      <c r="O670" s="1098"/>
      <c r="P670" s="1098"/>
      <c r="Q670" s="1098"/>
      <c r="R670" s="1098"/>
      <c r="S670" s="1098"/>
      <c r="T670" s="1098"/>
      <c r="U670" s="1098"/>
      <c r="V670" s="1098"/>
      <c r="W670" s="1098"/>
      <c r="X670" s="1098"/>
      <c r="Y670" s="1098"/>
      <c r="Z670" s="1098"/>
      <c r="AA670" s="1098"/>
      <c r="AB670" s="1098"/>
      <c r="AC670" s="1098"/>
      <c r="AD670" s="1098"/>
      <c r="AE670" s="1098"/>
      <c r="AF670" s="1098"/>
      <c r="AG670" s="1098"/>
      <c r="AH670" s="1098"/>
      <c r="AI670" s="1098"/>
      <c r="AJ670" s="1098"/>
      <c r="AK670" s="1098"/>
      <c r="AL670" s="1098"/>
      <c r="AM670" s="1098"/>
      <c r="AN670" s="1098"/>
      <c r="AO670" s="1098"/>
      <c r="AP670" s="1098"/>
      <c r="AQ670" s="1098"/>
      <c r="AR670" s="1098"/>
      <c r="AS670" s="1098"/>
      <c r="AT670" s="1098"/>
      <c r="AU670" s="1098"/>
      <c r="AV670" s="1098"/>
      <c r="AW670" s="1098"/>
      <c r="AX670" s="1098"/>
      <c r="AY670" s="1098"/>
      <c r="AZ670" s="1098"/>
      <c r="BA670" s="1098"/>
      <c r="BB670" s="1098"/>
      <c r="BC670" s="1098"/>
      <c r="BD670" s="1098"/>
      <c r="BE670" s="1098"/>
      <c r="BF670" s="1098"/>
      <c r="BG670" s="1098"/>
      <c r="BH670" s="1098"/>
      <c r="BI670" s="1098"/>
      <c r="BJ670" s="1098"/>
      <c r="BK670" s="1098"/>
      <c r="BL670" s="1098"/>
      <c r="BM670" s="1098"/>
      <c r="BN670" s="1098"/>
      <c r="BO670" s="1098"/>
      <c r="BP670" s="1098"/>
      <c r="BQ670" s="1098"/>
      <c r="BR670" s="1098"/>
      <c r="BS670" s="1098"/>
      <c r="BT670" s="1098"/>
      <c r="BU670" s="1098"/>
      <c r="BV670" s="1098"/>
      <c r="BW670" s="1098"/>
      <c r="BX670" s="1098"/>
      <c r="BY670" s="1098"/>
      <c r="BZ670" s="1098"/>
      <c r="CA670" s="1098"/>
      <c r="CB670" s="1098"/>
      <c r="CC670" s="1098"/>
      <c r="CD670" s="1098"/>
      <c r="CE670" s="1098"/>
      <c r="CF670" s="1098"/>
      <c r="CG670" s="1098"/>
      <c r="CH670" s="1098"/>
      <c r="CI670" s="1098"/>
      <c r="CJ670" s="1098"/>
      <c r="CK670" s="1098"/>
      <c r="CL670" s="1098"/>
      <c r="CM670" s="1098"/>
      <c r="CN670" s="1098"/>
      <c r="CO670" s="1098"/>
      <c r="CP670" s="1098"/>
      <c r="CQ670" s="1098"/>
      <c r="CR670" s="1098"/>
      <c r="CS670" s="1098"/>
      <c r="CT670" s="1098"/>
      <c r="CU670" s="1098"/>
      <c r="CV670" s="1098"/>
      <c r="CW670" s="1098"/>
      <c r="CX670" s="1098"/>
      <c r="CY670" s="1098"/>
      <c r="CZ670" s="1098"/>
      <c r="DA670" s="1098"/>
      <c r="DB670" s="1098"/>
      <c r="DC670" s="1098"/>
      <c r="DD670" s="1098"/>
      <c r="DE670" s="1098"/>
      <c r="DF670" s="1098"/>
      <c r="DG670" s="1098"/>
      <c r="DH670" s="1098"/>
      <c r="DI670" s="1098"/>
      <c r="DJ670" s="1098"/>
      <c r="DK670" s="1098"/>
      <c r="DL670" s="1098"/>
      <c r="DM670" s="1098"/>
      <c r="DN670" s="1098"/>
      <c r="DO670" s="1098"/>
      <c r="DP670" s="1098"/>
      <c r="DQ670" s="1098"/>
      <c r="DR670" s="1098"/>
      <c r="DS670" s="1098"/>
      <c r="DT670" s="1098"/>
      <c r="DU670" s="1098"/>
      <c r="DV670" s="1098"/>
      <c r="DW670" s="1098"/>
      <c r="DX670" s="1098"/>
      <c r="DY670" s="1098"/>
      <c r="DZ670" s="1098"/>
      <c r="EA670" s="1098"/>
      <c r="EB670" s="1098"/>
      <c r="EC670" s="1098"/>
      <c r="ED670" s="1098"/>
      <c r="EE670" s="1098"/>
      <c r="EF670" s="1098"/>
      <c r="EG670" s="1098"/>
      <c r="EH670" s="1098"/>
      <c r="EI670" s="1098"/>
      <c r="EJ670" s="1098"/>
      <c r="EK670" s="1098"/>
      <c r="EL670" s="1098"/>
      <c r="EM670" s="1098"/>
      <c r="EN670" s="1098"/>
      <c r="EO670" s="1098"/>
      <c r="EP670" s="1098"/>
      <c r="EQ670" s="1098"/>
      <c r="ER670" s="1098"/>
      <c r="ES670" s="1098"/>
      <c r="ET670" s="1098"/>
      <c r="EU670" s="1098"/>
      <c r="EV670" s="1098"/>
      <c r="EW670" s="1098"/>
      <c r="EX670" s="1098"/>
      <c r="EY670" s="1098"/>
      <c r="EZ670" s="1098"/>
      <c r="FA670" s="1098"/>
      <c r="FB670" s="1098"/>
      <c r="FC670" s="1098"/>
      <c r="FD670" s="1098"/>
      <c r="FE670" s="1098"/>
      <c r="FF670" s="1098"/>
      <c r="FG670" s="1098"/>
      <c r="FH670" s="1098"/>
      <c r="FI670" s="1098"/>
      <c r="FJ670" s="1098"/>
      <c r="FK670" s="1098"/>
      <c r="FL670" s="1098"/>
      <c r="FM670" s="1098"/>
      <c r="FN670" s="1098"/>
      <c r="FO670" s="1098"/>
      <c r="FP670" s="1098"/>
      <c r="FQ670" s="1098"/>
      <c r="FR670" s="1098"/>
      <c r="FS670" s="1098"/>
      <c r="FT670" s="1098"/>
      <c r="FU670" s="1098"/>
      <c r="FV670" s="1098"/>
      <c r="FW670" s="1098"/>
      <c r="FX670" s="1098"/>
      <c r="FY670" s="1098"/>
      <c r="FZ670" s="1098"/>
      <c r="GA670" s="1098"/>
      <c r="GB670" s="1098"/>
      <c r="GC670" s="1098"/>
      <c r="GD670" s="1098"/>
      <c r="GE670" s="1098"/>
      <c r="GF670" s="1098"/>
      <c r="GG670" s="1098"/>
      <c r="GH670" s="1098"/>
      <c r="GI670" s="1098"/>
      <c r="GJ670" s="1098"/>
      <c r="GK670" s="1098"/>
      <c r="GL670" s="1098"/>
      <c r="GM670" s="1098"/>
      <c r="GN670" s="1098"/>
      <c r="GO670" s="1098"/>
      <c r="GP670" s="1098"/>
      <c r="GQ670" s="1098"/>
      <c r="GR670" s="1098"/>
      <c r="GS670" s="1098"/>
      <c r="GT670" s="1098"/>
      <c r="GU670" s="1098"/>
      <c r="GV670" s="1098"/>
      <c r="GW670" s="1098"/>
      <c r="GX670" s="1098"/>
      <c r="GY670" s="1098"/>
      <c r="GZ670" s="1098"/>
      <c r="HA670" s="1098"/>
      <c r="HB670" s="1098"/>
      <c r="HC670" s="1098"/>
      <c r="HD670" s="1098"/>
      <c r="HE670" s="1098"/>
      <c r="HF670" s="1098"/>
      <c r="HG670" s="1098"/>
      <c r="HH670" s="1098"/>
      <c r="HI670" s="1098"/>
      <c r="HJ670" s="1098"/>
      <c r="HK670" s="1098"/>
      <c r="HL670" s="1098"/>
      <c r="HM670" s="1098"/>
      <c r="HN670" s="1098"/>
      <c r="HO670" s="1098"/>
      <c r="HP670" s="1098"/>
      <c r="HQ670" s="1098"/>
      <c r="HR670" s="1098"/>
      <c r="HS670" s="1098"/>
      <c r="HT670" s="1098"/>
      <c r="HU670" s="1098"/>
      <c r="HV670" s="1098"/>
      <c r="HW670" s="1098"/>
      <c r="HX670" s="1098"/>
      <c r="HY670" s="1098"/>
      <c r="HZ670" s="1098"/>
      <c r="IA670" s="1098"/>
      <c r="IB670" s="1098"/>
      <c r="IC670" s="1098"/>
      <c r="ID670" s="1098"/>
      <c r="IE670" s="1098"/>
      <c r="IF670" s="1098"/>
      <c r="IG670" s="1098"/>
      <c r="IH670" s="1098"/>
      <c r="II670" s="1098"/>
      <c r="IJ670" s="1098"/>
      <c r="IK670" s="1098"/>
      <c r="IL670" s="1098"/>
      <c r="IM670" s="1098"/>
      <c r="IN670" s="1098"/>
      <c r="IO670" s="1098"/>
      <c r="IP670" s="1098"/>
      <c r="IQ670" s="1098"/>
      <c r="IR670" s="1098"/>
      <c r="IS670" s="1098"/>
      <c r="IT670" s="1098"/>
      <c r="IU670" s="1098"/>
      <c r="IV670" s="1098"/>
      <c r="IW670" s="1098"/>
      <c r="IX670" s="1098"/>
      <c r="IY670" s="1098"/>
      <c r="IZ670" s="1098"/>
      <c r="JA670" s="1098"/>
      <c r="JB670" s="1098"/>
      <c r="JC670" s="1098"/>
      <c r="JD670" s="1098"/>
      <c r="JE670" s="1098"/>
      <c r="JF670" s="1098"/>
      <c r="JG670" s="1098"/>
      <c r="JH670" s="1098"/>
      <c r="JI670" s="1098"/>
      <c r="JJ670" s="1098"/>
      <c r="JK670" s="1098"/>
      <c r="JL670" s="1098"/>
      <c r="JM670" s="1098"/>
      <c r="JN670" s="1098"/>
      <c r="JO670" s="1098"/>
      <c r="JP670" s="1098"/>
      <c r="JQ670" s="1098"/>
      <c r="JR670" s="1098"/>
      <c r="JS670" s="1098"/>
      <c r="JT670" s="1098"/>
      <c r="JU670" s="1098"/>
      <c r="JV670" s="1098"/>
      <c r="JW670" s="1098"/>
      <c r="JX670" s="1098"/>
      <c r="JY670" s="1098"/>
      <c r="JZ670" s="1098"/>
      <c r="KA670" s="1098"/>
      <c r="KB670" s="1099"/>
    </row>
    <row r="671" spans="2:288" ht="15" customHeight="1" x14ac:dyDescent="0.35">
      <c r="B671" s="146" t="str">
        <f t="shared" si="55"/>
        <v>Desk 41</v>
      </c>
      <c r="C671" s="148" t="str">
        <v/>
      </c>
      <c r="D671" s="148" t="str">
        <v/>
      </c>
      <c r="E671" s="148" t="str">
        <v/>
      </c>
      <c r="F671" s="148" t="str">
        <v/>
      </c>
      <c r="G671" s="268" t="str">
        <v/>
      </c>
      <c r="H671" s="1098"/>
      <c r="I671" s="1098"/>
      <c r="J671" s="1098"/>
      <c r="K671" s="1098"/>
      <c r="L671" s="1098"/>
      <c r="M671" s="1098"/>
      <c r="N671" s="1098"/>
      <c r="O671" s="1098"/>
      <c r="P671" s="1098"/>
      <c r="Q671" s="1098"/>
      <c r="R671" s="1098"/>
      <c r="S671" s="1098"/>
      <c r="T671" s="1098"/>
      <c r="U671" s="1098"/>
      <c r="V671" s="1098"/>
      <c r="W671" s="1098"/>
      <c r="X671" s="1098"/>
      <c r="Y671" s="1098"/>
      <c r="Z671" s="1098"/>
      <c r="AA671" s="1098"/>
      <c r="AB671" s="1098"/>
      <c r="AC671" s="1098"/>
      <c r="AD671" s="1098"/>
      <c r="AE671" s="1098"/>
      <c r="AF671" s="1098"/>
      <c r="AG671" s="1098"/>
      <c r="AH671" s="1098"/>
      <c r="AI671" s="1098"/>
      <c r="AJ671" s="1098"/>
      <c r="AK671" s="1098"/>
      <c r="AL671" s="1098"/>
      <c r="AM671" s="1098"/>
      <c r="AN671" s="1098"/>
      <c r="AO671" s="1098"/>
      <c r="AP671" s="1098"/>
      <c r="AQ671" s="1098"/>
      <c r="AR671" s="1098"/>
      <c r="AS671" s="1098"/>
      <c r="AT671" s="1098"/>
      <c r="AU671" s="1098"/>
      <c r="AV671" s="1098"/>
      <c r="AW671" s="1098"/>
      <c r="AX671" s="1098"/>
      <c r="AY671" s="1098"/>
      <c r="AZ671" s="1098"/>
      <c r="BA671" s="1098"/>
      <c r="BB671" s="1098"/>
      <c r="BC671" s="1098"/>
      <c r="BD671" s="1098"/>
      <c r="BE671" s="1098"/>
      <c r="BF671" s="1098"/>
      <c r="BG671" s="1098"/>
      <c r="BH671" s="1098"/>
      <c r="BI671" s="1098"/>
      <c r="BJ671" s="1098"/>
      <c r="BK671" s="1098"/>
      <c r="BL671" s="1098"/>
      <c r="BM671" s="1098"/>
      <c r="BN671" s="1098"/>
      <c r="BO671" s="1098"/>
      <c r="BP671" s="1098"/>
      <c r="BQ671" s="1098"/>
      <c r="BR671" s="1098"/>
      <c r="BS671" s="1098"/>
      <c r="BT671" s="1098"/>
      <c r="BU671" s="1098"/>
      <c r="BV671" s="1098"/>
      <c r="BW671" s="1098"/>
      <c r="BX671" s="1098"/>
      <c r="BY671" s="1098"/>
      <c r="BZ671" s="1098"/>
      <c r="CA671" s="1098"/>
      <c r="CB671" s="1098"/>
      <c r="CC671" s="1098"/>
      <c r="CD671" s="1098"/>
      <c r="CE671" s="1098"/>
      <c r="CF671" s="1098"/>
      <c r="CG671" s="1098"/>
      <c r="CH671" s="1098"/>
      <c r="CI671" s="1098"/>
      <c r="CJ671" s="1098"/>
      <c r="CK671" s="1098"/>
      <c r="CL671" s="1098"/>
      <c r="CM671" s="1098"/>
      <c r="CN671" s="1098"/>
      <c r="CO671" s="1098"/>
      <c r="CP671" s="1098"/>
      <c r="CQ671" s="1098"/>
      <c r="CR671" s="1098"/>
      <c r="CS671" s="1098"/>
      <c r="CT671" s="1098"/>
      <c r="CU671" s="1098"/>
      <c r="CV671" s="1098"/>
      <c r="CW671" s="1098"/>
      <c r="CX671" s="1098"/>
      <c r="CY671" s="1098"/>
      <c r="CZ671" s="1098"/>
      <c r="DA671" s="1098"/>
      <c r="DB671" s="1098"/>
      <c r="DC671" s="1098"/>
      <c r="DD671" s="1098"/>
      <c r="DE671" s="1098"/>
      <c r="DF671" s="1098"/>
      <c r="DG671" s="1098"/>
      <c r="DH671" s="1098"/>
      <c r="DI671" s="1098"/>
      <c r="DJ671" s="1098"/>
      <c r="DK671" s="1098"/>
      <c r="DL671" s="1098"/>
      <c r="DM671" s="1098"/>
      <c r="DN671" s="1098"/>
      <c r="DO671" s="1098"/>
      <c r="DP671" s="1098"/>
      <c r="DQ671" s="1098"/>
      <c r="DR671" s="1098"/>
      <c r="DS671" s="1098"/>
      <c r="DT671" s="1098"/>
      <c r="DU671" s="1098"/>
      <c r="DV671" s="1098"/>
      <c r="DW671" s="1098"/>
      <c r="DX671" s="1098"/>
      <c r="DY671" s="1098"/>
      <c r="DZ671" s="1098"/>
      <c r="EA671" s="1098"/>
      <c r="EB671" s="1098"/>
      <c r="EC671" s="1098"/>
      <c r="ED671" s="1098"/>
      <c r="EE671" s="1098"/>
      <c r="EF671" s="1098"/>
      <c r="EG671" s="1098"/>
      <c r="EH671" s="1098"/>
      <c r="EI671" s="1098"/>
      <c r="EJ671" s="1098"/>
      <c r="EK671" s="1098"/>
      <c r="EL671" s="1098"/>
      <c r="EM671" s="1098"/>
      <c r="EN671" s="1098"/>
      <c r="EO671" s="1098"/>
      <c r="EP671" s="1098"/>
      <c r="EQ671" s="1098"/>
      <c r="ER671" s="1098"/>
      <c r="ES671" s="1098"/>
      <c r="ET671" s="1098"/>
      <c r="EU671" s="1098"/>
      <c r="EV671" s="1098"/>
      <c r="EW671" s="1098"/>
      <c r="EX671" s="1098"/>
      <c r="EY671" s="1098"/>
      <c r="EZ671" s="1098"/>
      <c r="FA671" s="1098"/>
      <c r="FB671" s="1098"/>
      <c r="FC671" s="1098"/>
      <c r="FD671" s="1098"/>
      <c r="FE671" s="1098"/>
      <c r="FF671" s="1098"/>
      <c r="FG671" s="1098"/>
      <c r="FH671" s="1098"/>
      <c r="FI671" s="1098"/>
      <c r="FJ671" s="1098"/>
      <c r="FK671" s="1098"/>
      <c r="FL671" s="1098"/>
      <c r="FM671" s="1098"/>
      <c r="FN671" s="1098"/>
      <c r="FO671" s="1098"/>
      <c r="FP671" s="1098"/>
      <c r="FQ671" s="1098"/>
      <c r="FR671" s="1098"/>
      <c r="FS671" s="1098"/>
      <c r="FT671" s="1098"/>
      <c r="FU671" s="1098"/>
      <c r="FV671" s="1098"/>
      <c r="FW671" s="1098"/>
      <c r="FX671" s="1098"/>
      <c r="FY671" s="1098"/>
      <c r="FZ671" s="1098"/>
      <c r="GA671" s="1098"/>
      <c r="GB671" s="1098"/>
      <c r="GC671" s="1098"/>
      <c r="GD671" s="1098"/>
      <c r="GE671" s="1098"/>
      <c r="GF671" s="1098"/>
      <c r="GG671" s="1098"/>
      <c r="GH671" s="1098"/>
      <c r="GI671" s="1098"/>
      <c r="GJ671" s="1098"/>
      <c r="GK671" s="1098"/>
      <c r="GL671" s="1098"/>
      <c r="GM671" s="1098"/>
      <c r="GN671" s="1098"/>
      <c r="GO671" s="1098"/>
      <c r="GP671" s="1098"/>
      <c r="GQ671" s="1098"/>
      <c r="GR671" s="1098"/>
      <c r="GS671" s="1098"/>
      <c r="GT671" s="1098"/>
      <c r="GU671" s="1098"/>
      <c r="GV671" s="1098"/>
      <c r="GW671" s="1098"/>
      <c r="GX671" s="1098"/>
      <c r="GY671" s="1098"/>
      <c r="GZ671" s="1098"/>
      <c r="HA671" s="1098"/>
      <c r="HB671" s="1098"/>
      <c r="HC671" s="1098"/>
      <c r="HD671" s="1098"/>
      <c r="HE671" s="1098"/>
      <c r="HF671" s="1098"/>
      <c r="HG671" s="1098"/>
      <c r="HH671" s="1098"/>
      <c r="HI671" s="1098"/>
      <c r="HJ671" s="1098"/>
      <c r="HK671" s="1098"/>
      <c r="HL671" s="1098"/>
      <c r="HM671" s="1098"/>
      <c r="HN671" s="1098"/>
      <c r="HO671" s="1098"/>
      <c r="HP671" s="1098"/>
      <c r="HQ671" s="1098"/>
      <c r="HR671" s="1098"/>
      <c r="HS671" s="1098"/>
      <c r="HT671" s="1098"/>
      <c r="HU671" s="1098"/>
      <c r="HV671" s="1098"/>
      <c r="HW671" s="1098"/>
      <c r="HX671" s="1098"/>
      <c r="HY671" s="1098"/>
      <c r="HZ671" s="1098"/>
      <c r="IA671" s="1098"/>
      <c r="IB671" s="1098"/>
      <c r="IC671" s="1098"/>
      <c r="ID671" s="1098"/>
      <c r="IE671" s="1098"/>
      <c r="IF671" s="1098"/>
      <c r="IG671" s="1098"/>
      <c r="IH671" s="1098"/>
      <c r="II671" s="1098"/>
      <c r="IJ671" s="1098"/>
      <c r="IK671" s="1098"/>
      <c r="IL671" s="1098"/>
      <c r="IM671" s="1098"/>
      <c r="IN671" s="1098"/>
      <c r="IO671" s="1098"/>
      <c r="IP671" s="1098"/>
      <c r="IQ671" s="1098"/>
      <c r="IR671" s="1098"/>
      <c r="IS671" s="1098"/>
      <c r="IT671" s="1098"/>
      <c r="IU671" s="1098"/>
      <c r="IV671" s="1098"/>
      <c r="IW671" s="1098"/>
      <c r="IX671" s="1098"/>
      <c r="IY671" s="1098"/>
      <c r="IZ671" s="1098"/>
      <c r="JA671" s="1098"/>
      <c r="JB671" s="1098"/>
      <c r="JC671" s="1098"/>
      <c r="JD671" s="1098"/>
      <c r="JE671" s="1098"/>
      <c r="JF671" s="1098"/>
      <c r="JG671" s="1098"/>
      <c r="JH671" s="1098"/>
      <c r="JI671" s="1098"/>
      <c r="JJ671" s="1098"/>
      <c r="JK671" s="1098"/>
      <c r="JL671" s="1098"/>
      <c r="JM671" s="1098"/>
      <c r="JN671" s="1098"/>
      <c r="JO671" s="1098"/>
      <c r="JP671" s="1098"/>
      <c r="JQ671" s="1098"/>
      <c r="JR671" s="1098"/>
      <c r="JS671" s="1098"/>
      <c r="JT671" s="1098"/>
      <c r="JU671" s="1098"/>
      <c r="JV671" s="1098"/>
      <c r="JW671" s="1098"/>
      <c r="JX671" s="1098"/>
      <c r="JY671" s="1098"/>
      <c r="JZ671" s="1098"/>
      <c r="KA671" s="1098"/>
      <c r="KB671" s="1099"/>
    </row>
    <row r="672" spans="2:288" ht="15" customHeight="1" x14ac:dyDescent="0.35">
      <c r="B672" s="146" t="str">
        <f t="shared" si="55"/>
        <v>Desk 42</v>
      </c>
      <c r="C672" s="148" t="str">
        <v/>
      </c>
      <c r="D672" s="148" t="str">
        <v/>
      </c>
      <c r="E672" s="148" t="str">
        <v/>
      </c>
      <c r="F672" s="148" t="str">
        <v/>
      </c>
      <c r="G672" s="268" t="str">
        <v/>
      </c>
      <c r="H672" s="1098"/>
      <c r="I672" s="1098"/>
      <c r="J672" s="1098"/>
      <c r="K672" s="1098"/>
      <c r="L672" s="1098"/>
      <c r="M672" s="1098"/>
      <c r="N672" s="1098"/>
      <c r="O672" s="1098"/>
      <c r="P672" s="1098"/>
      <c r="Q672" s="1098"/>
      <c r="R672" s="1098"/>
      <c r="S672" s="1098"/>
      <c r="T672" s="1098"/>
      <c r="U672" s="1098"/>
      <c r="V672" s="1098"/>
      <c r="W672" s="1098"/>
      <c r="X672" s="1098"/>
      <c r="Y672" s="1098"/>
      <c r="Z672" s="1098"/>
      <c r="AA672" s="1098"/>
      <c r="AB672" s="1098"/>
      <c r="AC672" s="1098"/>
      <c r="AD672" s="1098"/>
      <c r="AE672" s="1098"/>
      <c r="AF672" s="1098"/>
      <c r="AG672" s="1098"/>
      <c r="AH672" s="1098"/>
      <c r="AI672" s="1098"/>
      <c r="AJ672" s="1098"/>
      <c r="AK672" s="1098"/>
      <c r="AL672" s="1098"/>
      <c r="AM672" s="1098"/>
      <c r="AN672" s="1098"/>
      <c r="AO672" s="1098"/>
      <c r="AP672" s="1098"/>
      <c r="AQ672" s="1098"/>
      <c r="AR672" s="1098"/>
      <c r="AS672" s="1098"/>
      <c r="AT672" s="1098"/>
      <c r="AU672" s="1098"/>
      <c r="AV672" s="1098"/>
      <c r="AW672" s="1098"/>
      <c r="AX672" s="1098"/>
      <c r="AY672" s="1098"/>
      <c r="AZ672" s="1098"/>
      <c r="BA672" s="1098"/>
      <c r="BB672" s="1098"/>
      <c r="BC672" s="1098"/>
      <c r="BD672" s="1098"/>
      <c r="BE672" s="1098"/>
      <c r="BF672" s="1098"/>
      <c r="BG672" s="1098"/>
      <c r="BH672" s="1098"/>
      <c r="BI672" s="1098"/>
      <c r="BJ672" s="1098"/>
      <c r="BK672" s="1098"/>
      <c r="BL672" s="1098"/>
      <c r="BM672" s="1098"/>
      <c r="BN672" s="1098"/>
      <c r="BO672" s="1098"/>
      <c r="BP672" s="1098"/>
      <c r="BQ672" s="1098"/>
      <c r="BR672" s="1098"/>
      <c r="BS672" s="1098"/>
      <c r="BT672" s="1098"/>
      <c r="BU672" s="1098"/>
      <c r="BV672" s="1098"/>
      <c r="BW672" s="1098"/>
      <c r="BX672" s="1098"/>
      <c r="BY672" s="1098"/>
      <c r="BZ672" s="1098"/>
      <c r="CA672" s="1098"/>
      <c r="CB672" s="1098"/>
      <c r="CC672" s="1098"/>
      <c r="CD672" s="1098"/>
      <c r="CE672" s="1098"/>
      <c r="CF672" s="1098"/>
      <c r="CG672" s="1098"/>
      <c r="CH672" s="1098"/>
      <c r="CI672" s="1098"/>
      <c r="CJ672" s="1098"/>
      <c r="CK672" s="1098"/>
      <c r="CL672" s="1098"/>
      <c r="CM672" s="1098"/>
      <c r="CN672" s="1098"/>
      <c r="CO672" s="1098"/>
      <c r="CP672" s="1098"/>
      <c r="CQ672" s="1098"/>
      <c r="CR672" s="1098"/>
      <c r="CS672" s="1098"/>
      <c r="CT672" s="1098"/>
      <c r="CU672" s="1098"/>
      <c r="CV672" s="1098"/>
      <c r="CW672" s="1098"/>
      <c r="CX672" s="1098"/>
      <c r="CY672" s="1098"/>
      <c r="CZ672" s="1098"/>
      <c r="DA672" s="1098"/>
      <c r="DB672" s="1098"/>
      <c r="DC672" s="1098"/>
      <c r="DD672" s="1098"/>
      <c r="DE672" s="1098"/>
      <c r="DF672" s="1098"/>
      <c r="DG672" s="1098"/>
      <c r="DH672" s="1098"/>
      <c r="DI672" s="1098"/>
      <c r="DJ672" s="1098"/>
      <c r="DK672" s="1098"/>
      <c r="DL672" s="1098"/>
      <c r="DM672" s="1098"/>
      <c r="DN672" s="1098"/>
      <c r="DO672" s="1098"/>
      <c r="DP672" s="1098"/>
      <c r="DQ672" s="1098"/>
      <c r="DR672" s="1098"/>
      <c r="DS672" s="1098"/>
      <c r="DT672" s="1098"/>
      <c r="DU672" s="1098"/>
      <c r="DV672" s="1098"/>
      <c r="DW672" s="1098"/>
      <c r="DX672" s="1098"/>
      <c r="DY672" s="1098"/>
      <c r="DZ672" s="1098"/>
      <c r="EA672" s="1098"/>
      <c r="EB672" s="1098"/>
      <c r="EC672" s="1098"/>
      <c r="ED672" s="1098"/>
      <c r="EE672" s="1098"/>
      <c r="EF672" s="1098"/>
      <c r="EG672" s="1098"/>
      <c r="EH672" s="1098"/>
      <c r="EI672" s="1098"/>
      <c r="EJ672" s="1098"/>
      <c r="EK672" s="1098"/>
      <c r="EL672" s="1098"/>
      <c r="EM672" s="1098"/>
      <c r="EN672" s="1098"/>
      <c r="EO672" s="1098"/>
      <c r="EP672" s="1098"/>
      <c r="EQ672" s="1098"/>
      <c r="ER672" s="1098"/>
      <c r="ES672" s="1098"/>
      <c r="ET672" s="1098"/>
      <c r="EU672" s="1098"/>
      <c r="EV672" s="1098"/>
      <c r="EW672" s="1098"/>
      <c r="EX672" s="1098"/>
      <c r="EY672" s="1098"/>
      <c r="EZ672" s="1098"/>
      <c r="FA672" s="1098"/>
      <c r="FB672" s="1098"/>
      <c r="FC672" s="1098"/>
      <c r="FD672" s="1098"/>
      <c r="FE672" s="1098"/>
      <c r="FF672" s="1098"/>
      <c r="FG672" s="1098"/>
      <c r="FH672" s="1098"/>
      <c r="FI672" s="1098"/>
      <c r="FJ672" s="1098"/>
      <c r="FK672" s="1098"/>
      <c r="FL672" s="1098"/>
      <c r="FM672" s="1098"/>
      <c r="FN672" s="1098"/>
      <c r="FO672" s="1098"/>
      <c r="FP672" s="1098"/>
      <c r="FQ672" s="1098"/>
      <c r="FR672" s="1098"/>
      <c r="FS672" s="1098"/>
      <c r="FT672" s="1098"/>
      <c r="FU672" s="1098"/>
      <c r="FV672" s="1098"/>
      <c r="FW672" s="1098"/>
      <c r="FX672" s="1098"/>
      <c r="FY672" s="1098"/>
      <c r="FZ672" s="1098"/>
      <c r="GA672" s="1098"/>
      <c r="GB672" s="1098"/>
      <c r="GC672" s="1098"/>
      <c r="GD672" s="1098"/>
      <c r="GE672" s="1098"/>
      <c r="GF672" s="1098"/>
      <c r="GG672" s="1098"/>
      <c r="GH672" s="1098"/>
      <c r="GI672" s="1098"/>
      <c r="GJ672" s="1098"/>
      <c r="GK672" s="1098"/>
      <c r="GL672" s="1098"/>
      <c r="GM672" s="1098"/>
      <c r="GN672" s="1098"/>
      <c r="GO672" s="1098"/>
      <c r="GP672" s="1098"/>
      <c r="GQ672" s="1098"/>
      <c r="GR672" s="1098"/>
      <c r="GS672" s="1098"/>
      <c r="GT672" s="1098"/>
      <c r="GU672" s="1098"/>
      <c r="GV672" s="1098"/>
      <c r="GW672" s="1098"/>
      <c r="GX672" s="1098"/>
      <c r="GY672" s="1098"/>
      <c r="GZ672" s="1098"/>
      <c r="HA672" s="1098"/>
      <c r="HB672" s="1098"/>
      <c r="HC672" s="1098"/>
      <c r="HD672" s="1098"/>
      <c r="HE672" s="1098"/>
      <c r="HF672" s="1098"/>
      <c r="HG672" s="1098"/>
      <c r="HH672" s="1098"/>
      <c r="HI672" s="1098"/>
      <c r="HJ672" s="1098"/>
      <c r="HK672" s="1098"/>
      <c r="HL672" s="1098"/>
      <c r="HM672" s="1098"/>
      <c r="HN672" s="1098"/>
      <c r="HO672" s="1098"/>
      <c r="HP672" s="1098"/>
      <c r="HQ672" s="1098"/>
      <c r="HR672" s="1098"/>
      <c r="HS672" s="1098"/>
      <c r="HT672" s="1098"/>
      <c r="HU672" s="1098"/>
      <c r="HV672" s="1098"/>
      <c r="HW672" s="1098"/>
      <c r="HX672" s="1098"/>
      <c r="HY672" s="1098"/>
      <c r="HZ672" s="1098"/>
      <c r="IA672" s="1098"/>
      <c r="IB672" s="1098"/>
      <c r="IC672" s="1098"/>
      <c r="ID672" s="1098"/>
      <c r="IE672" s="1098"/>
      <c r="IF672" s="1098"/>
      <c r="IG672" s="1098"/>
      <c r="IH672" s="1098"/>
      <c r="II672" s="1098"/>
      <c r="IJ672" s="1098"/>
      <c r="IK672" s="1098"/>
      <c r="IL672" s="1098"/>
      <c r="IM672" s="1098"/>
      <c r="IN672" s="1098"/>
      <c r="IO672" s="1098"/>
      <c r="IP672" s="1098"/>
      <c r="IQ672" s="1098"/>
      <c r="IR672" s="1098"/>
      <c r="IS672" s="1098"/>
      <c r="IT672" s="1098"/>
      <c r="IU672" s="1098"/>
      <c r="IV672" s="1098"/>
      <c r="IW672" s="1098"/>
      <c r="IX672" s="1098"/>
      <c r="IY672" s="1098"/>
      <c r="IZ672" s="1098"/>
      <c r="JA672" s="1098"/>
      <c r="JB672" s="1098"/>
      <c r="JC672" s="1098"/>
      <c r="JD672" s="1098"/>
      <c r="JE672" s="1098"/>
      <c r="JF672" s="1098"/>
      <c r="JG672" s="1098"/>
      <c r="JH672" s="1098"/>
      <c r="JI672" s="1098"/>
      <c r="JJ672" s="1098"/>
      <c r="JK672" s="1098"/>
      <c r="JL672" s="1098"/>
      <c r="JM672" s="1098"/>
      <c r="JN672" s="1098"/>
      <c r="JO672" s="1098"/>
      <c r="JP672" s="1098"/>
      <c r="JQ672" s="1098"/>
      <c r="JR672" s="1098"/>
      <c r="JS672" s="1098"/>
      <c r="JT672" s="1098"/>
      <c r="JU672" s="1098"/>
      <c r="JV672" s="1098"/>
      <c r="JW672" s="1098"/>
      <c r="JX672" s="1098"/>
      <c r="JY672" s="1098"/>
      <c r="JZ672" s="1098"/>
      <c r="KA672" s="1098"/>
      <c r="KB672" s="1099"/>
    </row>
    <row r="673" spans="2:288" ht="15" customHeight="1" x14ac:dyDescent="0.35">
      <c r="B673" s="146" t="str">
        <f t="shared" si="55"/>
        <v>Desk 43</v>
      </c>
      <c r="C673" s="148" t="str">
        <v/>
      </c>
      <c r="D673" s="148" t="str">
        <v/>
      </c>
      <c r="E673" s="148" t="str">
        <v/>
      </c>
      <c r="F673" s="148" t="str">
        <v/>
      </c>
      <c r="G673" s="268" t="str">
        <v/>
      </c>
      <c r="H673" s="1098"/>
      <c r="I673" s="1098"/>
      <c r="J673" s="1098"/>
      <c r="K673" s="1098"/>
      <c r="L673" s="1098"/>
      <c r="M673" s="1098"/>
      <c r="N673" s="1098"/>
      <c r="O673" s="1098"/>
      <c r="P673" s="1098"/>
      <c r="Q673" s="1098"/>
      <c r="R673" s="1098"/>
      <c r="S673" s="1098"/>
      <c r="T673" s="1098"/>
      <c r="U673" s="1098"/>
      <c r="V673" s="1098"/>
      <c r="W673" s="1098"/>
      <c r="X673" s="1098"/>
      <c r="Y673" s="1098"/>
      <c r="Z673" s="1098"/>
      <c r="AA673" s="1098"/>
      <c r="AB673" s="1098"/>
      <c r="AC673" s="1098"/>
      <c r="AD673" s="1098"/>
      <c r="AE673" s="1098"/>
      <c r="AF673" s="1098"/>
      <c r="AG673" s="1098"/>
      <c r="AH673" s="1098"/>
      <c r="AI673" s="1098"/>
      <c r="AJ673" s="1098"/>
      <c r="AK673" s="1098"/>
      <c r="AL673" s="1098"/>
      <c r="AM673" s="1098"/>
      <c r="AN673" s="1098"/>
      <c r="AO673" s="1098"/>
      <c r="AP673" s="1098"/>
      <c r="AQ673" s="1098"/>
      <c r="AR673" s="1098"/>
      <c r="AS673" s="1098"/>
      <c r="AT673" s="1098"/>
      <c r="AU673" s="1098"/>
      <c r="AV673" s="1098"/>
      <c r="AW673" s="1098"/>
      <c r="AX673" s="1098"/>
      <c r="AY673" s="1098"/>
      <c r="AZ673" s="1098"/>
      <c r="BA673" s="1098"/>
      <c r="BB673" s="1098"/>
      <c r="BC673" s="1098"/>
      <c r="BD673" s="1098"/>
      <c r="BE673" s="1098"/>
      <c r="BF673" s="1098"/>
      <c r="BG673" s="1098"/>
      <c r="BH673" s="1098"/>
      <c r="BI673" s="1098"/>
      <c r="BJ673" s="1098"/>
      <c r="BK673" s="1098"/>
      <c r="BL673" s="1098"/>
      <c r="BM673" s="1098"/>
      <c r="BN673" s="1098"/>
      <c r="BO673" s="1098"/>
      <c r="BP673" s="1098"/>
      <c r="BQ673" s="1098"/>
      <c r="BR673" s="1098"/>
      <c r="BS673" s="1098"/>
      <c r="BT673" s="1098"/>
      <c r="BU673" s="1098"/>
      <c r="BV673" s="1098"/>
      <c r="BW673" s="1098"/>
      <c r="BX673" s="1098"/>
      <c r="BY673" s="1098"/>
      <c r="BZ673" s="1098"/>
      <c r="CA673" s="1098"/>
      <c r="CB673" s="1098"/>
      <c r="CC673" s="1098"/>
      <c r="CD673" s="1098"/>
      <c r="CE673" s="1098"/>
      <c r="CF673" s="1098"/>
      <c r="CG673" s="1098"/>
      <c r="CH673" s="1098"/>
      <c r="CI673" s="1098"/>
      <c r="CJ673" s="1098"/>
      <c r="CK673" s="1098"/>
      <c r="CL673" s="1098"/>
      <c r="CM673" s="1098"/>
      <c r="CN673" s="1098"/>
      <c r="CO673" s="1098"/>
      <c r="CP673" s="1098"/>
      <c r="CQ673" s="1098"/>
      <c r="CR673" s="1098"/>
      <c r="CS673" s="1098"/>
      <c r="CT673" s="1098"/>
      <c r="CU673" s="1098"/>
      <c r="CV673" s="1098"/>
      <c r="CW673" s="1098"/>
      <c r="CX673" s="1098"/>
      <c r="CY673" s="1098"/>
      <c r="CZ673" s="1098"/>
      <c r="DA673" s="1098"/>
      <c r="DB673" s="1098"/>
      <c r="DC673" s="1098"/>
      <c r="DD673" s="1098"/>
      <c r="DE673" s="1098"/>
      <c r="DF673" s="1098"/>
      <c r="DG673" s="1098"/>
      <c r="DH673" s="1098"/>
      <c r="DI673" s="1098"/>
      <c r="DJ673" s="1098"/>
      <c r="DK673" s="1098"/>
      <c r="DL673" s="1098"/>
      <c r="DM673" s="1098"/>
      <c r="DN673" s="1098"/>
      <c r="DO673" s="1098"/>
      <c r="DP673" s="1098"/>
      <c r="DQ673" s="1098"/>
      <c r="DR673" s="1098"/>
      <c r="DS673" s="1098"/>
      <c r="DT673" s="1098"/>
      <c r="DU673" s="1098"/>
      <c r="DV673" s="1098"/>
      <c r="DW673" s="1098"/>
      <c r="DX673" s="1098"/>
      <c r="DY673" s="1098"/>
      <c r="DZ673" s="1098"/>
      <c r="EA673" s="1098"/>
      <c r="EB673" s="1098"/>
      <c r="EC673" s="1098"/>
      <c r="ED673" s="1098"/>
      <c r="EE673" s="1098"/>
      <c r="EF673" s="1098"/>
      <c r="EG673" s="1098"/>
      <c r="EH673" s="1098"/>
      <c r="EI673" s="1098"/>
      <c r="EJ673" s="1098"/>
      <c r="EK673" s="1098"/>
      <c r="EL673" s="1098"/>
      <c r="EM673" s="1098"/>
      <c r="EN673" s="1098"/>
      <c r="EO673" s="1098"/>
      <c r="EP673" s="1098"/>
      <c r="EQ673" s="1098"/>
      <c r="ER673" s="1098"/>
      <c r="ES673" s="1098"/>
      <c r="ET673" s="1098"/>
      <c r="EU673" s="1098"/>
      <c r="EV673" s="1098"/>
      <c r="EW673" s="1098"/>
      <c r="EX673" s="1098"/>
      <c r="EY673" s="1098"/>
      <c r="EZ673" s="1098"/>
      <c r="FA673" s="1098"/>
      <c r="FB673" s="1098"/>
      <c r="FC673" s="1098"/>
      <c r="FD673" s="1098"/>
      <c r="FE673" s="1098"/>
      <c r="FF673" s="1098"/>
      <c r="FG673" s="1098"/>
      <c r="FH673" s="1098"/>
      <c r="FI673" s="1098"/>
      <c r="FJ673" s="1098"/>
      <c r="FK673" s="1098"/>
      <c r="FL673" s="1098"/>
      <c r="FM673" s="1098"/>
      <c r="FN673" s="1098"/>
      <c r="FO673" s="1098"/>
      <c r="FP673" s="1098"/>
      <c r="FQ673" s="1098"/>
      <c r="FR673" s="1098"/>
      <c r="FS673" s="1098"/>
      <c r="FT673" s="1098"/>
      <c r="FU673" s="1098"/>
      <c r="FV673" s="1098"/>
      <c r="FW673" s="1098"/>
      <c r="FX673" s="1098"/>
      <c r="FY673" s="1098"/>
      <c r="FZ673" s="1098"/>
      <c r="GA673" s="1098"/>
      <c r="GB673" s="1098"/>
      <c r="GC673" s="1098"/>
      <c r="GD673" s="1098"/>
      <c r="GE673" s="1098"/>
      <c r="GF673" s="1098"/>
      <c r="GG673" s="1098"/>
      <c r="GH673" s="1098"/>
      <c r="GI673" s="1098"/>
      <c r="GJ673" s="1098"/>
      <c r="GK673" s="1098"/>
      <c r="GL673" s="1098"/>
      <c r="GM673" s="1098"/>
      <c r="GN673" s="1098"/>
      <c r="GO673" s="1098"/>
      <c r="GP673" s="1098"/>
      <c r="GQ673" s="1098"/>
      <c r="GR673" s="1098"/>
      <c r="GS673" s="1098"/>
      <c r="GT673" s="1098"/>
      <c r="GU673" s="1098"/>
      <c r="GV673" s="1098"/>
      <c r="GW673" s="1098"/>
      <c r="GX673" s="1098"/>
      <c r="GY673" s="1098"/>
      <c r="GZ673" s="1098"/>
      <c r="HA673" s="1098"/>
      <c r="HB673" s="1098"/>
      <c r="HC673" s="1098"/>
      <c r="HD673" s="1098"/>
      <c r="HE673" s="1098"/>
      <c r="HF673" s="1098"/>
      <c r="HG673" s="1098"/>
      <c r="HH673" s="1098"/>
      <c r="HI673" s="1098"/>
      <c r="HJ673" s="1098"/>
      <c r="HK673" s="1098"/>
      <c r="HL673" s="1098"/>
      <c r="HM673" s="1098"/>
      <c r="HN673" s="1098"/>
      <c r="HO673" s="1098"/>
      <c r="HP673" s="1098"/>
      <c r="HQ673" s="1098"/>
      <c r="HR673" s="1098"/>
      <c r="HS673" s="1098"/>
      <c r="HT673" s="1098"/>
      <c r="HU673" s="1098"/>
      <c r="HV673" s="1098"/>
      <c r="HW673" s="1098"/>
      <c r="HX673" s="1098"/>
      <c r="HY673" s="1098"/>
      <c r="HZ673" s="1098"/>
      <c r="IA673" s="1098"/>
      <c r="IB673" s="1098"/>
      <c r="IC673" s="1098"/>
      <c r="ID673" s="1098"/>
      <c r="IE673" s="1098"/>
      <c r="IF673" s="1098"/>
      <c r="IG673" s="1098"/>
      <c r="IH673" s="1098"/>
      <c r="II673" s="1098"/>
      <c r="IJ673" s="1098"/>
      <c r="IK673" s="1098"/>
      <c r="IL673" s="1098"/>
      <c r="IM673" s="1098"/>
      <c r="IN673" s="1098"/>
      <c r="IO673" s="1098"/>
      <c r="IP673" s="1098"/>
      <c r="IQ673" s="1098"/>
      <c r="IR673" s="1098"/>
      <c r="IS673" s="1098"/>
      <c r="IT673" s="1098"/>
      <c r="IU673" s="1098"/>
      <c r="IV673" s="1098"/>
      <c r="IW673" s="1098"/>
      <c r="IX673" s="1098"/>
      <c r="IY673" s="1098"/>
      <c r="IZ673" s="1098"/>
      <c r="JA673" s="1098"/>
      <c r="JB673" s="1098"/>
      <c r="JC673" s="1098"/>
      <c r="JD673" s="1098"/>
      <c r="JE673" s="1098"/>
      <c r="JF673" s="1098"/>
      <c r="JG673" s="1098"/>
      <c r="JH673" s="1098"/>
      <c r="JI673" s="1098"/>
      <c r="JJ673" s="1098"/>
      <c r="JK673" s="1098"/>
      <c r="JL673" s="1098"/>
      <c r="JM673" s="1098"/>
      <c r="JN673" s="1098"/>
      <c r="JO673" s="1098"/>
      <c r="JP673" s="1098"/>
      <c r="JQ673" s="1098"/>
      <c r="JR673" s="1098"/>
      <c r="JS673" s="1098"/>
      <c r="JT673" s="1098"/>
      <c r="JU673" s="1098"/>
      <c r="JV673" s="1098"/>
      <c r="JW673" s="1098"/>
      <c r="JX673" s="1098"/>
      <c r="JY673" s="1098"/>
      <c r="JZ673" s="1098"/>
      <c r="KA673" s="1098"/>
      <c r="KB673" s="1099"/>
    </row>
    <row r="674" spans="2:288" ht="15" customHeight="1" x14ac:dyDescent="0.35">
      <c r="B674" s="146" t="str">
        <f t="shared" si="55"/>
        <v>Desk 44</v>
      </c>
      <c r="C674" s="148" t="str">
        <v/>
      </c>
      <c r="D674" s="148" t="str">
        <v/>
      </c>
      <c r="E674" s="148" t="str">
        <v/>
      </c>
      <c r="F674" s="148" t="str">
        <v/>
      </c>
      <c r="G674" s="268" t="str">
        <v/>
      </c>
      <c r="H674" s="1098"/>
      <c r="I674" s="1098"/>
      <c r="J674" s="1098"/>
      <c r="K674" s="1098"/>
      <c r="L674" s="1098"/>
      <c r="M674" s="1098"/>
      <c r="N674" s="1098"/>
      <c r="O674" s="1098"/>
      <c r="P674" s="1098"/>
      <c r="Q674" s="1098"/>
      <c r="R674" s="1098"/>
      <c r="S674" s="1098"/>
      <c r="T674" s="1098"/>
      <c r="U674" s="1098"/>
      <c r="V674" s="1098"/>
      <c r="W674" s="1098"/>
      <c r="X674" s="1098"/>
      <c r="Y674" s="1098"/>
      <c r="Z674" s="1098"/>
      <c r="AA674" s="1098"/>
      <c r="AB674" s="1098"/>
      <c r="AC674" s="1098"/>
      <c r="AD674" s="1098"/>
      <c r="AE674" s="1098"/>
      <c r="AF674" s="1098"/>
      <c r="AG674" s="1098"/>
      <c r="AH674" s="1098"/>
      <c r="AI674" s="1098"/>
      <c r="AJ674" s="1098"/>
      <c r="AK674" s="1098"/>
      <c r="AL674" s="1098"/>
      <c r="AM674" s="1098"/>
      <c r="AN674" s="1098"/>
      <c r="AO674" s="1098"/>
      <c r="AP674" s="1098"/>
      <c r="AQ674" s="1098"/>
      <c r="AR674" s="1098"/>
      <c r="AS674" s="1098"/>
      <c r="AT674" s="1098"/>
      <c r="AU674" s="1098"/>
      <c r="AV674" s="1098"/>
      <c r="AW674" s="1098"/>
      <c r="AX674" s="1098"/>
      <c r="AY674" s="1098"/>
      <c r="AZ674" s="1098"/>
      <c r="BA674" s="1098"/>
      <c r="BB674" s="1098"/>
      <c r="BC674" s="1098"/>
      <c r="BD674" s="1098"/>
      <c r="BE674" s="1098"/>
      <c r="BF674" s="1098"/>
      <c r="BG674" s="1098"/>
      <c r="BH674" s="1098"/>
      <c r="BI674" s="1098"/>
      <c r="BJ674" s="1098"/>
      <c r="BK674" s="1098"/>
      <c r="BL674" s="1098"/>
      <c r="BM674" s="1098"/>
      <c r="BN674" s="1098"/>
      <c r="BO674" s="1098"/>
      <c r="BP674" s="1098"/>
      <c r="BQ674" s="1098"/>
      <c r="BR674" s="1098"/>
      <c r="BS674" s="1098"/>
      <c r="BT674" s="1098"/>
      <c r="BU674" s="1098"/>
      <c r="BV674" s="1098"/>
      <c r="BW674" s="1098"/>
      <c r="BX674" s="1098"/>
      <c r="BY674" s="1098"/>
      <c r="BZ674" s="1098"/>
      <c r="CA674" s="1098"/>
      <c r="CB674" s="1098"/>
      <c r="CC674" s="1098"/>
      <c r="CD674" s="1098"/>
      <c r="CE674" s="1098"/>
      <c r="CF674" s="1098"/>
      <c r="CG674" s="1098"/>
      <c r="CH674" s="1098"/>
      <c r="CI674" s="1098"/>
      <c r="CJ674" s="1098"/>
      <c r="CK674" s="1098"/>
      <c r="CL674" s="1098"/>
      <c r="CM674" s="1098"/>
      <c r="CN674" s="1098"/>
      <c r="CO674" s="1098"/>
      <c r="CP674" s="1098"/>
      <c r="CQ674" s="1098"/>
      <c r="CR674" s="1098"/>
      <c r="CS674" s="1098"/>
      <c r="CT674" s="1098"/>
      <c r="CU674" s="1098"/>
      <c r="CV674" s="1098"/>
      <c r="CW674" s="1098"/>
      <c r="CX674" s="1098"/>
      <c r="CY674" s="1098"/>
      <c r="CZ674" s="1098"/>
      <c r="DA674" s="1098"/>
      <c r="DB674" s="1098"/>
      <c r="DC674" s="1098"/>
      <c r="DD674" s="1098"/>
      <c r="DE674" s="1098"/>
      <c r="DF674" s="1098"/>
      <c r="DG674" s="1098"/>
      <c r="DH674" s="1098"/>
      <c r="DI674" s="1098"/>
      <c r="DJ674" s="1098"/>
      <c r="DK674" s="1098"/>
      <c r="DL674" s="1098"/>
      <c r="DM674" s="1098"/>
      <c r="DN674" s="1098"/>
      <c r="DO674" s="1098"/>
      <c r="DP674" s="1098"/>
      <c r="DQ674" s="1098"/>
      <c r="DR674" s="1098"/>
      <c r="DS674" s="1098"/>
      <c r="DT674" s="1098"/>
      <c r="DU674" s="1098"/>
      <c r="DV674" s="1098"/>
      <c r="DW674" s="1098"/>
      <c r="DX674" s="1098"/>
      <c r="DY674" s="1098"/>
      <c r="DZ674" s="1098"/>
      <c r="EA674" s="1098"/>
      <c r="EB674" s="1098"/>
      <c r="EC674" s="1098"/>
      <c r="ED674" s="1098"/>
      <c r="EE674" s="1098"/>
      <c r="EF674" s="1098"/>
      <c r="EG674" s="1098"/>
      <c r="EH674" s="1098"/>
      <c r="EI674" s="1098"/>
      <c r="EJ674" s="1098"/>
      <c r="EK674" s="1098"/>
      <c r="EL674" s="1098"/>
      <c r="EM674" s="1098"/>
      <c r="EN674" s="1098"/>
      <c r="EO674" s="1098"/>
      <c r="EP674" s="1098"/>
      <c r="EQ674" s="1098"/>
      <c r="ER674" s="1098"/>
      <c r="ES674" s="1098"/>
      <c r="ET674" s="1098"/>
      <c r="EU674" s="1098"/>
      <c r="EV674" s="1098"/>
      <c r="EW674" s="1098"/>
      <c r="EX674" s="1098"/>
      <c r="EY674" s="1098"/>
      <c r="EZ674" s="1098"/>
      <c r="FA674" s="1098"/>
      <c r="FB674" s="1098"/>
      <c r="FC674" s="1098"/>
      <c r="FD674" s="1098"/>
      <c r="FE674" s="1098"/>
      <c r="FF674" s="1098"/>
      <c r="FG674" s="1098"/>
      <c r="FH674" s="1098"/>
      <c r="FI674" s="1098"/>
      <c r="FJ674" s="1098"/>
      <c r="FK674" s="1098"/>
      <c r="FL674" s="1098"/>
      <c r="FM674" s="1098"/>
      <c r="FN674" s="1098"/>
      <c r="FO674" s="1098"/>
      <c r="FP674" s="1098"/>
      <c r="FQ674" s="1098"/>
      <c r="FR674" s="1098"/>
      <c r="FS674" s="1098"/>
      <c r="FT674" s="1098"/>
      <c r="FU674" s="1098"/>
      <c r="FV674" s="1098"/>
      <c r="FW674" s="1098"/>
      <c r="FX674" s="1098"/>
      <c r="FY674" s="1098"/>
      <c r="FZ674" s="1098"/>
      <c r="GA674" s="1098"/>
      <c r="GB674" s="1098"/>
      <c r="GC674" s="1098"/>
      <c r="GD674" s="1098"/>
      <c r="GE674" s="1098"/>
      <c r="GF674" s="1098"/>
      <c r="GG674" s="1098"/>
      <c r="GH674" s="1098"/>
      <c r="GI674" s="1098"/>
      <c r="GJ674" s="1098"/>
      <c r="GK674" s="1098"/>
      <c r="GL674" s="1098"/>
      <c r="GM674" s="1098"/>
      <c r="GN674" s="1098"/>
      <c r="GO674" s="1098"/>
      <c r="GP674" s="1098"/>
      <c r="GQ674" s="1098"/>
      <c r="GR674" s="1098"/>
      <c r="GS674" s="1098"/>
      <c r="GT674" s="1098"/>
      <c r="GU674" s="1098"/>
      <c r="GV674" s="1098"/>
      <c r="GW674" s="1098"/>
      <c r="GX674" s="1098"/>
      <c r="GY674" s="1098"/>
      <c r="GZ674" s="1098"/>
      <c r="HA674" s="1098"/>
      <c r="HB674" s="1098"/>
      <c r="HC674" s="1098"/>
      <c r="HD674" s="1098"/>
      <c r="HE674" s="1098"/>
      <c r="HF674" s="1098"/>
      <c r="HG674" s="1098"/>
      <c r="HH674" s="1098"/>
      <c r="HI674" s="1098"/>
      <c r="HJ674" s="1098"/>
      <c r="HK674" s="1098"/>
      <c r="HL674" s="1098"/>
      <c r="HM674" s="1098"/>
      <c r="HN674" s="1098"/>
      <c r="HO674" s="1098"/>
      <c r="HP674" s="1098"/>
      <c r="HQ674" s="1098"/>
      <c r="HR674" s="1098"/>
      <c r="HS674" s="1098"/>
      <c r="HT674" s="1098"/>
      <c r="HU674" s="1098"/>
      <c r="HV674" s="1098"/>
      <c r="HW674" s="1098"/>
      <c r="HX674" s="1098"/>
      <c r="HY674" s="1098"/>
      <c r="HZ674" s="1098"/>
      <c r="IA674" s="1098"/>
      <c r="IB674" s="1098"/>
      <c r="IC674" s="1098"/>
      <c r="ID674" s="1098"/>
      <c r="IE674" s="1098"/>
      <c r="IF674" s="1098"/>
      <c r="IG674" s="1098"/>
      <c r="IH674" s="1098"/>
      <c r="II674" s="1098"/>
      <c r="IJ674" s="1098"/>
      <c r="IK674" s="1098"/>
      <c r="IL674" s="1098"/>
      <c r="IM674" s="1098"/>
      <c r="IN674" s="1098"/>
      <c r="IO674" s="1098"/>
      <c r="IP674" s="1098"/>
      <c r="IQ674" s="1098"/>
      <c r="IR674" s="1098"/>
      <c r="IS674" s="1098"/>
      <c r="IT674" s="1098"/>
      <c r="IU674" s="1098"/>
      <c r="IV674" s="1098"/>
      <c r="IW674" s="1098"/>
      <c r="IX674" s="1098"/>
      <c r="IY674" s="1098"/>
      <c r="IZ674" s="1098"/>
      <c r="JA674" s="1098"/>
      <c r="JB674" s="1098"/>
      <c r="JC674" s="1098"/>
      <c r="JD674" s="1098"/>
      <c r="JE674" s="1098"/>
      <c r="JF674" s="1098"/>
      <c r="JG674" s="1098"/>
      <c r="JH674" s="1098"/>
      <c r="JI674" s="1098"/>
      <c r="JJ674" s="1098"/>
      <c r="JK674" s="1098"/>
      <c r="JL674" s="1098"/>
      <c r="JM674" s="1098"/>
      <c r="JN674" s="1098"/>
      <c r="JO674" s="1098"/>
      <c r="JP674" s="1098"/>
      <c r="JQ674" s="1098"/>
      <c r="JR674" s="1098"/>
      <c r="JS674" s="1098"/>
      <c r="JT674" s="1098"/>
      <c r="JU674" s="1098"/>
      <c r="JV674" s="1098"/>
      <c r="JW674" s="1098"/>
      <c r="JX674" s="1098"/>
      <c r="JY674" s="1098"/>
      <c r="JZ674" s="1098"/>
      <c r="KA674" s="1098"/>
      <c r="KB674" s="1099"/>
    </row>
    <row r="675" spans="2:288" ht="15" customHeight="1" x14ac:dyDescent="0.35">
      <c r="B675" s="146" t="str">
        <f t="shared" si="55"/>
        <v>Desk 45</v>
      </c>
      <c r="C675" s="148" t="str">
        <v/>
      </c>
      <c r="D675" s="148" t="str">
        <v/>
      </c>
      <c r="E675" s="148" t="str">
        <v/>
      </c>
      <c r="F675" s="148" t="str">
        <v/>
      </c>
      <c r="G675" s="268" t="str">
        <v/>
      </c>
      <c r="H675" s="1098"/>
      <c r="I675" s="1098"/>
      <c r="J675" s="1098"/>
      <c r="K675" s="1098"/>
      <c r="L675" s="1098"/>
      <c r="M675" s="1098"/>
      <c r="N675" s="1098"/>
      <c r="O675" s="1098"/>
      <c r="P675" s="1098"/>
      <c r="Q675" s="1098"/>
      <c r="R675" s="1098"/>
      <c r="S675" s="1098"/>
      <c r="T675" s="1098"/>
      <c r="U675" s="1098"/>
      <c r="V675" s="1098"/>
      <c r="W675" s="1098"/>
      <c r="X675" s="1098"/>
      <c r="Y675" s="1098"/>
      <c r="Z675" s="1098"/>
      <c r="AA675" s="1098"/>
      <c r="AB675" s="1098"/>
      <c r="AC675" s="1098"/>
      <c r="AD675" s="1098"/>
      <c r="AE675" s="1098"/>
      <c r="AF675" s="1098"/>
      <c r="AG675" s="1098"/>
      <c r="AH675" s="1098"/>
      <c r="AI675" s="1098"/>
      <c r="AJ675" s="1098"/>
      <c r="AK675" s="1098"/>
      <c r="AL675" s="1098"/>
      <c r="AM675" s="1098"/>
      <c r="AN675" s="1098"/>
      <c r="AO675" s="1098"/>
      <c r="AP675" s="1098"/>
      <c r="AQ675" s="1098"/>
      <c r="AR675" s="1098"/>
      <c r="AS675" s="1098"/>
      <c r="AT675" s="1098"/>
      <c r="AU675" s="1098"/>
      <c r="AV675" s="1098"/>
      <c r="AW675" s="1098"/>
      <c r="AX675" s="1098"/>
      <c r="AY675" s="1098"/>
      <c r="AZ675" s="1098"/>
      <c r="BA675" s="1098"/>
      <c r="BB675" s="1098"/>
      <c r="BC675" s="1098"/>
      <c r="BD675" s="1098"/>
      <c r="BE675" s="1098"/>
      <c r="BF675" s="1098"/>
      <c r="BG675" s="1098"/>
      <c r="BH675" s="1098"/>
      <c r="BI675" s="1098"/>
      <c r="BJ675" s="1098"/>
      <c r="BK675" s="1098"/>
      <c r="BL675" s="1098"/>
      <c r="BM675" s="1098"/>
      <c r="BN675" s="1098"/>
      <c r="BO675" s="1098"/>
      <c r="BP675" s="1098"/>
      <c r="BQ675" s="1098"/>
      <c r="BR675" s="1098"/>
      <c r="BS675" s="1098"/>
      <c r="BT675" s="1098"/>
      <c r="BU675" s="1098"/>
      <c r="BV675" s="1098"/>
      <c r="BW675" s="1098"/>
      <c r="BX675" s="1098"/>
      <c r="BY675" s="1098"/>
      <c r="BZ675" s="1098"/>
      <c r="CA675" s="1098"/>
      <c r="CB675" s="1098"/>
      <c r="CC675" s="1098"/>
      <c r="CD675" s="1098"/>
      <c r="CE675" s="1098"/>
      <c r="CF675" s="1098"/>
      <c r="CG675" s="1098"/>
      <c r="CH675" s="1098"/>
      <c r="CI675" s="1098"/>
      <c r="CJ675" s="1098"/>
      <c r="CK675" s="1098"/>
      <c r="CL675" s="1098"/>
      <c r="CM675" s="1098"/>
      <c r="CN675" s="1098"/>
      <c r="CO675" s="1098"/>
      <c r="CP675" s="1098"/>
      <c r="CQ675" s="1098"/>
      <c r="CR675" s="1098"/>
      <c r="CS675" s="1098"/>
      <c r="CT675" s="1098"/>
      <c r="CU675" s="1098"/>
      <c r="CV675" s="1098"/>
      <c r="CW675" s="1098"/>
      <c r="CX675" s="1098"/>
      <c r="CY675" s="1098"/>
      <c r="CZ675" s="1098"/>
      <c r="DA675" s="1098"/>
      <c r="DB675" s="1098"/>
      <c r="DC675" s="1098"/>
      <c r="DD675" s="1098"/>
      <c r="DE675" s="1098"/>
      <c r="DF675" s="1098"/>
      <c r="DG675" s="1098"/>
      <c r="DH675" s="1098"/>
      <c r="DI675" s="1098"/>
      <c r="DJ675" s="1098"/>
      <c r="DK675" s="1098"/>
      <c r="DL675" s="1098"/>
      <c r="DM675" s="1098"/>
      <c r="DN675" s="1098"/>
      <c r="DO675" s="1098"/>
      <c r="DP675" s="1098"/>
      <c r="DQ675" s="1098"/>
      <c r="DR675" s="1098"/>
      <c r="DS675" s="1098"/>
      <c r="DT675" s="1098"/>
      <c r="DU675" s="1098"/>
      <c r="DV675" s="1098"/>
      <c r="DW675" s="1098"/>
      <c r="DX675" s="1098"/>
      <c r="DY675" s="1098"/>
      <c r="DZ675" s="1098"/>
      <c r="EA675" s="1098"/>
      <c r="EB675" s="1098"/>
      <c r="EC675" s="1098"/>
      <c r="ED675" s="1098"/>
      <c r="EE675" s="1098"/>
      <c r="EF675" s="1098"/>
      <c r="EG675" s="1098"/>
      <c r="EH675" s="1098"/>
      <c r="EI675" s="1098"/>
      <c r="EJ675" s="1098"/>
      <c r="EK675" s="1098"/>
      <c r="EL675" s="1098"/>
      <c r="EM675" s="1098"/>
      <c r="EN675" s="1098"/>
      <c r="EO675" s="1098"/>
      <c r="EP675" s="1098"/>
      <c r="EQ675" s="1098"/>
      <c r="ER675" s="1098"/>
      <c r="ES675" s="1098"/>
      <c r="ET675" s="1098"/>
      <c r="EU675" s="1098"/>
      <c r="EV675" s="1098"/>
      <c r="EW675" s="1098"/>
      <c r="EX675" s="1098"/>
      <c r="EY675" s="1098"/>
      <c r="EZ675" s="1098"/>
      <c r="FA675" s="1098"/>
      <c r="FB675" s="1098"/>
      <c r="FC675" s="1098"/>
      <c r="FD675" s="1098"/>
      <c r="FE675" s="1098"/>
      <c r="FF675" s="1098"/>
      <c r="FG675" s="1098"/>
      <c r="FH675" s="1098"/>
      <c r="FI675" s="1098"/>
      <c r="FJ675" s="1098"/>
      <c r="FK675" s="1098"/>
      <c r="FL675" s="1098"/>
      <c r="FM675" s="1098"/>
      <c r="FN675" s="1098"/>
      <c r="FO675" s="1098"/>
      <c r="FP675" s="1098"/>
      <c r="FQ675" s="1098"/>
      <c r="FR675" s="1098"/>
      <c r="FS675" s="1098"/>
      <c r="FT675" s="1098"/>
      <c r="FU675" s="1098"/>
      <c r="FV675" s="1098"/>
      <c r="FW675" s="1098"/>
      <c r="FX675" s="1098"/>
      <c r="FY675" s="1098"/>
      <c r="FZ675" s="1098"/>
      <c r="GA675" s="1098"/>
      <c r="GB675" s="1098"/>
      <c r="GC675" s="1098"/>
      <c r="GD675" s="1098"/>
      <c r="GE675" s="1098"/>
      <c r="GF675" s="1098"/>
      <c r="GG675" s="1098"/>
      <c r="GH675" s="1098"/>
      <c r="GI675" s="1098"/>
      <c r="GJ675" s="1098"/>
      <c r="GK675" s="1098"/>
      <c r="GL675" s="1098"/>
      <c r="GM675" s="1098"/>
      <c r="GN675" s="1098"/>
      <c r="GO675" s="1098"/>
      <c r="GP675" s="1098"/>
      <c r="GQ675" s="1098"/>
      <c r="GR675" s="1098"/>
      <c r="GS675" s="1098"/>
      <c r="GT675" s="1098"/>
      <c r="GU675" s="1098"/>
      <c r="GV675" s="1098"/>
      <c r="GW675" s="1098"/>
      <c r="GX675" s="1098"/>
      <c r="GY675" s="1098"/>
      <c r="GZ675" s="1098"/>
      <c r="HA675" s="1098"/>
      <c r="HB675" s="1098"/>
      <c r="HC675" s="1098"/>
      <c r="HD675" s="1098"/>
      <c r="HE675" s="1098"/>
      <c r="HF675" s="1098"/>
      <c r="HG675" s="1098"/>
      <c r="HH675" s="1098"/>
      <c r="HI675" s="1098"/>
      <c r="HJ675" s="1098"/>
      <c r="HK675" s="1098"/>
      <c r="HL675" s="1098"/>
      <c r="HM675" s="1098"/>
      <c r="HN675" s="1098"/>
      <c r="HO675" s="1098"/>
      <c r="HP675" s="1098"/>
      <c r="HQ675" s="1098"/>
      <c r="HR675" s="1098"/>
      <c r="HS675" s="1098"/>
      <c r="HT675" s="1098"/>
      <c r="HU675" s="1098"/>
      <c r="HV675" s="1098"/>
      <c r="HW675" s="1098"/>
      <c r="HX675" s="1098"/>
      <c r="HY675" s="1098"/>
      <c r="HZ675" s="1098"/>
      <c r="IA675" s="1098"/>
      <c r="IB675" s="1098"/>
      <c r="IC675" s="1098"/>
      <c r="ID675" s="1098"/>
      <c r="IE675" s="1098"/>
      <c r="IF675" s="1098"/>
      <c r="IG675" s="1098"/>
      <c r="IH675" s="1098"/>
      <c r="II675" s="1098"/>
      <c r="IJ675" s="1098"/>
      <c r="IK675" s="1098"/>
      <c r="IL675" s="1098"/>
      <c r="IM675" s="1098"/>
      <c r="IN675" s="1098"/>
      <c r="IO675" s="1098"/>
      <c r="IP675" s="1098"/>
      <c r="IQ675" s="1098"/>
      <c r="IR675" s="1098"/>
      <c r="IS675" s="1098"/>
      <c r="IT675" s="1098"/>
      <c r="IU675" s="1098"/>
      <c r="IV675" s="1098"/>
      <c r="IW675" s="1098"/>
      <c r="IX675" s="1098"/>
      <c r="IY675" s="1098"/>
      <c r="IZ675" s="1098"/>
      <c r="JA675" s="1098"/>
      <c r="JB675" s="1098"/>
      <c r="JC675" s="1098"/>
      <c r="JD675" s="1098"/>
      <c r="JE675" s="1098"/>
      <c r="JF675" s="1098"/>
      <c r="JG675" s="1098"/>
      <c r="JH675" s="1098"/>
      <c r="JI675" s="1098"/>
      <c r="JJ675" s="1098"/>
      <c r="JK675" s="1098"/>
      <c r="JL675" s="1098"/>
      <c r="JM675" s="1098"/>
      <c r="JN675" s="1098"/>
      <c r="JO675" s="1098"/>
      <c r="JP675" s="1098"/>
      <c r="JQ675" s="1098"/>
      <c r="JR675" s="1098"/>
      <c r="JS675" s="1098"/>
      <c r="JT675" s="1098"/>
      <c r="JU675" s="1098"/>
      <c r="JV675" s="1098"/>
      <c r="JW675" s="1098"/>
      <c r="JX675" s="1098"/>
      <c r="JY675" s="1098"/>
      <c r="JZ675" s="1098"/>
      <c r="KA675" s="1098"/>
      <c r="KB675" s="1099"/>
    </row>
    <row r="676" spans="2:288" ht="15" customHeight="1" x14ac:dyDescent="0.35">
      <c r="B676" s="146" t="str">
        <f t="shared" si="55"/>
        <v>Desk 46</v>
      </c>
      <c r="C676" s="148" t="str">
        <v/>
      </c>
      <c r="D676" s="148" t="str">
        <v/>
      </c>
      <c r="E676" s="148" t="str">
        <v/>
      </c>
      <c r="F676" s="148" t="str">
        <v/>
      </c>
      <c r="G676" s="268" t="str">
        <v/>
      </c>
      <c r="H676" s="1098"/>
      <c r="I676" s="1098"/>
      <c r="J676" s="1098"/>
      <c r="K676" s="1098"/>
      <c r="L676" s="1098"/>
      <c r="M676" s="1098"/>
      <c r="N676" s="1098"/>
      <c r="O676" s="1098"/>
      <c r="P676" s="1098"/>
      <c r="Q676" s="1098"/>
      <c r="R676" s="1098"/>
      <c r="S676" s="1098"/>
      <c r="T676" s="1098"/>
      <c r="U676" s="1098"/>
      <c r="V676" s="1098"/>
      <c r="W676" s="1098"/>
      <c r="X676" s="1098"/>
      <c r="Y676" s="1098"/>
      <c r="Z676" s="1098"/>
      <c r="AA676" s="1098"/>
      <c r="AB676" s="1098"/>
      <c r="AC676" s="1098"/>
      <c r="AD676" s="1098"/>
      <c r="AE676" s="1098"/>
      <c r="AF676" s="1098"/>
      <c r="AG676" s="1098"/>
      <c r="AH676" s="1098"/>
      <c r="AI676" s="1098"/>
      <c r="AJ676" s="1098"/>
      <c r="AK676" s="1098"/>
      <c r="AL676" s="1098"/>
      <c r="AM676" s="1098"/>
      <c r="AN676" s="1098"/>
      <c r="AO676" s="1098"/>
      <c r="AP676" s="1098"/>
      <c r="AQ676" s="1098"/>
      <c r="AR676" s="1098"/>
      <c r="AS676" s="1098"/>
      <c r="AT676" s="1098"/>
      <c r="AU676" s="1098"/>
      <c r="AV676" s="1098"/>
      <c r="AW676" s="1098"/>
      <c r="AX676" s="1098"/>
      <c r="AY676" s="1098"/>
      <c r="AZ676" s="1098"/>
      <c r="BA676" s="1098"/>
      <c r="BB676" s="1098"/>
      <c r="BC676" s="1098"/>
      <c r="BD676" s="1098"/>
      <c r="BE676" s="1098"/>
      <c r="BF676" s="1098"/>
      <c r="BG676" s="1098"/>
      <c r="BH676" s="1098"/>
      <c r="BI676" s="1098"/>
      <c r="BJ676" s="1098"/>
      <c r="BK676" s="1098"/>
      <c r="BL676" s="1098"/>
      <c r="BM676" s="1098"/>
      <c r="BN676" s="1098"/>
      <c r="BO676" s="1098"/>
      <c r="BP676" s="1098"/>
      <c r="BQ676" s="1098"/>
      <c r="BR676" s="1098"/>
      <c r="BS676" s="1098"/>
      <c r="BT676" s="1098"/>
      <c r="BU676" s="1098"/>
      <c r="BV676" s="1098"/>
      <c r="BW676" s="1098"/>
      <c r="BX676" s="1098"/>
      <c r="BY676" s="1098"/>
      <c r="BZ676" s="1098"/>
      <c r="CA676" s="1098"/>
      <c r="CB676" s="1098"/>
      <c r="CC676" s="1098"/>
      <c r="CD676" s="1098"/>
      <c r="CE676" s="1098"/>
      <c r="CF676" s="1098"/>
      <c r="CG676" s="1098"/>
      <c r="CH676" s="1098"/>
      <c r="CI676" s="1098"/>
      <c r="CJ676" s="1098"/>
      <c r="CK676" s="1098"/>
      <c r="CL676" s="1098"/>
      <c r="CM676" s="1098"/>
      <c r="CN676" s="1098"/>
      <c r="CO676" s="1098"/>
      <c r="CP676" s="1098"/>
      <c r="CQ676" s="1098"/>
      <c r="CR676" s="1098"/>
      <c r="CS676" s="1098"/>
      <c r="CT676" s="1098"/>
      <c r="CU676" s="1098"/>
      <c r="CV676" s="1098"/>
      <c r="CW676" s="1098"/>
      <c r="CX676" s="1098"/>
      <c r="CY676" s="1098"/>
      <c r="CZ676" s="1098"/>
      <c r="DA676" s="1098"/>
      <c r="DB676" s="1098"/>
      <c r="DC676" s="1098"/>
      <c r="DD676" s="1098"/>
      <c r="DE676" s="1098"/>
      <c r="DF676" s="1098"/>
      <c r="DG676" s="1098"/>
      <c r="DH676" s="1098"/>
      <c r="DI676" s="1098"/>
      <c r="DJ676" s="1098"/>
      <c r="DK676" s="1098"/>
      <c r="DL676" s="1098"/>
      <c r="DM676" s="1098"/>
      <c r="DN676" s="1098"/>
      <c r="DO676" s="1098"/>
      <c r="DP676" s="1098"/>
      <c r="DQ676" s="1098"/>
      <c r="DR676" s="1098"/>
      <c r="DS676" s="1098"/>
      <c r="DT676" s="1098"/>
      <c r="DU676" s="1098"/>
      <c r="DV676" s="1098"/>
      <c r="DW676" s="1098"/>
      <c r="DX676" s="1098"/>
      <c r="DY676" s="1098"/>
      <c r="DZ676" s="1098"/>
      <c r="EA676" s="1098"/>
      <c r="EB676" s="1098"/>
      <c r="EC676" s="1098"/>
      <c r="ED676" s="1098"/>
      <c r="EE676" s="1098"/>
      <c r="EF676" s="1098"/>
      <c r="EG676" s="1098"/>
      <c r="EH676" s="1098"/>
      <c r="EI676" s="1098"/>
      <c r="EJ676" s="1098"/>
      <c r="EK676" s="1098"/>
      <c r="EL676" s="1098"/>
      <c r="EM676" s="1098"/>
      <c r="EN676" s="1098"/>
      <c r="EO676" s="1098"/>
      <c r="EP676" s="1098"/>
      <c r="EQ676" s="1098"/>
      <c r="ER676" s="1098"/>
      <c r="ES676" s="1098"/>
      <c r="ET676" s="1098"/>
      <c r="EU676" s="1098"/>
      <c r="EV676" s="1098"/>
      <c r="EW676" s="1098"/>
      <c r="EX676" s="1098"/>
      <c r="EY676" s="1098"/>
      <c r="EZ676" s="1098"/>
      <c r="FA676" s="1098"/>
      <c r="FB676" s="1098"/>
      <c r="FC676" s="1098"/>
      <c r="FD676" s="1098"/>
      <c r="FE676" s="1098"/>
      <c r="FF676" s="1098"/>
      <c r="FG676" s="1098"/>
      <c r="FH676" s="1098"/>
      <c r="FI676" s="1098"/>
      <c r="FJ676" s="1098"/>
      <c r="FK676" s="1098"/>
      <c r="FL676" s="1098"/>
      <c r="FM676" s="1098"/>
      <c r="FN676" s="1098"/>
      <c r="FO676" s="1098"/>
      <c r="FP676" s="1098"/>
      <c r="FQ676" s="1098"/>
      <c r="FR676" s="1098"/>
      <c r="FS676" s="1098"/>
      <c r="FT676" s="1098"/>
      <c r="FU676" s="1098"/>
      <c r="FV676" s="1098"/>
      <c r="FW676" s="1098"/>
      <c r="FX676" s="1098"/>
      <c r="FY676" s="1098"/>
      <c r="FZ676" s="1098"/>
      <c r="GA676" s="1098"/>
      <c r="GB676" s="1098"/>
      <c r="GC676" s="1098"/>
      <c r="GD676" s="1098"/>
      <c r="GE676" s="1098"/>
      <c r="GF676" s="1098"/>
      <c r="GG676" s="1098"/>
      <c r="GH676" s="1098"/>
      <c r="GI676" s="1098"/>
      <c r="GJ676" s="1098"/>
      <c r="GK676" s="1098"/>
      <c r="GL676" s="1098"/>
      <c r="GM676" s="1098"/>
      <c r="GN676" s="1098"/>
      <c r="GO676" s="1098"/>
      <c r="GP676" s="1098"/>
      <c r="GQ676" s="1098"/>
      <c r="GR676" s="1098"/>
      <c r="GS676" s="1098"/>
      <c r="GT676" s="1098"/>
      <c r="GU676" s="1098"/>
      <c r="GV676" s="1098"/>
      <c r="GW676" s="1098"/>
      <c r="GX676" s="1098"/>
      <c r="GY676" s="1098"/>
      <c r="GZ676" s="1098"/>
      <c r="HA676" s="1098"/>
      <c r="HB676" s="1098"/>
      <c r="HC676" s="1098"/>
      <c r="HD676" s="1098"/>
      <c r="HE676" s="1098"/>
      <c r="HF676" s="1098"/>
      <c r="HG676" s="1098"/>
      <c r="HH676" s="1098"/>
      <c r="HI676" s="1098"/>
      <c r="HJ676" s="1098"/>
      <c r="HK676" s="1098"/>
      <c r="HL676" s="1098"/>
      <c r="HM676" s="1098"/>
      <c r="HN676" s="1098"/>
      <c r="HO676" s="1098"/>
      <c r="HP676" s="1098"/>
      <c r="HQ676" s="1098"/>
      <c r="HR676" s="1098"/>
      <c r="HS676" s="1098"/>
      <c r="HT676" s="1098"/>
      <c r="HU676" s="1098"/>
      <c r="HV676" s="1098"/>
      <c r="HW676" s="1098"/>
      <c r="HX676" s="1098"/>
      <c r="HY676" s="1098"/>
      <c r="HZ676" s="1098"/>
      <c r="IA676" s="1098"/>
      <c r="IB676" s="1098"/>
      <c r="IC676" s="1098"/>
      <c r="ID676" s="1098"/>
      <c r="IE676" s="1098"/>
      <c r="IF676" s="1098"/>
      <c r="IG676" s="1098"/>
      <c r="IH676" s="1098"/>
      <c r="II676" s="1098"/>
      <c r="IJ676" s="1098"/>
      <c r="IK676" s="1098"/>
      <c r="IL676" s="1098"/>
      <c r="IM676" s="1098"/>
      <c r="IN676" s="1098"/>
      <c r="IO676" s="1098"/>
      <c r="IP676" s="1098"/>
      <c r="IQ676" s="1098"/>
      <c r="IR676" s="1098"/>
      <c r="IS676" s="1098"/>
      <c r="IT676" s="1098"/>
      <c r="IU676" s="1098"/>
      <c r="IV676" s="1098"/>
      <c r="IW676" s="1098"/>
      <c r="IX676" s="1098"/>
      <c r="IY676" s="1098"/>
      <c r="IZ676" s="1098"/>
      <c r="JA676" s="1098"/>
      <c r="JB676" s="1098"/>
      <c r="JC676" s="1098"/>
      <c r="JD676" s="1098"/>
      <c r="JE676" s="1098"/>
      <c r="JF676" s="1098"/>
      <c r="JG676" s="1098"/>
      <c r="JH676" s="1098"/>
      <c r="JI676" s="1098"/>
      <c r="JJ676" s="1098"/>
      <c r="JK676" s="1098"/>
      <c r="JL676" s="1098"/>
      <c r="JM676" s="1098"/>
      <c r="JN676" s="1098"/>
      <c r="JO676" s="1098"/>
      <c r="JP676" s="1098"/>
      <c r="JQ676" s="1098"/>
      <c r="JR676" s="1098"/>
      <c r="JS676" s="1098"/>
      <c r="JT676" s="1098"/>
      <c r="JU676" s="1098"/>
      <c r="JV676" s="1098"/>
      <c r="JW676" s="1098"/>
      <c r="JX676" s="1098"/>
      <c r="JY676" s="1098"/>
      <c r="JZ676" s="1098"/>
      <c r="KA676" s="1098"/>
      <c r="KB676" s="1099"/>
    </row>
    <row r="677" spans="2:288" ht="15" customHeight="1" x14ac:dyDescent="0.35">
      <c r="B677" s="146" t="str">
        <f t="shared" si="55"/>
        <v>Desk 47</v>
      </c>
      <c r="C677" s="148" t="str">
        <v/>
      </c>
      <c r="D677" s="148" t="str">
        <v/>
      </c>
      <c r="E677" s="148" t="str">
        <v/>
      </c>
      <c r="F677" s="148" t="str">
        <v/>
      </c>
      <c r="G677" s="268" t="str">
        <v/>
      </c>
      <c r="H677" s="1098"/>
      <c r="I677" s="1098"/>
      <c r="J677" s="1098"/>
      <c r="K677" s="1098"/>
      <c r="L677" s="1098"/>
      <c r="M677" s="1098"/>
      <c r="N677" s="1098"/>
      <c r="O677" s="1098"/>
      <c r="P677" s="1098"/>
      <c r="Q677" s="1098"/>
      <c r="R677" s="1098"/>
      <c r="S677" s="1098"/>
      <c r="T677" s="1098"/>
      <c r="U677" s="1098"/>
      <c r="V677" s="1098"/>
      <c r="W677" s="1098"/>
      <c r="X677" s="1098"/>
      <c r="Y677" s="1098"/>
      <c r="Z677" s="1098"/>
      <c r="AA677" s="1098"/>
      <c r="AB677" s="1098"/>
      <c r="AC677" s="1098"/>
      <c r="AD677" s="1098"/>
      <c r="AE677" s="1098"/>
      <c r="AF677" s="1098"/>
      <c r="AG677" s="1098"/>
      <c r="AH677" s="1098"/>
      <c r="AI677" s="1098"/>
      <c r="AJ677" s="1098"/>
      <c r="AK677" s="1098"/>
      <c r="AL677" s="1098"/>
      <c r="AM677" s="1098"/>
      <c r="AN677" s="1098"/>
      <c r="AO677" s="1098"/>
      <c r="AP677" s="1098"/>
      <c r="AQ677" s="1098"/>
      <c r="AR677" s="1098"/>
      <c r="AS677" s="1098"/>
      <c r="AT677" s="1098"/>
      <c r="AU677" s="1098"/>
      <c r="AV677" s="1098"/>
      <c r="AW677" s="1098"/>
      <c r="AX677" s="1098"/>
      <c r="AY677" s="1098"/>
      <c r="AZ677" s="1098"/>
      <c r="BA677" s="1098"/>
      <c r="BB677" s="1098"/>
      <c r="BC677" s="1098"/>
      <c r="BD677" s="1098"/>
      <c r="BE677" s="1098"/>
      <c r="BF677" s="1098"/>
      <c r="BG677" s="1098"/>
      <c r="BH677" s="1098"/>
      <c r="BI677" s="1098"/>
      <c r="BJ677" s="1098"/>
      <c r="BK677" s="1098"/>
      <c r="BL677" s="1098"/>
      <c r="BM677" s="1098"/>
      <c r="BN677" s="1098"/>
      <c r="BO677" s="1098"/>
      <c r="BP677" s="1098"/>
      <c r="BQ677" s="1098"/>
      <c r="BR677" s="1098"/>
      <c r="BS677" s="1098"/>
      <c r="BT677" s="1098"/>
      <c r="BU677" s="1098"/>
      <c r="BV677" s="1098"/>
      <c r="BW677" s="1098"/>
      <c r="BX677" s="1098"/>
      <c r="BY677" s="1098"/>
      <c r="BZ677" s="1098"/>
      <c r="CA677" s="1098"/>
      <c r="CB677" s="1098"/>
      <c r="CC677" s="1098"/>
      <c r="CD677" s="1098"/>
      <c r="CE677" s="1098"/>
      <c r="CF677" s="1098"/>
      <c r="CG677" s="1098"/>
      <c r="CH677" s="1098"/>
      <c r="CI677" s="1098"/>
      <c r="CJ677" s="1098"/>
      <c r="CK677" s="1098"/>
      <c r="CL677" s="1098"/>
      <c r="CM677" s="1098"/>
      <c r="CN677" s="1098"/>
      <c r="CO677" s="1098"/>
      <c r="CP677" s="1098"/>
      <c r="CQ677" s="1098"/>
      <c r="CR677" s="1098"/>
      <c r="CS677" s="1098"/>
      <c r="CT677" s="1098"/>
      <c r="CU677" s="1098"/>
      <c r="CV677" s="1098"/>
      <c r="CW677" s="1098"/>
      <c r="CX677" s="1098"/>
      <c r="CY677" s="1098"/>
      <c r="CZ677" s="1098"/>
      <c r="DA677" s="1098"/>
      <c r="DB677" s="1098"/>
      <c r="DC677" s="1098"/>
      <c r="DD677" s="1098"/>
      <c r="DE677" s="1098"/>
      <c r="DF677" s="1098"/>
      <c r="DG677" s="1098"/>
      <c r="DH677" s="1098"/>
      <c r="DI677" s="1098"/>
      <c r="DJ677" s="1098"/>
      <c r="DK677" s="1098"/>
      <c r="DL677" s="1098"/>
      <c r="DM677" s="1098"/>
      <c r="DN677" s="1098"/>
      <c r="DO677" s="1098"/>
      <c r="DP677" s="1098"/>
      <c r="DQ677" s="1098"/>
      <c r="DR677" s="1098"/>
      <c r="DS677" s="1098"/>
      <c r="DT677" s="1098"/>
      <c r="DU677" s="1098"/>
      <c r="DV677" s="1098"/>
      <c r="DW677" s="1098"/>
      <c r="DX677" s="1098"/>
      <c r="DY677" s="1098"/>
      <c r="DZ677" s="1098"/>
      <c r="EA677" s="1098"/>
      <c r="EB677" s="1098"/>
      <c r="EC677" s="1098"/>
      <c r="ED677" s="1098"/>
      <c r="EE677" s="1098"/>
      <c r="EF677" s="1098"/>
      <c r="EG677" s="1098"/>
      <c r="EH677" s="1098"/>
      <c r="EI677" s="1098"/>
      <c r="EJ677" s="1098"/>
      <c r="EK677" s="1098"/>
      <c r="EL677" s="1098"/>
      <c r="EM677" s="1098"/>
      <c r="EN677" s="1098"/>
      <c r="EO677" s="1098"/>
      <c r="EP677" s="1098"/>
      <c r="EQ677" s="1098"/>
      <c r="ER677" s="1098"/>
      <c r="ES677" s="1098"/>
      <c r="ET677" s="1098"/>
      <c r="EU677" s="1098"/>
      <c r="EV677" s="1098"/>
      <c r="EW677" s="1098"/>
      <c r="EX677" s="1098"/>
      <c r="EY677" s="1098"/>
      <c r="EZ677" s="1098"/>
      <c r="FA677" s="1098"/>
      <c r="FB677" s="1098"/>
      <c r="FC677" s="1098"/>
      <c r="FD677" s="1098"/>
      <c r="FE677" s="1098"/>
      <c r="FF677" s="1098"/>
      <c r="FG677" s="1098"/>
      <c r="FH677" s="1098"/>
      <c r="FI677" s="1098"/>
      <c r="FJ677" s="1098"/>
      <c r="FK677" s="1098"/>
      <c r="FL677" s="1098"/>
      <c r="FM677" s="1098"/>
      <c r="FN677" s="1098"/>
      <c r="FO677" s="1098"/>
      <c r="FP677" s="1098"/>
      <c r="FQ677" s="1098"/>
      <c r="FR677" s="1098"/>
      <c r="FS677" s="1098"/>
      <c r="FT677" s="1098"/>
      <c r="FU677" s="1098"/>
      <c r="FV677" s="1098"/>
      <c r="FW677" s="1098"/>
      <c r="FX677" s="1098"/>
      <c r="FY677" s="1098"/>
      <c r="FZ677" s="1098"/>
      <c r="GA677" s="1098"/>
      <c r="GB677" s="1098"/>
      <c r="GC677" s="1098"/>
      <c r="GD677" s="1098"/>
      <c r="GE677" s="1098"/>
      <c r="GF677" s="1098"/>
      <c r="GG677" s="1098"/>
      <c r="GH677" s="1098"/>
      <c r="GI677" s="1098"/>
      <c r="GJ677" s="1098"/>
      <c r="GK677" s="1098"/>
      <c r="GL677" s="1098"/>
      <c r="GM677" s="1098"/>
      <c r="GN677" s="1098"/>
      <c r="GO677" s="1098"/>
      <c r="GP677" s="1098"/>
      <c r="GQ677" s="1098"/>
      <c r="GR677" s="1098"/>
      <c r="GS677" s="1098"/>
      <c r="GT677" s="1098"/>
      <c r="GU677" s="1098"/>
      <c r="GV677" s="1098"/>
      <c r="GW677" s="1098"/>
      <c r="GX677" s="1098"/>
      <c r="GY677" s="1098"/>
      <c r="GZ677" s="1098"/>
      <c r="HA677" s="1098"/>
      <c r="HB677" s="1098"/>
      <c r="HC677" s="1098"/>
      <c r="HD677" s="1098"/>
      <c r="HE677" s="1098"/>
      <c r="HF677" s="1098"/>
      <c r="HG677" s="1098"/>
      <c r="HH677" s="1098"/>
      <c r="HI677" s="1098"/>
      <c r="HJ677" s="1098"/>
      <c r="HK677" s="1098"/>
      <c r="HL677" s="1098"/>
      <c r="HM677" s="1098"/>
      <c r="HN677" s="1098"/>
      <c r="HO677" s="1098"/>
      <c r="HP677" s="1098"/>
      <c r="HQ677" s="1098"/>
      <c r="HR677" s="1098"/>
      <c r="HS677" s="1098"/>
      <c r="HT677" s="1098"/>
      <c r="HU677" s="1098"/>
      <c r="HV677" s="1098"/>
      <c r="HW677" s="1098"/>
      <c r="HX677" s="1098"/>
      <c r="HY677" s="1098"/>
      <c r="HZ677" s="1098"/>
      <c r="IA677" s="1098"/>
      <c r="IB677" s="1098"/>
      <c r="IC677" s="1098"/>
      <c r="ID677" s="1098"/>
      <c r="IE677" s="1098"/>
      <c r="IF677" s="1098"/>
      <c r="IG677" s="1098"/>
      <c r="IH677" s="1098"/>
      <c r="II677" s="1098"/>
      <c r="IJ677" s="1098"/>
      <c r="IK677" s="1098"/>
      <c r="IL677" s="1098"/>
      <c r="IM677" s="1098"/>
      <c r="IN677" s="1098"/>
      <c r="IO677" s="1098"/>
      <c r="IP677" s="1098"/>
      <c r="IQ677" s="1098"/>
      <c r="IR677" s="1098"/>
      <c r="IS677" s="1098"/>
      <c r="IT677" s="1098"/>
      <c r="IU677" s="1098"/>
      <c r="IV677" s="1098"/>
      <c r="IW677" s="1098"/>
      <c r="IX677" s="1098"/>
      <c r="IY677" s="1098"/>
      <c r="IZ677" s="1098"/>
      <c r="JA677" s="1098"/>
      <c r="JB677" s="1098"/>
      <c r="JC677" s="1098"/>
      <c r="JD677" s="1098"/>
      <c r="JE677" s="1098"/>
      <c r="JF677" s="1098"/>
      <c r="JG677" s="1098"/>
      <c r="JH677" s="1098"/>
      <c r="JI677" s="1098"/>
      <c r="JJ677" s="1098"/>
      <c r="JK677" s="1098"/>
      <c r="JL677" s="1098"/>
      <c r="JM677" s="1098"/>
      <c r="JN677" s="1098"/>
      <c r="JO677" s="1098"/>
      <c r="JP677" s="1098"/>
      <c r="JQ677" s="1098"/>
      <c r="JR677" s="1098"/>
      <c r="JS677" s="1098"/>
      <c r="JT677" s="1098"/>
      <c r="JU677" s="1098"/>
      <c r="JV677" s="1098"/>
      <c r="JW677" s="1098"/>
      <c r="JX677" s="1098"/>
      <c r="JY677" s="1098"/>
      <c r="JZ677" s="1098"/>
      <c r="KA677" s="1098"/>
      <c r="KB677" s="1099"/>
    </row>
    <row r="678" spans="2:288" ht="15" customHeight="1" x14ac:dyDescent="0.35">
      <c r="B678" s="146" t="str">
        <f t="shared" si="55"/>
        <v>Desk 48</v>
      </c>
      <c r="C678" s="148" t="str">
        <v/>
      </c>
      <c r="D678" s="148" t="str">
        <v/>
      </c>
      <c r="E678" s="148" t="str">
        <v/>
      </c>
      <c r="F678" s="148" t="str">
        <v/>
      </c>
      <c r="G678" s="268" t="str">
        <v/>
      </c>
      <c r="H678" s="1098"/>
      <c r="I678" s="1098"/>
      <c r="J678" s="1098"/>
      <c r="K678" s="1098"/>
      <c r="L678" s="1098"/>
      <c r="M678" s="1098"/>
      <c r="N678" s="1098"/>
      <c r="O678" s="1098"/>
      <c r="P678" s="1098"/>
      <c r="Q678" s="1098"/>
      <c r="R678" s="1098"/>
      <c r="S678" s="1098"/>
      <c r="T678" s="1098"/>
      <c r="U678" s="1098"/>
      <c r="V678" s="1098"/>
      <c r="W678" s="1098"/>
      <c r="X678" s="1098"/>
      <c r="Y678" s="1098"/>
      <c r="Z678" s="1098"/>
      <c r="AA678" s="1098"/>
      <c r="AB678" s="1098"/>
      <c r="AC678" s="1098"/>
      <c r="AD678" s="1098"/>
      <c r="AE678" s="1098"/>
      <c r="AF678" s="1098"/>
      <c r="AG678" s="1098"/>
      <c r="AH678" s="1098"/>
      <c r="AI678" s="1098"/>
      <c r="AJ678" s="1098"/>
      <c r="AK678" s="1098"/>
      <c r="AL678" s="1098"/>
      <c r="AM678" s="1098"/>
      <c r="AN678" s="1098"/>
      <c r="AO678" s="1098"/>
      <c r="AP678" s="1098"/>
      <c r="AQ678" s="1098"/>
      <c r="AR678" s="1098"/>
      <c r="AS678" s="1098"/>
      <c r="AT678" s="1098"/>
      <c r="AU678" s="1098"/>
      <c r="AV678" s="1098"/>
      <c r="AW678" s="1098"/>
      <c r="AX678" s="1098"/>
      <c r="AY678" s="1098"/>
      <c r="AZ678" s="1098"/>
      <c r="BA678" s="1098"/>
      <c r="BB678" s="1098"/>
      <c r="BC678" s="1098"/>
      <c r="BD678" s="1098"/>
      <c r="BE678" s="1098"/>
      <c r="BF678" s="1098"/>
      <c r="BG678" s="1098"/>
      <c r="BH678" s="1098"/>
      <c r="BI678" s="1098"/>
      <c r="BJ678" s="1098"/>
      <c r="BK678" s="1098"/>
      <c r="BL678" s="1098"/>
      <c r="BM678" s="1098"/>
      <c r="BN678" s="1098"/>
      <c r="BO678" s="1098"/>
      <c r="BP678" s="1098"/>
      <c r="BQ678" s="1098"/>
      <c r="BR678" s="1098"/>
      <c r="BS678" s="1098"/>
      <c r="BT678" s="1098"/>
      <c r="BU678" s="1098"/>
      <c r="BV678" s="1098"/>
      <c r="BW678" s="1098"/>
      <c r="BX678" s="1098"/>
      <c r="BY678" s="1098"/>
      <c r="BZ678" s="1098"/>
      <c r="CA678" s="1098"/>
      <c r="CB678" s="1098"/>
      <c r="CC678" s="1098"/>
      <c r="CD678" s="1098"/>
      <c r="CE678" s="1098"/>
      <c r="CF678" s="1098"/>
      <c r="CG678" s="1098"/>
      <c r="CH678" s="1098"/>
      <c r="CI678" s="1098"/>
      <c r="CJ678" s="1098"/>
      <c r="CK678" s="1098"/>
      <c r="CL678" s="1098"/>
      <c r="CM678" s="1098"/>
      <c r="CN678" s="1098"/>
      <c r="CO678" s="1098"/>
      <c r="CP678" s="1098"/>
      <c r="CQ678" s="1098"/>
      <c r="CR678" s="1098"/>
      <c r="CS678" s="1098"/>
      <c r="CT678" s="1098"/>
      <c r="CU678" s="1098"/>
      <c r="CV678" s="1098"/>
      <c r="CW678" s="1098"/>
      <c r="CX678" s="1098"/>
      <c r="CY678" s="1098"/>
      <c r="CZ678" s="1098"/>
      <c r="DA678" s="1098"/>
      <c r="DB678" s="1098"/>
      <c r="DC678" s="1098"/>
      <c r="DD678" s="1098"/>
      <c r="DE678" s="1098"/>
      <c r="DF678" s="1098"/>
      <c r="DG678" s="1098"/>
      <c r="DH678" s="1098"/>
      <c r="DI678" s="1098"/>
      <c r="DJ678" s="1098"/>
      <c r="DK678" s="1098"/>
      <c r="DL678" s="1098"/>
      <c r="DM678" s="1098"/>
      <c r="DN678" s="1098"/>
      <c r="DO678" s="1098"/>
      <c r="DP678" s="1098"/>
      <c r="DQ678" s="1098"/>
      <c r="DR678" s="1098"/>
      <c r="DS678" s="1098"/>
      <c r="DT678" s="1098"/>
      <c r="DU678" s="1098"/>
      <c r="DV678" s="1098"/>
      <c r="DW678" s="1098"/>
      <c r="DX678" s="1098"/>
      <c r="DY678" s="1098"/>
      <c r="DZ678" s="1098"/>
      <c r="EA678" s="1098"/>
      <c r="EB678" s="1098"/>
      <c r="EC678" s="1098"/>
      <c r="ED678" s="1098"/>
      <c r="EE678" s="1098"/>
      <c r="EF678" s="1098"/>
      <c r="EG678" s="1098"/>
      <c r="EH678" s="1098"/>
      <c r="EI678" s="1098"/>
      <c r="EJ678" s="1098"/>
      <c r="EK678" s="1098"/>
      <c r="EL678" s="1098"/>
      <c r="EM678" s="1098"/>
      <c r="EN678" s="1098"/>
      <c r="EO678" s="1098"/>
      <c r="EP678" s="1098"/>
      <c r="EQ678" s="1098"/>
      <c r="ER678" s="1098"/>
      <c r="ES678" s="1098"/>
      <c r="ET678" s="1098"/>
      <c r="EU678" s="1098"/>
      <c r="EV678" s="1098"/>
      <c r="EW678" s="1098"/>
      <c r="EX678" s="1098"/>
      <c r="EY678" s="1098"/>
      <c r="EZ678" s="1098"/>
      <c r="FA678" s="1098"/>
      <c r="FB678" s="1098"/>
      <c r="FC678" s="1098"/>
      <c r="FD678" s="1098"/>
      <c r="FE678" s="1098"/>
      <c r="FF678" s="1098"/>
      <c r="FG678" s="1098"/>
      <c r="FH678" s="1098"/>
      <c r="FI678" s="1098"/>
      <c r="FJ678" s="1098"/>
      <c r="FK678" s="1098"/>
      <c r="FL678" s="1098"/>
      <c r="FM678" s="1098"/>
      <c r="FN678" s="1098"/>
      <c r="FO678" s="1098"/>
      <c r="FP678" s="1098"/>
      <c r="FQ678" s="1098"/>
      <c r="FR678" s="1098"/>
      <c r="FS678" s="1098"/>
      <c r="FT678" s="1098"/>
      <c r="FU678" s="1098"/>
      <c r="FV678" s="1098"/>
      <c r="FW678" s="1098"/>
      <c r="FX678" s="1098"/>
      <c r="FY678" s="1098"/>
      <c r="FZ678" s="1098"/>
      <c r="GA678" s="1098"/>
      <c r="GB678" s="1098"/>
      <c r="GC678" s="1098"/>
      <c r="GD678" s="1098"/>
      <c r="GE678" s="1098"/>
      <c r="GF678" s="1098"/>
      <c r="GG678" s="1098"/>
      <c r="GH678" s="1098"/>
      <c r="GI678" s="1098"/>
      <c r="GJ678" s="1098"/>
      <c r="GK678" s="1098"/>
      <c r="GL678" s="1098"/>
      <c r="GM678" s="1098"/>
      <c r="GN678" s="1098"/>
      <c r="GO678" s="1098"/>
      <c r="GP678" s="1098"/>
      <c r="GQ678" s="1098"/>
      <c r="GR678" s="1098"/>
      <c r="GS678" s="1098"/>
      <c r="GT678" s="1098"/>
      <c r="GU678" s="1098"/>
      <c r="GV678" s="1098"/>
      <c r="GW678" s="1098"/>
      <c r="GX678" s="1098"/>
      <c r="GY678" s="1098"/>
      <c r="GZ678" s="1098"/>
      <c r="HA678" s="1098"/>
      <c r="HB678" s="1098"/>
      <c r="HC678" s="1098"/>
      <c r="HD678" s="1098"/>
      <c r="HE678" s="1098"/>
      <c r="HF678" s="1098"/>
      <c r="HG678" s="1098"/>
      <c r="HH678" s="1098"/>
      <c r="HI678" s="1098"/>
      <c r="HJ678" s="1098"/>
      <c r="HK678" s="1098"/>
      <c r="HL678" s="1098"/>
      <c r="HM678" s="1098"/>
      <c r="HN678" s="1098"/>
      <c r="HO678" s="1098"/>
      <c r="HP678" s="1098"/>
      <c r="HQ678" s="1098"/>
      <c r="HR678" s="1098"/>
      <c r="HS678" s="1098"/>
      <c r="HT678" s="1098"/>
      <c r="HU678" s="1098"/>
      <c r="HV678" s="1098"/>
      <c r="HW678" s="1098"/>
      <c r="HX678" s="1098"/>
      <c r="HY678" s="1098"/>
      <c r="HZ678" s="1098"/>
      <c r="IA678" s="1098"/>
      <c r="IB678" s="1098"/>
      <c r="IC678" s="1098"/>
      <c r="ID678" s="1098"/>
      <c r="IE678" s="1098"/>
      <c r="IF678" s="1098"/>
      <c r="IG678" s="1098"/>
      <c r="IH678" s="1098"/>
      <c r="II678" s="1098"/>
      <c r="IJ678" s="1098"/>
      <c r="IK678" s="1098"/>
      <c r="IL678" s="1098"/>
      <c r="IM678" s="1098"/>
      <c r="IN678" s="1098"/>
      <c r="IO678" s="1098"/>
      <c r="IP678" s="1098"/>
      <c r="IQ678" s="1098"/>
      <c r="IR678" s="1098"/>
      <c r="IS678" s="1098"/>
      <c r="IT678" s="1098"/>
      <c r="IU678" s="1098"/>
      <c r="IV678" s="1098"/>
      <c r="IW678" s="1098"/>
      <c r="IX678" s="1098"/>
      <c r="IY678" s="1098"/>
      <c r="IZ678" s="1098"/>
      <c r="JA678" s="1098"/>
      <c r="JB678" s="1098"/>
      <c r="JC678" s="1098"/>
      <c r="JD678" s="1098"/>
      <c r="JE678" s="1098"/>
      <c r="JF678" s="1098"/>
      <c r="JG678" s="1098"/>
      <c r="JH678" s="1098"/>
      <c r="JI678" s="1098"/>
      <c r="JJ678" s="1098"/>
      <c r="JK678" s="1098"/>
      <c r="JL678" s="1098"/>
      <c r="JM678" s="1098"/>
      <c r="JN678" s="1098"/>
      <c r="JO678" s="1098"/>
      <c r="JP678" s="1098"/>
      <c r="JQ678" s="1098"/>
      <c r="JR678" s="1098"/>
      <c r="JS678" s="1098"/>
      <c r="JT678" s="1098"/>
      <c r="JU678" s="1098"/>
      <c r="JV678" s="1098"/>
      <c r="JW678" s="1098"/>
      <c r="JX678" s="1098"/>
      <c r="JY678" s="1098"/>
      <c r="JZ678" s="1098"/>
      <c r="KA678" s="1098"/>
      <c r="KB678" s="1099"/>
    </row>
    <row r="679" spans="2:288" ht="15" customHeight="1" x14ac:dyDescent="0.35">
      <c r="B679" s="146" t="str">
        <f t="shared" si="55"/>
        <v>Desk 49</v>
      </c>
      <c r="C679" s="148" t="str">
        <v/>
      </c>
      <c r="D679" s="148" t="str">
        <v/>
      </c>
      <c r="E679" s="148" t="str">
        <v/>
      </c>
      <c r="F679" s="148" t="str">
        <v/>
      </c>
      <c r="G679" s="268" t="str">
        <v/>
      </c>
      <c r="H679" s="1098"/>
      <c r="I679" s="1098"/>
      <c r="J679" s="1098"/>
      <c r="K679" s="1098"/>
      <c r="L679" s="1098"/>
      <c r="M679" s="1098"/>
      <c r="N679" s="1098"/>
      <c r="O679" s="1098"/>
      <c r="P679" s="1098"/>
      <c r="Q679" s="1098"/>
      <c r="R679" s="1098"/>
      <c r="S679" s="1098"/>
      <c r="T679" s="1098"/>
      <c r="U679" s="1098"/>
      <c r="V679" s="1098"/>
      <c r="W679" s="1098"/>
      <c r="X679" s="1098"/>
      <c r="Y679" s="1098"/>
      <c r="Z679" s="1098"/>
      <c r="AA679" s="1098"/>
      <c r="AB679" s="1098"/>
      <c r="AC679" s="1098"/>
      <c r="AD679" s="1098"/>
      <c r="AE679" s="1098"/>
      <c r="AF679" s="1098"/>
      <c r="AG679" s="1098"/>
      <c r="AH679" s="1098"/>
      <c r="AI679" s="1098"/>
      <c r="AJ679" s="1098"/>
      <c r="AK679" s="1098"/>
      <c r="AL679" s="1098"/>
      <c r="AM679" s="1098"/>
      <c r="AN679" s="1098"/>
      <c r="AO679" s="1098"/>
      <c r="AP679" s="1098"/>
      <c r="AQ679" s="1098"/>
      <c r="AR679" s="1098"/>
      <c r="AS679" s="1098"/>
      <c r="AT679" s="1098"/>
      <c r="AU679" s="1098"/>
      <c r="AV679" s="1098"/>
      <c r="AW679" s="1098"/>
      <c r="AX679" s="1098"/>
      <c r="AY679" s="1098"/>
      <c r="AZ679" s="1098"/>
      <c r="BA679" s="1098"/>
      <c r="BB679" s="1098"/>
      <c r="BC679" s="1098"/>
      <c r="BD679" s="1098"/>
      <c r="BE679" s="1098"/>
      <c r="BF679" s="1098"/>
      <c r="BG679" s="1098"/>
      <c r="BH679" s="1098"/>
      <c r="BI679" s="1098"/>
      <c r="BJ679" s="1098"/>
      <c r="BK679" s="1098"/>
      <c r="BL679" s="1098"/>
      <c r="BM679" s="1098"/>
      <c r="BN679" s="1098"/>
      <c r="BO679" s="1098"/>
      <c r="BP679" s="1098"/>
      <c r="BQ679" s="1098"/>
      <c r="BR679" s="1098"/>
      <c r="BS679" s="1098"/>
      <c r="BT679" s="1098"/>
      <c r="BU679" s="1098"/>
      <c r="BV679" s="1098"/>
      <c r="BW679" s="1098"/>
      <c r="BX679" s="1098"/>
      <c r="BY679" s="1098"/>
      <c r="BZ679" s="1098"/>
      <c r="CA679" s="1098"/>
      <c r="CB679" s="1098"/>
      <c r="CC679" s="1098"/>
      <c r="CD679" s="1098"/>
      <c r="CE679" s="1098"/>
      <c r="CF679" s="1098"/>
      <c r="CG679" s="1098"/>
      <c r="CH679" s="1098"/>
      <c r="CI679" s="1098"/>
      <c r="CJ679" s="1098"/>
      <c r="CK679" s="1098"/>
      <c r="CL679" s="1098"/>
      <c r="CM679" s="1098"/>
      <c r="CN679" s="1098"/>
      <c r="CO679" s="1098"/>
      <c r="CP679" s="1098"/>
      <c r="CQ679" s="1098"/>
      <c r="CR679" s="1098"/>
      <c r="CS679" s="1098"/>
      <c r="CT679" s="1098"/>
      <c r="CU679" s="1098"/>
      <c r="CV679" s="1098"/>
      <c r="CW679" s="1098"/>
      <c r="CX679" s="1098"/>
      <c r="CY679" s="1098"/>
      <c r="CZ679" s="1098"/>
      <c r="DA679" s="1098"/>
      <c r="DB679" s="1098"/>
      <c r="DC679" s="1098"/>
      <c r="DD679" s="1098"/>
      <c r="DE679" s="1098"/>
      <c r="DF679" s="1098"/>
      <c r="DG679" s="1098"/>
      <c r="DH679" s="1098"/>
      <c r="DI679" s="1098"/>
      <c r="DJ679" s="1098"/>
      <c r="DK679" s="1098"/>
      <c r="DL679" s="1098"/>
      <c r="DM679" s="1098"/>
      <c r="DN679" s="1098"/>
      <c r="DO679" s="1098"/>
      <c r="DP679" s="1098"/>
      <c r="DQ679" s="1098"/>
      <c r="DR679" s="1098"/>
      <c r="DS679" s="1098"/>
      <c r="DT679" s="1098"/>
      <c r="DU679" s="1098"/>
      <c r="DV679" s="1098"/>
      <c r="DW679" s="1098"/>
      <c r="DX679" s="1098"/>
      <c r="DY679" s="1098"/>
      <c r="DZ679" s="1098"/>
      <c r="EA679" s="1098"/>
      <c r="EB679" s="1098"/>
      <c r="EC679" s="1098"/>
      <c r="ED679" s="1098"/>
      <c r="EE679" s="1098"/>
      <c r="EF679" s="1098"/>
      <c r="EG679" s="1098"/>
      <c r="EH679" s="1098"/>
      <c r="EI679" s="1098"/>
      <c r="EJ679" s="1098"/>
      <c r="EK679" s="1098"/>
      <c r="EL679" s="1098"/>
      <c r="EM679" s="1098"/>
      <c r="EN679" s="1098"/>
      <c r="EO679" s="1098"/>
      <c r="EP679" s="1098"/>
      <c r="EQ679" s="1098"/>
      <c r="ER679" s="1098"/>
      <c r="ES679" s="1098"/>
      <c r="ET679" s="1098"/>
      <c r="EU679" s="1098"/>
      <c r="EV679" s="1098"/>
      <c r="EW679" s="1098"/>
      <c r="EX679" s="1098"/>
      <c r="EY679" s="1098"/>
      <c r="EZ679" s="1098"/>
      <c r="FA679" s="1098"/>
      <c r="FB679" s="1098"/>
      <c r="FC679" s="1098"/>
      <c r="FD679" s="1098"/>
      <c r="FE679" s="1098"/>
      <c r="FF679" s="1098"/>
      <c r="FG679" s="1098"/>
      <c r="FH679" s="1098"/>
      <c r="FI679" s="1098"/>
      <c r="FJ679" s="1098"/>
      <c r="FK679" s="1098"/>
      <c r="FL679" s="1098"/>
      <c r="FM679" s="1098"/>
      <c r="FN679" s="1098"/>
      <c r="FO679" s="1098"/>
      <c r="FP679" s="1098"/>
      <c r="FQ679" s="1098"/>
      <c r="FR679" s="1098"/>
      <c r="FS679" s="1098"/>
      <c r="FT679" s="1098"/>
      <c r="FU679" s="1098"/>
      <c r="FV679" s="1098"/>
      <c r="FW679" s="1098"/>
      <c r="FX679" s="1098"/>
      <c r="FY679" s="1098"/>
      <c r="FZ679" s="1098"/>
      <c r="GA679" s="1098"/>
      <c r="GB679" s="1098"/>
      <c r="GC679" s="1098"/>
      <c r="GD679" s="1098"/>
      <c r="GE679" s="1098"/>
      <c r="GF679" s="1098"/>
      <c r="GG679" s="1098"/>
      <c r="GH679" s="1098"/>
      <c r="GI679" s="1098"/>
      <c r="GJ679" s="1098"/>
      <c r="GK679" s="1098"/>
      <c r="GL679" s="1098"/>
      <c r="GM679" s="1098"/>
      <c r="GN679" s="1098"/>
      <c r="GO679" s="1098"/>
      <c r="GP679" s="1098"/>
      <c r="GQ679" s="1098"/>
      <c r="GR679" s="1098"/>
      <c r="GS679" s="1098"/>
      <c r="GT679" s="1098"/>
      <c r="GU679" s="1098"/>
      <c r="GV679" s="1098"/>
      <c r="GW679" s="1098"/>
      <c r="GX679" s="1098"/>
      <c r="GY679" s="1098"/>
      <c r="GZ679" s="1098"/>
      <c r="HA679" s="1098"/>
      <c r="HB679" s="1098"/>
      <c r="HC679" s="1098"/>
      <c r="HD679" s="1098"/>
      <c r="HE679" s="1098"/>
      <c r="HF679" s="1098"/>
      <c r="HG679" s="1098"/>
      <c r="HH679" s="1098"/>
      <c r="HI679" s="1098"/>
      <c r="HJ679" s="1098"/>
      <c r="HK679" s="1098"/>
      <c r="HL679" s="1098"/>
      <c r="HM679" s="1098"/>
      <c r="HN679" s="1098"/>
      <c r="HO679" s="1098"/>
      <c r="HP679" s="1098"/>
      <c r="HQ679" s="1098"/>
      <c r="HR679" s="1098"/>
      <c r="HS679" s="1098"/>
      <c r="HT679" s="1098"/>
      <c r="HU679" s="1098"/>
      <c r="HV679" s="1098"/>
      <c r="HW679" s="1098"/>
      <c r="HX679" s="1098"/>
      <c r="HY679" s="1098"/>
      <c r="HZ679" s="1098"/>
      <c r="IA679" s="1098"/>
      <c r="IB679" s="1098"/>
      <c r="IC679" s="1098"/>
      <c r="ID679" s="1098"/>
      <c r="IE679" s="1098"/>
      <c r="IF679" s="1098"/>
      <c r="IG679" s="1098"/>
      <c r="IH679" s="1098"/>
      <c r="II679" s="1098"/>
      <c r="IJ679" s="1098"/>
      <c r="IK679" s="1098"/>
      <c r="IL679" s="1098"/>
      <c r="IM679" s="1098"/>
      <c r="IN679" s="1098"/>
      <c r="IO679" s="1098"/>
      <c r="IP679" s="1098"/>
      <c r="IQ679" s="1098"/>
      <c r="IR679" s="1098"/>
      <c r="IS679" s="1098"/>
      <c r="IT679" s="1098"/>
      <c r="IU679" s="1098"/>
      <c r="IV679" s="1098"/>
      <c r="IW679" s="1098"/>
      <c r="IX679" s="1098"/>
      <c r="IY679" s="1098"/>
      <c r="IZ679" s="1098"/>
      <c r="JA679" s="1098"/>
      <c r="JB679" s="1098"/>
      <c r="JC679" s="1098"/>
      <c r="JD679" s="1098"/>
      <c r="JE679" s="1098"/>
      <c r="JF679" s="1098"/>
      <c r="JG679" s="1098"/>
      <c r="JH679" s="1098"/>
      <c r="JI679" s="1098"/>
      <c r="JJ679" s="1098"/>
      <c r="JK679" s="1098"/>
      <c r="JL679" s="1098"/>
      <c r="JM679" s="1098"/>
      <c r="JN679" s="1098"/>
      <c r="JO679" s="1098"/>
      <c r="JP679" s="1098"/>
      <c r="JQ679" s="1098"/>
      <c r="JR679" s="1098"/>
      <c r="JS679" s="1098"/>
      <c r="JT679" s="1098"/>
      <c r="JU679" s="1098"/>
      <c r="JV679" s="1098"/>
      <c r="JW679" s="1098"/>
      <c r="JX679" s="1098"/>
      <c r="JY679" s="1098"/>
      <c r="JZ679" s="1098"/>
      <c r="KA679" s="1098"/>
      <c r="KB679" s="1099"/>
    </row>
    <row r="680" spans="2:288" ht="15" customHeight="1" x14ac:dyDescent="0.35">
      <c r="B680" s="146" t="str">
        <f t="shared" si="55"/>
        <v>Desk 50</v>
      </c>
      <c r="C680" s="148" t="str">
        <v/>
      </c>
      <c r="D680" s="148" t="str">
        <v/>
      </c>
      <c r="E680" s="148" t="str">
        <v/>
      </c>
      <c r="F680" s="148" t="str">
        <v/>
      </c>
      <c r="G680" s="268" t="str">
        <v/>
      </c>
      <c r="H680" s="1098"/>
      <c r="I680" s="1098"/>
      <c r="J680" s="1098"/>
      <c r="K680" s="1098"/>
      <c r="L680" s="1098"/>
      <c r="M680" s="1098"/>
      <c r="N680" s="1098"/>
      <c r="O680" s="1098"/>
      <c r="P680" s="1098"/>
      <c r="Q680" s="1098"/>
      <c r="R680" s="1098"/>
      <c r="S680" s="1098"/>
      <c r="T680" s="1098"/>
      <c r="U680" s="1098"/>
      <c r="V680" s="1098"/>
      <c r="W680" s="1098"/>
      <c r="X680" s="1098"/>
      <c r="Y680" s="1098"/>
      <c r="Z680" s="1098"/>
      <c r="AA680" s="1098"/>
      <c r="AB680" s="1098"/>
      <c r="AC680" s="1098"/>
      <c r="AD680" s="1098"/>
      <c r="AE680" s="1098"/>
      <c r="AF680" s="1098"/>
      <c r="AG680" s="1098"/>
      <c r="AH680" s="1098"/>
      <c r="AI680" s="1098"/>
      <c r="AJ680" s="1098"/>
      <c r="AK680" s="1098"/>
      <c r="AL680" s="1098"/>
      <c r="AM680" s="1098"/>
      <c r="AN680" s="1098"/>
      <c r="AO680" s="1098"/>
      <c r="AP680" s="1098"/>
      <c r="AQ680" s="1098"/>
      <c r="AR680" s="1098"/>
      <c r="AS680" s="1098"/>
      <c r="AT680" s="1098"/>
      <c r="AU680" s="1098"/>
      <c r="AV680" s="1098"/>
      <c r="AW680" s="1098"/>
      <c r="AX680" s="1098"/>
      <c r="AY680" s="1098"/>
      <c r="AZ680" s="1098"/>
      <c r="BA680" s="1098"/>
      <c r="BB680" s="1098"/>
      <c r="BC680" s="1098"/>
      <c r="BD680" s="1098"/>
      <c r="BE680" s="1098"/>
      <c r="BF680" s="1098"/>
      <c r="BG680" s="1098"/>
      <c r="BH680" s="1098"/>
      <c r="BI680" s="1098"/>
      <c r="BJ680" s="1098"/>
      <c r="BK680" s="1098"/>
      <c r="BL680" s="1098"/>
      <c r="BM680" s="1098"/>
      <c r="BN680" s="1098"/>
      <c r="BO680" s="1098"/>
      <c r="BP680" s="1098"/>
      <c r="BQ680" s="1098"/>
      <c r="BR680" s="1098"/>
      <c r="BS680" s="1098"/>
      <c r="BT680" s="1098"/>
      <c r="BU680" s="1098"/>
      <c r="BV680" s="1098"/>
      <c r="BW680" s="1098"/>
      <c r="BX680" s="1098"/>
      <c r="BY680" s="1098"/>
      <c r="BZ680" s="1098"/>
      <c r="CA680" s="1098"/>
      <c r="CB680" s="1098"/>
      <c r="CC680" s="1098"/>
      <c r="CD680" s="1098"/>
      <c r="CE680" s="1098"/>
      <c r="CF680" s="1098"/>
      <c r="CG680" s="1098"/>
      <c r="CH680" s="1098"/>
      <c r="CI680" s="1098"/>
      <c r="CJ680" s="1098"/>
      <c r="CK680" s="1098"/>
      <c r="CL680" s="1098"/>
      <c r="CM680" s="1098"/>
      <c r="CN680" s="1098"/>
      <c r="CO680" s="1098"/>
      <c r="CP680" s="1098"/>
      <c r="CQ680" s="1098"/>
      <c r="CR680" s="1098"/>
      <c r="CS680" s="1098"/>
      <c r="CT680" s="1098"/>
      <c r="CU680" s="1098"/>
      <c r="CV680" s="1098"/>
      <c r="CW680" s="1098"/>
      <c r="CX680" s="1098"/>
      <c r="CY680" s="1098"/>
      <c r="CZ680" s="1098"/>
      <c r="DA680" s="1098"/>
      <c r="DB680" s="1098"/>
      <c r="DC680" s="1098"/>
      <c r="DD680" s="1098"/>
      <c r="DE680" s="1098"/>
      <c r="DF680" s="1098"/>
      <c r="DG680" s="1098"/>
      <c r="DH680" s="1098"/>
      <c r="DI680" s="1098"/>
      <c r="DJ680" s="1098"/>
      <c r="DK680" s="1098"/>
      <c r="DL680" s="1098"/>
      <c r="DM680" s="1098"/>
      <c r="DN680" s="1098"/>
      <c r="DO680" s="1098"/>
      <c r="DP680" s="1098"/>
      <c r="DQ680" s="1098"/>
      <c r="DR680" s="1098"/>
      <c r="DS680" s="1098"/>
      <c r="DT680" s="1098"/>
      <c r="DU680" s="1098"/>
      <c r="DV680" s="1098"/>
      <c r="DW680" s="1098"/>
      <c r="DX680" s="1098"/>
      <c r="DY680" s="1098"/>
      <c r="DZ680" s="1098"/>
      <c r="EA680" s="1098"/>
      <c r="EB680" s="1098"/>
      <c r="EC680" s="1098"/>
      <c r="ED680" s="1098"/>
      <c r="EE680" s="1098"/>
      <c r="EF680" s="1098"/>
      <c r="EG680" s="1098"/>
      <c r="EH680" s="1098"/>
      <c r="EI680" s="1098"/>
      <c r="EJ680" s="1098"/>
      <c r="EK680" s="1098"/>
      <c r="EL680" s="1098"/>
      <c r="EM680" s="1098"/>
      <c r="EN680" s="1098"/>
      <c r="EO680" s="1098"/>
      <c r="EP680" s="1098"/>
      <c r="EQ680" s="1098"/>
      <c r="ER680" s="1098"/>
      <c r="ES680" s="1098"/>
      <c r="ET680" s="1098"/>
      <c r="EU680" s="1098"/>
      <c r="EV680" s="1098"/>
      <c r="EW680" s="1098"/>
      <c r="EX680" s="1098"/>
      <c r="EY680" s="1098"/>
      <c r="EZ680" s="1098"/>
      <c r="FA680" s="1098"/>
      <c r="FB680" s="1098"/>
      <c r="FC680" s="1098"/>
      <c r="FD680" s="1098"/>
      <c r="FE680" s="1098"/>
      <c r="FF680" s="1098"/>
      <c r="FG680" s="1098"/>
      <c r="FH680" s="1098"/>
      <c r="FI680" s="1098"/>
      <c r="FJ680" s="1098"/>
      <c r="FK680" s="1098"/>
      <c r="FL680" s="1098"/>
      <c r="FM680" s="1098"/>
      <c r="FN680" s="1098"/>
      <c r="FO680" s="1098"/>
      <c r="FP680" s="1098"/>
      <c r="FQ680" s="1098"/>
      <c r="FR680" s="1098"/>
      <c r="FS680" s="1098"/>
      <c r="FT680" s="1098"/>
      <c r="FU680" s="1098"/>
      <c r="FV680" s="1098"/>
      <c r="FW680" s="1098"/>
      <c r="FX680" s="1098"/>
      <c r="FY680" s="1098"/>
      <c r="FZ680" s="1098"/>
      <c r="GA680" s="1098"/>
      <c r="GB680" s="1098"/>
      <c r="GC680" s="1098"/>
      <c r="GD680" s="1098"/>
      <c r="GE680" s="1098"/>
      <c r="GF680" s="1098"/>
      <c r="GG680" s="1098"/>
      <c r="GH680" s="1098"/>
      <c r="GI680" s="1098"/>
      <c r="GJ680" s="1098"/>
      <c r="GK680" s="1098"/>
      <c r="GL680" s="1098"/>
      <c r="GM680" s="1098"/>
      <c r="GN680" s="1098"/>
      <c r="GO680" s="1098"/>
      <c r="GP680" s="1098"/>
      <c r="GQ680" s="1098"/>
      <c r="GR680" s="1098"/>
      <c r="GS680" s="1098"/>
      <c r="GT680" s="1098"/>
      <c r="GU680" s="1098"/>
      <c r="GV680" s="1098"/>
      <c r="GW680" s="1098"/>
      <c r="GX680" s="1098"/>
      <c r="GY680" s="1098"/>
      <c r="GZ680" s="1098"/>
      <c r="HA680" s="1098"/>
      <c r="HB680" s="1098"/>
      <c r="HC680" s="1098"/>
      <c r="HD680" s="1098"/>
      <c r="HE680" s="1098"/>
      <c r="HF680" s="1098"/>
      <c r="HG680" s="1098"/>
      <c r="HH680" s="1098"/>
      <c r="HI680" s="1098"/>
      <c r="HJ680" s="1098"/>
      <c r="HK680" s="1098"/>
      <c r="HL680" s="1098"/>
      <c r="HM680" s="1098"/>
      <c r="HN680" s="1098"/>
      <c r="HO680" s="1098"/>
      <c r="HP680" s="1098"/>
      <c r="HQ680" s="1098"/>
      <c r="HR680" s="1098"/>
      <c r="HS680" s="1098"/>
      <c r="HT680" s="1098"/>
      <c r="HU680" s="1098"/>
      <c r="HV680" s="1098"/>
      <c r="HW680" s="1098"/>
      <c r="HX680" s="1098"/>
      <c r="HY680" s="1098"/>
      <c r="HZ680" s="1098"/>
      <c r="IA680" s="1098"/>
      <c r="IB680" s="1098"/>
      <c r="IC680" s="1098"/>
      <c r="ID680" s="1098"/>
      <c r="IE680" s="1098"/>
      <c r="IF680" s="1098"/>
      <c r="IG680" s="1098"/>
      <c r="IH680" s="1098"/>
      <c r="II680" s="1098"/>
      <c r="IJ680" s="1098"/>
      <c r="IK680" s="1098"/>
      <c r="IL680" s="1098"/>
      <c r="IM680" s="1098"/>
      <c r="IN680" s="1098"/>
      <c r="IO680" s="1098"/>
      <c r="IP680" s="1098"/>
      <c r="IQ680" s="1098"/>
      <c r="IR680" s="1098"/>
      <c r="IS680" s="1098"/>
      <c r="IT680" s="1098"/>
      <c r="IU680" s="1098"/>
      <c r="IV680" s="1098"/>
      <c r="IW680" s="1098"/>
      <c r="IX680" s="1098"/>
      <c r="IY680" s="1098"/>
      <c r="IZ680" s="1098"/>
      <c r="JA680" s="1098"/>
      <c r="JB680" s="1098"/>
      <c r="JC680" s="1098"/>
      <c r="JD680" s="1098"/>
      <c r="JE680" s="1098"/>
      <c r="JF680" s="1098"/>
      <c r="JG680" s="1098"/>
      <c r="JH680" s="1098"/>
      <c r="JI680" s="1098"/>
      <c r="JJ680" s="1098"/>
      <c r="JK680" s="1098"/>
      <c r="JL680" s="1098"/>
      <c r="JM680" s="1098"/>
      <c r="JN680" s="1098"/>
      <c r="JO680" s="1098"/>
      <c r="JP680" s="1098"/>
      <c r="JQ680" s="1098"/>
      <c r="JR680" s="1098"/>
      <c r="JS680" s="1098"/>
      <c r="JT680" s="1098"/>
      <c r="JU680" s="1098"/>
      <c r="JV680" s="1098"/>
      <c r="JW680" s="1098"/>
      <c r="JX680" s="1098"/>
      <c r="JY680" s="1098"/>
      <c r="JZ680" s="1098"/>
      <c r="KA680" s="1098"/>
      <c r="KB680" s="1099"/>
    </row>
    <row r="681" spans="2:288" ht="15" customHeight="1" x14ac:dyDescent="0.35">
      <c r="B681" s="146" t="str">
        <f t="shared" si="55"/>
        <v>Desk 51</v>
      </c>
      <c r="C681" s="148" t="str">
        <v/>
      </c>
      <c r="D681" s="148" t="str">
        <v/>
      </c>
      <c r="E681" s="148" t="str">
        <v/>
      </c>
      <c r="F681" s="148" t="str">
        <v/>
      </c>
      <c r="G681" s="268" t="str">
        <v/>
      </c>
      <c r="H681" s="1098"/>
      <c r="I681" s="1098"/>
      <c r="J681" s="1098"/>
      <c r="K681" s="1098"/>
      <c r="L681" s="1098"/>
      <c r="M681" s="1098"/>
      <c r="N681" s="1098"/>
      <c r="O681" s="1098"/>
      <c r="P681" s="1098"/>
      <c r="Q681" s="1098"/>
      <c r="R681" s="1098"/>
      <c r="S681" s="1098"/>
      <c r="T681" s="1098"/>
      <c r="U681" s="1098"/>
      <c r="V681" s="1098"/>
      <c r="W681" s="1098"/>
      <c r="X681" s="1098"/>
      <c r="Y681" s="1098"/>
      <c r="Z681" s="1098"/>
      <c r="AA681" s="1098"/>
      <c r="AB681" s="1098"/>
      <c r="AC681" s="1098"/>
      <c r="AD681" s="1098"/>
      <c r="AE681" s="1098"/>
      <c r="AF681" s="1098"/>
      <c r="AG681" s="1098"/>
      <c r="AH681" s="1098"/>
      <c r="AI681" s="1098"/>
      <c r="AJ681" s="1098"/>
      <c r="AK681" s="1098"/>
      <c r="AL681" s="1098"/>
      <c r="AM681" s="1098"/>
      <c r="AN681" s="1098"/>
      <c r="AO681" s="1098"/>
      <c r="AP681" s="1098"/>
      <c r="AQ681" s="1098"/>
      <c r="AR681" s="1098"/>
      <c r="AS681" s="1098"/>
      <c r="AT681" s="1098"/>
      <c r="AU681" s="1098"/>
      <c r="AV681" s="1098"/>
      <c r="AW681" s="1098"/>
      <c r="AX681" s="1098"/>
      <c r="AY681" s="1098"/>
      <c r="AZ681" s="1098"/>
      <c r="BA681" s="1098"/>
      <c r="BB681" s="1098"/>
      <c r="BC681" s="1098"/>
      <c r="BD681" s="1098"/>
      <c r="BE681" s="1098"/>
      <c r="BF681" s="1098"/>
      <c r="BG681" s="1098"/>
      <c r="BH681" s="1098"/>
      <c r="BI681" s="1098"/>
      <c r="BJ681" s="1098"/>
      <c r="BK681" s="1098"/>
      <c r="BL681" s="1098"/>
      <c r="BM681" s="1098"/>
      <c r="BN681" s="1098"/>
      <c r="BO681" s="1098"/>
      <c r="BP681" s="1098"/>
      <c r="BQ681" s="1098"/>
      <c r="BR681" s="1098"/>
      <c r="BS681" s="1098"/>
      <c r="BT681" s="1098"/>
      <c r="BU681" s="1098"/>
      <c r="BV681" s="1098"/>
      <c r="BW681" s="1098"/>
      <c r="BX681" s="1098"/>
      <c r="BY681" s="1098"/>
      <c r="BZ681" s="1098"/>
      <c r="CA681" s="1098"/>
      <c r="CB681" s="1098"/>
      <c r="CC681" s="1098"/>
      <c r="CD681" s="1098"/>
      <c r="CE681" s="1098"/>
      <c r="CF681" s="1098"/>
      <c r="CG681" s="1098"/>
      <c r="CH681" s="1098"/>
      <c r="CI681" s="1098"/>
      <c r="CJ681" s="1098"/>
      <c r="CK681" s="1098"/>
      <c r="CL681" s="1098"/>
      <c r="CM681" s="1098"/>
      <c r="CN681" s="1098"/>
      <c r="CO681" s="1098"/>
      <c r="CP681" s="1098"/>
      <c r="CQ681" s="1098"/>
      <c r="CR681" s="1098"/>
      <c r="CS681" s="1098"/>
      <c r="CT681" s="1098"/>
      <c r="CU681" s="1098"/>
      <c r="CV681" s="1098"/>
      <c r="CW681" s="1098"/>
      <c r="CX681" s="1098"/>
      <c r="CY681" s="1098"/>
      <c r="CZ681" s="1098"/>
      <c r="DA681" s="1098"/>
      <c r="DB681" s="1098"/>
      <c r="DC681" s="1098"/>
      <c r="DD681" s="1098"/>
      <c r="DE681" s="1098"/>
      <c r="DF681" s="1098"/>
      <c r="DG681" s="1098"/>
      <c r="DH681" s="1098"/>
      <c r="DI681" s="1098"/>
      <c r="DJ681" s="1098"/>
      <c r="DK681" s="1098"/>
      <c r="DL681" s="1098"/>
      <c r="DM681" s="1098"/>
      <c r="DN681" s="1098"/>
      <c r="DO681" s="1098"/>
      <c r="DP681" s="1098"/>
      <c r="DQ681" s="1098"/>
      <c r="DR681" s="1098"/>
      <c r="DS681" s="1098"/>
      <c r="DT681" s="1098"/>
      <c r="DU681" s="1098"/>
      <c r="DV681" s="1098"/>
      <c r="DW681" s="1098"/>
      <c r="DX681" s="1098"/>
      <c r="DY681" s="1098"/>
      <c r="DZ681" s="1098"/>
      <c r="EA681" s="1098"/>
      <c r="EB681" s="1098"/>
      <c r="EC681" s="1098"/>
      <c r="ED681" s="1098"/>
      <c r="EE681" s="1098"/>
      <c r="EF681" s="1098"/>
      <c r="EG681" s="1098"/>
      <c r="EH681" s="1098"/>
      <c r="EI681" s="1098"/>
      <c r="EJ681" s="1098"/>
      <c r="EK681" s="1098"/>
      <c r="EL681" s="1098"/>
      <c r="EM681" s="1098"/>
      <c r="EN681" s="1098"/>
      <c r="EO681" s="1098"/>
      <c r="EP681" s="1098"/>
      <c r="EQ681" s="1098"/>
      <c r="ER681" s="1098"/>
      <c r="ES681" s="1098"/>
      <c r="ET681" s="1098"/>
      <c r="EU681" s="1098"/>
      <c r="EV681" s="1098"/>
      <c r="EW681" s="1098"/>
      <c r="EX681" s="1098"/>
      <c r="EY681" s="1098"/>
      <c r="EZ681" s="1098"/>
      <c r="FA681" s="1098"/>
      <c r="FB681" s="1098"/>
      <c r="FC681" s="1098"/>
      <c r="FD681" s="1098"/>
      <c r="FE681" s="1098"/>
      <c r="FF681" s="1098"/>
      <c r="FG681" s="1098"/>
      <c r="FH681" s="1098"/>
      <c r="FI681" s="1098"/>
      <c r="FJ681" s="1098"/>
      <c r="FK681" s="1098"/>
      <c r="FL681" s="1098"/>
      <c r="FM681" s="1098"/>
      <c r="FN681" s="1098"/>
      <c r="FO681" s="1098"/>
      <c r="FP681" s="1098"/>
      <c r="FQ681" s="1098"/>
      <c r="FR681" s="1098"/>
      <c r="FS681" s="1098"/>
      <c r="FT681" s="1098"/>
      <c r="FU681" s="1098"/>
      <c r="FV681" s="1098"/>
      <c r="FW681" s="1098"/>
      <c r="FX681" s="1098"/>
      <c r="FY681" s="1098"/>
      <c r="FZ681" s="1098"/>
      <c r="GA681" s="1098"/>
      <c r="GB681" s="1098"/>
      <c r="GC681" s="1098"/>
      <c r="GD681" s="1098"/>
      <c r="GE681" s="1098"/>
      <c r="GF681" s="1098"/>
      <c r="GG681" s="1098"/>
      <c r="GH681" s="1098"/>
      <c r="GI681" s="1098"/>
      <c r="GJ681" s="1098"/>
      <c r="GK681" s="1098"/>
      <c r="GL681" s="1098"/>
      <c r="GM681" s="1098"/>
      <c r="GN681" s="1098"/>
      <c r="GO681" s="1098"/>
      <c r="GP681" s="1098"/>
      <c r="GQ681" s="1098"/>
      <c r="GR681" s="1098"/>
      <c r="GS681" s="1098"/>
      <c r="GT681" s="1098"/>
      <c r="GU681" s="1098"/>
      <c r="GV681" s="1098"/>
      <c r="GW681" s="1098"/>
      <c r="GX681" s="1098"/>
      <c r="GY681" s="1098"/>
      <c r="GZ681" s="1098"/>
      <c r="HA681" s="1098"/>
      <c r="HB681" s="1098"/>
      <c r="HC681" s="1098"/>
      <c r="HD681" s="1098"/>
      <c r="HE681" s="1098"/>
      <c r="HF681" s="1098"/>
      <c r="HG681" s="1098"/>
      <c r="HH681" s="1098"/>
      <c r="HI681" s="1098"/>
      <c r="HJ681" s="1098"/>
      <c r="HK681" s="1098"/>
      <c r="HL681" s="1098"/>
      <c r="HM681" s="1098"/>
      <c r="HN681" s="1098"/>
      <c r="HO681" s="1098"/>
      <c r="HP681" s="1098"/>
      <c r="HQ681" s="1098"/>
      <c r="HR681" s="1098"/>
      <c r="HS681" s="1098"/>
      <c r="HT681" s="1098"/>
      <c r="HU681" s="1098"/>
      <c r="HV681" s="1098"/>
      <c r="HW681" s="1098"/>
      <c r="HX681" s="1098"/>
      <c r="HY681" s="1098"/>
      <c r="HZ681" s="1098"/>
      <c r="IA681" s="1098"/>
      <c r="IB681" s="1098"/>
      <c r="IC681" s="1098"/>
      <c r="ID681" s="1098"/>
      <c r="IE681" s="1098"/>
      <c r="IF681" s="1098"/>
      <c r="IG681" s="1098"/>
      <c r="IH681" s="1098"/>
      <c r="II681" s="1098"/>
      <c r="IJ681" s="1098"/>
      <c r="IK681" s="1098"/>
      <c r="IL681" s="1098"/>
      <c r="IM681" s="1098"/>
      <c r="IN681" s="1098"/>
      <c r="IO681" s="1098"/>
      <c r="IP681" s="1098"/>
      <c r="IQ681" s="1098"/>
      <c r="IR681" s="1098"/>
      <c r="IS681" s="1098"/>
      <c r="IT681" s="1098"/>
      <c r="IU681" s="1098"/>
      <c r="IV681" s="1098"/>
      <c r="IW681" s="1098"/>
      <c r="IX681" s="1098"/>
      <c r="IY681" s="1098"/>
      <c r="IZ681" s="1098"/>
      <c r="JA681" s="1098"/>
      <c r="JB681" s="1098"/>
      <c r="JC681" s="1098"/>
      <c r="JD681" s="1098"/>
      <c r="JE681" s="1098"/>
      <c r="JF681" s="1098"/>
      <c r="JG681" s="1098"/>
      <c r="JH681" s="1098"/>
      <c r="JI681" s="1098"/>
      <c r="JJ681" s="1098"/>
      <c r="JK681" s="1098"/>
      <c r="JL681" s="1098"/>
      <c r="JM681" s="1098"/>
      <c r="JN681" s="1098"/>
      <c r="JO681" s="1098"/>
      <c r="JP681" s="1098"/>
      <c r="JQ681" s="1098"/>
      <c r="JR681" s="1098"/>
      <c r="JS681" s="1098"/>
      <c r="JT681" s="1098"/>
      <c r="JU681" s="1098"/>
      <c r="JV681" s="1098"/>
      <c r="JW681" s="1098"/>
      <c r="JX681" s="1098"/>
      <c r="JY681" s="1098"/>
      <c r="JZ681" s="1098"/>
      <c r="KA681" s="1098"/>
      <c r="KB681" s="1099"/>
    </row>
    <row r="682" spans="2:288" ht="15" customHeight="1" x14ac:dyDescent="0.35">
      <c r="B682" s="146" t="str">
        <f t="shared" si="55"/>
        <v>Desk 52</v>
      </c>
      <c r="C682" s="148" t="str">
        <v/>
      </c>
      <c r="D682" s="148" t="str">
        <v/>
      </c>
      <c r="E682" s="148" t="str">
        <v/>
      </c>
      <c r="F682" s="148" t="str">
        <v/>
      </c>
      <c r="G682" s="268" t="str">
        <v/>
      </c>
      <c r="H682" s="1098"/>
      <c r="I682" s="1098"/>
      <c r="J682" s="1098"/>
      <c r="K682" s="1098"/>
      <c r="L682" s="1098"/>
      <c r="M682" s="1098"/>
      <c r="N682" s="1098"/>
      <c r="O682" s="1098"/>
      <c r="P682" s="1098"/>
      <c r="Q682" s="1098"/>
      <c r="R682" s="1098"/>
      <c r="S682" s="1098"/>
      <c r="T682" s="1098"/>
      <c r="U682" s="1098"/>
      <c r="V682" s="1098"/>
      <c r="W682" s="1098"/>
      <c r="X682" s="1098"/>
      <c r="Y682" s="1098"/>
      <c r="Z682" s="1098"/>
      <c r="AA682" s="1098"/>
      <c r="AB682" s="1098"/>
      <c r="AC682" s="1098"/>
      <c r="AD682" s="1098"/>
      <c r="AE682" s="1098"/>
      <c r="AF682" s="1098"/>
      <c r="AG682" s="1098"/>
      <c r="AH682" s="1098"/>
      <c r="AI682" s="1098"/>
      <c r="AJ682" s="1098"/>
      <c r="AK682" s="1098"/>
      <c r="AL682" s="1098"/>
      <c r="AM682" s="1098"/>
      <c r="AN682" s="1098"/>
      <c r="AO682" s="1098"/>
      <c r="AP682" s="1098"/>
      <c r="AQ682" s="1098"/>
      <c r="AR682" s="1098"/>
      <c r="AS682" s="1098"/>
      <c r="AT682" s="1098"/>
      <c r="AU682" s="1098"/>
      <c r="AV682" s="1098"/>
      <c r="AW682" s="1098"/>
      <c r="AX682" s="1098"/>
      <c r="AY682" s="1098"/>
      <c r="AZ682" s="1098"/>
      <c r="BA682" s="1098"/>
      <c r="BB682" s="1098"/>
      <c r="BC682" s="1098"/>
      <c r="BD682" s="1098"/>
      <c r="BE682" s="1098"/>
      <c r="BF682" s="1098"/>
      <c r="BG682" s="1098"/>
      <c r="BH682" s="1098"/>
      <c r="BI682" s="1098"/>
      <c r="BJ682" s="1098"/>
      <c r="BK682" s="1098"/>
      <c r="BL682" s="1098"/>
      <c r="BM682" s="1098"/>
      <c r="BN682" s="1098"/>
      <c r="BO682" s="1098"/>
      <c r="BP682" s="1098"/>
      <c r="BQ682" s="1098"/>
      <c r="BR682" s="1098"/>
      <c r="BS682" s="1098"/>
      <c r="BT682" s="1098"/>
      <c r="BU682" s="1098"/>
      <c r="BV682" s="1098"/>
      <c r="BW682" s="1098"/>
      <c r="BX682" s="1098"/>
      <c r="BY682" s="1098"/>
      <c r="BZ682" s="1098"/>
      <c r="CA682" s="1098"/>
      <c r="CB682" s="1098"/>
      <c r="CC682" s="1098"/>
      <c r="CD682" s="1098"/>
      <c r="CE682" s="1098"/>
      <c r="CF682" s="1098"/>
      <c r="CG682" s="1098"/>
      <c r="CH682" s="1098"/>
      <c r="CI682" s="1098"/>
      <c r="CJ682" s="1098"/>
      <c r="CK682" s="1098"/>
      <c r="CL682" s="1098"/>
      <c r="CM682" s="1098"/>
      <c r="CN682" s="1098"/>
      <c r="CO682" s="1098"/>
      <c r="CP682" s="1098"/>
      <c r="CQ682" s="1098"/>
      <c r="CR682" s="1098"/>
      <c r="CS682" s="1098"/>
      <c r="CT682" s="1098"/>
      <c r="CU682" s="1098"/>
      <c r="CV682" s="1098"/>
      <c r="CW682" s="1098"/>
      <c r="CX682" s="1098"/>
      <c r="CY682" s="1098"/>
      <c r="CZ682" s="1098"/>
      <c r="DA682" s="1098"/>
      <c r="DB682" s="1098"/>
      <c r="DC682" s="1098"/>
      <c r="DD682" s="1098"/>
      <c r="DE682" s="1098"/>
      <c r="DF682" s="1098"/>
      <c r="DG682" s="1098"/>
      <c r="DH682" s="1098"/>
      <c r="DI682" s="1098"/>
      <c r="DJ682" s="1098"/>
      <c r="DK682" s="1098"/>
      <c r="DL682" s="1098"/>
      <c r="DM682" s="1098"/>
      <c r="DN682" s="1098"/>
      <c r="DO682" s="1098"/>
      <c r="DP682" s="1098"/>
      <c r="DQ682" s="1098"/>
      <c r="DR682" s="1098"/>
      <c r="DS682" s="1098"/>
      <c r="DT682" s="1098"/>
      <c r="DU682" s="1098"/>
      <c r="DV682" s="1098"/>
      <c r="DW682" s="1098"/>
      <c r="DX682" s="1098"/>
      <c r="DY682" s="1098"/>
      <c r="DZ682" s="1098"/>
      <c r="EA682" s="1098"/>
      <c r="EB682" s="1098"/>
      <c r="EC682" s="1098"/>
      <c r="ED682" s="1098"/>
      <c r="EE682" s="1098"/>
      <c r="EF682" s="1098"/>
      <c r="EG682" s="1098"/>
      <c r="EH682" s="1098"/>
      <c r="EI682" s="1098"/>
      <c r="EJ682" s="1098"/>
      <c r="EK682" s="1098"/>
      <c r="EL682" s="1098"/>
      <c r="EM682" s="1098"/>
      <c r="EN682" s="1098"/>
      <c r="EO682" s="1098"/>
      <c r="EP682" s="1098"/>
      <c r="EQ682" s="1098"/>
      <c r="ER682" s="1098"/>
      <c r="ES682" s="1098"/>
      <c r="ET682" s="1098"/>
      <c r="EU682" s="1098"/>
      <c r="EV682" s="1098"/>
      <c r="EW682" s="1098"/>
      <c r="EX682" s="1098"/>
      <c r="EY682" s="1098"/>
      <c r="EZ682" s="1098"/>
      <c r="FA682" s="1098"/>
      <c r="FB682" s="1098"/>
      <c r="FC682" s="1098"/>
      <c r="FD682" s="1098"/>
      <c r="FE682" s="1098"/>
      <c r="FF682" s="1098"/>
      <c r="FG682" s="1098"/>
      <c r="FH682" s="1098"/>
      <c r="FI682" s="1098"/>
      <c r="FJ682" s="1098"/>
      <c r="FK682" s="1098"/>
      <c r="FL682" s="1098"/>
      <c r="FM682" s="1098"/>
      <c r="FN682" s="1098"/>
      <c r="FO682" s="1098"/>
      <c r="FP682" s="1098"/>
      <c r="FQ682" s="1098"/>
      <c r="FR682" s="1098"/>
      <c r="FS682" s="1098"/>
      <c r="FT682" s="1098"/>
      <c r="FU682" s="1098"/>
      <c r="FV682" s="1098"/>
      <c r="FW682" s="1098"/>
      <c r="FX682" s="1098"/>
      <c r="FY682" s="1098"/>
      <c r="FZ682" s="1098"/>
      <c r="GA682" s="1098"/>
      <c r="GB682" s="1098"/>
      <c r="GC682" s="1098"/>
      <c r="GD682" s="1098"/>
      <c r="GE682" s="1098"/>
      <c r="GF682" s="1098"/>
      <c r="GG682" s="1098"/>
      <c r="GH682" s="1098"/>
      <c r="GI682" s="1098"/>
      <c r="GJ682" s="1098"/>
      <c r="GK682" s="1098"/>
      <c r="GL682" s="1098"/>
      <c r="GM682" s="1098"/>
      <c r="GN682" s="1098"/>
      <c r="GO682" s="1098"/>
      <c r="GP682" s="1098"/>
      <c r="GQ682" s="1098"/>
      <c r="GR682" s="1098"/>
      <c r="GS682" s="1098"/>
      <c r="GT682" s="1098"/>
      <c r="GU682" s="1098"/>
      <c r="GV682" s="1098"/>
      <c r="GW682" s="1098"/>
      <c r="GX682" s="1098"/>
      <c r="GY682" s="1098"/>
      <c r="GZ682" s="1098"/>
      <c r="HA682" s="1098"/>
      <c r="HB682" s="1098"/>
      <c r="HC682" s="1098"/>
      <c r="HD682" s="1098"/>
      <c r="HE682" s="1098"/>
      <c r="HF682" s="1098"/>
      <c r="HG682" s="1098"/>
      <c r="HH682" s="1098"/>
      <c r="HI682" s="1098"/>
      <c r="HJ682" s="1098"/>
      <c r="HK682" s="1098"/>
      <c r="HL682" s="1098"/>
      <c r="HM682" s="1098"/>
      <c r="HN682" s="1098"/>
      <c r="HO682" s="1098"/>
      <c r="HP682" s="1098"/>
      <c r="HQ682" s="1098"/>
      <c r="HR682" s="1098"/>
      <c r="HS682" s="1098"/>
      <c r="HT682" s="1098"/>
      <c r="HU682" s="1098"/>
      <c r="HV682" s="1098"/>
      <c r="HW682" s="1098"/>
      <c r="HX682" s="1098"/>
      <c r="HY682" s="1098"/>
      <c r="HZ682" s="1098"/>
      <c r="IA682" s="1098"/>
      <c r="IB682" s="1098"/>
      <c r="IC682" s="1098"/>
      <c r="ID682" s="1098"/>
      <c r="IE682" s="1098"/>
      <c r="IF682" s="1098"/>
      <c r="IG682" s="1098"/>
      <c r="IH682" s="1098"/>
      <c r="II682" s="1098"/>
      <c r="IJ682" s="1098"/>
      <c r="IK682" s="1098"/>
      <c r="IL682" s="1098"/>
      <c r="IM682" s="1098"/>
      <c r="IN682" s="1098"/>
      <c r="IO682" s="1098"/>
      <c r="IP682" s="1098"/>
      <c r="IQ682" s="1098"/>
      <c r="IR682" s="1098"/>
      <c r="IS682" s="1098"/>
      <c r="IT682" s="1098"/>
      <c r="IU682" s="1098"/>
      <c r="IV682" s="1098"/>
      <c r="IW682" s="1098"/>
      <c r="IX682" s="1098"/>
      <c r="IY682" s="1098"/>
      <c r="IZ682" s="1098"/>
      <c r="JA682" s="1098"/>
      <c r="JB682" s="1098"/>
      <c r="JC682" s="1098"/>
      <c r="JD682" s="1098"/>
      <c r="JE682" s="1098"/>
      <c r="JF682" s="1098"/>
      <c r="JG682" s="1098"/>
      <c r="JH682" s="1098"/>
      <c r="JI682" s="1098"/>
      <c r="JJ682" s="1098"/>
      <c r="JK682" s="1098"/>
      <c r="JL682" s="1098"/>
      <c r="JM682" s="1098"/>
      <c r="JN682" s="1098"/>
      <c r="JO682" s="1098"/>
      <c r="JP682" s="1098"/>
      <c r="JQ682" s="1098"/>
      <c r="JR682" s="1098"/>
      <c r="JS682" s="1098"/>
      <c r="JT682" s="1098"/>
      <c r="JU682" s="1098"/>
      <c r="JV682" s="1098"/>
      <c r="JW682" s="1098"/>
      <c r="JX682" s="1098"/>
      <c r="JY682" s="1098"/>
      <c r="JZ682" s="1098"/>
      <c r="KA682" s="1098"/>
      <c r="KB682" s="1099"/>
    </row>
    <row r="683" spans="2:288" ht="15" customHeight="1" x14ac:dyDescent="0.35">
      <c r="B683" s="146" t="str">
        <f t="shared" si="55"/>
        <v>Desk 53</v>
      </c>
      <c r="C683" s="148" t="str">
        <v/>
      </c>
      <c r="D683" s="148" t="str">
        <v/>
      </c>
      <c r="E683" s="148" t="str">
        <v/>
      </c>
      <c r="F683" s="148" t="str">
        <v/>
      </c>
      <c r="G683" s="268" t="str">
        <v/>
      </c>
      <c r="H683" s="1098"/>
      <c r="I683" s="1098"/>
      <c r="J683" s="1098"/>
      <c r="K683" s="1098"/>
      <c r="L683" s="1098"/>
      <c r="M683" s="1098"/>
      <c r="N683" s="1098"/>
      <c r="O683" s="1098"/>
      <c r="P683" s="1098"/>
      <c r="Q683" s="1098"/>
      <c r="R683" s="1098"/>
      <c r="S683" s="1098"/>
      <c r="T683" s="1098"/>
      <c r="U683" s="1098"/>
      <c r="V683" s="1098"/>
      <c r="W683" s="1098"/>
      <c r="X683" s="1098"/>
      <c r="Y683" s="1098"/>
      <c r="Z683" s="1098"/>
      <c r="AA683" s="1098"/>
      <c r="AB683" s="1098"/>
      <c r="AC683" s="1098"/>
      <c r="AD683" s="1098"/>
      <c r="AE683" s="1098"/>
      <c r="AF683" s="1098"/>
      <c r="AG683" s="1098"/>
      <c r="AH683" s="1098"/>
      <c r="AI683" s="1098"/>
      <c r="AJ683" s="1098"/>
      <c r="AK683" s="1098"/>
      <c r="AL683" s="1098"/>
      <c r="AM683" s="1098"/>
      <c r="AN683" s="1098"/>
      <c r="AO683" s="1098"/>
      <c r="AP683" s="1098"/>
      <c r="AQ683" s="1098"/>
      <c r="AR683" s="1098"/>
      <c r="AS683" s="1098"/>
      <c r="AT683" s="1098"/>
      <c r="AU683" s="1098"/>
      <c r="AV683" s="1098"/>
      <c r="AW683" s="1098"/>
      <c r="AX683" s="1098"/>
      <c r="AY683" s="1098"/>
      <c r="AZ683" s="1098"/>
      <c r="BA683" s="1098"/>
      <c r="BB683" s="1098"/>
      <c r="BC683" s="1098"/>
      <c r="BD683" s="1098"/>
      <c r="BE683" s="1098"/>
      <c r="BF683" s="1098"/>
      <c r="BG683" s="1098"/>
      <c r="BH683" s="1098"/>
      <c r="BI683" s="1098"/>
      <c r="BJ683" s="1098"/>
      <c r="BK683" s="1098"/>
      <c r="BL683" s="1098"/>
      <c r="BM683" s="1098"/>
      <c r="BN683" s="1098"/>
      <c r="BO683" s="1098"/>
      <c r="BP683" s="1098"/>
      <c r="BQ683" s="1098"/>
      <c r="BR683" s="1098"/>
      <c r="BS683" s="1098"/>
      <c r="BT683" s="1098"/>
      <c r="BU683" s="1098"/>
      <c r="BV683" s="1098"/>
      <c r="BW683" s="1098"/>
      <c r="BX683" s="1098"/>
      <c r="BY683" s="1098"/>
      <c r="BZ683" s="1098"/>
      <c r="CA683" s="1098"/>
      <c r="CB683" s="1098"/>
      <c r="CC683" s="1098"/>
      <c r="CD683" s="1098"/>
      <c r="CE683" s="1098"/>
      <c r="CF683" s="1098"/>
      <c r="CG683" s="1098"/>
      <c r="CH683" s="1098"/>
      <c r="CI683" s="1098"/>
      <c r="CJ683" s="1098"/>
      <c r="CK683" s="1098"/>
      <c r="CL683" s="1098"/>
      <c r="CM683" s="1098"/>
      <c r="CN683" s="1098"/>
      <c r="CO683" s="1098"/>
      <c r="CP683" s="1098"/>
      <c r="CQ683" s="1098"/>
      <c r="CR683" s="1098"/>
      <c r="CS683" s="1098"/>
      <c r="CT683" s="1098"/>
      <c r="CU683" s="1098"/>
      <c r="CV683" s="1098"/>
      <c r="CW683" s="1098"/>
      <c r="CX683" s="1098"/>
      <c r="CY683" s="1098"/>
      <c r="CZ683" s="1098"/>
      <c r="DA683" s="1098"/>
      <c r="DB683" s="1098"/>
      <c r="DC683" s="1098"/>
      <c r="DD683" s="1098"/>
      <c r="DE683" s="1098"/>
      <c r="DF683" s="1098"/>
      <c r="DG683" s="1098"/>
      <c r="DH683" s="1098"/>
      <c r="DI683" s="1098"/>
      <c r="DJ683" s="1098"/>
      <c r="DK683" s="1098"/>
      <c r="DL683" s="1098"/>
      <c r="DM683" s="1098"/>
      <c r="DN683" s="1098"/>
      <c r="DO683" s="1098"/>
      <c r="DP683" s="1098"/>
      <c r="DQ683" s="1098"/>
      <c r="DR683" s="1098"/>
      <c r="DS683" s="1098"/>
      <c r="DT683" s="1098"/>
      <c r="DU683" s="1098"/>
      <c r="DV683" s="1098"/>
      <c r="DW683" s="1098"/>
      <c r="DX683" s="1098"/>
      <c r="DY683" s="1098"/>
      <c r="DZ683" s="1098"/>
      <c r="EA683" s="1098"/>
      <c r="EB683" s="1098"/>
      <c r="EC683" s="1098"/>
      <c r="ED683" s="1098"/>
      <c r="EE683" s="1098"/>
      <c r="EF683" s="1098"/>
      <c r="EG683" s="1098"/>
      <c r="EH683" s="1098"/>
      <c r="EI683" s="1098"/>
      <c r="EJ683" s="1098"/>
      <c r="EK683" s="1098"/>
      <c r="EL683" s="1098"/>
      <c r="EM683" s="1098"/>
      <c r="EN683" s="1098"/>
      <c r="EO683" s="1098"/>
      <c r="EP683" s="1098"/>
      <c r="EQ683" s="1098"/>
      <c r="ER683" s="1098"/>
      <c r="ES683" s="1098"/>
      <c r="ET683" s="1098"/>
      <c r="EU683" s="1098"/>
      <c r="EV683" s="1098"/>
      <c r="EW683" s="1098"/>
      <c r="EX683" s="1098"/>
      <c r="EY683" s="1098"/>
      <c r="EZ683" s="1098"/>
      <c r="FA683" s="1098"/>
      <c r="FB683" s="1098"/>
      <c r="FC683" s="1098"/>
      <c r="FD683" s="1098"/>
      <c r="FE683" s="1098"/>
      <c r="FF683" s="1098"/>
      <c r="FG683" s="1098"/>
      <c r="FH683" s="1098"/>
      <c r="FI683" s="1098"/>
      <c r="FJ683" s="1098"/>
      <c r="FK683" s="1098"/>
      <c r="FL683" s="1098"/>
      <c r="FM683" s="1098"/>
      <c r="FN683" s="1098"/>
      <c r="FO683" s="1098"/>
      <c r="FP683" s="1098"/>
      <c r="FQ683" s="1098"/>
      <c r="FR683" s="1098"/>
      <c r="FS683" s="1098"/>
      <c r="FT683" s="1098"/>
      <c r="FU683" s="1098"/>
      <c r="FV683" s="1098"/>
      <c r="FW683" s="1098"/>
      <c r="FX683" s="1098"/>
      <c r="FY683" s="1098"/>
      <c r="FZ683" s="1098"/>
      <c r="GA683" s="1098"/>
      <c r="GB683" s="1098"/>
      <c r="GC683" s="1098"/>
      <c r="GD683" s="1098"/>
      <c r="GE683" s="1098"/>
      <c r="GF683" s="1098"/>
      <c r="GG683" s="1098"/>
      <c r="GH683" s="1098"/>
      <c r="GI683" s="1098"/>
      <c r="GJ683" s="1098"/>
      <c r="GK683" s="1098"/>
      <c r="GL683" s="1098"/>
      <c r="GM683" s="1098"/>
      <c r="GN683" s="1098"/>
      <c r="GO683" s="1098"/>
      <c r="GP683" s="1098"/>
      <c r="GQ683" s="1098"/>
      <c r="GR683" s="1098"/>
      <c r="GS683" s="1098"/>
      <c r="GT683" s="1098"/>
      <c r="GU683" s="1098"/>
      <c r="GV683" s="1098"/>
      <c r="GW683" s="1098"/>
      <c r="GX683" s="1098"/>
      <c r="GY683" s="1098"/>
      <c r="GZ683" s="1098"/>
      <c r="HA683" s="1098"/>
      <c r="HB683" s="1098"/>
      <c r="HC683" s="1098"/>
      <c r="HD683" s="1098"/>
      <c r="HE683" s="1098"/>
      <c r="HF683" s="1098"/>
      <c r="HG683" s="1098"/>
      <c r="HH683" s="1098"/>
      <c r="HI683" s="1098"/>
      <c r="HJ683" s="1098"/>
      <c r="HK683" s="1098"/>
      <c r="HL683" s="1098"/>
      <c r="HM683" s="1098"/>
      <c r="HN683" s="1098"/>
      <c r="HO683" s="1098"/>
      <c r="HP683" s="1098"/>
      <c r="HQ683" s="1098"/>
      <c r="HR683" s="1098"/>
      <c r="HS683" s="1098"/>
      <c r="HT683" s="1098"/>
      <c r="HU683" s="1098"/>
      <c r="HV683" s="1098"/>
      <c r="HW683" s="1098"/>
      <c r="HX683" s="1098"/>
      <c r="HY683" s="1098"/>
      <c r="HZ683" s="1098"/>
      <c r="IA683" s="1098"/>
      <c r="IB683" s="1098"/>
      <c r="IC683" s="1098"/>
      <c r="ID683" s="1098"/>
      <c r="IE683" s="1098"/>
      <c r="IF683" s="1098"/>
      <c r="IG683" s="1098"/>
      <c r="IH683" s="1098"/>
      <c r="II683" s="1098"/>
      <c r="IJ683" s="1098"/>
      <c r="IK683" s="1098"/>
      <c r="IL683" s="1098"/>
      <c r="IM683" s="1098"/>
      <c r="IN683" s="1098"/>
      <c r="IO683" s="1098"/>
      <c r="IP683" s="1098"/>
      <c r="IQ683" s="1098"/>
      <c r="IR683" s="1098"/>
      <c r="IS683" s="1098"/>
      <c r="IT683" s="1098"/>
      <c r="IU683" s="1098"/>
      <c r="IV683" s="1098"/>
      <c r="IW683" s="1098"/>
      <c r="IX683" s="1098"/>
      <c r="IY683" s="1098"/>
      <c r="IZ683" s="1098"/>
      <c r="JA683" s="1098"/>
      <c r="JB683" s="1098"/>
      <c r="JC683" s="1098"/>
      <c r="JD683" s="1098"/>
      <c r="JE683" s="1098"/>
      <c r="JF683" s="1098"/>
      <c r="JG683" s="1098"/>
      <c r="JH683" s="1098"/>
      <c r="JI683" s="1098"/>
      <c r="JJ683" s="1098"/>
      <c r="JK683" s="1098"/>
      <c r="JL683" s="1098"/>
      <c r="JM683" s="1098"/>
      <c r="JN683" s="1098"/>
      <c r="JO683" s="1098"/>
      <c r="JP683" s="1098"/>
      <c r="JQ683" s="1098"/>
      <c r="JR683" s="1098"/>
      <c r="JS683" s="1098"/>
      <c r="JT683" s="1098"/>
      <c r="JU683" s="1098"/>
      <c r="JV683" s="1098"/>
      <c r="JW683" s="1098"/>
      <c r="JX683" s="1098"/>
      <c r="JY683" s="1098"/>
      <c r="JZ683" s="1098"/>
      <c r="KA683" s="1098"/>
      <c r="KB683" s="1099"/>
    </row>
    <row r="684" spans="2:288" ht="15" customHeight="1" x14ac:dyDescent="0.35">
      <c r="B684" s="146" t="str">
        <f t="shared" si="55"/>
        <v>Desk 54</v>
      </c>
      <c r="C684" s="148" t="str">
        <v/>
      </c>
      <c r="D684" s="148" t="str">
        <v/>
      </c>
      <c r="E684" s="148" t="str">
        <v/>
      </c>
      <c r="F684" s="148" t="str">
        <v/>
      </c>
      <c r="G684" s="268" t="str">
        <v/>
      </c>
      <c r="H684" s="1098"/>
      <c r="I684" s="1098"/>
      <c r="J684" s="1098"/>
      <c r="K684" s="1098"/>
      <c r="L684" s="1098"/>
      <c r="M684" s="1098"/>
      <c r="N684" s="1098"/>
      <c r="O684" s="1098"/>
      <c r="P684" s="1098"/>
      <c r="Q684" s="1098"/>
      <c r="R684" s="1098"/>
      <c r="S684" s="1098"/>
      <c r="T684" s="1098"/>
      <c r="U684" s="1098"/>
      <c r="V684" s="1098"/>
      <c r="W684" s="1098"/>
      <c r="X684" s="1098"/>
      <c r="Y684" s="1098"/>
      <c r="Z684" s="1098"/>
      <c r="AA684" s="1098"/>
      <c r="AB684" s="1098"/>
      <c r="AC684" s="1098"/>
      <c r="AD684" s="1098"/>
      <c r="AE684" s="1098"/>
      <c r="AF684" s="1098"/>
      <c r="AG684" s="1098"/>
      <c r="AH684" s="1098"/>
      <c r="AI684" s="1098"/>
      <c r="AJ684" s="1098"/>
      <c r="AK684" s="1098"/>
      <c r="AL684" s="1098"/>
      <c r="AM684" s="1098"/>
      <c r="AN684" s="1098"/>
      <c r="AO684" s="1098"/>
      <c r="AP684" s="1098"/>
      <c r="AQ684" s="1098"/>
      <c r="AR684" s="1098"/>
      <c r="AS684" s="1098"/>
      <c r="AT684" s="1098"/>
      <c r="AU684" s="1098"/>
      <c r="AV684" s="1098"/>
      <c r="AW684" s="1098"/>
      <c r="AX684" s="1098"/>
      <c r="AY684" s="1098"/>
      <c r="AZ684" s="1098"/>
      <c r="BA684" s="1098"/>
      <c r="BB684" s="1098"/>
      <c r="BC684" s="1098"/>
      <c r="BD684" s="1098"/>
      <c r="BE684" s="1098"/>
      <c r="BF684" s="1098"/>
      <c r="BG684" s="1098"/>
      <c r="BH684" s="1098"/>
      <c r="BI684" s="1098"/>
      <c r="BJ684" s="1098"/>
      <c r="BK684" s="1098"/>
      <c r="BL684" s="1098"/>
      <c r="BM684" s="1098"/>
      <c r="BN684" s="1098"/>
      <c r="BO684" s="1098"/>
      <c r="BP684" s="1098"/>
      <c r="BQ684" s="1098"/>
      <c r="BR684" s="1098"/>
      <c r="BS684" s="1098"/>
      <c r="BT684" s="1098"/>
      <c r="BU684" s="1098"/>
      <c r="BV684" s="1098"/>
      <c r="BW684" s="1098"/>
      <c r="BX684" s="1098"/>
      <c r="BY684" s="1098"/>
      <c r="BZ684" s="1098"/>
      <c r="CA684" s="1098"/>
      <c r="CB684" s="1098"/>
      <c r="CC684" s="1098"/>
      <c r="CD684" s="1098"/>
      <c r="CE684" s="1098"/>
      <c r="CF684" s="1098"/>
      <c r="CG684" s="1098"/>
      <c r="CH684" s="1098"/>
      <c r="CI684" s="1098"/>
      <c r="CJ684" s="1098"/>
      <c r="CK684" s="1098"/>
      <c r="CL684" s="1098"/>
      <c r="CM684" s="1098"/>
      <c r="CN684" s="1098"/>
      <c r="CO684" s="1098"/>
      <c r="CP684" s="1098"/>
      <c r="CQ684" s="1098"/>
      <c r="CR684" s="1098"/>
      <c r="CS684" s="1098"/>
      <c r="CT684" s="1098"/>
      <c r="CU684" s="1098"/>
      <c r="CV684" s="1098"/>
      <c r="CW684" s="1098"/>
      <c r="CX684" s="1098"/>
      <c r="CY684" s="1098"/>
      <c r="CZ684" s="1098"/>
      <c r="DA684" s="1098"/>
      <c r="DB684" s="1098"/>
      <c r="DC684" s="1098"/>
      <c r="DD684" s="1098"/>
      <c r="DE684" s="1098"/>
      <c r="DF684" s="1098"/>
      <c r="DG684" s="1098"/>
      <c r="DH684" s="1098"/>
      <c r="DI684" s="1098"/>
      <c r="DJ684" s="1098"/>
      <c r="DK684" s="1098"/>
      <c r="DL684" s="1098"/>
      <c r="DM684" s="1098"/>
      <c r="DN684" s="1098"/>
      <c r="DO684" s="1098"/>
      <c r="DP684" s="1098"/>
      <c r="DQ684" s="1098"/>
      <c r="DR684" s="1098"/>
      <c r="DS684" s="1098"/>
      <c r="DT684" s="1098"/>
      <c r="DU684" s="1098"/>
      <c r="DV684" s="1098"/>
      <c r="DW684" s="1098"/>
      <c r="DX684" s="1098"/>
      <c r="DY684" s="1098"/>
      <c r="DZ684" s="1098"/>
      <c r="EA684" s="1098"/>
      <c r="EB684" s="1098"/>
      <c r="EC684" s="1098"/>
      <c r="ED684" s="1098"/>
      <c r="EE684" s="1098"/>
      <c r="EF684" s="1098"/>
      <c r="EG684" s="1098"/>
      <c r="EH684" s="1098"/>
      <c r="EI684" s="1098"/>
      <c r="EJ684" s="1098"/>
      <c r="EK684" s="1098"/>
      <c r="EL684" s="1098"/>
      <c r="EM684" s="1098"/>
      <c r="EN684" s="1098"/>
      <c r="EO684" s="1098"/>
      <c r="EP684" s="1098"/>
      <c r="EQ684" s="1098"/>
      <c r="ER684" s="1098"/>
      <c r="ES684" s="1098"/>
      <c r="ET684" s="1098"/>
      <c r="EU684" s="1098"/>
      <c r="EV684" s="1098"/>
      <c r="EW684" s="1098"/>
      <c r="EX684" s="1098"/>
      <c r="EY684" s="1098"/>
      <c r="EZ684" s="1098"/>
      <c r="FA684" s="1098"/>
      <c r="FB684" s="1098"/>
      <c r="FC684" s="1098"/>
      <c r="FD684" s="1098"/>
      <c r="FE684" s="1098"/>
      <c r="FF684" s="1098"/>
      <c r="FG684" s="1098"/>
      <c r="FH684" s="1098"/>
      <c r="FI684" s="1098"/>
      <c r="FJ684" s="1098"/>
      <c r="FK684" s="1098"/>
      <c r="FL684" s="1098"/>
      <c r="FM684" s="1098"/>
      <c r="FN684" s="1098"/>
      <c r="FO684" s="1098"/>
      <c r="FP684" s="1098"/>
      <c r="FQ684" s="1098"/>
      <c r="FR684" s="1098"/>
      <c r="FS684" s="1098"/>
      <c r="FT684" s="1098"/>
      <c r="FU684" s="1098"/>
      <c r="FV684" s="1098"/>
      <c r="FW684" s="1098"/>
      <c r="FX684" s="1098"/>
      <c r="FY684" s="1098"/>
      <c r="FZ684" s="1098"/>
      <c r="GA684" s="1098"/>
      <c r="GB684" s="1098"/>
      <c r="GC684" s="1098"/>
      <c r="GD684" s="1098"/>
      <c r="GE684" s="1098"/>
      <c r="GF684" s="1098"/>
      <c r="GG684" s="1098"/>
      <c r="GH684" s="1098"/>
      <c r="GI684" s="1098"/>
      <c r="GJ684" s="1098"/>
      <c r="GK684" s="1098"/>
      <c r="GL684" s="1098"/>
      <c r="GM684" s="1098"/>
      <c r="GN684" s="1098"/>
      <c r="GO684" s="1098"/>
      <c r="GP684" s="1098"/>
      <c r="GQ684" s="1098"/>
      <c r="GR684" s="1098"/>
      <c r="GS684" s="1098"/>
      <c r="GT684" s="1098"/>
      <c r="GU684" s="1098"/>
      <c r="GV684" s="1098"/>
      <c r="GW684" s="1098"/>
      <c r="GX684" s="1098"/>
      <c r="GY684" s="1098"/>
      <c r="GZ684" s="1098"/>
      <c r="HA684" s="1098"/>
      <c r="HB684" s="1098"/>
      <c r="HC684" s="1098"/>
      <c r="HD684" s="1098"/>
      <c r="HE684" s="1098"/>
      <c r="HF684" s="1098"/>
      <c r="HG684" s="1098"/>
      <c r="HH684" s="1098"/>
      <c r="HI684" s="1098"/>
      <c r="HJ684" s="1098"/>
      <c r="HK684" s="1098"/>
      <c r="HL684" s="1098"/>
      <c r="HM684" s="1098"/>
      <c r="HN684" s="1098"/>
      <c r="HO684" s="1098"/>
      <c r="HP684" s="1098"/>
      <c r="HQ684" s="1098"/>
      <c r="HR684" s="1098"/>
      <c r="HS684" s="1098"/>
      <c r="HT684" s="1098"/>
      <c r="HU684" s="1098"/>
      <c r="HV684" s="1098"/>
      <c r="HW684" s="1098"/>
      <c r="HX684" s="1098"/>
      <c r="HY684" s="1098"/>
      <c r="HZ684" s="1098"/>
      <c r="IA684" s="1098"/>
      <c r="IB684" s="1098"/>
      <c r="IC684" s="1098"/>
      <c r="ID684" s="1098"/>
      <c r="IE684" s="1098"/>
      <c r="IF684" s="1098"/>
      <c r="IG684" s="1098"/>
      <c r="IH684" s="1098"/>
      <c r="II684" s="1098"/>
      <c r="IJ684" s="1098"/>
      <c r="IK684" s="1098"/>
      <c r="IL684" s="1098"/>
      <c r="IM684" s="1098"/>
      <c r="IN684" s="1098"/>
      <c r="IO684" s="1098"/>
      <c r="IP684" s="1098"/>
      <c r="IQ684" s="1098"/>
      <c r="IR684" s="1098"/>
      <c r="IS684" s="1098"/>
      <c r="IT684" s="1098"/>
      <c r="IU684" s="1098"/>
      <c r="IV684" s="1098"/>
      <c r="IW684" s="1098"/>
      <c r="IX684" s="1098"/>
      <c r="IY684" s="1098"/>
      <c r="IZ684" s="1098"/>
      <c r="JA684" s="1098"/>
      <c r="JB684" s="1098"/>
      <c r="JC684" s="1098"/>
      <c r="JD684" s="1098"/>
      <c r="JE684" s="1098"/>
      <c r="JF684" s="1098"/>
      <c r="JG684" s="1098"/>
      <c r="JH684" s="1098"/>
      <c r="JI684" s="1098"/>
      <c r="JJ684" s="1098"/>
      <c r="JK684" s="1098"/>
      <c r="JL684" s="1098"/>
      <c r="JM684" s="1098"/>
      <c r="JN684" s="1098"/>
      <c r="JO684" s="1098"/>
      <c r="JP684" s="1098"/>
      <c r="JQ684" s="1098"/>
      <c r="JR684" s="1098"/>
      <c r="JS684" s="1098"/>
      <c r="JT684" s="1098"/>
      <c r="JU684" s="1098"/>
      <c r="JV684" s="1098"/>
      <c r="JW684" s="1098"/>
      <c r="JX684" s="1098"/>
      <c r="JY684" s="1098"/>
      <c r="JZ684" s="1098"/>
      <c r="KA684" s="1098"/>
      <c r="KB684" s="1099"/>
    </row>
    <row r="685" spans="2:288" ht="15" customHeight="1" x14ac:dyDescent="0.35">
      <c r="B685" s="146" t="str">
        <f t="shared" si="55"/>
        <v>Desk 55</v>
      </c>
      <c r="C685" s="148" t="str">
        <v/>
      </c>
      <c r="D685" s="148" t="str">
        <v/>
      </c>
      <c r="E685" s="148" t="str">
        <v/>
      </c>
      <c r="F685" s="148" t="str">
        <v/>
      </c>
      <c r="G685" s="268" t="str">
        <v/>
      </c>
      <c r="H685" s="1098"/>
      <c r="I685" s="1098"/>
      <c r="J685" s="1098"/>
      <c r="K685" s="1098"/>
      <c r="L685" s="1098"/>
      <c r="M685" s="1098"/>
      <c r="N685" s="1098"/>
      <c r="O685" s="1098"/>
      <c r="P685" s="1098"/>
      <c r="Q685" s="1098"/>
      <c r="R685" s="1098"/>
      <c r="S685" s="1098"/>
      <c r="T685" s="1098"/>
      <c r="U685" s="1098"/>
      <c r="V685" s="1098"/>
      <c r="W685" s="1098"/>
      <c r="X685" s="1098"/>
      <c r="Y685" s="1098"/>
      <c r="Z685" s="1098"/>
      <c r="AA685" s="1098"/>
      <c r="AB685" s="1098"/>
      <c r="AC685" s="1098"/>
      <c r="AD685" s="1098"/>
      <c r="AE685" s="1098"/>
      <c r="AF685" s="1098"/>
      <c r="AG685" s="1098"/>
      <c r="AH685" s="1098"/>
      <c r="AI685" s="1098"/>
      <c r="AJ685" s="1098"/>
      <c r="AK685" s="1098"/>
      <c r="AL685" s="1098"/>
      <c r="AM685" s="1098"/>
      <c r="AN685" s="1098"/>
      <c r="AO685" s="1098"/>
      <c r="AP685" s="1098"/>
      <c r="AQ685" s="1098"/>
      <c r="AR685" s="1098"/>
      <c r="AS685" s="1098"/>
      <c r="AT685" s="1098"/>
      <c r="AU685" s="1098"/>
      <c r="AV685" s="1098"/>
      <c r="AW685" s="1098"/>
      <c r="AX685" s="1098"/>
      <c r="AY685" s="1098"/>
      <c r="AZ685" s="1098"/>
      <c r="BA685" s="1098"/>
      <c r="BB685" s="1098"/>
      <c r="BC685" s="1098"/>
      <c r="BD685" s="1098"/>
      <c r="BE685" s="1098"/>
      <c r="BF685" s="1098"/>
      <c r="BG685" s="1098"/>
      <c r="BH685" s="1098"/>
      <c r="BI685" s="1098"/>
      <c r="BJ685" s="1098"/>
      <c r="BK685" s="1098"/>
      <c r="BL685" s="1098"/>
      <c r="BM685" s="1098"/>
      <c r="BN685" s="1098"/>
      <c r="BO685" s="1098"/>
      <c r="BP685" s="1098"/>
      <c r="BQ685" s="1098"/>
      <c r="BR685" s="1098"/>
      <c r="BS685" s="1098"/>
      <c r="BT685" s="1098"/>
      <c r="BU685" s="1098"/>
      <c r="BV685" s="1098"/>
      <c r="BW685" s="1098"/>
      <c r="BX685" s="1098"/>
      <c r="BY685" s="1098"/>
      <c r="BZ685" s="1098"/>
      <c r="CA685" s="1098"/>
      <c r="CB685" s="1098"/>
      <c r="CC685" s="1098"/>
      <c r="CD685" s="1098"/>
      <c r="CE685" s="1098"/>
      <c r="CF685" s="1098"/>
      <c r="CG685" s="1098"/>
      <c r="CH685" s="1098"/>
      <c r="CI685" s="1098"/>
      <c r="CJ685" s="1098"/>
      <c r="CK685" s="1098"/>
      <c r="CL685" s="1098"/>
      <c r="CM685" s="1098"/>
      <c r="CN685" s="1098"/>
      <c r="CO685" s="1098"/>
      <c r="CP685" s="1098"/>
      <c r="CQ685" s="1098"/>
      <c r="CR685" s="1098"/>
      <c r="CS685" s="1098"/>
      <c r="CT685" s="1098"/>
      <c r="CU685" s="1098"/>
      <c r="CV685" s="1098"/>
      <c r="CW685" s="1098"/>
      <c r="CX685" s="1098"/>
      <c r="CY685" s="1098"/>
      <c r="CZ685" s="1098"/>
      <c r="DA685" s="1098"/>
      <c r="DB685" s="1098"/>
      <c r="DC685" s="1098"/>
      <c r="DD685" s="1098"/>
      <c r="DE685" s="1098"/>
      <c r="DF685" s="1098"/>
      <c r="DG685" s="1098"/>
      <c r="DH685" s="1098"/>
      <c r="DI685" s="1098"/>
      <c r="DJ685" s="1098"/>
      <c r="DK685" s="1098"/>
      <c r="DL685" s="1098"/>
      <c r="DM685" s="1098"/>
      <c r="DN685" s="1098"/>
      <c r="DO685" s="1098"/>
      <c r="DP685" s="1098"/>
      <c r="DQ685" s="1098"/>
      <c r="DR685" s="1098"/>
      <c r="DS685" s="1098"/>
      <c r="DT685" s="1098"/>
      <c r="DU685" s="1098"/>
      <c r="DV685" s="1098"/>
      <c r="DW685" s="1098"/>
      <c r="DX685" s="1098"/>
      <c r="DY685" s="1098"/>
      <c r="DZ685" s="1098"/>
      <c r="EA685" s="1098"/>
      <c r="EB685" s="1098"/>
      <c r="EC685" s="1098"/>
      <c r="ED685" s="1098"/>
      <c r="EE685" s="1098"/>
      <c r="EF685" s="1098"/>
      <c r="EG685" s="1098"/>
      <c r="EH685" s="1098"/>
      <c r="EI685" s="1098"/>
      <c r="EJ685" s="1098"/>
      <c r="EK685" s="1098"/>
      <c r="EL685" s="1098"/>
      <c r="EM685" s="1098"/>
      <c r="EN685" s="1098"/>
      <c r="EO685" s="1098"/>
      <c r="EP685" s="1098"/>
      <c r="EQ685" s="1098"/>
      <c r="ER685" s="1098"/>
      <c r="ES685" s="1098"/>
      <c r="ET685" s="1098"/>
      <c r="EU685" s="1098"/>
      <c r="EV685" s="1098"/>
      <c r="EW685" s="1098"/>
      <c r="EX685" s="1098"/>
      <c r="EY685" s="1098"/>
      <c r="EZ685" s="1098"/>
      <c r="FA685" s="1098"/>
      <c r="FB685" s="1098"/>
      <c r="FC685" s="1098"/>
      <c r="FD685" s="1098"/>
      <c r="FE685" s="1098"/>
      <c r="FF685" s="1098"/>
      <c r="FG685" s="1098"/>
      <c r="FH685" s="1098"/>
      <c r="FI685" s="1098"/>
      <c r="FJ685" s="1098"/>
      <c r="FK685" s="1098"/>
      <c r="FL685" s="1098"/>
      <c r="FM685" s="1098"/>
      <c r="FN685" s="1098"/>
      <c r="FO685" s="1098"/>
      <c r="FP685" s="1098"/>
      <c r="FQ685" s="1098"/>
      <c r="FR685" s="1098"/>
      <c r="FS685" s="1098"/>
      <c r="FT685" s="1098"/>
      <c r="FU685" s="1098"/>
      <c r="FV685" s="1098"/>
      <c r="FW685" s="1098"/>
      <c r="FX685" s="1098"/>
      <c r="FY685" s="1098"/>
      <c r="FZ685" s="1098"/>
      <c r="GA685" s="1098"/>
      <c r="GB685" s="1098"/>
      <c r="GC685" s="1098"/>
      <c r="GD685" s="1098"/>
      <c r="GE685" s="1098"/>
      <c r="GF685" s="1098"/>
      <c r="GG685" s="1098"/>
      <c r="GH685" s="1098"/>
      <c r="GI685" s="1098"/>
      <c r="GJ685" s="1098"/>
      <c r="GK685" s="1098"/>
      <c r="GL685" s="1098"/>
      <c r="GM685" s="1098"/>
      <c r="GN685" s="1098"/>
      <c r="GO685" s="1098"/>
      <c r="GP685" s="1098"/>
      <c r="GQ685" s="1098"/>
      <c r="GR685" s="1098"/>
      <c r="GS685" s="1098"/>
      <c r="GT685" s="1098"/>
      <c r="GU685" s="1098"/>
      <c r="GV685" s="1098"/>
      <c r="GW685" s="1098"/>
      <c r="GX685" s="1098"/>
      <c r="GY685" s="1098"/>
      <c r="GZ685" s="1098"/>
      <c r="HA685" s="1098"/>
      <c r="HB685" s="1098"/>
      <c r="HC685" s="1098"/>
      <c r="HD685" s="1098"/>
      <c r="HE685" s="1098"/>
      <c r="HF685" s="1098"/>
      <c r="HG685" s="1098"/>
      <c r="HH685" s="1098"/>
      <c r="HI685" s="1098"/>
      <c r="HJ685" s="1098"/>
      <c r="HK685" s="1098"/>
      <c r="HL685" s="1098"/>
      <c r="HM685" s="1098"/>
      <c r="HN685" s="1098"/>
      <c r="HO685" s="1098"/>
      <c r="HP685" s="1098"/>
      <c r="HQ685" s="1098"/>
      <c r="HR685" s="1098"/>
      <c r="HS685" s="1098"/>
      <c r="HT685" s="1098"/>
      <c r="HU685" s="1098"/>
      <c r="HV685" s="1098"/>
      <c r="HW685" s="1098"/>
      <c r="HX685" s="1098"/>
      <c r="HY685" s="1098"/>
      <c r="HZ685" s="1098"/>
      <c r="IA685" s="1098"/>
      <c r="IB685" s="1098"/>
      <c r="IC685" s="1098"/>
      <c r="ID685" s="1098"/>
      <c r="IE685" s="1098"/>
      <c r="IF685" s="1098"/>
      <c r="IG685" s="1098"/>
      <c r="IH685" s="1098"/>
      <c r="II685" s="1098"/>
      <c r="IJ685" s="1098"/>
      <c r="IK685" s="1098"/>
      <c r="IL685" s="1098"/>
      <c r="IM685" s="1098"/>
      <c r="IN685" s="1098"/>
      <c r="IO685" s="1098"/>
      <c r="IP685" s="1098"/>
      <c r="IQ685" s="1098"/>
      <c r="IR685" s="1098"/>
      <c r="IS685" s="1098"/>
      <c r="IT685" s="1098"/>
      <c r="IU685" s="1098"/>
      <c r="IV685" s="1098"/>
      <c r="IW685" s="1098"/>
      <c r="IX685" s="1098"/>
      <c r="IY685" s="1098"/>
      <c r="IZ685" s="1098"/>
      <c r="JA685" s="1098"/>
      <c r="JB685" s="1098"/>
      <c r="JC685" s="1098"/>
      <c r="JD685" s="1098"/>
      <c r="JE685" s="1098"/>
      <c r="JF685" s="1098"/>
      <c r="JG685" s="1098"/>
      <c r="JH685" s="1098"/>
      <c r="JI685" s="1098"/>
      <c r="JJ685" s="1098"/>
      <c r="JK685" s="1098"/>
      <c r="JL685" s="1098"/>
      <c r="JM685" s="1098"/>
      <c r="JN685" s="1098"/>
      <c r="JO685" s="1098"/>
      <c r="JP685" s="1098"/>
      <c r="JQ685" s="1098"/>
      <c r="JR685" s="1098"/>
      <c r="JS685" s="1098"/>
      <c r="JT685" s="1098"/>
      <c r="JU685" s="1098"/>
      <c r="JV685" s="1098"/>
      <c r="JW685" s="1098"/>
      <c r="JX685" s="1098"/>
      <c r="JY685" s="1098"/>
      <c r="JZ685" s="1098"/>
      <c r="KA685" s="1098"/>
      <c r="KB685" s="1099"/>
    </row>
    <row r="686" spans="2:288" ht="15" customHeight="1" x14ac:dyDescent="0.35">
      <c r="B686" s="146" t="str">
        <f t="shared" si="55"/>
        <v>Desk 56</v>
      </c>
      <c r="C686" s="148" t="str">
        <v/>
      </c>
      <c r="D686" s="148" t="str">
        <v/>
      </c>
      <c r="E686" s="148" t="str">
        <v/>
      </c>
      <c r="F686" s="148" t="str">
        <v/>
      </c>
      <c r="G686" s="268" t="str">
        <v/>
      </c>
      <c r="H686" s="1098"/>
      <c r="I686" s="1098"/>
      <c r="J686" s="1098"/>
      <c r="K686" s="1098"/>
      <c r="L686" s="1098"/>
      <c r="M686" s="1098"/>
      <c r="N686" s="1098"/>
      <c r="O686" s="1098"/>
      <c r="P686" s="1098"/>
      <c r="Q686" s="1098"/>
      <c r="R686" s="1098"/>
      <c r="S686" s="1098"/>
      <c r="T686" s="1098"/>
      <c r="U686" s="1098"/>
      <c r="V686" s="1098"/>
      <c r="W686" s="1098"/>
      <c r="X686" s="1098"/>
      <c r="Y686" s="1098"/>
      <c r="Z686" s="1098"/>
      <c r="AA686" s="1098"/>
      <c r="AB686" s="1098"/>
      <c r="AC686" s="1098"/>
      <c r="AD686" s="1098"/>
      <c r="AE686" s="1098"/>
      <c r="AF686" s="1098"/>
      <c r="AG686" s="1098"/>
      <c r="AH686" s="1098"/>
      <c r="AI686" s="1098"/>
      <c r="AJ686" s="1098"/>
      <c r="AK686" s="1098"/>
      <c r="AL686" s="1098"/>
      <c r="AM686" s="1098"/>
      <c r="AN686" s="1098"/>
      <c r="AO686" s="1098"/>
      <c r="AP686" s="1098"/>
      <c r="AQ686" s="1098"/>
      <c r="AR686" s="1098"/>
      <c r="AS686" s="1098"/>
      <c r="AT686" s="1098"/>
      <c r="AU686" s="1098"/>
      <c r="AV686" s="1098"/>
      <c r="AW686" s="1098"/>
      <c r="AX686" s="1098"/>
      <c r="AY686" s="1098"/>
      <c r="AZ686" s="1098"/>
      <c r="BA686" s="1098"/>
      <c r="BB686" s="1098"/>
      <c r="BC686" s="1098"/>
      <c r="BD686" s="1098"/>
      <c r="BE686" s="1098"/>
      <c r="BF686" s="1098"/>
      <c r="BG686" s="1098"/>
      <c r="BH686" s="1098"/>
      <c r="BI686" s="1098"/>
      <c r="BJ686" s="1098"/>
      <c r="BK686" s="1098"/>
      <c r="BL686" s="1098"/>
      <c r="BM686" s="1098"/>
      <c r="BN686" s="1098"/>
      <c r="BO686" s="1098"/>
      <c r="BP686" s="1098"/>
      <c r="BQ686" s="1098"/>
      <c r="BR686" s="1098"/>
      <c r="BS686" s="1098"/>
      <c r="BT686" s="1098"/>
      <c r="BU686" s="1098"/>
      <c r="BV686" s="1098"/>
      <c r="BW686" s="1098"/>
      <c r="BX686" s="1098"/>
      <c r="BY686" s="1098"/>
      <c r="BZ686" s="1098"/>
      <c r="CA686" s="1098"/>
      <c r="CB686" s="1098"/>
      <c r="CC686" s="1098"/>
      <c r="CD686" s="1098"/>
      <c r="CE686" s="1098"/>
      <c r="CF686" s="1098"/>
      <c r="CG686" s="1098"/>
      <c r="CH686" s="1098"/>
      <c r="CI686" s="1098"/>
      <c r="CJ686" s="1098"/>
      <c r="CK686" s="1098"/>
      <c r="CL686" s="1098"/>
      <c r="CM686" s="1098"/>
      <c r="CN686" s="1098"/>
      <c r="CO686" s="1098"/>
      <c r="CP686" s="1098"/>
      <c r="CQ686" s="1098"/>
      <c r="CR686" s="1098"/>
      <c r="CS686" s="1098"/>
      <c r="CT686" s="1098"/>
      <c r="CU686" s="1098"/>
      <c r="CV686" s="1098"/>
      <c r="CW686" s="1098"/>
      <c r="CX686" s="1098"/>
      <c r="CY686" s="1098"/>
      <c r="CZ686" s="1098"/>
      <c r="DA686" s="1098"/>
      <c r="DB686" s="1098"/>
      <c r="DC686" s="1098"/>
      <c r="DD686" s="1098"/>
      <c r="DE686" s="1098"/>
      <c r="DF686" s="1098"/>
      <c r="DG686" s="1098"/>
      <c r="DH686" s="1098"/>
      <c r="DI686" s="1098"/>
      <c r="DJ686" s="1098"/>
      <c r="DK686" s="1098"/>
      <c r="DL686" s="1098"/>
      <c r="DM686" s="1098"/>
      <c r="DN686" s="1098"/>
      <c r="DO686" s="1098"/>
      <c r="DP686" s="1098"/>
      <c r="DQ686" s="1098"/>
      <c r="DR686" s="1098"/>
      <c r="DS686" s="1098"/>
      <c r="DT686" s="1098"/>
      <c r="DU686" s="1098"/>
      <c r="DV686" s="1098"/>
      <c r="DW686" s="1098"/>
      <c r="DX686" s="1098"/>
      <c r="DY686" s="1098"/>
      <c r="DZ686" s="1098"/>
      <c r="EA686" s="1098"/>
      <c r="EB686" s="1098"/>
      <c r="EC686" s="1098"/>
      <c r="ED686" s="1098"/>
      <c r="EE686" s="1098"/>
      <c r="EF686" s="1098"/>
      <c r="EG686" s="1098"/>
      <c r="EH686" s="1098"/>
      <c r="EI686" s="1098"/>
      <c r="EJ686" s="1098"/>
      <c r="EK686" s="1098"/>
      <c r="EL686" s="1098"/>
      <c r="EM686" s="1098"/>
      <c r="EN686" s="1098"/>
      <c r="EO686" s="1098"/>
      <c r="EP686" s="1098"/>
      <c r="EQ686" s="1098"/>
      <c r="ER686" s="1098"/>
      <c r="ES686" s="1098"/>
      <c r="ET686" s="1098"/>
      <c r="EU686" s="1098"/>
      <c r="EV686" s="1098"/>
      <c r="EW686" s="1098"/>
      <c r="EX686" s="1098"/>
      <c r="EY686" s="1098"/>
      <c r="EZ686" s="1098"/>
      <c r="FA686" s="1098"/>
      <c r="FB686" s="1098"/>
      <c r="FC686" s="1098"/>
      <c r="FD686" s="1098"/>
      <c r="FE686" s="1098"/>
      <c r="FF686" s="1098"/>
      <c r="FG686" s="1098"/>
      <c r="FH686" s="1098"/>
      <c r="FI686" s="1098"/>
      <c r="FJ686" s="1098"/>
      <c r="FK686" s="1098"/>
      <c r="FL686" s="1098"/>
      <c r="FM686" s="1098"/>
      <c r="FN686" s="1098"/>
      <c r="FO686" s="1098"/>
      <c r="FP686" s="1098"/>
      <c r="FQ686" s="1098"/>
      <c r="FR686" s="1098"/>
      <c r="FS686" s="1098"/>
      <c r="FT686" s="1098"/>
      <c r="FU686" s="1098"/>
      <c r="FV686" s="1098"/>
      <c r="FW686" s="1098"/>
      <c r="FX686" s="1098"/>
      <c r="FY686" s="1098"/>
      <c r="FZ686" s="1098"/>
      <c r="GA686" s="1098"/>
      <c r="GB686" s="1098"/>
      <c r="GC686" s="1098"/>
      <c r="GD686" s="1098"/>
      <c r="GE686" s="1098"/>
      <c r="GF686" s="1098"/>
      <c r="GG686" s="1098"/>
      <c r="GH686" s="1098"/>
      <c r="GI686" s="1098"/>
      <c r="GJ686" s="1098"/>
      <c r="GK686" s="1098"/>
      <c r="GL686" s="1098"/>
      <c r="GM686" s="1098"/>
      <c r="GN686" s="1098"/>
      <c r="GO686" s="1098"/>
      <c r="GP686" s="1098"/>
      <c r="GQ686" s="1098"/>
      <c r="GR686" s="1098"/>
      <c r="GS686" s="1098"/>
      <c r="GT686" s="1098"/>
      <c r="GU686" s="1098"/>
      <c r="GV686" s="1098"/>
      <c r="GW686" s="1098"/>
      <c r="GX686" s="1098"/>
      <c r="GY686" s="1098"/>
      <c r="GZ686" s="1098"/>
      <c r="HA686" s="1098"/>
      <c r="HB686" s="1098"/>
      <c r="HC686" s="1098"/>
      <c r="HD686" s="1098"/>
      <c r="HE686" s="1098"/>
      <c r="HF686" s="1098"/>
      <c r="HG686" s="1098"/>
      <c r="HH686" s="1098"/>
      <c r="HI686" s="1098"/>
      <c r="HJ686" s="1098"/>
      <c r="HK686" s="1098"/>
      <c r="HL686" s="1098"/>
      <c r="HM686" s="1098"/>
      <c r="HN686" s="1098"/>
      <c r="HO686" s="1098"/>
      <c r="HP686" s="1098"/>
      <c r="HQ686" s="1098"/>
      <c r="HR686" s="1098"/>
      <c r="HS686" s="1098"/>
      <c r="HT686" s="1098"/>
      <c r="HU686" s="1098"/>
      <c r="HV686" s="1098"/>
      <c r="HW686" s="1098"/>
      <c r="HX686" s="1098"/>
      <c r="HY686" s="1098"/>
      <c r="HZ686" s="1098"/>
      <c r="IA686" s="1098"/>
      <c r="IB686" s="1098"/>
      <c r="IC686" s="1098"/>
      <c r="ID686" s="1098"/>
      <c r="IE686" s="1098"/>
      <c r="IF686" s="1098"/>
      <c r="IG686" s="1098"/>
      <c r="IH686" s="1098"/>
      <c r="II686" s="1098"/>
      <c r="IJ686" s="1098"/>
      <c r="IK686" s="1098"/>
      <c r="IL686" s="1098"/>
      <c r="IM686" s="1098"/>
      <c r="IN686" s="1098"/>
      <c r="IO686" s="1098"/>
      <c r="IP686" s="1098"/>
      <c r="IQ686" s="1098"/>
      <c r="IR686" s="1098"/>
      <c r="IS686" s="1098"/>
      <c r="IT686" s="1098"/>
      <c r="IU686" s="1098"/>
      <c r="IV686" s="1098"/>
      <c r="IW686" s="1098"/>
      <c r="IX686" s="1098"/>
      <c r="IY686" s="1098"/>
      <c r="IZ686" s="1098"/>
      <c r="JA686" s="1098"/>
      <c r="JB686" s="1098"/>
      <c r="JC686" s="1098"/>
      <c r="JD686" s="1098"/>
      <c r="JE686" s="1098"/>
      <c r="JF686" s="1098"/>
      <c r="JG686" s="1098"/>
      <c r="JH686" s="1098"/>
      <c r="JI686" s="1098"/>
      <c r="JJ686" s="1098"/>
      <c r="JK686" s="1098"/>
      <c r="JL686" s="1098"/>
      <c r="JM686" s="1098"/>
      <c r="JN686" s="1098"/>
      <c r="JO686" s="1098"/>
      <c r="JP686" s="1098"/>
      <c r="JQ686" s="1098"/>
      <c r="JR686" s="1098"/>
      <c r="JS686" s="1098"/>
      <c r="JT686" s="1098"/>
      <c r="JU686" s="1098"/>
      <c r="JV686" s="1098"/>
      <c r="JW686" s="1098"/>
      <c r="JX686" s="1098"/>
      <c r="JY686" s="1098"/>
      <c r="JZ686" s="1098"/>
      <c r="KA686" s="1098"/>
      <c r="KB686" s="1099"/>
    </row>
    <row r="687" spans="2:288" ht="15" customHeight="1" x14ac:dyDescent="0.35">
      <c r="B687" s="146" t="str">
        <f t="shared" si="55"/>
        <v>Desk 57</v>
      </c>
      <c r="C687" s="148" t="str">
        <v/>
      </c>
      <c r="D687" s="148" t="str">
        <v/>
      </c>
      <c r="E687" s="148" t="str">
        <v/>
      </c>
      <c r="F687" s="148" t="str">
        <v/>
      </c>
      <c r="G687" s="268" t="str">
        <v/>
      </c>
      <c r="H687" s="1098"/>
      <c r="I687" s="1098"/>
      <c r="J687" s="1098"/>
      <c r="K687" s="1098"/>
      <c r="L687" s="1098"/>
      <c r="M687" s="1098"/>
      <c r="N687" s="1098"/>
      <c r="O687" s="1098"/>
      <c r="P687" s="1098"/>
      <c r="Q687" s="1098"/>
      <c r="R687" s="1098"/>
      <c r="S687" s="1098"/>
      <c r="T687" s="1098"/>
      <c r="U687" s="1098"/>
      <c r="V687" s="1098"/>
      <c r="W687" s="1098"/>
      <c r="X687" s="1098"/>
      <c r="Y687" s="1098"/>
      <c r="Z687" s="1098"/>
      <c r="AA687" s="1098"/>
      <c r="AB687" s="1098"/>
      <c r="AC687" s="1098"/>
      <c r="AD687" s="1098"/>
      <c r="AE687" s="1098"/>
      <c r="AF687" s="1098"/>
      <c r="AG687" s="1098"/>
      <c r="AH687" s="1098"/>
      <c r="AI687" s="1098"/>
      <c r="AJ687" s="1098"/>
      <c r="AK687" s="1098"/>
      <c r="AL687" s="1098"/>
      <c r="AM687" s="1098"/>
      <c r="AN687" s="1098"/>
      <c r="AO687" s="1098"/>
      <c r="AP687" s="1098"/>
      <c r="AQ687" s="1098"/>
      <c r="AR687" s="1098"/>
      <c r="AS687" s="1098"/>
      <c r="AT687" s="1098"/>
      <c r="AU687" s="1098"/>
      <c r="AV687" s="1098"/>
      <c r="AW687" s="1098"/>
      <c r="AX687" s="1098"/>
      <c r="AY687" s="1098"/>
      <c r="AZ687" s="1098"/>
      <c r="BA687" s="1098"/>
      <c r="BB687" s="1098"/>
      <c r="BC687" s="1098"/>
      <c r="BD687" s="1098"/>
      <c r="BE687" s="1098"/>
      <c r="BF687" s="1098"/>
      <c r="BG687" s="1098"/>
      <c r="BH687" s="1098"/>
      <c r="BI687" s="1098"/>
      <c r="BJ687" s="1098"/>
      <c r="BK687" s="1098"/>
      <c r="BL687" s="1098"/>
      <c r="BM687" s="1098"/>
      <c r="BN687" s="1098"/>
      <c r="BO687" s="1098"/>
      <c r="BP687" s="1098"/>
      <c r="BQ687" s="1098"/>
      <c r="BR687" s="1098"/>
      <c r="BS687" s="1098"/>
      <c r="BT687" s="1098"/>
      <c r="BU687" s="1098"/>
      <c r="BV687" s="1098"/>
      <c r="BW687" s="1098"/>
      <c r="BX687" s="1098"/>
      <c r="BY687" s="1098"/>
      <c r="BZ687" s="1098"/>
      <c r="CA687" s="1098"/>
      <c r="CB687" s="1098"/>
      <c r="CC687" s="1098"/>
      <c r="CD687" s="1098"/>
      <c r="CE687" s="1098"/>
      <c r="CF687" s="1098"/>
      <c r="CG687" s="1098"/>
      <c r="CH687" s="1098"/>
      <c r="CI687" s="1098"/>
      <c r="CJ687" s="1098"/>
      <c r="CK687" s="1098"/>
      <c r="CL687" s="1098"/>
      <c r="CM687" s="1098"/>
      <c r="CN687" s="1098"/>
      <c r="CO687" s="1098"/>
      <c r="CP687" s="1098"/>
      <c r="CQ687" s="1098"/>
      <c r="CR687" s="1098"/>
      <c r="CS687" s="1098"/>
      <c r="CT687" s="1098"/>
      <c r="CU687" s="1098"/>
      <c r="CV687" s="1098"/>
      <c r="CW687" s="1098"/>
      <c r="CX687" s="1098"/>
      <c r="CY687" s="1098"/>
      <c r="CZ687" s="1098"/>
      <c r="DA687" s="1098"/>
      <c r="DB687" s="1098"/>
      <c r="DC687" s="1098"/>
      <c r="DD687" s="1098"/>
      <c r="DE687" s="1098"/>
      <c r="DF687" s="1098"/>
      <c r="DG687" s="1098"/>
      <c r="DH687" s="1098"/>
      <c r="DI687" s="1098"/>
      <c r="DJ687" s="1098"/>
      <c r="DK687" s="1098"/>
      <c r="DL687" s="1098"/>
      <c r="DM687" s="1098"/>
      <c r="DN687" s="1098"/>
      <c r="DO687" s="1098"/>
      <c r="DP687" s="1098"/>
      <c r="DQ687" s="1098"/>
      <c r="DR687" s="1098"/>
      <c r="DS687" s="1098"/>
      <c r="DT687" s="1098"/>
      <c r="DU687" s="1098"/>
      <c r="DV687" s="1098"/>
      <c r="DW687" s="1098"/>
      <c r="DX687" s="1098"/>
      <c r="DY687" s="1098"/>
      <c r="DZ687" s="1098"/>
      <c r="EA687" s="1098"/>
      <c r="EB687" s="1098"/>
      <c r="EC687" s="1098"/>
      <c r="ED687" s="1098"/>
      <c r="EE687" s="1098"/>
      <c r="EF687" s="1098"/>
      <c r="EG687" s="1098"/>
      <c r="EH687" s="1098"/>
      <c r="EI687" s="1098"/>
      <c r="EJ687" s="1098"/>
      <c r="EK687" s="1098"/>
      <c r="EL687" s="1098"/>
      <c r="EM687" s="1098"/>
      <c r="EN687" s="1098"/>
      <c r="EO687" s="1098"/>
      <c r="EP687" s="1098"/>
      <c r="EQ687" s="1098"/>
      <c r="ER687" s="1098"/>
      <c r="ES687" s="1098"/>
      <c r="ET687" s="1098"/>
      <c r="EU687" s="1098"/>
      <c r="EV687" s="1098"/>
      <c r="EW687" s="1098"/>
      <c r="EX687" s="1098"/>
      <c r="EY687" s="1098"/>
      <c r="EZ687" s="1098"/>
      <c r="FA687" s="1098"/>
      <c r="FB687" s="1098"/>
      <c r="FC687" s="1098"/>
      <c r="FD687" s="1098"/>
      <c r="FE687" s="1098"/>
      <c r="FF687" s="1098"/>
      <c r="FG687" s="1098"/>
      <c r="FH687" s="1098"/>
      <c r="FI687" s="1098"/>
      <c r="FJ687" s="1098"/>
      <c r="FK687" s="1098"/>
      <c r="FL687" s="1098"/>
      <c r="FM687" s="1098"/>
      <c r="FN687" s="1098"/>
      <c r="FO687" s="1098"/>
      <c r="FP687" s="1098"/>
      <c r="FQ687" s="1098"/>
      <c r="FR687" s="1098"/>
      <c r="FS687" s="1098"/>
      <c r="FT687" s="1098"/>
      <c r="FU687" s="1098"/>
      <c r="FV687" s="1098"/>
      <c r="FW687" s="1098"/>
      <c r="FX687" s="1098"/>
      <c r="FY687" s="1098"/>
      <c r="FZ687" s="1098"/>
      <c r="GA687" s="1098"/>
      <c r="GB687" s="1098"/>
      <c r="GC687" s="1098"/>
      <c r="GD687" s="1098"/>
      <c r="GE687" s="1098"/>
      <c r="GF687" s="1098"/>
      <c r="GG687" s="1098"/>
      <c r="GH687" s="1098"/>
      <c r="GI687" s="1098"/>
      <c r="GJ687" s="1098"/>
      <c r="GK687" s="1098"/>
      <c r="GL687" s="1098"/>
      <c r="GM687" s="1098"/>
      <c r="GN687" s="1098"/>
      <c r="GO687" s="1098"/>
      <c r="GP687" s="1098"/>
      <c r="GQ687" s="1098"/>
      <c r="GR687" s="1098"/>
      <c r="GS687" s="1098"/>
      <c r="GT687" s="1098"/>
      <c r="GU687" s="1098"/>
      <c r="GV687" s="1098"/>
      <c r="GW687" s="1098"/>
      <c r="GX687" s="1098"/>
      <c r="GY687" s="1098"/>
      <c r="GZ687" s="1098"/>
      <c r="HA687" s="1098"/>
      <c r="HB687" s="1098"/>
      <c r="HC687" s="1098"/>
      <c r="HD687" s="1098"/>
      <c r="HE687" s="1098"/>
      <c r="HF687" s="1098"/>
      <c r="HG687" s="1098"/>
      <c r="HH687" s="1098"/>
      <c r="HI687" s="1098"/>
      <c r="HJ687" s="1098"/>
      <c r="HK687" s="1098"/>
      <c r="HL687" s="1098"/>
      <c r="HM687" s="1098"/>
      <c r="HN687" s="1098"/>
      <c r="HO687" s="1098"/>
      <c r="HP687" s="1098"/>
      <c r="HQ687" s="1098"/>
      <c r="HR687" s="1098"/>
      <c r="HS687" s="1098"/>
      <c r="HT687" s="1098"/>
      <c r="HU687" s="1098"/>
      <c r="HV687" s="1098"/>
      <c r="HW687" s="1098"/>
      <c r="HX687" s="1098"/>
      <c r="HY687" s="1098"/>
      <c r="HZ687" s="1098"/>
      <c r="IA687" s="1098"/>
      <c r="IB687" s="1098"/>
      <c r="IC687" s="1098"/>
      <c r="ID687" s="1098"/>
      <c r="IE687" s="1098"/>
      <c r="IF687" s="1098"/>
      <c r="IG687" s="1098"/>
      <c r="IH687" s="1098"/>
      <c r="II687" s="1098"/>
      <c r="IJ687" s="1098"/>
      <c r="IK687" s="1098"/>
      <c r="IL687" s="1098"/>
      <c r="IM687" s="1098"/>
      <c r="IN687" s="1098"/>
      <c r="IO687" s="1098"/>
      <c r="IP687" s="1098"/>
      <c r="IQ687" s="1098"/>
      <c r="IR687" s="1098"/>
      <c r="IS687" s="1098"/>
      <c r="IT687" s="1098"/>
      <c r="IU687" s="1098"/>
      <c r="IV687" s="1098"/>
      <c r="IW687" s="1098"/>
      <c r="IX687" s="1098"/>
      <c r="IY687" s="1098"/>
      <c r="IZ687" s="1098"/>
      <c r="JA687" s="1098"/>
      <c r="JB687" s="1098"/>
      <c r="JC687" s="1098"/>
      <c r="JD687" s="1098"/>
      <c r="JE687" s="1098"/>
      <c r="JF687" s="1098"/>
      <c r="JG687" s="1098"/>
      <c r="JH687" s="1098"/>
      <c r="JI687" s="1098"/>
      <c r="JJ687" s="1098"/>
      <c r="JK687" s="1098"/>
      <c r="JL687" s="1098"/>
      <c r="JM687" s="1098"/>
      <c r="JN687" s="1098"/>
      <c r="JO687" s="1098"/>
      <c r="JP687" s="1098"/>
      <c r="JQ687" s="1098"/>
      <c r="JR687" s="1098"/>
      <c r="JS687" s="1098"/>
      <c r="JT687" s="1098"/>
      <c r="JU687" s="1098"/>
      <c r="JV687" s="1098"/>
      <c r="JW687" s="1098"/>
      <c r="JX687" s="1098"/>
      <c r="JY687" s="1098"/>
      <c r="JZ687" s="1098"/>
      <c r="KA687" s="1098"/>
      <c r="KB687" s="1099"/>
    </row>
    <row r="688" spans="2:288" ht="15" customHeight="1" x14ac:dyDescent="0.35">
      <c r="B688" s="146" t="str">
        <f t="shared" si="55"/>
        <v>Desk 58</v>
      </c>
      <c r="C688" s="148" t="str">
        <v/>
      </c>
      <c r="D688" s="148" t="str">
        <v/>
      </c>
      <c r="E688" s="148" t="str">
        <v/>
      </c>
      <c r="F688" s="148" t="str">
        <v/>
      </c>
      <c r="G688" s="268" t="str">
        <v/>
      </c>
      <c r="H688" s="1098"/>
      <c r="I688" s="1098"/>
      <c r="J688" s="1098"/>
      <c r="K688" s="1098"/>
      <c r="L688" s="1098"/>
      <c r="M688" s="1098"/>
      <c r="N688" s="1098"/>
      <c r="O688" s="1098"/>
      <c r="P688" s="1098"/>
      <c r="Q688" s="1098"/>
      <c r="R688" s="1098"/>
      <c r="S688" s="1098"/>
      <c r="T688" s="1098"/>
      <c r="U688" s="1098"/>
      <c r="V688" s="1098"/>
      <c r="W688" s="1098"/>
      <c r="X688" s="1098"/>
      <c r="Y688" s="1098"/>
      <c r="Z688" s="1098"/>
      <c r="AA688" s="1098"/>
      <c r="AB688" s="1098"/>
      <c r="AC688" s="1098"/>
      <c r="AD688" s="1098"/>
      <c r="AE688" s="1098"/>
      <c r="AF688" s="1098"/>
      <c r="AG688" s="1098"/>
      <c r="AH688" s="1098"/>
      <c r="AI688" s="1098"/>
      <c r="AJ688" s="1098"/>
      <c r="AK688" s="1098"/>
      <c r="AL688" s="1098"/>
      <c r="AM688" s="1098"/>
      <c r="AN688" s="1098"/>
      <c r="AO688" s="1098"/>
      <c r="AP688" s="1098"/>
      <c r="AQ688" s="1098"/>
      <c r="AR688" s="1098"/>
      <c r="AS688" s="1098"/>
      <c r="AT688" s="1098"/>
      <c r="AU688" s="1098"/>
      <c r="AV688" s="1098"/>
      <c r="AW688" s="1098"/>
      <c r="AX688" s="1098"/>
      <c r="AY688" s="1098"/>
      <c r="AZ688" s="1098"/>
      <c r="BA688" s="1098"/>
      <c r="BB688" s="1098"/>
      <c r="BC688" s="1098"/>
      <c r="BD688" s="1098"/>
      <c r="BE688" s="1098"/>
      <c r="BF688" s="1098"/>
      <c r="BG688" s="1098"/>
      <c r="BH688" s="1098"/>
      <c r="BI688" s="1098"/>
      <c r="BJ688" s="1098"/>
      <c r="BK688" s="1098"/>
      <c r="BL688" s="1098"/>
      <c r="BM688" s="1098"/>
      <c r="BN688" s="1098"/>
      <c r="BO688" s="1098"/>
      <c r="BP688" s="1098"/>
      <c r="BQ688" s="1098"/>
      <c r="BR688" s="1098"/>
      <c r="BS688" s="1098"/>
      <c r="BT688" s="1098"/>
      <c r="BU688" s="1098"/>
      <c r="BV688" s="1098"/>
      <c r="BW688" s="1098"/>
      <c r="BX688" s="1098"/>
      <c r="BY688" s="1098"/>
      <c r="BZ688" s="1098"/>
      <c r="CA688" s="1098"/>
      <c r="CB688" s="1098"/>
      <c r="CC688" s="1098"/>
      <c r="CD688" s="1098"/>
      <c r="CE688" s="1098"/>
      <c r="CF688" s="1098"/>
      <c r="CG688" s="1098"/>
      <c r="CH688" s="1098"/>
      <c r="CI688" s="1098"/>
      <c r="CJ688" s="1098"/>
      <c r="CK688" s="1098"/>
      <c r="CL688" s="1098"/>
      <c r="CM688" s="1098"/>
      <c r="CN688" s="1098"/>
      <c r="CO688" s="1098"/>
      <c r="CP688" s="1098"/>
      <c r="CQ688" s="1098"/>
      <c r="CR688" s="1098"/>
      <c r="CS688" s="1098"/>
      <c r="CT688" s="1098"/>
      <c r="CU688" s="1098"/>
      <c r="CV688" s="1098"/>
      <c r="CW688" s="1098"/>
      <c r="CX688" s="1098"/>
      <c r="CY688" s="1098"/>
      <c r="CZ688" s="1098"/>
      <c r="DA688" s="1098"/>
      <c r="DB688" s="1098"/>
      <c r="DC688" s="1098"/>
      <c r="DD688" s="1098"/>
      <c r="DE688" s="1098"/>
      <c r="DF688" s="1098"/>
      <c r="DG688" s="1098"/>
      <c r="DH688" s="1098"/>
      <c r="DI688" s="1098"/>
      <c r="DJ688" s="1098"/>
      <c r="DK688" s="1098"/>
      <c r="DL688" s="1098"/>
      <c r="DM688" s="1098"/>
      <c r="DN688" s="1098"/>
      <c r="DO688" s="1098"/>
      <c r="DP688" s="1098"/>
      <c r="DQ688" s="1098"/>
      <c r="DR688" s="1098"/>
      <c r="DS688" s="1098"/>
      <c r="DT688" s="1098"/>
      <c r="DU688" s="1098"/>
      <c r="DV688" s="1098"/>
      <c r="DW688" s="1098"/>
      <c r="DX688" s="1098"/>
      <c r="DY688" s="1098"/>
      <c r="DZ688" s="1098"/>
      <c r="EA688" s="1098"/>
      <c r="EB688" s="1098"/>
      <c r="EC688" s="1098"/>
      <c r="ED688" s="1098"/>
      <c r="EE688" s="1098"/>
      <c r="EF688" s="1098"/>
      <c r="EG688" s="1098"/>
      <c r="EH688" s="1098"/>
      <c r="EI688" s="1098"/>
      <c r="EJ688" s="1098"/>
      <c r="EK688" s="1098"/>
      <c r="EL688" s="1098"/>
      <c r="EM688" s="1098"/>
      <c r="EN688" s="1098"/>
      <c r="EO688" s="1098"/>
      <c r="EP688" s="1098"/>
      <c r="EQ688" s="1098"/>
      <c r="ER688" s="1098"/>
      <c r="ES688" s="1098"/>
      <c r="ET688" s="1098"/>
      <c r="EU688" s="1098"/>
      <c r="EV688" s="1098"/>
      <c r="EW688" s="1098"/>
      <c r="EX688" s="1098"/>
      <c r="EY688" s="1098"/>
      <c r="EZ688" s="1098"/>
      <c r="FA688" s="1098"/>
      <c r="FB688" s="1098"/>
      <c r="FC688" s="1098"/>
      <c r="FD688" s="1098"/>
      <c r="FE688" s="1098"/>
      <c r="FF688" s="1098"/>
      <c r="FG688" s="1098"/>
      <c r="FH688" s="1098"/>
      <c r="FI688" s="1098"/>
      <c r="FJ688" s="1098"/>
      <c r="FK688" s="1098"/>
      <c r="FL688" s="1098"/>
      <c r="FM688" s="1098"/>
      <c r="FN688" s="1098"/>
      <c r="FO688" s="1098"/>
      <c r="FP688" s="1098"/>
      <c r="FQ688" s="1098"/>
      <c r="FR688" s="1098"/>
      <c r="FS688" s="1098"/>
      <c r="FT688" s="1098"/>
      <c r="FU688" s="1098"/>
      <c r="FV688" s="1098"/>
      <c r="FW688" s="1098"/>
      <c r="FX688" s="1098"/>
      <c r="FY688" s="1098"/>
      <c r="FZ688" s="1098"/>
      <c r="GA688" s="1098"/>
      <c r="GB688" s="1098"/>
      <c r="GC688" s="1098"/>
      <c r="GD688" s="1098"/>
      <c r="GE688" s="1098"/>
      <c r="GF688" s="1098"/>
      <c r="GG688" s="1098"/>
      <c r="GH688" s="1098"/>
      <c r="GI688" s="1098"/>
      <c r="GJ688" s="1098"/>
      <c r="GK688" s="1098"/>
      <c r="GL688" s="1098"/>
      <c r="GM688" s="1098"/>
      <c r="GN688" s="1098"/>
      <c r="GO688" s="1098"/>
      <c r="GP688" s="1098"/>
      <c r="GQ688" s="1098"/>
      <c r="GR688" s="1098"/>
      <c r="GS688" s="1098"/>
      <c r="GT688" s="1098"/>
      <c r="GU688" s="1098"/>
      <c r="GV688" s="1098"/>
      <c r="GW688" s="1098"/>
      <c r="GX688" s="1098"/>
      <c r="GY688" s="1098"/>
      <c r="GZ688" s="1098"/>
      <c r="HA688" s="1098"/>
      <c r="HB688" s="1098"/>
      <c r="HC688" s="1098"/>
      <c r="HD688" s="1098"/>
      <c r="HE688" s="1098"/>
      <c r="HF688" s="1098"/>
      <c r="HG688" s="1098"/>
      <c r="HH688" s="1098"/>
      <c r="HI688" s="1098"/>
      <c r="HJ688" s="1098"/>
      <c r="HK688" s="1098"/>
      <c r="HL688" s="1098"/>
      <c r="HM688" s="1098"/>
      <c r="HN688" s="1098"/>
      <c r="HO688" s="1098"/>
      <c r="HP688" s="1098"/>
      <c r="HQ688" s="1098"/>
      <c r="HR688" s="1098"/>
      <c r="HS688" s="1098"/>
      <c r="HT688" s="1098"/>
      <c r="HU688" s="1098"/>
      <c r="HV688" s="1098"/>
      <c r="HW688" s="1098"/>
      <c r="HX688" s="1098"/>
      <c r="HY688" s="1098"/>
      <c r="HZ688" s="1098"/>
      <c r="IA688" s="1098"/>
      <c r="IB688" s="1098"/>
      <c r="IC688" s="1098"/>
      <c r="ID688" s="1098"/>
      <c r="IE688" s="1098"/>
      <c r="IF688" s="1098"/>
      <c r="IG688" s="1098"/>
      <c r="IH688" s="1098"/>
      <c r="II688" s="1098"/>
      <c r="IJ688" s="1098"/>
      <c r="IK688" s="1098"/>
      <c r="IL688" s="1098"/>
      <c r="IM688" s="1098"/>
      <c r="IN688" s="1098"/>
      <c r="IO688" s="1098"/>
      <c r="IP688" s="1098"/>
      <c r="IQ688" s="1098"/>
      <c r="IR688" s="1098"/>
      <c r="IS688" s="1098"/>
      <c r="IT688" s="1098"/>
      <c r="IU688" s="1098"/>
      <c r="IV688" s="1098"/>
      <c r="IW688" s="1098"/>
      <c r="IX688" s="1098"/>
      <c r="IY688" s="1098"/>
      <c r="IZ688" s="1098"/>
      <c r="JA688" s="1098"/>
      <c r="JB688" s="1098"/>
      <c r="JC688" s="1098"/>
      <c r="JD688" s="1098"/>
      <c r="JE688" s="1098"/>
      <c r="JF688" s="1098"/>
      <c r="JG688" s="1098"/>
      <c r="JH688" s="1098"/>
      <c r="JI688" s="1098"/>
      <c r="JJ688" s="1098"/>
      <c r="JK688" s="1098"/>
      <c r="JL688" s="1098"/>
      <c r="JM688" s="1098"/>
      <c r="JN688" s="1098"/>
      <c r="JO688" s="1098"/>
      <c r="JP688" s="1098"/>
      <c r="JQ688" s="1098"/>
      <c r="JR688" s="1098"/>
      <c r="JS688" s="1098"/>
      <c r="JT688" s="1098"/>
      <c r="JU688" s="1098"/>
      <c r="JV688" s="1098"/>
      <c r="JW688" s="1098"/>
      <c r="JX688" s="1098"/>
      <c r="JY688" s="1098"/>
      <c r="JZ688" s="1098"/>
      <c r="KA688" s="1098"/>
      <c r="KB688" s="1099"/>
    </row>
    <row r="689" spans="2:288" ht="15" customHeight="1" x14ac:dyDescent="0.35">
      <c r="B689" s="146" t="str">
        <f t="shared" si="55"/>
        <v>Desk 59</v>
      </c>
      <c r="C689" s="148" t="str">
        <v/>
      </c>
      <c r="D689" s="148" t="str">
        <v/>
      </c>
      <c r="E689" s="148" t="str">
        <v/>
      </c>
      <c r="F689" s="148" t="str">
        <v/>
      </c>
      <c r="G689" s="268" t="str">
        <v/>
      </c>
      <c r="H689" s="1098"/>
      <c r="I689" s="1098"/>
      <c r="J689" s="1098"/>
      <c r="K689" s="1098"/>
      <c r="L689" s="1098"/>
      <c r="M689" s="1098"/>
      <c r="N689" s="1098"/>
      <c r="O689" s="1098"/>
      <c r="P689" s="1098"/>
      <c r="Q689" s="1098"/>
      <c r="R689" s="1098"/>
      <c r="S689" s="1098"/>
      <c r="T689" s="1098"/>
      <c r="U689" s="1098"/>
      <c r="V689" s="1098"/>
      <c r="W689" s="1098"/>
      <c r="X689" s="1098"/>
      <c r="Y689" s="1098"/>
      <c r="Z689" s="1098"/>
      <c r="AA689" s="1098"/>
      <c r="AB689" s="1098"/>
      <c r="AC689" s="1098"/>
      <c r="AD689" s="1098"/>
      <c r="AE689" s="1098"/>
      <c r="AF689" s="1098"/>
      <c r="AG689" s="1098"/>
      <c r="AH689" s="1098"/>
      <c r="AI689" s="1098"/>
      <c r="AJ689" s="1098"/>
      <c r="AK689" s="1098"/>
      <c r="AL689" s="1098"/>
      <c r="AM689" s="1098"/>
      <c r="AN689" s="1098"/>
      <c r="AO689" s="1098"/>
      <c r="AP689" s="1098"/>
      <c r="AQ689" s="1098"/>
      <c r="AR689" s="1098"/>
      <c r="AS689" s="1098"/>
      <c r="AT689" s="1098"/>
      <c r="AU689" s="1098"/>
      <c r="AV689" s="1098"/>
      <c r="AW689" s="1098"/>
      <c r="AX689" s="1098"/>
      <c r="AY689" s="1098"/>
      <c r="AZ689" s="1098"/>
      <c r="BA689" s="1098"/>
      <c r="BB689" s="1098"/>
      <c r="BC689" s="1098"/>
      <c r="BD689" s="1098"/>
      <c r="BE689" s="1098"/>
      <c r="BF689" s="1098"/>
      <c r="BG689" s="1098"/>
      <c r="BH689" s="1098"/>
      <c r="BI689" s="1098"/>
      <c r="BJ689" s="1098"/>
      <c r="BK689" s="1098"/>
      <c r="BL689" s="1098"/>
      <c r="BM689" s="1098"/>
      <c r="BN689" s="1098"/>
      <c r="BO689" s="1098"/>
      <c r="BP689" s="1098"/>
      <c r="BQ689" s="1098"/>
      <c r="BR689" s="1098"/>
      <c r="BS689" s="1098"/>
      <c r="BT689" s="1098"/>
      <c r="BU689" s="1098"/>
      <c r="BV689" s="1098"/>
      <c r="BW689" s="1098"/>
      <c r="BX689" s="1098"/>
      <c r="BY689" s="1098"/>
      <c r="BZ689" s="1098"/>
      <c r="CA689" s="1098"/>
      <c r="CB689" s="1098"/>
      <c r="CC689" s="1098"/>
      <c r="CD689" s="1098"/>
      <c r="CE689" s="1098"/>
      <c r="CF689" s="1098"/>
      <c r="CG689" s="1098"/>
      <c r="CH689" s="1098"/>
      <c r="CI689" s="1098"/>
      <c r="CJ689" s="1098"/>
      <c r="CK689" s="1098"/>
      <c r="CL689" s="1098"/>
      <c r="CM689" s="1098"/>
      <c r="CN689" s="1098"/>
      <c r="CO689" s="1098"/>
      <c r="CP689" s="1098"/>
      <c r="CQ689" s="1098"/>
      <c r="CR689" s="1098"/>
      <c r="CS689" s="1098"/>
      <c r="CT689" s="1098"/>
      <c r="CU689" s="1098"/>
      <c r="CV689" s="1098"/>
      <c r="CW689" s="1098"/>
      <c r="CX689" s="1098"/>
      <c r="CY689" s="1098"/>
      <c r="CZ689" s="1098"/>
      <c r="DA689" s="1098"/>
      <c r="DB689" s="1098"/>
      <c r="DC689" s="1098"/>
      <c r="DD689" s="1098"/>
      <c r="DE689" s="1098"/>
      <c r="DF689" s="1098"/>
      <c r="DG689" s="1098"/>
      <c r="DH689" s="1098"/>
      <c r="DI689" s="1098"/>
      <c r="DJ689" s="1098"/>
      <c r="DK689" s="1098"/>
      <c r="DL689" s="1098"/>
      <c r="DM689" s="1098"/>
      <c r="DN689" s="1098"/>
      <c r="DO689" s="1098"/>
      <c r="DP689" s="1098"/>
      <c r="DQ689" s="1098"/>
      <c r="DR689" s="1098"/>
      <c r="DS689" s="1098"/>
      <c r="DT689" s="1098"/>
      <c r="DU689" s="1098"/>
      <c r="DV689" s="1098"/>
      <c r="DW689" s="1098"/>
      <c r="DX689" s="1098"/>
      <c r="DY689" s="1098"/>
      <c r="DZ689" s="1098"/>
      <c r="EA689" s="1098"/>
      <c r="EB689" s="1098"/>
      <c r="EC689" s="1098"/>
      <c r="ED689" s="1098"/>
      <c r="EE689" s="1098"/>
      <c r="EF689" s="1098"/>
      <c r="EG689" s="1098"/>
      <c r="EH689" s="1098"/>
      <c r="EI689" s="1098"/>
      <c r="EJ689" s="1098"/>
      <c r="EK689" s="1098"/>
      <c r="EL689" s="1098"/>
      <c r="EM689" s="1098"/>
      <c r="EN689" s="1098"/>
      <c r="EO689" s="1098"/>
      <c r="EP689" s="1098"/>
      <c r="EQ689" s="1098"/>
      <c r="ER689" s="1098"/>
      <c r="ES689" s="1098"/>
      <c r="ET689" s="1098"/>
      <c r="EU689" s="1098"/>
      <c r="EV689" s="1098"/>
      <c r="EW689" s="1098"/>
      <c r="EX689" s="1098"/>
      <c r="EY689" s="1098"/>
      <c r="EZ689" s="1098"/>
      <c r="FA689" s="1098"/>
      <c r="FB689" s="1098"/>
      <c r="FC689" s="1098"/>
      <c r="FD689" s="1098"/>
      <c r="FE689" s="1098"/>
      <c r="FF689" s="1098"/>
      <c r="FG689" s="1098"/>
      <c r="FH689" s="1098"/>
      <c r="FI689" s="1098"/>
      <c r="FJ689" s="1098"/>
      <c r="FK689" s="1098"/>
      <c r="FL689" s="1098"/>
      <c r="FM689" s="1098"/>
      <c r="FN689" s="1098"/>
      <c r="FO689" s="1098"/>
      <c r="FP689" s="1098"/>
      <c r="FQ689" s="1098"/>
      <c r="FR689" s="1098"/>
      <c r="FS689" s="1098"/>
      <c r="FT689" s="1098"/>
      <c r="FU689" s="1098"/>
      <c r="FV689" s="1098"/>
      <c r="FW689" s="1098"/>
      <c r="FX689" s="1098"/>
      <c r="FY689" s="1098"/>
      <c r="FZ689" s="1098"/>
      <c r="GA689" s="1098"/>
      <c r="GB689" s="1098"/>
      <c r="GC689" s="1098"/>
      <c r="GD689" s="1098"/>
      <c r="GE689" s="1098"/>
      <c r="GF689" s="1098"/>
      <c r="GG689" s="1098"/>
      <c r="GH689" s="1098"/>
      <c r="GI689" s="1098"/>
      <c r="GJ689" s="1098"/>
      <c r="GK689" s="1098"/>
      <c r="GL689" s="1098"/>
      <c r="GM689" s="1098"/>
      <c r="GN689" s="1098"/>
      <c r="GO689" s="1098"/>
      <c r="GP689" s="1098"/>
      <c r="GQ689" s="1098"/>
      <c r="GR689" s="1098"/>
      <c r="GS689" s="1098"/>
      <c r="GT689" s="1098"/>
      <c r="GU689" s="1098"/>
      <c r="GV689" s="1098"/>
      <c r="GW689" s="1098"/>
      <c r="GX689" s="1098"/>
      <c r="GY689" s="1098"/>
      <c r="GZ689" s="1098"/>
      <c r="HA689" s="1098"/>
      <c r="HB689" s="1098"/>
      <c r="HC689" s="1098"/>
      <c r="HD689" s="1098"/>
      <c r="HE689" s="1098"/>
      <c r="HF689" s="1098"/>
      <c r="HG689" s="1098"/>
      <c r="HH689" s="1098"/>
      <c r="HI689" s="1098"/>
      <c r="HJ689" s="1098"/>
      <c r="HK689" s="1098"/>
      <c r="HL689" s="1098"/>
      <c r="HM689" s="1098"/>
      <c r="HN689" s="1098"/>
      <c r="HO689" s="1098"/>
      <c r="HP689" s="1098"/>
      <c r="HQ689" s="1098"/>
      <c r="HR689" s="1098"/>
      <c r="HS689" s="1098"/>
      <c r="HT689" s="1098"/>
      <c r="HU689" s="1098"/>
      <c r="HV689" s="1098"/>
      <c r="HW689" s="1098"/>
      <c r="HX689" s="1098"/>
      <c r="HY689" s="1098"/>
      <c r="HZ689" s="1098"/>
      <c r="IA689" s="1098"/>
      <c r="IB689" s="1098"/>
      <c r="IC689" s="1098"/>
      <c r="ID689" s="1098"/>
      <c r="IE689" s="1098"/>
      <c r="IF689" s="1098"/>
      <c r="IG689" s="1098"/>
      <c r="IH689" s="1098"/>
      <c r="II689" s="1098"/>
      <c r="IJ689" s="1098"/>
      <c r="IK689" s="1098"/>
      <c r="IL689" s="1098"/>
      <c r="IM689" s="1098"/>
      <c r="IN689" s="1098"/>
      <c r="IO689" s="1098"/>
      <c r="IP689" s="1098"/>
      <c r="IQ689" s="1098"/>
      <c r="IR689" s="1098"/>
      <c r="IS689" s="1098"/>
      <c r="IT689" s="1098"/>
      <c r="IU689" s="1098"/>
      <c r="IV689" s="1098"/>
      <c r="IW689" s="1098"/>
      <c r="IX689" s="1098"/>
      <c r="IY689" s="1098"/>
      <c r="IZ689" s="1098"/>
      <c r="JA689" s="1098"/>
      <c r="JB689" s="1098"/>
      <c r="JC689" s="1098"/>
      <c r="JD689" s="1098"/>
      <c r="JE689" s="1098"/>
      <c r="JF689" s="1098"/>
      <c r="JG689" s="1098"/>
      <c r="JH689" s="1098"/>
      <c r="JI689" s="1098"/>
      <c r="JJ689" s="1098"/>
      <c r="JK689" s="1098"/>
      <c r="JL689" s="1098"/>
      <c r="JM689" s="1098"/>
      <c r="JN689" s="1098"/>
      <c r="JO689" s="1098"/>
      <c r="JP689" s="1098"/>
      <c r="JQ689" s="1098"/>
      <c r="JR689" s="1098"/>
      <c r="JS689" s="1098"/>
      <c r="JT689" s="1098"/>
      <c r="JU689" s="1098"/>
      <c r="JV689" s="1098"/>
      <c r="JW689" s="1098"/>
      <c r="JX689" s="1098"/>
      <c r="JY689" s="1098"/>
      <c r="JZ689" s="1098"/>
      <c r="KA689" s="1098"/>
      <c r="KB689" s="1099"/>
    </row>
    <row r="690" spans="2:288" ht="15" customHeight="1" x14ac:dyDescent="0.35">
      <c r="B690" s="146" t="str">
        <f t="shared" si="55"/>
        <v>Desk 60</v>
      </c>
      <c r="C690" s="148" t="str">
        <v/>
      </c>
      <c r="D690" s="148" t="str">
        <v/>
      </c>
      <c r="E690" s="148" t="str">
        <v/>
      </c>
      <c r="F690" s="148" t="str">
        <v/>
      </c>
      <c r="G690" s="268" t="str">
        <v/>
      </c>
      <c r="H690" s="1098"/>
      <c r="I690" s="1098"/>
      <c r="J690" s="1098"/>
      <c r="K690" s="1098"/>
      <c r="L690" s="1098"/>
      <c r="M690" s="1098"/>
      <c r="N690" s="1098"/>
      <c r="O690" s="1098"/>
      <c r="P690" s="1098"/>
      <c r="Q690" s="1098"/>
      <c r="R690" s="1098"/>
      <c r="S690" s="1098"/>
      <c r="T690" s="1098"/>
      <c r="U690" s="1098"/>
      <c r="V690" s="1098"/>
      <c r="W690" s="1098"/>
      <c r="X690" s="1098"/>
      <c r="Y690" s="1098"/>
      <c r="Z690" s="1098"/>
      <c r="AA690" s="1098"/>
      <c r="AB690" s="1098"/>
      <c r="AC690" s="1098"/>
      <c r="AD690" s="1098"/>
      <c r="AE690" s="1098"/>
      <c r="AF690" s="1098"/>
      <c r="AG690" s="1098"/>
      <c r="AH690" s="1098"/>
      <c r="AI690" s="1098"/>
      <c r="AJ690" s="1098"/>
      <c r="AK690" s="1098"/>
      <c r="AL690" s="1098"/>
      <c r="AM690" s="1098"/>
      <c r="AN690" s="1098"/>
      <c r="AO690" s="1098"/>
      <c r="AP690" s="1098"/>
      <c r="AQ690" s="1098"/>
      <c r="AR690" s="1098"/>
      <c r="AS690" s="1098"/>
      <c r="AT690" s="1098"/>
      <c r="AU690" s="1098"/>
      <c r="AV690" s="1098"/>
      <c r="AW690" s="1098"/>
      <c r="AX690" s="1098"/>
      <c r="AY690" s="1098"/>
      <c r="AZ690" s="1098"/>
      <c r="BA690" s="1098"/>
      <c r="BB690" s="1098"/>
      <c r="BC690" s="1098"/>
      <c r="BD690" s="1098"/>
      <c r="BE690" s="1098"/>
      <c r="BF690" s="1098"/>
      <c r="BG690" s="1098"/>
      <c r="BH690" s="1098"/>
      <c r="BI690" s="1098"/>
      <c r="BJ690" s="1098"/>
      <c r="BK690" s="1098"/>
      <c r="BL690" s="1098"/>
      <c r="BM690" s="1098"/>
      <c r="BN690" s="1098"/>
      <c r="BO690" s="1098"/>
      <c r="BP690" s="1098"/>
      <c r="BQ690" s="1098"/>
      <c r="BR690" s="1098"/>
      <c r="BS690" s="1098"/>
      <c r="BT690" s="1098"/>
      <c r="BU690" s="1098"/>
      <c r="BV690" s="1098"/>
      <c r="BW690" s="1098"/>
      <c r="BX690" s="1098"/>
      <c r="BY690" s="1098"/>
      <c r="BZ690" s="1098"/>
      <c r="CA690" s="1098"/>
      <c r="CB690" s="1098"/>
      <c r="CC690" s="1098"/>
      <c r="CD690" s="1098"/>
      <c r="CE690" s="1098"/>
      <c r="CF690" s="1098"/>
      <c r="CG690" s="1098"/>
      <c r="CH690" s="1098"/>
      <c r="CI690" s="1098"/>
      <c r="CJ690" s="1098"/>
      <c r="CK690" s="1098"/>
      <c r="CL690" s="1098"/>
      <c r="CM690" s="1098"/>
      <c r="CN690" s="1098"/>
      <c r="CO690" s="1098"/>
      <c r="CP690" s="1098"/>
      <c r="CQ690" s="1098"/>
      <c r="CR690" s="1098"/>
      <c r="CS690" s="1098"/>
      <c r="CT690" s="1098"/>
      <c r="CU690" s="1098"/>
      <c r="CV690" s="1098"/>
      <c r="CW690" s="1098"/>
      <c r="CX690" s="1098"/>
      <c r="CY690" s="1098"/>
      <c r="CZ690" s="1098"/>
      <c r="DA690" s="1098"/>
      <c r="DB690" s="1098"/>
      <c r="DC690" s="1098"/>
      <c r="DD690" s="1098"/>
      <c r="DE690" s="1098"/>
      <c r="DF690" s="1098"/>
      <c r="DG690" s="1098"/>
      <c r="DH690" s="1098"/>
      <c r="DI690" s="1098"/>
      <c r="DJ690" s="1098"/>
      <c r="DK690" s="1098"/>
      <c r="DL690" s="1098"/>
      <c r="DM690" s="1098"/>
      <c r="DN690" s="1098"/>
      <c r="DO690" s="1098"/>
      <c r="DP690" s="1098"/>
      <c r="DQ690" s="1098"/>
      <c r="DR690" s="1098"/>
      <c r="DS690" s="1098"/>
      <c r="DT690" s="1098"/>
      <c r="DU690" s="1098"/>
      <c r="DV690" s="1098"/>
      <c r="DW690" s="1098"/>
      <c r="DX690" s="1098"/>
      <c r="DY690" s="1098"/>
      <c r="DZ690" s="1098"/>
      <c r="EA690" s="1098"/>
      <c r="EB690" s="1098"/>
      <c r="EC690" s="1098"/>
      <c r="ED690" s="1098"/>
      <c r="EE690" s="1098"/>
      <c r="EF690" s="1098"/>
      <c r="EG690" s="1098"/>
      <c r="EH690" s="1098"/>
      <c r="EI690" s="1098"/>
      <c r="EJ690" s="1098"/>
      <c r="EK690" s="1098"/>
      <c r="EL690" s="1098"/>
      <c r="EM690" s="1098"/>
      <c r="EN690" s="1098"/>
      <c r="EO690" s="1098"/>
      <c r="EP690" s="1098"/>
      <c r="EQ690" s="1098"/>
      <c r="ER690" s="1098"/>
      <c r="ES690" s="1098"/>
      <c r="ET690" s="1098"/>
      <c r="EU690" s="1098"/>
      <c r="EV690" s="1098"/>
      <c r="EW690" s="1098"/>
      <c r="EX690" s="1098"/>
      <c r="EY690" s="1098"/>
      <c r="EZ690" s="1098"/>
      <c r="FA690" s="1098"/>
      <c r="FB690" s="1098"/>
      <c r="FC690" s="1098"/>
      <c r="FD690" s="1098"/>
      <c r="FE690" s="1098"/>
      <c r="FF690" s="1098"/>
      <c r="FG690" s="1098"/>
      <c r="FH690" s="1098"/>
      <c r="FI690" s="1098"/>
      <c r="FJ690" s="1098"/>
      <c r="FK690" s="1098"/>
      <c r="FL690" s="1098"/>
      <c r="FM690" s="1098"/>
      <c r="FN690" s="1098"/>
      <c r="FO690" s="1098"/>
      <c r="FP690" s="1098"/>
      <c r="FQ690" s="1098"/>
      <c r="FR690" s="1098"/>
      <c r="FS690" s="1098"/>
      <c r="FT690" s="1098"/>
      <c r="FU690" s="1098"/>
      <c r="FV690" s="1098"/>
      <c r="FW690" s="1098"/>
      <c r="FX690" s="1098"/>
      <c r="FY690" s="1098"/>
      <c r="FZ690" s="1098"/>
      <c r="GA690" s="1098"/>
      <c r="GB690" s="1098"/>
      <c r="GC690" s="1098"/>
      <c r="GD690" s="1098"/>
      <c r="GE690" s="1098"/>
      <c r="GF690" s="1098"/>
      <c r="GG690" s="1098"/>
      <c r="GH690" s="1098"/>
      <c r="GI690" s="1098"/>
      <c r="GJ690" s="1098"/>
      <c r="GK690" s="1098"/>
      <c r="GL690" s="1098"/>
      <c r="GM690" s="1098"/>
      <c r="GN690" s="1098"/>
      <c r="GO690" s="1098"/>
      <c r="GP690" s="1098"/>
      <c r="GQ690" s="1098"/>
      <c r="GR690" s="1098"/>
      <c r="GS690" s="1098"/>
      <c r="GT690" s="1098"/>
      <c r="GU690" s="1098"/>
      <c r="GV690" s="1098"/>
      <c r="GW690" s="1098"/>
      <c r="GX690" s="1098"/>
      <c r="GY690" s="1098"/>
      <c r="GZ690" s="1098"/>
      <c r="HA690" s="1098"/>
      <c r="HB690" s="1098"/>
      <c r="HC690" s="1098"/>
      <c r="HD690" s="1098"/>
      <c r="HE690" s="1098"/>
      <c r="HF690" s="1098"/>
      <c r="HG690" s="1098"/>
      <c r="HH690" s="1098"/>
      <c r="HI690" s="1098"/>
      <c r="HJ690" s="1098"/>
      <c r="HK690" s="1098"/>
      <c r="HL690" s="1098"/>
      <c r="HM690" s="1098"/>
      <c r="HN690" s="1098"/>
      <c r="HO690" s="1098"/>
      <c r="HP690" s="1098"/>
      <c r="HQ690" s="1098"/>
      <c r="HR690" s="1098"/>
      <c r="HS690" s="1098"/>
      <c r="HT690" s="1098"/>
      <c r="HU690" s="1098"/>
      <c r="HV690" s="1098"/>
      <c r="HW690" s="1098"/>
      <c r="HX690" s="1098"/>
      <c r="HY690" s="1098"/>
      <c r="HZ690" s="1098"/>
      <c r="IA690" s="1098"/>
      <c r="IB690" s="1098"/>
      <c r="IC690" s="1098"/>
      <c r="ID690" s="1098"/>
      <c r="IE690" s="1098"/>
      <c r="IF690" s="1098"/>
      <c r="IG690" s="1098"/>
      <c r="IH690" s="1098"/>
      <c r="II690" s="1098"/>
      <c r="IJ690" s="1098"/>
      <c r="IK690" s="1098"/>
      <c r="IL690" s="1098"/>
      <c r="IM690" s="1098"/>
      <c r="IN690" s="1098"/>
      <c r="IO690" s="1098"/>
      <c r="IP690" s="1098"/>
      <c r="IQ690" s="1098"/>
      <c r="IR690" s="1098"/>
      <c r="IS690" s="1098"/>
      <c r="IT690" s="1098"/>
      <c r="IU690" s="1098"/>
      <c r="IV690" s="1098"/>
      <c r="IW690" s="1098"/>
      <c r="IX690" s="1098"/>
      <c r="IY690" s="1098"/>
      <c r="IZ690" s="1098"/>
      <c r="JA690" s="1098"/>
      <c r="JB690" s="1098"/>
      <c r="JC690" s="1098"/>
      <c r="JD690" s="1098"/>
      <c r="JE690" s="1098"/>
      <c r="JF690" s="1098"/>
      <c r="JG690" s="1098"/>
      <c r="JH690" s="1098"/>
      <c r="JI690" s="1098"/>
      <c r="JJ690" s="1098"/>
      <c r="JK690" s="1098"/>
      <c r="JL690" s="1098"/>
      <c r="JM690" s="1098"/>
      <c r="JN690" s="1098"/>
      <c r="JO690" s="1098"/>
      <c r="JP690" s="1098"/>
      <c r="JQ690" s="1098"/>
      <c r="JR690" s="1098"/>
      <c r="JS690" s="1098"/>
      <c r="JT690" s="1098"/>
      <c r="JU690" s="1098"/>
      <c r="JV690" s="1098"/>
      <c r="JW690" s="1098"/>
      <c r="JX690" s="1098"/>
      <c r="JY690" s="1098"/>
      <c r="JZ690" s="1098"/>
      <c r="KA690" s="1098"/>
      <c r="KB690" s="1099"/>
    </row>
    <row r="691" spans="2:288" ht="15" customHeight="1" x14ac:dyDescent="0.35">
      <c r="B691" s="146" t="str">
        <f t="shared" si="55"/>
        <v>Desk 61</v>
      </c>
      <c r="C691" s="148" t="str">
        <v/>
      </c>
      <c r="D691" s="148" t="str">
        <v/>
      </c>
      <c r="E691" s="148" t="str">
        <v/>
      </c>
      <c r="F691" s="148" t="str">
        <v/>
      </c>
      <c r="G691" s="268" t="str">
        <v/>
      </c>
      <c r="H691" s="1098"/>
      <c r="I691" s="1098"/>
      <c r="J691" s="1098"/>
      <c r="K691" s="1098"/>
      <c r="L691" s="1098"/>
      <c r="M691" s="1098"/>
      <c r="N691" s="1098"/>
      <c r="O691" s="1098"/>
      <c r="P691" s="1098"/>
      <c r="Q691" s="1098"/>
      <c r="R691" s="1098"/>
      <c r="S691" s="1098"/>
      <c r="T691" s="1098"/>
      <c r="U691" s="1098"/>
      <c r="V691" s="1098"/>
      <c r="W691" s="1098"/>
      <c r="X691" s="1098"/>
      <c r="Y691" s="1098"/>
      <c r="Z691" s="1098"/>
      <c r="AA691" s="1098"/>
      <c r="AB691" s="1098"/>
      <c r="AC691" s="1098"/>
      <c r="AD691" s="1098"/>
      <c r="AE691" s="1098"/>
      <c r="AF691" s="1098"/>
      <c r="AG691" s="1098"/>
      <c r="AH691" s="1098"/>
      <c r="AI691" s="1098"/>
      <c r="AJ691" s="1098"/>
      <c r="AK691" s="1098"/>
      <c r="AL691" s="1098"/>
      <c r="AM691" s="1098"/>
      <c r="AN691" s="1098"/>
      <c r="AO691" s="1098"/>
      <c r="AP691" s="1098"/>
      <c r="AQ691" s="1098"/>
      <c r="AR691" s="1098"/>
      <c r="AS691" s="1098"/>
      <c r="AT691" s="1098"/>
      <c r="AU691" s="1098"/>
      <c r="AV691" s="1098"/>
      <c r="AW691" s="1098"/>
      <c r="AX691" s="1098"/>
      <c r="AY691" s="1098"/>
      <c r="AZ691" s="1098"/>
      <c r="BA691" s="1098"/>
      <c r="BB691" s="1098"/>
      <c r="BC691" s="1098"/>
      <c r="BD691" s="1098"/>
      <c r="BE691" s="1098"/>
      <c r="BF691" s="1098"/>
      <c r="BG691" s="1098"/>
      <c r="BH691" s="1098"/>
      <c r="BI691" s="1098"/>
      <c r="BJ691" s="1098"/>
      <c r="BK691" s="1098"/>
      <c r="BL691" s="1098"/>
      <c r="BM691" s="1098"/>
      <c r="BN691" s="1098"/>
      <c r="BO691" s="1098"/>
      <c r="BP691" s="1098"/>
      <c r="BQ691" s="1098"/>
      <c r="BR691" s="1098"/>
      <c r="BS691" s="1098"/>
      <c r="BT691" s="1098"/>
      <c r="BU691" s="1098"/>
      <c r="BV691" s="1098"/>
      <c r="BW691" s="1098"/>
      <c r="BX691" s="1098"/>
      <c r="BY691" s="1098"/>
      <c r="BZ691" s="1098"/>
      <c r="CA691" s="1098"/>
      <c r="CB691" s="1098"/>
      <c r="CC691" s="1098"/>
      <c r="CD691" s="1098"/>
      <c r="CE691" s="1098"/>
      <c r="CF691" s="1098"/>
      <c r="CG691" s="1098"/>
      <c r="CH691" s="1098"/>
      <c r="CI691" s="1098"/>
      <c r="CJ691" s="1098"/>
      <c r="CK691" s="1098"/>
      <c r="CL691" s="1098"/>
      <c r="CM691" s="1098"/>
      <c r="CN691" s="1098"/>
      <c r="CO691" s="1098"/>
      <c r="CP691" s="1098"/>
      <c r="CQ691" s="1098"/>
      <c r="CR691" s="1098"/>
      <c r="CS691" s="1098"/>
      <c r="CT691" s="1098"/>
      <c r="CU691" s="1098"/>
      <c r="CV691" s="1098"/>
      <c r="CW691" s="1098"/>
      <c r="CX691" s="1098"/>
      <c r="CY691" s="1098"/>
      <c r="CZ691" s="1098"/>
      <c r="DA691" s="1098"/>
      <c r="DB691" s="1098"/>
      <c r="DC691" s="1098"/>
      <c r="DD691" s="1098"/>
      <c r="DE691" s="1098"/>
      <c r="DF691" s="1098"/>
      <c r="DG691" s="1098"/>
      <c r="DH691" s="1098"/>
      <c r="DI691" s="1098"/>
      <c r="DJ691" s="1098"/>
      <c r="DK691" s="1098"/>
      <c r="DL691" s="1098"/>
      <c r="DM691" s="1098"/>
      <c r="DN691" s="1098"/>
      <c r="DO691" s="1098"/>
      <c r="DP691" s="1098"/>
      <c r="DQ691" s="1098"/>
      <c r="DR691" s="1098"/>
      <c r="DS691" s="1098"/>
      <c r="DT691" s="1098"/>
      <c r="DU691" s="1098"/>
      <c r="DV691" s="1098"/>
      <c r="DW691" s="1098"/>
      <c r="DX691" s="1098"/>
      <c r="DY691" s="1098"/>
      <c r="DZ691" s="1098"/>
      <c r="EA691" s="1098"/>
      <c r="EB691" s="1098"/>
      <c r="EC691" s="1098"/>
      <c r="ED691" s="1098"/>
      <c r="EE691" s="1098"/>
      <c r="EF691" s="1098"/>
      <c r="EG691" s="1098"/>
      <c r="EH691" s="1098"/>
      <c r="EI691" s="1098"/>
      <c r="EJ691" s="1098"/>
      <c r="EK691" s="1098"/>
      <c r="EL691" s="1098"/>
      <c r="EM691" s="1098"/>
      <c r="EN691" s="1098"/>
      <c r="EO691" s="1098"/>
      <c r="EP691" s="1098"/>
      <c r="EQ691" s="1098"/>
      <c r="ER691" s="1098"/>
      <c r="ES691" s="1098"/>
      <c r="ET691" s="1098"/>
      <c r="EU691" s="1098"/>
      <c r="EV691" s="1098"/>
      <c r="EW691" s="1098"/>
      <c r="EX691" s="1098"/>
      <c r="EY691" s="1098"/>
      <c r="EZ691" s="1098"/>
      <c r="FA691" s="1098"/>
      <c r="FB691" s="1098"/>
      <c r="FC691" s="1098"/>
      <c r="FD691" s="1098"/>
      <c r="FE691" s="1098"/>
      <c r="FF691" s="1098"/>
      <c r="FG691" s="1098"/>
      <c r="FH691" s="1098"/>
      <c r="FI691" s="1098"/>
      <c r="FJ691" s="1098"/>
      <c r="FK691" s="1098"/>
      <c r="FL691" s="1098"/>
      <c r="FM691" s="1098"/>
      <c r="FN691" s="1098"/>
      <c r="FO691" s="1098"/>
      <c r="FP691" s="1098"/>
      <c r="FQ691" s="1098"/>
      <c r="FR691" s="1098"/>
      <c r="FS691" s="1098"/>
      <c r="FT691" s="1098"/>
      <c r="FU691" s="1098"/>
      <c r="FV691" s="1098"/>
      <c r="FW691" s="1098"/>
      <c r="FX691" s="1098"/>
      <c r="FY691" s="1098"/>
      <c r="FZ691" s="1098"/>
      <c r="GA691" s="1098"/>
      <c r="GB691" s="1098"/>
      <c r="GC691" s="1098"/>
      <c r="GD691" s="1098"/>
      <c r="GE691" s="1098"/>
      <c r="GF691" s="1098"/>
      <c r="GG691" s="1098"/>
      <c r="GH691" s="1098"/>
      <c r="GI691" s="1098"/>
      <c r="GJ691" s="1098"/>
      <c r="GK691" s="1098"/>
      <c r="GL691" s="1098"/>
      <c r="GM691" s="1098"/>
      <c r="GN691" s="1098"/>
      <c r="GO691" s="1098"/>
      <c r="GP691" s="1098"/>
      <c r="GQ691" s="1098"/>
      <c r="GR691" s="1098"/>
      <c r="GS691" s="1098"/>
      <c r="GT691" s="1098"/>
      <c r="GU691" s="1098"/>
      <c r="GV691" s="1098"/>
      <c r="GW691" s="1098"/>
      <c r="GX691" s="1098"/>
      <c r="GY691" s="1098"/>
      <c r="GZ691" s="1098"/>
      <c r="HA691" s="1098"/>
      <c r="HB691" s="1098"/>
      <c r="HC691" s="1098"/>
      <c r="HD691" s="1098"/>
      <c r="HE691" s="1098"/>
      <c r="HF691" s="1098"/>
      <c r="HG691" s="1098"/>
      <c r="HH691" s="1098"/>
      <c r="HI691" s="1098"/>
      <c r="HJ691" s="1098"/>
      <c r="HK691" s="1098"/>
      <c r="HL691" s="1098"/>
      <c r="HM691" s="1098"/>
      <c r="HN691" s="1098"/>
      <c r="HO691" s="1098"/>
      <c r="HP691" s="1098"/>
      <c r="HQ691" s="1098"/>
      <c r="HR691" s="1098"/>
      <c r="HS691" s="1098"/>
      <c r="HT691" s="1098"/>
      <c r="HU691" s="1098"/>
      <c r="HV691" s="1098"/>
      <c r="HW691" s="1098"/>
      <c r="HX691" s="1098"/>
      <c r="HY691" s="1098"/>
      <c r="HZ691" s="1098"/>
      <c r="IA691" s="1098"/>
      <c r="IB691" s="1098"/>
      <c r="IC691" s="1098"/>
      <c r="ID691" s="1098"/>
      <c r="IE691" s="1098"/>
      <c r="IF691" s="1098"/>
      <c r="IG691" s="1098"/>
      <c r="IH691" s="1098"/>
      <c r="II691" s="1098"/>
      <c r="IJ691" s="1098"/>
      <c r="IK691" s="1098"/>
      <c r="IL691" s="1098"/>
      <c r="IM691" s="1098"/>
      <c r="IN691" s="1098"/>
      <c r="IO691" s="1098"/>
      <c r="IP691" s="1098"/>
      <c r="IQ691" s="1098"/>
      <c r="IR691" s="1098"/>
      <c r="IS691" s="1098"/>
      <c r="IT691" s="1098"/>
      <c r="IU691" s="1098"/>
      <c r="IV691" s="1098"/>
      <c r="IW691" s="1098"/>
      <c r="IX691" s="1098"/>
      <c r="IY691" s="1098"/>
      <c r="IZ691" s="1098"/>
      <c r="JA691" s="1098"/>
      <c r="JB691" s="1098"/>
      <c r="JC691" s="1098"/>
      <c r="JD691" s="1098"/>
      <c r="JE691" s="1098"/>
      <c r="JF691" s="1098"/>
      <c r="JG691" s="1098"/>
      <c r="JH691" s="1098"/>
      <c r="JI691" s="1098"/>
      <c r="JJ691" s="1098"/>
      <c r="JK691" s="1098"/>
      <c r="JL691" s="1098"/>
      <c r="JM691" s="1098"/>
      <c r="JN691" s="1098"/>
      <c r="JO691" s="1098"/>
      <c r="JP691" s="1098"/>
      <c r="JQ691" s="1098"/>
      <c r="JR691" s="1098"/>
      <c r="JS691" s="1098"/>
      <c r="JT691" s="1098"/>
      <c r="JU691" s="1098"/>
      <c r="JV691" s="1098"/>
      <c r="JW691" s="1098"/>
      <c r="JX691" s="1098"/>
      <c r="JY691" s="1098"/>
      <c r="JZ691" s="1098"/>
      <c r="KA691" s="1098"/>
      <c r="KB691" s="1099"/>
    </row>
    <row r="692" spans="2:288" ht="15" customHeight="1" x14ac:dyDescent="0.35">
      <c r="B692" s="146" t="str">
        <f t="shared" si="55"/>
        <v>Desk 62</v>
      </c>
      <c r="C692" s="148" t="str">
        <v/>
      </c>
      <c r="D692" s="148" t="str">
        <v/>
      </c>
      <c r="E692" s="148" t="str">
        <v/>
      </c>
      <c r="F692" s="148" t="str">
        <v/>
      </c>
      <c r="G692" s="268" t="str">
        <v/>
      </c>
      <c r="H692" s="1098"/>
      <c r="I692" s="1098"/>
      <c r="J692" s="1098"/>
      <c r="K692" s="1098"/>
      <c r="L692" s="1098"/>
      <c r="M692" s="1098"/>
      <c r="N692" s="1098"/>
      <c r="O692" s="1098"/>
      <c r="P692" s="1098"/>
      <c r="Q692" s="1098"/>
      <c r="R692" s="1098"/>
      <c r="S692" s="1098"/>
      <c r="T692" s="1098"/>
      <c r="U692" s="1098"/>
      <c r="V692" s="1098"/>
      <c r="W692" s="1098"/>
      <c r="X692" s="1098"/>
      <c r="Y692" s="1098"/>
      <c r="Z692" s="1098"/>
      <c r="AA692" s="1098"/>
      <c r="AB692" s="1098"/>
      <c r="AC692" s="1098"/>
      <c r="AD692" s="1098"/>
      <c r="AE692" s="1098"/>
      <c r="AF692" s="1098"/>
      <c r="AG692" s="1098"/>
      <c r="AH692" s="1098"/>
      <c r="AI692" s="1098"/>
      <c r="AJ692" s="1098"/>
      <c r="AK692" s="1098"/>
      <c r="AL692" s="1098"/>
      <c r="AM692" s="1098"/>
      <c r="AN692" s="1098"/>
      <c r="AO692" s="1098"/>
      <c r="AP692" s="1098"/>
      <c r="AQ692" s="1098"/>
      <c r="AR692" s="1098"/>
      <c r="AS692" s="1098"/>
      <c r="AT692" s="1098"/>
      <c r="AU692" s="1098"/>
      <c r="AV692" s="1098"/>
      <c r="AW692" s="1098"/>
      <c r="AX692" s="1098"/>
      <c r="AY692" s="1098"/>
      <c r="AZ692" s="1098"/>
      <c r="BA692" s="1098"/>
      <c r="BB692" s="1098"/>
      <c r="BC692" s="1098"/>
      <c r="BD692" s="1098"/>
      <c r="BE692" s="1098"/>
      <c r="BF692" s="1098"/>
      <c r="BG692" s="1098"/>
      <c r="BH692" s="1098"/>
      <c r="BI692" s="1098"/>
      <c r="BJ692" s="1098"/>
      <c r="BK692" s="1098"/>
      <c r="BL692" s="1098"/>
      <c r="BM692" s="1098"/>
      <c r="BN692" s="1098"/>
      <c r="BO692" s="1098"/>
      <c r="BP692" s="1098"/>
      <c r="BQ692" s="1098"/>
      <c r="BR692" s="1098"/>
      <c r="BS692" s="1098"/>
      <c r="BT692" s="1098"/>
      <c r="BU692" s="1098"/>
      <c r="BV692" s="1098"/>
      <c r="BW692" s="1098"/>
      <c r="BX692" s="1098"/>
      <c r="BY692" s="1098"/>
      <c r="BZ692" s="1098"/>
      <c r="CA692" s="1098"/>
      <c r="CB692" s="1098"/>
      <c r="CC692" s="1098"/>
      <c r="CD692" s="1098"/>
      <c r="CE692" s="1098"/>
      <c r="CF692" s="1098"/>
      <c r="CG692" s="1098"/>
      <c r="CH692" s="1098"/>
      <c r="CI692" s="1098"/>
      <c r="CJ692" s="1098"/>
      <c r="CK692" s="1098"/>
      <c r="CL692" s="1098"/>
      <c r="CM692" s="1098"/>
      <c r="CN692" s="1098"/>
      <c r="CO692" s="1098"/>
      <c r="CP692" s="1098"/>
      <c r="CQ692" s="1098"/>
      <c r="CR692" s="1098"/>
      <c r="CS692" s="1098"/>
      <c r="CT692" s="1098"/>
      <c r="CU692" s="1098"/>
      <c r="CV692" s="1098"/>
      <c r="CW692" s="1098"/>
      <c r="CX692" s="1098"/>
      <c r="CY692" s="1098"/>
      <c r="CZ692" s="1098"/>
      <c r="DA692" s="1098"/>
      <c r="DB692" s="1098"/>
      <c r="DC692" s="1098"/>
      <c r="DD692" s="1098"/>
      <c r="DE692" s="1098"/>
      <c r="DF692" s="1098"/>
      <c r="DG692" s="1098"/>
      <c r="DH692" s="1098"/>
      <c r="DI692" s="1098"/>
      <c r="DJ692" s="1098"/>
      <c r="DK692" s="1098"/>
      <c r="DL692" s="1098"/>
      <c r="DM692" s="1098"/>
      <c r="DN692" s="1098"/>
      <c r="DO692" s="1098"/>
      <c r="DP692" s="1098"/>
      <c r="DQ692" s="1098"/>
      <c r="DR692" s="1098"/>
      <c r="DS692" s="1098"/>
      <c r="DT692" s="1098"/>
      <c r="DU692" s="1098"/>
      <c r="DV692" s="1098"/>
      <c r="DW692" s="1098"/>
      <c r="DX692" s="1098"/>
      <c r="DY692" s="1098"/>
      <c r="DZ692" s="1098"/>
      <c r="EA692" s="1098"/>
      <c r="EB692" s="1098"/>
      <c r="EC692" s="1098"/>
      <c r="ED692" s="1098"/>
      <c r="EE692" s="1098"/>
      <c r="EF692" s="1098"/>
      <c r="EG692" s="1098"/>
      <c r="EH692" s="1098"/>
      <c r="EI692" s="1098"/>
      <c r="EJ692" s="1098"/>
      <c r="EK692" s="1098"/>
      <c r="EL692" s="1098"/>
      <c r="EM692" s="1098"/>
      <c r="EN692" s="1098"/>
      <c r="EO692" s="1098"/>
      <c r="EP692" s="1098"/>
      <c r="EQ692" s="1098"/>
      <c r="ER692" s="1098"/>
      <c r="ES692" s="1098"/>
      <c r="ET692" s="1098"/>
      <c r="EU692" s="1098"/>
      <c r="EV692" s="1098"/>
      <c r="EW692" s="1098"/>
      <c r="EX692" s="1098"/>
      <c r="EY692" s="1098"/>
      <c r="EZ692" s="1098"/>
      <c r="FA692" s="1098"/>
      <c r="FB692" s="1098"/>
      <c r="FC692" s="1098"/>
      <c r="FD692" s="1098"/>
      <c r="FE692" s="1098"/>
      <c r="FF692" s="1098"/>
      <c r="FG692" s="1098"/>
      <c r="FH692" s="1098"/>
      <c r="FI692" s="1098"/>
      <c r="FJ692" s="1098"/>
      <c r="FK692" s="1098"/>
      <c r="FL692" s="1098"/>
      <c r="FM692" s="1098"/>
      <c r="FN692" s="1098"/>
      <c r="FO692" s="1098"/>
      <c r="FP692" s="1098"/>
      <c r="FQ692" s="1098"/>
      <c r="FR692" s="1098"/>
      <c r="FS692" s="1098"/>
      <c r="FT692" s="1098"/>
      <c r="FU692" s="1098"/>
      <c r="FV692" s="1098"/>
      <c r="FW692" s="1098"/>
      <c r="FX692" s="1098"/>
      <c r="FY692" s="1098"/>
      <c r="FZ692" s="1098"/>
      <c r="GA692" s="1098"/>
      <c r="GB692" s="1098"/>
      <c r="GC692" s="1098"/>
      <c r="GD692" s="1098"/>
      <c r="GE692" s="1098"/>
      <c r="GF692" s="1098"/>
      <c r="GG692" s="1098"/>
      <c r="GH692" s="1098"/>
      <c r="GI692" s="1098"/>
      <c r="GJ692" s="1098"/>
      <c r="GK692" s="1098"/>
      <c r="GL692" s="1098"/>
      <c r="GM692" s="1098"/>
      <c r="GN692" s="1098"/>
      <c r="GO692" s="1098"/>
      <c r="GP692" s="1098"/>
      <c r="GQ692" s="1098"/>
      <c r="GR692" s="1098"/>
      <c r="GS692" s="1098"/>
      <c r="GT692" s="1098"/>
      <c r="GU692" s="1098"/>
      <c r="GV692" s="1098"/>
      <c r="GW692" s="1098"/>
      <c r="GX692" s="1098"/>
      <c r="GY692" s="1098"/>
      <c r="GZ692" s="1098"/>
      <c r="HA692" s="1098"/>
      <c r="HB692" s="1098"/>
      <c r="HC692" s="1098"/>
      <c r="HD692" s="1098"/>
      <c r="HE692" s="1098"/>
      <c r="HF692" s="1098"/>
      <c r="HG692" s="1098"/>
      <c r="HH692" s="1098"/>
      <c r="HI692" s="1098"/>
      <c r="HJ692" s="1098"/>
      <c r="HK692" s="1098"/>
      <c r="HL692" s="1098"/>
      <c r="HM692" s="1098"/>
      <c r="HN692" s="1098"/>
      <c r="HO692" s="1098"/>
      <c r="HP692" s="1098"/>
      <c r="HQ692" s="1098"/>
      <c r="HR692" s="1098"/>
      <c r="HS692" s="1098"/>
      <c r="HT692" s="1098"/>
      <c r="HU692" s="1098"/>
      <c r="HV692" s="1098"/>
      <c r="HW692" s="1098"/>
      <c r="HX692" s="1098"/>
      <c r="HY692" s="1098"/>
      <c r="HZ692" s="1098"/>
      <c r="IA692" s="1098"/>
      <c r="IB692" s="1098"/>
      <c r="IC692" s="1098"/>
      <c r="ID692" s="1098"/>
      <c r="IE692" s="1098"/>
      <c r="IF692" s="1098"/>
      <c r="IG692" s="1098"/>
      <c r="IH692" s="1098"/>
      <c r="II692" s="1098"/>
      <c r="IJ692" s="1098"/>
      <c r="IK692" s="1098"/>
      <c r="IL692" s="1098"/>
      <c r="IM692" s="1098"/>
      <c r="IN692" s="1098"/>
      <c r="IO692" s="1098"/>
      <c r="IP692" s="1098"/>
      <c r="IQ692" s="1098"/>
      <c r="IR692" s="1098"/>
      <c r="IS692" s="1098"/>
      <c r="IT692" s="1098"/>
      <c r="IU692" s="1098"/>
      <c r="IV692" s="1098"/>
      <c r="IW692" s="1098"/>
      <c r="IX692" s="1098"/>
      <c r="IY692" s="1098"/>
      <c r="IZ692" s="1098"/>
      <c r="JA692" s="1098"/>
      <c r="JB692" s="1098"/>
      <c r="JC692" s="1098"/>
      <c r="JD692" s="1098"/>
      <c r="JE692" s="1098"/>
      <c r="JF692" s="1098"/>
      <c r="JG692" s="1098"/>
      <c r="JH692" s="1098"/>
      <c r="JI692" s="1098"/>
      <c r="JJ692" s="1098"/>
      <c r="JK692" s="1098"/>
      <c r="JL692" s="1098"/>
      <c r="JM692" s="1098"/>
      <c r="JN692" s="1098"/>
      <c r="JO692" s="1098"/>
      <c r="JP692" s="1098"/>
      <c r="JQ692" s="1098"/>
      <c r="JR692" s="1098"/>
      <c r="JS692" s="1098"/>
      <c r="JT692" s="1098"/>
      <c r="JU692" s="1098"/>
      <c r="JV692" s="1098"/>
      <c r="JW692" s="1098"/>
      <c r="JX692" s="1098"/>
      <c r="JY692" s="1098"/>
      <c r="JZ692" s="1098"/>
      <c r="KA692" s="1098"/>
      <c r="KB692" s="1099"/>
    </row>
    <row r="693" spans="2:288" ht="15" customHeight="1" x14ac:dyDescent="0.35">
      <c r="B693" s="146" t="str">
        <f t="shared" si="55"/>
        <v>Desk 63</v>
      </c>
      <c r="C693" s="148" t="str">
        <v/>
      </c>
      <c r="D693" s="148" t="str">
        <v/>
      </c>
      <c r="E693" s="148" t="str">
        <v/>
      </c>
      <c r="F693" s="148" t="str">
        <v/>
      </c>
      <c r="G693" s="268" t="str">
        <v/>
      </c>
      <c r="H693" s="1098"/>
      <c r="I693" s="1098"/>
      <c r="J693" s="1098"/>
      <c r="K693" s="1098"/>
      <c r="L693" s="1098"/>
      <c r="M693" s="1098"/>
      <c r="N693" s="1098"/>
      <c r="O693" s="1098"/>
      <c r="P693" s="1098"/>
      <c r="Q693" s="1098"/>
      <c r="R693" s="1098"/>
      <c r="S693" s="1098"/>
      <c r="T693" s="1098"/>
      <c r="U693" s="1098"/>
      <c r="V693" s="1098"/>
      <c r="W693" s="1098"/>
      <c r="X693" s="1098"/>
      <c r="Y693" s="1098"/>
      <c r="Z693" s="1098"/>
      <c r="AA693" s="1098"/>
      <c r="AB693" s="1098"/>
      <c r="AC693" s="1098"/>
      <c r="AD693" s="1098"/>
      <c r="AE693" s="1098"/>
      <c r="AF693" s="1098"/>
      <c r="AG693" s="1098"/>
      <c r="AH693" s="1098"/>
      <c r="AI693" s="1098"/>
      <c r="AJ693" s="1098"/>
      <c r="AK693" s="1098"/>
      <c r="AL693" s="1098"/>
      <c r="AM693" s="1098"/>
      <c r="AN693" s="1098"/>
      <c r="AO693" s="1098"/>
      <c r="AP693" s="1098"/>
      <c r="AQ693" s="1098"/>
      <c r="AR693" s="1098"/>
      <c r="AS693" s="1098"/>
      <c r="AT693" s="1098"/>
      <c r="AU693" s="1098"/>
      <c r="AV693" s="1098"/>
      <c r="AW693" s="1098"/>
      <c r="AX693" s="1098"/>
      <c r="AY693" s="1098"/>
      <c r="AZ693" s="1098"/>
      <c r="BA693" s="1098"/>
      <c r="BB693" s="1098"/>
      <c r="BC693" s="1098"/>
      <c r="BD693" s="1098"/>
      <c r="BE693" s="1098"/>
      <c r="BF693" s="1098"/>
      <c r="BG693" s="1098"/>
      <c r="BH693" s="1098"/>
      <c r="BI693" s="1098"/>
      <c r="BJ693" s="1098"/>
      <c r="BK693" s="1098"/>
      <c r="BL693" s="1098"/>
      <c r="BM693" s="1098"/>
      <c r="BN693" s="1098"/>
      <c r="BO693" s="1098"/>
      <c r="BP693" s="1098"/>
      <c r="BQ693" s="1098"/>
      <c r="BR693" s="1098"/>
      <c r="BS693" s="1098"/>
      <c r="BT693" s="1098"/>
      <c r="BU693" s="1098"/>
      <c r="BV693" s="1098"/>
      <c r="BW693" s="1098"/>
      <c r="BX693" s="1098"/>
      <c r="BY693" s="1098"/>
      <c r="BZ693" s="1098"/>
      <c r="CA693" s="1098"/>
      <c r="CB693" s="1098"/>
      <c r="CC693" s="1098"/>
      <c r="CD693" s="1098"/>
      <c r="CE693" s="1098"/>
      <c r="CF693" s="1098"/>
      <c r="CG693" s="1098"/>
      <c r="CH693" s="1098"/>
      <c r="CI693" s="1098"/>
      <c r="CJ693" s="1098"/>
      <c r="CK693" s="1098"/>
      <c r="CL693" s="1098"/>
      <c r="CM693" s="1098"/>
      <c r="CN693" s="1098"/>
      <c r="CO693" s="1098"/>
      <c r="CP693" s="1098"/>
      <c r="CQ693" s="1098"/>
      <c r="CR693" s="1098"/>
      <c r="CS693" s="1098"/>
      <c r="CT693" s="1098"/>
      <c r="CU693" s="1098"/>
      <c r="CV693" s="1098"/>
      <c r="CW693" s="1098"/>
      <c r="CX693" s="1098"/>
      <c r="CY693" s="1098"/>
      <c r="CZ693" s="1098"/>
      <c r="DA693" s="1098"/>
      <c r="DB693" s="1098"/>
      <c r="DC693" s="1098"/>
      <c r="DD693" s="1098"/>
      <c r="DE693" s="1098"/>
      <c r="DF693" s="1098"/>
      <c r="DG693" s="1098"/>
      <c r="DH693" s="1098"/>
      <c r="DI693" s="1098"/>
      <c r="DJ693" s="1098"/>
      <c r="DK693" s="1098"/>
      <c r="DL693" s="1098"/>
      <c r="DM693" s="1098"/>
      <c r="DN693" s="1098"/>
      <c r="DO693" s="1098"/>
      <c r="DP693" s="1098"/>
      <c r="DQ693" s="1098"/>
      <c r="DR693" s="1098"/>
      <c r="DS693" s="1098"/>
      <c r="DT693" s="1098"/>
      <c r="DU693" s="1098"/>
      <c r="DV693" s="1098"/>
      <c r="DW693" s="1098"/>
      <c r="DX693" s="1098"/>
      <c r="DY693" s="1098"/>
      <c r="DZ693" s="1098"/>
      <c r="EA693" s="1098"/>
      <c r="EB693" s="1098"/>
      <c r="EC693" s="1098"/>
      <c r="ED693" s="1098"/>
      <c r="EE693" s="1098"/>
      <c r="EF693" s="1098"/>
      <c r="EG693" s="1098"/>
      <c r="EH693" s="1098"/>
      <c r="EI693" s="1098"/>
      <c r="EJ693" s="1098"/>
      <c r="EK693" s="1098"/>
      <c r="EL693" s="1098"/>
      <c r="EM693" s="1098"/>
      <c r="EN693" s="1098"/>
      <c r="EO693" s="1098"/>
      <c r="EP693" s="1098"/>
      <c r="EQ693" s="1098"/>
      <c r="ER693" s="1098"/>
      <c r="ES693" s="1098"/>
      <c r="ET693" s="1098"/>
      <c r="EU693" s="1098"/>
      <c r="EV693" s="1098"/>
      <c r="EW693" s="1098"/>
      <c r="EX693" s="1098"/>
      <c r="EY693" s="1098"/>
      <c r="EZ693" s="1098"/>
      <c r="FA693" s="1098"/>
      <c r="FB693" s="1098"/>
      <c r="FC693" s="1098"/>
      <c r="FD693" s="1098"/>
      <c r="FE693" s="1098"/>
      <c r="FF693" s="1098"/>
      <c r="FG693" s="1098"/>
      <c r="FH693" s="1098"/>
      <c r="FI693" s="1098"/>
      <c r="FJ693" s="1098"/>
      <c r="FK693" s="1098"/>
      <c r="FL693" s="1098"/>
      <c r="FM693" s="1098"/>
      <c r="FN693" s="1098"/>
      <c r="FO693" s="1098"/>
      <c r="FP693" s="1098"/>
      <c r="FQ693" s="1098"/>
      <c r="FR693" s="1098"/>
      <c r="FS693" s="1098"/>
      <c r="FT693" s="1098"/>
      <c r="FU693" s="1098"/>
      <c r="FV693" s="1098"/>
      <c r="FW693" s="1098"/>
      <c r="FX693" s="1098"/>
      <c r="FY693" s="1098"/>
      <c r="FZ693" s="1098"/>
      <c r="GA693" s="1098"/>
      <c r="GB693" s="1098"/>
      <c r="GC693" s="1098"/>
      <c r="GD693" s="1098"/>
      <c r="GE693" s="1098"/>
      <c r="GF693" s="1098"/>
      <c r="GG693" s="1098"/>
      <c r="GH693" s="1098"/>
      <c r="GI693" s="1098"/>
      <c r="GJ693" s="1098"/>
      <c r="GK693" s="1098"/>
      <c r="GL693" s="1098"/>
      <c r="GM693" s="1098"/>
      <c r="GN693" s="1098"/>
      <c r="GO693" s="1098"/>
      <c r="GP693" s="1098"/>
      <c r="GQ693" s="1098"/>
      <c r="GR693" s="1098"/>
      <c r="GS693" s="1098"/>
      <c r="GT693" s="1098"/>
      <c r="GU693" s="1098"/>
      <c r="GV693" s="1098"/>
      <c r="GW693" s="1098"/>
      <c r="GX693" s="1098"/>
      <c r="GY693" s="1098"/>
      <c r="GZ693" s="1098"/>
      <c r="HA693" s="1098"/>
      <c r="HB693" s="1098"/>
      <c r="HC693" s="1098"/>
      <c r="HD693" s="1098"/>
      <c r="HE693" s="1098"/>
      <c r="HF693" s="1098"/>
      <c r="HG693" s="1098"/>
      <c r="HH693" s="1098"/>
      <c r="HI693" s="1098"/>
      <c r="HJ693" s="1098"/>
      <c r="HK693" s="1098"/>
      <c r="HL693" s="1098"/>
      <c r="HM693" s="1098"/>
      <c r="HN693" s="1098"/>
      <c r="HO693" s="1098"/>
      <c r="HP693" s="1098"/>
      <c r="HQ693" s="1098"/>
      <c r="HR693" s="1098"/>
      <c r="HS693" s="1098"/>
      <c r="HT693" s="1098"/>
      <c r="HU693" s="1098"/>
      <c r="HV693" s="1098"/>
      <c r="HW693" s="1098"/>
      <c r="HX693" s="1098"/>
      <c r="HY693" s="1098"/>
      <c r="HZ693" s="1098"/>
      <c r="IA693" s="1098"/>
      <c r="IB693" s="1098"/>
      <c r="IC693" s="1098"/>
      <c r="ID693" s="1098"/>
      <c r="IE693" s="1098"/>
      <c r="IF693" s="1098"/>
      <c r="IG693" s="1098"/>
      <c r="IH693" s="1098"/>
      <c r="II693" s="1098"/>
      <c r="IJ693" s="1098"/>
      <c r="IK693" s="1098"/>
      <c r="IL693" s="1098"/>
      <c r="IM693" s="1098"/>
      <c r="IN693" s="1098"/>
      <c r="IO693" s="1098"/>
      <c r="IP693" s="1098"/>
      <c r="IQ693" s="1098"/>
      <c r="IR693" s="1098"/>
      <c r="IS693" s="1098"/>
      <c r="IT693" s="1098"/>
      <c r="IU693" s="1098"/>
      <c r="IV693" s="1098"/>
      <c r="IW693" s="1098"/>
      <c r="IX693" s="1098"/>
      <c r="IY693" s="1098"/>
      <c r="IZ693" s="1098"/>
      <c r="JA693" s="1098"/>
      <c r="JB693" s="1098"/>
      <c r="JC693" s="1098"/>
      <c r="JD693" s="1098"/>
      <c r="JE693" s="1098"/>
      <c r="JF693" s="1098"/>
      <c r="JG693" s="1098"/>
      <c r="JH693" s="1098"/>
      <c r="JI693" s="1098"/>
      <c r="JJ693" s="1098"/>
      <c r="JK693" s="1098"/>
      <c r="JL693" s="1098"/>
      <c r="JM693" s="1098"/>
      <c r="JN693" s="1098"/>
      <c r="JO693" s="1098"/>
      <c r="JP693" s="1098"/>
      <c r="JQ693" s="1098"/>
      <c r="JR693" s="1098"/>
      <c r="JS693" s="1098"/>
      <c r="JT693" s="1098"/>
      <c r="JU693" s="1098"/>
      <c r="JV693" s="1098"/>
      <c r="JW693" s="1098"/>
      <c r="JX693" s="1098"/>
      <c r="JY693" s="1098"/>
      <c r="JZ693" s="1098"/>
      <c r="KA693" s="1098"/>
      <c r="KB693" s="1099"/>
    </row>
    <row r="694" spans="2:288" ht="15" customHeight="1" x14ac:dyDescent="0.35">
      <c r="B694" s="146" t="str">
        <f t="shared" si="55"/>
        <v>Desk 64</v>
      </c>
      <c r="C694" s="148" t="str">
        <v/>
      </c>
      <c r="D694" s="148" t="str">
        <v/>
      </c>
      <c r="E694" s="148" t="str">
        <v/>
      </c>
      <c r="F694" s="148" t="str">
        <v/>
      </c>
      <c r="G694" s="268" t="str">
        <v/>
      </c>
      <c r="H694" s="1098"/>
      <c r="I694" s="1098"/>
      <c r="J694" s="1098"/>
      <c r="K694" s="1098"/>
      <c r="L694" s="1098"/>
      <c r="M694" s="1098"/>
      <c r="N694" s="1098"/>
      <c r="O694" s="1098"/>
      <c r="P694" s="1098"/>
      <c r="Q694" s="1098"/>
      <c r="R694" s="1098"/>
      <c r="S694" s="1098"/>
      <c r="T694" s="1098"/>
      <c r="U694" s="1098"/>
      <c r="V694" s="1098"/>
      <c r="W694" s="1098"/>
      <c r="X694" s="1098"/>
      <c r="Y694" s="1098"/>
      <c r="Z694" s="1098"/>
      <c r="AA694" s="1098"/>
      <c r="AB694" s="1098"/>
      <c r="AC694" s="1098"/>
      <c r="AD694" s="1098"/>
      <c r="AE694" s="1098"/>
      <c r="AF694" s="1098"/>
      <c r="AG694" s="1098"/>
      <c r="AH694" s="1098"/>
      <c r="AI694" s="1098"/>
      <c r="AJ694" s="1098"/>
      <c r="AK694" s="1098"/>
      <c r="AL694" s="1098"/>
      <c r="AM694" s="1098"/>
      <c r="AN694" s="1098"/>
      <c r="AO694" s="1098"/>
      <c r="AP694" s="1098"/>
      <c r="AQ694" s="1098"/>
      <c r="AR694" s="1098"/>
      <c r="AS694" s="1098"/>
      <c r="AT694" s="1098"/>
      <c r="AU694" s="1098"/>
      <c r="AV694" s="1098"/>
      <c r="AW694" s="1098"/>
      <c r="AX694" s="1098"/>
      <c r="AY694" s="1098"/>
      <c r="AZ694" s="1098"/>
      <c r="BA694" s="1098"/>
      <c r="BB694" s="1098"/>
      <c r="BC694" s="1098"/>
      <c r="BD694" s="1098"/>
      <c r="BE694" s="1098"/>
      <c r="BF694" s="1098"/>
      <c r="BG694" s="1098"/>
      <c r="BH694" s="1098"/>
      <c r="BI694" s="1098"/>
      <c r="BJ694" s="1098"/>
      <c r="BK694" s="1098"/>
      <c r="BL694" s="1098"/>
      <c r="BM694" s="1098"/>
      <c r="BN694" s="1098"/>
      <c r="BO694" s="1098"/>
      <c r="BP694" s="1098"/>
      <c r="BQ694" s="1098"/>
      <c r="BR694" s="1098"/>
      <c r="BS694" s="1098"/>
      <c r="BT694" s="1098"/>
      <c r="BU694" s="1098"/>
      <c r="BV694" s="1098"/>
      <c r="BW694" s="1098"/>
      <c r="BX694" s="1098"/>
      <c r="BY694" s="1098"/>
      <c r="BZ694" s="1098"/>
      <c r="CA694" s="1098"/>
      <c r="CB694" s="1098"/>
      <c r="CC694" s="1098"/>
      <c r="CD694" s="1098"/>
      <c r="CE694" s="1098"/>
      <c r="CF694" s="1098"/>
      <c r="CG694" s="1098"/>
      <c r="CH694" s="1098"/>
      <c r="CI694" s="1098"/>
      <c r="CJ694" s="1098"/>
      <c r="CK694" s="1098"/>
      <c r="CL694" s="1098"/>
      <c r="CM694" s="1098"/>
      <c r="CN694" s="1098"/>
      <c r="CO694" s="1098"/>
      <c r="CP694" s="1098"/>
      <c r="CQ694" s="1098"/>
      <c r="CR694" s="1098"/>
      <c r="CS694" s="1098"/>
      <c r="CT694" s="1098"/>
      <c r="CU694" s="1098"/>
      <c r="CV694" s="1098"/>
      <c r="CW694" s="1098"/>
      <c r="CX694" s="1098"/>
      <c r="CY694" s="1098"/>
      <c r="CZ694" s="1098"/>
      <c r="DA694" s="1098"/>
      <c r="DB694" s="1098"/>
      <c r="DC694" s="1098"/>
      <c r="DD694" s="1098"/>
      <c r="DE694" s="1098"/>
      <c r="DF694" s="1098"/>
      <c r="DG694" s="1098"/>
      <c r="DH694" s="1098"/>
      <c r="DI694" s="1098"/>
      <c r="DJ694" s="1098"/>
      <c r="DK694" s="1098"/>
      <c r="DL694" s="1098"/>
      <c r="DM694" s="1098"/>
      <c r="DN694" s="1098"/>
      <c r="DO694" s="1098"/>
      <c r="DP694" s="1098"/>
      <c r="DQ694" s="1098"/>
      <c r="DR694" s="1098"/>
      <c r="DS694" s="1098"/>
      <c r="DT694" s="1098"/>
      <c r="DU694" s="1098"/>
      <c r="DV694" s="1098"/>
      <c r="DW694" s="1098"/>
      <c r="DX694" s="1098"/>
      <c r="DY694" s="1098"/>
      <c r="DZ694" s="1098"/>
      <c r="EA694" s="1098"/>
      <c r="EB694" s="1098"/>
      <c r="EC694" s="1098"/>
      <c r="ED694" s="1098"/>
      <c r="EE694" s="1098"/>
      <c r="EF694" s="1098"/>
      <c r="EG694" s="1098"/>
      <c r="EH694" s="1098"/>
      <c r="EI694" s="1098"/>
      <c r="EJ694" s="1098"/>
      <c r="EK694" s="1098"/>
      <c r="EL694" s="1098"/>
      <c r="EM694" s="1098"/>
      <c r="EN694" s="1098"/>
      <c r="EO694" s="1098"/>
      <c r="EP694" s="1098"/>
      <c r="EQ694" s="1098"/>
      <c r="ER694" s="1098"/>
      <c r="ES694" s="1098"/>
      <c r="ET694" s="1098"/>
      <c r="EU694" s="1098"/>
      <c r="EV694" s="1098"/>
      <c r="EW694" s="1098"/>
      <c r="EX694" s="1098"/>
      <c r="EY694" s="1098"/>
      <c r="EZ694" s="1098"/>
      <c r="FA694" s="1098"/>
      <c r="FB694" s="1098"/>
      <c r="FC694" s="1098"/>
      <c r="FD694" s="1098"/>
      <c r="FE694" s="1098"/>
      <c r="FF694" s="1098"/>
      <c r="FG694" s="1098"/>
      <c r="FH694" s="1098"/>
      <c r="FI694" s="1098"/>
      <c r="FJ694" s="1098"/>
      <c r="FK694" s="1098"/>
      <c r="FL694" s="1098"/>
      <c r="FM694" s="1098"/>
      <c r="FN694" s="1098"/>
      <c r="FO694" s="1098"/>
      <c r="FP694" s="1098"/>
      <c r="FQ694" s="1098"/>
      <c r="FR694" s="1098"/>
      <c r="FS694" s="1098"/>
      <c r="FT694" s="1098"/>
      <c r="FU694" s="1098"/>
      <c r="FV694" s="1098"/>
      <c r="FW694" s="1098"/>
      <c r="FX694" s="1098"/>
      <c r="FY694" s="1098"/>
      <c r="FZ694" s="1098"/>
      <c r="GA694" s="1098"/>
      <c r="GB694" s="1098"/>
      <c r="GC694" s="1098"/>
      <c r="GD694" s="1098"/>
      <c r="GE694" s="1098"/>
      <c r="GF694" s="1098"/>
      <c r="GG694" s="1098"/>
      <c r="GH694" s="1098"/>
      <c r="GI694" s="1098"/>
      <c r="GJ694" s="1098"/>
      <c r="GK694" s="1098"/>
      <c r="GL694" s="1098"/>
      <c r="GM694" s="1098"/>
      <c r="GN694" s="1098"/>
      <c r="GO694" s="1098"/>
      <c r="GP694" s="1098"/>
      <c r="GQ694" s="1098"/>
      <c r="GR694" s="1098"/>
      <c r="GS694" s="1098"/>
      <c r="GT694" s="1098"/>
      <c r="GU694" s="1098"/>
      <c r="GV694" s="1098"/>
      <c r="GW694" s="1098"/>
      <c r="GX694" s="1098"/>
      <c r="GY694" s="1098"/>
      <c r="GZ694" s="1098"/>
      <c r="HA694" s="1098"/>
      <c r="HB694" s="1098"/>
      <c r="HC694" s="1098"/>
      <c r="HD694" s="1098"/>
      <c r="HE694" s="1098"/>
      <c r="HF694" s="1098"/>
      <c r="HG694" s="1098"/>
      <c r="HH694" s="1098"/>
      <c r="HI694" s="1098"/>
      <c r="HJ694" s="1098"/>
      <c r="HK694" s="1098"/>
      <c r="HL694" s="1098"/>
      <c r="HM694" s="1098"/>
      <c r="HN694" s="1098"/>
      <c r="HO694" s="1098"/>
      <c r="HP694" s="1098"/>
      <c r="HQ694" s="1098"/>
      <c r="HR694" s="1098"/>
      <c r="HS694" s="1098"/>
      <c r="HT694" s="1098"/>
      <c r="HU694" s="1098"/>
      <c r="HV694" s="1098"/>
      <c r="HW694" s="1098"/>
      <c r="HX694" s="1098"/>
      <c r="HY694" s="1098"/>
      <c r="HZ694" s="1098"/>
      <c r="IA694" s="1098"/>
      <c r="IB694" s="1098"/>
      <c r="IC694" s="1098"/>
      <c r="ID694" s="1098"/>
      <c r="IE694" s="1098"/>
      <c r="IF694" s="1098"/>
      <c r="IG694" s="1098"/>
      <c r="IH694" s="1098"/>
      <c r="II694" s="1098"/>
      <c r="IJ694" s="1098"/>
      <c r="IK694" s="1098"/>
      <c r="IL694" s="1098"/>
      <c r="IM694" s="1098"/>
      <c r="IN694" s="1098"/>
      <c r="IO694" s="1098"/>
      <c r="IP694" s="1098"/>
      <c r="IQ694" s="1098"/>
      <c r="IR694" s="1098"/>
      <c r="IS694" s="1098"/>
      <c r="IT694" s="1098"/>
      <c r="IU694" s="1098"/>
      <c r="IV694" s="1098"/>
      <c r="IW694" s="1098"/>
      <c r="IX694" s="1098"/>
      <c r="IY694" s="1098"/>
      <c r="IZ694" s="1098"/>
      <c r="JA694" s="1098"/>
      <c r="JB694" s="1098"/>
      <c r="JC694" s="1098"/>
      <c r="JD694" s="1098"/>
      <c r="JE694" s="1098"/>
      <c r="JF694" s="1098"/>
      <c r="JG694" s="1098"/>
      <c r="JH694" s="1098"/>
      <c r="JI694" s="1098"/>
      <c r="JJ694" s="1098"/>
      <c r="JK694" s="1098"/>
      <c r="JL694" s="1098"/>
      <c r="JM694" s="1098"/>
      <c r="JN694" s="1098"/>
      <c r="JO694" s="1098"/>
      <c r="JP694" s="1098"/>
      <c r="JQ694" s="1098"/>
      <c r="JR694" s="1098"/>
      <c r="JS694" s="1098"/>
      <c r="JT694" s="1098"/>
      <c r="JU694" s="1098"/>
      <c r="JV694" s="1098"/>
      <c r="JW694" s="1098"/>
      <c r="JX694" s="1098"/>
      <c r="JY694" s="1098"/>
      <c r="JZ694" s="1098"/>
      <c r="KA694" s="1098"/>
      <c r="KB694" s="1099"/>
    </row>
    <row r="695" spans="2:288" ht="15" customHeight="1" x14ac:dyDescent="0.35">
      <c r="B695" s="146" t="str">
        <f t="shared" ref="B695:B726" si="56">B75</f>
        <v>Desk 65</v>
      </c>
      <c r="C695" s="148" t="str">
        <v/>
      </c>
      <c r="D695" s="148" t="str">
        <v/>
      </c>
      <c r="E695" s="148" t="str">
        <v/>
      </c>
      <c r="F695" s="148" t="str">
        <v/>
      </c>
      <c r="G695" s="268" t="str">
        <v/>
      </c>
      <c r="H695" s="1098"/>
      <c r="I695" s="1098"/>
      <c r="J695" s="1098"/>
      <c r="K695" s="1098"/>
      <c r="L695" s="1098"/>
      <c r="M695" s="1098"/>
      <c r="N695" s="1098"/>
      <c r="O695" s="1098"/>
      <c r="P695" s="1098"/>
      <c r="Q695" s="1098"/>
      <c r="R695" s="1098"/>
      <c r="S695" s="1098"/>
      <c r="T695" s="1098"/>
      <c r="U695" s="1098"/>
      <c r="V695" s="1098"/>
      <c r="W695" s="1098"/>
      <c r="X695" s="1098"/>
      <c r="Y695" s="1098"/>
      <c r="Z695" s="1098"/>
      <c r="AA695" s="1098"/>
      <c r="AB695" s="1098"/>
      <c r="AC695" s="1098"/>
      <c r="AD695" s="1098"/>
      <c r="AE695" s="1098"/>
      <c r="AF695" s="1098"/>
      <c r="AG695" s="1098"/>
      <c r="AH695" s="1098"/>
      <c r="AI695" s="1098"/>
      <c r="AJ695" s="1098"/>
      <c r="AK695" s="1098"/>
      <c r="AL695" s="1098"/>
      <c r="AM695" s="1098"/>
      <c r="AN695" s="1098"/>
      <c r="AO695" s="1098"/>
      <c r="AP695" s="1098"/>
      <c r="AQ695" s="1098"/>
      <c r="AR695" s="1098"/>
      <c r="AS695" s="1098"/>
      <c r="AT695" s="1098"/>
      <c r="AU695" s="1098"/>
      <c r="AV695" s="1098"/>
      <c r="AW695" s="1098"/>
      <c r="AX695" s="1098"/>
      <c r="AY695" s="1098"/>
      <c r="AZ695" s="1098"/>
      <c r="BA695" s="1098"/>
      <c r="BB695" s="1098"/>
      <c r="BC695" s="1098"/>
      <c r="BD695" s="1098"/>
      <c r="BE695" s="1098"/>
      <c r="BF695" s="1098"/>
      <c r="BG695" s="1098"/>
      <c r="BH695" s="1098"/>
      <c r="BI695" s="1098"/>
      <c r="BJ695" s="1098"/>
      <c r="BK695" s="1098"/>
      <c r="BL695" s="1098"/>
      <c r="BM695" s="1098"/>
      <c r="BN695" s="1098"/>
      <c r="BO695" s="1098"/>
      <c r="BP695" s="1098"/>
      <c r="BQ695" s="1098"/>
      <c r="BR695" s="1098"/>
      <c r="BS695" s="1098"/>
      <c r="BT695" s="1098"/>
      <c r="BU695" s="1098"/>
      <c r="BV695" s="1098"/>
      <c r="BW695" s="1098"/>
      <c r="BX695" s="1098"/>
      <c r="BY695" s="1098"/>
      <c r="BZ695" s="1098"/>
      <c r="CA695" s="1098"/>
      <c r="CB695" s="1098"/>
      <c r="CC695" s="1098"/>
      <c r="CD695" s="1098"/>
      <c r="CE695" s="1098"/>
      <c r="CF695" s="1098"/>
      <c r="CG695" s="1098"/>
      <c r="CH695" s="1098"/>
      <c r="CI695" s="1098"/>
      <c r="CJ695" s="1098"/>
      <c r="CK695" s="1098"/>
      <c r="CL695" s="1098"/>
      <c r="CM695" s="1098"/>
      <c r="CN695" s="1098"/>
      <c r="CO695" s="1098"/>
      <c r="CP695" s="1098"/>
      <c r="CQ695" s="1098"/>
      <c r="CR695" s="1098"/>
      <c r="CS695" s="1098"/>
      <c r="CT695" s="1098"/>
      <c r="CU695" s="1098"/>
      <c r="CV695" s="1098"/>
      <c r="CW695" s="1098"/>
      <c r="CX695" s="1098"/>
      <c r="CY695" s="1098"/>
      <c r="CZ695" s="1098"/>
      <c r="DA695" s="1098"/>
      <c r="DB695" s="1098"/>
      <c r="DC695" s="1098"/>
      <c r="DD695" s="1098"/>
      <c r="DE695" s="1098"/>
      <c r="DF695" s="1098"/>
      <c r="DG695" s="1098"/>
      <c r="DH695" s="1098"/>
      <c r="DI695" s="1098"/>
      <c r="DJ695" s="1098"/>
      <c r="DK695" s="1098"/>
      <c r="DL695" s="1098"/>
      <c r="DM695" s="1098"/>
      <c r="DN695" s="1098"/>
      <c r="DO695" s="1098"/>
      <c r="DP695" s="1098"/>
      <c r="DQ695" s="1098"/>
      <c r="DR695" s="1098"/>
      <c r="DS695" s="1098"/>
      <c r="DT695" s="1098"/>
      <c r="DU695" s="1098"/>
      <c r="DV695" s="1098"/>
      <c r="DW695" s="1098"/>
      <c r="DX695" s="1098"/>
      <c r="DY695" s="1098"/>
      <c r="DZ695" s="1098"/>
      <c r="EA695" s="1098"/>
      <c r="EB695" s="1098"/>
      <c r="EC695" s="1098"/>
      <c r="ED695" s="1098"/>
      <c r="EE695" s="1098"/>
      <c r="EF695" s="1098"/>
      <c r="EG695" s="1098"/>
      <c r="EH695" s="1098"/>
      <c r="EI695" s="1098"/>
      <c r="EJ695" s="1098"/>
      <c r="EK695" s="1098"/>
      <c r="EL695" s="1098"/>
      <c r="EM695" s="1098"/>
      <c r="EN695" s="1098"/>
      <c r="EO695" s="1098"/>
      <c r="EP695" s="1098"/>
      <c r="EQ695" s="1098"/>
      <c r="ER695" s="1098"/>
      <c r="ES695" s="1098"/>
      <c r="ET695" s="1098"/>
      <c r="EU695" s="1098"/>
      <c r="EV695" s="1098"/>
      <c r="EW695" s="1098"/>
      <c r="EX695" s="1098"/>
      <c r="EY695" s="1098"/>
      <c r="EZ695" s="1098"/>
      <c r="FA695" s="1098"/>
      <c r="FB695" s="1098"/>
      <c r="FC695" s="1098"/>
      <c r="FD695" s="1098"/>
      <c r="FE695" s="1098"/>
      <c r="FF695" s="1098"/>
      <c r="FG695" s="1098"/>
      <c r="FH695" s="1098"/>
      <c r="FI695" s="1098"/>
      <c r="FJ695" s="1098"/>
      <c r="FK695" s="1098"/>
      <c r="FL695" s="1098"/>
      <c r="FM695" s="1098"/>
      <c r="FN695" s="1098"/>
      <c r="FO695" s="1098"/>
      <c r="FP695" s="1098"/>
      <c r="FQ695" s="1098"/>
      <c r="FR695" s="1098"/>
      <c r="FS695" s="1098"/>
      <c r="FT695" s="1098"/>
      <c r="FU695" s="1098"/>
      <c r="FV695" s="1098"/>
      <c r="FW695" s="1098"/>
      <c r="FX695" s="1098"/>
      <c r="FY695" s="1098"/>
      <c r="FZ695" s="1098"/>
      <c r="GA695" s="1098"/>
      <c r="GB695" s="1098"/>
      <c r="GC695" s="1098"/>
      <c r="GD695" s="1098"/>
      <c r="GE695" s="1098"/>
      <c r="GF695" s="1098"/>
      <c r="GG695" s="1098"/>
      <c r="GH695" s="1098"/>
      <c r="GI695" s="1098"/>
      <c r="GJ695" s="1098"/>
      <c r="GK695" s="1098"/>
      <c r="GL695" s="1098"/>
      <c r="GM695" s="1098"/>
      <c r="GN695" s="1098"/>
      <c r="GO695" s="1098"/>
      <c r="GP695" s="1098"/>
      <c r="GQ695" s="1098"/>
      <c r="GR695" s="1098"/>
      <c r="GS695" s="1098"/>
      <c r="GT695" s="1098"/>
      <c r="GU695" s="1098"/>
      <c r="GV695" s="1098"/>
      <c r="GW695" s="1098"/>
      <c r="GX695" s="1098"/>
      <c r="GY695" s="1098"/>
      <c r="GZ695" s="1098"/>
      <c r="HA695" s="1098"/>
      <c r="HB695" s="1098"/>
      <c r="HC695" s="1098"/>
      <c r="HD695" s="1098"/>
      <c r="HE695" s="1098"/>
      <c r="HF695" s="1098"/>
      <c r="HG695" s="1098"/>
      <c r="HH695" s="1098"/>
      <c r="HI695" s="1098"/>
      <c r="HJ695" s="1098"/>
      <c r="HK695" s="1098"/>
      <c r="HL695" s="1098"/>
      <c r="HM695" s="1098"/>
      <c r="HN695" s="1098"/>
      <c r="HO695" s="1098"/>
      <c r="HP695" s="1098"/>
      <c r="HQ695" s="1098"/>
      <c r="HR695" s="1098"/>
      <c r="HS695" s="1098"/>
      <c r="HT695" s="1098"/>
      <c r="HU695" s="1098"/>
      <c r="HV695" s="1098"/>
      <c r="HW695" s="1098"/>
      <c r="HX695" s="1098"/>
      <c r="HY695" s="1098"/>
      <c r="HZ695" s="1098"/>
      <c r="IA695" s="1098"/>
      <c r="IB695" s="1098"/>
      <c r="IC695" s="1098"/>
      <c r="ID695" s="1098"/>
      <c r="IE695" s="1098"/>
      <c r="IF695" s="1098"/>
      <c r="IG695" s="1098"/>
      <c r="IH695" s="1098"/>
      <c r="II695" s="1098"/>
      <c r="IJ695" s="1098"/>
      <c r="IK695" s="1098"/>
      <c r="IL695" s="1098"/>
      <c r="IM695" s="1098"/>
      <c r="IN695" s="1098"/>
      <c r="IO695" s="1098"/>
      <c r="IP695" s="1098"/>
      <c r="IQ695" s="1098"/>
      <c r="IR695" s="1098"/>
      <c r="IS695" s="1098"/>
      <c r="IT695" s="1098"/>
      <c r="IU695" s="1098"/>
      <c r="IV695" s="1098"/>
      <c r="IW695" s="1098"/>
      <c r="IX695" s="1098"/>
      <c r="IY695" s="1098"/>
      <c r="IZ695" s="1098"/>
      <c r="JA695" s="1098"/>
      <c r="JB695" s="1098"/>
      <c r="JC695" s="1098"/>
      <c r="JD695" s="1098"/>
      <c r="JE695" s="1098"/>
      <c r="JF695" s="1098"/>
      <c r="JG695" s="1098"/>
      <c r="JH695" s="1098"/>
      <c r="JI695" s="1098"/>
      <c r="JJ695" s="1098"/>
      <c r="JK695" s="1098"/>
      <c r="JL695" s="1098"/>
      <c r="JM695" s="1098"/>
      <c r="JN695" s="1098"/>
      <c r="JO695" s="1098"/>
      <c r="JP695" s="1098"/>
      <c r="JQ695" s="1098"/>
      <c r="JR695" s="1098"/>
      <c r="JS695" s="1098"/>
      <c r="JT695" s="1098"/>
      <c r="JU695" s="1098"/>
      <c r="JV695" s="1098"/>
      <c r="JW695" s="1098"/>
      <c r="JX695" s="1098"/>
      <c r="JY695" s="1098"/>
      <c r="JZ695" s="1098"/>
      <c r="KA695" s="1098"/>
      <c r="KB695" s="1099"/>
    </row>
    <row r="696" spans="2:288" ht="15" customHeight="1" x14ac:dyDescent="0.35">
      <c r="B696" s="146" t="str">
        <f t="shared" si="56"/>
        <v>Desk 66</v>
      </c>
      <c r="C696" s="148" t="str">
        <v/>
      </c>
      <c r="D696" s="148" t="str">
        <v/>
      </c>
      <c r="E696" s="148" t="str">
        <v/>
      </c>
      <c r="F696" s="148" t="str">
        <v/>
      </c>
      <c r="G696" s="268" t="str">
        <v/>
      </c>
      <c r="H696" s="1098"/>
      <c r="I696" s="1098"/>
      <c r="J696" s="1098"/>
      <c r="K696" s="1098"/>
      <c r="L696" s="1098"/>
      <c r="M696" s="1098"/>
      <c r="N696" s="1098"/>
      <c r="O696" s="1098"/>
      <c r="P696" s="1098"/>
      <c r="Q696" s="1098"/>
      <c r="R696" s="1098"/>
      <c r="S696" s="1098"/>
      <c r="T696" s="1098"/>
      <c r="U696" s="1098"/>
      <c r="V696" s="1098"/>
      <c r="W696" s="1098"/>
      <c r="X696" s="1098"/>
      <c r="Y696" s="1098"/>
      <c r="Z696" s="1098"/>
      <c r="AA696" s="1098"/>
      <c r="AB696" s="1098"/>
      <c r="AC696" s="1098"/>
      <c r="AD696" s="1098"/>
      <c r="AE696" s="1098"/>
      <c r="AF696" s="1098"/>
      <c r="AG696" s="1098"/>
      <c r="AH696" s="1098"/>
      <c r="AI696" s="1098"/>
      <c r="AJ696" s="1098"/>
      <c r="AK696" s="1098"/>
      <c r="AL696" s="1098"/>
      <c r="AM696" s="1098"/>
      <c r="AN696" s="1098"/>
      <c r="AO696" s="1098"/>
      <c r="AP696" s="1098"/>
      <c r="AQ696" s="1098"/>
      <c r="AR696" s="1098"/>
      <c r="AS696" s="1098"/>
      <c r="AT696" s="1098"/>
      <c r="AU696" s="1098"/>
      <c r="AV696" s="1098"/>
      <c r="AW696" s="1098"/>
      <c r="AX696" s="1098"/>
      <c r="AY696" s="1098"/>
      <c r="AZ696" s="1098"/>
      <c r="BA696" s="1098"/>
      <c r="BB696" s="1098"/>
      <c r="BC696" s="1098"/>
      <c r="BD696" s="1098"/>
      <c r="BE696" s="1098"/>
      <c r="BF696" s="1098"/>
      <c r="BG696" s="1098"/>
      <c r="BH696" s="1098"/>
      <c r="BI696" s="1098"/>
      <c r="BJ696" s="1098"/>
      <c r="BK696" s="1098"/>
      <c r="BL696" s="1098"/>
      <c r="BM696" s="1098"/>
      <c r="BN696" s="1098"/>
      <c r="BO696" s="1098"/>
      <c r="BP696" s="1098"/>
      <c r="BQ696" s="1098"/>
      <c r="BR696" s="1098"/>
      <c r="BS696" s="1098"/>
      <c r="BT696" s="1098"/>
      <c r="BU696" s="1098"/>
      <c r="BV696" s="1098"/>
      <c r="BW696" s="1098"/>
      <c r="BX696" s="1098"/>
      <c r="BY696" s="1098"/>
      <c r="BZ696" s="1098"/>
      <c r="CA696" s="1098"/>
      <c r="CB696" s="1098"/>
      <c r="CC696" s="1098"/>
      <c r="CD696" s="1098"/>
      <c r="CE696" s="1098"/>
      <c r="CF696" s="1098"/>
      <c r="CG696" s="1098"/>
      <c r="CH696" s="1098"/>
      <c r="CI696" s="1098"/>
      <c r="CJ696" s="1098"/>
      <c r="CK696" s="1098"/>
      <c r="CL696" s="1098"/>
      <c r="CM696" s="1098"/>
      <c r="CN696" s="1098"/>
      <c r="CO696" s="1098"/>
      <c r="CP696" s="1098"/>
      <c r="CQ696" s="1098"/>
      <c r="CR696" s="1098"/>
      <c r="CS696" s="1098"/>
      <c r="CT696" s="1098"/>
      <c r="CU696" s="1098"/>
      <c r="CV696" s="1098"/>
      <c r="CW696" s="1098"/>
      <c r="CX696" s="1098"/>
      <c r="CY696" s="1098"/>
      <c r="CZ696" s="1098"/>
      <c r="DA696" s="1098"/>
      <c r="DB696" s="1098"/>
      <c r="DC696" s="1098"/>
      <c r="DD696" s="1098"/>
      <c r="DE696" s="1098"/>
      <c r="DF696" s="1098"/>
      <c r="DG696" s="1098"/>
      <c r="DH696" s="1098"/>
      <c r="DI696" s="1098"/>
      <c r="DJ696" s="1098"/>
      <c r="DK696" s="1098"/>
      <c r="DL696" s="1098"/>
      <c r="DM696" s="1098"/>
      <c r="DN696" s="1098"/>
      <c r="DO696" s="1098"/>
      <c r="DP696" s="1098"/>
      <c r="DQ696" s="1098"/>
      <c r="DR696" s="1098"/>
      <c r="DS696" s="1098"/>
      <c r="DT696" s="1098"/>
      <c r="DU696" s="1098"/>
      <c r="DV696" s="1098"/>
      <c r="DW696" s="1098"/>
      <c r="DX696" s="1098"/>
      <c r="DY696" s="1098"/>
      <c r="DZ696" s="1098"/>
      <c r="EA696" s="1098"/>
      <c r="EB696" s="1098"/>
      <c r="EC696" s="1098"/>
      <c r="ED696" s="1098"/>
      <c r="EE696" s="1098"/>
      <c r="EF696" s="1098"/>
      <c r="EG696" s="1098"/>
      <c r="EH696" s="1098"/>
      <c r="EI696" s="1098"/>
      <c r="EJ696" s="1098"/>
      <c r="EK696" s="1098"/>
      <c r="EL696" s="1098"/>
      <c r="EM696" s="1098"/>
      <c r="EN696" s="1098"/>
      <c r="EO696" s="1098"/>
      <c r="EP696" s="1098"/>
      <c r="EQ696" s="1098"/>
      <c r="ER696" s="1098"/>
      <c r="ES696" s="1098"/>
      <c r="ET696" s="1098"/>
      <c r="EU696" s="1098"/>
      <c r="EV696" s="1098"/>
      <c r="EW696" s="1098"/>
      <c r="EX696" s="1098"/>
      <c r="EY696" s="1098"/>
      <c r="EZ696" s="1098"/>
      <c r="FA696" s="1098"/>
      <c r="FB696" s="1098"/>
      <c r="FC696" s="1098"/>
      <c r="FD696" s="1098"/>
      <c r="FE696" s="1098"/>
      <c r="FF696" s="1098"/>
      <c r="FG696" s="1098"/>
      <c r="FH696" s="1098"/>
      <c r="FI696" s="1098"/>
      <c r="FJ696" s="1098"/>
      <c r="FK696" s="1098"/>
      <c r="FL696" s="1098"/>
      <c r="FM696" s="1098"/>
      <c r="FN696" s="1098"/>
      <c r="FO696" s="1098"/>
      <c r="FP696" s="1098"/>
      <c r="FQ696" s="1098"/>
      <c r="FR696" s="1098"/>
      <c r="FS696" s="1098"/>
      <c r="FT696" s="1098"/>
      <c r="FU696" s="1098"/>
      <c r="FV696" s="1098"/>
      <c r="FW696" s="1098"/>
      <c r="FX696" s="1098"/>
      <c r="FY696" s="1098"/>
      <c r="FZ696" s="1098"/>
      <c r="GA696" s="1098"/>
      <c r="GB696" s="1098"/>
      <c r="GC696" s="1098"/>
      <c r="GD696" s="1098"/>
      <c r="GE696" s="1098"/>
      <c r="GF696" s="1098"/>
      <c r="GG696" s="1098"/>
      <c r="GH696" s="1098"/>
      <c r="GI696" s="1098"/>
      <c r="GJ696" s="1098"/>
      <c r="GK696" s="1098"/>
      <c r="GL696" s="1098"/>
      <c r="GM696" s="1098"/>
      <c r="GN696" s="1098"/>
      <c r="GO696" s="1098"/>
      <c r="GP696" s="1098"/>
      <c r="GQ696" s="1098"/>
      <c r="GR696" s="1098"/>
      <c r="GS696" s="1098"/>
      <c r="GT696" s="1098"/>
      <c r="GU696" s="1098"/>
      <c r="GV696" s="1098"/>
      <c r="GW696" s="1098"/>
      <c r="GX696" s="1098"/>
      <c r="GY696" s="1098"/>
      <c r="GZ696" s="1098"/>
      <c r="HA696" s="1098"/>
      <c r="HB696" s="1098"/>
      <c r="HC696" s="1098"/>
      <c r="HD696" s="1098"/>
      <c r="HE696" s="1098"/>
      <c r="HF696" s="1098"/>
      <c r="HG696" s="1098"/>
      <c r="HH696" s="1098"/>
      <c r="HI696" s="1098"/>
      <c r="HJ696" s="1098"/>
      <c r="HK696" s="1098"/>
      <c r="HL696" s="1098"/>
      <c r="HM696" s="1098"/>
      <c r="HN696" s="1098"/>
      <c r="HO696" s="1098"/>
      <c r="HP696" s="1098"/>
      <c r="HQ696" s="1098"/>
      <c r="HR696" s="1098"/>
      <c r="HS696" s="1098"/>
      <c r="HT696" s="1098"/>
      <c r="HU696" s="1098"/>
      <c r="HV696" s="1098"/>
      <c r="HW696" s="1098"/>
      <c r="HX696" s="1098"/>
      <c r="HY696" s="1098"/>
      <c r="HZ696" s="1098"/>
      <c r="IA696" s="1098"/>
      <c r="IB696" s="1098"/>
      <c r="IC696" s="1098"/>
      <c r="ID696" s="1098"/>
      <c r="IE696" s="1098"/>
      <c r="IF696" s="1098"/>
      <c r="IG696" s="1098"/>
      <c r="IH696" s="1098"/>
      <c r="II696" s="1098"/>
      <c r="IJ696" s="1098"/>
      <c r="IK696" s="1098"/>
      <c r="IL696" s="1098"/>
      <c r="IM696" s="1098"/>
      <c r="IN696" s="1098"/>
      <c r="IO696" s="1098"/>
      <c r="IP696" s="1098"/>
      <c r="IQ696" s="1098"/>
      <c r="IR696" s="1098"/>
      <c r="IS696" s="1098"/>
      <c r="IT696" s="1098"/>
      <c r="IU696" s="1098"/>
      <c r="IV696" s="1098"/>
      <c r="IW696" s="1098"/>
      <c r="IX696" s="1098"/>
      <c r="IY696" s="1098"/>
      <c r="IZ696" s="1098"/>
      <c r="JA696" s="1098"/>
      <c r="JB696" s="1098"/>
      <c r="JC696" s="1098"/>
      <c r="JD696" s="1098"/>
      <c r="JE696" s="1098"/>
      <c r="JF696" s="1098"/>
      <c r="JG696" s="1098"/>
      <c r="JH696" s="1098"/>
      <c r="JI696" s="1098"/>
      <c r="JJ696" s="1098"/>
      <c r="JK696" s="1098"/>
      <c r="JL696" s="1098"/>
      <c r="JM696" s="1098"/>
      <c r="JN696" s="1098"/>
      <c r="JO696" s="1098"/>
      <c r="JP696" s="1098"/>
      <c r="JQ696" s="1098"/>
      <c r="JR696" s="1098"/>
      <c r="JS696" s="1098"/>
      <c r="JT696" s="1098"/>
      <c r="JU696" s="1098"/>
      <c r="JV696" s="1098"/>
      <c r="JW696" s="1098"/>
      <c r="JX696" s="1098"/>
      <c r="JY696" s="1098"/>
      <c r="JZ696" s="1098"/>
      <c r="KA696" s="1098"/>
      <c r="KB696" s="1099"/>
    </row>
    <row r="697" spans="2:288" ht="15" customHeight="1" x14ac:dyDescent="0.35">
      <c r="B697" s="146" t="str">
        <f t="shared" si="56"/>
        <v>Desk 67</v>
      </c>
      <c r="C697" s="148" t="str">
        <v/>
      </c>
      <c r="D697" s="148" t="str">
        <v/>
      </c>
      <c r="E697" s="148" t="str">
        <v/>
      </c>
      <c r="F697" s="148" t="str">
        <v/>
      </c>
      <c r="G697" s="268" t="str">
        <v/>
      </c>
      <c r="H697" s="1098"/>
      <c r="I697" s="1098"/>
      <c r="J697" s="1098"/>
      <c r="K697" s="1098"/>
      <c r="L697" s="1098"/>
      <c r="M697" s="1098"/>
      <c r="N697" s="1098"/>
      <c r="O697" s="1098"/>
      <c r="P697" s="1098"/>
      <c r="Q697" s="1098"/>
      <c r="R697" s="1098"/>
      <c r="S697" s="1098"/>
      <c r="T697" s="1098"/>
      <c r="U697" s="1098"/>
      <c r="V697" s="1098"/>
      <c r="W697" s="1098"/>
      <c r="X697" s="1098"/>
      <c r="Y697" s="1098"/>
      <c r="Z697" s="1098"/>
      <c r="AA697" s="1098"/>
      <c r="AB697" s="1098"/>
      <c r="AC697" s="1098"/>
      <c r="AD697" s="1098"/>
      <c r="AE697" s="1098"/>
      <c r="AF697" s="1098"/>
      <c r="AG697" s="1098"/>
      <c r="AH697" s="1098"/>
      <c r="AI697" s="1098"/>
      <c r="AJ697" s="1098"/>
      <c r="AK697" s="1098"/>
      <c r="AL697" s="1098"/>
      <c r="AM697" s="1098"/>
      <c r="AN697" s="1098"/>
      <c r="AO697" s="1098"/>
      <c r="AP697" s="1098"/>
      <c r="AQ697" s="1098"/>
      <c r="AR697" s="1098"/>
      <c r="AS697" s="1098"/>
      <c r="AT697" s="1098"/>
      <c r="AU697" s="1098"/>
      <c r="AV697" s="1098"/>
      <c r="AW697" s="1098"/>
      <c r="AX697" s="1098"/>
      <c r="AY697" s="1098"/>
      <c r="AZ697" s="1098"/>
      <c r="BA697" s="1098"/>
      <c r="BB697" s="1098"/>
      <c r="BC697" s="1098"/>
      <c r="BD697" s="1098"/>
      <c r="BE697" s="1098"/>
      <c r="BF697" s="1098"/>
      <c r="BG697" s="1098"/>
      <c r="BH697" s="1098"/>
      <c r="BI697" s="1098"/>
      <c r="BJ697" s="1098"/>
      <c r="BK697" s="1098"/>
      <c r="BL697" s="1098"/>
      <c r="BM697" s="1098"/>
      <c r="BN697" s="1098"/>
      <c r="BO697" s="1098"/>
      <c r="BP697" s="1098"/>
      <c r="BQ697" s="1098"/>
      <c r="BR697" s="1098"/>
      <c r="BS697" s="1098"/>
      <c r="BT697" s="1098"/>
      <c r="BU697" s="1098"/>
      <c r="BV697" s="1098"/>
      <c r="BW697" s="1098"/>
      <c r="BX697" s="1098"/>
      <c r="BY697" s="1098"/>
      <c r="BZ697" s="1098"/>
      <c r="CA697" s="1098"/>
      <c r="CB697" s="1098"/>
      <c r="CC697" s="1098"/>
      <c r="CD697" s="1098"/>
      <c r="CE697" s="1098"/>
      <c r="CF697" s="1098"/>
      <c r="CG697" s="1098"/>
      <c r="CH697" s="1098"/>
      <c r="CI697" s="1098"/>
      <c r="CJ697" s="1098"/>
      <c r="CK697" s="1098"/>
      <c r="CL697" s="1098"/>
      <c r="CM697" s="1098"/>
      <c r="CN697" s="1098"/>
      <c r="CO697" s="1098"/>
      <c r="CP697" s="1098"/>
      <c r="CQ697" s="1098"/>
      <c r="CR697" s="1098"/>
      <c r="CS697" s="1098"/>
      <c r="CT697" s="1098"/>
      <c r="CU697" s="1098"/>
      <c r="CV697" s="1098"/>
      <c r="CW697" s="1098"/>
      <c r="CX697" s="1098"/>
      <c r="CY697" s="1098"/>
      <c r="CZ697" s="1098"/>
      <c r="DA697" s="1098"/>
      <c r="DB697" s="1098"/>
      <c r="DC697" s="1098"/>
      <c r="DD697" s="1098"/>
      <c r="DE697" s="1098"/>
      <c r="DF697" s="1098"/>
      <c r="DG697" s="1098"/>
      <c r="DH697" s="1098"/>
      <c r="DI697" s="1098"/>
      <c r="DJ697" s="1098"/>
      <c r="DK697" s="1098"/>
      <c r="DL697" s="1098"/>
      <c r="DM697" s="1098"/>
      <c r="DN697" s="1098"/>
      <c r="DO697" s="1098"/>
      <c r="DP697" s="1098"/>
      <c r="DQ697" s="1098"/>
      <c r="DR697" s="1098"/>
      <c r="DS697" s="1098"/>
      <c r="DT697" s="1098"/>
      <c r="DU697" s="1098"/>
      <c r="DV697" s="1098"/>
      <c r="DW697" s="1098"/>
      <c r="DX697" s="1098"/>
      <c r="DY697" s="1098"/>
      <c r="DZ697" s="1098"/>
      <c r="EA697" s="1098"/>
      <c r="EB697" s="1098"/>
      <c r="EC697" s="1098"/>
      <c r="ED697" s="1098"/>
      <c r="EE697" s="1098"/>
      <c r="EF697" s="1098"/>
      <c r="EG697" s="1098"/>
      <c r="EH697" s="1098"/>
      <c r="EI697" s="1098"/>
      <c r="EJ697" s="1098"/>
      <c r="EK697" s="1098"/>
      <c r="EL697" s="1098"/>
      <c r="EM697" s="1098"/>
      <c r="EN697" s="1098"/>
      <c r="EO697" s="1098"/>
      <c r="EP697" s="1098"/>
      <c r="EQ697" s="1098"/>
      <c r="ER697" s="1098"/>
      <c r="ES697" s="1098"/>
      <c r="ET697" s="1098"/>
      <c r="EU697" s="1098"/>
      <c r="EV697" s="1098"/>
      <c r="EW697" s="1098"/>
      <c r="EX697" s="1098"/>
      <c r="EY697" s="1098"/>
      <c r="EZ697" s="1098"/>
      <c r="FA697" s="1098"/>
      <c r="FB697" s="1098"/>
      <c r="FC697" s="1098"/>
      <c r="FD697" s="1098"/>
      <c r="FE697" s="1098"/>
      <c r="FF697" s="1098"/>
      <c r="FG697" s="1098"/>
      <c r="FH697" s="1098"/>
      <c r="FI697" s="1098"/>
      <c r="FJ697" s="1098"/>
      <c r="FK697" s="1098"/>
      <c r="FL697" s="1098"/>
      <c r="FM697" s="1098"/>
      <c r="FN697" s="1098"/>
      <c r="FO697" s="1098"/>
      <c r="FP697" s="1098"/>
      <c r="FQ697" s="1098"/>
      <c r="FR697" s="1098"/>
      <c r="FS697" s="1098"/>
      <c r="FT697" s="1098"/>
      <c r="FU697" s="1098"/>
      <c r="FV697" s="1098"/>
      <c r="FW697" s="1098"/>
      <c r="FX697" s="1098"/>
      <c r="FY697" s="1098"/>
      <c r="FZ697" s="1098"/>
      <c r="GA697" s="1098"/>
      <c r="GB697" s="1098"/>
      <c r="GC697" s="1098"/>
      <c r="GD697" s="1098"/>
      <c r="GE697" s="1098"/>
      <c r="GF697" s="1098"/>
      <c r="GG697" s="1098"/>
      <c r="GH697" s="1098"/>
      <c r="GI697" s="1098"/>
      <c r="GJ697" s="1098"/>
      <c r="GK697" s="1098"/>
      <c r="GL697" s="1098"/>
      <c r="GM697" s="1098"/>
      <c r="GN697" s="1098"/>
      <c r="GO697" s="1098"/>
      <c r="GP697" s="1098"/>
      <c r="GQ697" s="1098"/>
      <c r="GR697" s="1098"/>
      <c r="GS697" s="1098"/>
      <c r="GT697" s="1098"/>
      <c r="GU697" s="1098"/>
      <c r="GV697" s="1098"/>
      <c r="GW697" s="1098"/>
      <c r="GX697" s="1098"/>
      <c r="GY697" s="1098"/>
      <c r="GZ697" s="1098"/>
      <c r="HA697" s="1098"/>
      <c r="HB697" s="1098"/>
      <c r="HC697" s="1098"/>
      <c r="HD697" s="1098"/>
      <c r="HE697" s="1098"/>
      <c r="HF697" s="1098"/>
      <c r="HG697" s="1098"/>
      <c r="HH697" s="1098"/>
      <c r="HI697" s="1098"/>
      <c r="HJ697" s="1098"/>
      <c r="HK697" s="1098"/>
      <c r="HL697" s="1098"/>
      <c r="HM697" s="1098"/>
      <c r="HN697" s="1098"/>
      <c r="HO697" s="1098"/>
      <c r="HP697" s="1098"/>
      <c r="HQ697" s="1098"/>
      <c r="HR697" s="1098"/>
      <c r="HS697" s="1098"/>
      <c r="HT697" s="1098"/>
      <c r="HU697" s="1098"/>
      <c r="HV697" s="1098"/>
      <c r="HW697" s="1098"/>
      <c r="HX697" s="1098"/>
      <c r="HY697" s="1098"/>
      <c r="HZ697" s="1098"/>
      <c r="IA697" s="1098"/>
      <c r="IB697" s="1098"/>
      <c r="IC697" s="1098"/>
      <c r="ID697" s="1098"/>
      <c r="IE697" s="1098"/>
      <c r="IF697" s="1098"/>
      <c r="IG697" s="1098"/>
      <c r="IH697" s="1098"/>
      <c r="II697" s="1098"/>
      <c r="IJ697" s="1098"/>
      <c r="IK697" s="1098"/>
      <c r="IL697" s="1098"/>
      <c r="IM697" s="1098"/>
      <c r="IN697" s="1098"/>
      <c r="IO697" s="1098"/>
      <c r="IP697" s="1098"/>
      <c r="IQ697" s="1098"/>
      <c r="IR697" s="1098"/>
      <c r="IS697" s="1098"/>
      <c r="IT697" s="1098"/>
      <c r="IU697" s="1098"/>
      <c r="IV697" s="1098"/>
      <c r="IW697" s="1098"/>
      <c r="IX697" s="1098"/>
      <c r="IY697" s="1098"/>
      <c r="IZ697" s="1098"/>
      <c r="JA697" s="1098"/>
      <c r="JB697" s="1098"/>
      <c r="JC697" s="1098"/>
      <c r="JD697" s="1098"/>
      <c r="JE697" s="1098"/>
      <c r="JF697" s="1098"/>
      <c r="JG697" s="1098"/>
      <c r="JH697" s="1098"/>
      <c r="JI697" s="1098"/>
      <c r="JJ697" s="1098"/>
      <c r="JK697" s="1098"/>
      <c r="JL697" s="1098"/>
      <c r="JM697" s="1098"/>
      <c r="JN697" s="1098"/>
      <c r="JO697" s="1098"/>
      <c r="JP697" s="1098"/>
      <c r="JQ697" s="1098"/>
      <c r="JR697" s="1098"/>
      <c r="JS697" s="1098"/>
      <c r="JT697" s="1098"/>
      <c r="JU697" s="1098"/>
      <c r="JV697" s="1098"/>
      <c r="JW697" s="1098"/>
      <c r="JX697" s="1098"/>
      <c r="JY697" s="1098"/>
      <c r="JZ697" s="1098"/>
      <c r="KA697" s="1098"/>
      <c r="KB697" s="1099"/>
    </row>
    <row r="698" spans="2:288" ht="15" customHeight="1" x14ac:dyDescent="0.35">
      <c r="B698" s="146" t="str">
        <f t="shared" si="56"/>
        <v>Desk 68</v>
      </c>
      <c r="C698" s="148" t="str">
        <v/>
      </c>
      <c r="D698" s="148" t="str">
        <v/>
      </c>
      <c r="E698" s="148" t="str">
        <v/>
      </c>
      <c r="F698" s="148" t="str">
        <v/>
      </c>
      <c r="G698" s="268" t="str">
        <v/>
      </c>
      <c r="H698" s="1098"/>
      <c r="I698" s="1098"/>
      <c r="J698" s="1098"/>
      <c r="K698" s="1098"/>
      <c r="L698" s="1098"/>
      <c r="M698" s="1098"/>
      <c r="N698" s="1098"/>
      <c r="O698" s="1098"/>
      <c r="P698" s="1098"/>
      <c r="Q698" s="1098"/>
      <c r="R698" s="1098"/>
      <c r="S698" s="1098"/>
      <c r="T698" s="1098"/>
      <c r="U698" s="1098"/>
      <c r="V698" s="1098"/>
      <c r="W698" s="1098"/>
      <c r="X698" s="1098"/>
      <c r="Y698" s="1098"/>
      <c r="Z698" s="1098"/>
      <c r="AA698" s="1098"/>
      <c r="AB698" s="1098"/>
      <c r="AC698" s="1098"/>
      <c r="AD698" s="1098"/>
      <c r="AE698" s="1098"/>
      <c r="AF698" s="1098"/>
      <c r="AG698" s="1098"/>
      <c r="AH698" s="1098"/>
      <c r="AI698" s="1098"/>
      <c r="AJ698" s="1098"/>
      <c r="AK698" s="1098"/>
      <c r="AL698" s="1098"/>
      <c r="AM698" s="1098"/>
      <c r="AN698" s="1098"/>
      <c r="AO698" s="1098"/>
      <c r="AP698" s="1098"/>
      <c r="AQ698" s="1098"/>
      <c r="AR698" s="1098"/>
      <c r="AS698" s="1098"/>
      <c r="AT698" s="1098"/>
      <c r="AU698" s="1098"/>
      <c r="AV698" s="1098"/>
      <c r="AW698" s="1098"/>
      <c r="AX698" s="1098"/>
      <c r="AY698" s="1098"/>
      <c r="AZ698" s="1098"/>
      <c r="BA698" s="1098"/>
      <c r="BB698" s="1098"/>
      <c r="BC698" s="1098"/>
      <c r="BD698" s="1098"/>
      <c r="BE698" s="1098"/>
      <c r="BF698" s="1098"/>
      <c r="BG698" s="1098"/>
      <c r="BH698" s="1098"/>
      <c r="BI698" s="1098"/>
      <c r="BJ698" s="1098"/>
      <c r="BK698" s="1098"/>
      <c r="BL698" s="1098"/>
      <c r="BM698" s="1098"/>
      <c r="BN698" s="1098"/>
      <c r="BO698" s="1098"/>
      <c r="BP698" s="1098"/>
      <c r="BQ698" s="1098"/>
      <c r="BR698" s="1098"/>
      <c r="BS698" s="1098"/>
      <c r="BT698" s="1098"/>
      <c r="BU698" s="1098"/>
      <c r="BV698" s="1098"/>
      <c r="BW698" s="1098"/>
      <c r="BX698" s="1098"/>
      <c r="BY698" s="1098"/>
      <c r="BZ698" s="1098"/>
      <c r="CA698" s="1098"/>
      <c r="CB698" s="1098"/>
      <c r="CC698" s="1098"/>
      <c r="CD698" s="1098"/>
      <c r="CE698" s="1098"/>
      <c r="CF698" s="1098"/>
      <c r="CG698" s="1098"/>
      <c r="CH698" s="1098"/>
      <c r="CI698" s="1098"/>
      <c r="CJ698" s="1098"/>
      <c r="CK698" s="1098"/>
      <c r="CL698" s="1098"/>
      <c r="CM698" s="1098"/>
      <c r="CN698" s="1098"/>
      <c r="CO698" s="1098"/>
      <c r="CP698" s="1098"/>
      <c r="CQ698" s="1098"/>
      <c r="CR698" s="1098"/>
      <c r="CS698" s="1098"/>
      <c r="CT698" s="1098"/>
      <c r="CU698" s="1098"/>
      <c r="CV698" s="1098"/>
      <c r="CW698" s="1098"/>
      <c r="CX698" s="1098"/>
      <c r="CY698" s="1098"/>
      <c r="CZ698" s="1098"/>
      <c r="DA698" s="1098"/>
      <c r="DB698" s="1098"/>
      <c r="DC698" s="1098"/>
      <c r="DD698" s="1098"/>
      <c r="DE698" s="1098"/>
      <c r="DF698" s="1098"/>
      <c r="DG698" s="1098"/>
      <c r="DH698" s="1098"/>
      <c r="DI698" s="1098"/>
      <c r="DJ698" s="1098"/>
      <c r="DK698" s="1098"/>
      <c r="DL698" s="1098"/>
      <c r="DM698" s="1098"/>
      <c r="DN698" s="1098"/>
      <c r="DO698" s="1098"/>
      <c r="DP698" s="1098"/>
      <c r="DQ698" s="1098"/>
      <c r="DR698" s="1098"/>
      <c r="DS698" s="1098"/>
      <c r="DT698" s="1098"/>
      <c r="DU698" s="1098"/>
      <c r="DV698" s="1098"/>
      <c r="DW698" s="1098"/>
      <c r="DX698" s="1098"/>
      <c r="DY698" s="1098"/>
      <c r="DZ698" s="1098"/>
      <c r="EA698" s="1098"/>
      <c r="EB698" s="1098"/>
      <c r="EC698" s="1098"/>
      <c r="ED698" s="1098"/>
      <c r="EE698" s="1098"/>
      <c r="EF698" s="1098"/>
      <c r="EG698" s="1098"/>
      <c r="EH698" s="1098"/>
      <c r="EI698" s="1098"/>
      <c r="EJ698" s="1098"/>
      <c r="EK698" s="1098"/>
      <c r="EL698" s="1098"/>
      <c r="EM698" s="1098"/>
      <c r="EN698" s="1098"/>
      <c r="EO698" s="1098"/>
      <c r="EP698" s="1098"/>
      <c r="EQ698" s="1098"/>
      <c r="ER698" s="1098"/>
      <c r="ES698" s="1098"/>
      <c r="ET698" s="1098"/>
      <c r="EU698" s="1098"/>
      <c r="EV698" s="1098"/>
      <c r="EW698" s="1098"/>
      <c r="EX698" s="1098"/>
      <c r="EY698" s="1098"/>
      <c r="EZ698" s="1098"/>
      <c r="FA698" s="1098"/>
      <c r="FB698" s="1098"/>
      <c r="FC698" s="1098"/>
      <c r="FD698" s="1098"/>
      <c r="FE698" s="1098"/>
      <c r="FF698" s="1098"/>
      <c r="FG698" s="1098"/>
      <c r="FH698" s="1098"/>
      <c r="FI698" s="1098"/>
      <c r="FJ698" s="1098"/>
      <c r="FK698" s="1098"/>
      <c r="FL698" s="1098"/>
      <c r="FM698" s="1098"/>
      <c r="FN698" s="1098"/>
      <c r="FO698" s="1098"/>
      <c r="FP698" s="1098"/>
      <c r="FQ698" s="1098"/>
      <c r="FR698" s="1098"/>
      <c r="FS698" s="1098"/>
      <c r="FT698" s="1098"/>
      <c r="FU698" s="1098"/>
      <c r="FV698" s="1098"/>
      <c r="FW698" s="1098"/>
      <c r="FX698" s="1098"/>
      <c r="FY698" s="1098"/>
      <c r="FZ698" s="1098"/>
      <c r="GA698" s="1098"/>
      <c r="GB698" s="1098"/>
      <c r="GC698" s="1098"/>
      <c r="GD698" s="1098"/>
      <c r="GE698" s="1098"/>
      <c r="GF698" s="1098"/>
      <c r="GG698" s="1098"/>
      <c r="GH698" s="1098"/>
      <c r="GI698" s="1098"/>
      <c r="GJ698" s="1098"/>
      <c r="GK698" s="1098"/>
      <c r="GL698" s="1098"/>
      <c r="GM698" s="1098"/>
      <c r="GN698" s="1098"/>
      <c r="GO698" s="1098"/>
      <c r="GP698" s="1098"/>
      <c r="GQ698" s="1098"/>
      <c r="GR698" s="1098"/>
      <c r="GS698" s="1098"/>
      <c r="GT698" s="1098"/>
      <c r="GU698" s="1098"/>
      <c r="GV698" s="1098"/>
      <c r="GW698" s="1098"/>
      <c r="GX698" s="1098"/>
      <c r="GY698" s="1098"/>
      <c r="GZ698" s="1098"/>
      <c r="HA698" s="1098"/>
      <c r="HB698" s="1098"/>
      <c r="HC698" s="1098"/>
      <c r="HD698" s="1098"/>
      <c r="HE698" s="1098"/>
      <c r="HF698" s="1098"/>
      <c r="HG698" s="1098"/>
      <c r="HH698" s="1098"/>
      <c r="HI698" s="1098"/>
      <c r="HJ698" s="1098"/>
      <c r="HK698" s="1098"/>
      <c r="HL698" s="1098"/>
      <c r="HM698" s="1098"/>
      <c r="HN698" s="1098"/>
      <c r="HO698" s="1098"/>
      <c r="HP698" s="1098"/>
      <c r="HQ698" s="1098"/>
      <c r="HR698" s="1098"/>
      <c r="HS698" s="1098"/>
      <c r="HT698" s="1098"/>
      <c r="HU698" s="1098"/>
      <c r="HV698" s="1098"/>
      <c r="HW698" s="1098"/>
      <c r="HX698" s="1098"/>
      <c r="HY698" s="1098"/>
      <c r="HZ698" s="1098"/>
      <c r="IA698" s="1098"/>
      <c r="IB698" s="1098"/>
      <c r="IC698" s="1098"/>
      <c r="ID698" s="1098"/>
      <c r="IE698" s="1098"/>
      <c r="IF698" s="1098"/>
      <c r="IG698" s="1098"/>
      <c r="IH698" s="1098"/>
      <c r="II698" s="1098"/>
      <c r="IJ698" s="1098"/>
      <c r="IK698" s="1098"/>
      <c r="IL698" s="1098"/>
      <c r="IM698" s="1098"/>
      <c r="IN698" s="1098"/>
      <c r="IO698" s="1098"/>
      <c r="IP698" s="1098"/>
      <c r="IQ698" s="1098"/>
      <c r="IR698" s="1098"/>
      <c r="IS698" s="1098"/>
      <c r="IT698" s="1098"/>
      <c r="IU698" s="1098"/>
      <c r="IV698" s="1098"/>
      <c r="IW698" s="1098"/>
      <c r="IX698" s="1098"/>
      <c r="IY698" s="1098"/>
      <c r="IZ698" s="1098"/>
      <c r="JA698" s="1098"/>
      <c r="JB698" s="1098"/>
      <c r="JC698" s="1098"/>
      <c r="JD698" s="1098"/>
      <c r="JE698" s="1098"/>
      <c r="JF698" s="1098"/>
      <c r="JG698" s="1098"/>
      <c r="JH698" s="1098"/>
      <c r="JI698" s="1098"/>
      <c r="JJ698" s="1098"/>
      <c r="JK698" s="1098"/>
      <c r="JL698" s="1098"/>
      <c r="JM698" s="1098"/>
      <c r="JN698" s="1098"/>
      <c r="JO698" s="1098"/>
      <c r="JP698" s="1098"/>
      <c r="JQ698" s="1098"/>
      <c r="JR698" s="1098"/>
      <c r="JS698" s="1098"/>
      <c r="JT698" s="1098"/>
      <c r="JU698" s="1098"/>
      <c r="JV698" s="1098"/>
      <c r="JW698" s="1098"/>
      <c r="JX698" s="1098"/>
      <c r="JY698" s="1098"/>
      <c r="JZ698" s="1098"/>
      <c r="KA698" s="1098"/>
      <c r="KB698" s="1099"/>
    </row>
    <row r="699" spans="2:288" ht="15" customHeight="1" x14ac:dyDescent="0.35">
      <c r="B699" s="146" t="str">
        <f t="shared" si="56"/>
        <v>Desk 69</v>
      </c>
      <c r="C699" s="148" t="str">
        <v/>
      </c>
      <c r="D699" s="148" t="str">
        <v/>
      </c>
      <c r="E699" s="148" t="str">
        <v/>
      </c>
      <c r="F699" s="148" t="str">
        <v/>
      </c>
      <c r="G699" s="268" t="str">
        <v/>
      </c>
      <c r="H699" s="1098"/>
      <c r="I699" s="1098"/>
      <c r="J699" s="1098"/>
      <c r="K699" s="1098"/>
      <c r="L699" s="1098"/>
      <c r="M699" s="1098"/>
      <c r="N699" s="1098"/>
      <c r="O699" s="1098"/>
      <c r="P699" s="1098"/>
      <c r="Q699" s="1098"/>
      <c r="R699" s="1098"/>
      <c r="S699" s="1098"/>
      <c r="T699" s="1098"/>
      <c r="U699" s="1098"/>
      <c r="V699" s="1098"/>
      <c r="W699" s="1098"/>
      <c r="X699" s="1098"/>
      <c r="Y699" s="1098"/>
      <c r="Z699" s="1098"/>
      <c r="AA699" s="1098"/>
      <c r="AB699" s="1098"/>
      <c r="AC699" s="1098"/>
      <c r="AD699" s="1098"/>
      <c r="AE699" s="1098"/>
      <c r="AF699" s="1098"/>
      <c r="AG699" s="1098"/>
      <c r="AH699" s="1098"/>
      <c r="AI699" s="1098"/>
      <c r="AJ699" s="1098"/>
      <c r="AK699" s="1098"/>
      <c r="AL699" s="1098"/>
      <c r="AM699" s="1098"/>
      <c r="AN699" s="1098"/>
      <c r="AO699" s="1098"/>
      <c r="AP699" s="1098"/>
      <c r="AQ699" s="1098"/>
      <c r="AR699" s="1098"/>
      <c r="AS699" s="1098"/>
      <c r="AT699" s="1098"/>
      <c r="AU699" s="1098"/>
      <c r="AV699" s="1098"/>
      <c r="AW699" s="1098"/>
      <c r="AX699" s="1098"/>
      <c r="AY699" s="1098"/>
      <c r="AZ699" s="1098"/>
      <c r="BA699" s="1098"/>
      <c r="BB699" s="1098"/>
      <c r="BC699" s="1098"/>
      <c r="BD699" s="1098"/>
      <c r="BE699" s="1098"/>
      <c r="BF699" s="1098"/>
      <c r="BG699" s="1098"/>
      <c r="BH699" s="1098"/>
      <c r="BI699" s="1098"/>
      <c r="BJ699" s="1098"/>
      <c r="BK699" s="1098"/>
      <c r="BL699" s="1098"/>
      <c r="BM699" s="1098"/>
      <c r="BN699" s="1098"/>
      <c r="BO699" s="1098"/>
      <c r="BP699" s="1098"/>
      <c r="BQ699" s="1098"/>
      <c r="BR699" s="1098"/>
      <c r="BS699" s="1098"/>
      <c r="BT699" s="1098"/>
      <c r="BU699" s="1098"/>
      <c r="BV699" s="1098"/>
      <c r="BW699" s="1098"/>
      <c r="BX699" s="1098"/>
      <c r="BY699" s="1098"/>
      <c r="BZ699" s="1098"/>
      <c r="CA699" s="1098"/>
      <c r="CB699" s="1098"/>
      <c r="CC699" s="1098"/>
      <c r="CD699" s="1098"/>
      <c r="CE699" s="1098"/>
      <c r="CF699" s="1098"/>
      <c r="CG699" s="1098"/>
      <c r="CH699" s="1098"/>
      <c r="CI699" s="1098"/>
      <c r="CJ699" s="1098"/>
      <c r="CK699" s="1098"/>
      <c r="CL699" s="1098"/>
      <c r="CM699" s="1098"/>
      <c r="CN699" s="1098"/>
      <c r="CO699" s="1098"/>
      <c r="CP699" s="1098"/>
      <c r="CQ699" s="1098"/>
      <c r="CR699" s="1098"/>
      <c r="CS699" s="1098"/>
      <c r="CT699" s="1098"/>
      <c r="CU699" s="1098"/>
      <c r="CV699" s="1098"/>
      <c r="CW699" s="1098"/>
      <c r="CX699" s="1098"/>
      <c r="CY699" s="1098"/>
      <c r="CZ699" s="1098"/>
      <c r="DA699" s="1098"/>
      <c r="DB699" s="1098"/>
      <c r="DC699" s="1098"/>
      <c r="DD699" s="1098"/>
      <c r="DE699" s="1098"/>
      <c r="DF699" s="1098"/>
      <c r="DG699" s="1098"/>
      <c r="DH699" s="1098"/>
      <c r="DI699" s="1098"/>
      <c r="DJ699" s="1098"/>
      <c r="DK699" s="1098"/>
      <c r="DL699" s="1098"/>
      <c r="DM699" s="1098"/>
      <c r="DN699" s="1098"/>
      <c r="DO699" s="1098"/>
      <c r="DP699" s="1098"/>
      <c r="DQ699" s="1098"/>
      <c r="DR699" s="1098"/>
      <c r="DS699" s="1098"/>
      <c r="DT699" s="1098"/>
      <c r="DU699" s="1098"/>
      <c r="DV699" s="1098"/>
      <c r="DW699" s="1098"/>
      <c r="DX699" s="1098"/>
      <c r="DY699" s="1098"/>
      <c r="DZ699" s="1098"/>
      <c r="EA699" s="1098"/>
      <c r="EB699" s="1098"/>
      <c r="EC699" s="1098"/>
      <c r="ED699" s="1098"/>
      <c r="EE699" s="1098"/>
      <c r="EF699" s="1098"/>
      <c r="EG699" s="1098"/>
      <c r="EH699" s="1098"/>
      <c r="EI699" s="1098"/>
      <c r="EJ699" s="1098"/>
      <c r="EK699" s="1098"/>
      <c r="EL699" s="1098"/>
      <c r="EM699" s="1098"/>
      <c r="EN699" s="1098"/>
      <c r="EO699" s="1098"/>
      <c r="EP699" s="1098"/>
      <c r="EQ699" s="1098"/>
      <c r="ER699" s="1098"/>
      <c r="ES699" s="1098"/>
      <c r="ET699" s="1098"/>
      <c r="EU699" s="1098"/>
      <c r="EV699" s="1098"/>
      <c r="EW699" s="1098"/>
      <c r="EX699" s="1098"/>
      <c r="EY699" s="1098"/>
      <c r="EZ699" s="1098"/>
      <c r="FA699" s="1098"/>
      <c r="FB699" s="1098"/>
      <c r="FC699" s="1098"/>
      <c r="FD699" s="1098"/>
      <c r="FE699" s="1098"/>
      <c r="FF699" s="1098"/>
      <c r="FG699" s="1098"/>
      <c r="FH699" s="1098"/>
      <c r="FI699" s="1098"/>
      <c r="FJ699" s="1098"/>
      <c r="FK699" s="1098"/>
      <c r="FL699" s="1098"/>
      <c r="FM699" s="1098"/>
      <c r="FN699" s="1098"/>
      <c r="FO699" s="1098"/>
      <c r="FP699" s="1098"/>
      <c r="FQ699" s="1098"/>
      <c r="FR699" s="1098"/>
      <c r="FS699" s="1098"/>
      <c r="FT699" s="1098"/>
      <c r="FU699" s="1098"/>
      <c r="FV699" s="1098"/>
      <c r="FW699" s="1098"/>
      <c r="FX699" s="1098"/>
      <c r="FY699" s="1098"/>
      <c r="FZ699" s="1098"/>
      <c r="GA699" s="1098"/>
      <c r="GB699" s="1098"/>
      <c r="GC699" s="1098"/>
      <c r="GD699" s="1098"/>
      <c r="GE699" s="1098"/>
      <c r="GF699" s="1098"/>
      <c r="GG699" s="1098"/>
      <c r="GH699" s="1098"/>
      <c r="GI699" s="1098"/>
      <c r="GJ699" s="1098"/>
      <c r="GK699" s="1098"/>
      <c r="GL699" s="1098"/>
      <c r="GM699" s="1098"/>
      <c r="GN699" s="1098"/>
      <c r="GO699" s="1098"/>
      <c r="GP699" s="1098"/>
      <c r="GQ699" s="1098"/>
      <c r="GR699" s="1098"/>
      <c r="GS699" s="1098"/>
      <c r="GT699" s="1098"/>
      <c r="GU699" s="1098"/>
      <c r="GV699" s="1098"/>
      <c r="GW699" s="1098"/>
      <c r="GX699" s="1098"/>
      <c r="GY699" s="1098"/>
      <c r="GZ699" s="1098"/>
      <c r="HA699" s="1098"/>
      <c r="HB699" s="1098"/>
      <c r="HC699" s="1098"/>
      <c r="HD699" s="1098"/>
      <c r="HE699" s="1098"/>
      <c r="HF699" s="1098"/>
      <c r="HG699" s="1098"/>
      <c r="HH699" s="1098"/>
      <c r="HI699" s="1098"/>
      <c r="HJ699" s="1098"/>
      <c r="HK699" s="1098"/>
      <c r="HL699" s="1098"/>
      <c r="HM699" s="1098"/>
      <c r="HN699" s="1098"/>
      <c r="HO699" s="1098"/>
      <c r="HP699" s="1098"/>
      <c r="HQ699" s="1098"/>
      <c r="HR699" s="1098"/>
      <c r="HS699" s="1098"/>
      <c r="HT699" s="1098"/>
      <c r="HU699" s="1098"/>
      <c r="HV699" s="1098"/>
      <c r="HW699" s="1098"/>
      <c r="HX699" s="1098"/>
      <c r="HY699" s="1098"/>
      <c r="HZ699" s="1098"/>
      <c r="IA699" s="1098"/>
      <c r="IB699" s="1098"/>
      <c r="IC699" s="1098"/>
      <c r="ID699" s="1098"/>
      <c r="IE699" s="1098"/>
      <c r="IF699" s="1098"/>
      <c r="IG699" s="1098"/>
      <c r="IH699" s="1098"/>
      <c r="II699" s="1098"/>
      <c r="IJ699" s="1098"/>
      <c r="IK699" s="1098"/>
      <c r="IL699" s="1098"/>
      <c r="IM699" s="1098"/>
      <c r="IN699" s="1098"/>
      <c r="IO699" s="1098"/>
      <c r="IP699" s="1098"/>
      <c r="IQ699" s="1098"/>
      <c r="IR699" s="1098"/>
      <c r="IS699" s="1098"/>
      <c r="IT699" s="1098"/>
      <c r="IU699" s="1098"/>
      <c r="IV699" s="1098"/>
      <c r="IW699" s="1098"/>
      <c r="IX699" s="1098"/>
      <c r="IY699" s="1098"/>
      <c r="IZ699" s="1098"/>
      <c r="JA699" s="1098"/>
      <c r="JB699" s="1098"/>
      <c r="JC699" s="1098"/>
      <c r="JD699" s="1098"/>
      <c r="JE699" s="1098"/>
      <c r="JF699" s="1098"/>
      <c r="JG699" s="1098"/>
      <c r="JH699" s="1098"/>
      <c r="JI699" s="1098"/>
      <c r="JJ699" s="1098"/>
      <c r="JK699" s="1098"/>
      <c r="JL699" s="1098"/>
      <c r="JM699" s="1098"/>
      <c r="JN699" s="1098"/>
      <c r="JO699" s="1098"/>
      <c r="JP699" s="1098"/>
      <c r="JQ699" s="1098"/>
      <c r="JR699" s="1098"/>
      <c r="JS699" s="1098"/>
      <c r="JT699" s="1098"/>
      <c r="JU699" s="1098"/>
      <c r="JV699" s="1098"/>
      <c r="JW699" s="1098"/>
      <c r="JX699" s="1098"/>
      <c r="JY699" s="1098"/>
      <c r="JZ699" s="1098"/>
      <c r="KA699" s="1098"/>
      <c r="KB699" s="1099"/>
    </row>
    <row r="700" spans="2:288" ht="15" customHeight="1" x14ac:dyDescent="0.35">
      <c r="B700" s="146" t="str">
        <f t="shared" si="56"/>
        <v>Desk 70</v>
      </c>
      <c r="C700" s="148" t="str">
        <v/>
      </c>
      <c r="D700" s="148" t="str">
        <v/>
      </c>
      <c r="E700" s="148" t="str">
        <v/>
      </c>
      <c r="F700" s="148" t="str">
        <v/>
      </c>
      <c r="G700" s="268" t="str">
        <v/>
      </c>
      <c r="H700" s="1098"/>
      <c r="I700" s="1098"/>
      <c r="J700" s="1098"/>
      <c r="K700" s="1098"/>
      <c r="L700" s="1098"/>
      <c r="M700" s="1098"/>
      <c r="N700" s="1098"/>
      <c r="O700" s="1098"/>
      <c r="P700" s="1098"/>
      <c r="Q700" s="1098"/>
      <c r="R700" s="1098"/>
      <c r="S700" s="1098"/>
      <c r="T700" s="1098"/>
      <c r="U700" s="1098"/>
      <c r="V700" s="1098"/>
      <c r="W700" s="1098"/>
      <c r="X700" s="1098"/>
      <c r="Y700" s="1098"/>
      <c r="Z700" s="1098"/>
      <c r="AA700" s="1098"/>
      <c r="AB700" s="1098"/>
      <c r="AC700" s="1098"/>
      <c r="AD700" s="1098"/>
      <c r="AE700" s="1098"/>
      <c r="AF700" s="1098"/>
      <c r="AG700" s="1098"/>
      <c r="AH700" s="1098"/>
      <c r="AI700" s="1098"/>
      <c r="AJ700" s="1098"/>
      <c r="AK700" s="1098"/>
      <c r="AL700" s="1098"/>
      <c r="AM700" s="1098"/>
      <c r="AN700" s="1098"/>
      <c r="AO700" s="1098"/>
      <c r="AP700" s="1098"/>
      <c r="AQ700" s="1098"/>
      <c r="AR700" s="1098"/>
      <c r="AS700" s="1098"/>
      <c r="AT700" s="1098"/>
      <c r="AU700" s="1098"/>
      <c r="AV700" s="1098"/>
      <c r="AW700" s="1098"/>
      <c r="AX700" s="1098"/>
      <c r="AY700" s="1098"/>
      <c r="AZ700" s="1098"/>
      <c r="BA700" s="1098"/>
      <c r="BB700" s="1098"/>
      <c r="BC700" s="1098"/>
      <c r="BD700" s="1098"/>
      <c r="BE700" s="1098"/>
      <c r="BF700" s="1098"/>
      <c r="BG700" s="1098"/>
      <c r="BH700" s="1098"/>
      <c r="BI700" s="1098"/>
      <c r="BJ700" s="1098"/>
      <c r="BK700" s="1098"/>
      <c r="BL700" s="1098"/>
      <c r="BM700" s="1098"/>
      <c r="BN700" s="1098"/>
      <c r="BO700" s="1098"/>
      <c r="BP700" s="1098"/>
      <c r="BQ700" s="1098"/>
      <c r="BR700" s="1098"/>
      <c r="BS700" s="1098"/>
      <c r="BT700" s="1098"/>
      <c r="BU700" s="1098"/>
      <c r="BV700" s="1098"/>
      <c r="BW700" s="1098"/>
      <c r="BX700" s="1098"/>
      <c r="BY700" s="1098"/>
      <c r="BZ700" s="1098"/>
      <c r="CA700" s="1098"/>
      <c r="CB700" s="1098"/>
      <c r="CC700" s="1098"/>
      <c r="CD700" s="1098"/>
      <c r="CE700" s="1098"/>
      <c r="CF700" s="1098"/>
      <c r="CG700" s="1098"/>
      <c r="CH700" s="1098"/>
      <c r="CI700" s="1098"/>
      <c r="CJ700" s="1098"/>
      <c r="CK700" s="1098"/>
      <c r="CL700" s="1098"/>
      <c r="CM700" s="1098"/>
      <c r="CN700" s="1098"/>
      <c r="CO700" s="1098"/>
      <c r="CP700" s="1098"/>
      <c r="CQ700" s="1098"/>
      <c r="CR700" s="1098"/>
      <c r="CS700" s="1098"/>
      <c r="CT700" s="1098"/>
      <c r="CU700" s="1098"/>
      <c r="CV700" s="1098"/>
      <c r="CW700" s="1098"/>
      <c r="CX700" s="1098"/>
      <c r="CY700" s="1098"/>
      <c r="CZ700" s="1098"/>
      <c r="DA700" s="1098"/>
      <c r="DB700" s="1098"/>
      <c r="DC700" s="1098"/>
      <c r="DD700" s="1098"/>
      <c r="DE700" s="1098"/>
      <c r="DF700" s="1098"/>
      <c r="DG700" s="1098"/>
      <c r="DH700" s="1098"/>
      <c r="DI700" s="1098"/>
      <c r="DJ700" s="1098"/>
      <c r="DK700" s="1098"/>
      <c r="DL700" s="1098"/>
      <c r="DM700" s="1098"/>
      <c r="DN700" s="1098"/>
      <c r="DO700" s="1098"/>
      <c r="DP700" s="1098"/>
      <c r="DQ700" s="1098"/>
      <c r="DR700" s="1098"/>
      <c r="DS700" s="1098"/>
      <c r="DT700" s="1098"/>
      <c r="DU700" s="1098"/>
      <c r="DV700" s="1098"/>
      <c r="DW700" s="1098"/>
      <c r="DX700" s="1098"/>
      <c r="DY700" s="1098"/>
      <c r="DZ700" s="1098"/>
      <c r="EA700" s="1098"/>
      <c r="EB700" s="1098"/>
      <c r="EC700" s="1098"/>
      <c r="ED700" s="1098"/>
      <c r="EE700" s="1098"/>
      <c r="EF700" s="1098"/>
      <c r="EG700" s="1098"/>
      <c r="EH700" s="1098"/>
      <c r="EI700" s="1098"/>
      <c r="EJ700" s="1098"/>
      <c r="EK700" s="1098"/>
      <c r="EL700" s="1098"/>
      <c r="EM700" s="1098"/>
      <c r="EN700" s="1098"/>
      <c r="EO700" s="1098"/>
      <c r="EP700" s="1098"/>
      <c r="EQ700" s="1098"/>
      <c r="ER700" s="1098"/>
      <c r="ES700" s="1098"/>
      <c r="ET700" s="1098"/>
      <c r="EU700" s="1098"/>
      <c r="EV700" s="1098"/>
      <c r="EW700" s="1098"/>
      <c r="EX700" s="1098"/>
      <c r="EY700" s="1098"/>
      <c r="EZ700" s="1098"/>
      <c r="FA700" s="1098"/>
      <c r="FB700" s="1098"/>
      <c r="FC700" s="1098"/>
      <c r="FD700" s="1098"/>
      <c r="FE700" s="1098"/>
      <c r="FF700" s="1098"/>
      <c r="FG700" s="1098"/>
      <c r="FH700" s="1098"/>
      <c r="FI700" s="1098"/>
      <c r="FJ700" s="1098"/>
      <c r="FK700" s="1098"/>
      <c r="FL700" s="1098"/>
      <c r="FM700" s="1098"/>
      <c r="FN700" s="1098"/>
      <c r="FO700" s="1098"/>
      <c r="FP700" s="1098"/>
      <c r="FQ700" s="1098"/>
      <c r="FR700" s="1098"/>
      <c r="FS700" s="1098"/>
      <c r="FT700" s="1098"/>
      <c r="FU700" s="1098"/>
      <c r="FV700" s="1098"/>
      <c r="FW700" s="1098"/>
      <c r="FX700" s="1098"/>
      <c r="FY700" s="1098"/>
      <c r="FZ700" s="1098"/>
      <c r="GA700" s="1098"/>
      <c r="GB700" s="1098"/>
      <c r="GC700" s="1098"/>
      <c r="GD700" s="1098"/>
      <c r="GE700" s="1098"/>
      <c r="GF700" s="1098"/>
      <c r="GG700" s="1098"/>
      <c r="GH700" s="1098"/>
      <c r="GI700" s="1098"/>
      <c r="GJ700" s="1098"/>
      <c r="GK700" s="1098"/>
      <c r="GL700" s="1098"/>
      <c r="GM700" s="1098"/>
      <c r="GN700" s="1098"/>
      <c r="GO700" s="1098"/>
      <c r="GP700" s="1098"/>
      <c r="GQ700" s="1098"/>
      <c r="GR700" s="1098"/>
      <c r="GS700" s="1098"/>
      <c r="GT700" s="1098"/>
      <c r="GU700" s="1098"/>
      <c r="GV700" s="1098"/>
      <c r="GW700" s="1098"/>
      <c r="GX700" s="1098"/>
      <c r="GY700" s="1098"/>
      <c r="GZ700" s="1098"/>
      <c r="HA700" s="1098"/>
      <c r="HB700" s="1098"/>
      <c r="HC700" s="1098"/>
      <c r="HD700" s="1098"/>
      <c r="HE700" s="1098"/>
      <c r="HF700" s="1098"/>
      <c r="HG700" s="1098"/>
      <c r="HH700" s="1098"/>
      <c r="HI700" s="1098"/>
      <c r="HJ700" s="1098"/>
      <c r="HK700" s="1098"/>
      <c r="HL700" s="1098"/>
      <c r="HM700" s="1098"/>
      <c r="HN700" s="1098"/>
      <c r="HO700" s="1098"/>
      <c r="HP700" s="1098"/>
      <c r="HQ700" s="1098"/>
      <c r="HR700" s="1098"/>
      <c r="HS700" s="1098"/>
      <c r="HT700" s="1098"/>
      <c r="HU700" s="1098"/>
      <c r="HV700" s="1098"/>
      <c r="HW700" s="1098"/>
      <c r="HX700" s="1098"/>
      <c r="HY700" s="1098"/>
      <c r="HZ700" s="1098"/>
      <c r="IA700" s="1098"/>
      <c r="IB700" s="1098"/>
      <c r="IC700" s="1098"/>
      <c r="ID700" s="1098"/>
      <c r="IE700" s="1098"/>
      <c r="IF700" s="1098"/>
      <c r="IG700" s="1098"/>
      <c r="IH700" s="1098"/>
      <c r="II700" s="1098"/>
      <c r="IJ700" s="1098"/>
      <c r="IK700" s="1098"/>
      <c r="IL700" s="1098"/>
      <c r="IM700" s="1098"/>
      <c r="IN700" s="1098"/>
      <c r="IO700" s="1098"/>
      <c r="IP700" s="1098"/>
      <c r="IQ700" s="1098"/>
      <c r="IR700" s="1098"/>
      <c r="IS700" s="1098"/>
      <c r="IT700" s="1098"/>
      <c r="IU700" s="1098"/>
      <c r="IV700" s="1098"/>
      <c r="IW700" s="1098"/>
      <c r="IX700" s="1098"/>
      <c r="IY700" s="1098"/>
      <c r="IZ700" s="1098"/>
      <c r="JA700" s="1098"/>
      <c r="JB700" s="1098"/>
      <c r="JC700" s="1098"/>
      <c r="JD700" s="1098"/>
      <c r="JE700" s="1098"/>
      <c r="JF700" s="1098"/>
      <c r="JG700" s="1098"/>
      <c r="JH700" s="1098"/>
      <c r="JI700" s="1098"/>
      <c r="JJ700" s="1098"/>
      <c r="JK700" s="1098"/>
      <c r="JL700" s="1098"/>
      <c r="JM700" s="1098"/>
      <c r="JN700" s="1098"/>
      <c r="JO700" s="1098"/>
      <c r="JP700" s="1098"/>
      <c r="JQ700" s="1098"/>
      <c r="JR700" s="1098"/>
      <c r="JS700" s="1098"/>
      <c r="JT700" s="1098"/>
      <c r="JU700" s="1098"/>
      <c r="JV700" s="1098"/>
      <c r="JW700" s="1098"/>
      <c r="JX700" s="1098"/>
      <c r="JY700" s="1098"/>
      <c r="JZ700" s="1098"/>
      <c r="KA700" s="1098"/>
      <c r="KB700" s="1099"/>
    </row>
    <row r="701" spans="2:288" ht="15" customHeight="1" x14ac:dyDescent="0.35">
      <c r="B701" s="146" t="str">
        <f t="shared" si="56"/>
        <v>Desk 71</v>
      </c>
      <c r="C701" s="148" t="str">
        <v/>
      </c>
      <c r="D701" s="148" t="str">
        <v/>
      </c>
      <c r="E701" s="148" t="str">
        <v/>
      </c>
      <c r="F701" s="148" t="str">
        <v/>
      </c>
      <c r="G701" s="268" t="str">
        <v/>
      </c>
      <c r="H701" s="1098"/>
      <c r="I701" s="1098"/>
      <c r="J701" s="1098"/>
      <c r="K701" s="1098"/>
      <c r="L701" s="1098"/>
      <c r="M701" s="1098"/>
      <c r="N701" s="1098"/>
      <c r="O701" s="1098"/>
      <c r="P701" s="1098"/>
      <c r="Q701" s="1098"/>
      <c r="R701" s="1098"/>
      <c r="S701" s="1098"/>
      <c r="T701" s="1098"/>
      <c r="U701" s="1098"/>
      <c r="V701" s="1098"/>
      <c r="W701" s="1098"/>
      <c r="X701" s="1098"/>
      <c r="Y701" s="1098"/>
      <c r="Z701" s="1098"/>
      <c r="AA701" s="1098"/>
      <c r="AB701" s="1098"/>
      <c r="AC701" s="1098"/>
      <c r="AD701" s="1098"/>
      <c r="AE701" s="1098"/>
      <c r="AF701" s="1098"/>
      <c r="AG701" s="1098"/>
      <c r="AH701" s="1098"/>
      <c r="AI701" s="1098"/>
      <c r="AJ701" s="1098"/>
      <c r="AK701" s="1098"/>
      <c r="AL701" s="1098"/>
      <c r="AM701" s="1098"/>
      <c r="AN701" s="1098"/>
      <c r="AO701" s="1098"/>
      <c r="AP701" s="1098"/>
      <c r="AQ701" s="1098"/>
      <c r="AR701" s="1098"/>
      <c r="AS701" s="1098"/>
      <c r="AT701" s="1098"/>
      <c r="AU701" s="1098"/>
      <c r="AV701" s="1098"/>
      <c r="AW701" s="1098"/>
      <c r="AX701" s="1098"/>
      <c r="AY701" s="1098"/>
      <c r="AZ701" s="1098"/>
      <c r="BA701" s="1098"/>
      <c r="BB701" s="1098"/>
      <c r="BC701" s="1098"/>
      <c r="BD701" s="1098"/>
      <c r="BE701" s="1098"/>
      <c r="BF701" s="1098"/>
      <c r="BG701" s="1098"/>
      <c r="BH701" s="1098"/>
      <c r="BI701" s="1098"/>
      <c r="BJ701" s="1098"/>
      <c r="BK701" s="1098"/>
      <c r="BL701" s="1098"/>
      <c r="BM701" s="1098"/>
      <c r="BN701" s="1098"/>
      <c r="BO701" s="1098"/>
      <c r="BP701" s="1098"/>
      <c r="BQ701" s="1098"/>
      <c r="BR701" s="1098"/>
      <c r="BS701" s="1098"/>
      <c r="BT701" s="1098"/>
      <c r="BU701" s="1098"/>
      <c r="BV701" s="1098"/>
      <c r="BW701" s="1098"/>
      <c r="BX701" s="1098"/>
      <c r="BY701" s="1098"/>
      <c r="BZ701" s="1098"/>
      <c r="CA701" s="1098"/>
      <c r="CB701" s="1098"/>
      <c r="CC701" s="1098"/>
      <c r="CD701" s="1098"/>
      <c r="CE701" s="1098"/>
      <c r="CF701" s="1098"/>
      <c r="CG701" s="1098"/>
      <c r="CH701" s="1098"/>
      <c r="CI701" s="1098"/>
      <c r="CJ701" s="1098"/>
      <c r="CK701" s="1098"/>
      <c r="CL701" s="1098"/>
      <c r="CM701" s="1098"/>
      <c r="CN701" s="1098"/>
      <c r="CO701" s="1098"/>
      <c r="CP701" s="1098"/>
      <c r="CQ701" s="1098"/>
      <c r="CR701" s="1098"/>
      <c r="CS701" s="1098"/>
      <c r="CT701" s="1098"/>
      <c r="CU701" s="1098"/>
      <c r="CV701" s="1098"/>
      <c r="CW701" s="1098"/>
      <c r="CX701" s="1098"/>
      <c r="CY701" s="1098"/>
      <c r="CZ701" s="1098"/>
      <c r="DA701" s="1098"/>
      <c r="DB701" s="1098"/>
      <c r="DC701" s="1098"/>
      <c r="DD701" s="1098"/>
      <c r="DE701" s="1098"/>
      <c r="DF701" s="1098"/>
      <c r="DG701" s="1098"/>
      <c r="DH701" s="1098"/>
      <c r="DI701" s="1098"/>
      <c r="DJ701" s="1098"/>
      <c r="DK701" s="1098"/>
      <c r="DL701" s="1098"/>
      <c r="DM701" s="1098"/>
      <c r="DN701" s="1098"/>
      <c r="DO701" s="1098"/>
      <c r="DP701" s="1098"/>
      <c r="DQ701" s="1098"/>
      <c r="DR701" s="1098"/>
      <c r="DS701" s="1098"/>
      <c r="DT701" s="1098"/>
      <c r="DU701" s="1098"/>
      <c r="DV701" s="1098"/>
      <c r="DW701" s="1098"/>
      <c r="DX701" s="1098"/>
      <c r="DY701" s="1098"/>
      <c r="DZ701" s="1098"/>
      <c r="EA701" s="1098"/>
      <c r="EB701" s="1098"/>
      <c r="EC701" s="1098"/>
      <c r="ED701" s="1098"/>
      <c r="EE701" s="1098"/>
      <c r="EF701" s="1098"/>
      <c r="EG701" s="1098"/>
      <c r="EH701" s="1098"/>
      <c r="EI701" s="1098"/>
      <c r="EJ701" s="1098"/>
      <c r="EK701" s="1098"/>
      <c r="EL701" s="1098"/>
      <c r="EM701" s="1098"/>
      <c r="EN701" s="1098"/>
      <c r="EO701" s="1098"/>
      <c r="EP701" s="1098"/>
      <c r="EQ701" s="1098"/>
      <c r="ER701" s="1098"/>
      <c r="ES701" s="1098"/>
      <c r="ET701" s="1098"/>
      <c r="EU701" s="1098"/>
      <c r="EV701" s="1098"/>
      <c r="EW701" s="1098"/>
      <c r="EX701" s="1098"/>
      <c r="EY701" s="1098"/>
      <c r="EZ701" s="1098"/>
      <c r="FA701" s="1098"/>
      <c r="FB701" s="1098"/>
      <c r="FC701" s="1098"/>
      <c r="FD701" s="1098"/>
      <c r="FE701" s="1098"/>
      <c r="FF701" s="1098"/>
      <c r="FG701" s="1098"/>
      <c r="FH701" s="1098"/>
      <c r="FI701" s="1098"/>
      <c r="FJ701" s="1098"/>
      <c r="FK701" s="1098"/>
      <c r="FL701" s="1098"/>
      <c r="FM701" s="1098"/>
      <c r="FN701" s="1098"/>
      <c r="FO701" s="1098"/>
      <c r="FP701" s="1098"/>
      <c r="FQ701" s="1098"/>
      <c r="FR701" s="1098"/>
      <c r="FS701" s="1098"/>
      <c r="FT701" s="1098"/>
      <c r="FU701" s="1098"/>
      <c r="FV701" s="1098"/>
      <c r="FW701" s="1098"/>
      <c r="FX701" s="1098"/>
      <c r="FY701" s="1098"/>
      <c r="FZ701" s="1098"/>
      <c r="GA701" s="1098"/>
      <c r="GB701" s="1098"/>
      <c r="GC701" s="1098"/>
      <c r="GD701" s="1098"/>
      <c r="GE701" s="1098"/>
      <c r="GF701" s="1098"/>
      <c r="GG701" s="1098"/>
      <c r="GH701" s="1098"/>
      <c r="GI701" s="1098"/>
      <c r="GJ701" s="1098"/>
      <c r="GK701" s="1098"/>
      <c r="GL701" s="1098"/>
      <c r="GM701" s="1098"/>
      <c r="GN701" s="1098"/>
      <c r="GO701" s="1098"/>
      <c r="GP701" s="1098"/>
      <c r="GQ701" s="1098"/>
      <c r="GR701" s="1098"/>
      <c r="GS701" s="1098"/>
      <c r="GT701" s="1098"/>
      <c r="GU701" s="1098"/>
      <c r="GV701" s="1098"/>
      <c r="GW701" s="1098"/>
      <c r="GX701" s="1098"/>
      <c r="GY701" s="1098"/>
      <c r="GZ701" s="1098"/>
      <c r="HA701" s="1098"/>
      <c r="HB701" s="1098"/>
      <c r="HC701" s="1098"/>
      <c r="HD701" s="1098"/>
      <c r="HE701" s="1098"/>
      <c r="HF701" s="1098"/>
      <c r="HG701" s="1098"/>
      <c r="HH701" s="1098"/>
      <c r="HI701" s="1098"/>
      <c r="HJ701" s="1098"/>
      <c r="HK701" s="1098"/>
      <c r="HL701" s="1098"/>
      <c r="HM701" s="1098"/>
      <c r="HN701" s="1098"/>
      <c r="HO701" s="1098"/>
      <c r="HP701" s="1098"/>
      <c r="HQ701" s="1098"/>
      <c r="HR701" s="1098"/>
      <c r="HS701" s="1098"/>
      <c r="HT701" s="1098"/>
      <c r="HU701" s="1098"/>
      <c r="HV701" s="1098"/>
      <c r="HW701" s="1098"/>
      <c r="HX701" s="1098"/>
      <c r="HY701" s="1098"/>
      <c r="HZ701" s="1098"/>
      <c r="IA701" s="1098"/>
      <c r="IB701" s="1098"/>
      <c r="IC701" s="1098"/>
      <c r="ID701" s="1098"/>
      <c r="IE701" s="1098"/>
      <c r="IF701" s="1098"/>
      <c r="IG701" s="1098"/>
      <c r="IH701" s="1098"/>
      <c r="II701" s="1098"/>
      <c r="IJ701" s="1098"/>
      <c r="IK701" s="1098"/>
      <c r="IL701" s="1098"/>
      <c r="IM701" s="1098"/>
      <c r="IN701" s="1098"/>
      <c r="IO701" s="1098"/>
      <c r="IP701" s="1098"/>
      <c r="IQ701" s="1098"/>
      <c r="IR701" s="1098"/>
      <c r="IS701" s="1098"/>
      <c r="IT701" s="1098"/>
      <c r="IU701" s="1098"/>
      <c r="IV701" s="1098"/>
      <c r="IW701" s="1098"/>
      <c r="IX701" s="1098"/>
      <c r="IY701" s="1098"/>
      <c r="IZ701" s="1098"/>
      <c r="JA701" s="1098"/>
      <c r="JB701" s="1098"/>
      <c r="JC701" s="1098"/>
      <c r="JD701" s="1098"/>
      <c r="JE701" s="1098"/>
      <c r="JF701" s="1098"/>
      <c r="JG701" s="1098"/>
      <c r="JH701" s="1098"/>
      <c r="JI701" s="1098"/>
      <c r="JJ701" s="1098"/>
      <c r="JK701" s="1098"/>
      <c r="JL701" s="1098"/>
      <c r="JM701" s="1098"/>
      <c r="JN701" s="1098"/>
      <c r="JO701" s="1098"/>
      <c r="JP701" s="1098"/>
      <c r="JQ701" s="1098"/>
      <c r="JR701" s="1098"/>
      <c r="JS701" s="1098"/>
      <c r="JT701" s="1098"/>
      <c r="JU701" s="1098"/>
      <c r="JV701" s="1098"/>
      <c r="JW701" s="1098"/>
      <c r="JX701" s="1098"/>
      <c r="JY701" s="1098"/>
      <c r="JZ701" s="1098"/>
      <c r="KA701" s="1098"/>
      <c r="KB701" s="1099"/>
    </row>
    <row r="702" spans="2:288" ht="15" customHeight="1" x14ac:dyDescent="0.35">
      <c r="B702" s="146" t="str">
        <f t="shared" si="56"/>
        <v>Desk 72</v>
      </c>
      <c r="C702" s="148" t="str">
        <v/>
      </c>
      <c r="D702" s="148" t="str">
        <v/>
      </c>
      <c r="E702" s="148" t="str">
        <v/>
      </c>
      <c r="F702" s="148" t="str">
        <v/>
      </c>
      <c r="G702" s="268" t="str">
        <v/>
      </c>
      <c r="H702" s="1098"/>
      <c r="I702" s="1098"/>
      <c r="J702" s="1098"/>
      <c r="K702" s="1098"/>
      <c r="L702" s="1098"/>
      <c r="M702" s="1098"/>
      <c r="N702" s="1098"/>
      <c r="O702" s="1098"/>
      <c r="P702" s="1098"/>
      <c r="Q702" s="1098"/>
      <c r="R702" s="1098"/>
      <c r="S702" s="1098"/>
      <c r="T702" s="1098"/>
      <c r="U702" s="1098"/>
      <c r="V702" s="1098"/>
      <c r="W702" s="1098"/>
      <c r="X702" s="1098"/>
      <c r="Y702" s="1098"/>
      <c r="Z702" s="1098"/>
      <c r="AA702" s="1098"/>
      <c r="AB702" s="1098"/>
      <c r="AC702" s="1098"/>
      <c r="AD702" s="1098"/>
      <c r="AE702" s="1098"/>
      <c r="AF702" s="1098"/>
      <c r="AG702" s="1098"/>
      <c r="AH702" s="1098"/>
      <c r="AI702" s="1098"/>
      <c r="AJ702" s="1098"/>
      <c r="AK702" s="1098"/>
      <c r="AL702" s="1098"/>
      <c r="AM702" s="1098"/>
      <c r="AN702" s="1098"/>
      <c r="AO702" s="1098"/>
      <c r="AP702" s="1098"/>
      <c r="AQ702" s="1098"/>
      <c r="AR702" s="1098"/>
      <c r="AS702" s="1098"/>
      <c r="AT702" s="1098"/>
      <c r="AU702" s="1098"/>
      <c r="AV702" s="1098"/>
      <c r="AW702" s="1098"/>
      <c r="AX702" s="1098"/>
      <c r="AY702" s="1098"/>
      <c r="AZ702" s="1098"/>
      <c r="BA702" s="1098"/>
      <c r="BB702" s="1098"/>
      <c r="BC702" s="1098"/>
      <c r="BD702" s="1098"/>
      <c r="BE702" s="1098"/>
      <c r="BF702" s="1098"/>
      <c r="BG702" s="1098"/>
      <c r="BH702" s="1098"/>
      <c r="BI702" s="1098"/>
      <c r="BJ702" s="1098"/>
      <c r="BK702" s="1098"/>
      <c r="BL702" s="1098"/>
      <c r="BM702" s="1098"/>
      <c r="BN702" s="1098"/>
      <c r="BO702" s="1098"/>
      <c r="BP702" s="1098"/>
      <c r="BQ702" s="1098"/>
      <c r="BR702" s="1098"/>
      <c r="BS702" s="1098"/>
      <c r="BT702" s="1098"/>
      <c r="BU702" s="1098"/>
      <c r="BV702" s="1098"/>
      <c r="BW702" s="1098"/>
      <c r="BX702" s="1098"/>
      <c r="BY702" s="1098"/>
      <c r="BZ702" s="1098"/>
      <c r="CA702" s="1098"/>
      <c r="CB702" s="1098"/>
      <c r="CC702" s="1098"/>
      <c r="CD702" s="1098"/>
      <c r="CE702" s="1098"/>
      <c r="CF702" s="1098"/>
      <c r="CG702" s="1098"/>
      <c r="CH702" s="1098"/>
      <c r="CI702" s="1098"/>
      <c r="CJ702" s="1098"/>
      <c r="CK702" s="1098"/>
      <c r="CL702" s="1098"/>
      <c r="CM702" s="1098"/>
      <c r="CN702" s="1098"/>
      <c r="CO702" s="1098"/>
      <c r="CP702" s="1098"/>
      <c r="CQ702" s="1098"/>
      <c r="CR702" s="1098"/>
      <c r="CS702" s="1098"/>
      <c r="CT702" s="1098"/>
      <c r="CU702" s="1098"/>
      <c r="CV702" s="1098"/>
      <c r="CW702" s="1098"/>
      <c r="CX702" s="1098"/>
      <c r="CY702" s="1098"/>
      <c r="CZ702" s="1098"/>
      <c r="DA702" s="1098"/>
      <c r="DB702" s="1098"/>
      <c r="DC702" s="1098"/>
      <c r="DD702" s="1098"/>
      <c r="DE702" s="1098"/>
      <c r="DF702" s="1098"/>
      <c r="DG702" s="1098"/>
      <c r="DH702" s="1098"/>
      <c r="DI702" s="1098"/>
      <c r="DJ702" s="1098"/>
      <c r="DK702" s="1098"/>
      <c r="DL702" s="1098"/>
      <c r="DM702" s="1098"/>
      <c r="DN702" s="1098"/>
      <c r="DO702" s="1098"/>
      <c r="DP702" s="1098"/>
      <c r="DQ702" s="1098"/>
      <c r="DR702" s="1098"/>
      <c r="DS702" s="1098"/>
      <c r="DT702" s="1098"/>
      <c r="DU702" s="1098"/>
      <c r="DV702" s="1098"/>
      <c r="DW702" s="1098"/>
      <c r="DX702" s="1098"/>
      <c r="DY702" s="1098"/>
      <c r="DZ702" s="1098"/>
      <c r="EA702" s="1098"/>
      <c r="EB702" s="1098"/>
      <c r="EC702" s="1098"/>
      <c r="ED702" s="1098"/>
      <c r="EE702" s="1098"/>
      <c r="EF702" s="1098"/>
      <c r="EG702" s="1098"/>
      <c r="EH702" s="1098"/>
      <c r="EI702" s="1098"/>
      <c r="EJ702" s="1098"/>
      <c r="EK702" s="1098"/>
      <c r="EL702" s="1098"/>
      <c r="EM702" s="1098"/>
      <c r="EN702" s="1098"/>
      <c r="EO702" s="1098"/>
      <c r="EP702" s="1098"/>
      <c r="EQ702" s="1098"/>
      <c r="ER702" s="1098"/>
      <c r="ES702" s="1098"/>
      <c r="ET702" s="1098"/>
      <c r="EU702" s="1098"/>
      <c r="EV702" s="1098"/>
      <c r="EW702" s="1098"/>
      <c r="EX702" s="1098"/>
      <c r="EY702" s="1098"/>
      <c r="EZ702" s="1098"/>
      <c r="FA702" s="1098"/>
      <c r="FB702" s="1098"/>
      <c r="FC702" s="1098"/>
      <c r="FD702" s="1098"/>
      <c r="FE702" s="1098"/>
      <c r="FF702" s="1098"/>
      <c r="FG702" s="1098"/>
      <c r="FH702" s="1098"/>
      <c r="FI702" s="1098"/>
      <c r="FJ702" s="1098"/>
      <c r="FK702" s="1098"/>
      <c r="FL702" s="1098"/>
      <c r="FM702" s="1098"/>
      <c r="FN702" s="1098"/>
      <c r="FO702" s="1098"/>
      <c r="FP702" s="1098"/>
      <c r="FQ702" s="1098"/>
      <c r="FR702" s="1098"/>
      <c r="FS702" s="1098"/>
      <c r="FT702" s="1098"/>
      <c r="FU702" s="1098"/>
      <c r="FV702" s="1098"/>
      <c r="FW702" s="1098"/>
      <c r="FX702" s="1098"/>
      <c r="FY702" s="1098"/>
      <c r="FZ702" s="1098"/>
      <c r="GA702" s="1098"/>
      <c r="GB702" s="1098"/>
      <c r="GC702" s="1098"/>
      <c r="GD702" s="1098"/>
      <c r="GE702" s="1098"/>
      <c r="GF702" s="1098"/>
      <c r="GG702" s="1098"/>
      <c r="GH702" s="1098"/>
      <c r="GI702" s="1098"/>
      <c r="GJ702" s="1098"/>
      <c r="GK702" s="1098"/>
      <c r="GL702" s="1098"/>
      <c r="GM702" s="1098"/>
      <c r="GN702" s="1098"/>
      <c r="GO702" s="1098"/>
      <c r="GP702" s="1098"/>
      <c r="GQ702" s="1098"/>
      <c r="GR702" s="1098"/>
      <c r="GS702" s="1098"/>
      <c r="GT702" s="1098"/>
      <c r="GU702" s="1098"/>
      <c r="GV702" s="1098"/>
      <c r="GW702" s="1098"/>
      <c r="GX702" s="1098"/>
      <c r="GY702" s="1098"/>
      <c r="GZ702" s="1098"/>
      <c r="HA702" s="1098"/>
      <c r="HB702" s="1098"/>
      <c r="HC702" s="1098"/>
      <c r="HD702" s="1098"/>
      <c r="HE702" s="1098"/>
      <c r="HF702" s="1098"/>
      <c r="HG702" s="1098"/>
      <c r="HH702" s="1098"/>
      <c r="HI702" s="1098"/>
      <c r="HJ702" s="1098"/>
      <c r="HK702" s="1098"/>
      <c r="HL702" s="1098"/>
      <c r="HM702" s="1098"/>
      <c r="HN702" s="1098"/>
      <c r="HO702" s="1098"/>
      <c r="HP702" s="1098"/>
      <c r="HQ702" s="1098"/>
      <c r="HR702" s="1098"/>
      <c r="HS702" s="1098"/>
      <c r="HT702" s="1098"/>
      <c r="HU702" s="1098"/>
      <c r="HV702" s="1098"/>
      <c r="HW702" s="1098"/>
      <c r="HX702" s="1098"/>
      <c r="HY702" s="1098"/>
      <c r="HZ702" s="1098"/>
      <c r="IA702" s="1098"/>
      <c r="IB702" s="1098"/>
      <c r="IC702" s="1098"/>
      <c r="ID702" s="1098"/>
      <c r="IE702" s="1098"/>
      <c r="IF702" s="1098"/>
      <c r="IG702" s="1098"/>
      <c r="IH702" s="1098"/>
      <c r="II702" s="1098"/>
      <c r="IJ702" s="1098"/>
      <c r="IK702" s="1098"/>
      <c r="IL702" s="1098"/>
      <c r="IM702" s="1098"/>
      <c r="IN702" s="1098"/>
      <c r="IO702" s="1098"/>
      <c r="IP702" s="1098"/>
      <c r="IQ702" s="1098"/>
      <c r="IR702" s="1098"/>
      <c r="IS702" s="1098"/>
      <c r="IT702" s="1098"/>
      <c r="IU702" s="1098"/>
      <c r="IV702" s="1098"/>
      <c r="IW702" s="1098"/>
      <c r="IX702" s="1098"/>
      <c r="IY702" s="1098"/>
      <c r="IZ702" s="1098"/>
      <c r="JA702" s="1098"/>
      <c r="JB702" s="1098"/>
      <c r="JC702" s="1098"/>
      <c r="JD702" s="1098"/>
      <c r="JE702" s="1098"/>
      <c r="JF702" s="1098"/>
      <c r="JG702" s="1098"/>
      <c r="JH702" s="1098"/>
      <c r="JI702" s="1098"/>
      <c r="JJ702" s="1098"/>
      <c r="JK702" s="1098"/>
      <c r="JL702" s="1098"/>
      <c r="JM702" s="1098"/>
      <c r="JN702" s="1098"/>
      <c r="JO702" s="1098"/>
      <c r="JP702" s="1098"/>
      <c r="JQ702" s="1098"/>
      <c r="JR702" s="1098"/>
      <c r="JS702" s="1098"/>
      <c r="JT702" s="1098"/>
      <c r="JU702" s="1098"/>
      <c r="JV702" s="1098"/>
      <c r="JW702" s="1098"/>
      <c r="JX702" s="1098"/>
      <c r="JY702" s="1098"/>
      <c r="JZ702" s="1098"/>
      <c r="KA702" s="1098"/>
      <c r="KB702" s="1099"/>
    </row>
    <row r="703" spans="2:288" ht="15" customHeight="1" x14ac:dyDescent="0.35">
      <c r="B703" s="146" t="str">
        <f t="shared" si="56"/>
        <v>Desk 73</v>
      </c>
      <c r="C703" s="148" t="str">
        <v/>
      </c>
      <c r="D703" s="148" t="str">
        <v/>
      </c>
      <c r="E703" s="148" t="str">
        <v/>
      </c>
      <c r="F703" s="148" t="str">
        <v/>
      </c>
      <c r="G703" s="268" t="str">
        <v/>
      </c>
      <c r="H703" s="1098"/>
      <c r="I703" s="1098"/>
      <c r="J703" s="1098"/>
      <c r="K703" s="1098"/>
      <c r="L703" s="1098"/>
      <c r="M703" s="1098"/>
      <c r="N703" s="1098"/>
      <c r="O703" s="1098"/>
      <c r="P703" s="1098"/>
      <c r="Q703" s="1098"/>
      <c r="R703" s="1098"/>
      <c r="S703" s="1098"/>
      <c r="T703" s="1098"/>
      <c r="U703" s="1098"/>
      <c r="V703" s="1098"/>
      <c r="W703" s="1098"/>
      <c r="X703" s="1098"/>
      <c r="Y703" s="1098"/>
      <c r="Z703" s="1098"/>
      <c r="AA703" s="1098"/>
      <c r="AB703" s="1098"/>
      <c r="AC703" s="1098"/>
      <c r="AD703" s="1098"/>
      <c r="AE703" s="1098"/>
      <c r="AF703" s="1098"/>
      <c r="AG703" s="1098"/>
      <c r="AH703" s="1098"/>
      <c r="AI703" s="1098"/>
      <c r="AJ703" s="1098"/>
      <c r="AK703" s="1098"/>
      <c r="AL703" s="1098"/>
      <c r="AM703" s="1098"/>
      <c r="AN703" s="1098"/>
      <c r="AO703" s="1098"/>
      <c r="AP703" s="1098"/>
      <c r="AQ703" s="1098"/>
      <c r="AR703" s="1098"/>
      <c r="AS703" s="1098"/>
      <c r="AT703" s="1098"/>
      <c r="AU703" s="1098"/>
      <c r="AV703" s="1098"/>
      <c r="AW703" s="1098"/>
      <c r="AX703" s="1098"/>
      <c r="AY703" s="1098"/>
      <c r="AZ703" s="1098"/>
      <c r="BA703" s="1098"/>
      <c r="BB703" s="1098"/>
      <c r="BC703" s="1098"/>
      <c r="BD703" s="1098"/>
      <c r="BE703" s="1098"/>
      <c r="BF703" s="1098"/>
      <c r="BG703" s="1098"/>
      <c r="BH703" s="1098"/>
      <c r="BI703" s="1098"/>
      <c r="BJ703" s="1098"/>
      <c r="BK703" s="1098"/>
      <c r="BL703" s="1098"/>
      <c r="BM703" s="1098"/>
      <c r="BN703" s="1098"/>
      <c r="BO703" s="1098"/>
      <c r="BP703" s="1098"/>
      <c r="BQ703" s="1098"/>
      <c r="BR703" s="1098"/>
      <c r="BS703" s="1098"/>
      <c r="BT703" s="1098"/>
      <c r="BU703" s="1098"/>
      <c r="BV703" s="1098"/>
      <c r="BW703" s="1098"/>
      <c r="BX703" s="1098"/>
      <c r="BY703" s="1098"/>
      <c r="BZ703" s="1098"/>
      <c r="CA703" s="1098"/>
      <c r="CB703" s="1098"/>
      <c r="CC703" s="1098"/>
      <c r="CD703" s="1098"/>
      <c r="CE703" s="1098"/>
      <c r="CF703" s="1098"/>
      <c r="CG703" s="1098"/>
      <c r="CH703" s="1098"/>
      <c r="CI703" s="1098"/>
      <c r="CJ703" s="1098"/>
      <c r="CK703" s="1098"/>
      <c r="CL703" s="1098"/>
      <c r="CM703" s="1098"/>
      <c r="CN703" s="1098"/>
      <c r="CO703" s="1098"/>
      <c r="CP703" s="1098"/>
      <c r="CQ703" s="1098"/>
      <c r="CR703" s="1098"/>
      <c r="CS703" s="1098"/>
      <c r="CT703" s="1098"/>
      <c r="CU703" s="1098"/>
      <c r="CV703" s="1098"/>
      <c r="CW703" s="1098"/>
      <c r="CX703" s="1098"/>
      <c r="CY703" s="1098"/>
      <c r="CZ703" s="1098"/>
      <c r="DA703" s="1098"/>
      <c r="DB703" s="1098"/>
      <c r="DC703" s="1098"/>
      <c r="DD703" s="1098"/>
      <c r="DE703" s="1098"/>
      <c r="DF703" s="1098"/>
      <c r="DG703" s="1098"/>
      <c r="DH703" s="1098"/>
      <c r="DI703" s="1098"/>
      <c r="DJ703" s="1098"/>
      <c r="DK703" s="1098"/>
      <c r="DL703" s="1098"/>
      <c r="DM703" s="1098"/>
      <c r="DN703" s="1098"/>
      <c r="DO703" s="1098"/>
      <c r="DP703" s="1098"/>
      <c r="DQ703" s="1098"/>
      <c r="DR703" s="1098"/>
      <c r="DS703" s="1098"/>
      <c r="DT703" s="1098"/>
      <c r="DU703" s="1098"/>
      <c r="DV703" s="1098"/>
      <c r="DW703" s="1098"/>
      <c r="DX703" s="1098"/>
      <c r="DY703" s="1098"/>
      <c r="DZ703" s="1098"/>
      <c r="EA703" s="1098"/>
      <c r="EB703" s="1098"/>
      <c r="EC703" s="1098"/>
      <c r="ED703" s="1098"/>
      <c r="EE703" s="1098"/>
      <c r="EF703" s="1098"/>
      <c r="EG703" s="1098"/>
      <c r="EH703" s="1098"/>
      <c r="EI703" s="1098"/>
      <c r="EJ703" s="1098"/>
      <c r="EK703" s="1098"/>
      <c r="EL703" s="1098"/>
      <c r="EM703" s="1098"/>
      <c r="EN703" s="1098"/>
      <c r="EO703" s="1098"/>
      <c r="EP703" s="1098"/>
      <c r="EQ703" s="1098"/>
      <c r="ER703" s="1098"/>
      <c r="ES703" s="1098"/>
      <c r="ET703" s="1098"/>
      <c r="EU703" s="1098"/>
      <c r="EV703" s="1098"/>
      <c r="EW703" s="1098"/>
      <c r="EX703" s="1098"/>
      <c r="EY703" s="1098"/>
      <c r="EZ703" s="1098"/>
      <c r="FA703" s="1098"/>
      <c r="FB703" s="1098"/>
      <c r="FC703" s="1098"/>
      <c r="FD703" s="1098"/>
      <c r="FE703" s="1098"/>
      <c r="FF703" s="1098"/>
      <c r="FG703" s="1098"/>
      <c r="FH703" s="1098"/>
      <c r="FI703" s="1098"/>
      <c r="FJ703" s="1098"/>
      <c r="FK703" s="1098"/>
      <c r="FL703" s="1098"/>
      <c r="FM703" s="1098"/>
      <c r="FN703" s="1098"/>
      <c r="FO703" s="1098"/>
      <c r="FP703" s="1098"/>
      <c r="FQ703" s="1098"/>
      <c r="FR703" s="1098"/>
      <c r="FS703" s="1098"/>
      <c r="FT703" s="1098"/>
      <c r="FU703" s="1098"/>
      <c r="FV703" s="1098"/>
      <c r="FW703" s="1098"/>
      <c r="FX703" s="1098"/>
      <c r="FY703" s="1098"/>
      <c r="FZ703" s="1098"/>
      <c r="GA703" s="1098"/>
      <c r="GB703" s="1098"/>
      <c r="GC703" s="1098"/>
      <c r="GD703" s="1098"/>
      <c r="GE703" s="1098"/>
      <c r="GF703" s="1098"/>
      <c r="GG703" s="1098"/>
      <c r="GH703" s="1098"/>
      <c r="GI703" s="1098"/>
      <c r="GJ703" s="1098"/>
      <c r="GK703" s="1098"/>
      <c r="GL703" s="1098"/>
      <c r="GM703" s="1098"/>
      <c r="GN703" s="1098"/>
      <c r="GO703" s="1098"/>
      <c r="GP703" s="1098"/>
      <c r="GQ703" s="1098"/>
      <c r="GR703" s="1098"/>
      <c r="GS703" s="1098"/>
      <c r="GT703" s="1098"/>
      <c r="GU703" s="1098"/>
      <c r="GV703" s="1098"/>
      <c r="GW703" s="1098"/>
      <c r="GX703" s="1098"/>
      <c r="GY703" s="1098"/>
      <c r="GZ703" s="1098"/>
      <c r="HA703" s="1098"/>
      <c r="HB703" s="1098"/>
      <c r="HC703" s="1098"/>
      <c r="HD703" s="1098"/>
      <c r="HE703" s="1098"/>
      <c r="HF703" s="1098"/>
      <c r="HG703" s="1098"/>
      <c r="HH703" s="1098"/>
      <c r="HI703" s="1098"/>
      <c r="HJ703" s="1098"/>
      <c r="HK703" s="1098"/>
      <c r="HL703" s="1098"/>
      <c r="HM703" s="1098"/>
      <c r="HN703" s="1098"/>
      <c r="HO703" s="1098"/>
      <c r="HP703" s="1098"/>
      <c r="HQ703" s="1098"/>
      <c r="HR703" s="1098"/>
      <c r="HS703" s="1098"/>
      <c r="HT703" s="1098"/>
      <c r="HU703" s="1098"/>
      <c r="HV703" s="1098"/>
      <c r="HW703" s="1098"/>
      <c r="HX703" s="1098"/>
      <c r="HY703" s="1098"/>
      <c r="HZ703" s="1098"/>
      <c r="IA703" s="1098"/>
      <c r="IB703" s="1098"/>
      <c r="IC703" s="1098"/>
      <c r="ID703" s="1098"/>
      <c r="IE703" s="1098"/>
      <c r="IF703" s="1098"/>
      <c r="IG703" s="1098"/>
      <c r="IH703" s="1098"/>
      <c r="II703" s="1098"/>
      <c r="IJ703" s="1098"/>
      <c r="IK703" s="1098"/>
      <c r="IL703" s="1098"/>
      <c r="IM703" s="1098"/>
      <c r="IN703" s="1098"/>
      <c r="IO703" s="1098"/>
      <c r="IP703" s="1098"/>
      <c r="IQ703" s="1098"/>
      <c r="IR703" s="1098"/>
      <c r="IS703" s="1098"/>
      <c r="IT703" s="1098"/>
      <c r="IU703" s="1098"/>
      <c r="IV703" s="1098"/>
      <c r="IW703" s="1098"/>
      <c r="IX703" s="1098"/>
      <c r="IY703" s="1098"/>
      <c r="IZ703" s="1098"/>
      <c r="JA703" s="1098"/>
      <c r="JB703" s="1098"/>
      <c r="JC703" s="1098"/>
      <c r="JD703" s="1098"/>
      <c r="JE703" s="1098"/>
      <c r="JF703" s="1098"/>
      <c r="JG703" s="1098"/>
      <c r="JH703" s="1098"/>
      <c r="JI703" s="1098"/>
      <c r="JJ703" s="1098"/>
      <c r="JK703" s="1098"/>
      <c r="JL703" s="1098"/>
      <c r="JM703" s="1098"/>
      <c r="JN703" s="1098"/>
      <c r="JO703" s="1098"/>
      <c r="JP703" s="1098"/>
      <c r="JQ703" s="1098"/>
      <c r="JR703" s="1098"/>
      <c r="JS703" s="1098"/>
      <c r="JT703" s="1098"/>
      <c r="JU703" s="1098"/>
      <c r="JV703" s="1098"/>
      <c r="JW703" s="1098"/>
      <c r="JX703" s="1098"/>
      <c r="JY703" s="1098"/>
      <c r="JZ703" s="1098"/>
      <c r="KA703" s="1098"/>
      <c r="KB703" s="1099"/>
    </row>
    <row r="704" spans="2:288" ht="15" customHeight="1" x14ac:dyDescent="0.35">
      <c r="B704" s="146" t="str">
        <f t="shared" si="56"/>
        <v>Desk 74</v>
      </c>
      <c r="C704" s="148" t="str">
        <v/>
      </c>
      <c r="D704" s="148" t="str">
        <v/>
      </c>
      <c r="E704" s="148" t="str">
        <v/>
      </c>
      <c r="F704" s="148" t="str">
        <v/>
      </c>
      <c r="G704" s="268" t="str">
        <v/>
      </c>
      <c r="H704" s="1098"/>
      <c r="I704" s="1098"/>
      <c r="J704" s="1098"/>
      <c r="K704" s="1098"/>
      <c r="L704" s="1098"/>
      <c r="M704" s="1098"/>
      <c r="N704" s="1098"/>
      <c r="O704" s="1098"/>
      <c r="P704" s="1098"/>
      <c r="Q704" s="1098"/>
      <c r="R704" s="1098"/>
      <c r="S704" s="1098"/>
      <c r="T704" s="1098"/>
      <c r="U704" s="1098"/>
      <c r="V704" s="1098"/>
      <c r="W704" s="1098"/>
      <c r="X704" s="1098"/>
      <c r="Y704" s="1098"/>
      <c r="Z704" s="1098"/>
      <c r="AA704" s="1098"/>
      <c r="AB704" s="1098"/>
      <c r="AC704" s="1098"/>
      <c r="AD704" s="1098"/>
      <c r="AE704" s="1098"/>
      <c r="AF704" s="1098"/>
      <c r="AG704" s="1098"/>
      <c r="AH704" s="1098"/>
      <c r="AI704" s="1098"/>
      <c r="AJ704" s="1098"/>
      <c r="AK704" s="1098"/>
      <c r="AL704" s="1098"/>
      <c r="AM704" s="1098"/>
      <c r="AN704" s="1098"/>
      <c r="AO704" s="1098"/>
      <c r="AP704" s="1098"/>
      <c r="AQ704" s="1098"/>
      <c r="AR704" s="1098"/>
      <c r="AS704" s="1098"/>
      <c r="AT704" s="1098"/>
      <c r="AU704" s="1098"/>
      <c r="AV704" s="1098"/>
      <c r="AW704" s="1098"/>
      <c r="AX704" s="1098"/>
      <c r="AY704" s="1098"/>
      <c r="AZ704" s="1098"/>
      <c r="BA704" s="1098"/>
      <c r="BB704" s="1098"/>
      <c r="BC704" s="1098"/>
      <c r="BD704" s="1098"/>
      <c r="BE704" s="1098"/>
      <c r="BF704" s="1098"/>
      <c r="BG704" s="1098"/>
      <c r="BH704" s="1098"/>
      <c r="BI704" s="1098"/>
      <c r="BJ704" s="1098"/>
      <c r="BK704" s="1098"/>
      <c r="BL704" s="1098"/>
      <c r="BM704" s="1098"/>
      <c r="BN704" s="1098"/>
      <c r="BO704" s="1098"/>
      <c r="BP704" s="1098"/>
      <c r="BQ704" s="1098"/>
      <c r="BR704" s="1098"/>
      <c r="BS704" s="1098"/>
      <c r="BT704" s="1098"/>
      <c r="BU704" s="1098"/>
      <c r="BV704" s="1098"/>
      <c r="BW704" s="1098"/>
      <c r="BX704" s="1098"/>
      <c r="BY704" s="1098"/>
      <c r="BZ704" s="1098"/>
      <c r="CA704" s="1098"/>
      <c r="CB704" s="1098"/>
      <c r="CC704" s="1098"/>
      <c r="CD704" s="1098"/>
      <c r="CE704" s="1098"/>
      <c r="CF704" s="1098"/>
      <c r="CG704" s="1098"/>
      <c r="CH704" s="1098"/>
      <c r="CI704" s="1098"/>
      <c r="CJ704" s="1098"/>
      <c r="CK704" s="1098"/>
      <c r="CL704" s="1098"/>
      <c r="CM704" s="1098"/>
      <c r="CN704" s="1098"/>
      <c r="CO704" s="1098"/>
      <c r="CP704" s="1098"/>
      <c r="CQ704" s="1098"/>
      <c r="CR704" s="1098"/>
      <c r="CS704" s="1098"/>
      <c r="CT704" s="1098"/>
      <c r="CU704" s="1098"/>
      <c r="CV704" s="1098"/>
      <c r="CW704" s="1098"/>
      <c r="CX704" s="1098"/>
      <c r="CY704" s="1098"/>
      <c r="CZ704" s="1098"/>
      <c r="DA704" s="1098"/>
      <c r="DB704" s="1098"/>
      <c r="DC704" s="1098"/>
      <c r="DD704" s="1098"/>
      <c r="DE704" s="1098"/>
      <c r="DF704" s="1098"/>
      <c r="DG704" s="1098"/>
      <c r="DH704" s="1098"/>
      <c r="DI704" s="1098"/>
      <c r="DJ704" s="1098"/>
      <c r="DK704" s="1098"/>
      <c r="DL704" s="1098"/>
      <c r="DM704" s="1098"/>
      <c r="DN704" s="1098"/>
      <c r="DO704" s="1098"/>
      <c r="DP704" s="1098"/>
      <c r="DQ704" s="1098"/>
      <c r="DR704" s="1098"/>
      <c r="DS704" s="1098"/>
      <c r="DT704" s="1098"/>
      <c r="DU704" s="1098"/>
      <c r="DV704" s="1098"/>
      <c r="DW704" s="1098"/>
      <c r="DX704" s="1098"/>
      <c r="DY704" s="1098"/>
      <c r="DZ704" s="1098"/>
      <c r="EA704" s="1098"/>
      <c r="EB704" s="1098"/>
      <c r="EC704" s="1098"/>
      <c r="ED704" s="1098"/>
      <c r="EE704" s="1098"/>
      <c r="EF704" s="1098"/>
      <c r="EG704" s="1098"/>
      <c r="EH704" s="1098"/>
      <c r="EI704" s="1098"/>
      <c r="EJ704" s="1098"/>
      <c r="EK704" s="1098"/>
      <c r="EL704" s="1098"/>
      <c r="EM704" s="1098"/>
      <c r="EN704" s="1098"/>
      <c r="EO704" s="1098"/>
      <c r="EP704" s="1098"/>
      <c r="EQ704" s="1098"/>
      <c r="ER704" s="1098"/>
      <c r="ES704" s="1098"/>
      <c r="ET704" s="1098"/>
      <c r="EU704" s="1098"/>
      <c r="EV704" s="1098"/>
      <c r="EW704" s="1098"/>
      <c r="EX704" s="1098"/>
      <c r="EY704" s="1098"/>
      <c r="EZ704" s="1098"/>
      <c r="FA704" s="1098"/>
      <c r="FB704" s="1098"/>
      <c r="FC704" s="1098"/>
      <c r="FD704" s="1098"/>
      <c r="FE704" s="1098"/>
      <c r="FF704" s="1098"/>
      <c r="FG704" s="1098"/>
      <c r="FH704" s="1098"/>
      <c r="FI704" s="1098"/>
      <c r="FJ704" s="1098"/>
      <c r="FK704" s="1098"/>
      <c r="FL704" s="1098"/>
      <c r="FM704" s="1098"/>
      <c r="FN704" s="1098"/>
      <c r="FO704" s="1098"/>
      <c r="FP704" s="1098"/>
      <c r="FQ704" s="1098"/>
      <c r="FR704" s="1098"/>
      <c r="FS704" s="1098"/>
      <c r="FT704" s="1098"/>
      <c r="FU704" s="1098"/>
      <c r="FV704" s="1098"/>
      <c r="FW704" s="1098"/>
      <c r="FX704" s="1098"/>
      <c r="FY704" s="1098"/>
      <c r="FZ704" s="1098"/>
      <c r="GA704" s="1098"/>
      <c r="GB704" s="1098"/>
      <c r="GC704" s="1098"/>
      <c r="GD704" s="1098"/>
      <c r="GE704" s="1098"/>
      <c r="GF704" s="1098"/>
      <c r="GG704" s="1098"/>
      <c r="GH704" s="1098"/>
      <c r="GI704" s="1098"/>
      <c r="GJ704" s="1098"/>
      <c r="GK704" s="1098"/>
      <c r="GL704" s="1098"/>
      <c r="GM704" s="1098"/>
      <c r="GN704" s="1098"/>
      <c r="GO704" s="1098"/>
      <c r="GP704" s="1098"/>
      <c r="GQ704" s="1098"/>
      <c r="GR704" s="1098"/>
      <c r="GS704" s="1098"/>
      <c r="GT704" s="1098"/>
      <c r="GU704" s="1098"/>
      <c r="GV704" s="1098"/>
      <c r="GW704" s="1098"/>
      <c r="GX704" s="1098"/>
      <c r="GY704" s="1098"/>
      <c r="GZ704" s="1098"/>
      <c r="HA704" s="1098"/>
      <c r="HB704" s="1098"/>
      <c r="HC704" s="1098"/>
      <c r="HD704" s="1098"/>
      <c r="HE704" s="1098"/>
      <c r="HF704" s="1098"/>
      <c r="HG704" s="1098"/>
      <c r="HH704" s="1098"/>
      <c r="HI704" s="1098"/>
      <c r="HJ704" s="1098"/>
      <c r="HK704" s="1098"/>
      <c r="HL704" s="1098"/>
      <c r="HM704" s="1098"/>
      <c r="HN704" s="1098"/>
      <c r="HO704" s="1098"/>
      <c r="HP704" s="1098"/>
      <c r="HQ704" s="1098"/>
      <c r="HR704" s="1098"/>
      <c r="HS704" s="1098"/>
      <c r="HT704" s="1098"/>
      <c r="HU704" s="1098"/>
      <c r="HV704" s="1098"/>
      <c r="HW704" s="1098"/>
      <c r="HX704" s="1098"/>
      <c r="HY704" s="1098"/>
      <c r="HZ704" s="1098"/>
      <c r="IA704" s="1098"/>
      <c r="IB704" s="1098"/>
      <c r="IC704" s="1098"/>
      <c r="ID704" s="1098"/>
      <c r="IE704" s="1098"/>
      <c r="IF704" s="1098"/>
      <c r="IG704" s="1098"/>
      <c r="IH704" s="1098"/>
      <c r="II704" s="1098"/>
      <c r="IJ704" s="1098"/>
      <c r="IK704" s="1098"/>
      <c r="IL704" s="1098"/>
      <c r="IM704" s="1098"/>
      <c r="IN704" s="1098"/>
      <c r="IO704" s="1098"/>
      <c r="IP704" s="1098"/>
      <c r="IQ704" s="1098"/>
      <c r="IR704" s="1098"/>
      <c r="IS704" s="1098"/>
      <c r="IT704" s="1098"/>
      <c r="IU704" s="1098"/>
      <c r="IV704" s="1098"/>
      <c r="IW704" s="1098"/>
      <c r="IX704" s="1098"/>
      <c r="IY704" s="1098"/>
      <c r="IZ704" s="1098"/>
      <c r="JA704" s="1098"/>
      <c r="JB704" s="1098"/>
      <c r="JC704" s="1098"/>
      <c r="JD704" s="1098"/>
      <c r="JE704" s="1098"/>
      <c r="JF704" s="1098"/>
      <c r="JG704" s="1098"/>
      <c r="JH704" s="1098"/>
      <c r="JI704" s="1098"/>
      <c r="JJ704" s="1098"/>
      <c r="JK704" s="1098"/>
      <c r="JL704" s="1098"/>
      <c r="JM704" s="1098"/>
      <c r="JN704" s="1098"/>
      <c r="JO704" s="1098"/>
      <c r="JP704" s="1098"/>
      <c r="JQ704" s="1098"/>
      <c r="JR704" s="1098"/>
      <c r="JS704" s="1098"/>
      <c r="JT704" s="1098"/>
      <c r="JU704" s="1098"/>
      <c r="JV704" s="1098"/>
      <c r="JW704" s="1098"/>
      <c r="JX704" s="1098"/>
      <c r="JY704" s="1098"/>
      <c r="JZ704" s="1098"/>
      <c r="KA704" s="1098"/>
      <c r="KB704" s="1099"/>
    </row>
    <row r="705" spans="2:288" ht="15" customHeight="1" x14ac:dyDescent="0.35">
      <c r="B705" s="146" t="str">
        <f t="shared" si="56"/>
        <v>Desk 75</v>
      </c>
      <c r="C705" s="148" t="str">
        <v/>
      </c>
      <c r="D705" s="148" t="str">
        <v/>
      </c>
      <c r="E705" s="148" t="str">
        <v/>
      </c>
      <c r="F705" s="148" t="str">
        <v/>
      </c>
      <c r="G705" s="268" t="str">
        <v/>
      </c>
      <c r="H705" s="1098"/>
      <c r="I705" s="1098"/>
      <c r="J705" s="1098"/>
      <c r="K705" s="1098"/>
      <c r="L705" s="1098"/>
      <c r="M705" s="1098"/>
      <c r="N705" s="1098"/>
      <c r="O705" s="1098"/>
      <c r="P705" s="1098"/>
      <c r="Q705" s="1098"/>
      <c r="R705" s="1098"/>
      <c r="S705" s="1098"/>
      <c r="T705" s="1098"/>
      <c r="U705" s="1098"/>
      <c r="V705" s="1098"/>
      <c r="W705" s="1098"/>
      <c r="X705" s="1098"/>
      <c r="Y705" s="1098"/>
      <c r="Z705" s="1098"/>
      <c r="AA705" s="1098"/>
      <c r="AB705" s="1098"/>
      <c r="AC705" s="1098"/>
      <c r="AD705" s="1098"/>
      <c r="AE705" s="1098"/>
      <c r="AF705" s="1098"/>
      <c r="AG705" s="1098"/>
      <c r="AH705" s="1098"/>
      <c r="AI705" s="1098"/>
      <c r="AJ705" s="1098"/>
      <c r="AK705" s="1098"/>
      <c r="AL705" s="1098"/>
      <c r="AM705" s="1098"/>
      <c r="AN705" s="1098"/>
      <c r="AO705" s="1098"/>
      <c r="AP705" s="1098"/>
      <c r="AQ705" s="1098"/>
      <c r="AR705" s="1098"/>
      <c r="AS705" s="1098"/>
      <c r="AT705" s="1098"/>
      <c r="AU705" s="1098"/>
      <c r="AV705" s="1098"/>
      <c r="AW705" s="1098"/>
      <c r="AX705" s="1098"/>
      <c r="AY705" s="1098"/>
      <c r="AZ705" s="1098"/>
      <c r="BA705" s="1098"/>
      <c r="BB705" s="1098"/>
      <c r="BC705" s="1098"/>
      <c r="BD705" s="1098"/>
      <c r="BE705" s="1098"/>
      <c r="BF705" s="1098"/>
      <c r="BG705" s="1098"/>
      <c r="BH705" s="1098"/>
      <c r="BI705" s="1098"/>
      <c r="BJ705" s="1098"/>
      <c r="BK705" s="1098"/>
      <c r="BL705" s="1098"/>
      <c r="BM705" s="1098"/>
      <c r="BN705" s="1098"/>
      <c r="BO705" s="1098"/>
      <c r="BP705" s="1098"/>
      <c r="BQ705" s="1098"/>
      <c r="BR705" s="1098"/>
      <c r="BS705" s="1098"/>
      <c r="BT705" s="1098"/>
      <c r="BU705" s="1098"/>
      <c r="BV705" s="1098"/>
      <c r="BW705" s="1098"/>
      <c r="BX705" s="1098"/>
      <c r="BY705" s="1098"/>
      <c r="BZ705" s="1098"/>
      <c r="CA705" s="1098"/>
      <c r="CB705" s="1098"/>
      <c r="CC705" s="1098"/>
      <c r="CD705" s="1098"/>
      <c r="CE705" s="1098"/>
      <c r="CF705" s="1098"/>
      <c r="CG705" s="1098"/>
      <c r="CH705" s="1098"/>
      <c r="CI705" s="1098"/>
      <c r="CJ705" s="1098"/>
      <c r="CK705" s="1098"/>
      <c r="CL705" s="1098"/>
      <c r="CM705" s="1098"/>
      <c r="CN705" s="1098"/>
      <c r="CO705" s="1098"/>
      <c r="CP705" s="1098"/>
      <c r="CQ705" s="1098"/>
      <c r="CR705" s="1098"/>
      <c r="CS705" s="1098"/>
      <c r="CT705" s="1098"/>
      <c r="CU705" s="1098"/>
      <c r="CV705" s="1098"/>
      <c r="CW705" s="1098"/>
      <c r="CX705" s="1098"/>
      <c r="CY705" s="1098"/>
      <c r="CZ705" s="1098"/>
      <c r="DA705" s="1098"/>
      <c r="DB705" s="1098"/>
      <c r="DC705" s="1098"/>
      <c r="DD705" s="1098"/>
      <c r="DE705" s="1098"/>
      <c r="DF705" s="1098"/>
      <c r="DG705" s="1098"/>
      <c r="DH705" s="1098"/>
      <c r="DI705" s="1098"/>
      <c r="DJ705" s="1098"/>
      <c r="DK705" s="1098"/>
      <c r="DL705" s="1098"/>
      <c r="DM705" s="1098"/>
      <c r="DN705" s="1098"/>
      <c r="DO705" s="1098"/>
      <c r="DP705" s="1098"/>
      <c r="DQ705" s="1098"/>
      <c r="DR705" s="1098"/>
      <c r="DS705" s="1098"/>
      <c r="DT705" s="1098"/>
      <c r="DU705" s="1098"/>
      <c r="DV705" s="1098"/>
      <c r="DW705" s="1098"/>
      <c r="DX705" s="1098"/>
      <c r="DY705" s="1098"/>
      <c r="DZ705" s="1098"/>
      <c r="EA705" s="1098"/>
      <c r="EB705" s="1098"/>
      <c r="EC705" s="1098"/>
      <c r="ED705" s="1098"/>
      <c r="EE705" s="1098"/>
      <c r="EF705" s="1098"/>
      <c r="EG705" s="1098"/>
      <c r="EH705" s="1098"/>
      <c r="EI705" s="1098"/>
      <c r="EJ705" s="1098"/>
      <c r="EK705" s="1098"/>
      <c r="EL705" s="1098"/>
      <c r="EM705" s="1098"/>
      <c r="EN705" s="1098"/>
      <c r="EO705" s="1098"/>
      <c r="EP705" s="1098"/>
      <c r="EQ705" s="1098"/>
      <c r="ER705" s="1098"/>
      <c r="ES705" s="1098"/>
      <c r="ET705" s="1098"/>
      <c r="EU705" s="1098"/>
      <c r="EV705" s="1098"/>
      <c r="EW705" s="1098"/>
      <c r="EX705" s="1098"/>
      <c r="EY705" s="1098"/>
      <c r="EZ705" s="1098"/>
      <c r="FA705" s="1098"/>
      <c r="FB705" s="1098"/>
      <c r="FC705" s="1098"/>
      <c r="FD705" s="1098"/>
      <c r="FE705" s="1098"/>
      <c r="FF705" s="1098"/>
      <c r="FG705" s="1098"/>
      <c r="FH705" s="1098"/>
      <c r="FI705" s="1098"/>
      <c r="FJ705" s="1098"/>
      <c r="FK705" s="1098"/>
      <c r="FL705" s="1098"/>
      <c r="FM705" s="1098"/>
      <c r="FN705" s="1098"/>
      <c r="FO705" s="1098"/>
      <c r="FP705" s="1098"/>
      <c r="FQ705" s="1098"/>
      <c r="FR705" s="1098"/>
      <c r="FS705" s="1098"/>
      <c r="FT705" s="1098"/>
      <c r="FU705" s="1098"/>
      <c r="FV705" s="1098"/>
      <c r="FW705" s="1098"/>
      <c r="FX705" s="1098"/>
      <c r="FY705" s="1098"/>
      <c r="FZ705" s="1098"/>
      <c r="GA705" s="1098"/>
      <c r="GB705" s="1098"/>
      <c r="GC705" s="1098"/>
      <c r="GD705" s="1098"/>
      <c r="GE705" s="1098"/>
      <c r="GF705" s="1098"/>
      <c r="GG705" s="1098"/>
      <c r="GH705" s="1098"/>
      <c r="GI705" s="1098"/>
      <c r="GJ705" s="1098"/>
      <c r="GK705" s="1098"/>
      <c r="GL705" s="1098"/>
      <c r="GM705" s="1098"/>
      <c r="GN705" s="1098"/>
      <c r="GO705" s="1098"/>
      <c r="GP705" s="1098"/>
      <c r="GQ705" s="1098"/>
      <c r="GR705" s="1098"/>
      <c r="GS705" s="1098"/>
      <c r="GT705" s="1098"/>
      <c r="GU705" s="1098"/>
      <c r="GV705" s="1098"/>
      <c r="GW705" s="1098"/>
      <c r="GX705" s="1098"/>
      <c r="GY705" s="1098"/>
      <c r="GZ705" s="1098"/>
      <c r="HA705" s="1098"/>
      <c r="HB705" s="1098"/>
      <c r="HC705" s="1098"/>
      <c r="HD705" s="1098"/>
      <c r="HE705" s="1098"/>
      <c r="HF705" s="1098"/>
      <c r="HG705" s="1098"/>
      <c r="HH705" s="1098"/>
      <c r="HI705" s="1098"/>
      <c r="HJ705" s="1098"/>
      <c r="HK705" s="1098"/>
      <c r="HL705" s="1098"/>
      <c r="HM705" s="1098"/>
      <c r="HN705" s="1098"/>
      <c r="HO705" s="1098"/>
      <c r="HP705" s="1098"/>
      <c r="HQ705" s="1098"/>
      <c r="HR705" s="1098"/>
      <c r="HS705" s="1098"/>
      <c r="HT705" s="1098"/>
      <c r="HU705" s="1098"/>
      <c r="HV705" s="1098"/>
      <c r="HW705" s="1098"/>
      <c r="HX705" s="1098"/>
      <c r="HY705" s="1098"/>
      <c r="HZ705" s="1098"/>
      <c r="IA705" s="1098"/>
      <c r="IB705" s="1098"/>
      <c r="IC705" s="1098"/>
      <c r="ID705" s="1098"/>
      <c r="IE705" s="1098"/>
      <c r="IF705" s="1098"/>
      <c r="IG705" s="1098"/>
      <c r="IH705" s="1098"/>
      <c r="II705" s="1098"/>
      <c r="IJ705" s="1098"/>
      <c r="IK705" s="1098"/>
      <c r="IL705" s="1098"/>
      <c r="IM705" s="1098"/>
      <c r="IN705" s="1098"/>
      <c r="IO705" s="1098"/>
      <c r="IP705" s="1098"/>
      <c r="IQ705" s="1098"/>
      <c r="IR705" s="1098"/>
      <c r="IS705" s="1098"/>
      <c r="IT705" s="1098"/>
      <c r="IU705" s="1098"/>
      <c r="IV705" s="1098"/>
      <c r="IW705" s="1098"/>
      <c r="IX705" s="1098"/>
      <c r="IY705" s="1098"/>
      <c r="IZ705" s="1098"/>
      <c r="JA705" s="1098"/>
      <c r="JB705" s="1098"/>
      <c r="JC705" s="1098"/>
      <c r="JD705" s="1098"/>
      <c r="JE705" s="1098"/>
      <c r="JF705" s="1098"/>
      <c r="JG705" s="1098"/>
      <c r="JH705" s="1098"/>
      <c r="JI705" s="1098"/>
      <c r="JJ705" s="1098"/>
      <c r="JK705" s="1098"/>
      <c r="JL705" s="1098"/>
      <c r="JM705" s="1098"/>
      <c r="JN705" s="1098"/>
      <c r="JO705" s="1098"/>
      <c r="JP705" s="1098"/>
      <c r="JQ705" s="1098"/>
      <c r="JR705" s="1098"/>
      <c r="JS705" s="1098"/>
      <c r="JT705" s="1098"/>
      <c r="JU705" s="1098"/>
      <c r="JV705" s="1098"/>
      <c r="JW705" s="1098"/>
      <c r="JX705" s="1098"/>
      <c r="JY705" s="1098"/>
      <c r="JZ705" s="1098"/>
      <c r="KA705" s="1098"/>
      <c r="KB705" s="1099"/>
    </row>
    <row r="706" spans="2:288" ht="15" customHeight="1" x14ac:dyDescent="0.35">
      <c r="B706" s="146" t="str">
        <f t="shared" si="56"/>
        <v>Desk 76</v>
      </c>
      <c r="C706" s="148" t="str">
        <v/>
      </c>
      <c r="D706" s="148" t="str">
        <v/>
      </c>
      <c r="E706" s="148" t="str">
        <v/>
      </c>
      <c r="F706" s="148" t="str">
        <v/>
      </c>
      <c r="G706" s="268" t="str">
        <v/>
      </c>
      <c r="H706" s="1098"/>
      <c r="I706" s="1098"/>
      <c r="J706" s="1098"/>
      <c r="K706" s="1098"/>
      <c r="L706" s="1098"/>
      <c r="M706" s="1098"/>
      <c r="N706" s="1098"/>
      <c r="O706" s="1098"/>
      <c r="P706" s="1098"/>
      <c r="Q706" s="1098"/>
      <c r="R706" s="1098"/>
      <c r="S706" s="1098"/>
      <c r="T706" s="1098"/>
      <c r="U706" s="1098"/>
      <c r="V706" s="1098"/>
      <c r="W706" s="1098"/>
      <c r="X706" s="1098"/>
      <c r="Y706" s="1098"/>
      <c r="Z706" s="1098"/>
      <c r="AA706" s="1098"/>
      <c r="AB706" s="1098"/>
      <c r="AC706" s="1098"/>
      <c r="AD706" s="1098"/>
      <c r="AE706" s="1098"/>
      <c r="AF706" s="1098"/>
      <c r="AG706" s="1098"/>
      <c r="AH706" s="1098"/>
      <c r="AI706" s="1098"/>
      <c r="AJ706" s="1098"/>
      <c r="AK706" s="1098"/>
      <c r="AL706" s="1098"/>
      <c r="AM706" s="1098"/>
      <c r="AN706" s="1098"/>
      <c r="AO706" s="1098"/>
      <c r="AP706" s="1098"/>
      <c r="AQ706" s="1098"/>
      <c r="AR706" s="1098"/>
      <c r="AS706" s="1098"/>
      <c r="AT706" s="1098"/>
      <c r="AU706" s="1098"/>
      <c r="AV706" s="1098"/>
      <c r="AW706" s="1098"/>
      <c r="AX706" s="1098"/>
      <c r="AY706" s="1098"/>
      <c r="AZ706" s="1098"/>
      <c r="BA706" s="1098"/>
      <c r="BB706" s="1098"/>
      <c r="BC706" s="1098"/>
      <c r="BD706" s="1098"/>
      <c r="BE706" s="1098"/>
      <c r="BF706" s="1098"/>
      <c r="BG706" s="1098"/>
      <c r="BH706" s="1098"/>
      <c r="BI706" s="1098"/>
      <c r="BJ706" s="1098"/>
      <c r="BK706" s="1098"/>
      <c r="BL706" s="1098"/>
      <c r="BM706" s="1098"/>
      <c r="BN706" s="1098"/>
      <c r="BO706" s="1098"/>
      <c r="BP706" s="1098"/>
      <c r="BQ706" s="1098"/>
      <c r="BR706" s="1098"/>
      <c r="BS706" s="1098"/>
      <c r="BT706" s="1098"/>
      <c r="BU706" s="1098"/>
      <c r="BV706" s="1098"/>
      <c r="BW706" s="1098"/>
      <c r="BX706" s="1098"/>
      <c r="BY706" s="1098"/>
      <c r="BZ706" s="1098"/>
      <c r="CA706" s="1098"/>
      <c r="CB706" s="1098"/>
      <c r="CC706" s="1098"/>
      <c r="CD706" s="1098"/>
      <c r="CE706" s="1098"/>
      <c r="CF706" s="1098"/>
      <c r="CG706" s="1098"/>
      <c r="CH706" s="1098"/>
      <c r="CI706" s="1098"/>
      <c r="CJ706" s="1098"/>
      <c r="CK706" s="1098"/>
      <c r="CL706" s="1098"/>
      <c r="CM706" s="1098"/>
      <c r="CN706" s="1098"/>
      <c r="CO706" s="1098"/>
      <c r="CP706" s="1098"/>
      <c r="CQ706" s="1098"/>
      <c r="CR706" s="1098"/>
      <c r="CS706" s="1098"/>
      <c r="CT706" s="1098"/>
      <c r="CU706" s="1098"/>
      <c r="CV706" s="1098"/>
      <c r="CW706" s="1098"/>
      <c r="CX706" s="1098"/>
      <c r="CY706" s="1098"/>
      <c r="CZ706" s="1098"/>
      <c r="DA706" s="1098"/>
      <c r="DB706" s="1098"/>
      <c r="DC706" s="1098"/>
      <c r="DD706" s="1098"/>
      <c r="DE706" s="1098"/>
      <c r="DF706" s="1098"/>
      <c r="DG706" s="1098"/>
      <c r="DH706" s="1098"/>
      <c r="DI706" s="1098"/>
      <c r="DJ706" s="1098"/>
      <c r="DK706" s="1098"/>
      <c r="DL706" s="1098"/>
      <c r="DM706" s="1098"/>
      <c r="DN706" s="1098"/>
      <c r="DO706" s="1098"/>
      <c r="DP706" s="1098"/>
      <c r="DQ706" s="1098"/>
      <c r="DR706" s="1098"/>
      <c r="DS706" s="1098"/>
      <c r="DT706" s="1098"/>
      <c r="DU706" s="1098"/>
      <c r="DV706" s="1098"/>
      <c r="DW706" s="1098"/>
      <c r="DX706" s="1098"/>
      <c r="DY706" s="1098"/>
      <c r="DZ706" s="1098"/>
      <c r="EA706" s="1098"/>
      <c r="EB706" s="1098"/>
      <c r="EC706" s="1098"/>
      <c r="ED706" s="1098"/>
      <c r="EE706" s="1098"/>
      <c r="EF706" s="1098"/>
      <c r="EG706" s="1098"/>
      <c r="EH706" s="1098"/>
      <c r="EI706" s="1098"/>
      <c r="EJ706" s="1098"/>
      <c r="EK706" s="1098"/>
      <c r="EL706" s="1098"/>
      <c r="EM706" s="1098"/>
      <c r="EN706" s="1098"/>
      <c r="EO706" s="1098"/>
      <c r="EP706" s="1098"/>
      <c r="EQ706" s="1098"/>
      <c r="ER706" s="1098"/>
      <c r="ES706" s="1098"/>
      <c r="ET706" s="1098"/>
      <c r="EU706" s="1098"/>
      <c r="EV706" s="1098"/>
      <c r="EW706" s="1098"/>
      <c r="EX706" s="1098"/>
      <c r="EY706" s="1098"/>
      <c r="EZ706" s="1098"/>
      <c r="FA706" s="1098"/>
      <c r="FB706" s="1098"/>
      <c r="FC706" s="1098"/>
      <c r="FD706" s="1098"/>
      <c r="FE706" s="1098"/>
      <c r="FF706" s="1098"/>
      <c r="FG706" s="1098"/>
      <c r="FH706" s="1098"/>
      <c r="FI706" s="1098"/>
      <c r="FJ706" s="1098"/>
      <c r="FK706" s="1098"/>
      <c r="FL706" s="1098"/>
      <c r="FM706" s="1098"/>
      <c r="FN706" s="1098"/>
      <c r="FO706" s="1098"/>
      <c r="FP706" s="1098"/>
      <c r="FQ706" s="1098"/>
      <c r="FR706" s="1098"/>
      <c r="FS706" s="1098"/>
      <c r="FT706" s="1098"/>
      <c r="FU706" s="1098"/>
      <c r="FV706" s="1098"/>
      <c r="FW706" s="1098"/>
      <c r="FX706" s="1098"/>
      <c r="FY706" s="1098"/>
      <c r="FZ706" s="1098"/>
      <c r="GA706" s="1098"/>
      <c r="GB706" s="1098"/>
      <c r="GC706" s="1098"/>
      <c r="GD706" s="1098"/>
      <c r="GE706" s="1098"/>
      <c r="GF706" s="1098"/>
      <c r="GG706" s="1098"/>
      <c r="GH706" s="1098"/>
      <c r="GI706" s="1098"/>
      <c r="GJ706" s="1098"/>
      <c r="GK706" s="1098"/>
      <c r="GL706" s="1098"/>
      <c r="GM706" s="1098"/>
      <c r="GN706" s="1098"/>
      <c r="GO706" s="1098"/>
      <c r="GP706" s="1098"/>
      <c r="GQ706" s="1098"/>
      <c r="GR706" s="1098"/>
      <c r="GS706" s="1098"/>
      <c r="GT706" s="1098"/>
      <c r="GU706" s="1098"/>
      <c r="GV706" s="1098"/>
      <c r="GW706" s="1098"/>
      <c r="GX706" s="1098"/>
      <c r="GY706" s="1098"/>
      <c r="GZ706" s="1098"/>
      <c r="HA706" s="1098"/>
      <c r="HB706" s="1098"/>
      <c r="HC706" s="1098"/>
      <c r="HD706" s="1098"/>
      <c r="HE706" s="1098"/>
      <c r="HF706" s="1098"/>
      <c r="HG706" s="1098"/>
      <c r="HH706" s="1098"/>
      <c r="HI706" s="1098"/>
      <c r="HJ706" s="1098"/>
      <c r="HK706" s="1098"/>
      <c r="HL706" s="1098"/>
      <c r="HM706" s="1098"/>
      <c r="HN706" s="1098"/>
      <c r="HO706" s="1098"/>
      <c r="HP706" s="1098"/>
      <c r="HQ706" s="1098"/>
      <c r="HR706" s="1098"/>
      <c r="HS706" s="1098"/>
      <c r="HT706" s="1098"/>
      <c r="HU706" s="1098"/>
      <c r="HV706" s="1098"/>
      <c r="HW706" s="1098"/>
      <c r="HX706" s="1098"/>
      <c r="HY706" s="1098"/>
      <c r="HZ706" s="1098"/>
      <c r="IA706" s="1098"/>
      <c r="IB706" s="1098"/>
      <c r="IC706" s="1098"/>
      <c r="ID706" s="1098"/>
      <c r="IE706" s="1098"/>
      <c r="IF706" s="1098"/>
      <c r="IG706" s="1098"/>
      <c r="IH706" s="1098"/>
      <c r="II706" s="1098"/>
      <c r="IJ706" s="1098"/>
      <c r="IK706" s="1098"/>
      <c r="IL706" s="1098"/>
      <c r="IM706" s="1098"/>
      <c r="IN706" s="1098"/>
      <c r="IO706" s="1098"/>
      <c r="IP706" s="1098"/>
      <c r="IQ706" s="1098"/>
      <c r="IR706" s="1098"/>
      <c r="IS706" s="1098"/>
      <c r="IT706" s="1098"/>
      <c r="IU706" s="1098"/>
      <c r="IV706" s="1098"/>
      <c r="IW706" s="1098"/>
      <c r="IX706" s="1098"/>
      <c r="IY706" s="1098"/>
      <c r="IZ706" s="1098"/>
      <c r="JA706" s="1098"/>
      <c r="JB706" s="1098"/>
      <c r="JC706" s="1098"/>
      <c r="JD706" s="1098"/>
      <c r="JE706" s="1098"/>
      <c r="JF706" s="1098"/>
      <c r="JG706" s="1098"/>
      <c r="JH706" s="1098"/>
      <c r="JI706" s="1098"/>
      <c r="JJ706" s="1098"/>
      <c r="JK706" s="1098"/>
      <c r="JL706" s="1098"/>
      <c r="JM706" s="1098"/>
      <c r="JN706" s="1098"/>
      <c r="JO706" s="1098"/>
      <c r="JP706" s="1098"/>
      <c r="JQ706" s="1098"/>
      <c r="JR706" s="1098"/>
      <c r="JS706" s="1098"/>
      <c r="JT706" s="1098"/>
      <c r="JU706" s="1098"/>
      <c r="JV706" s="1098"/>
      <c r="JW706" s="1098"/>
      <c r="JX706" s="1098"/>
      <c r="JY706" s="1098"/>
      <c r="JZ706" s="1098"/>
      <c r="KA706" s="1098"/>
      <c r="KB706" s="1099"/>
    </row>
    <row r="707" spans="2:288" ht="15" customHeight="1" x14ac:dyDescent="0.35">
      <c r="B707" s="146" t="str">
        <f t="shared" si="56"/>
        <v>Desk 77</v>
      </c>
      <c r="C707" s="148" t="str">
        <v/>
      </c>
      <c r="D707" s="148" t="str">
        <v/>
      </c>
      <c r="E707" s="148" t="str">
        <v/>
      </c>
      <c r="F707" s="148" t="str">
        <v/>
      </c>
      <c r="G707" s="268" t="str">
        <v/>
      </c>
      <c r="H707" s="1098"/>
      <c r="I707" s="1098"/>
      <c r="J707" s="1098"/>
      <c r="K707" s="1098"/>
      <c r="L707" s="1098"/>
      <c r="M707" s="1098"/>
      <c r="N707" s="1098"/>
      <c r="O707" s="1098"/>
      <c r="P707" s="1098"/>
      <c r="Q707" s="1098"/>
      <c r="R707" s="1098"/>
      <c r="S707" s="1098"/>
      <c r="T707" s="1098"/>
      <c r="U707" s="1098"/>
      <c r="V707" s="1098"/>
      <c r="W707" s="1098"/>
      <c r="X707" s="1098"/>
      <c r="Y707" s="1098"/>
      <c r="Z707" s="1098"/>
      <c r="AA707" s="1098"/>
      <c r="AB707" s="1098"/>
      <c r="AC707" s="1098"/>
      <c r="AD707" s="1098"/>
      <c r="AE707" s="1098"/>
      <c r="AF707" s="1098"/>
      <c r="AG707" s="1098"/>
      <c r="AH707" s="1098"/>
      <c r="AI707" s="1098"/>
      <c r="AJ707" s="1098"/>
      <c r="AK707" s="1098"/>
      <c r="AL707" s="1098"/>
      <c r="AM707" s="1098"/>
      <c r="AN707" s="1098"/>
      <c r="AO707" s="1098"/>
      <c r="AP707" s="1098"/>
      <c r="AQ707" s="1098"/>
      <c r="AR707" s="1098"/>
      <c r="AS707" s="1098"/>
      <c r="AT707" s="1098"/>
      <c r="AU707" s="1098"/>
      <c r="AV707" s="1098"/>
      <c r="AW707" s="1098"/>
      <c r="AX707" s="1098"/>
      <c r="AY707" s="1098"/>
      <c r="AZ707" s="1098"/>
      <c r="BA707" s="1098"/>
      <c r="BB707" s="1098"/>
      <c r="BC707" s="1098"/>
      <c r="BD707" s="1098"/>
      <c r="BE707" s="1098"/>
      <c r="BF707" s="1098"/>
      <c r="BG707" s="1098"/>
      <c r="BH707" s="1098"/>
      <c r="BI707" s="1098"/>
      <c r="BJ707" s="1098"/>
      <c r="BK707" s="1098"/>
      <c r="BL707" s="1098"/>
      <c r="BM707" s="1098"/>
      <c r="BN707" s="1098"/>
      <c r="BO707" s="1098"/>
      <c r="BP707" s="1098"/>
      <c r="BQ707" s="1098"/>
      <c r="BR707" s="1098"/>
      <c r="BS707" s="1098"/>
      <c r="BT707" s="1098"/>
      <c r="BU707" s="1098"/>
      <c r="BV707" s="1098"/>
      <c r="BW707" s="1098"/>
      <c r="BX707" s="1098"/>
      <c r="BY707" s="1098"/>
      <c r="BZ707" s="1098"/>
      <c r="CA707" s="1098"/>
      <c r="CB707" s="1098"/>
      <c r="CC707" s="1098"/>
      <c r="CD707" s="1098"/>
      <c r="CE707" s="1098"/>
      <c r="CF707" s="1098"/>
      <c r="CG707" s="1098"/>
      <c r="CH707" s="1098"/>
      <c r="CI707" s="1098"/>
      <c r="CJ707" s="1098"/>
      <c r="CK707" s="1098"/>
      <c r="CL707" s="1098"/>
      <c r="CM707" s="1098"/>
      <c r="CN707" s="1098"/>
      <c r="CO707" s="1098"/>
      <c r="CP707" s="1098"/>
      <c r="CQ707" s="1098"/>
      <c r="CR707" s="1098"/>
      <c r="CS707" s="1098"/>
      <c r="CT707" s="1098"/>
      <c r="CU707" s="1098"/>
      <c r="CV707" s="1098"/>
      <c r="CW707" s="1098"/>
      <c r="CX707" s="1098"/>
      <c r="CY707" s="1098"/>
      <c r="CZ707" s="1098"/>
      <c r="DA707" s="1098"/>
      <c r="DB707" s="1098"/>
      <c r="DC707" s="1098"/>
      <c r="DD707" s="1098"/>
      <c r="DE707" s="1098"/>
      <c r="DF707" s="1098"/>
      <c r="DG707" s="1098"/>
      <c r="DH707" s="1098"/>
      <c r="DI707" s="1098"/>
      <c r="DJ707" s="1098"/>
      <c r="DK707" s="1098"/>
      <c r="DL707" s="1098"/>
      <c r="DM707" s="1098"/>
      <c r="DN707" s="1098"/>
      <c r="DO707" s="1098"/>
      <c r="DP707" s="1098"/>
      <c r="DQ707" s="1098"/>
      <c r="DR707" s="1098"/>
      <c r="DS707" s="1098"/>
      <c r="DT707" s="1098"/>
      <c r="DU707" s="1098"/>
      <c r="DV707" s="1098"/>
      <c r="DW707" s="1098"/>
      <c r="DX707" s="1098"/>
      <c r="DY707" s="1098"/>
      <c r="DZ707" s="1098"/>
      <c r="EA707" s="1098"/>
      <c r="EB707" s="1098"/>
      <c r="EC707" s="1098"/>
      <c r="ED707" s="1098"/>
      <c r="EE707" s="1098"/>
      <c r="EF707" s="1098"/>
      <c r="EG707" s="1098"/>
      <c r="EH707" s="1098"/>
      <c r="EI707" s="1098"/>
      <c r="EJ707" s="1098"/>
      <c r="EK707" s="1098"/>
      <c r="EL707" s="1098"/>
      <c r="EM707" s="1098"/>
      <c r="EN707" s="1098"/>
      <c r="EO707" s="1098"/>
      <c r="EP707" s="1098"/>
      <c r="EQ707" s="1098"/>
      <c r="ER707" s="1098"/>
      <c r="ES707" s="1098"/>
      <c r="ET707" s="1098"/>
      <c r="EU707" s="1098"/>
      <c r="EV707" s="1098"/>
      <c r="EW707" s="1098"/>
      <c r="EX707" s="1098"/>
      <c r="EY707" s="1098"/>
      <c r="EZ707" s="1098"/>
      <c r="FA707" s="1098"/>
      <c r="FB707" s="1098"/>
      <c r="FC707" s="1098"/>
      <c r="FD707" s="1098"/>
      <c r="FE707" s="1098"/>
      <c r="FF707" s="1098"/>
      <c r="FG707" s="1098"/>
      <c r="FH707" s="1098"/>
      <c r="FI707" s="1098"/>
      <c r="FJ707" s="1098"/>
      <c r="FK707" s="1098"/>
      <c r="FL707" s="1098"/>
      <c r="FM707" s="1098"/>
      <c r="FN707" s="1098"/>
      <c r="FO707" s="1098"/>
      <c r="FP707" s="1098"/>
      <c r="FQ707" s="1098"/>
      <c r="FR707" s="1098"/>
      <c r="FS707" s="1098"/>
      <c r="FT707" s="1098"/>
      <c r="FU707" s="1098"/>
      <c r="FV707" s="1098"/>
      <c r="FW707" s="1098"/>
      <c r="FX707" s="1098"/>
      <c r="FY707" s="1098"/>
      <c r="FZ707" s="1098"/>
      <c r="GA707" s="1098"/>
      <c r="GB707" s="1098"/>
      <c r="GC707" s="1098"/>
      <c r="GD707" s="1098"/>
      <c r="GE707" s="1098"/>
      <c r="GF707" s="1098"/>
      <c r="GG707" s="1098"/>
      <c r="GH707" s="1098"/>
      <c r="GI707" s="1098"/>
      <c r="GJ707" s="1098"/>
      <c r="GK707" s="1098"/>
      <c r="GL707" s="1098"/>
      <c r="GM707" s="1098"/>
      <c r="GN707" s="1098"/>
      <c r="GO707" s="1098"/>
      <c r="GP707" s="1098"/>
      <c r="GQ707" s="1098"/>
      <c r="GR707" s="1098"/>
      <c r="GS707" s="1098"/>
      <c r="GT707" s="1098"/>
      <c r="GU707" s="1098"/>
      <c r="GV707" s="1098"/>
      <c r="GW707" s="1098"/>
      <c r="GX707" s="1098"/>
      <c r="GY707" s="1098"/>
      <c r="GZ707" s="1098"/>
      <c r="HA707" s="1098"/>
      <c r="HB707" s="1098"/>
      <c r="HC707" s="1098"/>
      <c r="HD707" s="1098"/>
      <c r="HE707" s="1098"/>
      <c r="HF707" s="1098"/>
      <c r="HG707" s="1098"/>
      <c r="HH707" s="1098"/>
      <c r="HI707" s="1098"/>
      <c r="HJ707" s="1098"/>
      <c r="HK707" s="1098"/>
      <c r="HL707" s="1098"/>
      <c r="HM707" s="1098"/>
      <c r="HN707" s="1098"/>
      <c r="HO707" s="1098"/>
      <c r="HP707" s="1098"/>
      <c r="HQ707" s="1098"/>
      <c r="HR707" s="1098"/>
      <c r="HS707" s="1098"/>
      <c r="HT707" s="1098"/>
      <c r="HU707" s="1098"/>
      <c r="HV707" s="1098"/>
      <c r="HW707" s="1098"/>
      <c r="HX707" s="1098"/>
      <c r="HY707" s="1098"/>
      <c r="HZ707" s="1098"/>
      <c r="IA707" s="1098"/>
      <c r="IB707" s="1098"/>
      <c r="IC707" s="1098"/>
      <c r="ID707" s="1098"/>
      <c r="IE707" s="1098"/>
      <c r="IF707" s="1098"/>
      <c r="IG707" s="1098"/>
      <c r="IH707" s="1098"/>
      <c r="II707" s="1098"/>
      <c r="IJ707" s="1098"/>
      <c r="IK707" s="1098"/>
      <c r="IL707" s="1098"/>
      <c r="IM707" s="1098"/>
      <c r="IN707" s="1098"/>
      <c r="IO707" s="1098"/>
      <c r="IP707" s="1098"/>
      <c r="IQ707" s="1098"/>
      <c r="IR707" s="1098"/>
      <c r="IS707" s="1098"/>
      <c r="IT707" s="1098"/>
      <c r="IU707" s="1098"/>
      <c r="IV707" s="1098"/>
      <c r="IW707" s="1098"/>
      <c r="IX707" s="1098"/>
      <c r="IY707" s="1098"/>
      <c r="IZ707" s="1098"/>
      <c r="JA707" s="1098"/>
      <c r="JB707" s="1098"/>
      <c r="JC707" s="1098"/>
      <c r="JD707" s="1098"/>
      <c r="JE707" s="1098"/>
      <c r="JF707" s="1098"/>
      <c r="JG707" s="1098"/>
      <c r="JH707" s="1098"/>
      <c r="JI707" s="1098"/>
      <c r="JJ707" s="1098"/>
      <c r="JK707" s="1098"/>
      <c r="JL707" s="1098"/>
      <c r="JM707" s="1098"/>
      <c r="JN707" s="1098"/>
      <c r="JO707" s="1098"/>
      <c r="JP707" s="1098"/>
      <c r="JQ707" s="1098"/>
      <c r="JR707" s="1098"/>
      <c r="JS707" s="1098"/>
      <c r="JT707" s="1098"/>
      <c r="JU707" s="1098"/>
      <c r="JV707" s="1098"/>
      <c r="JW707" s="1098"/>
      <c r="JX707" s="1098"/>
      <c r="JY707" s="1098"/>
      <c r="JZ707" s="1098"/>
      <c r="KA707" s="1098"/>
      <c r="KB707" s="1099"/>
    </row>
    <row r="708" spans="2:288" ht="15" customHeight="1" x14ac:dyDescent="0.35">
      <c r="B708" s="146" t="str">
        <f t="shared" si="56"/>
        <v>Desk 78</v>
      </c>
      <c r="C708" s="148" t="str">
        <v/>
      </c>
      <c r="D708" s="148" t="str">
        <v/>
      </c>
      <c r="E708" s="148" t="str">
        <v/>
      </c>
      <c r="F708" s="148" t="str">
        <v/>
      </c>
      <c r="G708" s="268" t="str">
        <v/>
      </c>
      <c r="H708" s="1098"/>
      <c r="I708" s="1098"/>
      <c r="J708" s="1098"/>
      <c r="K708" s="1098"/>
      <c r="L708" s="1098"/>
      <c r="M708" s="1098"/>
      <c r="N708" s="1098"/>
      <c r="O708" s="1098"/>
      <c r="P708" s="1098"/>
      <c r="Q708" s="1098"/>
      <c r="R708" s="1098"/>
      <c r="S708" s="1098"/>
      <c r="T708" s="1098"/>
      <c r="U708" s="1098"/>
      <c r="V708" s="1098"/>
      <c r="W708" s="1098"/>
      <c r="X708" s="1098"/>
      <c r="Y708" s="1098"/>
      <c r="Z708" s="1098"/>
      <c r="AA708" s="1098"/>
      <c r="AB708" s="1098"/>
      <c r="AC708" s="1098"/>
      <c r="AD708" s="1098"/>
      <c r="AE708" s="1098"/>
      <c r="AF708" s="1098"/>
      <c r="AG708" s="1098"/>
      <c r="AH708" s="1098"/>
      <c r="AI708" s="1098"/>
      <c r="AJ708" s="1098"/>
      <c r="AK708" s="1098"/>
      <c r="AL708" s="1098"/>
      <c r="AM708" s="1098"/>
      <c r="AN708" s="1098"/>
      <c r="AO708" s="1098"/>
      <c r="AP708" s="1098"/>
      <c r="AQ708" s="1098"/>
      <c r="AR708" s="1098"/>
      <c r="AS708" s="1098"/>
      <c r="AT708" s="1098"/>
      <c r="AU708" s="1098"/>
      <c r="AV708" s="1098"/>
      <c r="AW708" s="1098"/>
      <c r="AX708" s="1098"/>
      <c r="AY708" s="1098"/>
      <c r="AZ708" s="1098"/>
      <c r="BA708" s="1098"/>
      <c r="BB708" s="1098"/>
      <c r="BC708" s="1098"/>
      <c r="BD708" s="1098"/>
      <c r="BE708" s="1098"/>
      <c r="BF708" s="1098"/>
      <c r="BG708" s="1098"/>
      <c r="BH708" s="1098"/>
      <c r="BI708" s="1098"/>
      <c r="BJ708" s="1098"/>
      <c r="BK708" s="1098"/>
      <c r="BL708" s="1098"/>
      <c r="BM708" s="1098"/>
      <c r="BN708" s="1098"/>
      <c r="BO708" s="1098"/>
      <c r="BP708" s="1098"/>
      <c r="BQ708" s="1098"/>
      <c r="BR708" s="1098"/>
      <c r="BS708" s="1098"/>
      <c r="BT708" s="1098"/>
      <c r="BU708" s="1098"/>
      <c r="BV708" s="1098"/>
      <c r="BW708" s="1098"/>
      <c r="BX708" s="1098"/>
      <c r="BY708" s="1098"/>
      <c r="BZ708" s="1098"/>
      <c r="CA708" s="1098"/>
      <c r="CB708" s="1098"/>
      <c r="CC708" s="1098"/>
      <c r="CD708" s="1098"/>
      <c r="CE708" s="1098"/>
      <c r="CF708" s="1098"/>
      <c r="CG708" s="1098"/>
      <c r="CH708" s="1098"/>
      <c r="CI708" s="1098"/>
      <c r="CJ708" s="1098"/>
      <c r="CK708" s="1098"/>
      <c r="CL708" s="1098"/>
      <c r="CM708" s="1098"/>
      <c r="CN708" s="1098"/>
      <c r="CO708" s="1098"/>
      <c r="CP708" s="1098"/>
      <c r="CQ708" s="1098"/>
      <c r="CR708" s="1098"/>
      <c r="CS708" s="1098"/>
      <c r="CT708" s="1098"/>
      <c r="CU708" s="1098"/>
      <c r="CV708" s="1098"/>
      <c r="CW708" s="1098"/>
      <c r="CX708" s="1098"/>
      <c r="CY708" s="1098"/>
      <c r="CZ708" s="1098"/>
      <c r="DA708" s="1098"/>
      <c r="DB708" s="1098"/>
      <c r="DC708" s="1098"/>
      <c r="DD708" s="1098"/>
      <c r="DE708" s="1098"/>
      <c r="DF708" s="1098"/>
      <c r="DG708" s="1098"/>
      <c r="DH708" s="1098"/>
      <c r="DI708" s="1098"/>
      <c r="DJ708" s="1098"/>
      <c r="DK708" s="1098"/>
      <c r="DL708" s="1098"/>
      <c r="DM708" s="1098"/>
      <c r="DN708" s="1098"/>
      <c r="DO708" s="1098"/>
      <c r="DP708" s="1098"/>
      <c r="DQ708" s="1098"/>
      <c r="DR708" s="1098"/>
      <c r="DS708" s="1098"/>
      <c r="DT708" s="1098"/>
      <c r="DU708" s="1098"/>
      <c r="DV708" s="1098"/>
      <c r="DW708" s="1098"/>
      <c r="DX708" s="1098"/>
      <c r="DY708" s="1098"/>
      <c r="DZ708" s="1098"/>
      <c r="EA708" s="1098"/>
      <c r="EB708" s="1098"/>
      <c r="EC708" s="1098"/>
      <c r="ED708" s="1098"/>
      <c r="EE708" s="1098"/>
      <c r="EF708" s="1098"/>
      <c r="EG708" s="1098"/>
      <c r="EH708" s="1098"/>
      <c r="EI708" s="1098"/>
      <c r="EJ708" s="1098"/>
      <c r="EK708" s="1098"/>
      <c r="EL708" s="1098"/>
      <c r="EM708" s="1098"/>
      <c r="EN708" s="1098"/>
      <c r="EO708" s="1098"/>
      <c r="EP708" s="1098"/>
      <c r="EQ708" s="1098"/>
      <c r="ER708" s="1098"/>
      <c r="ES708" s="1098"/>
      <c r="ET708" s="1098"/>
      <c r="EU708" s="1098"/>
      <c r="EV708" s="1098"/>
      <c r="EW708" s="1098"/>
      <c r="EX708" s="1098"/>
      <c r="EY708" s="1098"/>
      <c r="EZ708" s="1098"/>
      <c r="FA708" s="1098"/>
      <c r="FB708" s="1098"/>
      <c r="FC708" s="1098"/>
      <c r="FD708" s="1098"/>
      <c r="FE708" s="1098"/>
      <c r="FF708" s="1098"/>
      <c r="FG708" s="1098"/>
      <c r="FH708" s="1098"/>
      <c r="FI708" s="1098"/>
      <c r="FJ708" s="1098"/>
      <c r="FK708" s="1098"/>
      <c r="FL708" s="1098"/>
      <c r="FM708" s="1098"/>
      <c r="FN708" s="1098"/>
      <c r="FO708" s="1098"/>
      <c r="FP708" s="1098"/>
      <c r="FQ708" s="1098"/>
      <c r="FR708" s="1098"/>
      <c r="FS708" s="1098"/>
      <c r="FT708" s="1098"/>
      <c r="FU708" s="1098"/>
      <c r="FV708" s="1098"/>
      <c r="FW708" s="1098"/>
      <c r="FX708" s="1098"/>
      <c r="FY708" s="1098"/>
      <c r="FZ708" s="1098"/>
      <c r="GA708" s="1098"/>
      <c r="GB708" s="1098"/>
      <c r="GC708" s="1098"/>
      <c r="GD708" s="1098"/>
      <c r="GE708" s="1098"/>
      <c r="GF708" s="1098"/>
      <c r="GG708" s="1098"/>
      <c r="GH708" s="1098"/>
      <c r="GI708" s="1098"/>
      <c r="GJ708" s="1098"/>
      <c r="GK708" s="1098"/>
      <c r="GL708" s="1098"/>
      <c r="GM708" s="1098"/>
      <c r="GN708" s="1098"/>
      <c r="GO708" s="1098"/>
      <c r="GP708" s="1098"/>
      <c r="GQ708" s="1098"/>
      <c r="GR708" s="1098"/>
      <c r="GS708" s="1098"/>
      <c r="GT708" s="1098"/>
      <c r="GU708" s="1098"/>
      <c r="GV708" s="1098"/>
      <c r="GW708" s="1098"/>
      <c r="GX708" s="1098"/>
      <c r="GY708" s="1098"/>
      <c r="GZ708" s="1098"/>
      <c r="HA708" s="1098"/>
      <c r="HB708" s="1098"/>
      <c r="HC708" s="1098"/>
      <c r="HD708" s="1098"/>
      <c r="HE708" s="1098"/>
      <c r="HF708" s="1098"/>
      <c r="HG708" s="1098"/>
      <c r="HH708" s="1098"/>
      <c r="HI708" s="1098"/>
      <c r="HJ708" s="1098"/>
      <c r="HK708" s="1098"/>
      <c r="HL708" s="1098"/>
      <c r="HM708" s="1098"/>
      <c r="HN708" s="1098"/>
      <c r="HO708" s="1098"/>
      <c r="HP708" s="1098"/>
      <c r="HQ708" s="1098"/>
      <c r="HR708" s="1098"/>
      <c r="HS708" s="1098"/>
      <c r="HT708" s="1098"/>
      <c r="HU708" s="1098"/>
      <c r="HV708" s="1098"/>
      <c r="HW708" s="1098"/>
      <c r="HX708" s="1098"/>
      <c r="HY708" s="1098"/>
      <c r="HZ708" s="1098"/>
      <c r="IA708" s="1098"/>
      <c r="IB708" s="1098"/>
      <c r="IC708" s="1098"/>
      <c r="ID708" s="1098"/>
      <c r="IE708" s="1098"/>
      <c r="IF708" s="1098"/>
      <c r="IG708" s="1098"/>
      <c r="IH708" s="1098"/>
      <c r="II708" s="1098"/>
      <c r="IJ708" s="1098"/>
      <c r="IK708" s="1098"/>
      <c r="IL708" s="1098"/>
      <c r="IM708" s="1098"/>
      <c r="IN708" s="1098"/>
      <c r="IO708" s="1098"/>
      <c r="IP708" s="1098"/>
      <c r="IQ708" s="1098"/>
      <c r="IR708" s="1098"/>
      <c r="IS708" s="1098"/>
      <c r="IT708" s="1098"/>
      <c r="IU708" s="1098"/>
      <c r="IV708" s="1098"/>
      <c r="IW708" s="1098"/>
      <c r="IX708" s="1098"/>
      <c r="IY708" s="1098"/>
      <c r="IZ708" s="1098"/>
      <c r="JA708" s="1098"/>
      <c r="JB708" s="1098"/>
      <c r="JC708" s="1098"/>
      <c r="JD708" s="1098"/>
      <c r="JE708" s="1098"/>
      <c r="JF708" s="1098"/>
      <c r="JG708" s="1098"/>
      <c r="JH708" s="1098"/>
      <c r="JI708" s="1098"/>
      <c r="JJ708" s="1098"/>
      <c r="JK708" s="1098"/>
      <c r="JL708" s="1098"/>
      <c r="JM708" s="1098"/>
      <c r="JN708" s="1098"/>
      <c r="JO708" s="1098"/>
      <c r="JP708" s="1098"/>
      <c r="JQ708" s="1098"/>
      <c r="JR708" s="1098"/>
      <c r="JS708" s="1098"/>
      <c r="JT708" s="1098"/>
      <c r="JU708" s="1098"/>
      <c r="JV708" s="1098"/>
      <c r="JW708" s="1098"/>
      <c r="JX708" s="1098"/>
      <c r="JY708" s="1098"/>
      <c r="JZ708" s="1098"/>
      <c r="KA708" s="1098"/>
      <c r="KB708" s="1099"/>
    </row>
    <row r="709" spans="2:288" ht="15" customHeight="1" x14ac:dyDescent="0.35">
      <c r="B709" s="146" t="str">
        <f t="shared" si="56"/>
        <v>Desk 79</v>
      </c>
      <c r="C709" s="148" t="str">
        <v/>
      </c>
      <c r="D709" s="148" t="str">
        <v/>
      </c>
      <c r="E709" s="148" t="str">
        <v/>
      </c>
      <c r="F709" s="148" t="str">
        <v/>
      </c>
      <c r="G709" s="268" t="str">
        <v/>
      </c>
      <c r="H709" s="1098"/>
      <c r="I709" s="1098"/>
      <c r="J709" s="1098"/>
      <c r="K709" s="1098"/>
      <c r="L709" s="1098"/>
      <c r="M709" s="1098"/>
      <c r="N709" s="1098"/>
      <c r="O709" s="1098"/>
      <c r="P709" s="1098"/>
      <c r="Q709" s="1098"/>
      <c r="R709" s="1098"/>
      <c r="S709" s="1098"/>
      <c r="T709" s="1098"/>
      <c r="U709" s="1098"/>
      <c r="V709" s="1098"/>
      <c r="W709" s="1098"/>
      <c r="X709" s="1098"/>
      <c r="Y709" s="1098"/>
      <c r="Z709" s="1098"/>
      <c r="AA709" s="1098"/>
      <c r="AB709" s="1098"/>
      <c r="AC709" s="1098"/>
      <c r="AD709" s="1098"/>
      <c r="AE709" s="1098"/>
      <c r="AF709" s="1098"/>
      <c r="AG709" s="1098"/>
      <c r="AH709" s="1098"/>
      <c r="AI709" s="1098"/>
      <c r="AJ709" s="1098"/>
      <c r="AK709" s="1098"/>
      <c r="AL709" s="1098"/>
      <c r="AM709" s="1098"/>
      <c r="AN709" s="1098"/>
      <c r="AO709" s="1098"/>
      <c r="AP709" s="1098"/>
      <c r="AQ709" s="1098"/>
      <c r="AR709" s="1098"/>
      <c r="AS709" s="1098"/>
      <c r="AT709" s="1098"/>
      <c r="AU709" s="1098"/>
      <c r="AV709" s="1098"/>
      <c r="AW709" s="1098"/>
      <c r="AX709" s="1098"/>
      <c r="AY709" s="1098"/>
      <c r="AZ709" s="1098"/>
      <c r="BA709" s="1098"/>
      <c r="BB709" s="1098"/>
      <c r="BC709" s="1098"/>
      <c r="BD709" s="1098"/>
      <c r="BE709" s="1098"/>
      <c r="BF709" s="1098"/>
      <c r="BG709" s="1098"/>
      <c r="BH709" s="1098"/>
      <c r="BI709" s="1098"/>
      <c r="BJ709" s="1098"/>
      <c r="BK709" s="1098"/>
      <c r="BL709" s="1098"/>
      <c r="BM709" s="1098"/>
      <c r="BN709" s="1098"/>
      <c r="BO709" s="1098"/>
      <c r="BP709" s="1098"/>
      <c r="BQ709" s="1098"/>
      <c r="BR709" s="1098"/>
      <c r="BS709" s="1098"/>
      <c r="BT709" s="1098"/>
      <c r="BU709" s="1098"/>
      <c r="BV709" s="1098"/>
      <c r="BW709" s="1098"/>
      <c r="BX709" s="1098"/>
      <c r="BY709" s="1098"/>
      <c r="BZ709" s="1098"/>
      <c r="CA709" s="1098"/>
      <c r="CB709" s="1098"/>
      <c r="CC709" s="1098"/>
      <c r="CD709" s="1098"/>
      <c r="CE709" s="1098"/>
      <c r="CF709" s="1098"/>
      <c r="CG709" s="1098"/>
      <c r="CH709" s="1098"/>
      <c r="CI709" s="1098"/>
      <c r="CJ709" s="1098"/>
      <c r="CK709" s="1098"/>
      <c r="CL709" s="1098"/>
      <c r="CM709" s="1098"/>
      <c r="CN709" s="1098"/>
      <c r="CO709" s="1098"/>
      <c r="CP709" s="1098"/>
      <c r="CQ709" s="1098"/>
      <c r="CR709" s="1098"/>
      <c r="CS709" s="1098"/>
      <c r="CT709" s="1098"/>
      <c r="CU709" s="1098"/>
      <c r="CV709" s="1098"/>
      <c r="CW709" s="1098"/>
      <c r="CX709" s="1098"/>
      <c r="CY709" s="1098"/>
      <c r="CZ709" s="1098"/>
      <c r="DA709" s="1098"/>
      <c r="DB709" s="1098"/>
      <c r="DC709" s="1098"/>
      <c r="DD709" s="1098"/>
      <c r="DE709" s="1098"/>
      <c r="DF709" s="1098"/>
      <c r="DG709" s="1098"/>
      <c r="DH709" s="1098"/>
      <c r="DI709" s="1098"/>
      <c r="DJ709" s="1098"/>
      <c r="DK709" s="1098"/>
      <c r="DL709" s="1098"/>
      <c r="DM709" s="1098"/>
      <c r="DN709" s="1098"/>
      <c r="DO709" s="1098"/>
      <c r="DP709" s="1098"/>
      <c r="DQ709" s="1098"/>
      <c r="DR709" s="1098"/>
      <c r="DS709" s="1098"/>
      <c r="DT709" s="1098"/>
      <c r="DU709" s="1098"/>
      <c r="DV709" s="1098"/>
      <c r="DW709" s="1098"/>
      <c r="DX709" s="1098"/>
      <c r="DY709" s="1098"/>
      <c r="DZ709" s="1098"/>
      <c r="EA709" s="1098"/>
      <c r="EB709" s="1098"/>
      <c r="EC709" s="1098"/>
      <c r="ED709" s="1098"/>
      <c r="EE709" s="1098"/>
      <c r="EF709" s="1098"/>
      <c r="EG709" s="1098"/>
      <c r="EH709" s="1098"/>
      <c r="EI709" s="1098"/>
      <c r="EJ709" s="1098"/>
      <c r="EK709" s="1098"/>
      <c r="EL709" s="1098"/>
      <c r="EM709" s="1098"/>
      <c r="EN709" s="1098"/>
      <c r="EO709" s="1098"/>
      <c r="EP709" s="1098"/>
      <c r="EQ709" s="1098"/>
      <c r="ER709" s="1098"/>
      <c r="ES709" s="1098"/>
      <c r="ET709" s="1098"/>
      <c r="EU709" s="1098"/>
      <c r="EV709" s="1098"/>
      <c r="EW709" s="1098"/>
      <c r="EX709" s="1098"/>
      <c r="EY709" s="1098"/>
      <c r="EZ709" s="1098"/>
      <c r="FA709" s="1098"/>
      <c r="FB709" s="1098"/>
      <c r="FC709" s="1098"/>
      <c r="FD709" s="1098"/>
      <c r="FE709" s="1098"/>
      <c r="FF709" s="1098"/>
      <c r="FG709" s="1098"/>
      <c r="FH709" s="1098"/>
      <c r="FI709" s="1098"/>
      <c r="FJ709" s="1098"/>
      <c r="FK709" s="1098"/>
      <c r="FL709" s="1098"/>
      <c r="FM709" s="1098"/>
      <c r="FN709" s="1098"/>
      <c r="FO709" s="1098"/>
      <c r="FP709" s="1098"/>
      <c r="FQ709" s="1098"/>
      <c r="FR709" s="1098"/>
      <c r="FS709" s="1098"/>
      <c r="FT709" s="1098"/>
      <c r="FU709" s="1098"/>
      <c r="FV709" s="1098"/>
      <c r="FW709" s="1098"/>
      <c r="FX709" s="1098"/>
      <c r="FY709" s="1098"/>
      <c r="FZ709" s="1098"/>
      <c r="GA709" s="1098"/>
      <c r="GB709" s="1098"/>
      <c r="GC709" s="1098"/>
      <c r="GD709" s="1098"/>
      <c r="GE709" s="1098"/>
      <c r="GF709" s="1098"/>
      <c r="GG709" s="1098"/>
      <c r="GH709" s="1098"/>
      <c r="GI709" s="1098"/>
      <c r="GJ709" s="1098"/>
      <c r="GK709" s="1098"/>
      <c r="GL709" s="1098"/>
      <c r="GM709" s="1098"/>
      <c r="GN709" s="1098"/>
      <c r="GO709" s="1098"/>
      <c r="GP709" s="1098"/>
      <c r="GQ709" s="1098"/>
      <c r="GR709" s="1098"/>
      <c r="GS709" s="1098"/>
      <c r="GT709" s="1098"/>
      <c r="GU709" s="1098"/>
      <c r="GV709" s="1098"/>
      <c r="GW709" s="1098"/>
      <c r="GX709" s="1098"/>
      <c r="GY709" s="1098"/>
      <c r="GZ709" s="1098"/>
      <c r="HA709" s="1098"/>
      <c r="HB709" s="1098"/>
      <c r="HC709" s="1098"/>
      <c r="HD709" s="1098"/>
      <c r="HE709" s="1098"/>
      <c r="HF709" s="1098"/>
      <c r="HG709" s="1098"/>
      <c r="HH709" s="1098"/>
      <c r="HI709" s="1098"/>
      <c r="HJ709" s="1098"/>
      <c r="HK709" s="1098"/>
      <c r="HL709" s="1098"/>
      <c r="HM709" s="1098"/>
      <c r="HN709" s="1098"/>
      <c r="HO709" s="1098"/>
      <c r="HP709" s="1098"/>
      <c r="HQ709" s="1098"/>
      <c r="HR709" s="1098"/>
      <c r="HS709" s="1098"/>
      <c r="HT709" s="1098"/>
      <c r="HU709" s="1098"/>
      <c r="HV709" s="1098"/>
      <c r="HW709" s="1098"/>
      <c r="HX709" s="1098"/>
      <c r="HY709" s="1098"/>
      <c r="HZ709" s="1098"/>
      <c r="IA709" s="1098"/>
      <c r="IB709" s="1098"/>
      <c r="IC709" s="1098"/>
      <c r="ID709" s="1098"/>
      <c r="IE709" s="1098"/>
      <c r="IF709" s="1098"/>
      <c r="IG709" s="1098"/>
      <c r="IH709" s="1098"/>
      <c r="II709" s="1098"/>
      <c r="IJ709" s="1098"/>
      <c r="IK709" s="1098"/>
      <c r="IL709" s="1098"/>
      <c r="IM709" s="1098"/>
      <c r="IN709" s="1098"/>
      <c r="IO709" s="1098"/>
      <c r="IP709" s="1098"/>
      <c r="IQ709" s="1098"/>
      <c r="IR709" s="1098"/>
      <c r="IS709" s="1098"/>
      <c r="IT709" s="1098"/>
      <c r="IU709" s="1098"/>
      <c r="IV709" s="1098"/>
      <c r="IW709" s="1098"/>
      <c r="IX709" s="1098"/>
      <c r="IY709" s="1098"/>
      <c r="IZ709" s="1098"/>
      <c r="JA709" s="1098"/>
      <c r="JB709" s="1098"/>
      <c r="JC709" s="1098"/>
      <c r="JD709" s="1098"/>
      <c r="JE709" s="1098"/>
      <c r="JF709" s="1098"/>
      <c r="JG709" s="1098"/>
      <c r="JH709" s="1098"/>
      <c r="JI709" s="1098"/>
      <c r="JJ709" s="1098"/>
      <c r="JK709" s="1098"/>
      <c r="JL709" s="1098"/>
      <c r="JM709" s="1098"/>
      <c r="JN709" s="1098"/>
      <c r="JO709" s="1098"/>
      <c r="JP709" s="1098"/>
      <c r="JQ709" s="1098"/>
      <c r="JR709" s="1098"/>
      <c r="JS709" s="1098"/>
      <c r="JT709" s="1098"/>
      <c r="JU709" s="1098"/>
      <c r="JV709" s="1098"/>
      <c r="JW709" s="1098"/>
      <c r="JX709" s="1098"/>
      <c r="JY709" s="1098"/>
      <c r="JZ709" s="1098"/>
      <c r="KA709" s="1098"/>
      <c r="KB709" s="1099"/>
    </row>
    <row r="710" spans="2:288" ht="15" customHeight="1" x14ac:dyDescent="0.35">
      <c r="B710" s="146" t="str">
        <f t="shared" si="56"/>
        <v>Desk 80</v>
      </c>
      <c r="C710" s="148" t="str">
        <v/>
      </c>
      <c r="D710" s="148" t="str">
        <v/>
      </c>
      <c r="E710" s="148" t="str">
        <v/>
      </c>
      <c r="F710" s="148" t="str">
        <v/>
      </c>
      <c r="G710" s="268" t="str">
        <v/>
      </c>
      <c r="H710" s="1098"/>
      <c r="I710" s="1098"/>
      <c r="J710" s="1098"/>
      <c r="K710" s="1098"/>
      <c r="L710" s="1098"/>
      <c r="M710" s="1098"/>
      <c r="N710" s="1098"/>
      <c r="O710" s="1098"/>
      <c r="P710" s="1098"/>
      <c r="Q710" s="1098"/>
      <c r="R710" s="1098"/>
      <c r="S710" s="1098"/>
      <c r="T710" s="1098"/>
      <c r="U710" s="1098"/>
      <c r="V710" s="1098"/>
      <c r="W710" s="1098"/>
      <c r="X710" s="1098"/>
      <c r="Y710" s="1098"/>
      <c r="Z710" s="1098"/>
      <c r="AA710" s="1098"/>
      <c r="AB710" s="1098"/>
      <c r="AC710" s="1098"/>
      <c r="AD710" s="1098"/>
      <c r="AE710" s="1098"/>
      <c r="AF710" s="1098"/>
      <c r="AG710" s="1098"/>
      <c r="AH710" s="1098"/>
      <c r="AI710" s="1098"/>
      <c r="AJ710" s="1098"/>
      <c r="AK710" s="1098"/>
      <c r="AL710" s="1098"/>
      <c r="AM710" s="1098"/>
      <c r="AN710" s="1098"/>
      <c r="AO710" s="1098"/>
      <c r="AP710" s="1098"/>
      <c r="AQ710" s="1098"/>
      <c r="AR710" s="1098"/>
      <c r="AS710" s="1098"/>
      <c r="AT710" s="1098"/>
      <c r="AU710" s="1098"/>
      <c r="AV710" s="1098"/>
      <c r="AW710" s="1098"/>
      <c r="AX710" s="1098"/>
      <c r="AY710" s="1098"/>
      <c r="AZ710" s="1098"/>
      <c r="BA710" s="1098"/>
      <c r="BB710" s="1098"/>
      <c r="BC710" s="1098"/>
      <c r="BD710" s="1098"/>
      <c r="BE710" s="1098"/>
      <c r="BF710" s="1098"/>
      <c r="BG710" s="1098"/>
      <c r="BH710" s="1098"/>
      <c r="BI710" s="1098"/>
      <c r="BJ710" s="1098"/>
      <c r="BK710" s="1098"/>
      <c r="BL710" s="1098"/>
      <c r="BM710" s="1098"/>
      <c r="BN710" s="1098"/>
      <c r="BO710" s="1098"/>
      <c r="BP710" s="1098"/>
      <c r="BQ710" s="1098"/>
      <c r="BR710" s="1098"/>
      <c r="BS710" s="1098"/>
      <c r="BT710" s="1098"/>
      <c r="BU710" s="1098"/>
      <c r="BV710" s="1098"/>
      <c r="BW710" s="1098"/>
      <c r="BX710" s="1098"/>
      <c r="BY710" s="1098"/>
      <c r="BZ710" s="1098"/>
      <c r="CA710" s="1098"/>
      <c r="CB710" s="1098"/>
      <c r="CC710" s="1098"/>
      <c r="CD710" s="1098"/>
      <c r="CE710" s="1098"/>
      <c r="CF710" s="1098"/>
      <c r="CG710" s="1098"/>
      <c r="CH710" s="1098"/>
      <c r="CI710" s="1098"/>
      <c r="CJ710" s="1098"/>
      <c r="CK710" s="1098"/>
      <c r="CL710" s="1098"/>
      <c r="CM710" s="1098"/>
      <c r="CN710" s="1098"/>
      <c r="CO710" s="1098"/>
      <c r="CP710" s="1098"/>
      <c r="CQ710" s="1098"/>
      <c r="CR710" s="1098"/>
      <c r="CS710" s="1098"/>
      <c r="CT710" s="1098"/>
      <c r="CU710" s="1098"/>
      <c r="CV710" s="1098"/>
      <c r="CW710" s="1098"/>
      <c r="CX710" s="1098"/>
      <c r="CY710" s="1098"/>
      <c r="CZ710" s="1098"/>
      <c r="DA710" s="1098"/>
      <c r="DB710" s="1098"/>
      <c r="DC710" s="1098"/>
      <c r="DD710" s="1098"/>
      <c r="DE710" s="1098"/>
      <c r="DF710" s="1098"/>
      <c r="DG710" s="1098"/>
      <c r="DH710" s="1098"/>
      <c r="DI710" s="1098"/>
      <c r="DJ710" s="1098"/>
      <c r="DK710" s="1098"/>
      <c r="DL710" s="1098"/>
      <c r="DM710" s="1098"/>
      <c r="DN710" s="1098"/>
      <c r="DO710" s="1098"/>
      <c r="DP710" s="1098"/>
      <c r="DQ710" s="1098"/>
      <c r="DR710" s="1098"/>
      <c r="DS710" s="1098"/>
      <c r="DT710" s="1098"/>
      <c r="DU710" s="1098"/>
      <c r="DV710" s="1098"/>
      <c r="DW710" s="1098"/>
      <c r="DX710" s="1098"/>
      <c r="DY710" s="1098"/>
      <c r="DZ710" s="1098"/>
      <c r="EA710" s="1098"/>
      <c r="EB710" s="1098"/>
      <c r="EC710" s="1098"/>
      <c r="ED710" s="1098"/>
      <c r="EE710" s="1098"/>
      <c r="EF710" s="1098"/>
      <c r="EG710" s="1098"/>
      <c r="EH710" s="1098"/>
      <c r="EI710" s="1098"/>
      <c r="EJ710" s="1098"/>
      <c r="EK710" s="1098"/>
      <c r="EL710" s="1098"/>
      <c r="EM710" s="1098"/>
      <c r="EN710" s="1098"/>
      <c r="EO710" s="1098"/>
      <c r="EP710" s="1098"/>
      <c r="EQ710" s="1098"/>
      <c r="ER710" s="1098"/>
      <c r="ES710" s="1098"/>
      <c r="ET710" s="1098"/>
      <c r="EU710" s="1098"/>
      <c r="EV710" s="1098"/>
      <c r="EW710" s="1098"/>
      <c r="EX710" s="1098"/>
      <c r="EY710" s="1098"/>
      <c r="EZ710" s="1098"/>
      <c r="FA710" s="1098"/>
      <c r="FB710" s="1098"/>
      <c r="FC710" s="1098"/>
      <c r="FD710" s="1098"/>
      <c r="FE710" s="1098"/>
      <c r="FF710" s="1098"/>
      <c r="FG710" s="1098"/>
      <c r="FH710" s="1098"/>
      <c r="FI710" s="1098"/>
      <c r="FJ710" s="1098"/>
      <c r="FK710" s="1098"/>
      <c r="FL710" s="1098"/>
      <c r="FM710" s="1098"/>
      <c r="FN710" s="1098"/>
      <c r="FO710" s="1098"/>
      <c r="FP710" s="1098"/>
      <c r="FQ710" s="1098"/>
      <c r="FR710" s="1098"/>
      <c r="FS710" s="1098"/>
      <c r="FT710" s="1098"/>
      <c r="FU710" s="1098"/>
      <c r="FV710" s="1098"/>
      <c r="FW710" s="1098"/>
      <c r="FX710" s="1098"/>
      <c r="FY710" s="1098"/>
      <c r="FZ710" s="1098"/>
      <c r="GA710" s="1098"/>
      <c r="GB710" s="1098"/>
      <c r="GC710" s="1098"/>
      <c r="GD710" s="1098"/>
      <c r="GE710" s="1098"/>
      <c r="GF710" s="1098"/>
      <c r="GG710" s="1098"/>
      <c r="GH710" s="1098"/>
      <c r="GI710" s="1098"/>
      <c r="GJ710" s="1098"/>
      <c r="GK710" s="1098"/>
      <c r="GL710" s="1098"/>
      <c r="GM710" s="1098"/>
      <c r="GN710" s="1098"/>
      <c r="GO710" s="1098"/>
      <c r="GP710" s="1098"/>
      <c r="GQ710" s="1098"/>
      <c r="GR710" s="1098"/>
      <c r="GS710" s="1098"/>
      <c r="GT710" s="1098"/>
      <c r="GU710" s="1098"/>
      <c r="GV710" s="1098"/>
      <c r="GW710" s="1098"/>
      <c r="GX710" s="1098"/>
      <c r="GY710" s="1098"/>
      <c r="GZ710" s="1098"/>
      <c r="HA710" s="1098"/>
      <c r="HB710" s="1098"/>
      <c r="HC710" s="1098"/>
      <c r="HD710" s="1098"/>
      <c r="HE710" s="1098"/>
      <c r="HF710" s="1098"/>
      <c r="HG710" s="1098"/>
      <c r="HH710" s="1098"/>
      <c r="HI710" s="1098"/>
      <c r="HJ710" s="1098"/>
      <c r="HK710" s="1098"/>
      <c r="HL710" s="1098"/>
      <c r="HM710" s="1098"/>
      <c r="HN710" s="1098"/>
      <c r="HO710" s="1098"/>
      <c r="HP710" s="1098"/>
      <c r="HQ710" s="1098"/>
      <c r="HR710" s="1098"/>
      <c r="HS710" s="1098"/>
      <c r="HT710" s="1098"/>
      <c r="HU710" s="1098"/>
      <c r="HV710" s="1098"/>
      <c r="HW710" s="1098"/>
      <c r="HX710" s="1098"/>
      <c r="HY710" s="1098"/>
      <c r="HZ710" s="1098"/>
      <c r="IA710" s="1098"/>
      <c r="IB710" s="1098"/>
      <c r="IC710" s="1098"/>
      <c r="ID710" s="1098"/>
      <c r="IE710" s="1098"/>
      <c r="IF710" s="1098"/>
      <c r="IG710" s="1098"/>
      <c r="IH710" s="1098"/>
      <c r="II710" s="1098"/>
      <c r="IJ710" s="1098"/>
      <c r="IK710" s="1098"/>
      <c r="IL710" s="1098"/>
      <c r="IM710" s="1098"/>
      <c r="IN710" s="1098"/>
      <c r="IO710" s="1098"/>
      <c r="IP710" s="1098"/>
      <c r="IQ710" s="1098"/>
      <c r="IR710" s="1098"/>
      <c r="IS710" s="1098"/>
      <c r="IT710" s="1098"/>
      <c r="IU710" s="1098"/>
      <c r="IV710" s="1098"/>
      <c r="IW710" s="1098"/>
      <c r="IX710" s="1098"/>
      <c r="IY710" s="1098"/>
      <c r="IZ710" s="1098"/>
      <c r="JA710" s="1098"/>
      <c r="JB710" s="1098"/>
      <c r="JC710" s="1098"/>
      <c r="JD710" s="1098"/>
      <c r="JE710" s="1098"/>
      <c r="JF710" s="1098"/>
      <c r="JG710" s="1098"/>
      <c r="JH710" s="1098"/>
      <c r="JI710" s="1098"/>
      <c r="JJ710" s="1098"/>
      <c r="JK710" s="1098"/>
      <c r="JL710" s="1098"/>
      <c r="JM710" s="1098"/>
      <c r="JN710" s="1098"/>
      <c r="JO710" s="1098"/>
      <c r="JP710" s="1098"/>
      <c r="JQ710" s="1098"/>
      <c r="JR710" s="1098"/>
      <c r="JS710" s="1098"/>
      <c r="JT710" s="1098"/>
      <c r="JU710" s="1098"/>
      <c r="JV710" s="1098"/>
      <c r="JW710" s="1098"/>
      <c r="JX710" s="1098"/>
      <c r="JY710" s="1098"/>
      <c r="JZ710" s="1098"/>
      <c r="KA710" s="1098"/>
      <c r="KB710" s="1099"/>
    </row>
    <row r="711" spans="2:288" ht="15" customHeight="1" x14ac:dyDescent="0.35">
      <c r="B711" s="146" t="str">
        <f t="shared" si="56"/>
        <v>Desk 81</v>
      </c>
      <c r="C711" s="148" t="str">
        <v/>
      </c>
      <c r="D711" s="148" t="str">
        <v/>
      </c>
      <c r="E711" s="148" t="str">
        <v/>
      </c>
      <c r="F711" s="148" t="str">
        <v/>
      </c>
      <c r="G711" s="268" t="str">
        <v/>
      </c>
      <c r="H711" s="1098"/>
      <c r="I711" s="1098"/>
      <c r="J711" s="1098"/>
      <c r="K711" s="1098"/>
      <c r="L711" s="1098"/>
      <c r="M711" s="1098"/>
      <c r="N711" s="1098"/>
      <c r="O711" s="1098"/>
      <c r="P711" s="1098"/>
      <c r="Q711" s="1098"/>
      <c r="R711" s="1098"/>
      <c r="S711" s="1098"/>
      <c r="T711" s="1098"/>
      <c r="U711" s="1098"/>
      <c r="V711" s="1098"/>
      <c r="W711" s="1098"/>
      <c r="X711" s="1098"/>
      <c r="Y711" s="1098"/>
      <c r="Z711" s="1098"/>
      <c r="AA711" s="1098"/>
      <c r="AB711" s="1098"/>
      <c r="AC711" s="1098"/>
      <c r="AD711" s="1098"/>
      <c r="AE711" s="1098"/>
      <c r="AF711" s="1098"/>
      <c r="AG711" s="1098"/>
      <c r="AH711" s="1098"/>
      <c r="AI711" s="1098"/>
      <c r="AJ711" s="1098"/>
      <c r="AK711" s="1098"/>
      <c r="AL711" s="1098"/>
      <c r="AM711" s="1098"/>
      <c r="AN711" s="1098"/>
      <c r="AO711" s="1098"/>
      <c r="AP711" s="1098"/>
      <c r="AQ711" s="1098"/>
      <c r="AR711" s="1098"/>
      <c r="AS711" s="1098"/>
      <c r="AT711" s="1098"/>
      <c r="AU711" s="1098"/>
      <c r="AV711" s="1098"/>
      <c r="AW711" s="1098"/>
      <c r="AX711" s="1098"/>
      <c r="AY711" s="1098"/>
      <c r="AZ711" s="1098"/>
      <c r="BA711" s="1098"/>
      <c r="BB711" s="1098"/>
      <c r="BC711" s="1098"/>
      <c r="BD711" s="1098"/>
      <c r="BE711" s="1098"/>
      <c r="BF711" s="1098"/>
      <c r="BG711" s="1098"/>
      <c r="BH711" s="1098"/>
      <c r="BI711" s="1098"/>
      <c r="BJ711" s="1098"/>
      <c r="BK711" s="1098"/>
      <c r="BL711" s="1098"/>
      <c r="BM711" s="1098"/>
      <c r="BN711" s="1098"/>
      <c r="BO711" s="1098"/>
      <c r="BP711" s="1098"/>
      <c r="BQ711" s="1098"/>
      <c r="BR711" s="1098"/>
      <c r="BS711" s="1098"/>
      <c r="BT711" s="1098"/>
      <c r="BU711" s="1098"/>
      <c r="BV711" s="1098"/>
      <c r="BW711" s="1098"/>
      <c r="BX711" s="1098"/>
      <c r="BY711" s="1098"/>
      <c r="BZ711" s="1098"/>
      <c r="CA711" s="1098"/>
      <c r="CB711" s="1098"/>
      <c r="CC711" s="1098"/>
      <c r="CD711" s="1098"/>
      <c r="CE711" s="1098"/>
      <c r="CF711" s="1098"/>
      <c r="CG711" s="1098"/>
      <c r="CH711" s="1098"/>
      <c r="CI711" s="1098"/>
      <c r="CJ711" s="1098"/>
      <c r="CK711" s="1098"/>
      <c r="CL711" s="1098"/>
      <c r="CM711" s="1098"/>
      <c r="CN711" s="1098"/>
      <c r="CO711" s="1098"/>
      <c r="CP711" s="1098"/>
      <c r="CQ711" s="1098"/>
      <c r="CR711" s="1098"/>
      <c r="CS711" s="1098"/>
      <c r="CT711" s="1098"/>
      <c r="CU711" s="1098"/>
      <c r="CV711" s="1098"/>
      <c r="CW711" s="1098"/>
      <c r="CX711" s="1098"/>
      <c r="CY711" s="1098"/>
      <c r="CZ711" s="1098"/>
      <c r="DA711" s="1098"/>
      <c r="DB711" s="1098"/>
      <c r="DC711" s="1098"/>
      <c r="DD711" s="1098"/>
      <c r="DE711" s="1098"/>
      <c r="DF711" s="1098"/>
      <c r="DG711" s="1098"/>
      <c r="DH711" s="1098"/>
      <c r="DI711" s="1098"/>
      <c r="DJ711" s="1098"/>
      <c r="DK711" s="1098"/>
      <c r="DL711" s="1098"/>
      <c r="DM711" s="1098"/>
      <c r="DN711" s="1098"/>
      <c r="DO711" s="1098"/>
      <c r="DP711" s="1098"/>
      <c r="DQ711" s="1098"/>
      <c r="DR711" s="1098"/>
      <c r="DS711" s="1098"/>
      <c r="DT711" s="1098"/>
      <c r="DU711" s="1098"/>
      <c r="DV711" s="1098"/>
      <c r="DW711" s="1098"/>
      <c r="DX711" s="1098"/>
      <c r="DY711" s="1098"/>
      <c r="DZ711" s="1098"/>
      <c r="EA711" s="1098"/>
      <c r="EB711" s="1098"/>
      <c r="EC711" s="1098"/>
      <c r="ED711" s="1098"/>
      <c r="EE711" s="1098"/>
      <c r="EF711" s="1098"/>
      <c r="EG711" s="1098"/>
      <c r="EH711" s="1098"/>
      <c r="EI711" s="1098"/>
      <c r="EJ711" s="1098"/>
      <c r="EK711" s="1098"/>
      <c r="EL711" s="1098"/>
      <c r="EM711" s="1098"/>
      <c r="EN711" s="1098"/>
      <c r="EO711" s="1098"/>
      <c r="EP711" s="1098"/>
      <c r="EQ711" s="1098"/>
      <c r="ER711" s="1098"/>
      <c r="ES711" s="1098"/>
      <c r="ET711" s="1098"/>
      <c r="EU711" s="1098"/>
      <c r="EV711" s="1098"/>
      <c r="EW711" s="1098"/>
      <c r="EX711" s="1098"/>
      <c r="EY711" s="1098"/>
      <c r="EZ711" s="1098"/>
      <c r="FA711" s="1098"/>
      <c r="FB711" s="1098"/>
      <c r="FC711" s="1098"/>
      <c r="FD711" s="1098"/>
      <c r="FE711" s="1098"/>
      <c r="FF711" s="1098"/>
      <c r="FG711" s="1098"/>
      <c r="FH711" s="1098"/>
      <c r="FI711" s="1098"/>
      <c r="FJ711" s="1098"/>
      <c r="FK711" s="1098"/>
      <c r="FL711" s="1098"/>
      <c r="FM711" s="1098"/>
      <c r="FN711" s="1098"/>
      <c r="FO711" s="1098"/>
      <c r="FP711" s="1098"/>
      <c r="FQ711" s="1098"/>
      <c r="FR711" s="1098"/>
      <c r="FS711" s="1098"/>
      <c r="FT711" s="1098"/>
      <c r="FU711" s="1098"/>
      <c r="FV711" s="1098"/>
      <c r="FW711" s="1098"/>
      <c r="FX711" s="1098"/>
      <c r="FY711" s="1098"/>
      <c r="FZ711" s="1098"/>
      <c r="GA711" s="1098"/>
      <c r="GB711" s="1098"/>
      <c r="GC711" s="1098"/>
      <c r="GD711" s="1098"/>
      <c r="GE711" s="1098"/>
      <c r="GF711" s="1098"/>
      <c r="GG711" s="1098"/>
      <c r="GH711" s="1098"/>
      <c r="GI711" s="1098"/>
      <c r="GJ711" s="1098"/>
      <c r="GK711" s="1098"/>
      <c r="GL711" s="1098"/>
      <c r="GM711" s="1098"/>
      <c r="GN711" s="1098"/>
      <c r="GO711" s="1098"/>
      <c r="GP711" s="1098"/>
      <c r="GQ711" s="1098"/>
      <c r="GR711" s="1098"/>
      <c r="GS711" s="1098"/>
      <c r="GT711" s="1098"/>
      <c r="GU711" s="1098"/>
      <c r="GV711" s="1098"/>
      <c r="GW711" s="1098"/>
      <c r="GX711" s="1098"/>
      <c r="GY711" s="1098"/>
      <c r="GZ711" s="1098"/>
      <c r="HA711" s="1098"/>
      <c r="HB711" s="1098"/>
      <c r="HC711" s="1098"/>
      <c r="HD711" s="1098"/>
      <c r="HE711" s="1098"/>
      <c r="HF711" s="1098"/>
      <c r="HG711" s="1098"/>
      <c r="HH711" s="1098"/>
      <c r="HI711" s="1098"/>
      <c r="HJ711" s="1098"/>
      <c r="HK711" s="1098"/>
      <c r="HL711" s="1098"/>
      <c r="HM711" s="1098"/>
      <c r="HN711" s="1098"/>
      <c r="HO711" s="1098"/>
      <c r="HP711" s="1098"/>
      <c r="HQ711" s="1098"/>
      <c r="HR711" s="1098"/>
      <c r="HS711" s="1098"/>
      <c r="HT711" s="1098"/>
      <c r="HU711" s="1098"/>
      <c r="HV711" s="1098"/>
      <c r="HW711" s="1098"/>
      <c r="HX711" s="1098"/>
      <c r="HY711" s="1098"/>
      <c r="HZ711" s="1098"/>
      <c r="IA711" s="1098"/>
      <c r="IB711" s="1098"/>
      <c r="IC711" s="1098"/>
      <c r="ID711" s="1098"/>
      <c r="IE711" s="1098"/>
      <c r="IF711" s="1098"/>
      <c r="IG711" s="1098"/>
      <c r="IH711" s="1098"/>
      <c r="II711" s="1098"/>
      <c r="IJ711" s="1098"/>
      <c r="IK711" s="1098"/>
      <c r="IL711" s="1098"/>
      <c r="IM711" s="1098"/>
      <c r="IN711" s="1098"/>
      <c r="IO711" s="1098"/>
      <c r="IP711" s="1098"/>
      <c r="IQ711" s="1098"/>
      <c r="IR711" s="1098"/>
      <c r="IS711" s="1098"/>
      <c r="IT711" s="1098"/>
      <c r="IU711" s="1098"/>
      <c r="IV711" s="1098"/>
      <c r="IW711" s="1098"/>
      <c r="IX711" s="1098"/>
      <c r="IY711" s="1098"/>
      <c r="IZ711" s="1098"/>
      <c r="JA711" s="1098"/>
      <c r="JB711" s="1098"/>
      <c r="JC711" s="1098"/>
      <c r="JD711" s="1098"/>
      <c r="JE711" s="1098"/>
      <c r="JF711" s="1098"/>
      <c r="JG711" s="1098"/>
      <c r="JH711" s="1098"/>
      <c r="JI711" s="1098"/>
      <c r="JJ711" s="1098"/>
      <c r="JK711" s="1098"/>
      <c r="JL711" s="1098"/>
      <c r="JM711" s="1098"/>
      <c r="JN711" s="1098"/>
      <c r="JO711" s="1098"/>
      <c r="JP711" s="1098"/>
      <c r="JQ711" s="1098"/>
      <c r="JR711" s="1098"/>
      <c r="JS711" s="1098"/>
      <c r="JT711" s="1098"/>
      <c r="JU711" s="1098"/>
      <c r="JV711" s="1098"/>
      <c r="JW711" s="1098"/>
      <c r="JX711" s="1098"/>
      <c r="JY711" s="1098"/>
      <c r="JZ711" s="1098"/>
      <c r="KA711" s="1098"/>
      <c r="KB711" s="1099"/>
    </row>
    <row r="712" spans="2:288" ht="15" customHeight="1" x14ac:dyDescent="0.35">
      <c r="B712" s="146" t="str">
        <f t="shared" si="56"/>
        <v>Desk 82</v>
      </c>
      <c r="C712" s="148" t="str">
        <v/>
      </c>
      <c r="D712" s="148" t="str">
        <v/>
      </c>
      <c r="E712" s="148" t="str">
        <v/>
      </c>
      <c r="F712" s="148" t="str">
        <v/>
      </c>
      <c r="G712" s="268" t="str">
        <v/>
      </c>
      <c r="H712" s="1098"/>
      <c r="I712" s="1098"/>
      <c r="J712" s="1098"/>
      <c r="K712" s="1098"/>
      <c r="L712" s="1098"/>
      <c r="M712" s="1098"/>
      <c r="N712" s="1098"/>
      <c r="O712" s="1098"/>
      <c r="P712" s="1098"/>
      <c r="Q712" s="1098"/>
      <c r="R712" s="1098"/>
      <c r="S712" s="1098"/>
      <c r="T712" s="1098"/>
      <c r="U712" s="1098"/>
      <c r="V712" s="1098"/>
      <c r="W712" s="1098"/>
      <c r="X712" s="1098"/>
      <c r="Y712" s="1098"/>
      <c r="Z712" s="1098"/>
      <c r="AA712" s="1098"/>
      <c r="AB712" s="1098"/>
      <c r="AC712" s="1098"/>
      <c r="AD712" s="1098"/>
      <c r="AE712" s="1098"/>
      <c r="AF712" s="1098"/>
      <c r="AG712" s="1098"/>
      <c r="AH712" s="1098"/>
      <c r="AI712" s="1098"/>
      <c r="AJ712" s="1098"/>
      <c r="AK712" s="1098"/>
      <c r="AL712" s="1098"/>
      <c r="AM712" s="1098"/>
      <c r="AN712" s="1098"/>
      <c r="AO712" s="1098"/>
      <c r="AP712" s="1098"/>
      <c r="AQ712" s="1098"/>
      <c r="AR712" s="1098"/>
      <c r="AS712" s="1098"/>
      <c r="AT712" s="1098"/>
      <c r="AU712" s="1098"/>
      <c r="AV712" s="1098"/>
      <c r="AW712" s="1098"/>
      <c r="AX712" s="1098"/>
      <c r="AY712" s="1098"/>
      <c r="AZ712" s="1098"/>
      <c r="BA712" s="1098"/>
      <c r="BB712" s="1098"/>
      <c r="BC712" s="1098"/>
      <c r="BD712" s="1098"/>
      <c r="BE712" s="1098"/>
      <c r="BF712" s="1098"/>
      <c r="BG712" s="1098"/>
      <c r="BH712" s="1098"/>
      <c r="BI712" s="1098"/>
      <c r="BJ712" s="1098"/>
      <c r="BK712" s="1098"/>
      <c r="BL712" s="1098"/>
      <c r="BM712" s="1098"/>
      <c r="BN712" s="1098"/>
      <c r="BO712" s="1098"/>
      <c r="BP712" s="1098"/>
      <c r="BQ712" s="1098"/>
      <c r="BR712" s="1098"/>
      <c r="BS712" s="1098"/>
      <c r="BT712" s="1098"/>
      <c r="BU712" s="1098"/>
      <c r="BV712" s="1098"/>
      <c r="BW712" s="1098"/>
      <c r="BX712" s="1098"/>
      <c r="BY712" s="1098"/>
      <c r="BZ712" s="1098"/>
      <c r="CA712" s="1098"/>
      <c r="CB712" s="1098"/>
      <c r="CC712" s="1098"/>
      <c r="CD712" s="1098"/>
      <c r="CE712" s="1098"/>
      <c r="CF712" s="1098"/>
      <c r="CG712" s="1098"/>
      <c r="CH712" s="1098"/>
      <c r="CI712" s="1098"/>
      <c r="CJ712" s="1098"/>
      <c r="CK712" s="1098"/>
      <c r="CL712" s="1098"/>
      <c r="CM712" s="1098"/>
      <c r="CN712" s="1098"/>
      <c r="CO712" s="1098"/>
      <c r="CP712" s="1098"/>
      <c r="CQ712" s="1098"/>
      <c r="CR712" s="1098"/>
      <c r="CS712" s="1098"/>
      <c r="CT712" s="1098"/>
      <c r="CU712" s="1098"/>
      <c r="CV712" s="1098"/>
      <c r="CW712" s="1098"/>
      <c r="CX712" s="1098"/>
      <c r="CY712" s="1098"/>
      <c r="CZ712" s="1098"/>
      <c r="DA712" s="1098"/>
      <c r="DB712" s="1098"/>
      <c r="DC712" s="1098"/>
      <c r="DD712" s="1098"/>
      <c r="DE712" s="1098"/>
      <c r="DF712" s="1098"/>
      <c r="DG712" s="1098"/>
      <c r="DH712" s="1098"/>
      <c r="DI712" s="1098"/>
      <c r="DJ712" s="1098"/>
      <c r="DK712" s="1098"/>
      <c r="DL712" s="1098"/>
      <c r="DM712" s="1098"/>
      <c r="DN712" s="1098"/>
      <c r="DO712" s="1098"/>
      <c r="DP712" s="1098"/>
      <c r="DQ712" s="1098"/>
      <c r="DR712" s="1098"/>
      <c r="DS712" s="1098"/>
      <c r="DT712" s="1098"/>
      <c r="DU712" s="1098"/>
      <c r="DV712" s="1098"/>
      <c r="DW712" s="1098"/>
      <c r="DX712" s="1098"/>
      <c r="DY712" s="1098"/>
      <c r="DZ712" s="1098"/>
      <c r="EA712" s="1098"/>
      <c r="EB712" s="1098"/>
      <c r="EC712" s="1098"/>
      <c r="ED712" s="1098"/>
      <c r="EE712" s="1098"/>
      <c r="EF712" s="1098"/>
      <c r="EG712" s="1098"/>
      <c r="EH712" s="1098"/>
      <c r="EI712" s="1098"/>
      <c r="EJ712" s="1098"/>
      <c r="EK712" s="1098"/>
      <c r="EL712" s="1098"/>
      <c r="EM712" s="1098"/>
      <c r="EN712" s="1098"/>
      <c r="EO712" s="1098"/>
      <c r="EP712" s="1098"/>
      <c r="EQ712" s="1098"/>
      <c r="ER712" s="1098"/>
      <c r="ES712" s="1098"/>
      <c r="ET712" s="1098"/>
      <c r="EU712" s="1098"/>
      <c r="EV712" s="1098"/>
      <c r="EW712" s="1098"/>
      <c r="EX712" s="1098"/>
      <c r="EY712" s="1098"/>
      <c r="EZ712" s="1098"/>
      <c r="FA712" s="1098"/>
      <c r="FB712" s="1098"/>
      <c r="FC712" s="1098"/>
      <c r="FD712" s="1098"/>
      <c r="FE712" s="1098"/>
      <c r="FF712" s="1098"/>
      <c r="FG712" s="1098"/>
      <c r="FH712" s="1098"/>
      <c r="FI712" s="1098"/>
      <c r="FJ712" s="1098"/>
      <c r="FK712" s="1098"/>
      <c r="FL712" s="1098"/>
      <c r="FM712" s="1098"/>
      <c r="FN712" s="1098"/>
      <c r="FO712" s="1098"/>
      <c r="FP712" s="1098"/>
      <c r="FQ712" s="1098"/>
      <c r="FR712" s="1098"/>
      <c r="FS712" s="1098"/>
      <c r="FT712" s="1098"/>
      <c r="FU712" s="1098"/>
      <c r="FV712" s="1098"/>
      <c r="FW712" s="1098"/>
      <c r="FX712" s="1098"/>
      <c r="FY712" s="1098"/>
      <c r="FZ712" s="1098"/>
      <c r="GA712" s="1098"/>
      <c r="GB712" s="1098"/>
      <c r="GC712" s="1098"/>
      <c r="GD712" s="1098"/>
      <c r="GE712" s="1098"/>
      <c r="GF712" s="1098"/>
      <c r="GG712" s="1098"/>
      <c r="GH712" s="1098"/>
      <c r="GI712" s="1098"/>
      <c r="GJ712" s="1098"/>
      <c r="GK712" s="1098"/>
      <c r="GL712" s="1098"/>
      <c r="GM712" s="1098"/>
      <c r="GN712" s="1098"/>
      <c r="GO712" s="1098"/>
      <c r="GP712" s="1098"/>
      <c r="GQ712" s="1098"/>
      <c r="GR712" s="1098"/>
      <c r="GS712" s="1098"/>
      <c r="GT712" s="1098"/>
      <c r="GU712" s="1098"/>
      <c r="GV712" s="1098"/>
      <c r="GW712" s="1098"/>
      <c r="GX712" s="1098"/>
      <c r="GY712" s="1098"/>
      <c r="GZ712" s="1098"/>
      <c r="HA712" s="1098"/>
      <c r="HB712" s="1098"/>
      <c r="HC712" s="1098"/>
      <c r="HD712" s="1098"/>
      <c r="HE712" s="1098"/>
      <c r="HF712" s="1098"/>
      <c r="HG712" s="1098"/>
      <c r="HH712" s="1098"/>
      <c r="HI712" s="1098"/>
      <c r="HJ712" s="1098"/>
      <c r="HK712" s="1098"/>
      <c r="HL712" s="1098"/>
      <c r="HM712" s="1098"/>
      <c r="HN712" s="1098"/>
      <c r="HO712" s="1098"/>
      <c r="HP712" s="1098"/>
      <c r="HQ712" s="1098"/>
      <c r="HR712" s="1098"/>
      <c r="HS712" s="1098"/>
      <c r="HT712" s="1098"/>
      <c r="HU712" s="1098"/>
      <c r="HV712" s="1098"/>
      <c r="HW712" s="1098"/>
      <c r="HX712" s="1098"/>
      <c r="HY712" s="1098"/>
      <c r="HZ712" s="1098"/>
      <c r="IA712" s="1098"/>
      <c r="IB712" s="1098"/>
      <c r="IC712" s="1098"/>
      <c r="ID712" s="1098"/>
      <c r="IE712" s="1098"/>
      <c r="IF712" s="1098"/>
      <c r="IG712" s="1098"/>
      <c r="IH712" s="1098"/>
      <c r="II712" s="1098"/>
      <c r="IJ712" s="1098"/>
      <c r="IK712" s="1098"/>
      <c r="IL712" s="1098"/>
      <c r="IM712" s="1098"/>
      <c r="IN712" s="1098"/>
      <c r="IO712" s="1098"/>
      <c r="IP712" s="1098"/>
      <c r="IQ712" s="1098"/>
      <c r="IR712" s="1098"/>
      <c r="IS712" s="1098"/>
      <c r="IT712" s="1098"/>
      <c r="IU712" s="1098"/>
      <c r="IV712" s="1098"/>
      <c r="IW712" s="1098"/>
      <c r="IX712" s="1098"/>
      <c r="IY712" s="1098"/>
      <c r="IZ712" s="1098"/>
      <c r="JA712" s="1098"/>
      <c r="JB712" s="1098"/>
      <c r="JC712" s="1098"/>
      <c r="JD712" s="1098"/>
      <c r="JE712" s="1098"/>
      <c r="JF712" s="1098"/>
      <c r="JG712" s="1098"/>
      <c r="JH712" s="1098"/>
      <c r="JI712" s="1098"/>
      <c r="JJ712" s="1098"/>
      <c r="JK712" s="1098"/>
      <c r="JL712" s="1098"/>
      <c r="JM712" s="1098"/>
      <c r="JN712" s="1098"/>
      <c r="JO712" s="1098"/>
      <c r="JP712" s="1098"/>
      <c r="JQ712" s="1098"/>
      <c r="JR712" s="1098"/>
      <c r="JS712" s="1098"/>
      <c r="JT712" s="1098"/>
      <c r="JU712" s="1098"/>
      <c r="JV712" s="1098"/>
      <c r="JW712" s="1098"/>
      <c r="JX712" s="1098"/>
      <c r="JY712" s="1098"/>
      <c r="JZ712" s="1098"/>
      <c r="KA712" s="1098"/>
      <c r="KB712" s="1099"/>
    </row>
    <row r="713" spans="2:288" ht="15" customHeight="1" x14ac:dyDescent="0.35">
      <c r="B713" s="146" t="str">
        <f t="shared" si="56"/>
        <v>Desk 83</v>
      </c>
      <c r="C713" s="148" t="str">
        <v/>
      </c>
      <c r="D713" s="148" t="str">
        <v/>
      </c>
      <c r="E713" s="148" t="str">
        <v/>
      </c>
      <c r="F713" s="148" t="str">
        <v/>
      </c>
      <c r="G713" s="268" t="str">
        <v/>
      </c>
      <c r="H713" s="1098"/>
      <c r="I713" s="1098"/>
      <c r="J713" s="1098"/>
      <c r="K713" s="1098"/>
      <c r="L713" s="1098"/>
      <c r="M713" s="1098"/>
      <c r="N713" s="1098"/>
      <c r="O713" s="1098"/>
      <c r="P713" s="1098"/>
      <c r="Q713" s="1098"/>
      <c r="R713" s="1098"/>
      <c r="S713" s="1098"/>
      <c r="T713" s="1098"/>
      <c r="U713" s="1098"/>
      <c r="V713" s="1098"/>
      <c r="W713" s="1098"/>
      <c r="X713" s="1098"/>
      <c r="Y713" s="1098"/>
      <c r="Z713" s="1098"/>
      <c r="AA713" s="1098"/>
      <c r="AB713" s="1098"/>
      <c r="AC713" s="1098"/>
      <c r="AD713" s="1098"/>
      <c r="AE713" s="1098"/>
      <c r="AF713" s="1098"/>
      <c r="AG713" s="1098"/>
      <c r="AH713" s="1098"/>
      <c r="AI713" s="1098"/>
      <c r="AJ713" s="1098"/>
      <c r="AK713" s="1098"/>
      <c r="AL713" s="1098"/>
      <c r="AM713" s="1098"/>
      <c r="AN713" s="1098"/>
      <c r="AO713" s="1098"/>
      <c r="AP713" s="1098"/>
      <c r="AQ713" s="1098"/>
      <c r="AR713" s="1098"/>
      <c r="AS713" s="1098"/>
      <c r="AT713" s="1098"/>
      <c r="AU713" s="1098"/>
      <c r="AV713" s="1098"/>
      <c r="AW713" s="1098"/>
      <c r="AX713" s="1098"/>
      <c r="AY713" s="1098"/>
      <c r="AZ713" s="1098"/>
      <c r="BA713" s="1098"/>
      <c r="BB713" s="1098"/>
      <c r="BC713" s="1098"/>
      <c r="BD713" s="1098"/>
      <c r="BE713" s="1098"/>
      <c r="BF713" s="1098"/>
      <c r="BG713" s="1098"/>
      <c r="BH713" s="1098"/>
      <c r="BI713" s="1098"/>
      <c r="BJ713" s="1098"/>
      <c r="BK713" s="1098"/>
      <c r="BL713" s="1098"/>
      <c r="BM713" s="1098"/>
      <c r="BN713" s="1098"/>
      <c r="BO713" s="1098"/>
      <c r="BP713" s="1098"/>
      <c r="BQ713" s="1098"/>
      <c r="BR713" s="1098"/>
      <c r="BS713" s="1098"/>
      <c r="BT713" s="1098"/>
      <c r="BU713" s="1098"/>
      <c r="BV713" s="1098"/>
      <c r="BW713" s="1098"/>
      <c r="BX713" s="1098"/>
      <c r="BY713" s="1098"/>
      <c r="BZ713" s="1098"/>
      <c r="CA713" s="1098"/>
      <c r="CB713" s="1098"/>
      <c r="CC713" s="1098"/>
      <c r="CD713" s="1098"/>
      <c r="CE713" s="1098"/>
      <c r="CF713" s="1098"/>
      <c r="CG713" s="1098"/>
      <c r="CH713" s="1098"/>
      <c r="CI713" s="1098"/>
      <c r="CJ713" s="1098"/>
      <c r="CK713" s="1098"/>
      <c r="CL713" s="1098"/>
      <c r="CM713" s="1098"/>
      <c r="CN713" s="1098"/>
      <c r="CO713" s="1098"/>
      <c r="CP713" s="1098"/>
      <c r="CQ713" s="1098"/>
      <c r="CR713" s="1098"/>
      <c r="CS713" s="1098"/>
      <c r="CT713" s="1098"/>
      <c r="CU713" s="1098"/>
      <c r="CV713" s="1098"/>
      <c r="CW713" s="1098"/>
      <c r="CX713" s="1098"/>
      <c r="CY713" s="1098"/>
      <c r="CZ713" s="1098"/>
      <c r="DA713" s="1098"/>
      <c r="DB713" s="1098"/>
      <c r="DC713" s="1098"/>
      <c r="DD713" s="1098"/>
      <c r="DE713" s="1098"/>
      <c r="DF713" s="1098"/>
      <c r="DG713" s="1098"/>
      <c r="DH713" s="1098"/>
      <c r="DI713" s="1098"/>
      <c r="DJ713" s="1098"/>
      <c r="DK713" s="1098"/>
      <c r="DL713" s="1098"/>
      <c r="DM713" s="1098"/>
      <c r="DN713" s="1098"/>
      <c r="DO713" s="1098"/>
      <c r="DP713" s="1098"/>
      <c r="DQ713" s="1098"/>
      <c r="DR713" s="1098"/>
      <c r="DS713" s="1098"/>
      <c r="DT713" s="1098"/>
      <c r="DU713" s="1098"/>
      <c r="DV713" s="1098"/>
      <c r="DW713" s="1098"/>
      <c r="DX713" s="1098"/>
      <c r="DY713" s="1098"/>
      <c r="DZ713" s="1098"/>
      <c r="EA713" s="1098"/>
      <c r="EB713" s="1098"/>
      <c r="EC713" s="1098"/>
      <c r="ED713" s="1098"/>
      <c r="EE713" s="1098"/>
      <c r="EF713" s="1098"/>
      <c r="EG713" s="1098"/>
      <c r="EH713" s="1098"/>
      <c r="EI713" s="1098"/>
      <c r="EJ713" s="1098"/>
      <c r="EK713" s="1098"/>
      <c r="EL713" s="1098"/>
      <c r="EM713" s="1098"/>
      <c r="EN713" s="1098"/>
      <c r="EO713" s="1098"/>
      <c r="EP713" s="1098"/>
      <c r="EQ713" s="1098"/>
      <c r="ER713" s="1098"/>
      <c r="ES713" s="1098"/>
      <c r="ET713" s="1098"/>
      <c r="EU713" s="1098"/>
      <c r="EV713" s="1098"/>
      <c r="EW713" s="1098"/>
      <c r="EX713" s="1098"/>
      <c r="EY713" s="1098"/>
      <c r="EZ713" s="1098"/>
      <c r="FA713" s="1098"/>
      <c r="FB713" s="1098"/>
      <c r="FC713" s="1098"/>
      <c r="FD713" s="1098"/>
      <c r="FE713" s="1098"/>
      <c r="FF713" s="1098"/>
      <c r="FG713" s="1098"/>
      <c r="FH713" s="1098"/>
      <c r="FI713" s="1098"/>
      <c r="FJ713" s="1098"/>
      <c r="FK713" s="1098"/>
      <c r="FL713" s="1098"/>
      <c r="FM713" s="1098"/>
      <c r="FN713" s="1098"/>
      <c r="FO713" s="1098"/>
      <c r="FP713" s="1098"/>
      <c r="FQ713" s="1098"/>
      <c r="FR713" s="1098"/>
      <c r="FS713" s="1098"/>
      <c r="FT713" s="1098"/>
      <c r="FU713" s="1098"/>
      <c r="FV713" s="1098"/>
      <c r="FW713" s="1098"/>
      <c r="FX713" s="1098"/>
      <c r="FY713" s="1098"/>
      <c r="FZ713" s="1098"/>
      <c r="GA713" s="1098"/>
      <c r="GB713" s="1098"/>
      <c r="GC713" s="1098"/>
      <c r="GD713" s="1098"/>
      <c r="GE713" s="1098"/>
      <c r="GF713" s="1098"/>
      <c r="GG713" s="1098"/>
      <c r="GH713" s="1098"/>
      <c r="GI713" s="1098"/>
      <c r="GJ713" s="1098"/>
      <c r="GK713" s="1098"/>
      <c r="GL713" s="1098"/>
      <c r="GM713" s="1098"/>
      <c r="GN713" s="1098"/>
      <c r="GO713" s="1098"/>
      <c r="GP713" s="1098"/>
      <c r="GQ713" s="1098"/>
      <c r="GR713" s="1098"/>
      <c r="GS713" s="1098"/>
      <c r="GT713" s="1098"/>
      <c r="GU713" s="1098"/>
      <c r="GV713" s="1098"/>
      <c r="GW713" s="1098"/>
      <c r="GX713" s="1098"/>
      <c r="GY713" s="1098"/>
      <c r="GZ713" s="1098"/>
      <c r="HA713" s="1098"/>
      <c r="HB713" s="1098"/>
      <c r="HC713" s="1098"/>
      <c r="HD713" s="1098"/>
      <c r="HE713" s="1098"/>
      <c r="HF713" s="1098"/>
      <c r="HG713" s="1098"/>
      <c r="HH713" s="1098"/>
      <c r="HI713" s="1098"/>
      <c r="HJ713" s="1098"/>
      <c r="HK713" s="1098"/>
      <c r="HL713" s="1098"/>
      <c r="HM713" s="1098"/>
      <c r="HN713" s="1098"/>
      <c r="HO713" s="1098"/>
      <c r="HP713" s="1098"/>
      <c r="HQ713" s="1098"/>
      <c r="HR713" s="1098"/>
      <c r="HS713" s="1098"/>
      <c r="HT713" s="1098"/>
      <c r="HU713" s="1098"/>
      <c r="HV713" s="1098"/>
      <c r="HW713" s="1098"/>
      <c r="HX713" s="1098"/>
      <c r="HY713" s="1098"/>
      <c r="HZ713" s="1098"/>
      <c r="IA713" s="1098"/>
      <c r="IB713" s="1098"/>
      <c r="IC713" s="1098"/>
      <c r="ID713" s="1098"/>
      <c r="IE713" s="1098"/>
      <c r="IF713" s="1098"/>
      <c r="IG713" s="1098"/>
      <c r="IH713" s="1098"/>
      <c r="II713" s="1098"/>
      <c r="IJ713" s="1098"/>
      <c r="IK713" s="1098"/>
      <c r="IL713" s="1098"/>
      <c r="IM713" s="1098"/>
      <c r="IN713" s="1098"/>
      <c r="IO713" s="1098"/>
      <c r="IP713" s="1098"/>
      <c r="IQ713" s="1098"/>
      <c r="IR713" s="1098"/>
      <c r="IS713" s="1098"/>
      <c r="IT713" s="1098"/>
      <c r="IU713" s="1098"/>
      <c r="IV713" s="1098"/>
      <c r="IW713" s="1098"/>
      <c r="IX713" s="1098"/>
      <c r="IY713" s="1098"/>
      <c r="IZ713" s="1098"/>
      <c r="JA713" s="1098"/>
      <c r="JB713" s="1098"/>
      <c r="JC713" s="1098"/>
      <c r="JD713" s="1098"/>
      <c r="JE713" s="1098"/>
      <c r="JF713" s="1098"/>
      <c r="JG713" s="1098"/>
      <c r="JH713" s="1098"/>
      <c r="JI713" s="1098"/>
      <c r="JJ713" s="1098"/>
      <c r="JK713" s="1098"/>
      <c r="JL713" s="1098"/>
      <c r="JM713" s="1098"/>
      <c r="JN713" s="1098"/>
      <c r="JO713" s="1098"/>
      <c r="JP713" s="1098"/>
      <c r="JQ713" s="1098"/>
      <c r="JR713" s="1098"/>
      <c r="JS713" s="1098"/>
      <c r="JT713" s="1098"/>
      <c r="JU713" s="1098"/>
      <c r="JV713" s="1098"/>
      <c r="JW713" s="1098"/>
      <c r="JX713" s="1098"/>
      <c r="JY713" s="1098"/>
      <c r="JZ713" s="1098"/>
      <c r="KA713" s="1098"/>
      <c r="KB713" s="1099"/>
    </row>
    <row r="714" spans="2:288" ht="15" customHeight="1" x14ac:dyDescent="0.35">
      <c r="B714" s="146" t="str">
        <f t="shared" si="56"/>
        <v>Desk 84</v>
      </c>
      <c r="C714" s="148" t="str">
        <v/>
      </c>
      <c r="D714" s="148" t="str">
        <v/>
      </c>
      <c r="E714" s="148" t="str">
        <v/>
      </c>
      <c r="F714" s="148" t="str">
        <v/>
      </c>
      <c r="G714" s="268" t="str">
        <v/>
      </c>
      <c r="H714" s="1098"/>
      <c r="I714" s="1098"/>
      <c r="J714" s="1098"/>
      <c r="K714" s="1098"/>
      <c r="L714" s="1098"/>
      <c r="M714" s="1098"/>
      <c r="N714" s="1098"/>
      <c r="O714" s="1098"/>
      <c r="P714" s="1098"/>
      <c r="Q714" s="1098"/>
      <c r="R714" s="1098"/>
      <c r="S714" s="1098"/>
      <c r="T714" s="1098"/>
      <c r="U714" s="1098"/>
      <c r="V714" s="1098"/>
      <c r="W714" s="1098"/>
      <c r="X714" s="1098"/>
      <c r="Y714" s="1098"/>
      <c r="Z714" s="1098"/>
      <c r="AA714" s="1098"/>
      <c r="AB714" s="1098"/>
      <c r="AC714" s="1098"/>
      <c r="AD714" s="1098"/>
      <c r="AE714" s="1098"/>
      <c r="AF714" s="1098"/>
      <c r="AG714" s="1098"/>
      <c r="AH714" s="1098"/>
      <c r="AI714" s="1098"/>
      <c r="AJ714" s="1098"/>
      <c r="AK714" s="1098"/>
      <c r="AL714" s="1098"/>
      <c r="AM714" s="1098"/>
      <c r="AN714" s="1098"/>
      <c r="AO714" s="1098"/>
      <c r="AP714" s="1098"/>
      <c r="AQ714" s="1098"/>
      <c r="AR714" s="1098"/>
      <c r="AS714" s="1098"/>
      <c r="AT714" s="1098"/>
      <c r="AU714" s="1098"/>
      <c r="AV714" s="1098"/>
      <c r="AW714" s="1098"/>
      <c r="AX714" s="1098"/>
      <c r="AY714" s="1098"/>
      <c r="AZ714" s="1098"/>
      <c r="BA714" s="1098"/>
      <c r="BB714" s="1098"/>
      <c r="BC714" s="1098"/>
      <c r="BD714" s="1098"/>
      <c r="BE714" s="1098"/>
      <c r="BF714" s="1098"/>
      <c r="BG714" s="1098"/>
      <c r="BH714" s="1098"/>
      <c r="BI714" s="1098"/>
      <c r="BJ714" s="1098"/>
      <c r="BK714" s="1098"/>
      <c r="BL714" s="1098"/>
      <c r="BM714" s="1098"/>
      <c r="BN714" s="1098"/>
      <c r="BO714" s="1098"/>
      <c r="BP714" s="1098"/>
      <c r="BQ714" s="1098"/>
      <c r="BR714" s="1098"/>
      <c r="BS714" s="1098"/>
      <c r="BT714" s="1098"/>
      <c r="BU714" s="1098"/>
      <c r="BV714" s="1098"/>
      <c r="BW714" s="1098"/>
      <c r="BX714" s="1098"/>
      <c r="BY714" s="1098"/>
      <c r="BZ714" s="1098"/>
      <c r="CA714" s="1098"/>
      <c r="CB714" s="1098"/>
      <c r="CC714" s="1098"/>
      <c r="CD714" s="1098"/>
      <c r="CE714" s="1098"/>
      <c r="CF714" s="1098"/>
      <c r="CG714" s="1098"/>
      <c r="CH714" s="1098"/>
      <c r="CI714" s="1098"/>
      <c r="CJ714" s="1098"/>
      <c r="CK714" s="1098"/>
      <c r="CL714" s="1098"/>
      <c r="CM714" s="1098"/>
      <c r="CN714" s="1098"/>
      <c r="CO714" s="1098"/>
      <c r="CP714" s="1098"/>
      <c r="CQ714" s="1098"/>
      <c r="CR714" s="1098"/>
      <c r="CS714" s="1098"/>
      <c r="CT714" s="1098"/>
      <c r="CU714" s="1098"/>
      <c r="CV714" s="1098"/>
      <c r="CW714" s="1098"/>
      <c r="CX714" s="1098"/>
      <c r="CY714" s="1098"/>
      <c r="CZ714" s="1098"/>
      <c r="DA714" s="1098"/>
      <c r="DB714" s="1098"/>
      <c r="DC714" s="1098"/>
      <c r="DD714" s="1098"/>
      <c r="DE714" s="1098"/>
      <c r="DF714" s="1098"/>
      <c r="DG714" s="1098"/>
      <c r="DH714" s="1098"/>
      <c r="DI714" s="1098"/>
      <c r="DJ714" s="1098"/>
      <c r="DK714" s="1098"/>
      <c r="DL714" s="1098"/>
      <c r="DM714" s="1098"/>
      <c r="DN714" s="1098"/>
      <c r="DO714" s="1098"/>
      <c r="DP714" s="1098"/>
      <c r="DQ714" s="1098"/>
      <c r="DR714" s="1098"/>
      <c r="DS714" s="1098"/>
      <c r="DT714" s="1098"/>
      <c r="DU714" s="1098"/>
      <c r="DV714" s="1098"/>
      <c r="DW714" s="1098"/>
      <c r="DX714" s="1098"/>
      <c r="DY714" s="1098"/>
      <c r="DZ714" s="1098"/>
      <c r="EA714" s="1098"/>
      <c r="EB714" s="1098"/>
      <c r="EC714" s="1098"/>
      <c r="ED714" s="1098"/>
      <c r="EE714" s="1098"/>
      <c r="EF714" s="1098"/>
      <c r="EG714" s="1098"/>
      <c r="EH714" s="1098"/>
      <c r="EI714" s="1098"/>
      <c r="EJ714" s="1098"/>
      <c r="EK714" s="1098"/>
      <c r="EL714" s="1098"/>
      <c r="EM714" s="1098"/>
      <c r="EN714" s="1098"/>
      <c r="EO714" s="1098"/>
      <c r="EP714" s="1098"/>
      <c r="EQ714" s="1098"/>
      <c r="ER714" s="1098"/>
      <c r="ES714" s="1098"/>
      <c r="ET714" s="1098"/>
      <c r="EU714" s="1098"/>
      <c r="EV714" s="1098"/>
      <c r="EW714" s="1098"/>
      <c r="EX714" s="1098"/>
      <c r="EY714" s="1098"/>
      <c r="EZ714" s="1098"/>
      <c r="FA714" s="1098"/>
      <c r="FB714" s="1098"/>
      <c r="FC714" s="1098"/>
      <c r="FD714" s="1098"/>
      <c r="FE714" s="1098"/>
      <c r="FF714" s="1098"/>
      <c r="FG714" s="1098"/>
      <c r="FH714" s="1098"/>
      <c r="FI714" s="1098"/>
      <c r="FJ714" s="1098"/>
      <c r="FK714" s="1098"/>
      <c r="FL714" s="1098"/>
      <c r="FM714" s="1098"/>
      <c r="FN714" s="1098"/>
      <c r="FO714" s="1098"/>
      <c r="FP714" s="1098"/>
      <c r="FQ714" s="1098"/>
      <c r="FR714" s="1098"/>
      <c r="FS714" s="1098"/>
      <c r="FT714" s="1098"/>
      <c r="FU714" s="1098"/>
      <c r="FV714" s="1098"/>
      <c r="FW714" s="1098"/>
      <c r="FX714" s="1098"/>
      <c r="FY714" s="1098"/>
      <c r="FZ714" s="1098"/>
      <c r="GA714" s="1098"/>
      <c r="GB714" s="1098"/>
      <c r="GC714" s="1098"/>
      <c r="GD714" s="1098"/>
      <c r="GE714" s="1098"/>
      <c r="GF714" s="1098"/>
      <c r="GG714" s="1098"/>
      <c r="GH714" s="1098"/>
      <c r="GI714" s="1098"/>
      <c r="GJ714" s="1098"/>
      <c r="GK714" s="1098"/>
      <c r="GL714" s="1098"/>
      <c r="GM714" s="1098"/>
      <c r="GN714" s="1098"/>
      <c r="GO714" s="1098"/>
      <c r="GP714" s="1098"/>
      <c r="GQ714" s="1098"/>
      <c r="GR714" s="1098"/>
      <c r="GS714" s="1098"/>
      <c r="GT714" s="1098"/>
      <c r="GU714" s="1098"/>
      <c r="GV714" s="1098"/>
      <c r="GW714" s="1098"/>
      <c r="GX714" s="1098"/>
      <c r="GY714" s="1098"/>
      <c r="GZ714" s="1098"/>
      <c r="HA714" s="1098"/>
      <c r="HB714" s="1098"/>
      <c r="HC714" s="1098"/>
      <c r="HD714" s="1098"/>
      <c r="HE714" s="1098"/>
      <c r="HF714" s="1098"/>
      <c r="HG714" s="1098"/>
      <c r="HH714" s="1098"/>
      <c r="HI714" s="1098"/>
      <c r="HJ714" s="1098"/>
      <c r="HK714" s="1098"/>
      <c r="HL714" s="1098"/>
      <c r="HM714" s="1098"/>
      <c r="HN714" s="1098"/>
      <c r="HO714" s="1098"/>
      <c r="HP714" s="1098"/>
      <c r="HQ714" s="1098"/>
      <c r="HR714" s="1098"/>
      <c r="HS714" s="1098"/>
      <c r="HT714" s="1098"/>
      <c r="HU714" s="1098"/>
      <c r="HV714" s="1098"/>
      <c r="HW714" s="1098"/>
      <c r="HX714" s="1098"/>
      <c r="HY714" s="1098"/>
      <c r="HZ714" s="1098"/>
      <c r="IA714" s="1098"/>
      <c r="IB714" s="1098"/>
      <c r="IC714" s="1098"/>
      <c r="ID714" s="1098"/>
      <c r="IE714" s="1098"/>
      <c r="IF714" s="1098"/>
      <c r="IG714" s="1098"/>
      <c r="IH714" s="1098"/>
      <c r="II714" s="1098"/>
      <c r="IJ714" s="1098"/>
      <c r="IK714" s="1098"/>
      <c r="IL714" s="1098"/>
      <c r="IM714" s="1098"/>
      <c r="IN714" s="1098"/>
      <c r="IO714" s="1098"/>
      <c r="IP714" s="1098"/>
      <c r="IQ714" s="1098"/>
      <c r="IR714" s="1098"/>
      <c r="IS714" s="1098"/>
      <c r="IT714" s="1098"/>
      <c r="IU714" s="1098"/>
      <c r="IV714" s="1098"/>
      <c r="IW714" s="1098"/>
      <c r="IX714" s="1098"/>
      <c r="IY714" s="1098"/>
      <c r="IZ714" s="1098"/>
      <c r="JA714" s="1098"/>
      <c r="JB714" s="1098"/>
      <c r="JC714" s="1098"/>
      <c r="JD714" s="1098"/>
      <c r="JE714" s="1098"/>
      <c r="JF714" s="1098"/>
      <c r="JG714" s="1098"/>
      <c r="JH714" s="1098"/>
      <c r="JI714" s="1098"/>
      <c r="JJ714" s="1098"/>
      <c r="JK714" s="1098"/>
      <c r="JL714" s="1098"/>
      <c r="JM714" s="1098"/>
      <c r="JN714" s="1098"/>
      <c r="JO714" s="1098"/>
      <c r="JP714" s="1098"/>
      <c r="JQ714" s="1098"/>
      <c r="JR714" s="1098"/>
      <c r="JS714" s="1098"/>
      <c r="JT714" s="1098"/>
      <c r="JU714" s="1098"/>
      <c r="JV714" s="1098"/>
      <c r="JW714" s="1098"/>
      <c r="JX714" s="1098"/>
      <c r="JY714" s="1098"/>
      <c r="JZ714" s="1098"/>
      <c r="KA714" s="1098"/>
      <c r="KB714" s="1099"/>
    </row>
    <row r="715" spans="2:288" ht="15" customHeight="1" x14ac:dyDescent="0.35">
      <c r="B715" s="146" t="str">
        <f t="shared" si="56"/>
        <v>Desk 85</v>
      </c>
      <c r="C715" s="148" t="str">
        <v/>
      </c>
      <c r="D715" s="148" t="str">
        <v/>
      </c>
      <c r="E715" s="148" t="str">
        <v/>
      </c>
      <c r="F715" s="148" t="str">
        <v/>
      </c>
      <c r="G715" s="268" t="str">
        <v/>
      </c>
      <c r="H715" s="1098"/>
      <c r="I715" s="1098"/>
      <c r="J715" s="1098"/>
      <c r="K715" s="1098"/>
      <c r="L715" s="1098"/>
      <c r="M715" s="1098"/>
      <c r="N715" s="1098"/>
      <c r="O715" s="1098"/>
      <c r="P715" s="1098"/>
      <c r="Q715" s="1098"/>
      <c r="R715" s="1098"/>
      <c r="S715" s="1098"/>
      <c r="T715" s="1098"/>
      <c r="U715" s="1098"/>
      <c r="V715" s="1098"/>
      <c r="W715" s="1098"/>
      <c r="X715" s="1098"/>
      <c r="Y715" s="1098"/>
      <c r="Z715" s="1098"/>
      <c r="AA715" s="1098"/>
      <c r="AB715" s="1098"/>
      <c r="AC715" s="1098"/>
      <c r="AD715" s="1098"/>
      <c r="AE715" s="1098"/>
      <c r="AF715" s="1098"/>
      <c r="AG715" s="1098"/>
      <c r="AH715" s="1098"/>
      <c r="AI715" s="1098"/>
      <c r="AJ715" s="1098"/>
      <c r="AK715" s="1098"/>
      <c r="AL715" s="1098"/>
      <c r="AM715" s="1098"/>
      <c r="AN715" s="1098"/>
      <c r="AO715" s="1098"/>
      <c r="AP715" s="1098"/>
      <c r="AQ715" s="1098"/>
      <c r="AR715" s="1098"/>
      <c r="AS715" s="1098"/>
      <c r="AT715" s="1098"/>
      <c r="AU715" s="1098"/>
      <c r="AV715" s="1098"/>
      <c r="AW715" s="1098"/>
      <c r="AX715" s="1098"/>
      <c r="AY715" s="1098"/>
      <c r="AZ715" s="1098"/>
      <c r="BA715" s="1098"/>
      <c r="BB715" s="1098"/>
      <c r="BC715" s="1098"/>
      <c r="BD715" s="1098"/>
      <c r="BE715" s="1098"/>
      <c r="BF715" s="1098"/>
      <c r="BG715" s="1098"/>
      <c r="BH715" s="1098"/>
      <c r="BI715" s="1098"/>
      <c r="BJ715" s="1098"/>
      <c r="BK715" s="1098"/>
      <c r="BL715" s="1098"/>
      <c r="BM715" s="1098"/>
      <c r="BN715" s="1098"/>
      <c r="BO715" s="1098"/>
      <c r="BP715" s="1098"/>
      <c r="BQ715" s="1098"/>
      <c r="BR715" s="1098"/>
      <c r="BS715" s="1098"/>
      <c r="BT715" s="1098"/>
      <c r="BU715" s="1098"/>
      <c r="BV715" s="1098"/>
      <c r="BW715" s="1098"/>
      <c r="BX715" s="1098"/>
      <c r="BY715" s="1098"/>
      <c r="BZ715" s="1098"/>
      <c r="CA715" s="1098"/>
      <c r="CB715" s="1098"/>
      <c r="CC715" s="1098"/>
      <c r="CD715" s="1098"/>
      <c r="CE715" s="1098"/>
      <c r="CF715" s="1098"/>
      <c r="CG715" s="1098"/>
      <c r="CH715" s="1098"/>
      <c r="CI715" s="1098"/>
      <c r="CJ715" s="1098"/>
      <c r="CK715" s="1098"/>
      <c r="CL715" s="1098"/>
      <c r="CM715" s="1098"/>
      <c r="CN715" s="1098"/>
      <c r="CO715" s="1098"/>
      <c r="CP715" s="1098"/>
      <c r="CQ715" s="1098"/>
      <c r="CR715" s="1098"/>
      <c r="CS715" s="1098"/>
      <c r="CT715" s="1098"/>
      <c r="CU715" s="1098"/>
      <c r="CV715" s="1098"/>
      <c r="CW715" s="1098"/>
      <c r="CX715" s="1098"/>
      <c r="CY715" s="1098"/>
      <c r="CZ715" s="1098"/>
      <c r="DA715" s="1098"/>
      <c r="DB715" s="1098"/>
      <c r="DC715" s="1098"/>
      <c r="DD715" s="1098"/>
      <c r="DE715" s="1098"/>
      <c r="DF715" s="1098"/>
      <c r="DG715" s="1098"/>
      <c r="DH715" s="1098"/>
      <c r="DI715" s="1098"/>
      <c r="DJ715" s="1098"/>
      <c r="DK715" s="1098"/>
      <c r="DL715" s="1098"/>
      <c r="DM715" s="1098"/>
      <c r="DN715" s="1098"/>
      <c r="DO715" s="1098"/>
      <c r="DP715" s="1098"/>
      <c r="DQ715" s="1098"/>
      <c r="DR715" s="1098"/>
      <c r="DS715" s="1098"/>
      <c r="DT715" s="1098"/>
      <c r="DU715" s="1098"/>
      <c r="DV715" s="1098"/>
      <c r="DW715" s="1098"/>
      <c r="DX715" s="1098"/>
      <c r="DY715" s="1098"/>
      <c r="DZ715" s="1098"/>
      <c r="EA715" s="1098"/>
      <c r="EB715" s="1098"/>
      <c r="EC715" s="1098"/>
      <c r="ED715" s="1098"/>
      <c r="EE715" s="1098"/>
      <c r="EF715" s="1098"/>
      <c r="EG715" s="1098"/>
      <c r="EH715" s="1098"/>
      <c r="EI715" s="1098"/>
      <c r="EJ715" s="1098"/>
      <c r="EK715" s="1098"/>
      <c r="EL715" s="1098"/>
      <c r="EM715" s="1098"/>
      <c r="EN715" s="1098"/>
      <c r="EO715" s="1098"/>
      <c r="EP715" s="1098"/>
      <c r="EQ715" s="1098"/>
      <c r="ER715" s="1098"/>
      <c r="ES715" s="1098"/>
      <c r="ET715" s="1098"/>
      <c r="EU715" s="1098"/>
      <c r="EV715" s="1098"/>
      <c r="EW715" s="1098"/>
      <c r="EX715" s="1098"/>
      <c r="EY715" s="1098"/>
      <c r="EZ715" s="1098"/>
      <c r="FA715" s="1098"/>
      <c r="FB715" s="1098"/>
      <c r="FC715" s="1098"/>
      <c r="FD715" s="1098"/>
      <c r="FE715" s="1098"/>
      <c r="FF715" s="1098"/>
      <c r="FG715" s="1098"/>
      <c r="FH715" s="1098"/>
      <c r="FI715" s="1098"/>
      <c r="FJ715" s="1098"/>
      <c r="FK715" s="1098"/>
      <c r="FL715" s="1098"/>
      <c r="FM715" s="1098"/>
      <c r="FN715" s="1098"/>
      <c r="FO715" s="1098"/>
      <c r="FP715" s="1098"/>
      <c r="FQ715" s="1098"/>
      <c r="FR715" s="1098"/>
      <c r="FS715" s="1098"/>
      <c r="FT715" s="1098"/>
      <c r="FU715" s="1098"/>
      <c r="FV715" s="1098"/>
      <c r="FW715" s="1098"/>
      <c r="FX715" s="1098"/>
      <c r="FY715" s="1098"/>
      <c r="FZ715" s="1098"/>
      <c r="GA715" s="1098"/>
      <c r="GB715" s="1098"/>
      <c r="GC715" s="1098"/>
      <c r="GD715" s="1098"/>
      <c r="GE715" s="1098"/>
      <c r="GF715" s="1098"/>
      <c r="GG715" s="1098"/>
      <c r="GH715" s="1098"/>
      <c r="GI715" s="1098"/>
      <c r="GJ715" s="1098"/>
      <c r="GK715" s="1098"/>
      <c r="GL715" s="1098"/>
      <c r="GM715" s="1098"/>
      <c r="GN715" s="1098"/>
      <c r="GO715" s="1098"/>
      <c r="GP715" s="1098"/>
      <c r="GQ715" s="1098"/>
      <c r="GR715" s="1098"/>
      <c r="GS715" s="1098"/>
      <c r="GT715" s="1098"/>
      <c r="GU715" s="1098"/>
      <c r="GV715" s="1098"/>
      <c r="GW715" s="1098"/>
      <c r="GX715" s="1098"/>
      <c r="GY715" s="1098"/>
      <c r="GZ715" s="1098"/>
      <c r="HA715" s="1098"/>
      <c r="HB715" s="1098"/>
      <c r="HC715" s="1098"/>
      <c r="HD715" s="1098"/>
      <c r="HE715" s="1098"/>
      <c r="HF715" s="1098"/>
      <c r="HG715" s="1098"/>
      <c r="HH715" s="1098"/>
      <c r="HI715" s="1098"/>
      <c r="HJ715" s="1098"/>
      <c r="HK715" s="1098"/>
      <c r="HL715" s="1098"/>
      <c r="HM715" s="1098"/>
      <c r="HN715" s="1098"/>
      <c r="HO715" s="1098"/>
      <c r="HP715" s="1098"/>
      <c r="HQ715" s="1098"/>
      <c r="HR715" s="1098"/>
      <c r="HS715" s="1098"/>
      <c r="HT715" s="1098"/>
      <c r="HU715" s="1098"/>
      <c r="HV715" s="1098"/>
      <c r="HW715" s="1098"/>
      <c r="HX715" s="1098"/>
      <c r="HY715" s="1098"/>
      <c r="HZ715" s="1098"/>
      <c r="IA715" s="1098"/>
      <c r="IB715" s="1098"/>
      <c r="IC715" s="1098"/>
      <c r="ID715" s="1098"/>
      <c r="IE715" s="1098"/>
      <c r="IF715" s="1098"/>
      <c r="IG715" s="1098"/>
      <c r="IH715" s="1098"/>
      <c r="II715" s="1098"/>
      <c r="IJ715" s="1098"/>
      <c r="IK715" s="1098"/>
      <c r="IL715" s="1098"/>
      <c r="IM715" s="1098"/>
      <c r="IN715" s="1098"/>
      <c r="IO715" s="1098"/>
      <c r="IP715" s="1098"/>
      <c r="IQ715" s="1098"/>
      <c r="IR715" s="1098"/>
      <c r="IS715" s="1098"/>
      <c r="IT715" s="1098"/>
      <c r="IU715" s="1098"/>
      <c r="IV715" s="1098"/>
      <c r="IW715" s="1098"/>
      <c r="IX715" s="1098"/>
      <c r="IY715" s="1098"/>
      <c r="IZ715" s="1098"/>
      <c r="JA715" s="1098"/>
      <c r="JB715" s="1098"/>
      <c r="JC715" s="1098"/>
      <c r="JD715" s="1098"/>
      <c r="JE715" s="1098"/>
      <c r="JF715" s="1098"/>
      <c r="JG715" s="1098"/>
      <c r="JH715" s="1098"/>
      <c r="JI715" s="1098"/>
      <c r="JJ715" s="1098"/>
      <c r="JK715" s="1098"/>
      <c r="JL715" s="1098"/>
      <c r="JM715" s="1098"/>
      <c r="JN715" s="1098"/>
      <c r="JO715" s="1098"/>
      <c r="JP715" s="1098"/>
      <c r="JQ715" s="1098"/>
      <c r="JR715" s="1098"/>
      <c r="JS715" s="1098"/>
      <c r="JT715" s="1098"/>
      <c r="JU715" s="1098"/>
      <c r="JV715" s="1098"/>
      <c r="JW715" s="1098"/>
      <c r="JX715" s="1098"/>
      <c r="JY715" s="1098"/>
      <c r="JZ715" s="1098"/>
      <c r="KA715" s="1098"/>
      <c r="KB715" s="1099"/>
    </row>
    <row r="716" spans="2:288" ht="15" customHeight="1" x14ac:dyDescent="0.35">
      <c r="B716" s="146" t="str">
        <f t="shared" si="56"/>
        <v>Desk 86</v>
      </c>
      <c r="C716" s="148" t="str">
        <v/>
      </c>
      <c r="D716" s="148" t="str">
        <v/>
      </c>
      <c r="E716" s="148" t="str">
        <v/>
      </c>
      <c r="F716" s="148" t="str">
        <v/>
      </c>
      <c r="G716" s="268" t="str">
        <v/>
      </c>
      <c r="H716" s="1098"/>
      <c r="I716" s="1098"/>
      <c r="J716" s="1098"/>
      <c r="K716" s="1098"/>
      <c r="L716" s="1098"/>
      <c r="M716" s="1098"/>
      <c r="N716" s="1098"/>
      <c r="O716" s="1098"/>
      <c r="P716" s="1098"/>
      <c r="Q716" s="1098"/>
      <c r="R716" s="1098"/>
      <c r="S716" s="1098"/>
      <c r="T716" s="1098"/>
      <c r="U716" s="1098"/>
      <c r="V716" s="1098"/>
      <c r="W716" s="1098"/>
      <c r="X716" s="1098"/>
      <c r="Y716" s="1098"/>
      <c r="Z716" s="1098"/>
      <c r="AA716" s="1098"/>
      <c r="AB716" s="1098"/>
      <c r="AC716" s="1098"/>
      <c r="AD716" s="1098"/>
      <c r="AE716" s="1098"/>
      <c r="AF716" s="1098"/>
      <c r="AG716" s="1098"/>
      <c r="AH716" s="1098"/>
      <c r="AI716" s="1098"/>
      <c r="AJ716" s="1098"/>
      <c r="AK716" s="1098"/>
      <c r="AL716" s="1098"/>
      <c r="AM716" s="1098"/>
      <c r="AN716" s="1098"/>
      <c r="AO716" s="1098"/>
      <c r="AP716" s="1098"/>
      <c r="AQ716" s="1098"/>
      <c r="AR716" s="1098"/>
      <c r="AS716" s="1098"/>
      <c r="AT716" s="1098"/>
      <c r="AU716" s="1098"/>
      <c r="AV716" s="1098"/>
      <c r="AW716" s="1098"/>
      <c r="AX716" s="1098"/>
      <c r="AY716" s="1098"/>
      <c r="AZ716" s="1098"/>
      <c r="BA716" s="1098"/>
      <c r="BB716" s="1098"/>
      <c r="BC716" s="1098"/>
      <c r="BD716" s="1098"/>
      <c r="BE716" s="1098"/>
      <c r="BF716" s="1098"/>
      <c r="BG716" s="1098"/>
      <c r="BH716" s="1098"/>
      <c r="BI716" s="1098"/>
      <c r="BJ716" s="1098"/>
      <c r="BK716" s="1098"/>
      <c r="BL716" s="1098"/>
      <c r="BM716" s="1098"/>
      <c r="BN716" s="1098"/>
      <c r="BO716" s="1098"/>
      <c r="BP716" s="1098"/>
      <c r="BQ716" s="1098"/>
      <c r="BR716" s="1098"/>
      <c r="BS716" s="1098"/>
      <c r="BT716" s="1098"/>
      <c r="BU716" s="1098"/>
      <c r="BV716" s="1098"/>
      <c r="BW716" s="1098"/>
      <c r="BX716" s="1098"/>
      <c r="BY716" s="1098"/>
      <c r="BZ716" s="1098"/>
      <c r="CA716" s="1098"/>
      <c r="CB716" s="1098"/>
      <c r="CC716" s="1098"/>
      <c r="CD716" s="1098"/>
      <c r="CE716" s="1098"/>
      <c r="CF716" s="1098"/>
      <c r="CG716" s="1098"/>
      <c r="CH716" s="1098"/>
      <c r="CI716" s="1098"/>
      <c r="CJ716" s="1098"/>
      <c r="CK716" s="1098"/>
      <c r="CL716" s="1098"/>
      <c r="CM716" s="1098"/>
      <c r="CN716" s="1098"/>
      <c r="CO716" s="1098"/>
      <c r="CP716" s="1098"/>
      <c r="CQ716" s="1098"/>
      <c r="CR716" s="1098"/>
      <c r="CS716" s="1098"/>
      <c r="CT716" s="1098"/>
      <c r="CU716" s="1098"/>
      <c r="CV716" s="1098"/>
      <c r="CW716" s="1098"/>
      <c r="CX716" s="1098"/>
      <c r="CY716" s="1098"/>
      <c r="CZ716" s="1098"/>
      <c r="DA716" s="1098"/>
      <c r="DB716" s="1098"/>
      <c r="DC716" s="1098"/>
      <c r="DD716" s="1098"/>
      <c r="DE716" s="1098"/>
      <c r="DF716" s="1098"/>
      <c r="DG716" s="1098"/>
      <c r="DH716" s="1098"/>
      <c r="DI716" s="1098"/>
      <c r="DJ716" s="1098"/>
      <c r="DK716" s="1098"/>
      <c r="DL716" s="1098"/>
      <c r="DM716" s="1098"/>
      <c r="DN716" s="1098"/>
      <c r="DO716" s="1098"/>
      <c r="DP716" s="1098"/>
      <c r="DQ716" s="1098"/>
      <c r="DR716" s="1098"/>
      <c r="DS716" s="1098"/>
      <c r="DT716" s="1098"/>
      <c r="DU716" s="1098"/>
      <c r="DV716" s="1098"/>
      <c r="DW716" s="1098"/>
      <c r="DX716" s="1098"/>
      <c r="DY716" s="1098"/>
      <c r="DZ716" s="1098"/>
      <c r="EA716" s="1098"/>
      <c r="EB716" s="1098"/>
      <c r="EC716" s="1098"/>
      <c r="ED716" s="1098"/>
      <c r="EE716" s="1098"/>
      <c r="EF716" s="1098"/>
      <c r="EG716" s="1098"/>
      <c r="EH716" s="1098"/>
      <c r="EI716" s="1098"/>
      <c r="EJ716" s="1098"/>
      <c r="EK716" s="1098"/>
      <c r="EL716" s="1098"/>
      <c r="EM716" s="1098"/>
      <c r="EN716" s="1098"/>
      <c r="EO716" s="1098"/>
      <c r="EP716" s="1098"/>
      <c r="EQ716" s="1098"/>
      <c r="ER716" s="1098"/>
      <c r="ES716" s="1098"/>
      <c r="ET716" s="1098"/>
      <c r="EU716" s="1098"/>
      <c r="EV716" s="1098"/>
      <c r="EW716" s="1098"/>
      <c r="EX716" s="1098"/>
      <c r="EY716" s="1098"/>
      <c r="EZ716" s="1098"/>
      <c r="FA716" s="1098"/>
      <c r="FB716" s="1098"/>
      <c r="FC716" s="1098"/>
      <c r="FD716" s="1098"/>
      <c r="FE716" s="1098"/>
      <c r="FF716" s="1098"/>
      <c r="FG716" s="1098"/>
      <c r="FH716" s="1098"/>
      <c r="FI716" s="1098"/>
      <c r="FJ716" s="1098"/>
      <c r="FK716" s="1098"/>
      <c r="FL716" s="1098"/>
      <c r="FM716" s="1098"/>
      <c r="FN716" s="1098"/>
      <c r="FO716" s="1098"/>
      <c r="FP716" s="1098"/>
      <c r="FQ716" s="1098"/>
      <c r="FR716" s="1098"/>
      <c r="FS716" s="1098"/>
      <c r="FT716" s="1098"/>
      <c r="FU716" s="1098"/>
      <c r="FV716" s="1098"/>
      <c r="FW716" s="1098"/>
      <c r="FX716" s="1098"/>
      <c r="FY716" s="1098"/>
      <c r="FZ716" s="1098"/>
      <c r="GA716" s="1098"/>
      <c r="GB716" s="1098"/>
      <c r="GC716" s="1098"/>
      <c r="GD716" s="1098"/>
      <c r="GE716" s="1098"/>
      <c r="GF716" s="1098"/>
      <c r="GG716" s="1098"/>
      <c r="GH716" s="1098"/>
      <c r="GI716" s="1098"/>
      <c r="GJ716" s="1098"/>
      <c r="GK716" s="1098"/>
      <c r="GL716" s="1098"/>
      <c r="GM716" s="1098"/>
      <c r="GN716" s="1098"/>
      <c r="GO716" s="1098"/>
      <c r="GP716" s="1098"/>
      <c r="GQ716" s="1098"/>
      <c r="GR716" s="1098"/>
      <c r="GS716" s="1098"/>
      <c r="GT716" s="1098"/>
      <c r="GU716" s="1098"/>
      <c r="GV716" s="1098"/>
      <c r="GW716" s="1098"/>
      <c r="GX716" s="1098"/>
      <c r="GY716" s="1098"/>
      <c r="GZ716" s="1098"/>
      <c r="HA716" s="1098"/>
      <c r="HB716" s="1098"/>
      <c r="HC716" s="1098"/>
      <c r="HD716" s="1098"/>
      <c r="HE716" s="1098"/>
      <c r="HF716" s="1098"/>
      <c r="HG716" s="1098"/>
      <c r="HH716" s="1098"/>
      <c r="HI716" s="1098"/>
      <c r="HJ716" s="1098"/>
      <c r="HK716" s="1098"/>
      <c r="HL716" s="1098"/>
      <c r="HM716" s="1098"/>
      <c r="HN716" s="1098"/>
      <c r="HO716" s="1098"/>
      <c r="HP716" s="1098"/>
      <c r="HQ716" s="1098"/>
      <c r="HR716" s="1098"/>
      <c r="HS716" s="1098"/>
      <c r="HT716" s="1098"/>
      <c r="HU716" s="1098"/>
      <c r="HV716" s="1098"/>
      <c r="HW716" s="1098"/>
      <c r="HX716" s="1098"/>
      <c r="HY716" s="1098"/>
      <c r="HZ716" s="1098"/>
      <c r="IA716" s="1098"/>
      <c r="IB716" s="1098"/>
      <c r="IC716" s="1098"/>
      <c r="ID716" s="1098"/>
      <c r="IE716" s="1098"/>
      <c r="IF716" s="1098"/>
      <c r="IG716" s="1098"/>
      <c r="IH716" s="1098"/>
      <c r="II716" s="1098"/>
      <c r="IJ716" s="1098"/>
      <c r="IK716" s="1098"/>
      <c r="IL716" s="1098"/>
      <c r="IM716" s="1098"/>
      <c r="IN716" s="1098"/>
      <c r="IO716" s="1098"/>
      <c r="IP716" s="1098"/>
      <c r="IQ716" s="1098"/>
      <c r="IR716" s="1098"/>
      <c r="IS716" s="1098"/>
      <c r="IT716" s="1098"/>
      <c r="IU716" s="1098"/>
      <c r="IV716" s="1098"/>
      <c r="IW716" s="1098"/>
      <c r="IX716" s="1098"/>
      <c r="IY716" s="1098"/>
      <c r="IZ716" s="1098"/>
      <c r="JA716" s="1098"/>
      <c r="JB716" s="1098"/>
      <c r="JC716" s="1098"/>
      <c r="JD716" s="1098"/>
      <c r="JE716" s="1098"/>
      <c r="JF716" s="1098"/>
      <c r="JG716" s="1098"/>
      <c r="JH716" s="1098"/>
      <c r="JI716" s="1098"/>
      <c r="JJ716" s="1098"/>
      <c r="JK716" s="1098"/>
      <c r="JL716" s="1098"/>
      <c r="JM716" s="1098"/>
      <c r="JN716" s="1098"/>
      <c r="JO716" s="1098"/>
      <c r="JP716" s="1098"/>
      <c r="JQ716" s="1098"/>
      <c r="JR716" s="1098"/>
      <c r="JS716" s="1098"/>
      <c r="JT716" s="1098"/>
      <c r="JU716" s="1098"/>
      <c r="JV716" s="1098"/>
      <c r="JW716" s="1098"/>
      <c r="JX716" s="1098"/>
      <c r="JY716" s="1098"/>
      <c r="JZ716" s="1098"/>
      <c r="KA716" s="1098"/>
      <c r="KB716" s="1099"/>
    </row>
    <row r="717" spans="2:288" ht="15" customHeight="1" x14ac:dyDescent="0.35">
      <c r="B717" s="146" t="str">
        <f t="shared" si="56"/>
        <v>Desk 87</v>
      </c>
      <c r="C717" s="148" t="str">
        <v/>
      </c>
      <c r="D717" s="148" t="str">
        <v/>
      </c>
      <c r="E717" s="148" t="str">
        <v/>
      </c>
      <c r="F717" s="148" t="str">
        <v/>
      </c>
      <c r="G717" s="268" t="str">
        <v/>
      </c>
      <c r="H717" s="1098"/>
      <c r="I717" s="1098"/>
      <c r="J717" s="1098"/>
      <c r="K717" s="1098"/>
      <c r="L717" s="1098"/>
      <c r="M717" s="1098"/>
      <c r="N717" s="1098"/>
      <c r="O717" s="1098"/>
      <c r="P717" s="1098"/>
      <c r="Q717" s="1098"/>
      <c r="R717" s="1098"/>
      <c r="S717" s="1098"/>
      <c r="T717" s="1098"/>
      <c r="U717" s="1098"/>
      <c r="V717" s="1098"/>
      <c r="W717" s="1098"/>
      <c r="X717" s="1098"/>
      <c r="Y717" s="1098"/>
      <c r="Z717" s="1098"/>
      <c r="AA717" s="1098"/>
      <c r="AB717" s="1098"/>
      <c r="AC717" s="1098"/>
      <c r="AD717" s="1098"/>
      <c r="AE717" s="1098"/>
      <c r="AF717" s="1098"/>
      <c r="AG717" s="1098"/>
      <c r="AH717" s="1098"/>
      <c r="AI717" s="1098"/>
      <c r="AJ717" s="1098"/>
      <c r="AK717" s="1098"/>
      <c r="AL717" s="1098"/>
      <c r="AM717" s="1098"/>
      <c r="AN717" s="1098"/>
      <c r="AO717" s="1098"/>
      <c r="AP717" s="1098"/>
      <c r="AQ717" s="1098"/>
      <c r="AR717" s="1098"/>
      <c r="AS717" s="1098"/>
      <c r="AT717" s="1098"/>
      <c r="AU717" s="1098"/>
      <c r="AV717" s="1098"/>
      <c r="AW717" s="1098"/>
      <c r="AX717" s="1098"/>
      <c r="AY717" s="1098"/>
      <c r="AZ717" s="1098"/>
      <c r="BA717" s="1098"/>
      <c r="BB717" s="1098"/>
      <c r="BC717" s="1098"/>
      <c r="BD717" s="1098"/>
      <c r="BE717" s="1098"/>
      <c r="BF717" s="1098"/>
      <c r="BG717" s="1098"/>
      <c r="BH717" s="1098"/>
      <c r="BI717" s="1098"/>
      <c r="BJ717" s="1098"/>
      <c r="BK717" s="1098"/>
      <c r="BL717" s="1098"/>
      <c r="BM717" s="1098"/>
      <c r="BN717" s="1098"/>
      <c r="BO717" s="1098"/>
      <c r="BP717" s="1098"/>
      <c r="BQ717" s="1098"/>
      <c r="BR717" s="1098"/>
      <c r="BS717" s="1098"/>
      <c r="BT717" s="1098"/>
      <c r="BU717" s="1098"/>
      <c r="BV717" s="1098"/>
      <c r="BW717" s="1098"/>
      <c r="BX717" s="1098"/>
      <c r="BY717" s="1098"/>
      <c r="BZ717" s="1098"/>
      <c r="CA717" s="1098"/>
      <c r="CB717" s="1098"/>
      <c r="CC717" s="1098"/>
      <c r="CD717" s="1098"/>
      <c r="CE717" s="1098"/>
      <c r="CF717" s="1098"/>
      <c r="CG717" s="1098"/>
      <c r="CH717" s="1098"/>
      <c r="CI717" s="1098"/>
      <c r="CJ717" s="1098"/>
      <c r="CK717" s="1098"/>
      <c r="CL717" s="1098"/>
      <c r="CM717" s="1098"/>
      <c r="CN717" s="1098"/>
      <c r="CO717" s="1098"/>
      <c r="CP717" s="1098"/>
      <c r="CQ717" s="1098"/>
      <c r="CR717" s="1098"/>
      <c r="CS717" s="1098"/>
      <c r="CT717" s="1098"/>
      <c r="CU717" s="1098"/>
      <c r="CV717" s="1098"/>
      <c r="CW717" s="1098"/>
      <c r="CX717" s="1098"/>
      <c r="CY717" s="1098"/>
      <c r="CZ717" s="1098"/>
      <c r="DA717" s="1098"/>
      <c r="DB717" s="1098"/>
      <c r="DC717" s="1098"/>
      <c r="DD717" s="1098"/>
      <c r="DE717" s="1098"/>
      <c r="DF717" s="1098"/>
      <c r="DG717" s="1098"/>
      <c r="DH717" s="1098"/>
      <c r="DI717" s="1098"/>
      <c r="DJ717" s="1098"/>
      <c r="DK717" s="1098"/>
      <c r="DL717" s="1098"/>
      <c r="DM717" s="1098"/>
      <c r="DN717" s="1098"/>
      <c r="DO717" s="1098"/>
      <c r="DP717" s="1098"/>
      <c r="DQ717" s="1098"/>
      <c r="DR717" s="1098"/>
      <c r="DS717" s="1098"/>
      <c r="DT717" s="1098"/>
      <c r="DU717" s="1098"/>
      <c r="DV717" s="1098"/>
      <c r="DW717" s="1098"/>
      <c r="DX717" s="1098"/>
      <c r="DY717" s="1098"/>
      <c r="DZ717" s="1098"/>
      <c r="EA717" s="1098"/>
      <c r="EB717" s="1098"/>
      <c r="EC717" s="1098"/>
      <c r="ED717" s="1098"/>
      <c r="EE717" s="1098"/>
      <c r="EF717" s="1098"/>
      <c r="EG717" s="1098"/>
      <c r="EH717" s="1098"/>
      <c r="EI717" s="1098"/>
      <c r="EJ717" s="1098"/>
      <c r="EK717" s="1098"/>
      <c r="EL717" s="1098"/>
      <c r="EM717" s="1098"/>
      <c r="EN717" s="1098"/>
      <c r="EO717" s="1098"/>
      <c r="EP717" s="1098"/>
      <c r="EQ717" s="1098"/>
      <c r="ER717" s="1098"/>
      <c r="ES717" s="1098"/>
      <c r="ET717" s="1098"/>
      <c r="EU717" s="1098"/>
      <c r="EV717" s="1098"/>
      <c r="EW717" s="1098"/>
      <c r="EX717" s="1098"/>
      <c r="EY717" s="1098"/>
      <c r="EZ717" s="1098"/>
      <c r="FA717" s="1098"/>
      <c r="FB717" s="1098"/>
      <c r="FC717" s="1098"/>
      <c r="FD717" s="1098"/>
      <c r="FE717" s="1098"/>
      <c r="FF717" s="1098"/>
      <c r="FG717" s="1098"/>
      <c r="FH717" s="1098"/>
      <c r="FI717" s="1098"/>
      <c r="FJ717" s="1098"/>
      <c r="FK717" s="1098"/>
      <c r="FL717" s="1098"/>
      <c r="FM717" s="1098"/>
      <c r="FN717" s="1098"/>
      <c r="FO717" s="1098"/>
      <c r="FP717" s="1098"/>
      <c r="FQ717" s="1098"/>
      <c r="FR717" s="1098"/>
      <c r="FS717" s="1098"/>
      <c r="FT717" s="1098"/>
      <c r="FU717" s="1098"/>
      <c r="FV717" s="1098"/>
      <c r="FW717" s="1098"/>
      <c r="FX717" s="1098"/>
      <c r="FY717" s="1098"/>
      <c r="FZ717" s="1098"/>
      <c r="GA717" s="1098"/>
      <c r="GB717" s="1098"/>
      <c r="GC717" s="1098"/>
      <c r="GD717" s="1098"/>
      <c r="GE717" s="1098"/>
      <c r="GF717" s="1098"/>
      <c r="GG717" s="1098"/>
      <c r="GH717" s="1098"/>
      <c r="GI717" s="1098"/>
      <c r="GJ717" s="1098"/>
      <c r="GK717" s="1098"/>
      <c r="GL717" s="1098"/>
      <c r="GM717" s="1098"/>
      <c r="GN717" s="1098"/>
      <c r="GO717" s="1098"/>
      <c r="GP717" s="1098"/>
      <c r="GQ717" s="1098"/>
      <c r="GR717" s="1098"/>
      <c r="GS717" s="1098"/>
      <c r="GT717" s="1098"/>
      <c r="GU717" s="1098"/>
      <c r="GV717" s="1098"/>
      <c r="GW717" s="1098"/>
      <c r="GX717" s="1098"/>
      <c r="GY717" s="1098"/>
      <c r="GZ717" s="1098"/>
      <c r="HA717" s="1098"/>
      <c r="HB717" s="1098"/>
      <c r="HC717" s="1098"/>
      <c r="HD717" s="1098"/>
      <c r="HE717" s="1098"/>
      <c r="HF717" s="1098"/>
      <c r="HG717" s="1098"/>
      <c r="HH717" s="1098"/>
      <c r="HI717" s="1098"/>
      <c r="HJ717" s="1098"/>
      <c r="HK717" s="1098"/>
      <c r="HL717" s="1098"/>
      <c r="HM717" s="1098"/>
      <c r="HN717" s="1098"/>
      <c r="HO717" s="1098"/>
      <c r="HP717" s="1098"/>
      <c r="HQ717" s="1098"/>
      <c r="HR717" s="1098"/>
      <c r="HS717" s="1098"/>
      <c r="HT717" s="1098"/>
      <c r="HU717" s="1098"/>
      <c r="HV717" s="1098"/>
      <c r="HW717" s="1098"/>
      <c r="HX717" s="1098"/>
      <c r="HY717" s="1098"/>
      <c r="HZ717" s="1098"/>
      <c r="IA717" s="1098"/>
      <c r="IB717" s="1098"/>
      <c r="IC717" s="1098"/>
      <c r="ID717" s="1098"/>
      <c r="IE717" s="1098"/>
      <c r="IF717" s="1098"/>
      <c r="IG717" s="1098"/>
      <c r="IH717" s="1098"/>
      <c r="II717" s="1098"/>
      <c r="IJ717" s="1098"/>
      <c r="IK717" s="1098"/>
      <c r="IL717" s="1098"/>
      <c r="IM717" s="1098"/>
      <c r="IN717" s="1098"/>
      <c r="IO717" s="1098"/>
      <c r="IP717" s="1098"/>
      <c r="IQ717" s="1098"/>
      <c r="IR717" s="1098"/>
      <c r="IS717" s="1098"/>
      <c r="IT717" s="1098"/>
      <c r="IU717" s="1098"/>
      <c r="IV717" s="1098"/>
      <c r="IW717" s="1098"/>
      <c r="IX717" s="1098"/>
      <c r="IY717" s="1098"/>
      <c r="IZ717" s="1098"/>
      <c r="JA717" s="1098"/>
      <c r="JB717" s="1098"/>
      <c r="JC717" s="1098"/>
      <c r="JD717" s="1098"/>
      <c r="JE717" s="1098"/>
      <c r="JF717" s="1098"/>
      <c r="JG717" s="1098"/>
      <c r="JH717" s="1098"/>
      <c r="JI717" s="1098"/>
      <c r="JJ717" s="1098"/>
      <c r="JK717" s="1098"/>
      <c r="JL717" s="1098"/>
      <c r="JM717" s="1098"/>
      <c r="JN717" s="1098"/>
      <c r="JO717" s="1098"/>
      <c r="JP717" s="1098"/>
      <c r="JQ717" s="1098"/>
      <c r="JR717" s="1098"/>
      <c r="JS717" s="1098"/>
      <c r="JT717" s="1098"/>
      <c r="JU717" s="1098"/>
      <c r="JV717" s="1098"/>
      <c r="JW717" s="1098"/>
      <c r="JX717" s="1098"/>
      <c r="JY717" s="1098"/>
      <c r="JZ717" s="1098"/>
      <c r="KA717" s="1098"/>
      <c r="KB717" s="1099"/>
    </row>
    <row r="718" spans="2:288" ht="15" customHeight="1" x14ac:dyDescent="0.35">
      <c r="B718" s="146" t="str">
        <f t="shared" si="56"/>
        <v>Desk 88</v>
      </c>
      <c r="C718" s="148" t="str">
        <v/>
      </c>
      <c r="D718" s="148" t="str">
        <v/>
      </c>
      <c r="E718" s="148" t="str">
        <v/>
      </c>
      <c r="F718" s="148" t="str">
        <v/>
      </c>
      <c r="G718" s="268" t="str">
        <v/>
      </c>
      <c r="H718" s="1098"/>
      <c r="I718" s="1098"/>
      <c r="J718" s="1098"/>
      <c r="K718" s="1098"/>
      <c r="L718" s="1098"/>
      <c r="M718" s="1098"/>
      <c r="N718" s="1098"/>
      <c r="O718" s="1098"/>
      <c r="P718" s="1098"/>
      <c r="Q718" s="1098"/>
      <c r="R718" s="1098"/>
      <c r="S718" s="1098"/>
      <c r="T718" s="1098"/>
      <c r="U718" s="1098"/>
      <c r="V718" s="1098"/>
      <c r="W718" s="1098"/>
      <c r="X718" s="1098"/>
      <c r="Y718" s="1098"/>
      <c r="Z718" s="1098"/>
      <c r="AA718" s="1098"/>
      <c r="AB718" s="1098"/>
      <c r="AC718" s="1098"/>
      <c r="AD718" s="1098"/>
      <c r="AE718" s="1098"/>
      <c r="AF718" s="1098"/>
      <c r="AG718" s="1098"/>
      <c r="AH718" s="1098"/>
      <c r="AI718" s="1098"/>
      <c r="AJ718" s="1098"/>
      <c r="AK718" s="1098"/>
      <c r="AL718" s="1098"/>
      <c r="AM718" s="1098"/>
      <c r="AN718" s="1098"/>
      <c r="AO718" s="1098"/>
      <c r="AP718" s="1098"/>
      <c r="AQ718" s="1098"/>
      <c r="AR718" s="1098"/>
      <c r="AS718" s="1098"/>
      <c r="AT718" s="1098"/>
      <c r="AU718" s="1098"/>
      <c r="AV718" s="1098"/>
      <c r="AW718" s="1098"/>
      <c r="AX718" s="1098"/>
      <c r="AY718" s="1098"/>
      <c r="AZ718" s="1098"/>
      <c r="BA718" s="1098"/>
      <c r="BB718" s="1098"/>
      <c r="BC718" s="1098"/>
      <c r="BD718" s="1098"/>
      <c r="BE718" s="1098"/>
      <c r="BF718" s="1098"/>
      <c r="BG718" s="1098"/>
      <c r="BH718" s="1098"/>
      <c r="BI718" s="1098"/>
      <c r="BJ718" s="1098"/>
      <c r="BK718" s="1098"/>
      <c r="BL718" s="1098"/>
      <c r="BM718" s="1098"/>
      <c r="BN718" s="1098"/>
      <c r="BO718" s="1098"/>
      <c r="BP718" s="1098"/>
      <c r="BQ718" s="1098"/>
      <c r="BR718" s="1098"/>
      <c r="BS718" s="1098"/>
      <c r="BT718" s="1098"/>
      <c r="BU718" s="1098"/>
      <c r="BV718" s="1098"/>
      <c r="BW718" s="1098"/>
      <c r="BX718" s="1098"/>
      <c r="BY718" s="1098"/>
      <c r="BZ718" s="1098"/>
      <c r="CA718" s="1098"/>
      <c r="CB718" s="1098"/>
      <c r="CC718" s="1098"/>
      <c r="CD718" s="1098"/>
      <c r="CE718" s="1098"/>
      <c r="CF718" s="1098"/>
      <c r="CG718" s="1098"/>
      <c r="CH718" s="1098"/>
      <c r="CI718" s="1098"/>
      <c r="CJ718" s="1098"/>
      <c r="CK718" s="1098"/>
      <c r="CL718" s="1098"/>
      <c r="CM718" s="1098"/>
      <c r="CN718" s="1098"/>
      <c r="CO718" s="1098"/>
      <c r="CP718" s="1098"/>
      <c r="CQ718" s="1098"/>
      <c r="CR718" s="1098"/>
      <c r="CS718" s="1098"/>
      <c r="CT718" s="1098"/>
      <c r="CU718" s="1098"/>
      <c r="CV718" s="1098"/>
      <c r="CW718" s="1098"/>
      <c r="CX718" s="1098"/>
      <c r="CY718" s="1098"/>
      <c r="CZ718" s="1098"/>
      <c r="DA718" s="1098"/>
      <c r="DB718" s="1098"/>
      <c r="DC718" s="1098"/>
      <c r="DD718" s="1098"/>
      <c r="DE718" s="1098"/>
      <c r="DF718" s="1098"/>
      <c r="DG718" s="1098"/>
      <c r="DH718" s="1098"/>
      <c r="DI718" s="1098"/>
      <c r="DJ718" s="1098"/>
      <c r="DK718" s="1098"/>
      <c r="DL718" s="1098"/>
      <c r="DM718" s="1098"/>
      <c r="DN718" s="1098"/>
      <c r="DO718" s="1098"/>
      <c r="DP718" s="1098"/>
      <c r="DQ718" s="1098"/>
      <c r="DR718" s="1098"/>
      <c r="DS718" s="1098"/>
      <c r="DT718" s="1098"/>
      <c r="DU718" s="1098"/>
      <c r="DV718" s="1098"/>
      <c r="DW718" s="1098"/>
      <c r="DX718" s="1098"/>
      <c r="DY718" s="1098"/>
      <c r="DZ718" s="1098"/>
      <c r="EA718" s="1098"/>
      <c r="EB718" s="1098"/>
      <c r="EC718" s="1098"/>
      <c r="ED718" s="1098"/>
      <c r="EE718" s="1098"/>
      <c r="EF718" s="1098"/>
      <c r="EG718" s="1098"/>
      <c r="EH718" s="1098"/>
      <c r="EI718" s="1098"/>
      <c r="EJ718" s="1098"/>
      <c r="EK718" s="1098"/>
      <c r="EL718" s="1098"/>
      <c r="EM718" s="1098"/>
      <c r="EN718" s="1098"/>
      <c r="EO718" s="1098"/>
      <c r="EP718" s="1098"/>
      <c r="EQ718" s="1098"/>
      <c r="ER718" s="1098"/>
      <c r="ES718" s="1098"/>
      <c r="ET718" s="1098"/>
      <c r="EU718" s="1098"/>
      <c r="EV718" s="1098"/>
      <c r="EW718" s="1098"/>
      <c r="EX718" s="1098"/>
      <c r="EY718" s="1098"/>
      <c r="EZ718" s="1098"/>
      <c r="FA718" s="1098"/>
      <c r="FB718" s="1098"/>
      <c r="FC718" s="1098"/>
      <c r="FD718" s="1098"/>
      <c r="FE718" s="1098"/>
      <c r="FF718" s="1098"/>
      <c r="FG718" s="1098"/>
      <c r="FH718" s="1098"/>
      <c r="FI718" s="1098"/>
      <c r="FJ718" s="1098"/>
      <c r="FK718" s="1098"/>
      <c r="FL718" s="1098"/>
      <c r="FM718" s="1098"/>
      <c r="FN718" s="1098"/>
      <c r="FO718" s="1098"/>
      <c r="FP718" s="1098"/>
      <c r="FQ718" s="1098"/>
      <c r="FR718" s="1098"/>
      <c r="FS718" s="1098"/>
      <c r="FT718" s="1098"/>
      <c r="FU718" s="1098"/>
      <c r="FV718" s="1098"/>
      <c r="FW718" s="1098"/>
      <c r="FX718" s="1098"/>
      <c r="FY718" s="1098"/>
      <c r="FZ718" s="1098"/>
      <c r="GA718" s="1098"/>
      <c r="GB718" s="1098"/>
      <c r="GC718" s="1098"/>
      <c r="GD718" s="1098"/>
      <c r="GE718" s="1098"/>
      <c r="GF718" s="1098"/>
      <c r="GG718" s="1098"/>
      <c r="GH718" s="1098"/>
      <c r="GI718" s="1098"/>
      <c r="GJ718" s="1098"/>
      <c r="GK718" s="1098"/>
      <c r="GL718" s="1098"/>
      <c r="GM718" s="1098"/>
      <c r="GN718" s="1098"/>
      <c r="GO718" s="1098"/>
      <c r="GP718" s="1098"/>
      <c r="GQ718" s="1098"/>
      <c r="GR718" s="1098"/>
      <c r="GS718" s="1098"/>
      <c r="GT718" s="1098"/>
      <c r="GU718" s="1098"/>
      <c r="GV718" s="1098"/>
      <c r="GW718" s="1098"/>
      <c r="GX718" s="1098"/>
      <c r="GY718" s="1098"/>
      <c r="GZ718" s="1098"/>
      <c r="HA718" s="1098"/>
      <c r="HB718" s="1098"/>
      <c r="HC718" s="1098"/>
      <c r="HD718" s="1098"/>
      <c r="HE718" s="1098"/>
      <c r="HF718" s="1098"/>
      <c r="HG718" s="1098"/>
      <c r="HH718" s="1098"/>
      <c r="HI718" s="1098"/>
      <c r="HJ718" s="1098"/>
      <c r="HK718" s="1098"/>
      <c r="HL718" s="1098"/>
      <c r="HM718" s="1098"/>
      <c r="HN718" s="1098"/>
      <c r="HO718" s="1098"/>
      <c r="HP718" s="1098"/>
      <c r="HQ718" s="1098"/>
      <c r="HR718" s="1098"/>
      <c r="HS718" s="1098"/>
      <c r="HT718" s="1098"/>
      <c r="HU718" s="1098"/>
      <c r="HV718" s="1098"/>
      <c r="HW718" s="1098"/>
      <c r="HX718" s="1098"/>
      <c r="HY718" s="1098"/>
      <c r="HZ718" s="1098"/>
      <c r="IA718" s="1098"/>
      <c r="IB718" s="1098"/>
      <c r="IC718" s="1098"/>
      <c r="ID718" s="1098"/>
      <c r="IE718" s="1098"/>
      <c r="IF718" s="1098"/>
      <c r="IG718" s="1098"/>
      <c r="IH718" s="1098"/>
      <c r="II718" s="1098"/>
      <c r="IJ718" s="1098"/>
      <c r="IK718" s="1098"/>
      <c r="IL718" s="1098"/>
      <c r="IM718" s="1098"/>
      <c r="IN718" s="1098"/>
      <c r="IO718" s="1098"/>
      <c r="IP718" s="1098"/>
      <c r="IQ718" s="1098"/>
      <c r="IR718" s="1098"/>
      <c r="IS718" s="1098"/>
      <c r="IT718" s="1098"/>
      <c r="IU718" s="1098"/>
      <c r="IV718" s="1098"/>
      <c r="IW718" s="1098"/>
      <c r="IX718" s="1098"/>
      <c r="IY718" s="1098"/>
      <c r="IZ718" s="1098"/>
      <c r="JA718" s="1098"/>
      <c r="JB718" s="1098"/>
      <c r="JC718" s="1098"/>
      <c r="JD718" s="1098"/>
      <c r="JE718" s="1098"/>
      <c r="JF718" s="1098"/>
      <c r="JG718" s="1098"/>
      <c r="JH718" s="1098"/>
      <c r="JI718" s="1098"/>
      <c r="JJ718" s="1098"/>
      <c r="JK718" s="1098"/>
      <c r="JL718" s="1098"/>
      <c r="JM718" s="1098"/>
      <c r="JN718" s="1098"/>
      <c r="JO718" s="1098"/>
      <c r="JP718" s="1098"/>
      <c r="JQ718" s="1098"/>
      <c r="JR718" s="1098"/>
      <c r="JS718" s="1098"/>
      <c r="JT718" s="1098"/>
      <c r="JU718" s="1098"/>
      <c r="JV718" s="1098"/>
      <c r="JW718" s="1098"/>
      <c r="JX718" s="1098"/>
      <c r="JY718" s="1098"/>
      <c r="JZ718" s="1098"/>
      <c r="KA718" s="1098"/>
      <c r="KB718" s="1099"/>
    </row>
    <row r="719" spans="2:288" ht="15" customHeight="1" x14ac:dyDescent="0.35">
      <c r="B719" s="146" t="str">
        <f t="shared" si="56"/>
        <v>Desk 89</v>
      </c>
      <c r="C719" s="148" t="str">
        <v/>
      </c>
      <c r="D719" s="148" t="str">
        <v/>
      </c>
      <c r="E719" s="148" t="str">
        <v/>
      </c>
      <c r="F719" s="148" t="str">
        <v/>
      </c>
      <c r="G719" s="268" t="str">
        <v/>
      </c>
      <c r="H719" s="1098"/>
      <c r="I719" s="1098"/>
      <c r="J719" s="1098"/>
      <c r="K719" s="1098"/>
      <c r="L719" s="1098"/>
      <c r="M719" s="1098"/>
      <c r="N719" s="1098"/>
      <c r="O719" s="1098"/>
      <c r="P719" s="1098"/>
      <c r="Q719" s="1098"/>
      <c r="R719" s="1098"/>
      <c r="S719" s="1098"/>
      <c r="T719" s="1098"/>
      <c r="U719" s="1098"/>
      <c r="V719" s="1098"/>
      <c r="W719" s="1098"/>
      <c r="X719" s="1098"/>
      <c r="Y719" s="1098"/>
      <c r="Z719" s="1098"/>
      <c r="AA719" s="1098"/>
      <c r="AB719" s="1098"/>
      <c r="AC719" s="1098"/>
      <c r="AD719" s="1098"/>
      <c r="AE719" s="1098"/>
      <c r="AF719" s="1098"/>
      <c r="AG719" s="1098"/>
      <c r="AH719" s="1098"/>
      <c r="AI719" s="1098"/>
      <c r="AJ719" s="1098"/>
      <c r="AK719" s="1098"/>
      <c r="AL719" s="1098"/>
      <c r="AM719" s="1098"/>
      <c r="AN719" s="1098"/>
      <c r="AO719" s="1098"/>
      <c r="AP719" s="1098"/>
      <c r="AQ719" s="1098"/>
      <c r="AR719" s="1098"/>
      <c r="AS719" s="1098"/>
      <c r="AT719" s="1098"/>
      <c r="AU719" s="1098"/>
      <c r="AV719" s="1098"/>
      <c r="AW719" s="1098"/>
      <c r="AX719" s="1098"/>
      <c r="AY719" s="1098"/>
      <c r="AZ719" s="1098"/>
      <c r="BA719" s="1098"/>
      <c r="BB719" s="1098"/>
      <c r="BC719" s="1098"/>
      <c r="BD719" s="1098"/>
      <c r="BE719" s="1098"/>
      <c r="BF719" s="1098"/>
      <c r="BG719" s="1098"/>
      <c r="BH719" s="1098"/>
      <c r="BI719" s="1098"/>
      <c r="BJ719" s="1098"/>
      <c r="BK719" s="1098"/>
      <c r="BL719" s="1098"/>
      <c r="BM719" s="1098"/>
      <c r="BN719" s="1098"/>
      <c r="BO719" s="1098"/>
      <c r="BP719" s="1098"/>
      <c r="BQ719" s="1098"/>
      <c r="BR719" s="1098"/>
      <c r="BS719" s="1098"/>
      <c r="BT719" s="1098"/>
      <c r="BU719" s="1098"/>
      <c r="BV719" s="1098"/>
      <c r="BW719" s="1098"/>
      <c r="BX719" s="1098"/>
      <c r="BY719" s="1098"/>
      <c r="BZ719" s="1098"/>
      <c r="CA719" s="1098"/>
      <c r="CB719" s="1098"/>
      <c r="CC719" s="1098"/>
      <c r="CD719" s="1098"/>
      <c r="CE719" s="1098"/>
      <c r="CF719" s="1098"/>
      <c r="CG719" s="1098"/>
      <c r="CH719" s="1098"/>
      <c r="CI719" s="1098"/>
      <c r="CJ719" s="1098"/>
      <c r="CK719" s="1098"/>
      <c r="CL719" s="1098"/>
      <c r="CM719" s="1098"/>
      <c r="CN719" s="1098"/>
      <c r="CO719" s="1098"/>
      <c r="CP719" s="1098"/>
      <c r="CQ719" s="1098"/>
      <c r="CR719" s="1098"/>
      <c r="CS719" s="1098"/>
      <c r="CT719" s="1098"/>
      <c r="CU719" s="1098"/>
      <c r="CV719" s="1098"/>
      <c r="CW719" s="1098"/>
      <c r="CX719" s="1098"/>
      <c r="CY719" s="1098"/>
      <c r="CZ719" s="1098"/>
      <c r="DA719" s="1098"/>
      <c r="DB719" s="1098"/>
      <c r="DC719" s="1098"/>
      <c r="DD719" s="1098"/>
      <c r="DE719" s="1098"/>
      <c r="DF719" s="1098"/>
      <c r="DG719" s="1098"/>
      <c r="DH719" s="1098"/>
      <c r="DI719" s="1098"/>
      <c r="DJ719" s="1098"/>
      <c r="DK719" s="1098"/>
      <c r="DL719" s="1098"/>
      <c r="DM719" s="1098"/>
      <c r="DN719" s="1098"/>
      <c r="DO719" s="1098"/>
      <c r="DP719" s="1098"/>
      <c r="DQ719" s="1098"/>
      <c r="DR719" s="1098"/>
      <c r="DS719" s="1098"/>
      <c r="DT719" s="1098"/>
      <c r="DU719" s="1098"/>
      <c r="DV719" s="1098"/>
      <c r="DW719" s="1098"/>
      <c r="DX719" s="1098"/>
      <c r="DY719" s="1098"/>
      <c r="DZ719" s="1098"/>
      <c r="EA719" s="1098"/>
      <c r="EB719" s="1098"/>
      <c r="EC719" s="1098"/>
      <c r="ED719" s="1098"/>
      <c r="EE719" s="1098"/>
      <c r="EF719" s="1098"/>
      <c r="EG719" s="1098"/>
      <c r="EH719" s="1098"/>
      <c r="EI719" s="1098"/>
      <c r="EJ719" s="1098"/>
      <c r="EK719" s="1098"/>
      <c r="EL719" s="1098"/>
      <c r="EM719" s="1098"/>
      <c r="EN719" s="1098"/>
      <c r="EO719" s="1098"/>
      <c r="EP719" s="1098"/>
      <c r="EQ719" s="1098"/>
      <c r="ER719" s="1098"/>
      <c r="ES719" s="1098"/>
      <c r="ET719" s="1098"/>
      <c r="EU719" s="1098"/>
      <c r="EV719" s="1098"/>
      <c r="EW719" s="1098"/>
      <c r="EX719" s="1098"/>
      <c r="EY719" s="1098"/>
      <c r="EZ719" s="1098"/>
      <c r="FA719" s="1098"/>
      <c r="FB719" s="1098"/>
      <c r="FC719" s="1098"/>
      <c r="FD719" s="1098"/>
      <c r="FE719" s="1098"/>
      <c r="FF719" s="1098"/>
      <c r="FG719" s="1098"/>
      <c r="FH719" s="1098"/>
      <c r="FI719" s="1098"/>
      <c r="FJ719" s="1098"/>
      <c r="FK719" s="1098"/>
      <c r="FL719" s="1098"/>
      <c r="FM719" s="1098"/>
      <c r="FN719" s="1098"/>
      <c r="FO719" s="1098"/>
      <c r="FP719" s="1098"/>
      <c r="FQ719" s="1098"/>
      <c r="FR719" s="1098"/>
      <c r="FS719" s="1098"/>
      <c r="FT719" s="1098"/>
      <c r="FU719" s="1098"/>
      <c r="FV719" s="1098"/>
      <c r="FW719" s="1098"/>
      <c r="FX719" s="1098"/>
      <c r="FY719" s="1098"/>
      <c r="FZ719" s="1098"/>
      <c r="GA719" s="1098"/>
      <c r="GB719" s="1098"/>
      <c r="GC719" s="1098"/>
      <c r="GD719" s="1098"/>
      <c r="GE719" s="1098"/>
      <c r="GF719" s="1098"/>
      <c r="GG719" s="1098"/>
      <c r="GH719" s="1098"/>
      <c r="GI719" s="1098"/>
      <c r="GJ719" s="1098"/>
      <c r="GK719" s="1098"/>
      <c r="GL719" s="1098"/>
      <c r="GM719" s="1098"/>
      <c r="GN719" s="1098"/>
      <c r="GO719" s="1098"/>
      <c r="GP719" s="1098"/>
      <c r="GQ719" s="1098"/>
      <c r="GR719" s="1098"/>
      <c r="GS719" s="1098"/>
      <c r="GT719" s="1098"/>
      <c r="GU719" s="1098"/>
      <c r="GV719" s="1098"/>
      <c r="GW719" s="1098"/>
      <c r="GX719" s="1098"/>
      <c r="GY719" s="1098"/>
      <c r="GZ719" s="1098"/>
      <c r="HA719" s="1098"/>
      <c r="HB719" s="1098"/>
      <c r="HC719" s="1098"/>
      <c r="HD719" s="1098"/>
      <c r="HE719" s="1098"/>
      <c r="HF719" s="1098"/>
      <c r="HG719" s="1098"/>
      <c r="HH719" s="1098"/>
      <c r="HI719" s="1098"/>
      <c r="HJ719" s="1098"/>
      <c r="HK719" s="1098"/>
      <c r="HL719" s="1098"/>
      <c r="HM719" s="1098"/>
      <c r="HN719" s="1098"/>
      <c r="HO719" s="1098"/>
      <c r="HP719" s="1098"/>
      <c r="HQ719" s="1098"/>
      <c r="HR719" s="1098"/>
      <c r="HS719" s="1098"/>
      <c r="HT719" s="1098"/>
      <c r="HU719" s="1098"/>
      <c r="HV719" s="1098"/>
      <c r="HW719" s="1098"/>
      <c r="HX719" s="1098"/>
      <c r="HY719" s="1098"/>
      <c r="HZ719" s="1098"/>
      <c r="IA719" s="1098"/>
      <c r="IB719" s="1098"/>
      <c r="IC719" s="1098"/>
      <c r="ID719" s="1098"/>
      <c r="IE719" s="1098"/>
      <c r="IF719" s="1098"/>
      <c r="IG719" s="1098"/>
      <c r="IH719" s="1098"/>
      <c r="II719" s="1098"/>
      <c r="IJ719" s="1098"/>
      <c r="IK719" s="1098"/>
      <c r="IL719" s="1098"/>
      <c r="IM719" s="1098"/>
      <c r="IN719" s="1098"/>
      <c r="IO719" s="1098"/>
      <c r="IP719" s="1098"/>
      <c r="IQ719" s="1098"/>
      <c r="IR719" s="1098"/>
      <c r="IS719" s="1098"/>
      <c r="IT719" s="1098"/>
      <c r="IU719" s="1098"/>
      <c r="IV719" s="1098"/>
      <c r="IW719" s="1098"/>
      <c r="IX719" s="1098"/>
      <c r="IY719" s="1098"/>
      <c r="IZ719" s="1098"/>
      <c r="JA719" s="1098"/>
      <c r="JB719" s="1098"/>
      <c r="JC719" s="1098"/>
      <c r="JD719" s="1098"/>
      <c r="JE719" s="1098"/>
      <c r="JF719" s="1098"/>
      <c r="JG719" s="1098"/>
      <c r="JH719" s="1098"/>
      <c r="JI719" s="1098"/>
      <c r="JJ719" s="1098"/>
      <c r="JK719" s="1098"/>
      <c r="JL719" s="1098"/>
      <c r="JM719" s="1098"/>
      <c r="JN719" s="1098"/>
      <c r="JO719" s="1098"/>
      <c r="JP719" s="1098"/>
      <c r="JQ719" s="1098"/>
      <c r="JR719" s="1098"/>
      <c r="JS719" s="1098"/>
      <c r="JT719" s="1098"/>
      <c r="JU719" s="1098"/>
      <c r="JV719" s="1098"/>
      <c r="JW719" s="1098"/>
      <c r="JX719" s="1098"/>
      <c r="JY719" s="1098"/>
      <c r="JZ719" s="1098"/>
      <c r="KA719" s="1098"/>
      <c r="KB719" s="1099"/>
    </row>
    <row r="720" spans="2:288" ht="15" customHeight="1" x14ac:dyDescent="0.35">
      <c r="B720" s="146" t="str">
        <f t="shared" si="56"/>
        <v>Desk 90</v>
      </c>
      <c r="C720" s="148" t="str">
        <v/>
      </c>
      <c r="D720" s="148" t="str">
        <v/>
      </c>
      <c r="E720" s="148" t="str">
        <v/>
      </c>
      <c r="F720" s="148" t="str">
        <v/>
      </c>
      <c r="G720" s="268" t="str">
        <v/>
      </c>
      <c r="H720" s="1098"/>
      <c r="I720" s="1098"/>
      <c r="J720" s="1098"/>
      <c r="K720" s="1098"/>
      <c r="L720" s="1098"/>
      <c r="M720" s="1098"/>
      <c r="N720" s="1098"/>
      <c r="O720" s="1098"/>
      <c r="P720" s="1098"/>
      <c r="Q720" s="1098"/>
      <c r="R720" s="1098"/>
      <c r="S720" s="1098"/>
      <c r="T720" s="1098"/>
      <c r="U720" s="1098"/>
      <c r="V720" s="1098"/>
      <c r="W720" s="1098"/>
      <c r="X720" s="1098"/>
      <c r="Y720" s="1098"/>
      <c r="Z720" s="1098"/>
      <c r="AA720" s="1098"/>
      <c r="AB720" s="1098"/>
      <c r="AC720" s="1098"/>
      <c r="AD720" s="1098"/>
      <c r="AE720" s="1098"/>
      <c r="AF720" s="1098"/>
      <c r="AG720" s="1098"/>
      <c r="AH720" s="1098"/>
      <c r="AI720" s="1098"/>
      <c r="AJ720" s="1098"/>
      <c r="AK720" s="1098"/>
      <c r="AL720" s="1098"/>
      <c r="AM720" s="1098"/>
      <c r="AN720" s="1098"/>
      <c r="AO720" s="1098"/>
      <c r="AP720" s="1098"/>
      <c r="AQ720" s="1098"/>
      <c r="AR720" s="1098"/>
      <c r="AS720" s="1098"/>
      <c r="AT720" s="1098"/>
      <c r="AU720" s="1098"/>
      <c r="AV720" s="1098"/>
      <c r="AW720" s="1098"/>
      <c r="AX720" s="1098"/>
      <c r="AY720" s="1098"/>
      <c r="AZ720" s="1098"/>
      <c r="BA720" s="1098"/>
      <c r="BB720" s="1098"/>
      <c r="BC720" s="1098"/>
      <c r="BD720" s="1098"/>
      <c r="BE720" s="1098"/>
      <c r="BF720" s="1098"/>
      <c r="BG720" s="1098"/>
      <c r="BH720" s="1098"/>
      <c r="BI720" s="1098"/>
      <c r="BJ720" s="1098"/>
      <c r="BK720" s="1098"/>
      <c r="BL720" s="1098"/>
      <c r="BM720" s="1098"/>
      <c r="BN720" s="1098"/>
      <c r="BO720" s="1098"/>
      <c r="BP720" s="1098"/>
      <c r="BQ720" s="1098"/>
      <c r="BR720" s="1098"/>
      <c r="BS720" s="1098"/>
      <c r="BT720" s="1098"/>
      <c r="BU720" s="1098"/>
      <c r="BV720" s="1098"/>
      <c r="BW720" s="1098"/>
      <c r="BX720" s="1098"/>
      <c r="BY720" s="1098"/>
      <c r="BZ720" s="1098"/>
      <c r="CA720" s="1098"/>
      <c r="CB720" s="1098"/>
      <c r="CC720" s="1098"/>
      <c r="CD720" s="1098"/>
      <c r="CE720" s="1098"/>
      <c r="CF720" s="1098"/>
      <c r="CG720" s="1098"/>
      <c r="CH720" s="1098"/>
      <c r="CI720" s="1098"/>
      <c r="CJ720" s="1098"/>
      <c r="CK720" s="1098"/>
      <c r="CL720" s="1098"/>
      <c r="CM720" s="1098"/>
      <c r="CN720" s="1098"/>
      <c r="CO720" s="1098"/>
      <c r="CP720" s="1098"/>
      <c r="CQ720" s="1098"/>
      <c r="CR720" s="1098"/>
      <c r="CS720" s="1098"/>
      <c r="CT720" s="1098"/>
      <c r="CU720" s="1098"/>
      <c r="CV720" s="1098"/>
      <c r="CW720" s="1098"/>
      <c r="CX720" s="1098"/>
      <c r="CY720" s="1098"/>
      <c r="CZ720" s="1098"/>
      <c r="DA720" s="1098"/>
      <c r="DB720" s="1098"/>
      <c r="DC720" s="1098"/>
      <c r="DD720" s="1098"/>
      <c r="DE720" s="1098"/>
      <c r="DF720" s="1098"/>
      <c r="DG720" s="1098"/>
      <c r="DH720" s="1098"/>
      <c r="DI720" s="1098"/>
      <c r="DJ720" s="1098"/>
      <c r="DK720" s="1098"/>
      <c r="DL720" s="1098"/>
      <c r="DM720" s="1098"/>
      <c r="DN720" s="1098"/>
      <c r="DO720" s="1098"/>
      <c r="DP720" s="1098"/>
      <c r="DQ720" s="1098"/>
      <c r="DR720" s="1098"/>
      <c r="DS720" s="1098"/>
      <c r="DT720" s="1098"/>
      <c r="DU720" s="1098"/>
      <c r="DV720" s="1098"/>
      <c r="DW720" s="1098"/>
      <c r="DX720" s="1098"/>
      <c r="DY720" s="1098"/>
      <c r="DZ720" s="1098"/>
      <c r="EA720" s="1098"/>
      <c r="EB720" s="1098"/>
      <c r="EC720" s="1098"/>
      <c r="ED720" s="1098"/>
      <c r="EE720" s="1098"/>
      <c r="EF720" s="1098"/>
      <c r="EG720" s="1098"/>
      <c r="EH720" s="1098"/>
      <c r="EI720" s="1098"/>
      <c r="EJ720" s="1098"/>
      <c r="EK720" s="1098"/>
      <c r="EL720" s="1098"/>
      <c r="EM720" s="1098"/>
      <c r="EN720" s="1098"/>
      <c r="EO720" s="1098"/>
      <c r="EP720" s="1098"/>
      <c r="EQ720" s="1098"/>
      <c r="ER720" s="1098"/>
      <c r="ES720" s="1098"/>
      <c r="ET720" s="1098"/>
      <c r="EU720" s="1098"/>
      <c r="EV720" s="1098"/>
      <c r="EW720" s="1098"/>
      <c r="EX720" s="1098"/>
      <c r="EY720" s="1098"/>
      <c r="EZ720" s="1098"/>
      <c r="FA720" s="1098"/>
      <c r="FB720" s="1098"/>
      <c r="FC720" s="1098"/>
      <c r="FD720" s="1098"/>
      <c r="FE720" s="1098"/>
      <c r="FF720" s="1098"/>
      <c r="FG720" s="1098"/>
      <c r="FH720" s="1098"/>
      <c r="FI720" s="1098"/>
      <c r="FJ720" s="1098"/>
      <c r="FK720" s="1098"/>
      <c r="FL720" s="1098"/>
      <c r="FM720" s="1098"/>
      <c r="FN720" s="1098"/>
      <c r="FO720" s="1098"/>
      <c r="FP720" s="1098"/>
      <c r="FQ720" s="1098"/>
      <c r="FR720" s="1098"/>
      <c r="FS720" s="1098"/>
      <c r="FT720" s="1098"/>
      <c r="FU720" s="1098"/>
      <c r="FV720" s="1098"/>
      <c r="FW720" s="1098"/>
      <c r="FX720" s="1098"/>
      <c r="FY720" s="1098"/>
      <c r="FZ720" s="1098"/>
      <c r="GA720" s="1098"/>
      <c r="GB720" s="1098"/>
      <c r="GC720" s="1098"/>
      <c r="GD720" s="1098"/>
      <c r="GE720" s="1098"/>
      <c r="GF720" s="1098"/>
      <c r="GG720" s="1098"/>
      <c r="GH720" s="1098"/>
      <c r="GI720" s="1098"/>
      <c r="GJ720" s="1098"/>
      <c r="GK720" s="1098"/>
      <c r="GL720" s="1098"/>
      <c r="GM720" s="1098"/>
      <c r="GN720" s="1098"/>
      <c r="GO720" s="1098"/>
      <c r="GP720" s="1098"/>
      <c r="GQ720" s="1098"/>
      <c r="GR720" s="1098"/>
      <c r="GS720" s="1098"/>
      <c r="GT720" s="1098"/>
      <c r="GU720" s="1098"/>
      <c r="GV720" s="1098"/>
      <c r="GW720" s="1098"/>
      <c r="GX720" s="1098"/>
      <c r="GY720" s="1098"/>
      <c r="GZ720" s="1098"/>
      <c r="HA720" s="1098"/>
      <c r="HB720" s="1098"/>
      <c r="HC720" s="1098"/>
      <c r="HD720" s="1098"/>
      <c r="HE720" s="1098"/>
      <c r="HF720" s="1098"/>
      <c r="HG720" s="1098"/>
      <c r="HH720" s="1098"/>
      <c r="HI720" s="1098"/>
      <c r="HJ720" s="1098"/>
      <c r="HK720" s="1098"/>
      <c r="HL720" s="1098"/>
      <c r="HM720" s="1098"/>
      <c r="HN720" s="1098"/>
      <c r="HO720" s="1098"/>
      <c r="HP720" s="1098"/>
      <c r="HQ720" s="1098"/>
      <c r="HR720" s="1098"/>
      <c r="HS720" s="1098"/>
      <c r="HT720" s="1098"/>
      <c r="HU720" s="1098"/>
      <c r="HV720" s="1098"/>
      <c r="HW720" s="1098"/>
      <c r="HX720" s="1098"/>
      <c r="HY720" s="1098"/>
      <c r="HZ720" s="1098"/>
      <c r="IA720" s="1098"/>
      <c r="IB720" s="1098"/>
      <c r="IC720" s="1098"/>
      <c r="ID720" s="1098"/>
      <c r="IE720" s="1098"/>
      <c r="IF720" s="1098"/>
      <c r="IG720" s="1098"/>
      <c r="IH720" s="1098"/>
      <c r="II720" s="1098"/>
      <c r="IJ720" s="1098"/>
      <c r="IK720" s="1098"/>
      <c r="IL720" s="1098"/>
      <c r="IM720" s="1098"/>
      <c r="IN720" s="1098"/>
      <c r="IO720" s="1098"/>
      <c r="IP720" s="1098"/>
      <c r="IQ720" s="1098"/>
      <c r="IR720" s="1098"/>
      <c r="IS720" s="1098"/>
      <c r="IT720" s="1098"/>
      <c r="IU720" s="1098"/>
      <c r="IV720" s="1098"/>
      <c r="IW720" s="1098"/>
      <c r="IX720" s="1098"/>
      <c r="IY720" s="1098"/>
      <c r="IZ720" s="1098"/>
      <c r="JA720" s="1098"/>
      <c r="JB720" s="1098"/>
      <c r="JC720" s="1098"/>
      <c r="JD720" s="1098"/>
      <c r="JE720" s="1098"/>
      <c r="JF720" s="1098"/>
      <c r="JG720" s="1098"/>
      <c r="JH720" s="1098"/>
      <c r="JI720" s="1098"/>
      <c r="JJ720" s="1098"/>
      <c r="JK720" s="1098"/>
      <c r="JL720" s="1098"/>
      <c r="JM720" s="1098"/>
      <c r="JN720" s="1098"/>
      <c r="JO720" s="1098"/>
      <c r="JP720" s="1098"/>
      <c r="JQ720" s="1098"/>
      <c r="JR720" s="1098"/>
      <c r="JS720" s="1098"/>
      <c r="JT720" s="1098"/>
      <c r="JU720" s="1098"/>
      <c r="JV720" s="1098"/>
      <c r="JW720" s="1098"/>
      <c r="JX720" s="1098"/>
      <c r="JY720" s="1098"/>
      <c r="JZ720" s="1098"/>
      <c r="KA720" s="1098"/>
      <c r="KB720" s="1099"/>
    </row>
    <row r="721" spans="1:289" ht="15" customHeight="1" x14ac:dyDescent="0.35">
      <c r="B721" s="146" t="str">
        <f t="shared" si="56"/>
        <v>Desk 91</v>
      </c>
      <c r="C721" s="148" t="str">
        <v/>
      </c>
      <c r="D721" s="148" t="str">
        <v/>
      </c>
      <c r="E721" s="148" t="str">
        <v/>
      </c>
      <c r="F721" s="148" t="str">
        <v/>
      </c>
      <c r="G721" s="268" t="str">
        <v/>
      </c>
      <c r="H721" s="1098"/>
      <c r="I721" s="1098"/>
      <c r="J721" s="1098"/>
      <c r="K721" s="1098"/>
      <c r="L721" s="1098"/>
      <c r="M721" s="1098"/>
      <c r="N721" s="1098"/>
      <c r="O721" s="1098"/>
      <c r="P721" s="1098"/>
      <c r="Q721" s="1098"/>
      <c r="R721" s="1098"/>
      <c r="S721" s="1098"/>
      <c r="T721" s="1098"/>
      <c r="U721" s="1098"/>
      <c r="V721" s="1098"/>
      <c r="W721" s="1098"/>
      <c r="X721" s="1098"/>
      <c r="Y721" s="1098"/>
      <c r="Z721" s="1098"/>
      <c r="AA721" s="1098"/>
      <c r="AB721" s="1098"/>
      <c r="AC721" s="1098"/>
      <c r="AD721" s="1098"/>
      <c r="AE721" s="1098"/>
      <c r="AF721" s="1098"/>
      <c r="AG721" s="1098"/>
      <c r="AH721" s="1098"/>
      <c r="AI721" s="1098"/>
      <c r="AJ721" s="1098"/>
      <c r="AK721" s="1098"/>
      <c r="AL721" s="1098"/>
      <c r="AM721" s="1098"/>
      <c r="AN721" s="1098"/>
      <c r="AO721" s="1098"/>
      <c r="AP721" s="1098"/>
      <c r="AQ721" s="1098"/>
      <c r="AR721" s="1098"/>
      <c r="AS721" s="1098"/>
      <c r="AT721" s="1098"/>
      <c r="AU721" s="1098"/>
      <c r="AV721" s="1098"/>
      <c r="AW721" s="1098"/>
      <c r="AX721" s="1098"/>
      <c r="AY721" s="1098"/>
      <c r="AZ721" s="1098"/>
      <c r="BA721" s="1098"/>
      <c r="BB721" s="1098"/>
      <c r="BC721" s="1098"/>
      <c r="BD721" s="1098"/>
      <c r="BE721" s="1098"/>
      <c r="BF721" s="1098"/>
      <c r="BG721" s="1098"/>
      <c r="BH721" s="1098"/>
      <c r="BI721" s="1098"/>
      <c r="BJ721" s="1098"/>
      <c r="BK721" s="1098"/>
      <c r="BL721" s="1098"/>
      <c r="BM721" s="1098"/>
      <c r="BN721" s="1098"/>
      <c r="BO721" s="1098"/>
      <c r="BP721" s="1098"/>
      <c r="BQ721" s="1098"/>
      <c r="BR721" s="1098"/>
      <c r="BS721" s="1098"/>
      <c r="BT721" s="1098"/>
      <c r="BU721" s="1098"/>
      <c r="BV721" s="1098"/>
      <c r="BW721" s="1098"/>
      <c r="BX721" s="1098"/>
      <c r="BY721" s="1098"/>
      <c r="BZ721" s="1098"/>
      <c r="CA721" s="1098"/>
      <c r="CB721" s="1098"/>
      <c r="CC721" s="1098"/>
      <c r="CD721" s="1098"/>
      <c r="CE721" s="1098"/>
      <c r="CF721" s="1098"/>
      <c r="CG721" s="1098"/>
      <c r="CH721" s="1098"/>
      <c r="CI721" s="1098"/>
      <c r="CJ721" s="1098"/>
      <c r="CK721" s="1098"/>
      <c r="CL721" s="1098"/>
      <c r="CM721" s="1098"/>
      <c r="CN721" s="1098"/>
      <c r="CO721" s="1098"/>
      <c r="CP721" s="1098"/>
      <c r="CQ721" s="1098"/>
      <c r="CR721" s="1098"/>
      <c r="CS721" s="1098"/>
      <c r="CT721" s="1098"/>
      <c r="CU721" s="1098"/>
      <c r="CV721" s="1098"/>
      <c r="CW721" s="1098"/>
      <c r="CX721" s="1098"/>
      <c r="CY721" s="1098"/>
      <c r="CZ721" s="1098"/>
      <c r="DA721" s="1098"/>
      <c r="DB721" s="1098"/>
      <c r="DC721" s="1098"/>
      <c r="DD721" s="1098"/>
      <c r="DE721" s="1098"/>
      <c r="DF721" s="1098"/>
      <c r="DG721" s="1098"/>
      <c r="DH721" s="1098"/>
      <c r="DI721" s="1098"/>
      <c r="DJ721" s="1098"/>
      <c r="DK721" s="1098"/>
      <c r="DL721" s="1098"/>
      <c r="DM721" s="1098"/>
      <c r="DN721" s="1098"/>
      <c r="DO721" s="1098"/>
      <c r="DP721" s="1098"/>
      <c r="DQ721" s="1098"/>
      <c r="DR721" s="1098"/>
      <c r="DS721" s="1098"/>
      <c r="DT721" s="1098"/>
      <c r="DU721" s="1098"/>
      <c r="DV721" s="1098"/>
      <c r="DW721" s="1098"/>
      <c r="DX721" s="1098"/>
      <c r="DY721" s="1098"/>
      <c r="DZ721" s="1098"/>
      <c r="EA721" s="1098"/>
      <c r="EB721" s="1098"/>
      <c r="EC721" s="1098"/>
      <c r="ED721" s="1098"/>
      <c r="EE721" s="1098"/>
      <c r="EF721" s="1098"/>
      <c r="EG721" s="1098"/>
      <c r="EH721" s="1098"/>
      <c r="EI721" s="1098"/>
      <c r="EJ721" s="1098"/>
      <c r="EK721" s="1098"/>
      <c r="EL721" s="1098"/>
      <c r="EM721" s="1098"/>
      <c r="EN721" s="1098"/>
      <c r="EO721" s="1098"/>
      <c r="EP721" s="1098"/>
      <c r="EQ721" s="1098"/>
      <c r="ER721" s="1098"/>
      <c r="ES721" s="1098"/>
      <c r="ET721" s="1098"/>
      <c r="EU721" s="1098"/>
      <c r="EV721" s="1098"/>
      <c r="EW721" s="1098"/>
      <c r="EX721" s="1098"/>
      <c r="EY721" s="1098"/>
      <c r="EZ721" s="1098"/>
      <c r="FA721" s="1098"/>
      <c r="FB721" s="1098"/>
      <c r="FC721" s="1098"/>
      <c r="FD721" s="1098"/>
      <c r="FE721" s="1098"/>
      <c r="FF721" s="1098"/>
      <c r="FG721" s="1098"/>
      <c r="FH721" s="1098"/>
      <c r="FI721" s="1098"/>
      <c r="FJ721" s="1098"/>
      <c r="FK721" s="1098"/>
      <c r="FL721" s="1098"/>
      <c r="FM721" s="1098"/>
      <c r="FN721" s="1098"/>
      <c r="FO721" s="1098"/>
      <c r="FP721" s="1098"/>
      <c r="FQ721" s="1098"/>
      <c r="FR721" s="1098"/>
      <c r="FS721" s="1098"/>
      <c r="FT721" s="1098"/>
      <c r="FU721" s="1098"/>
      <c r="FV721" s="1098"/>
      <c r="FW721" s="1098"/>
      <c r="FX721" s="1098"/>
      <c r="FY721" s="1098"/>
      <c r="FZ721" s="1098"/>
      <c r="GA721" s="1098"/>
      <c r="GB721" s="1098"/>
      <c r="GC721" s="1098"/>
      <c r="GD721" s="1098"/>
      <c r="GE721" s="1098"/>
      <c r="GF721" s="1098"/>
      <c r="GG721" s="1098"/>
      <c r="GH721" s="1098"/>
      <c r="GI721" s="1098"/>
      <c r="GJ721" s="1098"/>
      <c r="GK721" s="1098"/>
      <c r="GL721" s="1098"/>
      <c r="GM721" s="1098"/>
      <c r="GN721" s="1098"/>
      <c r="GO721" s="1098"/>
      <c r="GP721" s="1098"/>
      <c r="GQ721" s="1098"/>
      <c r="GR721" s="1098"/>
      <c r="GS721" s="1098"/>
      <c r="GT721" s="1098"/>
      <c r="GU721" s="1098"/>
      <c r="GV721" s="1098"/>
      <c r="GW721" s="1098"/>
      <c r="GX721" s="1098"/>
      <c r="GY721" s="1098"/>
      <c r="GZ721" s="1098"/>
      <c r="HA721" s="1098"/>
      <c r="HB721" s="1098"/>
      <c r="HC721" s="1098"/>
      <c r="HD721" s="1098"/>
      <c r="HE721" s="1098"/>
      <c r="HF721" s="1098"/>
      <c r="HG721" s="1098"/>
      <c r="HH721" s="1098"/>
      <c r="HI721" s="1098"/>
      <c r="HJ721" s="1098"/>
      <c r="HK721" s="1098"/>
      <c r="HL721" s="1098"/>
      <c r="HM721" s="1098"/>
      <c r="HN721" s="1098"/>
      <c r="HO721" s="1098"/>
      <c r="HP721" s="1098"/>
      <c r="HQ721" s="1098"/>
      <c r="HR721" s="1098"/>
      <c r="HS721" s="1098"/>
      <c r="HT721" s="1098"/>
      <c r="HU721" s="1098"/>
      <c r="HV721" s="1098"/>
      <c r="HW721" s="1098"/>
      <c r="HX721" s="1098"/>
      <c r="HY721" s="1098"/>
      <c r="HZ721" s="1098"/>
      <c r="IA721" s="1098"/>
      <c r="IB721" s="1098"/>
      <c r="IC721" s="1098"/>
      <c r="ID721" s="1098"/>
      <c r="IE721" s="1098"/>
      <c r="IF721" s="1098"/>
      <c r="IG721" s="1098"/>
      <c r="IH721" s="1098"/>
      <c r="II721" s="1098"/>
      <c r="IJ721" s="1098"/>
      <c r="IK721" s="1098"/>
      <c r="IL721" s="1098"/>
      <c r="IM721" s="1098"/>
      <c r="IN721" s="1098"/>
      <c r="IO721" s="1098"/>
      <c r="IP721" s="1098"/>
      <c r="IQ721" s="1098"/>
      <c r="IR721" s="1098"/>
      <c r="IS721" s="1098"/>
      <c r="IT721" s="1098"/>
      <c r="IU721" s="1098"/>
      <c r="IV721" s="1098"/>
      <c r="IW721" s="1098"/>
      <c r="IX721" s="1098"/>
      <c r="IY721" s="1098"/>
      <c r="IZ721" s="1098"/>
      <c r="JA721" s="1098"/>
      <c r="JB721" s="1098"/>
      <c r="JC721" s="1098"/>
      <c r="JD721" s="1098"/>
      <c r="JE721" s="1098"/>
      <c r="JF721" s="1098"/>
      <c r="JG721" s="1098"/>
      <c r="JH721" s="1098"/>
      <c r="JI721" s="1098"/>
      <c r="JJ721" s="1098"/>
      <c r="JK721" s="1098"/>
      <c r="JL721" s="1098"/>
      <c r="JM721" s="1098"/>
      <c r="JN721" s="1098"/>
      <c r="JO721" s="1098"/>
      <c r="JP721" s="1098"/>
      <c r="JQ721" s="1098"/>
      <c r="JR721" s="1098"/>
      <c r="JS721" s="1098"/>
      <c r="JT721" s="1098"/>
      <c r="JU721" s="1098"/>
      <c r="JV721" s="1098"/>
      <c r="JW721" s="1098"/>
      <c r="JX721" s="1098"/>
      <c r="JY721" s="1098"/>
      <c r="JZ721" s="1098"/>
      <c r="KA721" s="1098"/>
      <c r="KB721" s="1099"/>
    </row>
    <row r="722" spans="1:289" ht="15" customHeight="1" x14ac:dyDescent="0.35">
      <c r="B722" s="146" t="str">
        <f t="shared" si="56"/>
        <v>Desk 92</v>
      </c>
      <c r="C722" s="148" t="str">
        <v/>
      </c>
      <c r="D722" s="148" t="str">
        <v/>
      </c>
      <c r="E722" s="148" t="str">
        <v/>
      </c>
      <c r="F722" s="148" t="str">
        <v/>
      </c>
      <c r="G722" s="268" t="str">
        <v/>
      </c>
      <c r="H722" s="1098"/>
      <c r="I722" s="1098"/>
      <c r="J722" s="1098"/>
      <c r="K722" s="1098"/>
      <c r="L722" s="1098"/>
      <c r="M722" s="1098"/>
      <c r="N722" s="1098"/>
      <c r="O722" s="1098"/>
      <c r="P722" s="1098"/>
      <c r="Q722" s="1098"/>
      <c r="R722" s="1098"/>
      <c r="S722" s="1098"/>
      <c r="T722" s="1098"/>
      <c r="U722" s="1098"/>
      <c r="V722" s="1098"/>
      <c r="W722" s="1098"/>
      <c r="X722" s="1098"/>
      <c r="Y722" s="1098"/>
      <c r="Z722" s="1098"/>
      <c r="AA722" s="1098"/>
      <c r="AB722" s="1098"/>
      <c r="AC722" s="1098"/>
      <c r="AD722" s="1098"/>
      <c r="AE722" s="1098"/>
      <c r="AF722" s="1098"/>
      <c r="AG722" s="1098"/>
      <c r="AH722" s="1098"/>
      <c r="AI722" s="1098"/>
      <c r="AJ722" s="1098"/>
      <c r="AK722" s="1098"/>
      <c r="AL722" s="1098"/>
      <c r="AM722" s="1098"/>
      <c r="AN722" s="1098"/>
      <c r="AO722" s="1098"/>
      <c r="AP722" s="1098"/>
      <c r="AQ722" s="1098"/>
      <c r="AR722" s="1098"/>
      <c r="AS722" s="1098"/>
      <c r="AT722" s="1098"/>
      <c r="AU722" s="1098"/>
      <c r="AV722" s="1098"/>
      <c r="AW722" s="1098"/>
      <c r="AX722" s="1098"/>
      <c r="AY722" s="1098"/>
      <c r="AZ722" s="1098"/>
      <c r="BA722" s="1098"/>
      <c r="BB722" s="1098"/>
      <c r="BC722" s="1098"/>
      <c r="BD722" s="1098"/>
      <c r="BE722" s="1098"/>
      <c r="BF722" s="1098"/>
      <c r="BG722" s="1098"/>
      <c r="BH722" s="1098"/>
      <c r="BI722" s="1098"/>
      <c r="BJ722" s="1098"/>
      <c r="BK722" s="1098"/>
      <c r="BL722" s="1098"/>
      <c r="BM722" s="1098"/>
      <c r="BN722" s="1098"/>
      <c r="BO722" s="1098"/>
      <c r="BP722" s="1098"/>
      <c r="BQ722" s="1098"/>
      <c r="BR722" s="1098"/>
      <c r="BS722" s="1098"/>
      <c r="BT722" s="1098"/>
      <c r="BU722" s="1098"/>
      <c r="BV722" s="1098"/>
      <c r="BW722" s="1098"/>
      <c r="BX722" s="1098"/>
      <c r="BY722" s="1098"/>
      <c r="BZ722" s="1098"/>
      <c r="CA722" s="1098"/>
      <c r="CB722" s="1098"/>
      <c r="CC722" s="1098"/>
      <c r="CD722" s="1098"/>
      <c r="CE722" s="1098"/>
      <c r="CF722" s="1098"/>
      <c r="CG722" s="1098"/>
      <c r="CH722" s="1098"/>
      <c r="CI722" s="1098"/>
      <c r="CJ722" s="1098"/>
      <c r="CK722" s="1098"/>
      <c r="CL722" s="1098"/>
      <c r="CM722" s="1098"/>
      <c r="CN722" s="1098"/>
      <c r="CO722" s="1098"/>
      <c r="CP722" s="1098"/>
      <c r="CQ722" s="1098"/>
      <c r="CR722" s="1098"/>
      <c r="CS722" s="1098"/>
      <c r="CT722" s="1098"/>
      <c r="CU722" s="1098"/>
      <c r="CV722" s="1098"/>
      <c r="CW722" s="1098"/>
      <c r="CX722" s="1098"/>
      <c r="CY722" s="1098"/>
      <c r="CZ722" s="1098"/>
      <c r="DA722" s="1098"/>
      <c r="DB722" s="1098"/>
      <c r="DC722" s="1098"/>
      <c r="DD722" s="1098"/>
      <c r="DE722" s="1098"/>
      <c r="DF722" s="1098"/>
      <c r="DG722" s="1098"/>
      <c r="DH722" s="1098"/>
      <c r="DI722" s="1098"/>
      <c r="DJ722" s="1098"/>
      <c r="DK722" s="1098"/>
      <c r="DL722" s="1098"/>
      <c r="DM722" s="1098"/>
      <c r="DN722" s="1098"/>
      <c r="DO722" s="1098"/>
      <c r="DP722" s="1098"/>
      <c r="DQ722" s="1098"/>
      <c r="DR722" s="1098"/>
      <c r="DS722" s="1098"/>
      <c r="DT722" s="1098"/>
      <c r="DU722" s="1098"/>
      <c r="DV722" s="1098"/>
      <c r="DW722" s="1098"/>
      <c r="DX722" s="1098"/>
      <c r="DY722" s="1098"/>
      <c r="DZ722" s="1098"/>
      <c r="EA722" s="1098"/>
      <c r="EB722" s="1098"/>
      <c r="EC722" s="1098"/>
      <c r="ED722" s="1098"/>
      <c r="EE722" s="1098"/>
      <c r="EF722" s="1098"/>
      <c r="EG722" s="1098"/>
      <c r="EH722" s="1098"/>
      <c r="EI722" s="1098"/>
      <c r="EJ722" s="1098"/>
      <c r="EK722" s="1098"/>
      <c r="EL722" s="1098"/>
      <c r="EM722" s="1098"/>
      <c r="EN722" s="1098"/>
      <c r="EO722" s="1098"/>
      <c r="EP722" s="1098"/>
      <c r="EQ722" s="1098"/>
      <c r="ER722" s="1098"/>
      <c r="ES722" s="1098"/>
      <c r="ET722" s="1098"/>
      <c r="EU722" s="1098"/>
      <c r="EV722" s="1098"/>
      <c r="EW722" s="1098"/>
      <c r="EX722" s="1098"/>
      <c r="EY722" s="1098"/>
      <c r="EZ722" s="1098"/>
      <c r="FA722" s="1098"/>
      <c r="FB722" s="1098"/>
      <c r="FC722" s="1098"/>
      <c r="FD722" s="1098"/>
      <c r="FE722" s="1098"/>
      <c r="FF722" s="1098"/>
      <c r="FG722" s="1098"/>
      <c r="FH722" s="1098"/>
      <c r="FI722" s="1098"/>
      <c r="FJ722" s="1098"/>
      <c r="FK722" s="1098"/>
      <c r="FL722" s="1098"/>
      <c r="FM722" s="1098"/>
      <c r="FN722" s="1098"/>
      <c r="FO722" s="1098"/>
      <c r="FP722" s="1098"/>
      <c r="FQ722" s="1098"/>
      <c r="FR722" s="1098"/>
      <c r="FS722" s="1098"/>
      <c r="FT722" s="1098"/>
      <c r="FU722" s="1098"/>
      <c r="FV722" s="1098"/>
      <c r="FW722" s="1098"/>
      <c r="FX722" s="1098"/>
      <c r="FY722" s="1098"/>
      <c r="FZ722" s="1098"/>
      <c r="GA722" s="1098"/>
      <c r="GB722" s="1098"/>
      <c r="GC722" s="1098"/>
      <c r="GD722" s="1098"/>
      <c r="GE722" s="1098"/>
      <c r="GF722" s="1098"/>
      <c r="GG722" s="1098"/>
      <c r="GH722" s="1098"/>
      <c r="GI722" s="1098"/>
      <c r="GJ722" s="1098"/>
      <c r="GK722" s="1098"/>
      <c r="GL722" s="1098"/>
      <c r="GM722" s="1098"/>
      <c r="GN722" s="1098"/>
      <c r="GO722" s="1098"/>
      <c r="GP722" s="1098"/>
      <c r="GQ722" s="1098"/>
      <c r="GR722" s="1098"/>
      <c r="GS722" s="1098"/>
      <c r="GT722" s="1098"/>
      <c r="GU722" s="1098"/>
      <c r="GV722" s="1098"/>
      <c r="GW722" s="1098"/>
      <c r="GX722" s="1098"/>
      <c r="GY722" s="1098"/>
      <c r="GZ722" s="1098"/>
      <c r="HA722" s="1098"/>
      <c r="HB722" s="1098"/>
      <c r="HC722" s="1098"/>
      <c r="HD722" s="1098"/>
      <c r="HE722" s="1098"/>
      <c r="HF722" s="1098"/>
      <c r="HG722" s="1098"/>
      <c r="HH722" s="1098"/>
      <c r="HI722" s="1098"/>
      <c r="HJ722" s="1098"/>
      <c r="HK722" s="1098"/>
      <c r="HL722" s="1098"/>
      <c r="HM722" s="1098"/>
      <c r="HN722" s="1098"/>
      <c r="HO722" s="1098"/>
      <c r="HP722" s="1098"/>
      <c r="HQ722" s="1098"/>
      <c r="HR722" s="1098"/>
      <c r="HS722" s="1098"/>
      <c r="HT722" s="1098"/>
      <c r="HU722" s="1098"/>
      <c r="HV722" s="1098"/>
      <c r="HW722" s="1098"/>
      <c r="HX722" s="1098"/>
      <c r="HY722" s="1098"/>
      <c r="HZ722" s="1098"/>
      <c r="IA722" s="1098"/>
      <c r="IB722" s="1098"/>
      <c r="IC722" s="1098"/>
      <c r="ID722" s="1098"/>
      <c r="IE722" s="1098"/>
      <c r="IF722" s="1098"/>
      <c r="IG722" s="1098"/>
      <c r="IH722" s="1098"/>
      <c r="II722" s="1098"/>
      <c r="IJ722" s="1098"/>
      <c r="IK722" s="1098"/>
      <c r="IL722" s="1098"/>
      <c r="IM722" s="1098"/>
      <c r="IN722" s="1098"/>
      <c r="IO722" s="1098"/>
      <c r="IP722" s="1098"/>
      <c r="IQ722" s="1098"/>
      <c r="IR722" s="1098"/>
      <c r="IS722" s="1098"/>
      <c r="IT722" s="1098"/>
      <c r="IU722" s="1098"/>
      <c r="IV722" s="1098"/>
      <c r="IW722" s="1098"/>
      <c r="IX722" s="1098"/>
      <c r="IY722" s="1098"/>
      <c r="IZ722" s="1098"/>
      <c r="JA722" s="1098"/>
      <c r="JB722" s="1098"/>
      <c r="JC722" s="1098"/>
      <c r="JD722" s="1098"/>
      <c r="JE722" s="1098"/>
      <c r="JF722" s="1098"/>
      <c r="JG722" s="1098"/>
      <c r="JH722" s="1098"/>
      <c r="JI722" s="1098"/>
      <c r="JJ722" s="1098"/>
      <c r="JK722" s="1098"/>
      <c r="JL722" s="1098"/>
      <c r="JM722" s="1098"/>
      <c r="JN722" s="1098"/>
      <c r="JO722" s="1098"/>
      <c r="JP722" s="1098"/>
      <c r="JQ722" s="1098"/>
      <c r="JR722" s="1098"/>
      <c r="JS722" s="1098"/>
      <c r="JT722" s="1098"/>
      <c r="JU722" s="1098"/>
      <c r="JV722" s="1098"/>
      <c r="JW722" s="1098"/>
      <c r="JX722" s="1098"/>
      <c r="JY722" s="1098"/>
      <c r="JZ722" s="1098"/>
      <c r="KA722" s="1098"/>
      <c r="KB722" s="1099"/>
    </row>
    <row r="723" spans="1:289" ht="15" customHeight="1" x14ac:dyDescent="0.35">
      <c r="B723" s="146" t="str">
        <f t="shared" si="56"/>
        <v>Desk 93</v>
      </c>
      <c r="C723" s="148" t="str">
        <v/>
      </c>
      <c r="D723" s="148" t="str">
        <v/>
      </c>
      <c r="E723" s="148" t="str">
        <v/>
      </c>
      <c r="F723" s="148" t="str">
        <v/>
      </c>
      <c r="G723" s="268" t="str">
        <v/>
      </c>
      <c r="H723" s="1098"/>
      <c r="I723" s="1098"/>
      <c r="J723" s="1098"/>
      <c r="K723" s="1098"/>
      <c r="L723" s="1098"/>
      <c r="M723" s="1098"/>
      <c r="N723" s="1098"/>
      <c r="O723" s="1098"/>
      <c r="P723" s="1098"/>
      <c r="Q723" s="1098"/>
      <c r="R723" s="1098"/>
      <c r="S723" s="1098"/>
      <c r="T723" s="1098"/>
      <c r="U723" s="1098"/>
      <c r="V723" s="1098"/>
      <c r="W723" s="1098"/>
      <c r="X723" s="1098"/>
      <c r="Y723" s="1098"/>
      <c r="Z723" s="1098"/>
      <c r="AA723" s="1098"/>
      <c r="AB723" s="1098"/>
      <c r="AC723" s="1098"/>
      <c r="AD723" s="1098"/>
      <c r="AE723" s="1098"/>
      <c r="AF723" s="1098"/>
      <c r="AG723" s="1098"/>
      <c r="AH723" s="1098"/>
      <c r="AI723" s="1098"/>
      <c r="AJ723" s="1098"/>
      <c r="AK723" s="1098"/>
      <c r="AL723" s="1098"/>
      <c r="AM723" s="1098"/>
      <c r="AN723" s="1098"/>
      <c r="AO723" s="1098"/>
      <c r="AP723" s="1098"/>
      <c r="AQ723" s="1098"/>
      <c r="AR723" s="1098"/>
      <c r="AS723" s="1098"/>
      <c r="AT723" s="1098"/>
      <c r="AU723" s="1098"/>
      <c r="AV723" s="1098"/>
      <c r="AW723" s="1098"/>
      <c r="AX723" s="1098"/>
      <c r="AY723" s="1098"/>
      <c r="AZ723" s="1098"/>
      <c r="BA723" s="1098"/>
      <c r="BB723" s="1098"/>
      <c r="BC723" s="1098"/>
      <c r="BD723" s="1098"/>
      <c r="BE723" s="1098"/>
      <c r="BF723" s="1098"/>
      <c r="BG723" s="1098"/>
      <c r="BH723" s="1098"/>
      <c r="BI723" s="1098"/>
      <c r="BJ723" s="1098"/>
      <c r="BK723" s="1098"/>
      <c r="BL723" s="1098"/>
      <c r="BM723" s="1098"/>
      <c r="BN723" s="1098"/>
      <c r="BO723" s="1098"/>
      <c r="BP723" s="1098"/>
      <c r="BQ723" s="1098"/>
      <c r="BR723" s="1098"/>
      <c r="BS723" s="1098"/>
      <c r="BT723" s="1098"/>
      <c r="BU723" s="1098"/>
      <c r="BV723" s="1098"/>
      <c r="BW723" s="1098"/>
      <c r="BX723" s="1098"/>
      <c r="BY723" s="1098"/>
      <c r="BZ723" s="1098"/>
      <c r="CA723" s="1098"/>
      <c r="CB723" s="1098"/>
      <c r="CC723" s="1098"/>
      <c r="CD723" s="1098"/>
      <c r="CE723" s="1098"/>
      <c r="CF723" s="1098"/>
      <c r="CG723" s="1098"/>
      <c r="CH723" s="1098"/>
      <c r="CI723" s="1098"/>
      <c r="CJ723" s="1098"/>
      <c r="CK723" s="1098"/>
      <c r="CL723" s="1098"/>
      <c r="CM723" s="1098"/>
      <c r="CN723" s="1098"/>
      <c r="CO723" s="1098"/>
      <c r="CP723" s="1098"/>
      <c r="CQ723" s="1098"/>
      <c r="CR723" s="1098"/>
      <c r="CS723" s="1098"/>
      <c r="CT723" s="1098"/>
      <c r="CU723" s="1098"/>
      <c r="CV723" s="1098"/>
      <c r="CW723" s="1098"/>
      <c r="CX723" s="1098"/>
      <c r="CY723" s="1098"/>
      <c r="CZ723" s="1098"/>
      <c r="DA723" s="1098"/>
      <c r="DB723" s="1098"/>
      <c r="DC723" s="1098"/>
      <c r="DD723" s="1098"/>
      <c r="DE723" s="1098"/>
      <c r="DF723" s="1098"/>
      <c r="DG723" s="1098"/>
      <c r="DH723" s="1098"/>
      <c r="DI723" s="1098"/>
      <c r="DJ723" s="1098"/>
      <c r="DK723" s="1098"/>
      <c r="DL723" s="1098"/>
      <c r="DM723" s="1098"/>
      <c r="DN723" s="1098"/>
      <c r="DO723" s="1098"/>
      <c r="DP723" s="1098"/>
      <c r="DQ723" s="1098"/>
      <c r="DR723" s="1098"/>
      <c r="DS723" s="1098"/>
      <c r="DT723" s="1098"/>
      <c r="DU723" s="1098"/>
      <c r="DV723" s="1098"/>
      <c r="DW723" s="1098"/>
      <c r="DX723" s="1098"/>
      <c r="DY723" s="1098"/>
      <c r="DZ723" s="1098"/>
      <c r="EA723" s="1098"/>
      <c r="EB723" s="1098"/>
      <c r="EC723" s="1098"/>
      <c r="ED723" s="1098"/>
      <c r="EE723" s="1098"/>
      <c r="EF723" s="1098"/>
      <c r="EG723" s="1098"/>
      <c r="EH723" s="1098"/>
      <c r="EI723" s="1098"/>
      <c r="EJ723" s="1098"/>
      <c r="EK723" s="1098"/>
      <c r="EL723" s="1098"/>
      <c r="EM723" s="1098"/>
      <c r="EN723" s="1098"/>
      <c r="EO723" s="1098"/>
      <c r="EP723" s="1098"/>
      <c r="EQ723" s="1098"/>
      <c r="ER723" s="1098"/>
      <c r="ES723" s="1098"/>
      <c r="ET723" s="1098"/>
      <c r="EU723" s="1098"/>
      <c r="EV723" s="1098"/>
      <c r="EW723" s="1098"/>
      <c r="EX723" s="1098"/>
      <c r="EY723" s="1098"/>
      <c r="EZ723" s="1098"/>
      <c r="FA723" s="1098"/>
      <c r="FB723" s="1098"/>
      <c r="FC723" s="1098"/>
      <c r="FD723" s="1098"/>
      <c r="FE723" s="1098"/>
      <c r="FF723" s="1098"/>
      <c r="FG723" s="1098"/>
      <c r="FH723" s="1098"/>
      <c r="FI723" s="1098"/>
      <c r="FJ723" s="1098"/>
      <c r="FK723" s="1098"/>
      <c r="FL723" s="1098"/>
      <c r="FM723" s="1098"/>
      <c r="FN723" s="1098"/>
      <c r="FO723" s="1098"/>
      <c r="FP723" s="1098"/>
      <c r="FQ723" s="1098"/>
      <c r="FR723" s="1098"/>
      <c r="FS723" s="1098"/>
      <c r="FT723" s="1098"/>
      <c r="FU723" s="1098"/>
      <c r="FV723" s="1098"/>
      <c r="FW723" s="1098"/>
      <c r="FX723" s="1098"/>
      <c r="FY723" s="1098"/>
      <c r="FZ723" s="1098"/>
      <c r="GA723" s="1098"/>
      <c r="GB723" s="1098"/>
      <c r="GC723" s="1098"/>
      <c r="GD723" s="1098"/>
      <c r="GE723" s="1098"/>
      <c r="GF723" s="1098"/>
      <c r="GG723" s="1098"/>
      <c r="GH723" s="1098"/>
      <c r="GI723" s="1098"/>
      <c r="GJ723" s="1098"/>
      <c r="GK723" s="1098"/>
      <c r="GL723" s="1098"/>
      <c r="GM723" s="1098"/>
      <c r="GN723" s="1098"/>
      <c r="GO723" s="1098"/>
      <c r="GP723" s="1098"/>
      <c r="GQ723" s="1098"/>
      <c r="GR723" s="1098"/>
      <c r="GS723" s="1098"/>
      <c r="GT723" s="1098"/>
      <c r="GU723" s="1098"/>
      <c r="GV723" s="1098"/>
      <c r="GW723" s="1098"/>
      <c r="GX723" s="1098"/>
      <c r="GY723" s="1098"/>
      <c r="GZ723" s="1098"/>
      <c r="HA723" s="1098"/>
      <c r="HB723" s="1098"/>
      <c r="HC723" s="1098"/>
      <c r="HD723" s="1098"/>
      <c r="HE723" s="1098"/>
      <c r="HF723" s="1098"/>
      <c r="HG723" s="1098"/>
      <c r="HH723" s="1098"/>
      <c r="HI723" s="1098"/>
      <c r="HJ723" s="1098"/>
      <c r="HK723" s="1098"/>
      <c r="HL723" s="1098"/>
      <c r="HM723" s="1098"/>
      <c r="HN723" s="1098"/>
      <c r="HO723" s="1098"/>
      <c r="HP723" s="1098"/>
      <c r="HQ723" s="1098"/>
      <c r="HR723" s="1098"/>
      <c r="HS723" s="1098"/>
      <c r="HT723" s="1098"/>
      <c r="HU723" s="1098"/>
      <c r="HV723" s="1098"/>
      <c r="HW723" s="1098"/>
      <c r="HX723" s="1098"/>
      <c r="HY723" s="1098"/>
      <c r="HZ723" s="1098"/>
      <c r="IA723" s="1098"/>
      <c r="IB723" s="1098"/>
      <c r="IC723" s="1098"/>
      <c r="ID723" s="1098"/>
      <c r="IE723" s="1098"/>
      <c r="IF723" s="1098"/>
      <c r="IG723" s="1098"/>
      <c r="IH723" s="1098"/>
      <c r="II723" s="1098"/>
      <c r="IJ723" s="1098"/>
      <c r="IK723" s="1098"/>
      <c r="IL723" s="1098"/>
      <c r="IM723" s="1098"/>
      <c r="IN723" s="1098"/>
      <c r="IO723" s="1098"/>
      <c r="IP723" s="1098"/>
      <c r="IQ723" s="1098"/>
      <c r="IR723" s="1098"/>
      <c r="IS723" s="1098"/>
      <c r="IT723" s="1098"/>
      <c r="IU723" s="1098"/>
      <c r="IV723" s="1098"/>
      <c r="IW723" s="1098"/>
      <c r="IX723" s="1098"/>
      <c r="IY723" s="1098"/>
      <c r="IZ723" s="1098"/>
      <c r="JA723" s="1098"/>
      <c r="JB723" s="1098"/>
      <c r="JC723" s="1098"/>
      <c r="JD723" s="1098"/>
      <c r="JE723" s="1098"/>
      <c r="JF723" s="1098"/>
      <c r="JG723" s="1098"/>
      <c r="JH723" s="1098"/>
      <c r="JI723" s="1098"/>
      <c r="JJ723" s="1098"/>
      <c r="JK723" s="1098"/>
      <c r="JL723" s="1098"/>
      <c r="JM723" s="1098"/>
      <c r="JN723" s="1098"/>
      <c r="JO723" s="1098"/>
      <c r="JP723" s="1098"/>
      <c r="JQ723" s="1098"/>
      <c r="JR723" s="1098"/>
      <c r="JS723" s="1098"/>
      <c r="JT723" s="1098"/>
      <c r="JU723" s="1098"/>
      <c r="JV723" s="1098"/>
      <c r="JW723" s="1098"/>
      <c r="JX723" s="1098"/>
      <c r="JY723" s="1098"/>
      <c r="JZ723" s="1098"/>
      <c r="KA723" s="1098"/>
      <c r="KB723" s="1099"/>
    </row>
    <row r="724" spans="1:289" ht="15" customHeight="1" x14ac:dyDescent="0.35">
      <c r="B724" s="146" t="str">
        <f t="shared" si="56"/>
        <v>Desk 94</v>
      </c>
      <c r="C724" s="148" t="str">
        <v/>
      </c>
      <c r="D724" s="148" t="str">
        <v/>
      </c>
      <c r="E724" s="148" t="str">
        <v/>
      </c>
      <c r="F724" s="148" t="str">
        <v/>
      </c>
      <c r="G724" s="268" t="str">
        <v/>
      </c>
      <c r="H724" s="1098"/>
      <c r="I724" s="1098"/>
      <c r="J724" s="1098"/>
      <c r="K724" s="1098"/>
      <c r="L724" s="1098"/>
      <c r="M724" s="1098"/>
      <c r="N724" s="1098"/>
      <c r="O724" s="1098"/>
      <c r="P724" s="1098"/>
      <c r="Q724" s="1098"/>
      <c r="R724" s="1098"/>
      <c r="S724" s="1098"/>
      <c r="T724" s="1098"/>
      <c r="U724" s="1098"/>
      <c r="V724" s="1098"/>
      <c r="W724" s="1098"/>
      <c r="X724" s="1098"/>
      <c r="Y724" s="1098"/>
      <c r="Z724" s="1098"/>
      <c r="AA724" s="1098"/>
      <c r="AB724" s="1098"/>
      <c r="AC724" s="1098"/>
      <c r="AD724" s="1098"/>
      <c r="AE724" s="1098"/>
      <c r="AF724" s="1098"/>
      <c r="AG724" s="1098"/>
      <c r="AH724" s="1098"/>
      <c r="AI724" s="1098"/>
      <c r="AJ724" s="1098"/>
      <c r="AK724" s="1098"/>
      <c r="AL724" s="1098"/>
      <c r="AM724" s="1098"/>
      <c r="AN724" s="1098"/>
      <c r="AO724" s="1098"/>
      <c r="AP724" s="1098"/>
      <c r="AQ724" s="1098"/>
      <c r="AR724" s="1098"/>
      <c r="AS724" s="1098"/>
      <c r="AT724" s="1098"/>
      <c r="AU724" s="1098"/>
      <c r="AV724" s="1098"/>
      <c r="AW724" s="1098"/>
      <c r="AX724" s="1098"/>
      <c r="AY724" s="1098"/>
      <c r="AZ724" s="1098"/>
      <c r="BA724" s="1098"/>
      <c r="BB724" s="1098"/>
      <c r="BC724" s="1098"/>
      <c r="BD724" s="1098"/>
      <c r="BE724" s="1098"/>
      <c r="BF724" s="1098"/>
      <c r="BG724" s="1098"/>
      <c r="BH724" s="1098"/>
      <c r="BI724" s="1098"/>
      <c r="BJ724" s="1098"/>
      <c r="BK724" s="1098"/>
      <c r="BL724" s="1098"/>
      <c r="BM724" s="1098"/>
      <c r="BN724" s="1098"/>
      <c r="BO724" s="1098"/>
      <c r="BP724" s="1098"/>
      <c r="BQ724" s="1098"/>
      <c r="BR724" s="1098"/>
      <c r="BS724" s="1098"/>
      <c r="BT724" s="1098"/>
      <c r="BU724" s="1098"/>
      <c r="BV724" s="1098"/>
      <c r="BW724" s="1098"/>
      <c r="BX724" s="1098"/>
      <c r="BY724" s="1098"/>
      <c r="BZ724" s="1098"/>
      <c r="CA724" s="1098"/>
      <c r="CB724" s="1098"/>
      <c r="CC724" s="1098"/>
      <c r="CD724" s="1098"/>
      <c r="CE724" s="1098"/>
      <c r="CF724" s="1098"/>
      <c r="CG724" s="1098"/>
      <c r="CH724" s="1098"/>
      <c r="CI724" s="1098"/>
      <c r="CJ724" s="1098"/>
      <c r="CK724" s="1098"/>
      <c r="CL724" s="1098"/>
      <c r="CM724" s="1098"/>
      <c r="CN724" s="1098"/>
      <c r="CO724" s="1098"/>
      <c r="CP724" s="1098"/>
      <c r="CQ724" s="1098"/>
      <c r="CR724" s="1098"/>
      <c r="CS724" s="1098"/>
      <c r="CT724" s="1098"/>
      <c r="CU724" s="1098"/>
      <c r="CV724" s="1098"/>
      <c r="CW724" s="1098"/>
      <c r="CX724" s="1098"/>
      <c r="CY724" s="1098"/>
      <c r="CZ724" s="1098"/>
      <c r="DA724" s="1098"/>
      <c r="DB724" s="1098"/>
      <c r="DC724" s="1098"/>
      <c r="DD724" s="1098"/>
      <c r="DE724" s="1098"/>
      <c r="DF724" s="1098"/>
      <c r="DG724" s="1098"/>
      <c r="DH724" s="1098"/>
      <c r="DI724" s="1098"/>
      <c r="DJ724" s="1098"/>
      <c r="DK724" s="1098"/>
      <c r="DL724" s="1098"/>
      <c r="DM724" s="1098"/>
      <c r="DN724" s="1098"/>
      <c r="DO724" s="1098"/>
      <c r="DP724" s="1098"/>
      <c r="DQ724" s="1098"/>
      <c r="DR724" s="1098"/>
      <c r="DS724" s="1098"/>
      <c r="DT724" s="1098"/>
      <c r="DU724" s="1098"/>
      <c r="DV724" s="1098"/>
      <c r="DW724" s="1098"/>
      <c r="DX724" s="1098"/>
      <c r="DY724" s="1098"/>
      <c r="DZ724" s="1098"/>
      <c r="EA724" s="1098"/>
      <c r="EB724" s="1098"/>
      <c r="EC724" s="1098"/>
      <c r="ED724" s="1098"/>
      <c r="EE724" s="1098"/>
      <c r="EF724" s="1098"/>
      <c r="EG724" s="1098"/>
      <c r="EH724" s="1098"/>
      <c r="EI724" s="1098"/>
      <c r="EJ724" s="1098"/>
      <c r="EK724" s="1098"/>
      <c r="EL724" s="1098"/>
      <c r="EM724" s="1098"/>
      <c r="EN724" s="1098"/>
      <c r="EO724" s="1098"/>
      <c r="EP724" s="1098"/>
      <c r="EQ724" s="1098"/>
      <c r="ER724" s="1098"/>
      <c r="ES724" s="1098"/>
      <c r="ET724" s="1098"/>
      <c r="EU724" s="1098"/>
      <c r="EV724" s="1098"/>
      <c r="EW724" s="1098"/>
      <c r="EX724" s="1098"/>
      <c r="EY724" s="1098"/>
      <c r="EZ724" s="1098"/>
      <c r="FA724" s="1098"/>
      <c r="FB724" s="1098"/>
      <c r="FC724" s="1098"/>
      <c r="FD724" s="1098"/>
      <c r="FE724" s="1098"/>
      <c r="FF724" s="1098"/>
      <c r="FG724" s="1098"/>
      <c r="FH724" s="1098"/>
      <c r="FI724" s="1098"/>
      <c r="FJ724" s="1098"/>
      <c r="FK724" s="1098"/>
      <c r="FL724" s="1098"/>
      <c r="FM724" s="1098"/>
      <c r="FN724" s="1098"/>
      <c r="FO724" s="1098"/>
      <c r="FP724" s="1098"/>
      <c r="FQ724" s="1098"/>
      <c r="FR724" s="1098"/>
      <c r="FS724" s="1098"/>
      <c r="FT724" s="1098"/>
      <c r="FU724" s="1098"/>
      <c r="FV724" s="1098"/>
      <c r="FW724" s="1098"/>
      <c r="FX724" s="1098"/>
      <c r="FY724" s="1098"/>
      <c r="FZ724" s="1098"/>
      <c r="GA724" s="1098"/>
      <c r="GB724" s="1098"/>
      <c r="GC724" s="1098"/>
      <c r="GD724" s="1098"/>
      <c r="GE724" s="1098"/>
      <c r="GF724" s="1098"/>
      <c r="GG724" s="1098"/>
      <c r="GH724" s="1098"/>
      <c r="GI724" s="1098"/>
      <c r="GJ724" s="1098"/>
      <c r="GK724" s="1098"/>
      <c r="GL724" s="1098"/>
      <c r="GM724" s="1098"/>
      <c r="GN724" s="1098"/>
      <c r="GO724" s="1098"/>
      <c r="GP724" s="1098"/>
      <c r="GQ724" s="1098"/>
      <c r="GR724" s="1098"/>
      <c r="GS724" s="1098"/>
      <c r="GT724" s="1098"/>
      <c r="GU724" s="1098"/>
      <c r="GV724" s="1098"/>
      <c r="GW724" s="1098"/>
      <c r="GX724" s="1098"/>
      <c r="GY724" s="1098"/>
      <c r="GZ724" s="1098"/>
      <c r="HA724" s="1098"/>
      <c r="HB724" s="1098"/>
      <c r="HC724" s="1098"/>
      <c r="HD724" s="1098"/>
      <c r="HE724" s="1098"/>
      <c r="HF724" s="1098"/>
      <c r="HG724" s="1098"/>
      <c r="HH724" s="1098"/>
      <c r="HI724" s="1098"/>
      <c r="HJ724" s="1098"/>
      <c r="HK724" s="1098"/>
      <c r="HL724" s="1098"/>
      <c r="HM724" s="1098"/>
      <c r="HN724" s="1098"/>
      <c r="HO724" s="1098"/>
      <c r="HP724" s="1098"/>
      <c r="HQ724" s="1098"/>
      <c r="HR724" s="1098"/>
      <c r="HS724" s="1098"/>
      <c r="HT724" s="1098"/>
      <c r="HU724" s="1098"/>
      <c r="HV724" s="1098"/>
      <c r="HW724" s="1098"/>
      <c r="HX724" s="1098"/>
      <c r="HY724" s="1098"/>
      <c r="HZ724" s="1098"/>
      <c r="IA724" s="1098"/>
      <c r="IB724" s="1098"/>
      <c r="IC724" s="1098"/>
      <c r="ID724" s="1098"/>
      <c r="IE724" s="1098"/>
      <c r="IF724" s="1098"/>
      <c r="IG724" s="1098"/>
      <c r="IH724" s="1098"/>
      <c r="II724" s="1098"/>
      <c r="IJ724" s="1098"/>
      <c r="IK724" s="1098"/>
      <c r="IL724" s="1098"/>
      <c r="IM724" s="1098"/>
      <c r="IN724" s="1098"/>
      <c r="IO724" s="1098"/>
      <c r="IP724" s="1098"/>
      <c r="IQ724" s="1098"/>
      <c r="IR724" s="1098"/>
      <c r="IS724" s="1098"/>
      <c r="IT724" s="1098"/>
      <c r="IU724" s="1098"/>
      <c r="IV724" s="1098"/>
      <c r="IW724" s="1098"/>
      <c r="IX724" s="1098"/>
      <c r="IY724" s="1098"/>
      <c r="IZ724" s="1098"/>
      <c r="JA724" s="1098"/>
      <c r="JB724" s="1098"/>
      <c r="JC724" s="1098"/>
      <c r="JD724" s="1098"/>
      <c r="JE724" s="1098"/>
      <c r="JF724" s="1098"/>
      <c r="JG724" s="1098"/>
      <c r="JH724" s="1098"/>
      <c r="JI724" s="1098"/>
      <c r="JJ724" s="1098"/>
      <c r="JK724" s="1098"/>
      <c r="JL724" s="1098"/>
      <c r="JM724" s="1098"/>
      <c r="JN724" s="1098"/>
      <c r="JO724" s="1098"/>
      <c r="JP724" s="1098"/>
      <c r="JQ724" s="1098"/>
      <c r="JR724" s="1098"/>
      <c r="JS724" s="1098"/>
      <c r="JT724" s="1098"/>
      <c r="JU724" s="1098"/>
      <c r="JV724" s="1098"/>
      <c r="JW724" s="1098"/>
      <c r="JX724" s="1098"/>
      <c r="JY724" s="1098"/>
      <c r="JZ724" s="1098"/>
      <c r="KA724" s="1098"/>
      <c r="KB724" s="1099"/>
    </row>
    <row r="725" spans="1:289" ht="15" customHeight="1" x14ac:dyDescent="0.35">
      <c r="B725" s="146" t="str">
        <f t="shared" si="56"/>
        <v>Desk 95</v>
      </c>
      <c r="C725" s="148" t="str">
        <v/>
      </c>
      <c r="D725" s="148" t="str">
        <v/>
      </c>
      <c r="E725" s="148" t="str">
        <v/>
      </c>
      <c r="F725" s="148" t="str">
        <v/>
      </c>
      <c r="G725" s="268" t="str">
        <v/>
      </c>
      <c r="H725" s="1098"/>
      <c r="I725" s="1098"/>
      <c r="J725" s="1098"/>
      <c r="K725" s="1098"/>
      <c r="L725" s="1098"/>
      <c r="M725" s="1098"/>
      <c r="N725" s="1098"/>
      <c r="O725" s="1098"/>
      <c r="P725" s="1098"/>
      <c r="Q725" s="1098"/>
      <c r="R725" s="1098"/>
      <c r="S725" s="1098"/>
      <c r="T725" s="1098"/>
      <c r="U725" s="1098"/>
      <c r="V725" s="1098"/>
      <c r="W725" s="1098"/>
      <c r="X725" s="1098"/>
      <c r="Y725" s="1098"/>
      <c r="Z725" s="1098"/>
      <c r="AA725" s="1098"/>
      <c r="AB725" s="1098"/>
      <c r="AC725" s="1098"/>
      <c r="AD725" s="1098"/>
      <c r="AE725" s="1098"/>
      <c r="AF725" s="1098"/>
      <c r="AG725" s="1098"/>
      <c r="AH725" s="1098"/>
      <c r="AI725" s="1098"/>
      <c r="AJ725" s="1098"/>
      <c r="AK725" s="1098"/>
      <c r="AL725" s="1098"/>
      <c r="AM725" s="1098"/>
      <c r="AN725" s="1098"/>
      <c r="AO725" s="1098"/>
      <c r="AP725" s="1098"/>
      <c r="AQ725" s="1098"/>
      <c r="AR725" s="1098"/>
      <c r="AS725" s="1098"/>
      <c r="AT725" s="1098"/>
      <c r="AU725" s="1098"/>
      <c r="AV725" s="1098"/>
      <c r="AW725" s="1098"/>
      <c r="AX725" s="1098"/>
      <c r="AY725" s="1098"/>
      <c r="AZ725" s="1098"/>
      <c r="BA725" s="1098"/>
      <c r="BB725" s="1098"/>
      <c r="BC725" s="1098"/>
      <c r="BD725" s="1098"/>
      <c r="BE725" s="1098"/>
      <c r="BF725" s="1098"/>
      <c r="BG725" s="1098"/>
      <c r="BH725" s="1098"/>
      <c r="BI725" s="1098"/>
      <c r="BJ725" s="1098"/>
      <c r="BK725" s="1098"/>
      <c r="BL725" s="1098"/>
      <c r="BM725" s="1098"/>
      <c r="BN725" s="1098"/>
      <c r="BO725" s="1098"/>
      <c r="BP725" s="1098"/>
      <c r="BQ725" s="1098"/>
      <c r="BR725" s="1098"/>
      <c r="BS725" s="1098"/>
      <c r="BT725" s="1098"/>
      <c r="BU725" s="1098"/>
      <c r="BV725" s="1098"/>
      <c r="BW725" s="1098"/>
      <c r="BX725" s="1098"/>
      <c r="BY725" s="1098"/>
      <c r="BZ725" s="1098"/>
      <c r="CA725" s="1098"/>
      <c r="CB725" s="1098"/>
      <c r="CC725" s="1098"/>
      <c r="CD725" s="1098"/>
      <c r="CE725" s="1098"/>
      <c r="CF725" s="1098"/>
      <c r="CG725" s="1098"/>
      <c r="CH725" s="1098"/>
      <c r="CI725" s="1098"/>
      <c r="CJ725" s="1098"/>
      <c r="CK725" s="1098"/>
      <c r="CL725" s="1098"/>
      <c r="CM725" s="1098"/>
      <c r="CN725" s="1098"/>
      <c r="CO725" s="1098"/>
      <c r="CP725" s="1098"/>
      <c r="CQ725" s="1098"/>
      <c r="CR725" s="1098"/>
      <c r="CS725" s="1098"/>
      <c r="CT725" s="1098"/>
      <c r="CU725" s="1098"/>
      <c r="CV725" s="1098"/>
      <c r="CW725" s="1098"/>
      <c r="CX725" s="1098"/>
      <c r="CY725" s="1098"/>
      <c r="CZ725" s="1098"/>
      <c r="DA725" s="1098"/>
      <c r="DB725" s="1098"/>
      <c r="DC725" s="1098"/>
      <c r="DD725" s="1098"/>
      <c r="DE725" s="1098"/>
      <c r="DF725" s="1098"/>
      <c r="DG725" s="1098"/>
      <c r="DH725" s="1098"/>
      <c r="DI725" s="1098"/>
      <c r="DJ725" s="1098"/>
      <c r="DK725" s="1098"/>
      <c r="DL725" s="1098"/>
      <c r="DM725" s="1098"/>
      <c r="DN725" s="1098"/>
      <c r="DO725" s="1098"/>
      <c r="DP725" s="1098"/>
      <c r="DQ725" s="1098"/>
      <c r="DR725" s="1098"/>
      <c r="DS725" s="1098"/>
      <c r="DT725" s="1098"/>
      <c r="DU725" s="1098"/>
      <c r="DV725" s="1098"/>
      <c r="DW725" s="1098"/>
      <c r="DX725" s="1098"/>
      <c r="DY725" s="1098"/>
      <c r="DZ725" s="1098"/>
      <c r="EA725" s="1098"/>
      <c r="EB725" s="1098"/>
      <c r="EC725" s="1098"/>
      <c r="ED725" s="1098"/>
      <c r="EE725" s="1098"/>
      <c r="EF725" s="1098"/>
      <c r="EG725" s="1098"/>
      <c r="EH725" s="1098"/>
      <c r="EI725" s="1098"/>
      <c r="EJ725" s="1098"/>
      <c r="EK725" s="1098"/>
      <c r="EL725" s="1098"/>
      <c r="EM725" s="1098"/>
      <c r="EN725" s="1098"/>
      <c r="EO725" s="1098"/>
      <c r="EP725" s="1098"/>
      <c r="EQ725" s="1098"/>
      <c r="ER725" s="1098"/>
      <c r="ES725" s="1098"/>
      <c r="ET725" s="1098"/>
      <c r="EU725" s="1098"/>
      <c r="EV725" s="1098"/>
      <c r="EW725" s="1098"/>
      <c r="EX725" s="1098"/>
      <c r="EY725" s="1098"/>
      <c r="EZ725" s="1098"/>
      <c r="FA725" s="1098"/>
      <c r="FB725" s="1098"/>
      <c r="FC725" s="1098"/>
      <c r="FD725" s="1098"/>
      <c r="FE725" s="1098"/>
      <c r="FF725" s="1098"/>
      <c r="FG725" s="1098"/>
      <c r="FH725" s="1098"/>
      <c r="FI725" s="1098"/>
      <c r="FJ725" s="1098"/>
      <c r="FK725" s="1098"/>
      <c r="FL725" s="1098"/>
      <c r="FM725" s="1098"/>
      <c r="FN725" s="1098"/>
      <c r="FO725" s="1098"/>
      <c r="FP725" s="1098"/>
      <c r="FQ725" s="1098"/>
      <c r="FR725" s="1098"/>
      <c r="FS725" s="1098"/>
      <c r="FT725" s="1098"/>
      <c r="FU725" s="1098"/>
      <c r="FV725" s="1098"/>
      <c r="FW725" s="1098"/>
      <c r="FX725" s="1098"/>
      <c r="FY725" s="1098"/>
      <c r="FZ725" s="1098"/>
      <c r="GA725" s="1098"/>
      <c r="GB725" s="1098"/>
      <c r="GC725" s="1098"/>
      <c r="GD725" s="1098"/>
      <c r="GE725" s="1098"/>
      <c r="GF725" s="1098"/>
      <c r="GG725" s="1098"/>
      <c r="GH725" s="1098"/>
      <c r="GI725" s="1098"/>
      <c r="GJ725" s="1098"/>
      <c r="GK725" s="1098"/>
      <c r="GL725" s="1098"/>
      <c r="GM725" s="1098"/>
      <c r="GN725" s="1098"/>
      <c r="GO725" s="1098"/>
      <c r="GP725" s="1098"/>
      <c r="GQ725" s="1098"/>
      <c r="GR725" s="1098"/>
      <c r="GS725" s="1098"/>
      <c r="GT725" s="1098"/>
      <c r="GU725" s="1098"/>
      <c r="GV725" s="1098"/>
      <c r="GW725" s="1098"/>
      <c r="GX725" s="1098"/>
      <c r="GY725" s="1098"/>
      <c r="GZ725" s="1098"/>
      <c r="HA725" s="1098"/>
      <c r="HB725" s="1098"/>
      <c r="HC725" s="1098"/>
      <c r="HD725" s="1098"/>
      <c r="HE725" s="1098"/>
      <c r="HF725" s="1098"/>
      <c r="HG725" s="1098"/>
      <c r="HH725" s="1098"/>
      <c r="HI725" s="1098"/>
      <c r="HJ725" s="1098"/>
      <c r="HK725" s="1098"/>
      <c r="HL725" s="1098"/>
      <c r="HM725" s="1098"/>
      <c r="HN725" s="1098"/>
      <c r="HO725" s="1098"/>
      <c r="HP725" s="1098"/>
      <c r="HQ725" s="1098"/>
      <c r="HR725" s="1098"/>
      <c r="HS725" s="1098"/>
      <c r="HT725" s="1098"/>
      <c r="HU725" s="1098"/>
      <c r="HV725" s="1098"/>
      <c r="HW725" s="1098"/>
      <c r="HX725" s="1098"/>
      <c r="HY725" s="1098"/>
      <c r="HZ725" s="1098"/>
      <c r="IA725" s="1098"/>
      <c r="IB725" s="1098"/>
      <c r="IC725" s="1098"/>
      <c r="ID725" s="1098"/>
      <c r="IE725" s="1098"/>
      <c r="IF725" s="1098"/>
      <c r="IG725" s="1098"/>
      <c r="IH725" s="1098"/>
      <c r="II725" s="1098"/>
      <c r="IJ725" s="1098"/>
      <c r="IK725" s="1098"/>
      <c r="IL725" s="1098"/>
      <c r="IM725" s="1098"/>
      <c r="IN725" s="1098"/>
      <c r="IO725" s="1098"/>
      <c r="IP725" s="1098"/>
      <c r="IQ725" s="1098"/>
      <c r="IR725" s="1098"/>
      <c r="IS725" s="1098"/>
      <c r="IT725" s="1098"/>
      <c r="IU725" s="1098"/>
      <c r="IV725" s="1098"/>
      <c r="IW725" s="1098"/>
      <c r="IX725" s="1098"/>
      <c r="IY725" s="1098"/>
      <c r="IZ725" s="1098"/>
      <c r="JA725" s="1098"/>
      <c r="JB725" s="1098"/>
      <c r="JC725" s="1098"/>
      <c r="JD725" s="1098"/>
      <c r="JE725" s="1098"/>
      <c r="JF725" s="1098"/>
      <c r="JG725" s="1098"/>
      <c r="JH725" s="1098"/>
      <c r="JI725" s="1098"/>
      <c r="JJ725" s="1098"/>
      <c r="JK725" s="1098"/>
      <c r="JL725" s="1098"/>
      <c r="JM725" s="1098"/>
      <c r="JN725" s="1098"/>
      <c r="JO725" s="1098"/>
      <c r="JP725" s="1098"/>
      <c r="JQ725" s="1098"/>
      <c r="JR725" s="1098"/>
      <c r="JS725" s="1098"/>
      <c r="JT725" s="1098"/>
      <c r="JU725" s="1098"/>
      <c r="JV725" s="1098"/>
      <c r="JW725" s="1098"/>
      <c r="JX725" s="1098"/>
      <c r="JY725" s="1098"/>
      <c r="JZ725" s="1098"/>
      <c r="KA725" s="1098"/>
      <c r="KB725" s="1099"/>
    </row>
    <row r="726" spans="1:289" ht="15" customHeight="1" x14ac:dyDescent="0.35">
      <c r="B726" s="146" t="str">
        <f t="shared" si="56"/>
        <v>Desk 96</v>
      </c>
      <c r="C726" s="148" t="str">
        <v/>
      </c>
      <c r="D726" s="148" t="str">
        <v/>
      </c>
      <c r="E726" s="148" t="str">
        <v/>
      </c>
      <c r="F726" s="148" t="str">
        <v/>
      </c>
      <c r="G726" s="268" t="str">
        <v/>
      </c>
      <c r="H726" s="1098"/>
      <c r="I726" s="1098"/>
      <c r="J726" s="1098"/>
      <c r="K726" s="1098"/>
      <c r="L726" s="1098"/>
      <c r="M726" s="1098"/>
      <c r="N726" s="1098"/>
      <c r="O726" s="1098"/>
      <c r="P726" s="1098"/>
      <c r="Q726" s="1098"/>
      <c r="R726" s="1098"/>
      <c r="S726" s="1098"/>
      <c r="T726" s="1098"/>
      <c r="U726" s="1098"/>
      <c r="V726" s="1098"/>
      <c r="W726" s="1098"/>
      <c r="X726" s="1098"/>
      <c r="Y726" s="1098"/>
      <c r="Z726" s="1098"/>
      <c r="AA726" s="1098"/>
      <c r="AB726" s="1098"/>
      <c r="AC726" s="1098"/>
      <c r="AD726" s="1098"/>
      <c r="AE726" s="1098"/>
      <c r="AF726" s="1098"/>
      <c r="AG726" s="1098"/>
      <c r="AH726" s="1098"/>
      <c r="AI726" s="1098"/>
      <c r="AJ726" s="1098"/>
      <c r="AK726" s="1098"/>
      <c r="AL726" s="1098"/>
      <c r="AM726" s="1098"/>
      <c r="AN726" s="1098"/>
      <c r="AO726" s="1098"/>
      <c r="AP726" s="1098"/>
      <c r="AQ726" s="1098"/>
      <c r="AR726" s="1098"/>
      <c r="AS726" s="1098"/>
      <c r="AT726" s="1098"/>
      <c r="AU726" s="1098"/>
      <c r="AV726" s="1098"/>
      <c r="AW726" s="1098"/>
      <c r="AX726" s="1098"/>
      <c r="AY726" s="1098"/>
      <c r="AZ726" s="1098"/>
      <c r="BA726" s="1098"/>
      <c r="BB726" s="1098"/>
      <c r="BC726" s="1098"/>
      <c r="BD726" s="1098"/>
      <c r="BE726" s="1098"/>
      <c r="BF726" s="1098"/>
      <c r="BG726" s="1098"/>
      <c r="BH726" s="1098"/>
      <c r="BI726" s="1098"/>
      <c r="BJ726" s="1098"/>
      <c r="BK726" s="1098"/>
      <c r="BL726" s="1098"/>
      <c r="BM726" s="1098"/>
      <c r="BN726" s="1098"/>
      <c r="BO726" s="1098"/>
      <c r="BP726" s="1098"/>
      <c r="BQ726" s="1098"/>
      <c r="BR726" s="1098"/>
      <c r="BS726" s="1098"/>
      <c r="BT726" s="1098"/>
      <c r="BU726" s="1098"/>
      <c r="BV726" s="1098"/>
      <c r="BW726" s="1098"/>
      <c r="BX726" s="1098"/>
      <c r="BY726" s="1098"/>
      <c r="BZ726" s="1098"/>
      <c r="CA726" s="1098"/>
      <c r="CB726" s="1098"/>
      <c r="CC726" s="1098"/>
      <c r="CD726" s="1098"/>
      <c r="CE726" s="1098"/>
      <c r="CF726" s="1098"/>
      <c r="CG726" s="1098"/>
      <c r="CH726" s="1098"/>
      <c r="CI726" s="1098"/>
      <c r="CJ726" s="1098"/>
      <c r="CK726" s="1098"/>
      <c r="CL726" s="1098"/>
      <c r="CM726" s="1098"/>
      <c r="CN726" s="1098"/>
      <c r="CO726" s="1098"/>
      <c r="CP726" s="1098"/>
      <c r="CQ726" s="1098"/>
      <c r="CR726" s="1098"/>
      <c r="CS726" s="1098"/>
      <c r="CT726" s="1098"/>
      <c r="CU726" s="1098"/>
      <c r="CV726" s="1098"/>
      <c r="CW726" s="1098"/>
      <c r="CX726" s="1098"/>
      <c r="CY726" s="1098"/>
      <c r="CZ726" s="1098"/>
      <c r="DA726" s="1098"/>
      <c r="DB726" s="1098"/>
      <c r="DC726" s="1098"/>
      <c r="DD726" s="1098"/>
      <c r="DE726" s="1098"/>
      <c r="DF726" s="1098"/>
      <c r="DG726" s="1098"/>
      <c r="DH726" s="1098"/>
      <c r="DI726" s="1098"/>
      <c r="DJ726" s="1098"/>
      <c r="DK726" s="1098"/>
      <c r="DL726" s="1098"/>
      <c r="DM726" s="1098"/>
      <c r="DN726" s="1098"/>
      <c r="DO726" s="1098"/>
      <c r="DP726" s="1098"/>
      <c r="DQ726" s="1098"/>
      <c r="DR726" s="1098"/>
      <c r="DS726" s="1098"/>
      <c r="DT726" s="1098"/>
      <c r="DU726" s="1098"/>
      <c r="DV726" s="1098"/>
      <c r="DW726" s="1098"/>
      <c r="DX726" s="1098"/>
      <c r="DY726" s="1098"/>
      <c r="DZ726" s="1098"/>
      <c r="EA726" s="1098"/>
      <c r="EB726" s="1098"/>
      <c r="EC726" s="1098"/>
      <c r="ED726" s="1098"/>
      <c r="EE726" s="1098"/>
      <c r="EF726" s="1098"/>
      <c r="EG726" s="1098"/>
      <c r="EH726" s="1098"/>
      <c r="EI726" s="1098"/>
      <c r="EJ726" s="1098"/>
      <c r="EK726" s="1098"/>
      <c r="EL726" s="1098"/>
      <c r="EM726" s="1098"/>
      <c r="EN726" s="1098"/>
      <c r="EO726" s="1098"/>
      <c r="EP726" s="1098"/>
      <c r="EQ726" s="1098"/>
      <c r="ER726" s="1098"/>
      <c r="ES726" s="1098"/>
      <c r="ET726" s="1098"/>
      <c r="EU726" s="1098"/>
      <c r="EV726" s="1098"/>
      <c r="EW726" s="1098"/>
      <c r="EX726" s="1098"/>
      <c r="EY726" s="1098"/>
      <c r="EZ726" s="1098"/>
      <c r="FA726" s="1098"/>
      <c r="FB726" s="1098"/>
      <c r="FC726" s="1098"/>
      <c r="FD726" s="1098"/>
      <c r="FE726" s="1098"/>
      <c r="FF726" s="1098"/>
      <c r="FG726" s="1098"/>
      <c r="FH726" s="1098"/>
      <c r="FI726" s="1098"/>
      <c r="FJ726" s="1098"/>
      <c r="FK726" s="1098"/>
      <c r="FL726" s="1098"/>
      <c r="FM726" s="1098"/>
      <c r="FN726" s="1098"/>
      <c r="FO726" s="1098"/>
      <c r="FP726" s="1098"/>
      <c r="FQ726" s="1098"/>
      <c r="FR726" s="1098"/>
      <c r="FS726" s="1098"/>
      <c r="FT726" s="1098"/>
      <c r="FU726" s="1098"/>
      <c r="FV726" s="1098"/>
      <c r="FW726" s="1098"/>
      <c r="FX726" s="1098"/>
      <c r="FY726" s="1098"/>
      <c r="FZ726" s="1098"/>
      <c r="GA726" s="1098"/>
      <c r="GB726" s="1098"/>
      <c r="GC726" s="1098"/>
      <c r="GD726" s="1098"/>
      <c r="GE726" s="1098"/>
      <c r="GF726" s="1098"/>
      <c r="GG726" s="1098"/>
      <c r="GH726" s="1098"/>
      <c r="GI726" s="1098"/>
      <c r="GJ726" s="1098"/>
      <c r="GK726" s="1098"/>
      <c r="GL726" s="1098"/>
      <c r="GM726" s="1098"/>
      <c r="GN726" s="1098"/>
      <c r="GO726" s="1098"/>
      <c r="GP726" s="1098"/>
      <c r="GQ726" s="1098"/>
      <c r="GR726" s="1098"/>
      <c r="GS726" s="1098"/>
      <c r="GT726" s="1098"/>
      <c r="GU726" s="1098"/>
      <c r="GV726" s="1098"/>
      <c r="GW726" s="1098"/>
      <c r="GX726" s="1098"/>
      <c r="GY726" s="1098"/>
      <c r="GZ726" s="1098"/>
      <c r="HA726" s="1098"/>
      <c r="HB726" s="1098"/>
      <c r="HC726" s="1098"/>
      <c r="HD726" s="1098"/>
      <c r="HE726" s="1098"/>
      <c r="HF726" s="1098"/>
      <c r="HG726" s="1098"/>
      <c r="HH726" s="1098"/>
      <c r="HI726" s="1098"/>
      <c r="HJ726" s="1098"/>
      <c r="HK726" s="1098"/>
      <c r="HL726" s="1098"/>
      <c r="HM726" s="1098"/>
      <c r="HN726" s="1098"/>
      <c r="HO726" s="1098"/>
      <c r="HP726" s="1098"/>
      <c r="HQ726" s="1098"/>
      <c r="HR726" s="1098"/>
      <c r="HS726" s="1098"/>
      <c r="HT726" s="1098"/>
      <c r="HU726" s="1098"/>
      <c r="HV726" s="1098"/>
      <c r="HW726" s="1098"/>
      <c r="HX726" s="1098"/>
      <c r="HY726" s="1098"/>
      <c r="HZ726" s="1098"/>
      <c r="IA726" s="1098"/>
      <c r="IB726" s="1098"/>
      <c r="IC726" s="1098"/>
      <c r="ID726" s="1098"/>
      <c r="IE726" s="1098"/>
      <c r="IF726" s="1098"/>
      <c r="IG726" s="1098"/>
      <c r="IH726" s="1098"/>
      <c r="II726" s="1098"/>
      <c r="IJ726" s="1098"/>
      <c r="IK726" s="1098"/>
      <c r="IL726" s="1098"/>
      <c r="IM726" s="1098"/>
      <c r="IN726" s="1098"/>
      <c r="IO726" s="1098"/>
      <c r="IP726" s="1098"/>
      <c r="IQ726" s="1098"/>
      <c r="IR726" s="1098"/>
      <c r="IS726" s="1098"/>
      <c r="IT726" s="1098"/>
      <c r="IU726" s="1098"/>
      <c r="IV726" s="1098"/>
      <c r="IW726" s="1098"/>
      <c r="IX726" s="1098"/>
      <c r="IY726" s="1098"/>
      <c r="IZ726" s="1098"/>
      <c r="JA726" s="1098"/>
      <c r="JB726" s="1098"/>
      <c r="JC726" s="1098"/>
      <c r="JD726" s="1098"/>
      <c r="JE726" s="1098"/>
      <c r="JF726" s="1098"/>
      <c r="JG726" s="1098"/>
      <c r="JH726" s="1098"/>
      <c r="JI726" s="1098"/>
      <c r="JJ726" s="1098"/>
      <c r="JK726" s="1098"/>
      <c r="JL726" s="1098"/>
      <c r="JM726" s="1098"/>
      <c r="JN726" s="1098"/>
      <c r="JO726" s="1098"/>
      <c r="JP726" s="1098"/>
      <c r="JQ726" s="1098"/>
      <c r="JR726" s="1098"/>
      <c r="JS726" s="1098"/>
      <c r="JT726" s="1098"/>
      <c r="JU726" s="1098"/>
      <c r="JV726" s="1098"/>
      <c r="JW726" s="1098"/>
      <c r="JX726" s="1098"/>
      <c r="JY726" s="1098"/>
      <c r="JZ726" s="1098"/>
      <c r="KA726" s="1098"/>
      <c r="KB726" s="1099"/>
    </row>
    <row r="727" spans="1:289" ht="15" customHeight="1" x14ac:dyDescent="0.35">
      <c r="B727" s="146" t="str">
        <f t="shared" ref="B727:B730" si="57">B107</f>
        <v>Desk 97</v>
      </c>
      <c r="C727" s="148" t="str">
        <v/>
      </c>
      <c r="D727" s="148" t="str">
        <v/>
      </c>
      <c r="E727" s="148" t="str">
        <v/>
      </c>
      <c r="F727" s="148" t="str">
        <v/>
      </c>
      <c r="G727" s="268" t="str">
        <v/>
      </c>
      <c r="H727" s="1098"/>
      <c r="I727" s="1098"/>
      <c r="J727" s="1098"/>
      <c r="K727" s="1098"/>
      <c r="L727" s="1098"/>
      <c r="M727" s="1098"/>
      <c r="N727" s="1098"/>
      <c r="O727" s="1098"/>
      <c r="P727" s="1098"/>
      <c r="Q727" s="1098"/>
      <c r="R727" s="1098"/>
      <c r="S727" s="1098"/>
      <c r="T727" s="1098"/>
      <c r="U727" s="1098"/>
      <c r="V727" s="1098"/>
      <c r="W727" s="1098"/>
      <c r="X727" s="1098"/>
      <c r="Y727" s="1098"/>
      <c r="Z727" s="1098"/>
      <c r="AA727" s="1098"/>
      <c r="AB727" s="1098"/>
      <c r="AC727" s="1098"/>
      <c r="AD727" s="1098"/>
      <c r="AE727" s="1098"/>
      <c r="AF727" s="1098"/>
      <c r="AG727" s="1098"/>
      <c r="AH727" s="1098"/>
      <c r="AI727" s="1098"/>
      <c r="AJ727" s="1098"/>
      <c r="AK727" s="1098"/>
      <c r="AL727" s="1098"/>
      <c r="AM727" s="1098"/>
      <c r="AN727" s="1098"/>
      <c r="AO727" s="1098"/>
      <c r="AP727" s="1098"/>
      <c r="AQ727" s="1098"/>
      <c r="AR727" s="1098"/>
      <c r="AS727" s="1098"/>
      <c r="AT727" s="1098"/>
      <c r="AU727" s="1098"/>
      <c r="AV727" s="1098"/>
      <c r="AW727" s="1098"/>
      <c r="AX727" s="1098"/>
      <c r="AY727" s="1098"/>
      <c r="AZ727" s="1098"/>
      <c r="BA727" s="1098"/>
      <c r="BB727" s="1098"/>
      <c r="BC727" s="1098"/>
      <c r="BD727" s="1098"/>
      <c r="BE727" s="1098"/>
      <c r="BF727" s="1098"/>
      <c r="BG727" s="1098"/>
      <c r="BH727" s="1098"/>
      <c r="BI727" s="1098"/>
      <c r="BJ727" s="1098"/>
      <c r="BK727" s="1098"/>
      <c r="BL727" s="1098"/>
      <c r="BM727" s="1098"/>
      <c r="BN727" s="1098"/>
      <c r="BO727" s="1098"/>
      <c r="BP727" s="1098"/>
      <c r="BQ727" s="1098"/>
      <c r="BR727" s="1098"/>
      <c r="BS727" s="1098"/>
      <c r="BT727" s="1098"/>
      <c r="BU727" s="1098"/>
      <c r="BV727" s="1098"/>
      <c r="BW727" s="1098"/>
      <c r="BX727" s="1098"/>
      <c r="BY727" s="1098"/>
      <c r="BZ727" s="1098"/>
      <c r="CA727" s="1098"/>
      <c r="CB727" s="1098"/>
      <c r="CC727" s="1098"/>
      <c r="CD727" s="1098"/>
      <c r="CE727" s="1098"/>
      <c r="CF727" s="1098"/>
      <c r="CG727" s="1098"/>
      <c r="CH727" s="1098"/>
      <c r="CI727" s="1098"/>
      <c r="CJ727" s="1098"/>
      <c r="CK727" s="1098"/>
      <c r="CL727" s="1098"/>
      <c r="CM727" s="1098"/>
      <c r="CN727" s="1098"/>
      <c r="CO727" s="1098"/>
      <c r="CP727" s="1098"/>
      <c r="CQ727" s="1098"/>
      <c r="CR727" s="1098"/>
      <c r="CS727" s="1098"/>
      <c r="CT727" s="1098"/>
      <c r="CU727" s="1098"/>
      <c r="CV727" s="1098"/>
      <c r="CW727" s="1098"/>
      <c r="CX727" s="1098"/>
      <c r="CY727" s="1098"/>
      <c r="CZ727" s="1098"/>
      <c r="DA727" s="1098"/>
      <c r="DB727" s="1098"/>
      <c r="DC727" s="1098"/>
      <c r="DD727" s="1098"/>
      <c r="DE727" s="1098"/>
      <c r="DF727" s="1098"/>
      <c r="DG727" s="1098"/>
      <c r="DH727" s="1098"/>
      <c r="DI727" s="1098"/>
      <c r="DJ727" s="1098"/>
      <c r="DK727" s="1098"/>
      <c r="DL727" s="1098"/>
      <c r="DM727" s="1098"/>
      <c r="DN727" s="1098"/>
      <c r="DO727" s="1098"/>
      <c r="DP727" s="1098"/>
      <c r="DQ727" s="1098"/>
      <c r="DR727" s="1098"/>
      <c r="DS727" s="1098"/>
      <c r="DT727" s="1098"/>
      <c r="DU727" s="1098"/>
      <c r="DV727" s="1098"/>
      <c r="DW727" s="1098"/>
      <c r="DX727" s="1098"/>
      <c r="DY727" s="1098"/>
      <c r="DZ727" s="1098"/>
      <c r="EA727" s="1098"/>
      <c r="EB727" s="1098"/>
      <c r="EC727" s="1098"/>
      <c r="ED727" s="1098"/>
      <c r="EE727" s="1098"/>
      <c r="EF727" s="1098"/>
      <c r="EG727" s="1098"/>
      <c r="EH727" s="1098"/>
      <c r="EI727" s="1098"/>
      <c r="EJ727" s="1098"/>
      <c r="EK727" s="1098"/>
      <c r="EL727" s="1098"/>
      <c r="EM727" s="1098"/>
      <c r="EN727" s="1098"/>
      <c r="EO727" s="1098"/>
      <c r="EP727" s="1098"/>
      <c r="EQ727" s="1098"/>
      <c r="ER727" s="1098"/>
      <c r="ES727" s="1098"/>
      <c r="ET727" s="1098"/>
      <c r="EU727" s="1098"/>
      <c r="EV727" s="1098"/>
      <c r="EW727" s="1098"/>
      <c r="EX727" s="1098"/>
      <c r="EY727" s="1098"/>
      <c r="EZ727" s="1098"/>
      <c r="FA727" s="1098"/>
      <c r="FB727" s="1098"/>
      <c r="FC727" s="1098"/>
      <c r="FD727" s="1098"/>
      <c r="FE727" s="1098"/>
      <c r="FF727" s="1098"/>
      <c r="FG727" s="1098"/>
      <c r="FH727" s="1098"/>
      <c r="FI727" s="1098"/>
      <c r="FJ727" s="1098"/>
      <c r="FK727" s="1098"/>
      <c r="FL727" s="1098"/>
      <c r="FM727" s="1098"/>
      <c r="FN727" s="1098"/>
      <c r="FO727" s="1098"/>
      <c r="FP727" s="1098"/>
      <c r="FQ727" s="1098"/>
      <c r="FR727" s="1098"/>
      <c r="FS727" s="1098"/>
      <c r="FT727" s="1098"/>
      <c r="FU727" s="1098"/>
      <c r="FV727" s="1098"/>
      <c r="FW727" s="1098"/>
      <c r="FX727" s="1098"/>
      <c r="FY727" s="1098"/>
      <c r="FZ727" s="1098"/>
      <c r="GA727" s="1098"/>
      <c r="GB727" s="1098"/>
      <c r="GC727" s="1098"/>
      <c r="GD727" s="1098"/>
      <c r="GE727" s="1098"/>
      <c r="GF727" s="1098"/>
      <c r="GG727" s="1098"/>
      <c r="GH727" s="1098"/>
      <c r="GI727" s="1098"/>
      <c r="GJ727" s="1098"/>
      <c r="GK727" s="1098"/>
      <c r="GL727" s="1098"/>
      <c r="GM727" s="1098"/>
      <c r="GN727" s="1098"/>
      <c r="GO727" s="1098"/>
      <c r="GP727" s="1098"/>
      <c r="GQ727" s="1098"/>
      <c r="GR727" s="1098"/>
      <c r="GS727" s="1098"/>
      <c r="GT727" s="1098"/>
      <c r="GU727" s="1098"/>
      <c r="GV727" s="1098"/>
      <c r="GW727" s="1098"/>
      <c r="GX727" s="1098"/>
      <c r="GY727" s="1098"/>
      <c r="GZ727" s="1098"/>
      <c r="HA727" s="1098"/>
      <c r="HB727" s="1098"/>
      <c r="HC727" s="1098"/>
      <c r="HD727" s="1098"/>
      <c r="HE727" s="1098"/>
      <c r="HF727" s="1098"/>
      <c r="HG727" s="1098"/>
      <c r="HH727" s="1098"/>
      <c r="HI727" s="1098"/>
      <c r="HJ727" s="1098"/>
      <c r="HK727" s="1098"/>
      <c r="HL727" s="1098"/>
      <c r="HM727" s="1098"/>
      <c r="HN727" s="1098"/>
      <c r="HO727" s="1098"/>
      <c r="HP727" s="1098"/>
      <c r="HQ727" s="1098"/>
      <c r="HR727" s="1098"/>
      <c r="HS727" s="1098"/>
      <c r="HT727" s="1098"/>
      <c r="HU727" s="1098"/>
      <c r="HV727" s="1098"/>
      <c r="HW727" s="1098"/>
      <c r="HX727" s="1098"/>
      <c r="HY727" s="1098"/>
      <c r="HZ727" s="1098"/>
      <c r="IA727" s="1098"/>
      <c r="IB727" s="1098"/>
      <c r="IC727" s="1098"/>
      <c r="ID727" s="1098"/>
      <c r="IE727" s="1098"/>
      <c r="IF727" s="1098"/>
      <c r="IG727" s="1098"/>
      <c r="IH727" s="1098"/>
      <c r="II727" s="1098"/>
      <c r="IJ727" s="1098"/>
      <c r="IK727" s="1098"/>
      <c r="IL727" s="1098"/>
      <c r="IM727" s="1098"/>
      <c r="IN727" s="1098"/>
      <c r="IO727" s="1098"/>
      <c r="IP727" s="1098"/>
      <c r="IQ727" s="1098"/>
      <c r="IR727" s="1098"/>
      <c r="IS727" s="1098"/>
      <c r="IT727" s="1098"/>
      <c r="IU727" s="1098"/>
      <c r="IV727" s="1098"/>
      <c r="IW727" s="1098"/>
      <c r="IX727" s="1098"/>
      <c r="IY727" s="1098"/>
      <c r="IZ727" s="1098"/>
      <c r="JA727" s="1098"/>
      <c r="JB727" s="1098"/>
      <c r="JC727" s="1098"/>
      <c r="JD727" s="1098"/>
      <c r="JE727" s="1098"/>
      <c r="JF727" s="1098"/>
      <c r="JG727" s="1098"/>
      <c r="JH727" s="1098"/>
      <c r="JI727" s="1098"/>
      <c r="JJ727" s="1098"/>
      <c r="JK727" s="1098"/>
      <c r="JL727" s="1098"/>
      <c r="JM727" s="1098"/>
      <c r="JN727" s="1098"/>
      <c r="JO727" s="1098"/>
      <c r="JP727" s="1098"/>
      <c r="JQ727" s="1098"/>
      <c r="JR727" s="1098"/>
      <c r="JS727" s="1098"/>
      <c r="JT727" s="1098"/>
      <c r="JU727" s="1098"/>
      <c r="JV727" s="1098"/>
      <c r="JW727" s="1098"/>
      <c r="JX727" s="1098"/>
      <c r="JY727" s="1098"/>
      <c r="JZ727" s="1098"/>
      <c r="KA727" s="1098"/>
      <c r="KB727" s="1099"/>
    </row>
    <row r="728" spans="1:289" ht="15" customHeight="1" x14ac:dyDescent="0.35">
      <c r="B728" s="146" t="str">
        <f t="shared" si="57"/>
        <v>Desk 98</v>
      </c>
      <c r="C728" s="148" t="str">
        <v/>
      </c>
      <c r="D728" s="148" t="str">
        <v/>
      </c>
      <c r="E728" s="148" t="str">
        <v/>
      </c>
      <c r="F728" s="148" t="str">
        <v/>
      </c>
      <c r="G728" s="268" t="str">
        <v/>
      </c>
      <c r="H728" s="1098"/>
      <c r="I728" s="1098"/>
      <c r="J728" s="1098"/>
      <c r="K728" s="1098"/>
      <c r="L728" s="1098"/>
      <c r="M728" s="1098"/>
      <c r="N728" s="1098"/>
      <c r="O728" s="1098"/>
      <c r="P728" s="1098"/>
      <c r="Q728" s="1098"/>
      <c r="R728" s="1098"/>
      <c r="S728" s="1098"/>
      <c r="T728" s="1098"/>
      <c r="U728" s="1098"/>
      <c r="V728" s="1098"/>
      <c r="W728" s="1098"/>
      <c r="X728" s="1098"/>
      <c r="Y728" s="1098"/>
      <c r="Z728" s="1098"/>
      <c r="AA728" s="1098"/>
      <c r="AB728" s="1098"/>
      <c r="AC728" s="1098"/>
      <c r="AD728" s="1098"/>
      <c r="AE728" s="1098"/>
      <c r="AF728" s="1098"/>
      <c r="AG728" s="1098"/>
      <c r="AH728" s="1098"/>
      <c r="AI728" s="1098"/>
      <c r="AJ728" s="1098"/>
      <c r="AK728" s="1098"/>
      <c r="AL728" s="1098"/>
      <c r="AM728" s="1098"/>
      <c r="AN728" s="1098"/>
      <c r="AO728" s="1098"/>
      <c r="AP728" s="1098"/>
      <c r="AQ728" s="1098"/>
      <c r="AR728" s="1098"/>
      <c r="AS728" s="1098"/>
      <c r="AT728" s="1098"/>
      <c r="AU728" s="1098"/>
      <c r="AV728" s="1098"/>
      <c r="AW728" s="1098"/>
      <c r="AX728" s="1098"/>
      <c r="AY728" s="1098"/>
      <c r="AZ728" s="1098"/>
      <c r="BA728" s="1098"/>
      <c r="BB728" s="1098"/>
      <c r="BC728" s="1098"/>
      <c r="BD728" s="1098"/>
      <c r="BE728" s="1098"/>
      <c r="BF728" s="1098"/>
      <c r="BG728" s="1098"/>
      <c r="BH728" s="1098"/>
      <c r="BI728" s="1098"/>
      <c r="BJ728" s="1098"/>
      <c r="BK728" s="1098"/>
      <c r="BL728" s="1098"/>
      <c r="BM728" s="1098"/>
      <c r="BN728" s="1098"/>
      <c r="BO728" s="1098"/>
      <c r="BP728" s="1098"/>
      <c r="BQ728" s="1098"/>
      <c r="BR728" s="1098"/>
      <c r="BS728" s="1098"/>
      <c r="BT728" s="1098"/>
      <c r="BU728" s="1098"/>
      <c r="BV728" s="1098"/>
      <c r="BW728" s="1098"/>
      <c r="BX728" s="1098"/>
      <c r="BY728" s="1098"/>
      <c r="BZ728" s="1098"/>
      <c r="CA728" s="1098"/>
      <c r="CB728" s="1098"/>
      <c r="CC728" s="1098"/>
      <c r="CD728" s="1098"/>
      <c r="CE728" s="1098"/>
      <c r="CF728" s="1098"/>
      <c r="CG728" s="1098"/>
      <c r="CH728" s="1098"/>
      <c r="CI728" s="1098"/>
      <c r="CJ728" s="1098"/>
      <c r="CK728" s="1098"/>
      <c r="CL728" s="1098"/>
      <c r="CM728" s="1098"/>
      <c r="CN728" s="1098"/>
      <c r="CO728" s="1098"/>
      <c r="CP728" s="1098"/>
      <c r="CQ728" s="1098"/>
      <c r="CR728" s="1098"/>
      <c r="CS728" s="1098"/>
      <c r="CT728" s="1098"/>
      <c r="CU728" s="1098"/>
      <c r="CV728" s="1098"/>
      <c r="CW728" s="1098"/>
      <c r="CX728" s="1098"/>
      <c r="CY728" s="1098"/>
      <c r="CZ728" s="1098"/>
      <c r="DA728" s="1098"/>
      <c r="DB728" s="1098"/>
      <c r="DC728" s="1098"/>
      <c r="DD728" s="1098"/>
      <c r="DE728" s="1098"/>
      <c r="DF728" s="1098"/>
      <c r="DG728" s="1098"/>
      <c r="DH728" s="1098"/>
      <c r="DI728" s="1098"/>
      <c r="DJ728" s="1098"/>
      <c r="DK728" s="1098"/>
      <c r="DL728" s="1098"/>
      <c r="DM728" s="1098"/>
      <c r="DN728" s="1098"/>
      <c r="DO728" s="1098"/>
      <c r="DP728" s="1098"/>
      <c r="DQ728" s="1098"/>
      <c r="DR728" s="1098"/>
      <c r="DS728" s="1098"/>
      <c r="DT728" s="1098"/>
      <c r="DU728" s="1098"/>
      <c r="DV728" s="1098"/>
      <c r="DW728" s="1098"/>
      <c r="DX728" s="1098"/>
      <c r="DY728" s="1098"/>
      <c r="DZ728" s="1098"/>
      <c r="EA728" s="1098"/>
      <c r="EB728" s="1098"/>
      <c r="EC728" s="1098"/>
      <c r="ED728" s="1098"/>
      <c r="EE728" s="1098"/>
      <c r="EF728" s="1098"/>
      <c r="EG728" s="1098"/>
      <c r="EH728" s="1098"/>
      <c r="EI728" s="1098"/>
      <c r="EJ728" s="1098"/>
      <c r="EK728" s="1098"/>
      <c r="EL728" s="1098"/>
      <c r="EM728" s="1098"/>
      <c r="EN728" s="1098"/>
      <c r="EO728" s="1098"/>
      <c r="EP728" s="1098"/>
      <c r="EQ728" s="1098"/>
      <c r="ER728" s="1098"/>
      <c r="ES728" s="1098"/>
      <c r="ET728" s="1098"/>
      <c r="EU728" s="1098"/>
      <c r="EV728" s="1098"/>
      <c r="EW728" s="1098"/>
      <c r="EX728" s="1098"/>
      <c r="EY728" s="1098"/>
      <c r="EZ728" s="1098"/>
      <c r="FA728" s="1098"/>
      <c r="FB728" s="1098"/>
      <c r="FC728" s="1098"/>
      <c r="FD728" s="1098"/>
      <c r="FE728" s="1098"/>
      <c r="FF728" s="1098"/>
      <c r="FG728" s="1098"/>
      <c r="FH728" s="1098"/>
      <c r="FI728" s="1098"/>
      <c r="FJ728" s="1098"/>
      <c r="FK728" s="1098"/>
      <c r="FL728" s="1098"/>
      <c r="FM728" s="1098"/>
      <c r="FN728" s="1098"/>
      <c r="FO728" s="1098"/>
      <c r="FP728" s="1098"/>
      <c r="FQ728" s="1098"/>
      <c r="FR728" s="1098"/>
      <c r="FS728" s="1098"/>
      <c r="FT728" s="1098"/>
      <c r="FU728" s="1098"/>
      <c r="FV728" s="1098"/>
      <c r="FW728" s="1098"/>
      <c r="FX728" s="1098"/>
      <c r="FY728" s="1098"/>
      <c r="FZ728" s="1098"/>
      <c r="GA728" s="1098"/>
      <c r="GB728" s="1098"/>
      <c r="GC728" s="1098"/>
      <c r="GD728" s="1098"/>
      <c r="GE728" s="1098"/>
      <c r="GF728" s="1098"/>
      <c r="GG728" s="1098"/>
      <c r="GH728" s="1098"/>
      <c r="GI728" s="1098"/>
      <c r="GJ728" s="1098"/>
      <c r="GK728" s="1098"/>
      <c r="GL728" s="1098"/>
      <c r="GM728" s="1098"/>
      <c r="GN728" s="1098"/>
      <c r="GO728" s="1098"/>
      <c r="GP728" s="1098"/>
      <c r="GQ728" s="1098"/>
      <c r="GR728" s="1098"/>
      <c r="GS728" s="1098"/>
      <c r="GT728" s="1098"/>
      <c r="GU728" s="1098"/>
      <c r="GV728" s="1098"/>
      <c r="GW728" s="1098"/>
      <c r="GX728" s="1098"/>
      <c r="GY728" s="1098"/>
      <c r="GZ728" s="1098"/>
      <c r="HA728" s="1098"/>
      <c r="HB728" s="1098"/>
      <c r="HC728" s="1098"/>
      <c r="HD728" s="1098"/>
      <c r="HE728" s="1098"/>
      <c r="HF728" s="1098"/>
      <c r="HG728" s="1098"/>
      <c r="HH728" s="1098"/>
      <c r="HI728" s="1098"/>
      <c r="HJ728" s="1098"/>
      <c r="HK728" s="1098"/>
      <c r="HL728" s="1098"/>
      <c r="HM728" s="1098"/>
      <c r="HN728" s="1098"/>
      <c r="HO728" s="1098"/>
      <c r="HP728" s="1098"/>
      <c r="HQ728" s="1098"/>
      <c r="HR728" s="1098"/>
      <c r="HS728" s="1098"/>
      <c r="HT728" s="1098"/>
      <c r="HU728" s="1098"/>
      <c r="HV728" s="1098"/>
      <c r="HW728" s="1098"/>
      <c r="HX728" s="1098"/>
      <c r="HY728" s="1098"/>
      <c r="HZ728" s="1098"/>
      <c r="IA728" s="1098"/>
      <c r="IB728" s="1098"/>
      <c r="IC728" s="1098"/>
      <c r="ID728" s="1098"/>
      <c r="IE728" s="1098"/>
      <c r="IF728" s="1098"/>
      <c r="IG728" s="1098"/>
      <c r="IH728" s="1098"/>
      <c r="II728" s="1098"/>
      <c r="IJ728" s="1098"/>
      <c r="IK728" s="1098"/>
      <c r="IL728" s="1098"/>
      <c r="IM728" s="1098"/>
      <c r="IN728" s="1098"/>
      <c r="IO728" s="1098"/>
      <c r="IP728" s="1098"/>
      <c r="IQ728" s="1098"/>
      <c r="IR728" s="1098"/>
      <c r="IS728" s="1098"/>
      <c r="IT728" s="1098"/>
      <c r="IU728" s="1098"/>
      <c r="IV728" s="1098"/>
      <c r="IW728" s="1098"/>
      <c r="IX728" s="1098"/>
      <c r="IY728" s="1098"/>
      <c r="IZ728" s="1098"/>
      <c r="JA728" s="1098"/>
      <c r="JB728" s="1098"/>
      <c r="JC728" s="1098"/>
      <c r="JD728" s="1098"/>
      <c r="JE728" s="1098"/>
      <c r="JF728" s="1098"/>
      <c r="JG728" s="1098"/>
      <c r="JH728" s="1098"/>
      <c r="JI728" s="1098"/>
      <c r="JJ728" s="1098"/>
      <c r="JK728" s="1098"/>
      <c r="JL728" s="1098"/>
      <c r="JM728" s="1098"/>
      <c r="JN728" s="1098"/>
      <c r="JO728" s="1098"/>
      <c r="JP728" s="1098"/>
      <c r="JQ728" s="1098"/>
      <c r="JR728" s="1098"/>
      <c r="JS728" s="1098"/>
      <c r="JT728" s="1098"/>
      <c r="JU728" s="1098"/>
      <c r="JV728" s="1098"/>
      <c r="JW728" s="1098"/>
      <c r="JX728" s="1098"/>
      <c r="JY728" s="1098"/>
      <c r="JZ728" s="1098"/>
      <c r="KA728" s="1098"/>
      <c r="KB728" s="1099"/>
    </row>
    <row r="729" spans="1:289" ht="15" customHeight="1" x14ac:dyDescent="0.35">
      <c r="B729" s="146" t="str">
        <f t="shared" si="57"/>
        <v>Desk 99</v>
      </c>
      <c r="C729" s="148" t="str">
        <v/>
      </c>
      <c r="D729" s="148" t="str">
        <v/>
      </c>
      <c r="E729" s="148" t="str">
        <v/>
      </c>
      <c r="F729" s="148" t="str">
        <v/>
      </c>
      <c r="G729" s="268" t="str">
        <v/>
      </c>
      <c r="H729" s="1098"/>
      <c r="I729" s="1098"/>
      <c r="J729" s="1098"/>
      <c r="K729" s="1098"/>
      <c r="L729" s="1098"/>
      <c r="M729" s="1098"/>
      <c r="N729" s="1098"/>
      <c r="O729" s="1098"/>
      <c r="P729" s="1098"/>
      <c r="Q729" s="1098"/>
      <c r="R729" s="1098"/>
      <c r="S729" s="1098"/>
      <c r="T729" s="1098"/>
      <c r="U729" s="1098"/>
      <c r="V729" s="1098"/>
      <c r="W729" s="1098"/>
      <c r="X729" s="1098"/>
      <c r="Y729" s="1098"/>
      <c r="Z729" s="1098"/>
      <c r="AA729" s="1098"/>
      <c r="AB729" s="1098"/>
      <c r="AC729" s="1098"/>
      <c r="AD729" s="1098"/>
      <c r="AE729" s="1098"/>
      <c r="AF729" s="1098"/>
      <c r="AG729" s="1098"/>
      <c r="AH729" s="1098"/>
      <c r="AI729" s="1098"/>
      <c r="AJ729" s="1098"/>
      <c r="AK729" s="1098"/>
      <c r="AL729" s="1098"/>
      <c r="AM729" s="1098"/>
      <c r="AN729" s="1098"/>
      <c r="AO729" s="1098"/>
      <c r="AP729" s="1098"/>
      <c r="AQ729" s="1098"/>
      <c r="AR729" s="1098"/>
      <c r="AS729" s="1098"/>
      <c r="AT729" s="1098"/>
      <c r="AU729" s="1098"/>
      <c r="AV729" s="1098"/>
      <c r="AW729" s="1098"/>
      <c r="AX729" s="1098"/>
      <c r="AY729" s="1098"/>
      <c r="AZ729" s="1098"/>
      <c r="BA729" s="1098"/>
      <c r="BB729" s="1098"/>
      <c r="BC729" s="1098"/>
      <c r="BD729" s="1098"/>
      <c r="BE729" s="1098"/>
      <c r="BF729" s="1098"/>
      <c r="BG729" s="1098"/>
      <c r="BH729" s="1098"/>
      <c r="BI729" s="1098"/>
      <c r="BJ729" s="1098"/>
      <c r="BK729" s="1098"/>
      <c r="BL729" s="1098"/>
      <c r="BM729" s="1098"/>
      <c r="BN729" s="1098"/>
      <c r="BO729" s="1098"/>
      <c r="BP729" s="1098"/>
      <c r="BQ729" s="1098"/>
      <c r="BR729" s="1098"/>
      <c r="BS729" s="1098"/>
      <c r="BT729" s="1098"/>
      <c r="BU729" s="1098"/>
      <c r="BV729" s="1098"/>
      <c r="BW729" s="1098"/>
      <c r="BX729" s="1098"/>
      <c r="BY729" s="1098"/>
      <c r="BZ729" s="1098"/>
      <c r="CA729" s="1098"/>
      <c r="CB729" s="1098"/>
      <c r="CC729" s="1098"/>
      <c r="CD729" s="1098"/>
      <c r="CE729" s="1098"/>
      <c r="CF729" s="1098"/>
      <c r="CG729" s="1098"/>
      <c r="CH729" s="1098"/>
      <c r="CI729" s="1098"/>
      <c r="CJ729" s="1098"/>
      <c r="CK729" s="1098"/>
      <c r="CL729" s="1098"/>
      <c r="CM729" s="1098"/>
      <c r="CN729" s="1098"/>
      <c r="CO729" s="1098"/>
      <c r="CP729" s="1098"/>
      <c r="CQ729" s="1098"/>
      <c r="CR729" s="1098"/>
      <c r="CS729" s="1098"/>
      <c r="CT729" s="1098"/>
      <c r="CU729" s="1098"/>
      <c r="CV729" s="1098"/>
      <c r="CW729" s="1098"/>
      <c r="CX729" s="1098"/>
      <c r="CY729" s="1098"/>
      <c r="CZ729" s="1098"/>
      <c r="DA729" s="1098"/>
      <c r="DB729" s="1098"/>
      <c r="DC729" s="1098"/>
      <c r="DD729" s="1098"/>
      <c r="DE729" s="1098"/>
      <c r="DF729" s="1098"/>
      <c r="DG729" s="1098"/>
      <c r="DH729" s="1098"/>
      <c r="DI729" s="1098"/>
      <c r="DJ729" s="1098"/>
      <c r="DK729" s="1098"/>
      <c r="DL729" s="1098"/>
      <c r="DM729" s="1098"/>
      <c r="DN729" s="1098"/>
      <c r="DO729" s="1098"/>
      <c r="DP729" s="1098"/>
      <c r="DQ729" s="1098"/>
      <c r="DR729" s="1098"/>
      <c r="DS729" s="1098"/>
      <c r="DT729" s="1098"/>
      <c r="DU729" s="1098"/>
      <c r="DV729" s="1098"/>
      <c r="DW729" s="1098"/>
      <c r="DX729" s="1098"/>
      <c r="DY729" s="1098"/>
      <c r="DZ729" s="1098"/>
      <c r="EA729" s="1098"/>
      <c r="EB729" s="1098"/>
      <c r="EC729" s="1098"/>
      <c r="ED729" s="1098"/>
      <c r="EE729" s="1098"/>
      <c r="EF729" s="1098"/>
      <c r="EG729" s="1098"/>
      <c r="EH729" s="1098"/>
      <c r="EI729" s="1098"/>
      <c r="EJ729" s="1098"/>
      <c r="EK729" s="1098"/>
      <c r="EL729" s="1098"/>
      <c r="EM729" s="1098"/>
      <c r="EN729" s="1098"/>
      <c r="EO729" s="1098"/>
      <c r="EP729" s="1098"/>
      <c r="EQ729" s="1098"/>
      <c r="ER729" s="1098"/>
      <c r="ES729" s="1098"/>
      <c r="ET729" s="1098"/>
      <c r="EU729" s="1098"/>
      <c r="EV729" s="1098"/>
      <c r="EW729" s="1098"/>
      <c r="EX729" s="1098"/>
      <c r="EY729" s="1098"/>
      <c r="EZ729" s="1098"/>
      <c r="FA729" s="1098"/>
      <c r="FB729" s="1098"/>
      <c r="FC729" s="1098"/>
      <c r="FD729" s="1098"/>
      <c r="FE729" s="1098"/>
      <c r="FF729" s="1098"/>
      <c r="FG729" s="1098"/>
      <c r="FH729" s="1098"/>
      <c r="FI729" s="1098"/>
      <c r="FJ729" s="1098"/>
      <c r="FK729" s="1098"/>
      <c r="FL729" s="1098"/>
      <c r="FM729" s="1098"/>
      <c r="FN729" s="1098"/>
      <c r="FO729" s="1098"/>
      <c r="FP729" s="1098"/>
      <c r="FQ729" s="1098"/>
      <c r="FR729" s="1098"/>
      <c r="FS729" s="1098"/>
      <c r="FT729" s="1098"/>
      <c r="FU729" s="1098"/>
      <c r="FV729" s="1098"/>
      <c r="FW729" s="1098"/>
      <c r="FX729" s="1098"/>
      <c r="FY729" s="1098"/>
      <c r="FZ729" s="1098"/>
      <c r="GA729" s="1098"/>
      <c r="GB729" s="1098"/>
      <c r="GC729" s="1098"/>
      <c r="GD729" s="1098"/>
      <c r="GE729" s="1098"/>
      <c r="GF729" s="1098"/>
      <c r="GG729" s="1098"/>
      <c r="GH729" s="1098"/>
      <c r="GI729" s="1098"/>
      <c r="GJ729" s="1098"/>
      <c r="GK729" s="1098"/>
      <c r="GL729" s="1098"/>
      <c r="GM729" s="1098"/>
      <c r="GN729" s="1098"/>
      <c r="GO729" s="1098"/>
      <c r="GP729" s="1098"/>
      <c r="GQ729" s="1098"/>
      <c r="GR729" s="1098"/>
      <c r="GS729" s="1098"/>
      <c r="GT729" s="1098"/>
      <c r="GU729" s="1098"/>
      <c r="GV729" s="1098"/>
      <c r="GW729" s="1098"/>
      <c r="GX729" s="1098"/>
      <c r="GY729" s="1098"/>
      <c r="GZ729" s="1098"/>
      <c r="HA729" s="1098"/>
      <c r="HB729" s="1098"/>
      <c r="HC729" s="1098"/>
      <c r="HD729" s="1098"/>
      <c r="HE729" s="1098"/>
      <c r="HF729" s="1098"/>
      <c r="HG729" s="1098"/>
      <c r="HH729" s="1098"/>
      <c r="HI729" s="1098"/>
      <c r="HJ729" s="1098"/>
      <c r="HK729" s="1098"/>
      <c r="HL729" s="1098"/>
      <c r="HM729" s="1098"/>
      <c r="HN729" s="1098"/>
      <c r="HO729" s="1098"/>
      <c r="HP729" s="1098"/>
      <c r="HQ729" s="1098"/>
      <c r="HR729" s="1098"/>
      <c r="HS729" s="1098"/>
      <c r="HT729" s="1098"/>
      <c r="HU729" s="1098"/>
      <c r="HV729" s="1098"/>
      <c r="HW729" s="1098"/>
      <c r="HX729" s="1098"/>
      <c r="HY729" s="1098"/>
      <c r="HZ729" s="1098"/>
      <c r="IA729" s="1098"/>
      <c r="IB729" s="1098"/>
      <c r="IC729" s="1098"/>
      <c r="ID729" s="1098"/>
      <c r="IE729" s="1098"/>
      <c r="IF729" s="1098"/>
      <c r="IG729" s="1098"/>
      <c r="IH729" s="1098"/>
      <c r="II729" s="1098"/>
      <c r="IJ729" s="1098"/>
      <c r="IK729" s="1098"/>
      <c r="IL729" s="1098"/>
      <c r="IM729" s="1098"/>
      <c r="IN729" s="1098"/>
      <c r="IO729" s="1098"/>
      <c r="IP729" s="1098"/>
      <c r="IQ729" s="1098"/>
      <c r="IR729" s="1098"/>
      <c r="IS729" s="1098"/>
      <c r="IT729" s="1098"/>
      <c r="IU729" s="1098"/>
      <c r="IV729" s="1098"/>
      <c r="IW729" s="1098"/>
      <c r="IX729" s="1098"/>
      <c r="IY729" s="1098"/>
      <c r="IZ729" s="1098"/>
      <c r="JA729" s="1098"/>
      <c r="JB729" s="1098"/>
      <c r="JC729" s="1098"/>
      <c r="JD729" s="1098"/>
      <c r="JE729" s="1098"/>
      <c r="JF729" s="1098"/>
      <c r="JG729" s="1098"/>
      <c r="JH729" s="1098"/>
      <c r="JI729" s="1098"/>
      <c r="JJ729" s="1098"/>
      <c r="JK729" s="1098"/>
      <c r="JL729" s="1098"/>
      <c r="JM729" s="1098"/>
      <c r="JN729" s="1098"/>
      <c r="JO729" s="1098"/>
      <c r="JP729" s="1098"/>
      <c r="JQ729" s="1098"/>
      <c r="JR729" s="1098"/>
      <c r="JS729" s="1098"/>
      <c r="JT729" s="1098"/>
      <c r="JU729" s="1098"/>
      <c r="JV729" s="1098"/>
      <c r="JW729" s="1098"/>
      <c r="JX729" s="1098"/>
      <c r="JY729" s="1098"/>
      <c r="JZ729" s="1098"/>
      <c r="KA729" s="1098"/>
      <c r="KB729" s="1099"/>
    </row>
    <row r="730" spans="1:289" ht="15" customHeight="1" x14ac:dyDescent="0.35">
      <c r="B730" s="149" t="str">
        <f t="shared" si="57"/>
        <v>Desk 100</v>
      </c>
      <c r="C730" s="150" t="str">
        <v/>
      </c>
      <c r="D730" s="150" t="str">
        <v/>
      </c>
      <c r="E730" s="150" t="str">
        <v/>
      </c>
      <c r="F730" s="150" t="str">
        <v/>
      </c>
      <c r="G730" s="268" t="str">
        <v/>
      </c>
      <c r="H730" s="1100"/>
      <c r="I730" s="1100"/>
      <c r="J730" s="1100"/>
      <c r="K730" s="1100"/>
      <c r="L730" s="1100"/>
      <c r="M730" s="1100"/>
      <c r="N730" s="1100"/>
      <c r="O730" s="1100"/>
      <c r="P730" s="1100"/>
      <c r="Q730" s="1100"/>
      <c r="R730" s="1100"/>
      <c r="S730" s="1100"/>
      <c r="T730" s="1100"/>
      <c r="U730" s="1100"/>
      <c r="V730" s="1100"/>
      <c r="W730" s="1100"/>
      <c r="X730" s="1100"/>
      <c r="Y730" s="1100"/>
      <c r="Z730" s="1100"/>
      <c r="AA730" s="1100"/>
      <c r="AB730" s="1100"/>
      <c r="AC730" s="1100"/>
      <c r="AD730" s="1100"/>
      <c r="AE730" s="1100"/>
      <c r="AF730" s="1100"/>
      <c r="AG730" s="1100"/>
      <c r="AH730" s="1100"/>
      <c r="AI730" s="1100"/>
      <c r="AJ730" s="1100"/>
      <c r="AK730" s="1100"/>
      <c r="AL730" s="1100"/>
      <c r="AM730" s="1100"/>
      <c r="AN730" s="1100"/>
      <c r="AO730" s="1100"/>
      <c r="AP730" s="1100"/>
      <c r="AQ730" s="1100"/>
      <c r="AR730" s="1100"/>
      <c r="AS730" s="1100"/>
      <c r="AT730" s="1100"/>
      <c r="AU730" s="1100"/>
      <c r="AV730" s="1100"/>
      <c r="AW730" s="1100"/>
      <c r="AX730" s="1100"/>
      <c r="AY730" s="1100"/>
      <c r="AZ730" s="1100"/>
      <c r="BA730" s="1100"/>
      <c r="BB730" s="1100"/>
      <c r="BC730" s="1100"/>
      <c r="BD730" s="1100"/>
      <c r="BE730" s="1100"/>
      <c r="BF730" s="1100"/>
      <c r="BG730" s="1100"/>
      <c r="BH730" s="1100"/>
      <c r="BI730" s="1100"/>
      <c r="BJ730" s="1100"/>
      <c r="BK730" s="1100"/>
      <c r="BL730" s="1100"/>
      <c r="BM730" s="1100"/>
      <c r="BN730" s="1100"/>
      <c r="BO730" s="1100"/>
      <c r="BP730" s="1100"/>
      <c r="BQ730" s="1100"/>
      <c r="BR730" s="1100"/>
      <c r="BS730" s="1100"/>
      <c r="BT730" s="1100"/>
      <c r="BU730" s="1100"/>
      <c r="BV730" s="1100"/>
      <c r="BW730" s="1100"/>
      <c r="BX730" s="1100"/>
      <c r="BY730" s="1100"/>
      <c r="BZ730" s="1100"/>
      <c r="CA730" s="1100"/>
      <c r="CB730" s="1100"/>
      <c r="CC730" s="1100"/>
      <c r="CD730" s="1100"/>
      <c r="CE730" s="1100"/>
      <c r="CF730" s="1100"/>
      <c r="CG730" s="1100"/>
      <c r="CH730" s="1100"/>
      <c r="CI730" s="1100"/>
      <c r="CJ730" s="1100"/>
      <c r="CK730" s="1100"/>
      <c r="CL730" s="1100"/>
      <c r="CM730" s="1100"/>
      <c r="CN730" s="1100"/>
      <c r="CO730" s="1100"/>
      <c r="CP730" s="1100"/>
      <c r="CQ730" s="1100"/>
      <c r="CR730" s="1100"/>
      <c r="CS730" s="1100"/>
      <c r="CT730" s="1100"/>
      <c r="CU730" s="1100"/>
      <c r="CV730" s="1100"/>
      <c r="CW730" s="1100"/>
      <c r="CX730" s="1100"/>
      <c r="CY730" s="1100"/>
      <c r="CZ730" s="1100"/>
      <c r="DA730" s="1100"/>
      <c r="DB730" s="1100"/>
      <c r="DC730" s="1100"/>
      <c r="DD730" s="1100"/>
      <c r="DE730" s="1100"/>
      <c r="DF730" s="1100"/>
      <c r="DG730" s="1100"/>
      <c r="DH730" s="1100"/>
      <c r="DI730" s="1100"/>
      <c r="DJ730" s="1100"/>
      <c r="DK730" s="1100"/>
      <c r="DL730" s="1100"/>
      <c r="DM730" s="1100"/>
      <c r="DN730" s="1100"/>
      <c r="DO730" s="1100"/>
      <c r="DP730" s="1100"/>
      <c r="DQ730" s="1100"/>
      <c r="DR730" s="1100"/>
      <c r="DS730" s="1100"/>
      <c r="DT730" s="1100"/>
      <c r="DU730" s="1100"/>
      <c r="DV730" s="1100"/>
      <c r="DW730" s="1100"/>
      <c r="DX730" s="1100"/>
      <c r="DY730" s="1100"/>
      <c r="DZ730" s="1100"/>
      <c r="EA730" s="1100"/>
      <c r="EB730" s="1100"/>
      <c r="EC730" s="1100"/>
      <c r="ED730" s="1100"/>
      <c r="EE730" s="1100"/>
      <c r="EF730" s="1100"/>
      <c r="EG730" s="1100"/>
      <c r="EH730" s="1100"/>
      <c r="EI730" s="1100"/>
      <c r="EJ730" s="1100"/>
      <c r="EK730" s="1100"/>
      <c r="EL730" s="1100"/>
      <c r="EM730" s="1100"/>
      <c r="EN730" s="1100"/>
      <c r="EO730" s="1100"/>
      <c r="EP730" s="1100"/>
      <c r="EQ730" s="1100"/>
      <c r="ER730" s="1100"/>
      <c r="ES730" s="1100"/>
      <c r="ET730" s="1100"/>
      <c r="EU730" s="1100"/>
      <c r="EV730" s="1100"/>
      <c r="EW730" s="1100"/>
      <c r="EX730" s="1100"/>
      <c r="EY730" s="1100"/>
      <c r="EZ730" s="1100"/>
      <c r="FA730" s="1100"/>
      <c r="FB730" s="1100"/>
      <c r="FC730" s="1100"/>
      <c r="FD730" s="1100"/>
      <c r="FE730" s="1100"/>
      <c r="FF730" s="1100"/>
      <c r="FG730" s="1100"/>
      <c r="FH730" s="1100"/>
      <c r="FI730" s="1100"/>
      <c r="FJ730" s="1100"/>
      <c r="FK730" s="1100"/>
      <c r="FL730" s="1100"/>
      <c r="FM730" s="1100"/>
      <c r="FN730" s="1100"/>
      <c r="FO730" s="1100"/>
      <c r="FP730" s="1100"/>
      <c r="FQ730" s="1100"/>
      <c r="FR730" s="1100"/>
      <c r="FS730" s="1100"/>
      <c r="FT730" s="1100"/>
      <c r="FU730" s="1100"/>
      <c r="FV730" s="1100"/>
      <c r="FW730" s="1100"/>
      <c r="FX730" s="1100"/>
      <c r="FY730" s="1100"/>
      <c r="FZ730" s="1100"/>
      <c r="GA730" s="1100"/>
      <c r="GB730" s="1100"/>
      <c r="GC730" s="1100"/>
      <c r="GD730" s="1100"/>
      <c r="GE730" s="1100"/>
      <c r="GF730" s="1100"/>
      <c r="GG730" s="1100"/>
      <c r="GH730" s="1100"/>
      <c r="GI730" s="1100"/>
      <c r="GJ730" s="1100"/>
      <c r="GK730" s="1100"/>
      <c r="GL730" s="1100"/>
      <c r="GM730" s="1100"/>
      <c r="GN730" s="1100"/>
      <c r="GO730" s="1100"/>
      <c r="GP730" s="1100"/>
      <c r="GQ730" s="1100"/>
      <c r="GR730" s="1100"/>
      <c r="GS730" s="1100"/>
      <c r="GT730" s="1100"/>
      <c r="GU730" s="1100"/>
      <c r="GV730" s="1100"/>
      <c r="GW730" s="1100"/>
      <c r="GX730" s="1100"/>
      <c r="GY730" s="1100"/>
      <c r="GZ730" s="1100"/>
      <c r="HA730" s="1100"/>
      <c r="HB730" s="1100"/>
      <c r="HC730" s="1100"/>
      <c r="HD730" s="1100"/>
      <c r="HE730" s="1100"/>
      <c r="HF730" s="1100"/>
      <c r="HG730" s="1100"/>
      <c r="HH730" s="1100"/>
      <c r="HI730" s="1100"/>
      <c r="HJ730" s="1100"/>
      <c r="HK730" s="1100"/>
      <c r="HL730" s="1100"/>
      <c r="HM730" s="1100"/>
      <c r="HN730" s="1100"/>
      <c r="HO730" s="1100"/>
      <c r="HP730" s="1100"/>
      <c r="HQ730" s="1100"/>
      <c r="HR730" s="1100"/>
      <c r="HS730" s="1100"/>
      <c r="HT730" s="1100"/>
      <c r="HU730" s="1100"/>
      <c r="HV730" s="1100"/>
      <c r="HW730" s="1100"/>
      <c r="HX730" s="1100"/>
      <c r="HY730" s="1100"/>
      <c r="HZ730" s="1100"/>
      <c r="IA730" s="1100"/>
      <c r="IB730" s="1100"/>
      <c r="IC730" s="1100"/>
      <c r="ID730" s="1100"/>
      <c r="IE730" s="1100"/>
      <c r="IF730" s="1100"/>
      <c r="IG730" s="1100"/>
      <c r="IH730" s="1100"/>
      <c r="II730" s="1100"/>
      <c r="IJ730" s="1100"/>
      <c r="IK730" s="1100"/>
      <c r="IL730" s="1100"/>
      <c r="IM730" s="1100"/>
      <c r="IN730" s="1100"/>
      <c r="IO730" s="1100"/>
      <c r="IP730" s="1100"/>
      <c r="IQ730" s="1100"/>
      <c r="IR730" s="1100"/>
      <c r="IS730" s="1100"/>
      <c r="IT730" s="1100"/>
      <c r="IU730" s="1100"/>
      <c r="IV730" s="1100"/>
      <c r="IW730" s="1100"/>
      <c r="IX730" s="1100"/>
      <c r="IY730" s="1100"/>
      <c r="IZ730" s="1100"/>
      <c r="JA730" s="1100"/>
      <c r="JB730" s="1100"/>
      <c r="JC730" s="1100"/>
      <c r="JD730" s="1100"/>
      <c r="JE730" s="1100"/>
      <c r="JF730" s="1100"/>
      <c r="JG730" s="1100"/>
      <c r="JH730" s="1100"/>
      <c r="JI730" s="1100"/>
      <c r="JJ730" s="1100"/>
      <c r="JK730" s="1100"/>
      <c r="JL730" s="1100"/>
      <c r="JM730" s="1100"/>
      <c r="JN730" s="1100"/>
      <c r="JO730" s="1100"/>
      <c r="JP730" s="1100"/>
      <c r="JQ730" s="1100"/>
      <c r="JR730" s="1100"/>
      <c r="JS730" s="1100"/>
      <c r="JT730" s="1100"/>
      <c r="JU730" s="1100"/>
      <c r="JV730" s="1100"/>
      <c r="JW730" s="1100"/>
      <c r="JX730" s="1100"/>
      <c r="JY730" s="1100"/>
      <c r="JZ730" s="1100"/>
      <c r="KA730" s="1100"/>
      <c r="KB730" s="1101"/>
    </row>
    <row r="731" spans="1:289" ht="15" customHeight="1" x14ac:dyDescent="0.35">
      <c r="B731" s="282" t="s">
        <v>1605</v>
      </c>
      <c r="C731" s="1102"/>
      <c r="D731" s="1102"/>
      <c r="E731" s="1102"/>
      <c r="F731" s="1102"/>
      <c r="G731" s="1102"/>
      <c r="H731" s="1103"/>
      <c r="I731" s="1103"/>
      <c r="J731" s="1103"/>
      <c r="K731" s="1103"/>
      <c r="L731" s="1103"/>
      <c r="M731" s="1103"/>
      <c r="N731" s="1103"/>
      <c r="O731" s="1103"/>
      <c r="P731" s="1103"/>
      <c r="Q731" s="1103"/>
      <c r="R731" s="1103"/>
      <c r="S731" s="1103"/>
      <c r="T731" s="1103"/>
      <c r="U731" s="1103"/>
      <c r="V731" s="1103"/>
      <c r="W731" s="1103"/>
      <c r="X731" s="1103"/>
      <c r="Y731" s="1103"/>
      <c r="Z731" s="1103"/>
      <c r="AA731" s="1103"/>
      <c r="AB731" s="1103"/>
      <c r="AC731" s="1103"/>
      <c r="AD731" s="1103"/>
      <c r="AE731" s="1103"/>
      <c r="AF731" s="1103"/>
      <c r="AG731" s="1103"/>
      <c r="AH731" s="1103"/>
      <c r="AI731" s="1103"/>
      <c r="AJ731" s="1103"/>
      <c r="AK731" s="1103"/>
      <c r="AL731" s="1103"/>
      <c r="AM731" s="1103"/>
      <c r="AN731" s="1103"/>
      <c r="AO731" s="1103"/>
      <c r="AP731" s="1103"/>
      <c r="AQ731" s="1103"/>
      <c r="AR731" s="1103"/>
      <c r="AS731" s="1103"/>
      <c r="AT731" s="1103"/>
      <c r="AU731" s="1103"/>
      <c r="AV731" s="1103"/>
      <c r="AW731" s="1103"/>
      <c r="AX731" s="1103"/>
      <c r="AY731" s="1103"/>
      <c r="AZ731" s="1103"/>
      <c r="BA731" s="1103"/>
      <c r="BB731" s="1103"/>
      <c r="BC731" s="1103"/>
      <c r="BD731" s="1103"/>
      <c r="BE731" s="1103"/>
      <c r="BF731" s="1103"/>
      <c r="BG731" s="1103"/>
      <c r="BH731" s="1103"/>
      <c r="BI731" s="1103"/>
      <c r="BJ731" s="1103"/>
      <c r="BK731" s="1103"/>
      <c r="BL731" s="1103"/>
      <c r="BM731" s="1103"/>
      <c r="BN731" s="1103"/>
      <c r="BO731" s="1103"/>
      <c r="BP731" s="1103"/>
      <c r="BQ731" s="1103"/>
      <c r="BR731" s="1103"/>
      <c r="BS731" s="1103"/>
      <c r="BT731" s="1103"/>
      <c r="BU731" s="1103"/>
      <c r="BV731" s="1103"/>
      <c r="BW731" s="1103"/>
      <c r="BX731" s="1103"/>
      <c r="BY731" s="1103"/>
      <c r="BZ731" s="1103"/>
      <c r="CA731" s="1103"/>
      <c r="CB731" s="1103"/>
      <c r="CC731" s="1103"/>
      <c r="CD731" s="1103"/>
      <c r="CE731" s="1103"/>
      <c r="CF731" s="1103"/>
      <c r="CG731" s="1103"/>
      <c r="CH731" s="1103"/>
      <c r="CI731" s="1103"/>
      <c r="CJ731" s="1103"/>
      <c r="CK731" s="1103"/>
      <c r="CL731" s="1103"/>
      <c r="CM731" s="1103"/>
      <c r="CN731" s="1103"/>
      <c r="CO731" s="1103"/>
      <c r="CP731" s="1103"/>
      <c r="CQ731" s="1103"/>
      <c r="CR731" s="1103"/>
      <c r="CS731" s="1103"/>
      <c r="CT731" s="1103"/>
      <c r="CU731" s="1103"/>
      <c r="CV731" s="1103"/>
      <c r="CW731" s="1103"/>
      <c r="CX731" s="1103"/>
      <c r="CY731" s="1103"/>
      <c r="CZ731" s="1103"/>
      <c r="DA731" s="1103"/>
      <c r="DB731" s="1103"/>
      <c r="DC731" s="1103"/>
      <c r="DD731" s="1103"/>
      <c r="DE731" s="1103"/>
      <c r="DF731" s="1103"/>
      <c r="DG731" s="1103"/>
      <c r="DH731" s="1103"/>
      <c r="DI731" s="1103"/>
      <c r="DJ731" s="1103"/>
      <c r="DK731" s="1103"/>
      <c r="DL731" s="1103"/>
      <c r="DM731" s="1103"/>
      <c r="DN731" s="1103"/>
      <c r="DO731" s="1103"/>
      <c r="DP731" s="1103"/>
      <c r="DQ731" s="1103"/>
      <c r="DR731" s="1103"/>
      <c r="DS731" s="1103"/>
      <c r="DT731" s="1103"/>
      <c r="DU731" s="1103"/>
      <c r="DV731" s="1103"/>
      <c r="DW731" s="1103"/>
      <c r="DX731" s="1103"/>
      <c r="DY731" s="1103"/>
      <c r="DZ731" s="1103"/>
      <c r="EA731" s="1103"/>
      <c r="EB731" s="1103"/>
      <c r="EC731" s="1103"/>
      <c r="ED731" s="1103"/>
      <c r="EE731" s="1103"/>
      <c r="EF731" s="1103"/>
      <c r="EG731" s="1103"/>
      <c r="EH731" s="1103"/>
      <c r="EI731" s="1103"/>
      <c r="EJ731" s="1103"/>
      <c r="EK731" s="1103"/>
      <c r="EL731" s="1103"/>
      <c r="EM731" s="1103"/>
      <c r="EN731" s="1103"/>
      <c r="EO731" s="1103"/>
      <c r="EP731" s="1103"/>
      <c r="EQ731" s="1103"/>
      <c r="ER731" s="1103"/>
      <c r="ES731" s="1103"/>
      <c r="ET731" s="1103"/>
      <c r="EU731" s="1103"/>
      <c r="EV731" s="1103"/>
      <c r="EW731" s="1103"/>
      <c r="EX731" s="1103"/>
      <c r="EY731" s="1103"/>
      <c r="EZ731" s="1103"/>
      <c r="FA731" s="1103"/>
      <c r="FB731" s="1103"/>
      <c r="FC731" s="1103"/>
      <c r="FD731" s="1103"/>
      <c r="FE731" s="1103"/>
      <c r="FF731" s="1103"/>
      <c r="FG731" s="1103"/>
      <c r="FH731" s="1103"/>
      <c r="FI731" s="1103"/>
      <c r="FJ731" s="1103"/>
      <c r="FK731" s="1103"/>
      <c r="FL731" s="1103"/>
      <c r="FM731" s="1103"/>
      <c r="FN731" s="1103"/>
      <c r="FO731" s="1103"/>
      <c r="FP731" s="1103"/>
      <c r="FQ731" s="1103"/>
      <c r="FR731" s="1103"/>
      <c r="FS731" s="1103"/>
      <c r="FT731" s="1103"/>
      <c r="FU731" s="1103"/>
      <c r="FV731" s="1103"/>
      <c r="FW731" s="1103"/>
      <c r="FX731" s="1103"/>
      <c r="FY731" s="1103"/>
      <c r="FZ731" s="1103"/>
      <c r="GA731" s="1103"/>
      <c r="GB731" s="1103"/>
      <c r="GC731" s="1103"/>
      <c r="GD731" s="1103"/>
      <c r="GE731" s="1103"/>
      <c r="GF731" s="1103"/>
      <c r="GG731" s="1103"/>
      <c r="GH731" s="1103"/>
      <c r="GI731" s="1103"/>
      <c r="GJ731" s="1103"/>
      <c r="GK731" s="1103"/>
      <c r="GL731" s="1103"/>
      <c r="GM731" s="1103"/>
      <c r="GN731" s="1103"/>
      <c r="GO731" s="1103"/>
      <c r="GP731" s="1103"/>
      <c r="GQ731" s="1103"/>
      <c r="GR731" s="1103"/>
      <c r="GS731" s="1103"/>
      <c r="GT731" s="1103"/>
      <c r="GU731" s="1103"/>
      <c r="GV731" s="1103"/>
      <c r="GW731" s="1103"/>
      <c r="GX731" s="1103"/>
      <c r="GY731" s="1103"/>
      <c r="GZ731" s="1103"/>
      <c r="HA731" s="1103"/>
      <c r="HB731" s="1103"/>
      <c r="HC731" s="1103"/>
      <c r="HD731" s="1103"/>
      <c r="HE731" s="1103"/>
      <c r="HF731" s="1103"/>
      <c r="HG731" s="1103"/>
      <c r="HH731" s="1103"/>
      <c r="HI731" s="1103"/>
      <c r="HJ731" s="1103"/>
      <c r="HK731" s="1103"/>
      <c r="HL731" s="1103"/>
      <c r="HM731" s="1103"/>
      <c r="HN731" s="1103"/>
      <c r="HO731" s="1103"/>
      <c r="HP731" s="1103"/>
      <c r="HQ731" s="1103"/>
      <c r="HR731" s="1103"/>
      <c r="HS731" s="1103"/>
      <c r="HT731" s="1103"/>
      <c r="HU731" s="1103"/>
      <c r="HV731" s="1103"/>
      <c r="HW731" s="1103"/>
      <c r="HX731" s="1103"/>
      <c r="HY731" s="1103"/>
      <c r="HZ731" s="1103"/>
      <c r="IA731" s="1103"/>
      <c r="IB731" s="1103"/>
      <c r="IC731" s="1103"/>
      <c r="ID731" s="1103"/>
      <c r="IE731" s="1103"/>
      <c r="IF731" s="1103"/>
      <c r="IG731" s="1103"/>
      <c r="IH731" s="1103"/>
      <c r="II731" s="1103"/>
      <c r="IJ731" s="1103"/>
      <c r="IK731" s="1103"/>
      <c r="IL731" s="1103"/>
      <c r="IM731" s="1103"/>
      <c r="IN731" s="1103"/>
      <c r="IO731" s="1103"/>
      <c r="IP731" s="1103"/>
      <c r="IQ731" s="1103"/>
      <c r="IR731" s="1103"/>
      <c r="IS731" s="1103"/>
      <c r="IT731" s="1103"/>
      <c r="IU731" s="1103"/>
      <c r="IV731" s="1103"/>
      <c r="IW731" s="1103"/>
      <c r="IX731" s="1103"/>
      <c r="IY731" s="1103"/>
      <c r="IZ731" s="1103"/>
      <c r="JA731" s="1103"/>
      <c r="JB731" s="1103"/>
      <c r="JC731" s="1103"/>
      <c r="JD731" s="1103"/>
      <c r="JE731" s="1103"/>
      <c r="JF731" s="1103"/>
      <c r="JG731" s="1103"/>
      <c r="JH731" s="1103"/>
      <c r="JI731" s="1103"/>
      <c r="JJ731" s="1103"/>
      <c r="JK731" s="1103"/>
      <c r="JL731" s="1103"/>
      <c r="JM731" s="1103"/>
      <c r="JN731" s="1103"/>
      <c r="JO731" s="1103"/>
      <c r="JP731" s="1103"/>
      <c r="JQ731" s="1103"/>
      <c r="JR731" s="1103"/>
      <c r="JS731" s="1103"/>
      <c r="JT731" s="1103"/>
      <c r="JU731" s="1103"/>
      <c r="JV731" s="1103"/>
      <c r="JW731" s="1103"/>
      <c r="JX731" s="1103"/>
      <c r="JY731" s="1103"/>
      <c r="JZ731" s="1103"/>
      <c r="KA731" s="1103"/>
      <c r="KB731" s="1104"/>
    </row>
    <row r="732" spans="1:289" ht="15" customHeight="1" x14ac:dyDescent="0.35">
      <c r="A732" s="729"/>
      <c r="B732" s="278"/>
      <c r="C732" s="278"/>
      <c r="D732" s="281"/>
      <c r="E732" s="281"/>
      <c r="F732" s="281"/>
      <c r="G732" s="278"/>
      <c r="H732" s="278"/>
      <c r="I732" s="278"/>
      <c r="J732" s="278"/>
      <c r="K732" s="278"/>
      <c r="L732" s="278"/>
      <c r="M732" s="278"/>
      <c r="N732" s="278"/>
      <c r="O732" s="278"/>
      <c r="P732" s="278"/>
      <c r="Q732" s="278"/>
      <c r="R732" s="278"/>
      <c r="S732" s="278"/>
      <c r="T732" s="278"/>
      <c r="U732" s="278"/>
      <c r="V732" s="278"/>
      <c r="W732" s="278"/>
      <c r="X732" s="278"/>
      <c r="Y732" s="278"/>
      <c r="Z732" s="278"/>
      <c r="AA732" s="278"/>
      <c r="AB732" s="278"/>
      <c r="AC732" s="278"/>
      <c r="AD732" s="278"/>
      <c r="AE732" s="278"/>
      <c r="AF732" s="278"/>
      <c r="AG732" s="278"/>
      <c r="AH732" s="278"/>
      <c r="AI732" s="278"/>
      <c r="AJ732" s="278"/>
      <c r="AK732" s="278"/>
      <c r="AL732" s="278"/>
      <c r="AM732" s="278"/>
      <c r="AN732" s="278"/>
      <c r="AO732" s="278"/>
      <c r="AP732" s="278"/>
      <c r="AQ732" s="278"/>
      <c r="AR732" s="278"/>
      <c r="AS732" s="278"/>
      <c r="AT732" s="278"/>
      <c r="AU732" s="278"/>
      <c r="AV732" s="278"/>
      <c r="AW732" s="278"/>
      <c r="AX732" s="278"/>
      <c r="AY732" s="278"/>
      <c r="AZ732" s="278"/>
      <c r="BA732" s="278"/>
      <c r="BB732" s="278"/>
      <c r="BC732" s="278"/>
      <c r="BD732" s="278"/>
      <c r="BE732" s="278"/>
      <c r="BF732" s="278"/>
      <c r="BG732" s="278"/>
      <c r="BH732" s="278"/>
      <c r="BI732" s="278"/>
      <c r="BJ732" s="278"/>
      <c r="BK732" s="278"/>
      <c r="BL732" s="278"/>
      <c r="BM732" s="278"/>
      <c r="BN732" s="278"/>
      <c r="BO732" s="278"/>
      <c r="BP732" s="278"/>
      <c r="BQ732" s="278"/>
      <c r="BR732" s="278"/>
      <c r="BS732" s="278"/>
      <c r="BT732" s="278"/>
      <c r="BU732" s="278"/>
      <c r="BV732" s="278"/>
      <c r="BW732" s="278"/>
      <c r="BX732" s="278"/>
      <c r="BY732" s="278"/>
      <c r="BZ732" s="278"/>
      <c r="CA732" s="278"/>
      <c r="CB732" s="278"/>
      <c r="CC732" s="278"/>
      <c r="CD732" s="278"/>
      <c r="CE732" s="278"/>
      <c r="CF732" s="278"/>
      <c r="CG732" s="278"/>
      <c r="CH732" s="278"/>
      <c r="CI732" s="278"/>
      <c r="CJ732" s="278"/>
      <c r="CK732" s="278"/>
      <c r="CL732" s="278"/>
      <c r="CM732" s="278"/>
      <c r="CN732" s="278"/>
      <c r="CO732" s="278"/>
      <c r="CP732" s="278"/>
      <c r="CQ732" s="278"/>
      <c r="CR732" s="278"/>
      <c r="CS732" s="278"/>
      <c r="CT732" s="278"/>
      <c r="CU732" s="278"/>
      <c r="CV732" s="278"/>
      <c r="CW732" s="278"/>
      <c r="CX732" s="278"/>
      <c r="CY732" s="278"/>
      <c r="CZ732" s="278"/>
      <c r="DA732" s="278"/>
      <c r="DB732" s="278"/>
      <c r="DC732" s="278"/>
      <c r="DD732" s="278"/>
      <c r="DE732" s="278"/>
      <c r="DF732" s="278"/>
      <c r="DG732" s="278"/>
      <c r="DH732" s="278"/>
      <c r="DI732" s="278"/>
      <c r="DJ732" s="278"/>
      <c r="DK732" s="278"/>
      <c r="DL732" s="278"/>
      <c r="DM732" s="278"/>
      <c r="DN732" s="278"/>
      <c r="DO732" s="278"/>
      <c r="DP732" s="278"/>
      <c r="DQ732" s="278"/>
      <c r="DR732" s="278"/>
      <c r="DS732" s="278"/>
      <c r="DT732" s="278"/>
      <c r="DU732" s="278"/>
      <c r="DV732" s="278"/>
      <c r="DW732" s="278"/>
      <c r="DX732" s="278"/>
      <c r="DY732" s="278"/>
      <c r="DZ732" s="278"/>
      <c r="EA732" s="278"/>
      <c r="EB732" s="278"/>
      <c r="EC732" s="278"/>
      <c r="ED732" s="278"/>
      <c r="EE732" s="278"/>
      <c r="EF732" s="278"/>
      <c r="EG732" s="278"/>
      <c r="EH732" s="278"/>
      <c r="EI732" s="278"/>
      <c r="EJ732" s="278"/>
      <c r="EK732" s="278"/>
      <c r="EL732" s="278"/>
      <c r="EM732" s="278"/>
      <c r="EN732" s="278"/>
      <c r="EO732" s="278"/>
      <c r="EP732" s="278"/>
      <c r="EQ732" s="278"/>
      <c r="ER732" s="278"/>
      <c r="ES732" s="278"/>
      <c r="ET732" s="278"/>
      <c r="EU732" s="278"/>
      <c r="EV732" s="278"/>
      <c r="EW732" s="278"/>
      <c r="EX732" s="278"/>
      <c r="EY732" s="278"/>
      <c r="EZ732" s="278"/>
      <c r="FA732" s="278"/>
      <c r="FB732" s="278"/>
      <c r="FC732" s="278"/>
      <c r="FD732" s="278"/>
      <c r="FE732" s="278"/>
      <c r="FF732" s="278"/>
      <c r="FG732" s="278"/>
      <c r="FH732" s="278"/>
      <c r="FI732" s="278"/>
      <c r="FJ732" s="278"/>
      <c r="FK732" s="278"/>
      <c r="FL732" s="278"/>
      <c r="FM732" s="278"/>
      <c r="FN732" s="278"/>
      <c r="FO732" s="278"/>
      <c r="FP732" s="278"/>
      <c r="FQ732" s="278"/>
      <c r="FR732" s="278"/>
      <c r="FS732" s="278"/>
      <c r="FT732" s="278"/>
      <c r="FU732" s="278"/>
      <c r="FV732" s="278"/>
      <c r="FW732" s="278"/>
      <c r="FX732" s="278"/>
      <c r="FY732" s="278"/>
      <c r="FZ732" s="278"/>
      <c r="GA732" s="278"/>
      <c r="GB732" s="278"/>
      <c r="GC732" s="278"/>
      <c r="GD732" s="278"/>
      <c r="GE732" s="278"/>
      <c r="GF732" s="278"/>
      <c r="GG732" s="278"/>
      <c r="GH732" s="278"/>
      <c r="GI732" s="278"/>
      <c r="GJ732" s="278"/>
      <c r="GK732" s="278"/>
      <c r="GL732" s="278"/>
      <c r="GM732" s="278"/>
      <c r="GN732" s="278"/>
      <c r="GO732" s="278"/>
      <c r="GP732" s="278"/>
      <c r="GQ732" s="278"/>
      <c r="GR732" s="278"/>
      <c r="GS732" s="278"/>
      <c r="GT732" s="278"/>
      <c r="GU732" s="278"/>
      <c r="GV732" s="278"/>
      <c r="GW732" s="278"/>
      <c r="GX732" s="278"/>
      <c r="GY732" s="278"/>
      <c r="GZ732" s="278"/>
      <c r="HA732" s="278"/>
      <c r="HB732" s="278"/>
      <c r="HC732" s="278"/>
      <c r="HD732" s="278"/>
      <c r="HE732" s="278"/>
      <c r="HF732" s="278"/>
      <c r="HG732" s="278"/>
      <c r="HH732" s="278"/>
      <c r="HI732" s="278"/>
      <c r="HJ732" s="278"/>
      <c r="HK732" s="278"/>
      <c r="HL732" s="278"/>
      <c r="HM732" s="278"/>
      <c r="HN732" s="278"/>
      <c r="HO732" s="278"/>
      <c r="HP732" s="278"/>
      <c r="HQ732" s="278"/>
      <c r="HR732" s="278"/>
      <c r="HS732" s="278"/>
      <c r="HT732" s="278"/>
      <c r="HU732" s="278"/>
      <c r="HV732" s="278"/>
      <c r="HW732" s="278"/>
      <c r="HX732" s="278"/>
      <c r="HY732" s="278"/>
      <c r="HZ732" s="278"/>
      <c r="IA732" s="278"/>
      <c r="IB732" s="278"/>
      <c r="IC732" s="278"/>
      <c r="ID732" s="278"/>
      <c r="IE732" s="278"/>
      <c r="IF732" s="278"/>
      <c r="IG732" s="278"/>
      <c r="IH732" s="278"/>
      <c r="II732" s="278"/>
      <c r="IJ732" s="278"/>
      <c r="IK732" s="278"/>
      <c r="IL732" s="278"/>
      <c r="IM732" s="278"/>
      <c r="IN732" s="278"/>
      <c r="IO732" s="278"/>
      <c r="IP732" s="278"/>
      <c r="IQ732" s="278"/>
      <c r="IR732" s="278"/>
      <c r="IS732" s="278"/>
      <c r="IT732" s="278"/>
      <c r="IU732" s="278"/>
      <c r="IV732" s="278"/>
      <c r="IW732" s="278"/>
      <c r="IX732" s="278"/>
      <c r="IY732" s="278"/>
      <c r="IZ732" s="278"/>
      <c r="JA732" s="278"/>
      <c r="JB732" s="278"/>
      <c r="JC732" s="278"/>
      <c r="JD732" s="278"/>
      <c r="JE732" s="278"/>
      <c r="JF732" s="278"/>
      <c r="JG732" s="278"/>
      <c r="JH732" s="278"/>
      <c r="JI732" s="278"/>
      <c r="JJ732" s="278"/>
      <c r="JK732" s="278"/>
      <c r="JL732" s="278"/>
      <c r="JM732" s="278"/>
      <c r="JN732" s="278"/>
      <c r="JO732" s="278"/>
      <c r="JP732" s="278"/>
      <c r="JQ732" s="278"/>
      <c r="JR732" s="278"/>
      <c r="JS732" s="278"/>
      <c r="JT732" s="278"/>
      <c r="JU732" s="278"/>
      <c r="JV732" s="278"/>
      <c r="JW732" s="278"/>
      <c r="JX732" s="278"/>
      <c r="JY732" s="278"/>
      <c r="JZ732" s="278"/>
      <c r="KA732" s="278"/>
      <c r="KB732" s="278"/>
      <c r="KC732" s="875"/>
    </row>
  </sheetData>
  <sheetProtection algorithmName="SHA-512" hashValue="OhvnXXeaaEOBSsQJJdBvbf56ornA4lOi7jW7950unQSnSsumNvnRngcVGe3S9jaFNEb7GpGS7KwShDGbqpLGGA==" saltValue="wPwpfAR4QXT3Rjh9MQtYcA==" spinCount="100000" sheet="1" objects="1" scenarios="1"/>
  <mergeCells count="1">
    <mergeCell ref="B3:L3"/>
  </mergeCells>
  <conditionalFormatting sqref="H114:KB214">
    <cfRule type="cellIs" dxfId="916" priority="2" stopIfTrue="1" operator="lessThan">
      <formula>0</formula>
    </cfRule>
  </conditionalFormatting>
  <conditionalFormatting sqref="H11:KB111">
    <cfRule type="cellIs" dxfId="915"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EC72"/>
  </sheetPr>
  <dimension ref="A1:BS119"/>
  <sheetViews>
    <sheetView zoomScale="70" zoomScaleNormal="70" zoomScaleSheetLayoutView="85" workbookViewId="0">
      <pane xSplit="3" ySplit="10" topLeftCell="D11" activePane="bottomRight" state="frozen"/>
      <selection activeCell="P35" sqref="P35"/>
      <selection pane="topRight" activeCell="P35" sqref="P35"/>
      <selection pane="bottomLeft" activeCell="P35" sqref="P35"/>
      <selection pane="bottomRight" activeCell="I3" sqref="I3"/>
    </sheetView>
  </sheetViews>
  <sheetFormatPr defaultColWidth="0" defaultRowHeight="15" zeroHeight="1" x14ac:dyDescent="0.35"/>
  <cols>
    <col min="1" max="1" width="1.6640625" style="85" customWidth="1"/>
    <col min="2" max="2" width="26.6640625" style="2" customWidth="1"/>
    <col min="3" max="7" width="20.6640625" style="2" customWidth="1"/>
    <col min="8" max="8" width="130.6640625" style="2" customWidth="1"/>
    <col min="9" max="9" width="30.6640625" style="2" customWidth="1"/>
    <col min="10" max="10" width="24.6640625" style="2" customWidth="1"/>
    <col min="11" max="12" width="8.6640625" style="2" customWidth="1"/>
    <col min="13" max="13" width="10.109375" style="2" customWidth="1"/>
    <col min="14" max="14" width="20.6640625" style="2" customWidth="1"/>
    <col min="15" max="17" width="8.6640625" style="2" customWidth="1"/>
    <col min="18" max="18" width="18.6640625" style="2" customWidth="1"/>
    <col min="19" max="19" width="12.6640625" style="2" customWidth="1"/>
    <col min="20" max="20" width="32.6640625" style="2" customWidth="1"/>
    <col min="21" max="32" width="16.6640625" style="2" customWidth="1"/>
    <col min="33" max="33" width="64.6640625" style="2" customWidth="1"/>
    <col min="34" max="57" width="16.6640625" style="2" customWidth="1"/>
    <col min="58" max="58" width="30.6640625" style="2" customWidth="1"/>
    <col min="59" max="60" width="16.6640625" style="2" customWidth="1"/>
    <col min="61" max="61" width="1.6640625" style="85" customWidth="1"/>
    <col min="62" max="71" width="0" hidden="1" customWidth="1"/>
    <col min="72" max="16384" width="16.6640625" hidden="1"/>
  </cols>
  <sheetData>
    <row r="1" spans="1:61" ht="30" customHeight="1" x14ac:dyDescent="0.65">
      <c r="A1" s="766" t="s">
        <v>1613</v>
      </c>
      <c r="B1" s="884"/>
      <c r="C1" s="884"/>
      <c r="D1" s="884"/>
      <c r="E1" s="884"/>
      <c r="F1" s="884"/>
      <c r="G1" s="884"/>
      <c r="H1" s="739"/>
      <c r="I1" s="884"/>
      <c r="J1" s="884"/>
      <c r="K1" s="739"/>
      <c r="L1" s="739"/>
      <c r="M1" s="739"/>
      <c r="N1" s="739"/>
      <c r="O1" s="739"/>
      <c r="P1" s="739"/>
      <c r="Q1" s="739"/>
      <c r="R1" s="739"/>
      <c r="S1" s="739"/>
      <c r="T1" s="739"/>
      <c r="U1" s="884"/>
      <c r="V1" s="884"/>
      <c r="W1" s="884"/>
      <c r="X1" s="884"/>
      <c r="Y1" s="884"/>
      <c r="Z1" s="884"/>
      <c r="AA1" s="884"/>
      <c r="AB1" s="884"/>
      <c r="AC1" s="884"/>
      <c r="AD1" s="884"/>
      <c r="AE1" s="884"/>
      <c r="AF1" s="884"/>
      <c r="AG1" s="884"/>
      <c r="AH1" s="884"/>
      <c r="AI1" s="884"/>
      <c r="AJ1" s="884"/>
      <c r="AK1" s="884"/>
      <c r="AL1" s="884"/>
      <c r="AM1" s="884"/>
      <c r="AN1" s="884"/>
      <c r="AO1" s="884"/>
      <c r="AP1" s="884"/>
      <c r="AQ1" s="884"/>
      <c r="AR1" s="884"/>
      <c r="AS1" s="884"/>
      <c r="AT1" s="884"/>
      <c r="AU1" s="884"/>
      <c r="AV1" s="884"/>
      <c r="AW1" s="884"/>
      <c r="AX1" s="884"/>
      <c r="AY1" s="884"/>
      <c r="AZ1" s="884"/>
      <c r="BA1" s="884"/>
      <c r="BB1" s="884"/>
      <c r="BC1" s="884"/>
      <c r="BD1" s="884"/>
      <c r="BE1" s="884"/>
      <c r="BF1" s="884"/>
      <c r="BG1" s="884"/>
      <c r="BH1" s="884"/>
      <c r="BI1" s="735"/>
    </row>
    <row r="2" spans="1:61" ht="15" customHeight="1" x14ac:dyDescent="0.35">
      <c r="A2" s="259"/>
      <c r="B2" s="1010"/>
      <c r="C2" s="1010"/>
      <c r="D2" s="1010"/>
      <c r="E2" s="1010"/>
      <c r="F2" s="1010"/>
      <c r="G2" s="1010"/>
      <c r="H2" s="370"/>
      <c r="I2" s="370"/>
      <c r="J2" s="370"/>
      <c r="K2" s="370"/>
      <c r="L2" s="370"/>
      <c r="M2" s="370"/>
      <c r="N2" s="370"/>
      <c r="O2" s="370"/>
      <c r="P2" s="370"/>
      <c r="Q2" s="370"/>
      <c r="R2" s="370"/>
      <c r="S2" s="370"/>
      <c r="T2" s="370"/>
      <c r="U2" s="370"/>
      <c r="V2" s="370"/>
      <c r="W2" s="370"/>
      <c r="X2" s="370"/>
      <c r="Y2" s="370"/>
      <c r="Z2" s="370"/>
      <c r="AA2" s="370"/>
      <c r="AB2" s="370"/>
      <c r="AC2" s="370"/>
      <c r="AD2" s="370"/>
      <c r="AE2" s="370"/>
      <c r="AF2" s="370"/>
      <c r="AG2" s="370"/>
      <c r="AH2" s="370"/>
      <c r="AI2" s="370"/>
      <c r="AJ2" s="370"/>
      <c r="AK2" s="370"/>
      <c r="AL2" s="370"/>
      <c r="AM2" s="370"/>
      <c r="AN2" s="370"/>
      <c r="AO2" s="370"/>
      <c r="AP2" s="370"/>
      <c r="AQ2" s="370"/>
      <c r="AR2" s="370"/>
      <c r="AS2" s="370"/>
      <c r="AT2" s="370"/>
      <c r="AU2" s="370"/>
      <c r="AV2" s="370"/>
      <c r="AW2" s="370"/>
      <c r="AX2" s="370"/>
      <c r="AY2" s="370"/>
      <c r="AZ2" s="370"/>
      <c r="BA2" s="370"/>
      <c r="BB2" s="370"/>
      <c r="BC2" s="370"/>
      <c r="BD2" s="370"/>
      <c r="BE2" s="370"/>
      <c r="BF2" s="370"/>
      <c r="BG2" s="370"/>
      <c r="BH2" s="370"/>
      <c r="BI2" s="279"/>
    </row>
    <row r="3" spans="1:61" ht="15" customHeight="1" x14ac:dyDescent="0.35">
      <c r="A3" s="259"/>
      <c r="B3" s="3198" t="s">
        <v>1614</v>
      </c>
      <c r="C3" s="3198"/>
      <c r="D3" s="3198"/>
      <c r="E3" s="3198"/>
      <c r="F3" s="3198"/>
      <c r="G3" s="3198"/>
      <c r="H3" s="3199"/>
      <c r="I3" s="997" t="s">
        <v>7</v>
      </c>
      <c r="K3" s="85"/>
      <c r="L3" s="85"/>
      <c r="M3" s="85"/>
      <c r="N3" s="85"/>
      <c r="O3" s="85"/>
      <c r="P3" s="85"/>
      <c r="BH3" s="98"/>
      <c r="BI3" s="279"/>
    </row>
    <row r="4" spans="1:61" ht="15" customHeight="1" x14ac:dyDescent="0.35">
      <c r="A4" s="259"/>
      <c r="B4" s="2851" t="s">
        <v>1615</v>
      </c>
      <c r="C4" s="2851"/>
      <c r="D4" s="2851"/>
      <c r="E4" s="2851"/>
      <c r="F4" s="2851"/>
      <c r="G4" s="2851"/>
      <c r="H4" s="2852"/>
      <c r="I4" s="1505" t="str">
        <f>IF(ISBLANK(I3), "", IF(AND(I3="Yes", 'Supervisory information'!C55="Yes"), "Yes", "No"))</f>
        <v>No</v>
      </c>
      <c r="K4" s="85"/>
      <c r="L4" s="85"/>
      <c r="M4" s="85"/>
      <c r="N4" s="85"/>
      <c r="O4" s="85"/>
      <c r="P4" s="85"/>
      <c r="BH4" s="98"/>
      <c r="BI4" s="279"/>
    </row>
    <row r="5" spans="1:61" ht="15" customHeight="1" x14ac:dyDescent="0.35">
      <c r="A5" s="729"/>
      <c r="B5" s="1471"/>
      <c r="C5" s="1471"/>
      <c r="D5" s="1471"/>
      <c r="E5" s="1471"/>
      <c r="F5" s="1471"/>
      <c r="G5" s="147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c r="AE5" s="1201"/>
      <c r="AF5" s="1201"/>
      <c r="AG5" s="1201"/>
      <c r="AH5" s="1201"/>
      <c r="AI5" s="1201"/>
      <c r="AJ5" s="1201"/>
      <c r="AK5" s="1201"/>
      <c r="AL5" s="1201"/>
      <c r="AM5" s="1201"/>
      <c r="AN5" s="1201"/>
      <c r="AO5" s="1201"/>
      <c r="AP5" s="1201"/>
      <c r="AQ5" s="1201"/>
      <c r="AR5" s="1201"/>
      <c r="AS5" s="1201"/>
      <c r="AT5" s="1201"/>
      <c r="AU5" s="1201"/>
      <c r="AV5" s="1201"/>
      <c r="AW5" s="1201"/>
      <c r="AX5" s="1201"/>
      <c r="AY5" s="1201"/>
      <c r="AZ5" s="1201"/>
      <c r="BA5" s="1201"/>
      <c r="BB5" s="1201"/>
      <c r="BC5" s="1201"/>
      <c r="BD5" s="1201"/>
      <c r="BE5" s="1201"/>
      <c r="BF5" s="1201"/>
      <c r="BG5" s="1201"/>
      <c r="BH5" s="1201"/>
      <c r="BI5" s="875"/>
    </row>
    <row r="6" spans="1:61" ht="45" customHeight="1" x14ac:dyDescent="0.45">
      <c r="A6" s="280" t="s">
        <v>1616</v>
      </c>
      <c r="B6" s="153"/>
      <c r="C6" s="153"/>
      <c r="D6" s="153"/>
      <c r="E6" s="153"/>
      <c r="F6" s="153"/>
      <c r="G6" s="153"/>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007"/>
    </row>
    <row r="7" spans="1:61" ht="47.4" customHeight="1" x14ac:dyDescent="0.35">
      <c r="A7" s="260"/>
      <c r="B7" s="2572" t="s">
        <v>1617</v>
      </c>
      <c r="C7" s="2633"/>
      <c r="D7" s="2633"/>
      <c r="E7" s="3076" t="s">
        <v>1618</v>
      </c>
      <c r="F7" s="3076" t="s">
        <v>1619</v>
      </c>
      <c r="G7" s="3172"/>
      <c r="H7" s="3201" t="s">
        <v>1620</v>
      </c>
      <c r="I7" s="3202"/>
      <c r="J7" s="3203"/>
      <c r="K7" s="3204" t="s">
        <v>1621</v>
      </c>
      <c r="L7" s="2837"/>
      <c r="M7" s="2837"/>
      <c r="N7" s="2837"/>
      <c r="O7" s="2837"/>
      <c r="P7" s="2837"/>
      <c r="Q7" s="2837"/>
      <c r="R7" s="2837"/>
      <c r="S7" s="2837"/>
      <c r="T7" s="3205"/>
      <c r="U7" s="3177" t="s">
        <v>1622</v>
      </c>
      <c r="V7" s="2857"/>
      <c r="W7" s="2857"/>
      <c r="X7" s="2857"/>
      <c r="Y7" s="2857"/>
      <c r="Z7" s="2857"/>
      <c r="AA7" s="2857"/>
      <c r="AB7" s="2857"/>
      <c r="AC7" s="2857"/>
      <c r="AD7" s="2857"/>
      <c r="AE7" s="2857"/>
      <c r="AF7" s="2857"/>
      <c r="AG7" s="3178"/>
      <c r="AH7" s="3192" t="s">
        <v>1623</v>
      </c>
      <c r="AI7" s="3193"/>
      <c r="AJ7" s="3193"/>
      <c r="AK7" s="3200"/>
      <c r="AL7" s="3200"/>
      <c r="AM7" s="1590"/>
      <c r="AN7" s="3192" t="s">
        <v>1624</v>
      </c>
      <c r="AO7" s="3193"/>
      <c r="AP7" s="3194"/>
      <c r="AQ7" s="3195" t="s">
        <v>1625</v>
      </c>
      <c r="AR7" s="3196"/>
      <c r="AS7" s="3184" t="s">
        <v>1626</v>
      </c>
      <c r="AT7" s="2855"/>
      <c r="AU7" s="3177" t="s">
        <v>1627</v>
      </c>
      <c r="AV7" s="3178"/>
      <c r="AW7" s="3201" t="s">
        <v>1628</v>
      </c>
      <c r="AX7" s="3202"/>
      <c r="AY7" s="3202"/>
      <c r="AZ7" s="3202"/>
      <c r="BA7" s="3203"/>
      <c r="BB7" s="3208" t="s">
        <v>1629</v>
      </c>
      <c r="BC7" s="3209"/>
      <c r="BD7" s="3209"/>
      <c r="BE7" s="3210"/>
      <c r="BF7" s="1598" t="s">
        <v>1630</v>
      </c>
      <c r="BG7" s="3206" t="s">
        <v>1631</v>
      </c>
      <c r="BH7" s="2841"/>
      <c r="BI7" s="315"/>
    </row>
    <row r="8" spans="1:61" ht="15" customHeight="1" x14ac:dyDescent="0.35">
      <c r="A8" s="260"/>
      <c r="B8" s="2572" t="s">
        <v>1632</v>
      </c>
      <c r="C8" s="3076" t="s">
        <v>1633</v>
      </c>
      <c r="D8" s="3076" t="s">
        <v>1634</v>
      </c>
      <c r="E8" s="3076"/>
      <c r="F8" s="3076" t="s">
        <v>1619</v>
      </c>
      <c r="G8" s="3172" t="s">
        <v>1635</v>
      </c>
      <c r="H8" s="3181" t="s">
        <v>1620</v>
      </c>
      <c r="I8" s="3174" t="s">
        <v>1636</v>
      </c>
      <c r="J8" s="3168" t="s">
        <v>1637</v>
      </c>
      <c r="K8" s="3214" t="s">
        <v>1638</v>
      </c>
      <c r="L8" s="3156" t="s">
        <v>1639</v>
      </c>
      <c r="M8" s="3156"/>
      <c r="N8" s="3156"/>
      <c r="O8" s="3155" t="s">
        <v>1640</v>
      </c>
      <c r="P8" s="3155" t="s">
        <v>1641</v>
      </c>
      <c r="Q8" s="3155" t="s">
        <v>1642</v>
      </c>
      <c r="R8" s="3156" t="s">
        <v>1643</v>
      </c>
      <c r="S8" s="3171" t="s">
        <v>1644</v>
      </c>
      <c r="T8" s="3172" t="s">
        <v>1645</v>
      </c>
      <c r="U8" s="3173" t="s">
        <v>738</v>
      </c>
      <c r="V8" s="2636"/>
      <c r="W8" s="2636"/>
      <c r="X8" s="2636"/>
      <c r="Y8" s="2846"/>
      <c r="Z8" s="3174" t="s">
        <v>1646</v>
      </c>
      <c r="AA8" s="2845" t="s">
        <v>177</v>
      </c>
      <c r="AB8" s="2636"/>
      <c r="AC8" s="2636"/>
      <c r="AD8" s="2636"/>
      <c r="AE8" s="2636"/>
      <c r="AF8" s="2636"/>
      <c r="AG8" s="3168" t="s">
        <v>1647</v>
      </c>
      <c r="AH8" s="3157" t="s">
        <v>1648</v>
      </c>
      <c r="AI8" s="3158"/>
      <c r="AJ8" s="3179" t="s">
        <v>1649</v>
      </c>
      <c r="AK8" s="3158"/>
      <c r="AL8" s="3179" t="s">
        <v>1650</v>
      </c>
      <c r="AM8" s="3168" t="s">
        <v>1651</v>
      </c>
      <c r="AN8" s="3161" t="s">
        <v>1649</v>
      </c>
      <c r="AO8" s="3162"/>
      <c r="AP8" s="3165" t="s">
        <v>1652</v>
      </c>
      <c r="AQ8" s="3161" t="s">
        <v>1653</v>
      </c>
      <c r="AR8" s="3165" t="s">
        <v>1654</v>
      </c>
      <c r="AS8" s="3185" t="s">
        <v>1655</v>
      </c>
      <c r="AT8" s="3188" t="s">
        <v>1626</v>
      </c>
      <c r="AU8" s="3181" t="s">
        <v>1656</v>
      </c>
      <c r="AV8" s="3168" t="s">
        <v>1648</v>
      </c>
      <c r="AW8" s="3181" t="s">
        <v>1657</v>
      </c>
      <c r="AX8" s="3179" t="s">
        <v>1613</v>
      </c>
      <c r="AY8" s="3158"/>
      <c r="AZ8" s="3179" t="s">
        <v>1658</v>
      </c>
      <c r="BA8" s="3211"/>
      <c r="BB8" s="3181" t="s">
        <v>1659</v>
      </c>
      <c r="BC8" s="3174" t="s">
        <v>1660</v>
      </c>
      <c r="BD8" s="3174" t="s">
        <v>1661</v>
      </c>
      <c r="BE8" s="3168" t="s">
        <v>1662</v>
      </c>
      <c r="BF8" s="3157" t="s">
        <v>1663</v>
      </c>
      <c r="BG8" s="3207" t="s">
        <v>1648</v>
      </c>
      <c r="BH8" s="2845"/>
      <c r="BI8" s="315"/>
    </row>
    <row r="9" spans="1:61" ht="52.5" customHeight="1" x14ac:dyDescent="0.45">
      <c r="A9" s="1473"/>
      <c r="B9" s="2572"/>
      <c r="C9" s="3076"/>
      <c r="D9" s="3076"/>
      <c r="E9" s="3076"/>
      <c r="F9" s="3076"/>
      <c r="G9" s="3172"/>
      <c r="H9" s="3182"/>
      <c r="I9" s="3175"/>
      <c r="J9" s="3169"/>
      <c r="K9" s="3214"/>
      <c r="L9" s="3155" t="s">
        <v>1664</v>
      </c>
      <c r="M9" s="3155" t="s">
        <v>1665</v>
      </c>
      <c r="N9" s="3156" t="s">
        <v>1666</v>
      </c>
      <c r="O9" s="3155"/>
      <c r="P9" s="3155"/>
      <c r="Q9" s="3155"/>
      <c r="R9" s="3156"/>
      <c r="S9" s="3171"/>
      <c r="T9" s="3172"/>
      <c r="U9" s="3173" t="s">
        <v>745</v>
      </c>
      <c r="V9" s="2636"/>
      <c r="W9" s="2846"/>
      <c r="X9" s="3174" t="s">
        <v>746</v>
      </c>
      <c r="Y9" s="2695" t="s">
        <v>747</v>
      </c>
      <c r="Z9" s="3175"/>
      <c r="AA9" s="3179" t="s">
        <v>1649</v>
      </c>
      <c r="AB9" s="3158"/>
      <c r="AC9" s="2845" t="s">
        <v>1650</v>
      </c>
      <c r="AD9" s="2636"/>
      <c r="AE9" s="2636"/>
      <c r="AF9" s="2846"/>
      <c r="AG9" s="3169"/>
      <c r="AH9" s="3159"/>
      <c r="AI9" s="3160"/>
      <c r="AJ9" s="3180"/>
      <c r="AK9" s="3160"/>
      <c r="AL9" s="3191"/>
      <c r="AM9" s="3169"/>
      <c r="AN9" s="3163"/>
      <c r="AO9" s="3164"/>
      <c r="AP9" s="3166"/>
      <c r="AQ9" s="3197"/>
      <c r="AR9" s="3166"/>
      <c r="AS9" s="3186"/>
      <c r="AT9" s="3189"/>
      <c r="AU9" s="3182"/>
      <c r="AV9" s="3169"/>
      <c r="AW9" s="3182"/>
      <c r="AX9" s="3180"/>
      <c r="AY9" s="3160"/>
      <c r="AZ9" s="3180"/>
      <c r="BA9" s="3212"/>
      <c r="BB9" s="3182"/>
      <c r="BC9" s="3175"/>
      <c r="BD9" s="3175"/>
      <c r="BE9" s="3169"/>
      <c r="BF9" s="3213"/>
      <c r="BG9" s="3182" t="s">
        <v>1667</v>
      </c>
      <c r="BH9" s="3191" t="s">
        <v>1668</v>
      </c>
      <c r="BI9" s="677"/>
    </row>
    <row r="10" spans="1:61" ht="57" customHeight="1" x14ac:dyDescent="0.35">
      <c r="A10" s="1474"/>
      <c r="B10" s="2572"/>
      <c r="C10" s="3076"/>
      <c r="D10" s="3076"/>
      <c r="E10" s="3076"/>
      <c r="F10" s="3076"/>
      <c r="G10" s="3172"/>
      <c r="H10" s="3183"/>
      <c r="I10" s="3176"/>
      <c r="J10" s="3170"/>
      <c r="K10" s="3214"/>
      <c r="L10" s="3155"/>
      <c r="M10" s="3155"/>
      <c r="N10" s="3156"/>
      <c r="O10" s="3155"/>
      <c r="P10" s="3155"/>
      <c r="Q10" s="3155"/>
      <c r="R10" s="3156"/>
      <c r="S10" s="3171"/>
      <c r="T10" s="3172"/>
      <c r="U10" s="1595" t="s">
        <v>1669</v>
      </c>
      <c r="V10" s="1596" t="s">
        <v>1670</v>
      </c>
      <c r="W10" s="1596" t="s">
        <v>1671</v>
      </c>
      <c r="X10" s="3176"/>
      <c r="Y10" s="2696"/>
      <c r="Z10" s="3176"/>
      <c r="AA10" s="1596" t="s">
        <v>177</v>
      </c>
      <c r="AB10" s="1596" t="s">
        <v>1672</v>
      </c>
      <c r="AC10" s="250" t="s">
        <v>748</v>
      </c>
      <c r="AD10" s="1739" t="s">
        <v>746</v>
      </c>
      <c r="AE10" s="1737" t="s">
        <v>749</v>
      </c>
      <c r="AF10" s="1144" t="s">
        <v>59</v>
      </c>
      <c r="AG10" s="3170"/>
      <c r="AH10" s="1595" t="s">
        <v>1669</v>
      </c>
      <c r="AI10" s="1596" t="s">
        <v>1670</v>
      </c>
      <c r="AJ10" s="1596" t="s">
        <v>177</v>
      </c>
      <c r="AK10" s="1596" t="s">
        <v>1672</v>
      </c>
      <c r="AL10" s="3180"/>
      <c r="AM10" s="3170"/>
      <c r="AN10" s="1596" t="s">
        <v>177</v>
      </c>
      <c r="AO10" s="1596" t="s">
        <v>1672</v>
      </c>
      <c r="AP10" s="3167"/>
      <c r="AQ10" s="3163"/>
      <c r="AR10" s="3167"/>
      <c r="AS10" s="3187"/>
      <c r="AT10" s="3190"/>
      <c r="AU10" s="3183"/>
      <c r="AV10" s="3170"/>
      <c r="AW10" s="3183"/>
      <c r="AX10" s="1596" t="s">
        <v>1673</v>
      </c>
      <c r="AY10" s="1596" t="s">
        <v>1674</v>
      </c>
      <c r="AZ10" s="1596" t="s">
        <v>1675</v>
      </c>
      <c r="BA10" s="1597" t="s">
        <v>1676</v>
      </c>
      <c r="BB10" s="3183"/>
      <c r="BC10" s="3176"/>
      <c r="BD10" s="3176"/>
      <c r="BE10" s="3170"/>
      <c r="BF10" s="3159"/>
      <c r="BG10" s="3183"/>
      <c r="BH10" s="3180"/>
      <c r="BI10" s="1281"/>
    </row>
    <row r="11" spans="1:61" ht="15" customHeight="1" x14ac:dyDescent="0.35">
      <c r="A11" s="259"/>
      <c r="B11" s="1617" t="s">
        <v>59</v>
      </c>
      <c r="C11" s="1478"/>
      <c r="D11" s="1475"/>
      <c r="E11" s="1475"/>
      <c r="F11" s="1475"/>
      <c r="G11" s="1475"/>
      <c r="H11" s="1484"/>
      <c r="I11" s="1485"/>
      <c r="J11" s="1478"/>
      <c r="K11" s="1484"/>
      <c r="L11" s="1593"/>
      <c r="M11" s="1593"/>
      <c r="N11" s="1485"/>
      <c r="O11" s="1485"/>
      <c r="P11" s="1485"/>
      <c r="Q11" s="1485"/>
      <c r="R11" s="1485"/>
      <c r="S11" s="1485"/>
      <c r="T11" s="1477"/>
      <c r="U11" s="1479">
        <f t="shared" ref="U11:AF11" si="0">SUM(U12:U112)</f>
        <v>0</v>
      </c>
      <c r="V11" s="942">
        <f t="shared" si="0"/>
        <v>0</v>
      </c>
      <c r="W11" s="942">
        <f t="shared" si="0"/>
        <v>0</v>
      </c>
      <c r="X11" s="942">
        <f t="shared" si="0"/>
        <v>0</v>
      </c>
      <c r="Y11" s="942">
        <f t="shared" si="0"/>
        <v>0</v>
      </c>
      <c r="Z11" s="942">
        <f t="shared" si="0"/>
        <v>0</v>
      </c>
      <c r="AA11" s="942">
        <f t="shared" si="0"/>
        <v>0</v>
      </c>
      <c r="AB11" s="942">
        <f t="shared" si="0"/>
        <v>0</v>
      </c>
      <c r="AC11" s="942">
        <f t="shared" si="0"/>
        <v>0</v>
      </c>
      <c r="AD11" s="942">
        <f t="shared" si="0"/>
        <v>0</v>
      </c>
      <c r="AE11" s="942">
        <f t="shared" si="0"/>
        <v>0</v>
      </c>
      <c r="AF11" s="942">
        <f t="shared" si="0"/>
        <v>0</v>
      </c>
      <c r="AG11" s="1478"/>
      <c r="AH11" s="1479">
        <f>SUM(AH12:AH112)</f>
        <v>0</v>
      </c>
      <c r="AI11" s="942">
        <f>SUM(AI12:AI112)</f>
        <v>0</v>
      </c>
      <c r="AJ11" s="942">
        <f>SUM(AJ12:AJ112)</f>
        <v>0</v>
      </c>
      <c r="AK11" s="942">
        <f>SUM(AK12:AK112)</f>
        <v>0</v>
      </c>
      <c r="AL11" s="956">
        <f>SUM(AL12:AL112)</f>
        <v>0</v>
      </c>
      <c r="AM11" s="1478"/>
      <c r="AN11" s="1479">
        <f>SUM(AN12:AN112)</f>
        <v>0</v>
      </c>
      <c r="AO11" s="942">
        <f>SUM(AO12:AO112)</f>
        <v>0</v>
      </c>
      <c r="AP11" s="1480">
        <f>SUM(AP12:AP112)</f>
        <v>0</v>
      </c>
      <c r="AQ11" s="1479"/>
      <c r="AR11" s="1742"/>
      <c r="AS11" s="1594">
        <f>SUM(AS12:AS112)</f>
        <v>0</v>
      </c>
      <c r="AT11" s="1738">
        <f>IF(AND(ISNUMBER('General Info'!C66), 'General Info'!C66&gt;0), AS11/'General Info'!$C$66, "")</f>
        <v>0</v>
      </c>
      <c r="AU11" s="1479">
        <f>SUM(AU12:AU112)</f>
        <v>0</v>
      </c>
      <c r="AV11" s="1480">
        <f>SUM(AV12:AV112)</f>
        <v>0</v>
      </c>
      <c r="AW11" s="1476"/>
      <c r="AX11" s="1477"/>
      <c r="AY11" s="1477"/>
      <c r="AZ11" s="1477"/>
      <c r="BA11" s="1478"/>
      <c r="BB11" s="1479">
        <f>SUM(BB12:BB112)</f>
        <v>0</v>
      </c>
      <c r="BC11" s="942">
        <f>SUM(BC12:BC112)</f>
        <v>0</v>
      </c>
      <c r="BD11" s="942">
        <f>SUM(BD12:BD112)</f>
        <v>0</v>
      </c>
      <c r="BE11" s="1480">
        <f>SUM(BE12:BE112)</f>
        <v>0</v>
      </c>
      <c r="BF11" s="1475"/>
      <c r="BG11" s="1479">
        <f>SUM(BG12:BG112)</f>
        <v>0</v>
      </c>
      <c r="BH11" s="956">
        <f>SUM(BH12:BH112)</f>
        <v>0</v>
      </c>
      <c r="BI11" s="279"/>
    </row>
    <row r="12" spans="1:61" ht="15" customHeight="1" x14ac:dyDescent="0.35">
      <c r="A12" s="259"/>
      <c r="B12" s="1494"/>
      <c r="C12" s="1486"/>
      <c r="D12" s="1486"/>
      <c r="E12" s="1591"/>
      <c r="F12" s="1591"/>
      <c r="G12" s="1486"/>
      <c r="H12" s="1493"/>
      <c r="I12" s="1495"/>
      <c r="J12" s="1481"/>
      <c r="K12" s="1495"/>
      <c r="L12" s="1495"/>
      <c r="M12" s="1495"/>
      <c r="N12" s="1495"/>
      <c r="O12" s="1495"/>
      <c r="P12" s="1495"/>
      <c r="Q12" s="1495"/>
      <c r="R12" s="1495"/>
      <c r="S12" s="1495"/>
      <c r="T12" s="1496"/>
      <c r="U12" s="1497"/>
      <c r="V12" s="1299"/>
      <c r="W12" s="1299"/>
      <c r="X12" s="1299"/>
      <c r="Y12" s="1299"/>
      <c r="Z12" s="568" t="str">
        <f>IF(AND(ISNUMBER(W12),ISNUMBER(X12),ISNUMBER(Y12)),SUM(W12,X12,Y12),"")</f>
        <v/>
      </c>
      <c r="AA12" s="1299"/>
      <c r="AB12" s="1299"/>
      <c r="AC12" s="1299"/>
      <c r="AD12" s="1299"/>
      <c r="AE12" s="1299"/>
      <c r="AF12" s="1299"/>
      <c r="AG12" s="1495"/>
      <c r="AH12" s="1008"/>
      <c r="AI12" s="929"/>
      <c r="AJ12" s="929"/>
      <c r="AK12" s="1299"/>
      <c r="AL12" s="1299"/>
      <c r="AM12" s="1481"/>
      <c r="AN12" s="1008"/>
      <c r="AO12" s="929"/>
      <c r="AP12" s="1481"/>
      <c r="AQ12" s="1008"/>
      <c r="AR12" s="1601"/>
      <c r="AS12" s="496"/>
      <c r="AT12" s="1599"/>
      <c r="AU12" s="1008"/>
      <c r="AV12" s="1481"/>
      <c r="AW12" s="1491"/>
      <c r="AX12" s="1498"/>
      <c r="AY12" s="1498"/>
      <c r="AZ12" s="1498"/>
      <c r="BA12" s="1499"/>
      <c r="BB12" s="1497"/>
      <c r="BC12" s="1299"/>
      <c r="BD12" s="1299"/>
      <c r="BE12" s="1481"/>
      <c r="BF12" s="1601"/>
      <c r="BG12" s="1008"/>
      <c r="BH12" s="1299"/>
      <c r="BI12" s="279"/>
    </row>
    <row r="13" spans="1:61" ht="15" customHeight="1" x14ac:dyDescent="0.35">
      <c r="A13" s="259"/>
      <c r="B13" s="1500"/>
      <c r="C13" s="1472"/>
      <c r="D13" s="1472"/>
      <c r="E13" s="1592"/>
      <c r="F13" s="1592"/>
      <c r="G13" s="1472"/>
      <c r="H13" s="1502"/>
      <c r="I13" s="1501"/>
      <c r="J13" s="1483"/>
      <c r="K13" s="1501"/>
      <c r="L13" s="1501"/>
      <c r="M13" s="1501"/>
      <c r="N13" s="1501"/>
      <c r="O13" s="1501"/>
      <c r="P13" s="1501"/>
      <c r="Q13" s="1501"/>
      <c r="R13" s="1501"/>
      <c r="S13" s="1501"/>
      <c r="T13" s="1490"/>
      <c r="U13" s="1503"/>
      <c r="V13" s="138"/>
      <c r="W13" s="138"/>
      <c r="X13" s="138"/>
      <c r="Y13" s="138"/>
      <c r="Z13" s="375" t="str">
        <f t="shared" ref="Z13:Z76" si="1">IF(AND(ISNUMBER(W13),ISNUMBER(X13),ISNUMBER(Y13)),SUM(W13,X13,Y13),"")</f>
        <v/>
      </c>
      <c r="AA13" s="138"/>
      <c r="AB13" s="138"/>
      <c r="AC13" s="138"/>
      <c r="AD13" s="138"/>
      <c r="AE13" s="138"/>
      <c r="AF13" s="138"/>
      <c r="AG13" s="1501"/>
      <c r="AH13" s="1482"/>
      <c r="AI13" s="208"/>
      <c r="AJ13" s="208"/>
      <c r="AK13" s="138"/>
      <c r="AL13" s="138"/>
      <c r="AM13" s="1483"/>
      <c r="AN13" s="1482"/>
      <c r="AO13" s="208"/>
      <c r="AP13" s="1483"/>
      <c r="AQ13" s="1482"/>
      <c r="AR13" s="1602"/>
      <c r="AS13" s="458"/>
      <c r="AT13" s="1600"/>
      <c r="AU13" s="1482"/>
      <c r="AV13" s="1483"/>
      <c r="AW13" s="1487"/>
      <c r="AX13" s="1488"/>
      <c r="AY13" s="1488"/>
      <c r="AZ13" s="1488"/>
      <c r="BA13" s="1489"/>
      <c r="BB13" s="1503"/>
      <c r="BC13" s="138"/>
      <c r="BD13" s="138"/>
      <c r="BE13" s="1483"/>
      <c r="BF13" s="1602"/>
      <c r="BG13" s="1482"/>
      <c r="BH13" s="138"/>
      <c r="BI13" s="279"/>
    </row>
    <row r="14" spans="1:61" ht="15" customHeight="1" x14ac:dyDescent="0.35">
      <c r="A14" s="259"/>
      <c r="B14" s="1500"/>
      <c r="C14" s="1472"/>
      <c r="D14" s="1472"/>
      <c r="E14" s="1592"/>
      <c r="F14" s="1592"/>
      <c r="G14" s="1472"/>
      <c r="H14" s="1502"/>
      <c r="I14" s="1501"/>
      <c r="J14" s="1483"/>
      <c r="K14" s="1501"/>
      <c r="L14" s="1501"/>
      <c r="M14" s="1501"/>
      <c r="N14" s="1501"/>
      <c r="O14" s="1501"/>
      <c r="P14" s="1501"/>
      <c r="Q14" s="1501"/>
      <c r="R14" s="1501"/>
      <c r="S14" s="1501"/>
      <c r="T14" s="1490"/>
      <c r="U14" s="1503"/>
      <c r="V14" s="138"/>
      <c r="W14" s="138"/>
      <c r="X14" s="138"/>
      <c r="Y14" s="138"/>
      <c r="Z14" s="375" t="str">
        <f t="shared" si="1"/>
        <v/>
      </c>
      <c r="AA14" s="138"/>
      <c r="AB14" s="138"/>
      <c r="AC14" s="138"/>
      <c r="AD14" s="138"/>
      <c r="AE14" s="138"/>
      <c r="AF14" s="138"/>
      <c r="AG14" s="1501"/>
      <c r="AH14" s="1482"/>
      <c r="AI14" s="208"/>
      <c r="AJ14" s="208"/>
      <c r="AK14" s="138"/>
      <c r="AL14" s="138"/>
      <c r="AM14" s="1483"/>
      <c r="AN14" s="1482"/>
      <c r="AO14" s="208"/>
      <c r="AP14" s="1483"/>
      <c r="AQ14" s="1482"/>
      <c r="AR14" s="1602"/>
      <c r="AS14" s="458"/>
      <c r="AT14" s="1600"/>
      <c r="AU14" s="1482"/>
      <c r="AV14" s="1483"/>
      <c r="AW14" s="1487"/>
      <c r="AX14" s="1488"/>
      <c r="AY14" s="1488"/>
      <c r="AZ14" s="1488"/>
      <c r="BA14" s="1489"/>
      <c r="BB14" s="1503"/>
      <c r="BC14" s="138"/>
      <c r="BD14" s="138"/>
      <c r="BE14" s="1483"/>
      <c r="BF14" s="1602"/>
      <c r="BG14" s="1482"/>
      <c r="BH14" s="138"/>
      <c r="BI14" s="279"/>
    </row>
    <row r="15" spans="1:61" ht="15" customHeight="1" x14ac:dyDescent="0.35">
      <c r="A15" s="259"/>
      <c r="B15" s="1500"/>
      <c r="C15" s="1472"/>
      <c r="D15" s="1472"/>
      <c r="E15" s="1592"/>
      <c r="F15" s="1592"/>
      <c r="G15" s="1472"/>
      <c r="H15" s="1502"/>
      <c r="I15" s="1501"/>
      <c r="J15" s="1483"/>
      <c r="K15" s="1501"/>
      <c r="L15" s="1501"/>
      <c r="M15" s="1501"/>
      <c r="N15" s="1501"/>
      <c r="O15" s="1501"/>
      <c r="P15" s="1501"/>
      <c r="Q15" s="1501"/>
      <c r="R15" s="1501"/>
      <c r="S15" s="1501"/>
      <c r="T15" s="1490"/>
      <c r="U15" s="1503"/>
      <c r="V15" s="138"/>
      <c r="W15" s="138"/>
      <c r="X15" s="138"/>
      <c r="Y15" s="138"/>
      <c r="Z15" s="375" t="str">
        <f t="shared" si="1"/>
        <v/>
      </c>
      <c r="AA15" s="138"/>
      <c r="AB15" s="138"/>
      <c r="AC15" s="138"/>
      <c r="AD15" s="138"/>
      <c r="AE15" s="138"/>
      <c r="AF15" s="138"/>
      <c r="AG15" s="1501"/>
      <c r="AH15" s="1482"/>
      <c r="AI15" s="208"/>
      <c r="AJ15" s="208"/>
      <c r="AK15" s="138"/>
      <c r="AL15" s="138"/>
      <c r="AM15" s="1483"/>
      <c r="AN15" s="1482"/>
      <c r="AO15" s="208"/>
      <c r="AP15" s="1483"/>
      <c r="AQ15" s="1482"/>
      <c r="AR15" s="1602"/>
      <c r="AS15" s="458"/>
      <c r="AT15" s="1600"/>
      <c r="AU15" s="1482"/>
      <c r="AV15" s="1483"/>
      <c r="AW15" s="1487"/>
      <c r="AX15" s="1488"/>
      <c r="AY15" s="1488"/>
      <c r="AZ15" s="1488"/>
      <c r="BA15" s="1489"/>
      <c r="BB15" s="1503"/>
      <c r="BC15" s="138"/>
      <c r="BD15" s="138"/>
      <c r="BE15" s="1483"/>
      <c r="BF15" s="1602"/>
      <c r="BG15" s="1482"/>
      <c r="BH15" s="138"/>
      <c r="BI15" s="279"/>
    </row>
    <row r="16" spans="1:61" ht="15" customHeight="1" x14ac:dyDescent="0.35">
      <c r="A16" s="259"/>
      <c r="B16" s="1500"/>
      <c r="C16" s="1472"/>
      <c r="D16" s="1472"/>
      <c r="E16" s="1592"/>
      <c r="F16" s="1592"/>
      <c r="G16" s="1472"/>
      <c r="H16" s="1502"/>
      <c r="I16" s="1501"/>
      <c r="J16" s="1483"/>
      <c r="K16" s="1501"/>
      <c r="L16" s="1501"/>
      <c r="M16" s="1501"/>
      <c r="N16" s="1501"/>
      <c r="O16" s="1501"/>
      <c r="P16" s="1501"/>
      <c r="Q16" s="1501"/>
      <c r="R16" s="1501"/>
      <c r="S16" s="1501"/>
      <c r="T16" s="1490"/>
      <c r="U16" s="1503"/>
      <c r="V16" s="138"/>
      <c r="W16" s="138"/>
      <c r="X16" s="138"/>
      <c r="Y16" s="138"/>
      <c r="Z16" s="375" t="str">
        <f t="shared" si="1"/>
        <v/>
      </c>
      <c r="AA16" s="138"/>
      <c r="AB16" s="138"/>
      <c r="AC16" s="138"/>
      <c r="AD16" s="138"/>
      <c r="AE16" s="138"/>
      <c r="AF16" s="138"/>
      <c r="AG16" s="1501"/>
      <c r="AH16" s="1482"/>
      <c r="AI16" s="208"/>
      <c r="AJ16" s="208"/>
      <c r="AK16" s="138"/>
      <c r="AL16" s="138"/>
      <c r="AM16" s="1483"/>
      <c r="AN16" s="1482"/>
      <c r="AO16" s="208"/>
      <c r="AP16" s="1483"/>
      <c r="AQ16" s="1482"/>
      <c r="AR16" s="1602"/>
      <c r="AS16" s="458"/>
      <c r="AT16" s="1600"/>
      <c r="AU16" s="1482"/>
      <c r="AV16" s="1483"/>
      <c r="AW16" s="1487"/>
      <c r="AX16" s="1488"/>
      <c r="AY16" s="1488"/>
      <c r="AZ16" s="1488"/>
      <c r="BA16" s="1489"/>
      <c r="BB16" s="1503"/>
      <c r="BC16" s="138"/>
      <c r="BD16" s="138"/>
      <c r="BE16" s="1483"/>
      <c r="BF16" s="1602"/>
      <c r="BG16" s="1482"/>
      <c r="BH16" s="138"/>
      <c r="BI16" s="279"/>
    </row>
    <row r="17" spans="1:61" ht="15" customHeight="1" x14ac:dyDescent="0.35">
      <c r="A17" s="259"/>
      <c r="B17" s="1500"/>
      <c r="C17" s="1472"/>
      <c r="D17" s="1472"/>
      <c r="E17" s="1592"/>
      <c r="F17" s="1592"/>
      <c r="G17" s="1472"/>
      <c r="H17" s="1502"/>
      <c r="I17" s="1501"/>
      <c r="J17" s="1483"/>
      <c r="K17" s="1501"/>
      <c r="L17" s="1501"/>
      <c r="M17" s="1501"/>
      <c r="N17" s="1501"/>
      <c r="O17" s="1501"/>
      <c r="P17" s="1501"/>
      <c r="Q17" s="1501"/>
      <c r="R17" s="1501"/>
      <c r="S17" s="1501"/>
      <c r="T17" s="1490"/>
      <c r="U17" s="1503"/>
      <c r="V17" s="138"/>
      <c r="W17" s="138"/>
      <c r="X17" s="138"/>
      <c r="Y17" s="138"/>
      <c r="Z17" s="375" t="str">
        <f t="shared" si="1"/>
        <v/>
      </c>
      <c r="AA17" s="138"/>
      <c r="AB17" s="138"/>
      <c r="AC17" s="138"/>
      <c r="AD17" s="138"/>
      <c r="AE17" s="138"/>
      <c r="AF17" s="138"/>
      <c r="AG17" s="1501"/>
      <c r="AH17" s="1482"/>
      <c r="AI17" s="208"/>
      <c r="AJ17" s="208"/>
      <c r="AK17" s="138"/>
      <c r="AL17" s="138"/>
      <c r="AM17" s="1483"/>
      <c r="AN17" s="1482"/>
      <c r="AO17" s="208"/>
      <c r="AP17" s="1483"/>
      <c r="AQ17" s="1482"/>
      <c r="AR17" s="1602"/>
      <c r="AS17" s="458"/>
      <c r="AT17" s="1600"/>
      <c r="AU17" s="1482"/>
      <c r="AV17" s="1483"/>
      <c r="AW17" s="1487"/>
      <c r="AX17" s="1488"/>
      <c r="AY17" s="1488"/>
      <c r="AZ17" s="1488"/>
      <c r="BA17" s="1489"/>
      <c r="BB17" s="1503"/>
      <c r="BC17" s="138"/>
      <c r="BD17" s="138"/>
      <c r="BE17" s="1483"/>
      <c r="BF17" s="1602"/>
      <c r="BG17" s="1482"/>
      <c r="BH17" s="138"/>
      <c r="BI17" s="279"/>
    </row>
    <row r="18" spans="1:61" ht="15" customHeight="1" x14ac:dyDescent="0.35">
      <c r="A18" s="259"/>
      <c r="B18" s="1500"/>
      <c r="C18" s="1472"/>
      <c r="D18" s="1472"/>
      <c r="E18" s="1592"/>
      <c r="F18" s="1592"/>
      <c r="G18" s="1472"/>
      <c r="H18" s="1502"/>
      <c r="I18" s="1501"/>
      <c r="J18" s="1483"/>
      <c r="K18" s="1501"/>
      <c r="L18" s="1501"/>
      <c r="M18" s="1501"/>
      <c r="N18" s="1501"/>
      <c r="O18" s="1501"/>
      <c r="P18" s="1501"/>
      <c r="Q18" s="1501"/>
      <c r="R18" s="1501"/>
      <c r="S18" s="1501"/>
      <c r="T18" s="1490"/>
      <c r="U18" s="1503"/>
      <c r="V18" s="138"/>
      <c r="W18" s="138"/>
      <c r="X18" s="138"/>
      <c r="Y18" s="138"/>
      <c r="Z18" s="375" t="str">
        <f t="shared" si="1"/>
        <v/>
      </c>
      <c r="AA18" s="138"/>
      <c r="AB18" s="138"/>
      <c r="AC18" s="138"/>
      <c r="AD18" s="138"/>
      <c r="AE18" s="138"/>
      <c r="AF18" s="138"/>
      <c r="AG18" s="1501"/>
      <c r="AH18" s="1482"/>
      <c r="AI18" s="208"/>
      <c r="AJ18" s="208"/>
      <c r="AK18" s="138"/>
      <c r="AL18" s="138"/>
      <c r="AM18" s="1483"/>
      <c r="AN18" s="1482"/>
      <c r="AO18" s="208"/>
      <c r="AP18" s="1483"/>
      <c r="AQ18" s="1482"/>
      <c r="AR18" s="1602"/>
      <c r="AS18" s="458"/>
      <c r="AT18" s="1600"/>
      <c r="AU18" s="1482"/>
      <c r="AV18" s="1483"/>
      <c r="AW18" s="1487"/>
      <c r="AX18" s="1488"/>
      <c r="AY18" s="1488"/>
      <c r="AZ18" s="1488"/>
      <c r="BA18" s="1489"/>
      <c r="BB18" s="1503"/>
      <c r="BC18" s="138"/>
      <c r="BD18" s="138"/>
      <c r="BE18" s="1483"/>
      <c r="BF18" s="1602"/>
      <c r="BG18" s="1482"/>
      <c r="BH18" s="138"/>
      <c r="BI18" s="279"/>
    </row>
    <row r="19" spans="1:61" ht="15" customHeight="1" x14ac:dyDescent="0.35">
      <c r="A19" s="259"/>
      <c r="B19" s="1500"/>
      <c r="C19" s="1472"/>
      <c r="D19" s="1472"/>
      <c r="E19" s="1592"/>
      <c r="F19" s="1592"/>
      <c r="G19" s="1472"/>
      <c r="H19" s="1502"/>
      <c r="I19" s="1501"/>
      <c r="J19" s="1483"/>
      <c r="K19" s="1501"/>
      <c r="L19" s="1501"/>
      <c r="M19" s="1501"/>
      <c r="N19" s="1501"/>
      <c r="O19" s="1501"/>
      <c r="P19" s="1501"/>
      <c r="Q19" s="1501"/>
      <c r="R19" s="1501"/>
      <c r="S19" s="1501"/>
      <c r="T19" s="1490"/>
      <c r="U19" s="1503"/>
      <c r="V19" s="138"/>
      <c r="W19" s="138"/>
      <c r="X19" s="138"/>
      <c r="Y19" s="138"/>
      <c r="Z19" s="375" t="str">
        <f t="shared" si="1"/>
        <v/>
      </c>
      <c r="AA19" s="138"/>
      <c r="AB19" s="138"/>
      <c r="AC19" s="138"/>
      <c r="AD19" s="138"/>
      <c r="AE19" s="138"/>
      <c r="AF19" s="138"/>
      <c r="AG19" s="1501"/>
      <c r="AH19" s="1482"/>
      <c r="AI19" s="208"/>
      <c r="AJ19" s="208"/>
      <c r="AK19" s="138"/>
      <c r="AL19" s="138"/>
      <c r="AM19" s="1483"/>
      <c r="AN19" s="1482"/>
      <c r="AO19" s="208"/>
      <c r="AP19" s="1483"/>
      <c r="AQ19" s="1482"/>
      <c r="AR19" s="1602"/>
      <c r="AS19" s="458"/>
      <c r="AT19" s="1600"/>
      <c r="AU19" s="1482"/>
      <c r="AV19" s="1483"/>
      <c r="AW19" s="1487"/>
      <c r="AX19" s="1488"/>
      <c r="AY19" s="1488"/>
      <c r="AZ19" s="1488"/>
      <c r="BA19" s="1489"/>
      <c r="BB19" s="1503"/>
      <c r="BC19" s="138"/>
      <c r="BD19" s="138"/>
      <c r="BE19" s="1483"/>
      <c r="BF19" s="1602"/>
      <c r="BG19" s="1482"/>
      <c r="BH19" s="138"/>
      <c r="BI19" s="279"/>
    </row>
    <row r="20" spans="1:61" ht="15" customHeight="1" x14ac:dyDescent="0.35">
      <c r="A20" s="259"/>
      <c r="B20" s="1500"/>
      <c r="C20" s="1472"/>
      <c r="D20" s="1472"/>
      <c r="E20" s="1592"/>
      <c r="F20" s="1592"/>
      <c r="G20" s="1472"/>
      <c r="H20" s="1502"/>
      <c r="I20" s="1501"/>
      <c r="J20" s="1483"/>
      <c r="K20" s="1501"/>
      <c r="L20" s="1501"/>
      <c r="M20" s="1501"/>
      <c r="N20" s="1501"/>
      <c r="O20" s="1501"/>
      <c r="P20" s="1501"/>
      <c r="Q20" s="1501"/>
      <c r="R20" s="1501"/>
      <c r="S20" s="1501"/>
      <c r="T20" s="1490"/>
      <c r="U20" s="1503"/>
      <c r="V20" s="138"/>
      <c r="W20" s="138"/>
      <c r="X20" s="138"/>
      <c r="Y20" s="138"/>
      <c r="Z20" s="375" t="str">
        <f t="shared" si="1"/>
        <v/>
      </c>
      <c r="AA20" s="138"/>
      <c r="AB20" s="138"/>
      <c r="AC20" s="138"/>
      <c r="AD20" s="138"/>
      <c r="AE20" s="138"/>
      <c r="AF20" s="138"/>
      <c r="AG20" s="1501"/>
      <c r="AH20" s="1482"/>
      <c r="AI20" s="208"/>
      <c r="AJ20" s="208"/>
      <c r="AK20" s="138"/>
      <c r="AL20" s="138"/>
      <c r="AM20" s="1483"/>
      <c r="AN20" s="1482"/>
      <c r="AO20" s="208"/>
      <c r="AP20" s="1483"/>
      <c r="AQ20" s="1482"/>
      <c r="AR20" s="1602"/>
      <c r="AS20" s="458"/>
      <c r="AT20" s="1600"/>
      <c r="AU20" s="1482"/>
      <c r="AV20" s="1483"/>
      <c r="AW20" s="1487"/>
      <c r="AX20" s="1488"/>
      <c r="AY20" s="1488"/>
      <c r="AZ20" s="1488"/>
      <c r="BA20" s="1489"/>
      <c r="BB20" s="1503"/>
      <c r="BC20" s="138"/>
      <c r="BD20" s="138"/>
      <c r="BE20" s="1483"/>
      <c r="BF20" s="1602"/>
      <c r="BG20" s="1482"/>
      <c r="BH20" s="138"/>
      <c r="BI20" s="279"/>
    </row>
    <row r="21" spans="1:61" ht="15" customHeight="1" x14ac:dyDescent="0.35">
      <c r="A21" s="259"/>
      <c r="B21" s="1500"/>
      <c r="C21" s="1472"/>
      <c r="D21" s="1472"/>
      <c r="E21" s="1592"/>
      <c r="F21" s="1592"/>
      <c r="G21" s="1472"/>
      <c r="H21" s="1502"/>
      <c r="I21" s="1501"/>
      <c r="J21" s="1483"/>
      <c r="K21" s="1501"/>
      <c r="L21" s="1501"/>
      <c r="M21" s="1501"/>
      <c r="N21" s="1501"/>
      <c r="O21" s="1501"/>
      <c r="P21" s="1501"/>
      <c r="Q21" s="1501"/>
      <c r="R21" s="1501"/>
      <c r="S21" s="1501"/>
      <c r="T21" s="1490"/>
      <c r="U21" s="1503"/>
      <c r="V21" s="138"/>
      <c r="W21" s="138"/>
      <c r="X21" s="138"/>
      <c r="Y21" s="138"/>
      <c r="Z21" s="375" t="str">
        <f t="shared" si="1"/>
        <v/>
      </c>
      <c r="AA21" s="138"/>
      <c r="AB21" s="138"/>
      <c r="AC21" s="138"/>
      <c r="AD21" s="138"/>
      <c r="AE21" s="138"/>
      <c r="AF21" s="138"/>
      <c r="AG21" s="1501"/>
      <c r="AH21" s="1482"/>
      <c r="AI21" s="208"/>
      <c r="AJ21" s="208"/>
      <c r="AK21" s="138"/>
      <c r="AL21" s="138"/>
      <c r="AM21" s="1483"/>
      <c r="AN21" s="1482"/>
      <c r="AO21" s="208"/>
      <c r="AP21" s="1483"/>
      <c r="AQ21" s="1482"/>
      <c r="AR21" s="1602"/>
      <c r="AS21" s="458"/>
      <c r="AT21" s="1600"/>
      <c r="AU21" s="1482"/>
      <c r="AV21" s="1483"/>
      <c r="AW21" s="1487"/>
      <c r="AX21" s="1488"/>
      <c r="AY21" s="1488"/>
      <c r="AZ21" s="1488"/>
      <c r="BA21" s="1489"/>
      <c r="BB21" s="1503"/>
      <c r="BC21" s="138"/>
      <c r="BD21" s="138"/>
      <c r="BE21" s="1483"/>
      <c r="BF21" s="1602"/>
      <c r="BG21" s="1482"/>
      <c r="BH21" s="138"/>
      <c r="BI21" s="279"/>
    </row>
    <row r="22" spans="1:61" ht="15" customHeight="1" x14ac:dyDescent="0.35">
      <c r="A22" s="259"/>
      <c r="B22" s="1500"/>
      <c r="C22" s="1472"/>
      <c r="D22" s="1472"/>
      <c r="E22" s="1592"/>
      <c r="F22" s="1592"/>
      <c r="G22" s="1472"/>
      <c r="H22" s="1502"/>
      <c r="I22" s="1501"/>
      <c r="J22" s="1483"/>
      <c r="K22" s="1501"/>
      <c r="L22" s="1501"/>
      <c r="M22" s="1501"/>
      <c r="N22" s="1501"/>
      <c r="O22" s="1501"/>
      <c r="P22" s="1501"/>
      <c r="Q22" s="1501"/>
      <c r="R22" s="1501"/>
      <c r="S22" s="1501"/>
      <c r="T22" s="1490"/>
      <c r="U22" s="1503"/>
      <c r="V22" s="138"/>
      <c r="W22" s="138"/>
      <c r="X22" s="138"/>
      <c r="Y22" s="138"/>
      <c r="Z22" s="375" t="str">
        <f t="shared" si="1"/>
        <v/>
      </c>
      <c r="AA22" s="138"/>
      <c r="AB22" s="138"/>
      <c r="AC22" s="138"/>
      <c r="AD22" s="138"/>
      <c r="AE22" s="138"/>
      <c r="AF22" s="138"/>
      <c r="AG22" s="1501"/>
      <c r="AH22" s="1482"/>
      <c r="AI22" s="208"/>
      <c r="AJ22" s="208"/>
      <c r="AK22" s="138"/>
      <c r="AL22" s="138"/>
      <c r="AM22" s="1483"/>
      <c r="AN22" s="1482"/>
      <c r="AO22" s="208"/>
      <c r="AP22" s="1483"/>
      <c r="AQ22" s="1482"/>
      <c r="AR22" s="1602"/>
      <c r="AS22" s="458"/>
      <c r="AT22" s="1600"/>
      <c r="AU22" s="1482"/>
      <c r="AV22" s="1483"/>
      <c r="AW22" s="1487"/>
      <c r="AX22" s="1488"/>
      <c r="AY22" s="1488"/>
      <c r="AZ22" s="1488"/>
      <c r="BA22" s="1489"/>
      <c r="BB22" s="1503"/>
      <c r="BC22" s="138"/>
      <c r="BD22" s="138"/>
      <c r="BE22" s="1483"/>
      <c r="BF22" s="1602"/>
      <c r="BG22" s="1482"/>
      <c r="BH22" s="138"/>
      <c r="BI22" s="279"/>
    </row>
    <row r="23" spans="1:61" ht="15" customHeight="1" x14ac:dyDescent="0.35">
      <c r="A23" s="259"/>
      <c r="B23" s="1500"/>
      <c r="C23" s="1472"/>
      <c r="D23" s="1472"/>
      <c r="E23" s="1592"/>
      <c r="F23" s="1592"/>
      <c r="G23" s="1472"/>
      <c r="H23" s="1502"/>
      <c r="I23" s="1501"/>
      <c r="J23" s="1483"/>
      <c r="K23" s="1501"/>
      <c r="L23" s="1501"/>
      <c r="M23" s="1501"/>
      <c r="N23" s="1501"/>
      <c r="O23" s="1501"/>
      <c r="P23" s="1501"/>
      <c r="Q23" s="1501"/>
      <c r="R23" s="1501"/>
      <c r="S23" s="1501"/>
      <c r="T23" s="1490"/>
      <c r="U23" s="1503"/>
      <c r="V23" s="138"/>
      <c r="W23" s="138"/>
      <c r="X23" s="138"/>
      <c r="Y23" s="138"/>
      <c r="Z23" s="375" t="str">
        <f t="shared" si="1"/>
        <v/>
      </c>
      <c r="AA23" s="138"/>
      <c r="AB23" s="138"/>
      <c r="AC23" s="138"/>
      <c r="AD23" s="138"/>
      <c r="AE23" s="138"/>
      <c r="AF23" s="138"/>
      <c r="AG23" s="1501"/>
      <c r="AH23" s="1482"/>
      <c r="AI23" s="208"/>
      <c r="AJ23" s="208"/>
      <c r="AK23" s="138"/>
      <c r="AL23" s="138"/>
      <c r="AM23" s="1483"/>
      <c r="AN23" s="1482"/>
      <c r="AO23" s="208"/>
      <c r="AP23" s="1483"/>
      <c r="AQ23" s="1482"/>
      <c r="AR23" s="1602"/>
      <c r="AS23" s="458"/>
      <c r="AT23" s="1600"/>
      <c r="AU23" s="1482"/>
      <c r="AV23" s="1483"/>
      <c r="AW23" s="1487"/>
      <c r="AX23" s="1488"/>
      <c r="AY23" s="1488"/>
      <c r="AZ23" s="1488"/>
      <c r="BA23" s="1489"/>
      <c r="BB23" s="1503"/>
      <c r="BC23" s="138"/>
      <c r="BD23" s="138"/>
      <c r="BE23" s="1483"/>
      <c r="BF23" s="1602"/>
      <c r="BG23" s="1482"/>
      <c r="BH23" s="138"/>
      <c r="BI23" s="279"/>
    </row>
    <row r="24" spans="1:61" ht="15" customHeight="1" x14ac:dyDescent="0.35">
      <c r="A24" s="259"/>
      <c r="B24" s="1500"/>
      <c r="C24" s="1472"/>
      <c r="D24" s="1472"/>
      <c r="E24" s="1592"/>
      <c r="F24" s="1592"/>
      <c r="G24" s="1472"/>
      <c r="H24" s="1502"/>
      <c r="I24" s="1501"/>
      <c r="J24" s="1483"/>
      <c r="K24" s="1501"/>
      <c r="L24" s="1501"/>
      <c r="M24" s="1501"/>
      <c r="N24" s="1501"/>
      <c r="O24" s="1501"/>
      <c r="P24" s="1501"/>
      <c r="Q24" s="1501"/>
      <c r="R24" s="1501"/>
      <c r="S24" s="1501"/>
      <c r="T24" s="1490"/>
      <c r="U24" s="1503"/>
      <c r="V24" s="138"/>
      <c r="W24" s="138"/>
      <c r="X24" s="138"/>
      <c r="Y24" s="138"/>
      <c r="Z24" s="375" t="str">
        <f t="shared" si="1"/>
        <v/>
      </c>
      <c r="AA24" s="138"/>
      <c r="AB24" s="138"/>
      <c r="AC24" s="138"/>
      <c r="AD24" s="138"/>
      <c r="AE24" s="138"/>
      <c r="AF24" s="138"/>
      <c r="AG24" s="1501"/>
      <c r="AH24" s="1482"/>
      <c r="AI24" s="208"/>
      <c r="AJ24" s="208"/>
      <c r="AK24" s="138"/>
      <c r="AL24" s="138"/>
      <c r="AM24" s="1483"/>
      <c r="AN24" s="1482"/>
      <c r="AO24" s="208"/>
      <c r="AP24" s="1483"/>
      <c r="AQ24" s="1482"/>
      <c r="AR24" s="1602"/>
      <c r="AS24" s="458"/>
      <c r="AT24" s="1600"/>
      <c r="AU24" s="1482"/>
      <c r="AV24" s="1483"/>
      <c r="AW24" s="1487"/>
      <c r="AX24" s="1488"/>
      <c r="AY24" s="1488"/>
      <c r="AZ24" s="1488"/>
      <c r="BA24" s="1489"/>
      <c r="BB24" s="1503"/>
      <c r="BC24" s="138"/>
      <c r="BD24" s="138"/>
      <c r="BE24" s="1483"/>
      <c r="BF24" s="1602"/>
      <c r="BG24" s="1482"/>
      <c r="BH24" s="138"/>
      <c r="BI24" s="279"/>
    </row>
    <row r="25" spans="1:61" ht="15" customHeight="1" x14ac:dyDescent="0.35">
      <c r="A25" s="259"/>
      <c r="B25" s="1500"/>
      <c r="C25" s="1472"/>
      <c r="D25" s="1472"/>
      <c r="E25" s="1592"/>
      <c r="F25" s="1592"/>
      <c r="G25" s="1472"/>
      <c r="H25" s="1502"/>
      <c r="I25" s="1501"/>
      <c r="J25" s="1483"/>
      <c r="K25" s="1501"/>
      <c r="L25" s="1501"/>
      <c r="M25" s="1501"/>
      <c r="N25" s="1501"/>
      <c r="O25" s="1501"/>
      <c r="P25" s="1501"/>
      <c r="Q25" s="1501"/>
      <c r="R25" s="1501"/>
      <c r="S25" s="1501"/>
      <c r="T25" s="1490"/>
      <c r="U25" s="1503"/>
      <c r="V25" s="138"/>
      <c r="W25" s="138"/>
      <c r="X25" s="138"/>
      <c r="Y25" s="138"/>
      <c r="Z25" s="375" t="str">
        <f t="shared" si="1"/>
        <v/>
      </c>
      <c r="AA25" s="138"/>
      <c r="AB25" s="138"/>
      <c r="AC25" s="138"/>
      <c r="AD25" s="138"/>
      <c r="AE25" s="138"/>
      <c r="AF25" s="138"/>
      <c r="AG25" s="1501"/>
      <c r="AH25" s="1482"/>
      <c r="AI25" s="208"/>
      <c r="AJ25" s="208"/>
      <c r="AK25" s="138"/>
      <c r="AL25" s="138"/>
      <c r="AM25" s="1483"/>
      <c r="AN25" s="1482"/>
      <c r="AO25" s="208"/>
      <c r="AP25" s="1483"/>
      <c r="AQ25" s="1482"/>
      <c r="AR25" s="1602"/>
      <c r="AS25" s="458"/>
      <c r="AT25" s="1600"/>
      <c r="AU25" s="1482"/>
      <c r="AV25" s="1483"/>
      <c r="AW25" s="1487"/>
      <c r="AX25" s="1488"/>
      <c r="AY25" s="1488"/>
      <c r="AZ25" s="1488"/>
      <c r="BA25" s="1489"/>
      <c r="BB25" s="1503"/>
      <c r="BC25" s="138"/>
      <c r="BD25" s="138"/>
      <c r="BE25" s="1483"/>
      <c r="BF25" s="1602"/>
      <c r="BG25" s="1482"/>
      <c r="BH25" s="138"/>
      <c r="BI25" s="279"/>
    </row>
    <row r="26" spans="1:61" ht="15" customHeight="1" x14ac:dyDescent="0.35">
      <c r="A26" s="259"/>
      <c r="B26" s="1500"/>
      <c r="C26" s="1472"/>
      <c r="D26" s="1472"/>
      <c r="E26" s="1592"/>
      <c r="F26" s="1592"/>
      <c r="G26" s="1472"/>
      <c r="H26" s="1502"/>
      <c r="I26" s="1501"/>
      <c r="J26" s="1483"/>
      <c r="K26" s="1501"/>
      <c r="L26" s="1501"/>
      <c r="M26" s="1501"/>
      <c r="N26" s="1501"/>
      <c r="O26" s="1501"/>
      <c r="P26" s="1501"/>
      <c r="Q26" s="1501"/>
      <c r="R26" s="1501"/>
      <c r="S26" s="1501"/>
      <c r="T26" s="1490"/>
      <c r="U26" s="1503"/>
      <c r="V26" s="138"/>
      <c r="W26" s="138"/>
      <c r="X26" s="138"/>
      <c r="Y26" s="138"/>
      <c r="Z26" s="375" t="str">
        <f t="shared" si="1"/>
        <v/>
      </c>
      <c r="AA26" s="138"/>
      <c r="AB26" s="138"/>
      <c r="AC26" s="138"/>
      <c r="AD26" s="138"/>
      <c r="AE26" s="138"/>
      <c r="AF26" s="138"/>
      <c r="AG26" s="1501"/>
      <c r="AH26" s="1482"/>
      <c r="AI26" s="208"/>
      <c r="AJ26" s="208"/>
      <c r="AK26" s="138"/>
      <c r="AL26" s="138"/>
      <c r="AM26" s="1483"/>
      <c r="AN26" s="1482"/>
      <c r="AO26" s="208"/>
      <c r="AP26" s="1483"/>
      <c r="AQ26" s="1482"/>
      <c r="AR26" s="1602"/>
      <c r="AS26" s="458"/>
      <c r="AT26" s="1600"/>
      <c r="AU26" s="1482"/>
      <c r="AV26" s="1483"/>
      <c r="AW26" s="1487"/>
      <c r="AX26" s="1488"/>
      <c r="AY26" s="1488"/>
      <c r="AZ26" s="1488"/>
      <c r="BA26" s="1489"/>
      <c r="BB26" s="1503"/>
      <c r="BC26" s="138"/>
      <c r="BD26" s="138"/>
      <c r="BE26" s="1483"/>
      <c r="BF26" s="1602"/>
      <c r="BG26" s="1482"/>
      <c r="BH26" s="138"/>
      <c r="BI26" s="279"/>
    </row>
    <row r="27" spans="1:61" ht="15" customHeight="1" x14ac:dyDescent="0.35">
      <c r="A27" s="259"/>
      <c r="B27" s="1500"/>
      <c r="C27" s="1472"/>
      <c r="D27" s="1472"/>
      <c r="E27" s="1592"/>
      <c r="F27" s="1592"/>
      <c r="G27" s="1472"/>
      <c r="H27" s="1502"/>
      <c r="I27" s="1501"/>
      <c r="J27" s="1483"/>
      <c r="K27" s="1501"/>
      <c r="L27" s="1501"/>
      <c r="M27" s="1501"/>
      <c r="N27" s="1501"/>
      <c r="O27" s="1501"/>
      <c r="P27" s="1501"/>
      <c r="Q27" s="1501"/>
      <c r="R27" s="1501"/>
      <c r="S27" s="1501"/>
      <c r="T27" s="1490"/>
      <c r="U27" s="1503"/>
      <c r="V27" s="138"/>
      <c r="W27" s="138"/>
      <c r="X27" s="138"/>
      <c r="Y27" s="138"/>
      <c r="Z27" s="375" t="str">
        <f t="shared" si="1"/>
        <v/>
      </c>
      <c r="AA27" s="138"/>
      <c r="AB27" s="138"/>
      <c r="AC27" s="138"/>
      <c r="AD27" s="138"/>
      <c r="AE27" s="138"/>
      <c r="AF27" s="138"/>
      <c r="AG27" s="1501"/>
      <c r="AH27" s="1482"/>
      <c r="AI27" s="208"/>
      <c r="AJ27" s="208"/>
      <c r="AK27" s="138"/>
      <c r="AL27" s="138"/>
      <c r="AM27" s="1483"/>
      <c r="AN27" s="1482"/>
      <c r="AO27" s="208"/>
      <c r="AP27" s="1483"/>
      <c r="AQ27" s="1482"/>
      <c r="AR27" s="1602"/>
      <c r="AS27" s="458"/>
      <c r="AT27" s="1600"/>
      <c r="AU27" s="1482"/>
      <c r="AV27" s="1483"/>
      <c r="AW27" s="1487"/>
      <c r="AX27" s="1488"/>
      <c r="AY27" s="1488"/>
      <c r="AZ27" s="1488"/>
      <c r="BA27" s="1489"/>
      <c r="BB27" s="1503"/>
      <c r="BC27" s="138"/>
      <c r="BD27" s="138"/>
      <c r="BE27" s="1483"/>
      <c r="BF27" s="1602"/>
      <c r="BG27" s="1482"/>
      <c r="BH27" s="138"/>
      <c r="BI27" s="279"/>
    </row>
    <row r="28" spans="1:61" ht="15" customHeight="1" x14ac:dyDescent="0.35">
      <c r="A28" s="259"/>
      <c r="B28" s="1500"/>
      <c r="C28" s="1472"/>
      <c r="D28" s="1472"/>
      <c r="E28" s="1592"/>
      <c r="F28" s="1592"/>
      <c r="G28" s="1472"/>
      <c r="H28" s="1502"/>
      <c r="I28" s="1501"/>
      <c r="J28" s="1483"/>
      <c r="K28" s="1501"/>
      <c r="L28" s="1501"/>
      <c r="M28" s="1501"/>
      <c r="N28" s="1501"/>
      <c r="O28" s="1501"/>
      <c r="P28" s="1501"/>
      <c r="Q28" s="1501"/>
      <c r="R28" s="1501"/>
      <c r="S28" s="1501"/>
      <c r="T28" s="1490"/>
      <c r="U28" s="1503"/>
      <c r="V28" s="138"/>
      <c r="W28" s="138"/>
      <c r="X28" s="138"/>
      <c r="Y28" s="138"/>
      <c r="Z28" s="375" t="str">
        <f t="shared" si="1"/>
        <v/>
      </c>
      <c r="AA28" s="138"/>
      <c r="AB28" s="138"/>
      <c r="AC28" s="138"/>
      <c r="AD28" s="138"/>
      <c r="AE28" s="138"/>
      <c r="AF28" s="138"/>
      <c r="AG28" s="1501"/>
      <c r="AH28" s="1482"/>
      <c r="AI28" s="208"/>
      <c r="AJ28" s="208"/>
      <c r="AK28" s="138"/>
      <c r="AL28" s="138"/>
      <c r="AM28" s="1483"/>
      <c r="AN28" s="1482"/>
      <c r="AO28" s="208"/>
      <c r="AP28" s="1483"/>
      <c r="AQ28" s="1482"/>
      <c r="AR28" s="1602"/>
      <c r="AS28" s="458"/>
      <c r="AT28" s="1600"/>
      <c r="AU28" s="1482"/>
      <c r="AV28" s="1483"/>
      <c r="AW28" s="1487"/>
      <c r="AX28" s="1488"/>
      <c r="AY28" s="1488"/>
      <c r="AZ28" s="1488"/>
      <c r="BA28" s="1489"/>
      <c r="BB28" s="1503"/>
      <c r="BC28" s="138"/>
      <c r="BD28" s="138"/>
      <c r="BE28" s="1483"/>
      <c r="BF28" s="1602"/>
      <c r="BG28" s="1482"/>
      <c r="BH28" s="138"/>
      <c r="BI28" s="279"/>
    </row>
    <row r="29" spans="1:61" ht="15" customHeight="1" x14ac:dyDescent="0.35">
      <c r="A29" s="259"/>
      <c r="B29" s="1500"/>
      <c r="C29" s="1472"/>
      <c r="D29" s="1472"/>
      <c r="E29" s="1592"/>
      <c r="F29" s="1592"/>
      <c r="G29" s="1472"/>
      <c r="H29" s="1502"/>
      <c r="I29" s="1501"/>
      <c r="J29" s="1483"/>
      <c r="K29" s="1501"/>
      <c r="L29" s="1501"/>
      <c r="M29" s="1501"/>
      <c r="N29" s="1501"/>
      <c r="O29" s="1501"/>
      <c r="P29" s="1501"/>
      <c r="Q29" s="1501"/>
      <c r="R29" s="1501"/>
      <c r="S29" s="1501"/>
      <c r="T29" s="1490"/>
      <c r="U29" s="1503"/>
      <c r="V29" s="138"/>
      <c r="W29" s="138"/>
      <c r="X29" s="138"/>
      <c r="Y29" s="138"/>
      <c r="Z29" s="375" t="str">
        <f t="shared" si="1"/>
        <v/>
      </c>
      <c r="AA29" s="138"/>
      <c r="AB29" s="138"/>
      <c r="AC29" s="138"/>
      <c r="AD29" s="138"/>
      <c r="AE29" s="138"/>
      <c r="AF29" s="138"/>
      <c r="AG29" s="1501"/>
      <c r="AH29" s="1482"/>
      <c r="AI29" s="208"/>
      <c r="AJ29" s="208"/>
      <c r="AK29" s="138"/>
      <c r="AL29" s="138"/>
      <c r="AM29" s="1483"/>
      <c r="AN29" s="1482"/>
      <c r="AO29" s="208"/>
      <c r="AP29" s="1483"/>
      <c r="AQ29" s="1482"/>
      <c r="AR29" s="1602"/>
      <c r="AS29" s="458"/>
      <c r="AT29" s="1600"/>
      <c r="AU29" s="1482"/>
      <c r="AV29" s="1483"/>
      <c r="AW29" s="1487"/>
      <c r="AX29" s="1488"/>
      <c r="AY29" s="1488"/>
      <c r="AZ29" s="1488"/>
      <c r="BA29" s="1489"/>
      <c r="BB29" s="1503"/>
      <c r="BC29" s="138"/>
      <c r="BD29" s="138"/>
      <c r="BE29" s="1483"/>
      <c r="BF29" s="1602"/>
      <c r="BG29" s="1482"/>
      <c r="BH29" s="138"/>
      <c r="BI29" s="279"/>
    </row>
    <row r="30" spans="1:61" ht="15" customHeight="1" x14ac:dyDescent="0.35">
      <c r="A30" s="259"/>
      <c r="B30" s="1500"/>
      <c r="C30" s="1472"/>
      <c r="D30" s="1472"/>
      <c r="E30" s="1592"/>
      <c r="F30" s="1592"/>
      <c r="G30" s="1472"/>
      <c r="H30" s="1502"/>
      <c r="I30" s="1501"/>
      <c r="J30" s="1483"/>
      <c r="K30" s="1501"/>
      <c r="L30" s="1501"/>
      <c r="M30" s="1501"/>
      <c r="N30" s="1501"/>
      <c r="O30" s="1501"/>
      <c r="P30" s="1501"/>
      <c r="Q30" s="1501"/>
      <c r="R30" s="1501"/>
      <c r="S30" s="1501"/>
      <c r="T30" s="1490"/>
      <c r="U30" s="1503"/>
      <c r="V30" s="138"/>
      <c r="W30" s="138"/>
      <c r="X30" s="138"/>
      <c r="Y30" s="138"/>
      <c r="Z30" s="375" t="str">
        <f t="shared" si="1"/>
        <v/>
      </c>
      <c r="AA30" s="138"/>
      <c r="AB30" s="138"/>
      <c r="AC30" s="138"/>
      <c r="AD30" s="138"/>
      <c r="AE30" s="138"/>
      <c r="AF30" s="138"/>
      <c r="AG30" s="1501"/>
      <c r="AH30" s="1482"/>
      <c r="AI30" s="208"/>
      <c r="AJ30" s="208"/>
      <c r="AK30" s="138"/>
      <c r="AL30" s="138"/>
      <c r="AM30" s="1483"/>
      <c r="AN30" s="1482"/>
      <c r="AO30" s="208"/>
      <c r="AP30" s="1483"/>
      <c r="AQ30" s="1482"/>
      <c r="AR30" s="1602"/>
      <c r="AS30" s="458"/>
      <c r="AT30" s="1600"/>
      <c r="AU30" s="1482"/>
      <c r="AV30" s="1483"/>
      <c r="AW30" s="1487"/>
      <c r="AX30" s="1488"/>
      <c r="AY30" s="1488"/>
      <c r="AZ30" s="1488"/>
      <c r="BA30" s="1489"/>
      <c r="BB30" s="1503"/>
      <c r="BC30" s="138"/>
      <c r="BD30" s="138"/>
      <c r="BE30" s="1483"/>
      <c r="BF30" s="1602"/>
      <c r="BG30" s="1482"/>
      <c r="BH30" s="138"/>
      <c r="BI30" s="279"/>
    </row>
    <row r="31" spans="1:61" ht="15" customHeight="1" x14ac:dyDescent="0.35">
      <c r="A31" s="259"/>
      <c r="B31" s="1500"/>
      <c r="C31" s="1472"/>
      <c r="D31" s="1472"/>
      <c r="E31" s="1592"/>
      <c r="F31" s="1592"/>
      <c r="G31" s="1472"/>
      <c r="H31" s="1502"/>
      <c r="I31" s="1501"/>
      <c r="J31" s="1483"/>
      <c r="K31" s="1501"/>
      <c r="L31" s="1501"/>
      <c r="M31" s="1501"/>
      <c r="N31" s="1501"/>
      <c r="O31" s="1501"/>
      <c r="P31" s="1501"/>
      <c r="Q31" s="1501"/>
      <c r="R31" s="1501"/>
      <c r="S31" s="1501"/>
      <c r="T31" s="1490"/>
      <c r="U31" s="1503"/>
      <c r="V31" s="138"/>
      <c r="W31" s="138"/>
      <c r="X31" s="138"/>
      <c r="Y31" s="138"/>
      <c r="Z31" s="375" t="str">
        <f t="shared" si="1"/>
        <v/>
      </c>
      <c r="AA31" s="138"/>
      <c r="AB31" s="138"/>
      <c r="AC31" s="138"/>
      <c r="AD31" s="138"/>
      <c r="AE31" s="138"/>
      <c r="AF31" s="138"/>
      <c r="AG31" s="1501"/>
      <c r="AH31" s="1482"/>
      <c r="AI31" s="208"/>
      <c r="AJ31" s="208"/>
      <c r="AK31" s="138"/>
      <c r="AL31" s="138"/>
      <c r="AM31" s="1483"/>
      <c r="AN31" s="1482"/>
      <c r="AO31" s="208"/>
      <c r="AP31" s="1483"/>
      <c r="AQ31" s="1482"/>
      <c r="AR31" s="1602"/>
      <c r="AS31" s="458"/>
      <c r="AT31" s="1600"/>
      <c r="AU31" s="1482"/>
      <c r="AV31" s="1483"/>
      <c r="AW31" s="1487"/>
      <c r="AX31" s="1488"/>
      <c r="AY31" s="1488"/>
      <c r="AZ31" s="1488"/>
      <c r="BA31" s="1489"/>
      <c r="BB31" s="1503"/>
      <c r="BC31" s="138"/>
      <c r="BD31" s="138"/>
      <c r="BE31" s="1483"/>
      <c r="BF31" s="1602"/>
      <c r="BG31" s="1482"/>
      <c r="BH31" s="138"/>
      <c r="BI31" s="279"/>
    </row>
    <row r="32" spans="1:61" ht="15" customHeight="1" x14ac:dyDescent="0.35">
      <c r="A32" s="259"/>
      <c r="B32" s="1500"/>
      <c r="C32" s="1472"/>
      <c r="D32" s="1472"/>
      <c r="E32" s="1592"/>
      <c r="F32" s="1592"/>
      <c r="G32" s="1472"/>
      <c r="H32" s="1502"/>
      <c r="I32" s="1501"/>
      <c r="J32" s="1483"/>
      <c r="K32" s="1501"/>
      <c r="L32" s="1501"/>
      <c r="M32" s="1501"/>
      <c r="N32" s="1501"/>
      <c r="O32" s="1501"/>
      <c r="P32" s="1501"/>
      <c r="Q32" s="1501"/>
      <c r="R32" s="1501"/>
      <c r="S32" s="1501"/>
      <c r="T32" s="1490"/>
      <c r="U32" s="1503"/>
      <c r="V32" s="138"/>
      <c r="W32" s="138"/>
      <c r="X32" s="138"/>
      <c r="Y32" s="138"/>
      <c r="Z32" s="375" t="str">
        <f t="shared" si="1"/>
        <v/>
      </c>
      <c r="AA32" s="138"/>
      <c r="AB32" s="138"/>
      <c r="AC32" s="138"/>
      <c r="AD32" s="138"/>
      <c r="AE32" s="138"/>
      <c r="AF32" s="138"/>
      <c r="AG32" s="1501"/>
      <c r="AH32" s="1482"/>
      <c r="AI32" s="208"/>
      <c r="AJ32" s="208"/>
      <c r="AK32" s="138"/>
      <c r="AL32" s="138"/>
      <c r="AM32" s="1483"/>
      <c r="AN32" s="1482"/>
      <c r="AO32" s="208"/>
      <c r="AP32" s="1483"/>
      <c r="AQ32" s="1482"/>
      <c r="AR32" s="1602"/>
      <c r="AS32" s="458"/>
      <c r="AT32" s="1600"/>
      <c r="AU32" s="1482"/>
      <c r="AV32" s="1483"/>
      <c r="AW32" s="1487"/>
      <c r="AX32" s="1488"/>
      <c r="AY32" s="1488"/>
      <c r="AZ32" s="1488"/>
      <c r="BA32" s="1489"/>
      <c r="BB32" s="1503"/>
      <c r="BC32" s="138"/>
      <c r="BD32" s="138"/>
      <c r="BE32" s="1483"/>
      <c r="BF32" s="1602"/>
      <c r="BG32" s="1482"/>
      <c r="BH32" s="138"/>
      <c r="BI32" s="279"/>
    </row>
    <row r="33" spans="1:61" ht="15" customHeight="1" x14ac:dyDescent="0.35">
      <c r="A33" s="259"/>
      <c r="B33" s="1500"/>
      <c r="C33" s="1472"/>
      <c r="D33" s="1472"/>
      <c r="E33" s="1592"/>
      <c r="F33" s="1592"/>
      <c r="G33" s="1472"/>
      <c r="H33" s="1502"/>
      <c r="I33" s="1501"/>
      <c r="J33" s="1483"/>
      <c r="K33" s="1501"/>
      <c r="L33" s="1501"/>
      <c r="M33" s="1501"/>
      <c r="N33" s="1501"/>
      <c r="O33" s="1501"/>
      <c r="P33" s="1501"/>
      <c r="Q33" s="1501"/>
      <c r="R33" s="1501"/>
      <c r="S33" s="1501"/>
      <c r="T33" s="1490"/>
      <c r="U33" s="1503"/>
      <c r="V33" s="138"/>
      <c r="W33" s="138"/>
      <c r="X33" s="138"/>
      <c r="Y33" s="138"/>
      <c r="Z33" s="375" t="str">
        <f t="shared" si="1"/>
        <v/>
      </c>
      <c r="AA33" s="138"/>
      <c r="AB33" s="138"/>
      <c r="AC33" s="138"/>
      <c r="AD33" s="138"/>
      <c r="AE33" s="138"/>
      <c r="AF33" s="138"/>
      <c r="AG33" s="1501"/>
      <c r="AH33" s="1482"/>
      <c r="AI33" s="208"/>
      <c r="AJ33" s="208"/>
      <c r="AK33" s="138"/>
      <c r="AL33" s="138"/>
      <c r="AM33" s="1483"/>
      <c r="AN33" s="1482"/>
      <c r="AO33" s="208"/>
      <c r="AP33" s="1483"/>
      <c r="AQ33" s="1482"/>
      <c r="AR33" s="1602"/>
      <c r="AS33" s="458"/>
      <c r="AT33" s="1600"/>
      <c r="AU33" s="1482"/>
      <c r="AV33" s="1483"/>
      <c r="AW33" s="1487"/>
      <c r="AX33" s="1488"/>
      <c r="AY33" s="1488"/>
      <c r="AZ33" s="1488"/>
      <c r="BA33" s="1489"/>
      <c r="BB33" s="1503"/>
      <c r="BC33" s="138"/>
      <c r="BD33" s="138"/>
      <c r="BE33" s="1483"/>
      <c r="BF33" s="1602"/>
      <c r="BG33" s="1482"/>
      <c r="BH33" s="138"/>
      <c r="BI33" s="279"/>
    </row>
    <row r="34" spans="1:61" ht="15" customHeight="1" x14ac:dyDescent="0.35">
      <c r="A34" s="259"/>
      <c r="B34" s="1500"/>
      <c r="C34" s="1472"/>
      <c r="D34" s="1472"/>
      <c r="E34" s="1592"/>
      <c r="F34" s="1592"/>
      <c r="G34" s="1472"/>
      <c r="H34" s="1502"/>
      <c r="I34" s="1501"/>
      <c r="J34" s="1483"/>
      <c r="K34" s="1501"/>
      <c r="L34" s="1501"/>
      <c r="M34" s="1501"/>
      <c r="N34" s="1501"/>
      <c r="O34" s="1501"/>
      <c r="P34" s="1501"/>
      <c r="Q34" s="1501"/>
      <c r="R34" s="1501"/>
      <c r="S34" s="1501"/>
      <c r="T34" s="1490"/>
      <c r="U34" s="1503"/>
      <c r="V34" s="138"/>
      <c r="W34" s="138"/>
      <c r="X34" s="138"/>
      <c r="Y34" s="138"/>
      <c r="Z34" s="375" t="str">
        <f t="shared" si="1"/>
        <v/>
      </c>
      <c r="AA34" s="138"/>
      <c r="AB34" s="138"/>
      <c r="AC34" s="138"/>
      <c r="AD34" s="138"/>
      <c r="AE34" s="138"/>
      <c r="AF34" s="138"/>
      <c r="AG34" s="1501"/>
      <c r="AH34" s="1482"/>
      <c r="AI34" s="208"/>
      <c r="AJ34" s="208"/>
      <c r="AK34" s="138"/>
      <c r="AL34" s="138"/>
      <c r="AM34" s="1483"/>
      <c r="AN34" s="1482"/>
      <c r="AO34" s="208"/>
      <c r="AP34" s="1483"/>
      <c r="AQ34" s="1482"/>
      <c r="AR34" s="1602"/>
      <c r="AS34" s="458"/>
      <c r="AT34" s="1600"/>
      <c r="AU34" s="1482"/>
      <c r="AV34" s="1483"/>
      <c r="AW34" s="1487"/>
      <c r="AX34" s="1488"/>
      <c r="AY34" s="1488"/>
      <c r="AZ34" s="1488"/>
      <c r="BA34" s="1489"/>
      <c r="BB34" s="1503"/>
      <c r="BC34" s="138"/>
      <c r="BD34" s="138"/>
      <c r="BE34" s="1483"/>
      <c r="BF34" s="1602"/>
      <c r="BG34" s="1482"/>
      <c r="BH34" s="138"/>
      <c r="BI34" s="279"/>
    </row>
    <row r="35" spans="1:61" ht="15" customHeight="1" x14ac:dyDescent="0.35">
      <c r="A35" s="259"/>
      <c r="B35" s="1500"/>
      <c r="C35" s="1472"/>
      <c r="D35" s="1472"/>
      <c r="E35" s="1592"/>
      <c r="F35" s="1592"/>
      <c r="G35" s="1472"/>
      <c r="H35" s="1502"/>
      <c r="I35" s="1501"/>
      <c r="J35" s="1483"/>
      <c r="K35" s="1501"/>
      <c r="L35" s="1501"/>
      <c r="M35" s="1501"/>
      <c r="N35" s="1501"/>
      <c r="O35" s="1501"/>
      <c r="P35" s="1501"/>
      <c r="Q35" s="1501"/>
      <c r="R35" s="1501"/>
      <c r="S35" s="1501"/>
      <c r="T35" s="1490"/>
      <c r="U35" s="1503"/>
      <c r="V35" s="138"/>
      <c r="W35" s="138"/>
      <c r="X35" s="138"/>
      <c r="Y35" s="138"/>
      <c r="Z35" s="375" t="str">
        <f t="shared" si="1"/>
        <v/>
      </c>
      <c r="AA35" s="138"/>
      <c r="AB35" s="138"/>
      <c r="AC35" s="138"/>
      <c r="AD35" s="138"/>
      <c r="AE35" s="138"/>
      <c r="AF35" s="138"/>
      <c r="AG35" s="1501"/>
      <c r="AH35" s="1482"/>
      <c r="AI35" s="208"/>
      <c r="AJ35" s="208"/>
      <c r="AK35" s="138"/>
      <c r="AL35" s="138"/>
      <c r="AM35" s="1483"/>
      <c r="AN35" s="1482"/>
      <c r="AO35" s="208"/>
      <c r="AP35" s="1483"/>
      <c r="AQ35" s="1482"/>
      <c r="AR35" s="1602"/>
      <c r="AS35" s="458"/>
      <c r="AT35" s="1600"/>
      <c r="AU35" s="1482"/>
      <c r="AV35" s="1483"/>
      <c r="AW35" s="1487"/>
      <c r="AX35" s="1488"/>
      <c r="AY35" s="1488"/>
      <c r="AZ35" s="1488"/>
      <c r="BA35" s="1489"/>
      <c r="BB35" s="1503"/>
      <c r="BC35" s="138"/>
      <c r="BD35" s="138"/>
      <c r="BE35" s="1483"/>
      <c r="BF35" s="1602"/>
      <c r="BG35" s="1482"/>
      <c r="BH35" s="138"/>
      <c r="BI35" s="279"/>
    </row>
    <row r="36" spans="1:61" ht="15" customHeight="1" x14ac:dyDescent="0.35">
      <c r="A36" s="259"/>
      <c r="B36" s="1500"/>
      <c r="C36" s="1472"/>
      <c r="D36" s="1472"/>
      <c r="E36" s="1592"/>
      <c r="F36" s="1592"/>
      <c r="G36" s="1472"/>
      <c r="H36" s="1502"/>
      <c r="I36" s="1501"/>
      <c r="J36" s="1483"/>
      <c r="K36" s="1501"/>
      <c r="L36" s="1501"/>
      <c r="M36" s="1501"/>
      <c r="N36" s="1501"/>
      <c r="O36" s="1501"/>
      <c r="P36" s="1501"/>
      <c r="Q36" s="1501"/>
      <c r="R36" s="1501"/>
      <c r="S36" s="1501"/>
      <c r="T36" s="1490"/>
      <c r="U36" s="1503"/>
      <c r="V36" s="138"/>
      <c r="W36" s="138"/>
      <c r="X36" s="138"/>
      <c r="Y36" s="138"/>
      <c r="Z36" s="375" t="str">
        <f t="shared" si="1"/>
        <v/>
      </c>
      <c r="AA36" s="138"/>
      <c r="AB36" s="138"/>
      <c r="AC36" s="138"/>
      <c r="AD36" s="138"/>
      <c r="AE36" s="138"/>
      <c r="AF36" s="138"/>
      <c r="AG36" s="1501"/>
      <c r="AH36" s="1482"/>
      <c r="AI36" s="208"/>
      <c r="AJ36" s="208"/>
      <c r="AK36" s="138"/>
      <c r="AL36" s="138"/>
      <c r="AM36" s="1483"/>
      <c r="AN36" s="1482"/>
      <c r="AO36" s="208"/>
      <c r="AP36" s="1483"/>
      <c r="AQ36" s="1482"/>
      <c r="AR36" s="1602"/>
      <c r="AS36" s="458"/>
      <c r="AT36" s="1600"/>
      <c r="AU36" s="1482"/>
      <c r="AV36" s="1483"/>
      <c r="AW36" s="1487"/>
      <c r="AX36" s="1488"/>
      <c r="AY36" s="1488"/>
      <c r="AZ36" s="1488"/>
      <c r="BA36" s="1489"/>
      <c r="BB36" s="1503"/>
      <c r="BC36" s="138"/>
      <c r="BD36" s="138"/>
      <c r="BE36" s="1483"/>
      <c r="BF36" s="1602"/>
      <c r="BG36" s="1482"/>
      <c r="BH36" s="138"/>
      <c r="BI36" s="279"/>
    </row>
    <row r="37" spans="1:61" ht="15" customHeight="1" x14ac:dyDescent="0.35">
      <c r="A37" s="259"/>
      <c r="B37" s="1500"/>
      <c r="C37" s="1472"/>
      <c r="D37" s="1472"/>
      <c r="E37" s="1592"/>
      <c r="F37" s="1592"/>
      <c r="G37" s="1472"/>
      <c r="H37" s="1502"/>
      <c r="I37" s="1501"/>
      <c r="J37" s="1483"/>
      <c r="K37" s="1501"/>
      <c r="L37" s="1501"/>
      <c r="M37" s="1501"/>
      <c r="N37" s="1501"/>
      <c r="O37" s="1501"/>
      <c r="P37" s="1501"/>
      <c r="Q37" s="1501"/>
      <c r="R37" s="1501"/>
      <c r="S37" s="1501"/>
      <c r="T37" s="1490"/>
      <c r="U37" s="1503"/>
      <c r="V37" s="138"/>
      <c r="W37" s="138"/>
      <c r="X37" s="138"/>
      <c r="Y37" s="138"/>
      <c r="Z37" s="375" t="str">
        <f t="shared" si="1"/>
        <v/>
      </c>
      <c r="AA37" s="138"/>
      <c r="AB37" s="138"/>
      <c r="AC37" s="138"/>
      <c r="AD37" s="138"/>
      <c r="AE37" s="138"/>
      <c r="AF37" s="138"/>
      <c r="AG37" s="1501"/>
      <c r="AH37" s="1482"/>
      <c r="AI37" s="208"/>
      <c r="AJ37" s="208"/>
      <c r="AK37" s="138"/>
      <c r="AL37" s="138"/>
      <c r="AM37" s="1483"/>
      <c r="AN37" s="1482"/>
      <c r="AO37" s="208"/>
      <c r="AP37" s="1483"/>
      <c r="AQ37" s="1482"/>
      <c r="AR37" s="1602"/>
      <c r="AS37" s="458"/>
      <c r="AT37" s="1600"/>
      <c r="AU37" s="1482"/>
      <c r="AV37" s="1483"/>
      <c r="AW37" s="1487"/>
      <c r="AX37" s="1488"/>
      <c r="AY37" s="1488"/>
      <c r="AZ37" s="1488"/>
      <c r="BA37" s="1489"/>
      <c r="BB37" s="1503"/>
      <c r="BC37" s="138"/>
      <c r="BD37" s="138"/>
      <c r="BE37" s="1483"/>
      <c r="BF37" s="1602"/>
      <c r="BG37" s="1482"/>
      <c r="BH37" s="138"/>
      <c r="BI37" s="279"/>
    </row>
    <row r="38" spans="1:61" ht="15" customHeight="1" x14ac:dyDescent="0.35">
      <c r="A38" s="259"/>
      <c r="B38" s="1500"/>
      <c r="C38" s="1472"/>
      <c r="D38" s="1472"/>
      <c r="E38" s="1592"/>
      <c r="F38" s="1592"/>
      <c r="G38" s="1472"/>
      <c r="H38" s="1502"/>
      <c r="I38" s="1501"/>
      <c r="J38" s="1483"/>
      <c r="K38" s="1501"/>
      <c r="L38" s="1501"/>
      <c r="M38" s="1501"/>
      <c r="N38" s="1501"/>
      <c r="O38" s="1501"/>
      <c r="P38" s="1501"/>
      <c r="Q38" s="1501"/>
      <c r="R38" s="1501"/>
      <c r="S38" s="1501"/>
      <c r="T38" s="1490"/>
      <c r="U38" s="1503"/>
      <c r="V38" s="138"/>
      <c r="W38" s="138"/>
      <c r="X38" s="138"/>
      <c r="Y38" s="138"/>
      <c r="Z38" s="375" t="str">
        <f t="shared" si="1"/>
        <v/>
      </c>
      <c r="AA38" s="138"/>
      <c r="AB38" s="138"/>
      <c r="AC38" s="138"/>
      <c r="AD38" s="138"/>
      <c r="AE38" s="138"/>
      <c r="AF38" s="138"/>
      <c r="AG38" s="1501"/>
      <c r="AH38" s="1482"/>
      <c r="AI38" s="208"/>
      <c r="AJ38" s="208"/>
      <c r="AK38" s="138"/>
      <c r="AL38" s="138"/>
      <c r="AM38" s="1483"/>
      <c r="AN38" s="1482"/>
      <c r="AO38" s="208"/>
      <c r="AP38" s="1483"/>
      <c r="AQ38" s="1482"/>
      <c r="AR38" s="1602"/>
      <c r="AS38" s="458"/>
      <c r="AT38" s="1600"/>
      <c r="AU38" s="1482"/>
      <c r="AV38" s="1483"/>
      <c r="AW38" s="1487"/>
      <c r="AX38" s="1488"/>
      <c r="AY38" s="1488"/>
      <c r="AZ38" s="1488"/>
      <c r="BA38" s="1489"/>
      <c r="BB38" s="1503"/>
      <c r="BC38" s="138"/>
      <c r="BD38" s="138"/>
      <c r="BE38" s="1483"/>
      <c r="BF38" s="1602"/>
      <c r="BG38" s="1482"/>
      <c r="BH38" s="138"/>
      <c r="BI38" s="279"/>
    </row>
    <row r="39" spans="1:61" ht="15" customHeight="1" x14ac:dyDescent="0.35">
      <c r="A39" s="259"/>
      <c r="B39" s="1500"/>
      <c r="C39" s="1472"/>
      <c r="D39" s="1472"/>
      <c r="E39" s="1592"/>
      <c r="F39" s="1592"/>
      <c r="G39" s="1472"/>
      <c r="H39" s="1502"/>
      <c r="I39" s="1501"/>
      <c r="J39" s="1483"/>
      <c r="K39" s="1501"/>
      <c r="L39" s="1501"/>
      <c r="M39" s="1501"/>
      <c r="N39" s="1501"/>
      <c r="O39" s="1501"/>
      <c r="P39" s="1501"/>
      <c r="Q39" s="1501"/>
      <c r="R39" s="1501"/>
      <c r="S39" s="1501"/>
      <c r="T39" s="1490"/>
      <c r="U39" s="1503"/>
      <c r="V39" s="138"/>
      <c r="W39" s="138"/>
      <c r="X39" s="138"/>
      <c r="Y39" s="138"/>
      <c r="Z39" s="375" t="str">
        <f t="shared" si="1"/>
        <v/>
      </c>
      <c r="AA39" s="138"/>
      <c r="AB39" s="138"/>
      <c r="AC39" s="138"/>
      <c r="AD39" s="138"/>
      <c r="AE39" s="138"/>
      <c r="AF39" s="138"/>
      <c r="AG39" s="1501"/>
      <c r="AH39" s="1482"/>
      <c r="AI39" s="208"/>
      <c r="AJ39" s="208"/>
      <c r="AK39" s="138"/>
      <c r="AL39" s="138"/>
      <c r="AM39" s="1483"/>
      <c r="AN39" s="1482"/>
      <c r="AO39" s="208"/>
      <c r="AP39" s="1483"/>
      <c r="AQ39" s="1482"/>
      <c r="AR39" s="1602"/>
      <c r="AS39" s="458"/>
      <c r="AT39" s="1600"/>
      <c r="AU39" s="1482"/>
      <c r="AV39" s="1483"/>
      <c r="AW39" s="1487"/>
      <c r="AX39" s="1488"/>
      <c r="AY39" s="1488"/>
      <c r="AZ39" s="1488"/>
      <c r="BA39" s="1489"/>
      <c r="BB39" s="1503"/>
      <c r="BC39" s="138"/>
      <c r="BD39" s="138"/>
      <c r="BE39" s="1483"/>
      <c r="BF39" s="1602"/>
      <c r="BG39" s="1482"/>
      <c r="BH39" s="138"/>
      <c r="BI39" s="279"/>
    </row>
    <row r="40" spans="1:61" ht="15" customHeight="1" x14ac:dyDescent="0.35">
      <c r="A40" s="259"/>
      <c r="B40" s="1500"/>
      <c r="C40" s="1472"/>
      <c r="D40" s="1472"/>
      <c r="E40" s="1592"/>
      <c r="F40" s="1592"/>
      <c r="G40" s="1472"/>
      <c r="H40" s="1502"/>
      <c r="I40" s="1501"/>
      <c r="J40" s="1483"/>
      <c r="K40" s="1501"/>
      <c r="L40" s="1501"/>
      <c r="M40" s="1501"/>
      <c r="N40" s="1501"/>
      <c r="O40" s="1501"/>
      <c r="P40" s="1501"/>
      <c r="Q40" s="1501"/>
      <c r="R40" s="1501"/>
      <c r="S40" s="1501"/>
      <c r="T40" s="1490"/>
      <c r="U40" s="1503"/>
      <c r="V40" s="138"/>
      <c r="W40" s="138"/>
      <c r="X40" s="138"/>
      <c r="Y40" s="138"/>
      <c r="Z40" s="375" t="str">
        <f t="shared" si="1"/>
        <v/>
      </c>
      <c r="AA40" s="138"/>
      <c r="AB40" s="138"/>
      <c r="AC40" s="138"/>
      <c r="AD40" s="138"/>
      <c r="AE40" s="138"/>
      <c r="AF40" s="138"/>
      <c r="AG40" s="1501"/>
      <c r="AH40" s="1482"/>
      <c r="AI40" s="208"/>
      <c r="AJ40" s="208"/>
      <c r="AK40" s="138"/>
      <c r="AL40" s="138"/>
      <c r="AM40" s="1483"/>
      <c r="AN40" s="1482"/>
      <c r="AO40" s="208"/>
      <c r="AP40" s="1483"/>
      <c r="AQ40" s="1482"/>
      <c r="AR40" s="1602"/>
      <c r="AS40" s="458"/>
      <c r="AT40" s="1600"/>
      <c r="AU40" s="1482"/>
      <c r="AV40" s="1483"/>
      <c r="AW40" s="1487"/>
      <c r="AX40" s="1488"/>
      <c r="AY40" s="1488"/>
      <c r="AZ40" s="1488"/>
      <c r="BA40" s="1489"/>
      <c r="BB40" s="1503"/>
      <c r="BC40" s="138"/>
      <c r="BD40" s="138"/>
      <c r="BE40" s="1483"/>
      <c r="BF40" s="1602"/>
      <c r="BG40" s="1482"/>
      <c r="BH40" s="138"/>
      <c r="BI40" s="279"/>
    </row>
    <row r="41" spans="1:61" ht="15" customHeight="1" x14ac:dyDescent="0.35">
      <c r="A41" s="259"/>
      <c r="B41" s="1500"/>
      <c r="C41" s="1472"/>
      <c r="D41" s="1472"/>
      <c r="E41" s="1592"/>
      <c r="F41" s="1592"/>
      <c r="G41" s="1472"/>
      <c r="H41" s="1502"/>
      <c r="I41" s="1501"/>
      <c r="J41" s="1483"/>
      <c r="K41" s="1501"/>
      <c r="L41" s="1501"/>
      <c r="M41" s="1501"/>
      <c r="N41" s="1501"/>
      <c r="O41" s="1501"/>
      <c r="P41" s="1501"/>
      <c r="Q41" s="1501"/>
      <c r="R41" s="1501"/>
      <c r="S41" s="1501"/>
      <c r="T41" s="1490"/>
      <c r="U41" s="1503"/>
      <c r="V41" s="138"/>
      <c r="W41" s="138"/>
      <c r="X41" s="138"/>
      <c r="Y41" s="138"/>
      <c r="Z41" s="375" t="str">
        <f t="shared" si="1"/>
        <v/>
      </c>
      <c r="AA41" s="138"/>
      <c r="AB41" s="138"/>
      <c r="AC41" s="138"/>
      <c r="AD41" s="138"/>
      <c r="AE41" s="138"/>
      <c r="AF41" s="138"/>
      <c r="AG41" s="1501"/>
      <c r="AH41" s="1482"/>
      <c r="AI41" s="208"/>
      <c r="AJ41" s="208"/>
      <c r="AK41" s="138"/>
      <c r="AL41" s="138"/>
      <c r="AM41" s="1483"/>
      <c r="AN41" s="1482"/>
      <c r="AO41" s="208"/>
      <c r="AP41" s="1483"/>
      <c r="AQ41" s="1482"/>
      <c r="AR41" s="1602"/>
      <c r="AS41" s="458"/>
      <c r="AT41" s="1600"/>
      <c r="AU41" s="1482"/>
      <c r="AV41" s="1483"/>
      <c r="AW41" s="1487"/>
      <c r="AX41" s="1488"/>
      <c r="AY41" s="1488"/>
      <c r="AZ41" s="1488"/>
      <c r="BA41" s="1489"/>
      <c r="BB41" s="1503"/>
      <c r="BC41" s="138"/>
      <c r="BD41" s="138"/>
      <c r="BE41" s="1483"/>
      <c r="BF41" s="1602"/>
      <c r="BG41" s="1482"/>
      <c r="BH41" s="138"/>
      <c r="BI41" s="279"/>
    </row>
    <row r="42" spans="1:61" ht="15" customHeight="1" x14ac:dyDescent="0.35">
      <c r="A42" s="259"/>
      <c r="B42" s="1500"/>
      <c r="C42" s="1472"/>
      <c r="D42" s="1472"/>
      <c r="E42" s="1592"/>
      <c r="F42" s="1592"/>
      <c r="G42" s="1472"/>
      <c r="H42" s="1502"/>
      <c r="I42" s="1501"/>
      <c r="J42" s="1483"/>
      <c r="K42" s="1501"/>
      <c r="L42" s="1501"/>
      <c r="M42" s="1501"/>
      <c r="N42" s="1501"/>
      <c r="O42" s="1501"/>
      <c r="P42" s="1501"/>
      <c r="Q42" s="1501"/>
      <c r="R42" s="1501"/>
      <c r="S42" s="1501"/>
      <c r="T42" s="1490"/>
      <c r="U42" s="1503"/>
      <c r="V42" s="138"/>
      <c r="W42" s="138"/>
      <c r="X42" s="138"/>
      <c r="Y42" s="138"/>
      <c r="Z42" s="375" t="str">
        <f t="shared" si="1"/>
        <v/>
      </c>
      <c r="AA42" s="138"/>
      <c r="AB42" s="138"/>
      <c r="AC42" s="138"/>
      <c r="AD42" s="138"/>
      <c r="AE42" s="138"/>
      <c r="AF42" s="138"/>
      <c r="AG42" s="1501"/>
      <c r="AH42" s="1482"/>
      <c r="AI42" s="208"/>
      <c r="AJ42" s="208"/>
      <c r="AK42" s="138"/>
      <c r="AL42" s="138"/>
      <c r="AM42" s="1483"/>
      <c r="AN42" s="1482"/>
      <c r="AO42" s="208"/>
      <c r="AP42" s="1483"/>
      <c r="AQ42" s="1482"/>
      <c r="AR42" s="1602"/>
      <c r="AS42" s="458"/>
      <c r="AT42" s="1600"/>
      <c r="AU42" s="1482"/>
      <c r="AV42" s="1483"/>
      <c r="AW42" s="1487"/>
      <c r="AX42" s="1488"/>
      <c r="AY42" s="1488"/>
      <c r="AZ42" s="1488"/>
      <c r="BA42" s="1489"/>
      <c r="BB42" s="1503"/>
      <c r="BC42" s="138"/>
      <c r="BD42" s="138"/>
      <c r="BE42" s="1483"/>
      <c r="BF42" s="1602"/>
      <c r="BG42" s="1482"/>
      <c r="BH42" s="138"/>
      <c r="BI42" s="279"/>
    </row>
    <row r="43" spans="1:61" ht="15" customHeight="1" x14ac:dyDescent="0.35">
      <c r="A43" s="259"/>
      <c r="B43" s="1500"/>
      <c r="C43" s="1472"/>
      <c r="D43" s="1472"/>
      <c r="E43" s="1592"/>
      <c r="F43" s="1592"/>
      <c r="G43" s="1472"/>
      <c r="H43" s="1502"/>
      <c r="I43" s="1501"/>
      <c r="J43" s="1483"/>
      <c r="K43" s="1501"/>
      <c r="L43" s="1501"/>
      <c r="M43" s="1501"/>
      <c r="N43" s="1501"/>
      <c r="O43" s="1501"/>
      <c r="P43" s="1501"/>
      <c r="Q43" s="1501"/>
      <c r="R43" s="1501"/>
      <c r="S43" s="1501"/>
      <c r="T43" s="1490"/>
      <c r="U43" s="1503"/>
      <c r="V43" s="138"/>
      <c r="W43" s="138"/>
      <c r="X43" s="138"/>
      <c r="Y43" s="138"/>
      <c r="Z43" s="375" t="str">
        <f t="shared" si="1"/>
        <v/>
      </c>
      <c r="AA43" s="138"/>
      <c r="AB43" s="138"/>
      <c r="AC43" s="138"/>
      <c r="AD43" s="138"/>
      <c r="AE43" s="138"/>
      <c r="AF43" s="138"/>
      <c r="AG43" s="1501"/>
      <c r="AH43" s="1482"/>
      <c r="AI43" s="208"/>
      <c r="AJ43" s="208"/>
      <c r="AK43" s="138"/>
      <c r="AL43" s="138"/>
      <c r="AM43" s="1483"/>
      <c r="AN43" s="1482"/>
      <c r="AO43" s="208"/>
      <c r="AP43" s="1483"/>
      <c r="AQ43" s="1482"/>
      <c r="AR43" s="1602"/>
      <c r="AS43" s="458"/>
      <c r="AT43" s="1600"/>
      <c r="AU43" s="1482"/>
      <c r="AV43" s="1483"/>
      <c r="AW43" s="1487"/>
      <c r="AX43" s="1488"/>
      <c r="AY43" s="1488"/>
      <c r="AZ43" s="1488"/>
      <c r="BA43" s="1489"/>
      <c r="BB43" s="1503"/>
      <c r="BC43" s="138"/>
      <c r="BD43" s="138"/>
      <c r="BE43" s="1483"/>
      <c r="BF43" s="1602"/>
      <c r="BG43" s="1482"/>
      <c r="BH43" s="138"/>
      <c r="BI43" s="279"/>
    </row>
    <row r="44" spans="1:61" ht="15" customHeight="1" x14ac:dyDescent="0.35">
      <c r="A44" s="259"/>
      <c r="B44" s="1500"/>
      <c r="C44" s="1472"/>
      <c r="D44" s="1472"/>
      <c r="E44" s="1592"/>
      <c r="F44" s="1592"/>
      <c r="G44" s="1472"/>
      <c r="H44" s="1502"/>
      <c r="I44" s="1501"/>
      <c r="J44" s="1483"/>
      <c r="K44" s="1501"/>
      <c r="L44" s="1501"/>
      <c r="M44" s="1501"/>
      <c r="N44" s="1501"/>
      <c r="O44" s="1501"/>
      <c r="P44" s="1501"/>
      <c r="Q44" s="1501"/>
      <c r="R44" s="1501"/>
      <c r="S44" s="1501"/>
      <c r="T44" s="1490"/>
      <c r="U44" s="1503"/>
      <c r="V44" s="138"/>
      <c r="W44" s="138"/>
      <c r="X44" s="138"/>
      <c r="Y44" s="138"/>
      <c r="Z44" s="375" t="str">
        <f t="shared" si="1"/>
        <v/>
      </c>
      <c r="AA44" s="138"/>
      <c r="AB44" s="138"/>
      <c r="AC44" s="138"/>
      <c r="AD44" s="138"/>
      <c r="AE44" s="138"/>
      <c r="AF44" s="138"/>
      <c r="AG44" s="1501"/>
      <c r="AH44" s="1482"/>
      <c r="AI44" s="208"/>
      <c r="AJ44" s="208"/>
      <c r="AK44" s="138"/>
      <c r="AL44" s="138"/>
      <c r="AM44" s="1483"/>
      <c r="AN44" s="1482"/>
      <c r="AO44" s="208"/>
      <c r="AP44" s="1483"/>
      <c r="AQ44" s="1482"/>
      <c r="AR44" s="1602"/>
      <c r="AS44" s="458"/>
      <c r="AT44" s="1600"/>
      <c r="AU44" s="1482"/>
      <c r="AV44" s="1483"/>
      <c r="AW44" s="1487"/>
      <c r="AX44" s="1488"/>
      <c r="AY44" s="1488"/>
      <c r="AZ44" s="1488"/>
      <c r="BA44" s="1489"/>
      <c r="BB44" s="1503"/>
      <c r="BC44" s="138"/>
      <c r="BD44" s="138"/>
      <c r="BE44" s="1483"/>
      <c r="BF44" s="1602"/>
      <c r="BG44" s="1482"/>
      <c r="BH44" s="138"/>
      <c r="BI44" s="279"/>
    </row>
    <row r="45" spans="1:61" ht="15" customHeight="1" x14ac:dyDescent="0.35">
      <c r="A45" s="259"/>
      <c r="B45" s="1500"/>
      <c r="C45" s="1472"/>
      <c r="D45" s="1472"/>
      <c r="E45" s="1592"/>
      <c r="F45" s="1592"/>
      <c r="G45" s="1472"/>
      <c r="H45" s="1502"/>
      <c r="I45" s="1501"/>
      <c r="J45" s="1483"/>
      <c r="K45" s="1501"/>
      <c r="L45" s="1501"/>
      <c r="M45" s="1501"/>
      <c r="N45" s="1501"/>
      <c r="O45" s="1501"/>
      <c r="P45" s="1501"/>
      <c r="Q45" s="1501"/>
      <c r="R45" s="1501"/>
      <c r="S45" s="1501"/>
      <c r="T45" s="1490"/>
      <c r="U45" s="1503"/>
      <c r="V45" s="138"/>
      <c r="W45" s="138"/>
      <c r="X45" s="138"/>
      <c r="Y45" s="138"/>
      <c r="Z45" s="375" t="str">
        <f t="shared" si="1"/>
        <v/>
      </c>
      <c r="AA45" s="138"/>
      <c r="AB45" s="138"/>
      <c r="AC45" s="138"/>
      <c r="AD45" s="138"/>
      <c r="AE45" s="138"/>
      <c r="AF45" s="138"/>
      <c r="AG45" s="1501"/>
      <c r="AH45" s="1482"/>
      <c r="AI45" s="208"/>
      <c r="AJ45" s="208"/>
      <c r="AK45" s="138"/>
      <c r="AL45" s="138"/>
      <c r="AM45" s="1483"/>
      <c r="AN45" s="1482"/>
      <c r="AO45" s="208"/>
      <c r="AP45" s="1483"/>
      <c r="AQ45" s="1482"/>
      <c r="AR45" s="1602"/>
      <c r="AS45" s="458"/>
      <c r="AT45" s="1600"/>
      <c r="AU45" s="1482"/>
      <c r="AV45" s="1483"/>
      <c r="AW45" s="1487"/>
      <c r="AX45" s="1488"/>
      <c r="AY45" s="1488"/>
      <c r="AZ45" s="1488"/>
      <c r="BA45" s="1489"/>
      <c r="BB45" s="1503"/>
      <c r="BC45" s="138"/>
      <c r="BD45" s="138"/>
      <c r="BE45" s="1483"/>
      <c r="BF45" s="1602"/>
      <c r="BG45" s="1482"/>
      <c r="BH45" s="138"/>
      <c r="BI45" s="279"/>
    </row>
    <row r="46" spans="1:61" ht="15" customHeight="1" x14ac:dyDescent="0.35">
      <c r="A46" s="259"/>
      <c r="B46" s="1500"/>
      <c r="C46" s="1472"/>
      <c r="D46" s="1472"/>
      <c r="E46" s="1592"/>
      <c r="F46" s="1592"/>
      <c r="G46" s="1472"/>
      <c r="H46" s="1502"/>
      <c r="I46" s="1501"/>
      <c r="J46" s="1483"/>
      <c r="K46" s="1501"/>
      <c r="L46" s="1501"/>
      <c r="M46" s="1501"/>
      <c r="N46" s="1501"/>
      <c r="O46" s="1501"/>
      <c r="P46" s="1501"/>
      <c r="Q46" s="1501"/>
      <c r="R46" s="1501"/>
      <c r="S46" s="1501"/>
      <c r="T46" s="1490"/>
      <c r="U46" s="1503"/>
      <c r="V46" s="138"/>
      <c r="W46" s="138"/>
      <c r="X46" s="138"/>
      <c r="Y46" s="138"/>
      <c r="Z46" s="375" t="str">
        <f t="shared" si="1"/>
        <v/>
      </c>
      <c r="AA46" s="138"/>
      <c r="AB46" s="138"/>
      <c r="AC46" s="138"/>
      <c r="AD46" s="138"/>
      <c r="AE46" s="138"/>
      <c r="AF46" s="138"/>
      <c r="AG46" s="1501"/>
      <c r="AH46" s="1482"/>
      <c r="AI46" s="208"/>
      <c r="AJ46" s="208"/>
      <c r="AK46" s="138"/>
      <c r="AL46" s="138"/>
      <c r="AM46" s="1483"/>
      <c r="AN46" s="1482"/>
      <c r="AO46" s="208"/>
      <c r="AP46" s="1483"/>
      <c r="AQ46" s="1482"/>
      <c r="AR46" s="1602"/>
      <c r="AS46" s="458"/>
      <c r="AT46" s="1600"/>
      <c r="AU46" s="1482"/>
      <c r="AV46" s="1483"/>
      <c r="AW46" s="1487"/>
      <c r="AX46" s="1488"/>
      <c r="AY46" s="1488"/>
      <c r="AZ46" s="1488"/>
      <c r="BA46" s="1489"/>
      <c r="BB46" s="1503"/>
      <c r="BC46" s="138"/>
      <c r="BD46" s="138"/>
      <c r="BE46" s="1483"/>
      <c r="BF46" s="1602"/>
      <c r="BG46" s="1482"/>
      <c r="BH46" s="138"/>
      <c r="BI46" s="279"/>
    </row>
    <row r="47" spans="1:61" ht="15" customHeight="1" x14ac:dyDescent="0.35">
      <c r="A47" s="259"/>
      <c r="B47" s="1500"/>
      <c r="C47" s="1472"/>
      <c r="D47" s="1472"/>
      <c r="E47" s="1592"/>
      <c r="F47" s="1592"/>
      <c r="G47" s="1472"/>
      <c r="H47" s="1502"/>
      <c r="I47" s="1501"/>
      <c r="J47" s="1483"/>
      <c r="K47" s="1501"/>
      <c r="L47" s="1501"/>
      <c r="M47" s="1501"/>
      <c r="N47" s="1501"/>
      <c r="O47" s="1501"/>
      <c r="P47" s="1501"/>
      <c r="Q47" s="1501"/>
      <c r="R47" s="1501"/>
      <c r="S47" s="1501"/>
      <c r="T47" s="1490"/>
      <c r="U47" s="1503"/>
      <c r="V47" s="138"/>
      <c r="W47" s="138"/>
      <c r="X47" s="138"/>
      <c r="Y47" s="138"/>
      <c r="Z47" s="375" t="str">
        <f t="shared" si="1"/>
        <v/>
      </c>
      <c r="AA47" s="138"/>
      <c r="AB47" s="138"/>
      <c r="AC47" s="138"/>
      <c r="AD47" s="138"/>
      <c r="AE47" s="138"/>
      <c r="AF47" s="138"/>
      <c r="AG47" s="1501"/>
      <c r="AH47" s="1482"/>
      <c r="AI47" s="208"/>
      <c r="AJ47" s="208"/>
      <c r="AK47" s="138"/>
      <c r="AL47" s="138"/>
      <c r="AM47" s="1483"/>
      <c r="AN47" s="1482"/>
      <c r="AO47" s="208"/>
      <c r="AP47" s="1483"/>
      <c r="AQ47" s="1482"/>
      <c r="AR47" s="1602"/>
      <c r="AS47" s="458"/>
      <c r="AT47" s="1600"/>
      <c r="AU47" s="1482"/>
      <c r="AV47" s="1483"/>
      <c r="AW47" s="1487"/>
      <c r="AX47" s="1488"/>
      <c r="AY47" s="1488"/>
      <c r="AZ47" s="1488"/>
      <c r="BA47" s="1489"/>
      <c r="BB47" s="1503"/>
      <c r="BC47" s="138"/>
      <c r="BD47" s="138"/>
      <c r="BE47" s="1483"/>
      <c r="BF47" s="1602"/>
      <c r="BG47" s="1482"/>
      <c r="BH47" s="138"/>
      <c r="BI47" s="279"/>
    </row>
    <row r="48" spans="1:61" ht="15" customHeight="1" x14ac:dyDescent="0.35">
      <c r="A48" s="259"/>
      <c r="B48" s="1500"/>
      <c r="C48" s="1472"/>
      <c r="D48" s="1472"/>
      <c r="E48" s="1592"/>
      <c r="F48" s="1592"/>
      <c r="G48" s="1472"/>
      <c r="H48" s="1502"/>
      <c r="I48" s="1501"/>
      <c r="J48" s="1483"/>
      <c r="K48" s="1501"/>
      <c r="L48" s="1501"/>
      <c r="M48" s="1501"/>
      <c r="N48" s="1501"/>
      <c r="O48" s="1501"/>
      <c r="P48" s="1501"/>
      <c r="Q48" s="1501"/>
      <c r="R48" s="1501"/>
      <c r="S48" s="1501"/>
      <c r="T48" s="1490"/>
      <c r="U48" s="1503"/>
      <c r="V48" s="138"/>
      <c r="W48" s="138"/>
      <c r="X48" s="138"/>
      <c r="Y48" s="138"/>
      <c r="Z48" s="375" t="str">
        <f t="shared" si="1"/>
        <v/>
      </c>
      <c r="AA48" s="138"/>
      <c r="AB48" s="138"/>
      <c r="AC48" s="138"/>
      <c r="AD48" s="138"/>
      <c r="AE48" s="138"/>
      <c r="AF48" s="138"/>
      <c r="AG48" s="1501"/>
      <c r="AH48" s="1482"/>
      <c r="AI48" s="208"/>
      <c r="AJ48" s="208"/>
      <c r="AK48" s="138"/>
      <c r="AL48" s="138"/>
      <c r="AM48" s="1483"/>
      <c r="AN48" s="1482"/>
      <c r="AO48" s="208"/>
      <c r="AP48" s="1483"/>
      <c r="AQ48" s="1482"/>
      <c r="AR48" s="1602"/>
      <c r="AS48" s="458"/>
      <c r="AT48" s="1600"/>
      <c r="AU48" s="1482"/>
      <c r="AV48" s="1483"/>
      <c r="AW48" s="1487"/>
      <c r="AX48" s="1488"/>
      <c r="AY48" s="1488"/>
      <c r="AZ48" s="1488"/>
      <c r="BA48" s="1489"/>
      <c r="BB48" s="1503"/>
      <c r="BC48" s="138"/>
      <c r="BD48" s="138"/>
      <c r="BE48" s="1483"/>
      <c r="BF48" s="1602"/>
      <c r="BG48" s="1482"/>
      <c r="BH48" s="138"/>
      <c r="BI48" s="279"/>
    </row>
    <row r="49" spans="1:61" ht="15" customHeight="1" x14ac:dyDescent="0.35">
      <c r="A49" s="259"/>
      <c r="B49" s="1500"/>
      <c r="C49" s="1472"/>
      <c r="D49" s="1472"/>
      <c r="E49" s="1592"/>
      <c r="F49" s="1592"/>
      <c r="G49" s="1472"/>
      <c r="H49" s="1502"/>
      <c r="I49" s="1501"/>
      <c r="J49" s="1483"/>
      <c r="K49" s="1501"/>
      <c r="L49" s="1501"/>
      <c r="M49" s="1501"/>
      <c r="N49" s="1501"/>
      <c r="O49" s="1501"/>
      <c r="P49" s="1501"/>
      <c r="Q49" s="1501"/>
      <c r="R49" s="1501"/>
      <c r="S49" s="1501"/>
      <c r="T49" s="1490"/>
      <c r="U49" s="1503"/>
      <c r="V49" s="138"/>
      <c r="W49" s="138"/>
      <c r="X49" s="138"/>
      <c r="Y49" s="138"/>
      <c r="Z49" s="375" t="str">
        <f t="shared" si="1"/>
        <v/>
      </c>
      <c r="AA49" s="138"/>
      <c r="AB49" s="138"/>
      <c r="AC49" s="138"/>
      <c r="AD49" s="138"/>
      <c r="AE49" s="138"/>
      <c r="AF49" s="138"/>
      <c r="AG49" s="1501"/>
      <c r="AH49" s="1482"/>
      <c r="AI49" s="208"/>
      <c r="AJ49" s="208"/>
      <c r="AK49" s="138"/>
      <c r="AL49" s="138"/>
      <c r="AM49" s="1483"/>
      <c r="AN49" s="1482"/>
      <c r="AO49" s="208"/>
      <c r="AP49" s="1483"/>
      <c r="AQ49" s="1482"/>
      <c r="AR49" s="1602"/>
      <c r="AS49" s="458"/>
      <c r="AT49" s="1600"/>
      <c r="AU49" s="1482"/>
      <c r="AV49" s="1483"/>
      <c r="AW49" s="1487"/>
      <c r="AX49" s="1488"/>
      <c r="AY49" s="1488"/>
      <c r="AZ49" s="1488"/>
      <c r="BA49" s="1489"/>
      <c r="BB49" s="1503"/>
      <c r="BC49" s="138"/>
      <c r="BD49" s="138"/>
      <c r="BE49" s="1483"/>
      <c r="BF49" s="1602"/>
      <c r="BG49" s="1482"/>
      <c r="BH49" s="138"/>
      <c r="BI49" s="279"/>
    </row>
    <row r="50" spans="1:61" ht="15" customHeight="1" x14ac:dyDescent="0.35">
      <c r="A50" s="259"/>
      <c r="B50" s="1500"/>
      <c r="C50" s="1472"/>
      <c r="D50" s="1472"/>
      <c r="E50" s="1592"/>
      <c r="F50" s="1592"/>
      <c r="G50" s="1472"/>
      <c r="H50" s="1502"/>
      <c r="I50" s="1501"/>
      <c r="J50" s="1483"/>
      <c r="K50" s="1501"/>
      <c r="L50" s="1501"/>
      <c r="M50" s="1501"/>
      <c r="N50" s="1501"/>
      <c r="O50" s="1501"/>
      <c r="P50" s="1501"/>
      <c r="Q50" s="1501"/>
      <c r="R50" s="1501"/>
      <c r="S50" s="1501"/>
      <c r="T50" s="1490"/>
      <c r="U50" s="1503"/>
      <c r="V50" s="138"/>
      <c r="W50" s="138"/>
      <c r="X50" s="138"/>
      <c r="Y50" s="138"/>
      <c r="Z50" s="375" t="str">
        <f t="shared" si="1"/>
        <v/>
      </c>
      <c r="AA50" s="138"/>
      <c r="AB50" s="138"/>
      <c r="AC50" s="138"/>
      <c r="AD50" s="138"/>
      <c r="AE50" s="138"/>
      <c r="AF50" s="138"/>
      <c r="AG50" s="1501"/>
      <c r="AH50" s="1482"/>
      <c r="AI50" s="208"/>
      <c r="AJ50" s="208"/>
      <c r="AK50" s="138"/>
      <c r="AL50" s="138"/>
      <c r="AM50" s="1483"/>
      <c r="AN50" s="1482"/>
      <c r="AO50" s="208"/>
      <c r="AP50" s="1483"/>
      <c r="AQ50" s="1482"/>
      <c r="AR50" s="1602"/>
      <c r="AS50" s="458"/>
      <c r="AT50" s="1600"/>
      <c r="AU50" s="1482"/>
      <c r="AV50" s="1483"/>
      <c r="AW50" s="1487"/>
      <c r="AX50" s="1488"/>
      <c r="AY50" s="1488"/>
      <c r="AZ50" s="1488"/>
      <c r="BA50" s="1489"/>
      <c r="BB50" s="1503"/>
      <c r="BC50" s="138"/>
      <c r="BD50" s="138"/>
      <c r="BE50" s="1483"/>
      <c r="BF50" s="1602"/>
      <c r="BG50" s="1482"/>
      <c r="BH50" s="138"/>
      <c r="BI50" s="279"/>
    </row>
    <row r="51" spans="1:61" ht="15" customHeight="1" x14ac:dyDescent="0.35">
      <c r="A51" s="259"/>
      <c r="B51" s="1500"/>
      <c r="C51" s="1472"/>
      <c r="D51" s="1472"/>
      <c r="E51" s="1592"/>
      <c r="F51" s="1592"/>
      <c r="G51" s="1472"/>
      <c r="H51" s="1502"/>
      <c r="I51" s="1501"/>
      <c r="J51" s="1483"/>
      <c r="K51" s="1501"/>
      <c r="L51" s="1501"/>
      <c r="M51" s="1501"/>
      <c r="N51" s="1501"/>
      <c r="O51" s="1501"/>
      <c r="P51" s="1501"/>
      <c r="Q51" s="1501"/>
      <c r="R51" s="1501"/>
      <c r="S51" s="1501"/>
      <c r="T51" s="1490"/>
      <c r="U51" s="1503"/>
      <c r="V51" s="138"/>
      <c r="W51" s="138"/>
      <c r="X51" s="138"/>
      <c r="Y51" s="138"/>
      <c r="Z51" s="375" t="str">
        <f t="shared" si="1"/>
        <v/>
      </c>
      <c r="AA51" s="138"/>
      <c r="AB51" s="138"/>
      <c r="AC51" s="138"/>
      <c r="AD51" s="138"/>
      <c r="AE51" s="138"/>
      <c r="AF51" s="138"/>
      <c r="AG51" s="1501"/>
      <c r="AH51" s="1482"/>
      <c r="AI51" s="208"/>
      <c r="AJ51" s="208"/>
      <c r="AK51" s="138"/>
      <c r="AL51" s="138"/>
      <c r="AM51" s="1483"/>
      <c r="AN51" s="1482"/>
      <c r="AO51" s="208"/>
      <c r="AP51" s="1483"/>
      <c r="AQ51" s="1482"/>
      <c r="AR51" s="1602"/>
      <c r="AS51" s="458"/>
      <c r="AT51" s="1600"/>
      <c r="AU51" s="1482"/>
      <c r="AV51" s="1483"/>
      <c r="AW51" s="1487"/>
      <c r="AX51" s="1488"/>
      <c r="AY51" s="1488"/>
      <c r="AZ51" s="1488"/>
      <c r="BA51" s="1489"/>
      <c r="BB51" s="1503"/>
      <c r="BC51" s="138"/>
      <c r="BD51" s="138"/>
      <c r="BE51" s="1483"/>
      <c r="BF51" s="1602"/>
      <c r="BG51" s="1482"/>
      <c r="BH51" s="138"/>
      <c r="BI51" s="279"/>
    </row>
    <row r="52" spans="1:61" ht="15" customHeight="1" x14ac:dyDescent="0.35">
      <c r="A52" s="259"/>
      <c r="B52" s="1500"/>
      <c r="C52" s="1472"/>
      <c r="D52" s="1472"/>
      <c r="E52" s="1592"/>
      <c r="F52" s="1592"/>
      <c r="G52" s="1472"/>
      <c r="H52" s="1502"/>
      <c r="I52" s="1501"/>
      <c r="J52" s="1483"/>
      <c r="K52" s="1501"/>
      <c r="L52" s="1501"/>
      <c r="M52" s="1501"/>
      <c r="N52" s="1501"/>
      <c r="O52" s="1501"/>
      <c r="P52" s="1501"/>
      <c r="Q52" s="1501"/>
      <c r="R52" s="1501"/>
      <c r="S52" s="1501"/>
      <c r="T52" s="1490"/>
      <c r="U52" s="1503"/>
      <c r="V52" s="138"/>
      <c r="W52" s="138"/>
      <c r="X52" s="138"/>
      <c r="Y52" s="138"/>
      <c r="Z52" s="375" t="str">
        <f t="shared" si="1"/>
        <v/>
      </c>
      <c r="AA52" s="138"/>
      <c r="AB52" s="138"/>
      <c r="AC52" s="138"/>
      <c r="AD52" s="138"/>
      <c r="AE52" s="138"/>
      <c r="AF52" s="138"/>
      <c r="AG52" s="1501"/>
      <c r="AH52" s="1482"/>
      <c r="AI52" s="208"/>
      <c r="AJ52" s="208"/>
      <c r="AK52" s="138"/>
      <c r="AL52" s="138"/>
      <c r="AM52" s="1483"/>
      <c r="AN52" s="1482"/>
      <c r="AO52" s="208"/>
      <c r="AP52" s="1483"/>
      <c r="AQ52" s="1482"/>
      <c r="AR52" s="1602"/>
      <c r="AS52" s="458"/>
      <c r="AT52" s="1600"/>
      <c r="AU52" s="1482"/>
      <c r="AV52" s="1483"/>
      <c r="AW52" s="1487"/>
      <c r="AX52" s="1488"/>
      <c r="AY52" s="1488"/>
      <c r="AZ52" s="1488"/>
      <c r="BA52" s="1489"/>
      <c r="BB52" s="1503"/>
      <c r="BC52" s="138"/>
      <c r="BD52" s="138"/>
      <c r="BE52" s="1483"/>
      <c r="BF52" s="1602"/>
      <c r="BG52" s="1482"/>
      <c r="BH52" s="138"/>
      <c r="BI52" s="279"/>
    </row>
    <row r="53" spans="1:61" ht="15" customHeight="1" x14ac:dyDescent="0.35">
      <c r="A53" s="259"/>
      <c r="B53" s="1500"/>
      <c r="C53" s="1472"/>
      <c r="D53" s="1472"/>
      <c r="E53" s="1592"/>
      <c r="F53" s="1592"/>
      <c r="G53" s="1472"/>
      <c r="H53" s="1502"/>
      <c r="I53" s="1501"/>
      <c r="J53" s="1483"/>
      <c r="K53" s="1501"/>
      <c r="L53" s="1501"/>
      <c r="M53" s="1501"/>
      <c r="N53" s="1501"/>
      <c r="O53" s="1501"/>
      <c r="P53" s="1501"/>
      <c r="Q53" s="1501"/>
      <c r="R53" s="1501"/>
      <c r="S53" s="1501"/>
      <c r="T53" s="1490"/>
      <c r="U53" s="1503"/>
      <c r="V53" s="138"/>
      <c r="W53" s="138"/>
      <c r="X53" s="138"/>
      <c r="Y53" s="138"/>
      <c r="Z53" s="375" t="str">
        <f t="shared" si="1"/>
        <v/>
      </c>
      <c r="AA53" s="138"/>
      <c r="AB53" s="138"/>
      <c r="AC53" s="138"/>
      <c r="AD53" s="138"/>
      <c r="AE53" s="138"/>
      <c r="AF53" s="138"/>
      <c r="AG53" s="1501"/>
      <c r="AH53" s="1482"/>
      <c r="AI53" s="208"/>
      <c r="AJ53" s="208"/>
      <c r="AK53" s="138"/>
      <c r="AL53" s="138"/>
      <c r="AM53" s="1483"/>
      <c r="AN53" s="1482"/>
      <c r="AO53" s="208"/>
      <c r="AP53" s="1483"/>
      <c r="AQ53" s="1482"/>
      <c r="AR53" s="1602"/>
      <c r="AS53" s="458"/>
      <c r="AT53" s="1600"/>
      <c r="AU53" s="1482"/>
      <c r="AV53" s="1483"/>
      <c r="AW53" s="1487"/>
      <c r="AX53" s="1488"/>
      <c r="AY53" s="1488"/>
      <c r="AZ53" s="1488"/>
      <c r="BA53" s="1489"/>
      <c r="BB53" s="1503"/>
      <c r="BC53" s="138"/>
      <c r="BD53" s="138"/>
      <c r="BE53" s="1483"/>
      <c r="BF53" s="1602"/>
      <c r="BG53" s="1482"/>
      <c r="BH53" s="138"/>
      <c r="BI53" s="279"/>
    </row>
    <row r="54" spans="1:61" ht="15" customHeight="1" x14ac:dyDescent="0.35">
      <c r="A54" s="259"/>
      <c r="B54" s="1500"/>
      <c r="C54" s="1472"/>
      <c r="D54" s="1472"/>
      <c r="E54" s="1592"/>
      <c r="F54" s="1592"/>
      <c r="G54" s="1472"/>
      <c r="H54" s="1502"/>
      <c r="I54" s="1501"/>
      <c r="J54" s="1483"/>
      <c r="K54" s="1501"/>
      <c r="L54" s="1501"/>
      <c r="M54" s="1501"/>
      <c r="N54" s="1501"/>
      <c r="O54" s="1501"/>
      <c r="P54" s="1501"/>
      <c r="Q54" s="1501"/>
      <c r="R54" s="1501"/>
      <c r="S54" s="1501"/>
      <c r="T54" s="1490"/>
      <c r="U54" s="1503"/>
      <c r="V54" s="138"/>
      <c r="W54" s="138"/>
      <c r="X54" s="138"/>
      <c r="Y54" s="138"/>
      <c r="Z54" s="375" t="str">
        <f t="shared" si="1"/>
        <v/>
      </c>
      <c r="AA54" s="138"/>
      <c r="AB54" s="138"/>
      <c r="AC54" s="138"/>
      <c r="AD54" s="138"/>
      <c r="AE54" s="138"/>
      <c r="AF54" s="138"/>
      <c r="AG54" s="1501"/>
      <c r="AH54" s="1482"/>
      <c r="AI54" s="208"/>
      <c r="AJ54" s="208"/>
      <c r="AK54" s="138"/>
      <c r="AL54" s="138"/>
      <c r="AM54" s="1483"/>
      <c r="AN54" s="1482"/>
      <c r="AO54" s="208"/>
      <c r="AP54" s="1483"/>
      <c r="AQ54" s="1482"/>
      <c r="AR54" s="1602"/>
      <c r="AS54" s="458"/>
      <c r="AT54" s="1600"/>
      <c r="AU54" s="1482"/>
      <c r="AV54" s="1483"/>
      <c r="AW54" s="1487"/>
      <c r="AX54" s="1488"/>
      <c r="AY54" s="1488"/>
      <c r="AZ54" s="1488"/>
      <c r="BA54" s="1489"/>
      <c r="BB54" s="1503"/>
      <c r="BC54" s="138"/>
      <c r="BD54" s="138"/>
      <c r="BE54" s="1483"/>
      <c r="BF54" s="1602"/>
      <c r="BG54" s="1482"/>
      <c r="BH54" s="138"/>
      <c r="BI54" s="279"/>
    </row>
    <row r="55" spans="1:61" ht="15" customHeight="1" x14ac:dyDescent="0.35">
      <c r="A55" s="259"/>
      <c r="B55" s="1500"/>
      <c r="C55" s="1472"/>
      <c r="D55" s="1472"/>
      <c r="E55" s="1592"/>
      <c r="F55" s="1592"/>
      <c r="G55" s="1472"/>
      <c r="H55" s="1502"/>
      <c r="I55" s="1501"/>
      <c r="J55" s="1483"/>
      <c r="K55" s="1501"/>
      <c r="L55" s="1501"/>
      <c r="M55" s="1501"/>
      <c r="N55" s="1501"/>
      <c r="O55" s="1501"/>
      <c r="P55" s="1501"/>
      <c r="Q55" s="1501"/>
      <c r="R55" s="1501"/>
      <c r="S55" s="1501"/>
      <c r="T55" s="1490"/>
      <c r="U55" s="1503"/>
      <c r="V55" s="138"/>
      <c r="W55" s="138"/>
      <c r="X55" s="138"/>
      <c r="Y55" s="138"/>
      <c r="Z55" s="375" t="str">
        <f t="shared" si="1"/>
        <v/>
      </c>
      <c r="AA55" s="138"/>
      <c r="AB55" s="138"/>
      <c r="AC55" s="138"/>
      <c r="AD55" s="138"/>
      <c r="AE55" s="138"/>
      <c r="AF55" s="138"/>
      <c r="AG55" s="1501"/>
      <c r="AH55" s="1482"/>
      <c r="AI55" s="208"/>
      <c r="AJ55" s="208"/>
      <c r="AK55" s="138"/>
      <c r="AL55" s="138"/>
      <c r="AM55" s="1483"/>
      <c r="AN55" s="1482"/>
      <c r="AO55" s="208"/>
      <c r="AP55" s="1483"/>
      <c r="AQ55" s="1482"/>
      <c r="AR55" s="1602"/>
      <c r="AS55" s="458"/>
      <c r="AT55" s="1600"/>
      <c r="AU55" s="1482"/>
      <c r="AV55" s="1483"/>
      <c r="AW55" s="1487"/>
      <c r="AX55" s="1488"/>
      <c r="AY55" s="1488"/>
      <c r="AZ55" s="1488"/>
      <c r="BA55" s="1489"/>
      <c r="BB55" s="1503"/>
      <c r="BC55" s="138"/>
      <c r="BD55" s="138"/>
      <c r="BE55" s="1483"/>
      <c r="BF55" s="1602"/>
      <c r="BG55" s="1482"/>
      <c r="BH55" s="138"/>
      <c r="BI55" s="279"/>
    </row>
    <row r="56" spans="1:61" ht="15" customHeight="1" x14ac:dyDescent="0.35">
      <c r="A56" s="259"/>
      <c r="B56" s="1500"/>
      <c r="C56" s="1472"/>
      <c r="D56" s="1472"/>
      <c r="E56" s="1592"/>
      <c r="F56" s="1592"/>
      <c r="G56" s="1472"/>
      <c r="H56" s="1502"/>
      <c r="I56" s="1501"/>
      <c r="J56" s="1483"/>
      <c r="K56" s="1501"/>
      <c r="L56" s="1501"/>
      <c r="M56" s="1501"/>
      <c r="N56" s="1501"/>
      <c r="O56" s="1501"/>
      <c r="P56" s="1501"/>
      <c r="Q56" s="1501"/>
      <c r="R56" s="1501"/>
      <c r="S56" s="1501"/>
      <c r="T56" s="1490"/>
      <c r="U56" s="1503"/>
      <c r="V56" s="138"/>
      <c r="W56" s="138"/>
      <c r="X56" s="138"/>
      <c r="Y56" s="138"/>
      <c r="Z56" s="375" t="str">
        <f t="shared" si="1"/>
        <v/>
      </c>
      <c r="AA56" s="138"/>
      <c r="AB56" s="138"/>
      <c r="AC56" s="138"/>
      <c r="AD56" s="138"/>
      <c r="AE56" s="138"/>
      <c r="AF56" s="138"/>
      <c r="AG56" s="1501"/>
      <c r="AH56" s="1482"/>
      <c r="AI56" s="208"/>
      <c r="AJ56" s="208"/>
      <c r="AK56" s="138"/>
      <c r="AL56" s="138"/>
      <c r="AM56" s="1483"/>
      <c r="AN56" s="1482"/>
      <c r="AO56" s="208"/>
      <c r="AP56" s="1483"/>
      <c r="AQ56" s="1482"/>
      <c r="AR56" s="1602"/>
      <c r="AS56" s="458"/>
      <c r="AT56" s="1600"/>
      <c r="AU56" s="1482"/>
      <c r="AV56" s="1483"/>
      <c r="AW56" s="1487"/>
      <c r="AX56" s="1488"/>
      <c r="AY56" s="1488"/>
      <c r="AZ56" s="1488"/>
      <c r="BA56" s="1489"/>
      <c r="BB56" s="1503"/>
      <c r="BC56" s="138"/>
      <c r="BD56" s="138"/>
      <c r="BE56" s="1483"/>
      <c r="BF56" s="1602"/>
      <c r="BG56" s="1482"/>
      <c r="BH56" s="138"/>
      <c r="BI56" s="279"/>
    </row>
    <row r="57" spans="1:61" ht="15" customHeight="1" x14ac:dyDescent="0.35">
      <c r="A57" s="259"/>
      <c r="B57" s="1500"/>
      <c r="C57" s="1472"/>
      <c r="D57" s="1472"/>
      <c r="E57" s="1592"/>
      <c r="F57" s="1592"/>
      <c r="G57" s="1472"/>
      <c r="H57" s="1502"/>
      <c r="I57" s="1501"/>
      <c r="J57" s="1483"/>
      <c r="K57" s="1501"/>
      <c r="L57" s="1501"/>
      <c r="M57" s="1501"/>
      <c r="N57" s="1501"/>
      <c r="O57" s="1501"/>
      <c r="P57" s="1501"/>
      <c r="Q57" s="1501"/>
      <c r="R57" s="1501"/>
      <c r="S57" s="1501"/>
      <c r="T57" s="1490"/>
      <c r="U57" s="1503"/>
      <c r="V57" s="138"/>
      <c r="W57" s="138"/>
      <c r="X57" s="138"/>
      <c r="Y57" s="138"/>
      <c r="Z57" s="375" t="str">
        <f t="shared" si="1"/>
        <v/>
      </c>
      <c r="AA57" s="138"/>
      <c r="AB57" s="138"/>
      <c r="AC57" s="138"/>
      <c r="AD57" s="138"/>
      <c r="AE57" s="138"/>
      <c r="AF57" s="138"/>
      <c r="AG57" s="1501"/>
      <c r="AH57" s="1482"/>
      <c r="AI57" s="208"/>
      <c r="AJ57" s="208"/>
      <c r="AK57" s="138"/>
      <c r="AL57" s="138"/>
      <c r="AM57" s="1483"/>
      <c r="AN57" s="1482"/>
      <c r="AO57" s="208"/>
      <c r="AP57" s="1483"/>
      <c r="AQ57" s="1482"/>
      <c r="AR57" s="1602"/>
      <c r="AS57" s="458"/>
      <c r="AT57" s="1600"/>
      <c r="AU57" s="1482"/>
      <c r="AV57" s="1483"/>
      <c r="AW57" s="1487"/>
      <c r="AX57" s="1488"/>
      <c r="AY57" s="1488"/>
      <c r="AZ57" s="1488"/>
      <c r="BA57" s="1489"/>
      <c r="BB57" s="1503"/>
      <c r="BC57" s="138"/>
      <c r="BD57" s="138"/>
      <c r="BE57" s="1483"/>
      <c r="BF57" s="1602"/>
      <c r="BG57" s="1482"/>
      <c r="BH57" s="138"/>
      <c r="BI57" s="279"/>
    </row>
    <row r="58" spans="1:61" ht="15" customHeight="1" x14ac:dyDescent="0.35">
      <c r="A58" s="259"/>
      <c r="B58" s="1500"/>
      <c r="C58" s="1472"/>
      <c r="D58" s="1472"/>
      <c r="E58" s="1592"/>
      <c r="F58" s="1592"/>
      <c r="G58" s="1472"/>
      <c r="H58" s="1502"/>
      <c r="I58" s="1501"/>
      <c r="J58" s="1483"/>
      <c r="K58" s="1501"/>
      <c r="L58" s="1501"/>
      <c r="M58" s="1501"/>
      <c r="N58" s="1501"/>
      <c r="O58" s="1501"/>
      <c r="P58" s="1501"/>
      <c r="Q58" s="1501"/>
      <c r="R58" s="1501"/>
      <c r="S58" s="1501"/>
      <c r="T58" s="1490"/>
      <c r="U58" s="1503"/>
      <c r="V58" s="138"/>
      <c r="W58" s="138"/>
      <c r="X58" s="138"/>
      <c r="Y58" s="138"/>
      <c r="Z58" s="375" t="str">
        <f t="shared" si="1"/>
        <v/>
      </c>
      <c r="AA58" s="138"/>
      <c r="AB58" s="138"/>
      <c r="AC58" s="138"/>
      <c r="AD58" s="138"/>
      <c r="AE58" s="138"/>
      <c r="AF58" s="138"/>
      <c r="AG58" s="1501"/>
      <c r="AH58" s="1482"/>
      <c r="AI58" s="208"/>
      <c r="AJ58" s="208"/>
      <c r="AK58" s="138"/>
      <c r="AL58" s="138"/>
      <c r="AM58" s="1483"/>
      <c r="AN58" s="1482"/>
      <c r="AO58" s="208"/>
      <c r="AP58" s="1483"/>
      <c r="AQ58" s="1482"/>
      <c r="AR58" s="1602"/>
      <c r="AS58" s="458"/>
      <c r="AT58" s="1600"/>
      <c r="AU58" s="1482"/>
      <c r="AV58" s="1483"/>
      <c r="AW58" s="1487"/>
      <c r="AX58" s="1488"/>
      <c r="AY58" s="1488"/>
      <c r="AZ58" s="1488"/>
      <c r="BA58" s="1489"/>
      <c r="BB58" s="1503"/>
      <c r="BC58" s="138"/>
      <c r="BD58" s="138"/>
      <c r="BE58" s="1483"/>
      <c r="BF58" s="1602"/>
      <c r="BG58" s="1482"/>
      <c r="BH58" s="138"/>
      <c r="BI58" s="279"/>
    </row>
    <row r="59" spans="1:61" ht="15" customHeight="1" x14ac:dyDescent="0.35">
      <c r="A59" s="259"/>
      <c r="B59" s="1500"/>
      <c r="C59" s="1472"/>
      <c r="D59" s="1472"/>
      <c r="E59" s="1592"/>
      <c r="F59" s="1592"/>
      <c r="G59" s="1472"/>
      <c r="H59" s="1502"/>
      <c r="I59" s="1501"/>
      <c r="J59" s="1483"/>
      <c r="K59" s="1501"/>
      <c r="L59" s="1501"/>
      <c r="M59" s="1501"/>
      <c r="N59" s="1501"/>
      <c r="O59" s="1501"/>
      <c r="P59" s="1501"/>
      <c r="Q59" s="1501"/>
      <c r="R59" s="1501"/>
      <c r="S59" s="1501"/>
      <c r="T59" s="1490"/>
      <c r="U59" s="1503"/>
      <c r="V59" s="138"/>
      <c r="W59" s="138"/>
      <c r="X59" s="138"/>
      <c r="Y59" s="138"/>
      <c r="Z59" s="375" t="str">
        <f t="shared" si="1"/>
        <v/>
      </c>
      <c r="AA59" s="138"/>
      <c r="AB59" s="138"/>
      <c r="AC59" s="138"/>
      <c r="AD59" s="138"/>
      <c r="AE59" s="138"/>
      <c r="AF59" s="138"/>
      <c r="AG59" s="1501"/>
      <c r="AH59" s="1482"/>
      <c r="AI59" s="208"/>
      <c r="AJ59" s="208"/>
      <c r="AK59" s="138"/>
      <c r="AL59" s="138"/>
      <c r="AM59" s="1483"/>
      <c r="AN59" s="1482"/>
      <c r="AO59" s="208"/>
      <c r="AP59" s="1483"/>
      <c r="AQ59" s="1482"/>
      <c r="AR59" s="1602"/>
      <c r="AS59" s="458"/>
      <c r="AT59" s="1600"/>
      <c r="AU59" s="1482"/>
      <c r="AV59" s="1483"/>
      <c r="AW59" s="1487"/>
      <c r="AX59" s="1488"/>
      <c r="AY59" s="1488"/>
      <c r="AZ59" s="1488"/>
      <c r="BA59" s="1489"/>
      <c r="BB59" s="1503"/>
      <c r="BC59" s="138"/>
      <c r="BD59" s="138"/>
      <c r="BE59" s="1483"/>
      <c r="BF59" s="1602"/>
      <c r="BG59" s="1482"/>
      <c r="BH59" s="138"/>
      <c r="BI59" s="279"/>
    </row>
    <row r="60" spans="1:61" ht="15" customHeight="1" x14ac:dyDescent="0.35">
      <c r="A60" s="259"/>
      <c r="B60" s="1500"/>
      <c r="C60" s="1472"/>
      <c r="D60" s="1472"/>
      <c r="E60" s="1592"/>
      <c r="F60" s="1592"/>
      <c r="G60" s="1472"/>
      <c r="H60" s="1502"/>
      <c r="I60" s="1501"/>
      <c r="J60" s="1483"/>
      <c r="K60" s="1501"/>
      <c r="L60" s="1501"/>
      <c r="M60" s="1501"/>
      <c r="N60" s="1501"/>
      <c r="O60" s="1501"/>
      <c r="P60" s="1501"/>
      <c r="Q60" s="1501"/>
      <c r="R60" s="1501"/>
      <c r="S60" s="1501"/>
      <c r="T60" s="1490"/>
      <c r="U60" s="1503"/>
      <c r="V60" s="138"/>
      <c r="W60" s="138"/>
      <c r="X60" s="138"/>
      <c r="Y60" s="138"/>
      <c r="Z60" s="375" t="str">
        <f t="shared" si="1"/>
        <v/>
      </c>
      <c r="AA60" s="138"/>
      <c r="AB60" s="138"/>
      <c r="AC60" s="138"/>
      <c r="AD60" s="138"/>
      <c r="AE60" s="138"/>
      <c r="AF60" s="138"/>
      <c r="AG60" s="1501"/>
      <c r="AH60" s="1482"/>
      <c r="AI60" s="208"/>
      <c r="AJ60" s="208"/>
      <c r="AK60" s="138"/>
      <c r="AL60" s="138"/>
      <c r="AM60" s="1483"/>
      <c r="AN60" s="1482"/>
      <c r="AO60" s="208"/>
      <c r="AP60" s="1483"/>
      <c r="AQ60" s="1482"/>
      <c r="AR60" s="1602"/>
      <c r="AS60" s="458"/>
      <c r="AT60" s="1600"/>
      <c r="AU60" s="1482"/>
      <c r="AV60" s="1483"/>
      <c r="AW60" s="1487"/>
      <c r="AX60" s="1488"/>
      <c r="AY60" s="1488"/>
      <c r="AZ60" s="1488"/>
      <c r="BA60" s="1489"/>
      <c r="BB60" s="1503"/>
      <c r="BC60" s="138"/>
      <c r="BD60" s="138"/>
      <c r="BE60" s="1483"/>
      <c r="BF60" s="1602"/>
      <c r="BG60" s="1482"/>
      <c r="BH60" s="138"/>
      <c r="BI60" s="279"/>
    </row>
    <row r="61" spans="1:61" ht="15" customHeight="1" x14ac:dyDescent="0.35">
      <c r="A61" s="259"/>
      <c r="B61" s="1500"/>
      <c r="C61" s="1472"/>
      <c r="D61" s="1472"/>
      <c r="E61" s="1592"/>
      <c r="F61" s="1592"/>
      <c r="G61" s="1472"/>
      <c r="H61" s="1502"/>
      <c r="I61" s="1501"/>
      <c r="J61" s="1483"/>
      <c r="K61" s="1501"/>
      <c r="L61" s="1501"/>
      <c r="M61" s="1501"/>
      <c r="N61" s="1501"/>
      <c r="O61" s="1501"/>
      <c r="P61" s="1501"/>
      <c r="Q61" s="1501"/>
      <c r="R61" s="1501"/>
      <c r="S61" s="1501"/>
      <c r="T61" s="1490"/>
      <c r="U61" s="1503"/>
      <c r="V61" s="138"/>
      <c r="W61" s="138"/>
      <c r="X61" s="138"/>
      <c r="Y61" s="138"/>
      <c r="Z61" s="375" t="str">
        <f t="shared" si="1"/>
        <v/>
      </c>
      <c r="AA61" s="138"/>
      <c r="AB61" s="138"/>
      <c r="AC61" s="138"/>
      <c r="AD61" s="138"/>
      <c r="AE61" s="138"/>
      <c r="AF61" s="138"/>
      <c r="AG61" s="1501"/>
      <c r="AH61" s="1482"/>
      <c r="AI61" s="208"/>
      <c r="AJ61" s="208"/>
      <c r="AK61" s="138"/>
      <c r="AL61" s="138"/>
      <c r="AM61" s="1483"/>
      <c r="AN61" s="1482"/>
      <c r="AO61" s="208"/>
      <c r="AP61" s="1483"/>
      <c r="AQ61" s="1482"/>
      <c r="AR61" s="1602"/>
      <c r="AS61" s="458"/>
      <c r="AT61" s="1600"/>
      <c r="AU61" s="1482"/>
      <c r="AV61" s="1483"/>
      <c r="AW61" s="1487"/>
      <c r="AX61" s="1488"/>
      <c r="AY61" s="1488"/>
      <c r="AZ61" s="1488"/>
      <c r="BA61" s="1489"/>
      <c r="BB61" s="1503"/>
      <c r="BC61" s="138"/>
      <c r="BD61" s="138"/>
      <c r="BE61" s="1483"/>
      <c r="BF61" s="1602"/>
      <c r="BG61" s="1482"/>
      <c r="BH61" s="138"/>
      <c r="BI61" s="279"/>
    </row>
    <row r="62" spans="1:61" ht="15" customHeight="1" x14ac:dyDescent="0.35">
      <c r="A62" s="259"/>
      <c r="B62" s="1500"/>
      <c r="C62" s="1472"/>
      <c r="D62" s="1472"/>
      <c r="E62" s="1592"/>
      <c r="F62" s="1592"/>
      <c r="G62" s="1472"/>
      <c r="H62" s="1502"/>
      <c r="I62" s="1501"/>
      <c r="J62" s="1483"/>
      <c r="K62" s="1501"/>
      <c r="L62" s="1501"/>
      <c r="M62" s="1501"/>
      <c r="N62" s="1501"/>
      <c r="O62" s="1501"/>
      <c r="P62" s="1501"/>
      <c r="Q62" s="1501"/>
      <c r="R62" s="1501"/>
      <c r="S62" s="1501"/>
      <c r="T62" s="1490"/>
      <c r="U62" s="1503"/>
      <c r="V62" s="138"/>
      <c r="W62" s="138"/>
      <c r="X62" s="138"/>
      <c r="Y62" s="138"/>
      <c r="Z62" s="375" t="str">
        <f t="shared" si="1"/>
        <v/>
      </c>
      <c r="AA62" s="138"/>
      <c r="AB62" s="138"/>
      <c r="AC62" s="138"/>
      <c r="AD62" s="138"/>
      <c r="AE62" s="138"/>
      <c r="AF62" s="138"/>
      <c r="AG62" s="1501"/>
      <c r="AH62" s="1482"/>
      <c r="AI62" s="208"/>
      <c r="AJ62" s="208"/>
      <c r="AK62" s="138"/>
      <c r="AL62" s="138"/>
      <c r="AM62" s="1483"/>
      <c r="AN62" s="1482"/>
      <c r="AO62" s="208"/>
      <c r="AP62" s="1483"/>
      <c r="AQ62" s="1482"/>
      <c r="AR62" s="1602"/>
      <c r="AS62" s="458"/>
      <c r="AT62" s="1600"/>
      <c r="AU62" s="1482"/>
      <c r="AV62" s="1483"/>
      <c r="AW62" s="1487"/>
      <c r="AX62" s="1488"/>
      <c r="AY62" s="1488"/>
      <c r="AZ62" s="1488"/>
      <c r="BA62" s="1489"/>
      <c r="BB62" s="1503"/>
      <c r="BC62" s="138"/>
      <c r="BD62" s="138"/>
      <c r="BE62" s="1483"/>
      <c r="BF62" s="1602"/>
      <c r="BG62" s="1482"/>
      <c r="BH62" s="138"/>
      <c r="BI62" s="279"/>
    </row>
    <row r="63" spans="1:61" ht="15" customHeight="1" x14ac:dyDescent="0.35">
      <c r="A63" s="259"/>
      <c r="B63" s="1500"/>
      <c r="C63" s="1472"/>
      <c r="D63" s="1472"/>
      <c r="E63" s="1592"/>
      <c r="F63" s="1592"/>
      <c r="G63" s="1472"/>
      <c r="H63" s="1502"/>
      <c r="I63" s="1501"/>
      <c r="J63" s="1483"/>
      <c r="K63" s="1501"/>
      <c r="L63" s="1501"/>
      <c r="M63" s="1501"/>
      <c r="N63" s="1501"/>
      <c r="O63" s="1501"/>
      <c r="P63" s="1501"/>
      <c r="Q63" s="1501"/>
      <c r="R63" s="1501"/>
      <c r="S63" s="1501"/>
      <c r="T63" s="1490"/>
      <c r="U63" s="1503"/>
      <c r="V63" s="138"/>
      <c r="W63" s="138"/>
      <c r="X63" s="138"/>
      <c r="Y63" s="138"/>
      <c r="Z63" s="375" t="str">
        <f t="shared" si="1"/>
        <v/>
      </c>
      <c r="AA63" s="138"/>
      <c r="AB63" s="138"/>
      <c r="AC63" s="138"/>
      <c r="AD63" s="138"/>
      <c r="AE63" s="138"/>
      <c r="AF63" s="138"/>
      <c r="AG63" s="1501"/>
      <c r="AH63" s="1482"/>
      <c r="AI63" s="208"/>
      <c r="AJ63" s="208"/>
      <c r="AK63" s="138"/>
      <c r="AL63" s="138"/>
      <c r="AM63" s="1483"/>
      <c r="AN63" s="1482"/>
      <c r="AO63" s="208"/>
      <c r="AP63" s="1483"/>
      <c r="AQ63" s="1482"/>
      <c r="AR63" s="1602"/>
      <c r="AS63" s="458"/>
      <c r="AT63" s="1600"/>
      <c r="AU63" s="1482"/>
      <c r="AV63" s="1483"/>
      <c r="AW63" s="1487"/>
      <c r="AX63" s="1488"/>
      <c r="AY63" s="1488"/>
      <c r="AZ63" s="1488"/>
      <c r="BA63" s="1489"/>
      <c r="BB63" s="1503"/>
      <c r="BC63" s="138"/>
      <c r="BD63" s="138"/>
      <c r="BE63" s="1483"/>
      <c r="BF63" s="1602"/>
      <c r="BG63" s="1482"/>
      <c r="BH63" s="138"/>
      <c r="BI63" s="279"/>
    </row>
    <row r="64" spans="1:61" ht="15" customHeight="1" x14ac:dyDescent="0.35">
      <c r="A64" s="259"/>
      <c r="B64" s="1500"/>
      <c r="C64" s="1472"/>
      <c r="D64" s="1472"/>
      <c r="E64" s="1592"/>
      <c r="F64" s="1592"/>
      <c r="G64" s="1472"/>
      <c r="H64" s="1502"/>
      <c r="I64" s="1501"/>
      <c r="J64" s="1483"/>
      <c r="K64" s="1501"/>
      <c r="L64" s="1501"/>
      <c r="M64" s="1501"/>
      <c r="N64" s="1501"/>
      <c r="O64" s="1501"/>
      <c r="P64" s="1501"/>
      <c r="Q64" s="1501"/>
      <c r="R64" s="1501"/>
      <c r="S64" s="1501"/>
      <c r="T64" s="1490"/>
      <c r="U64" s="1503"/>
      <c r="V64" s="138"/>
      <c r="W64" s="138"/>
      <c r="X64" s="138"/>
      <c r="Y64" s="138"/>
      <c r="Z64" s="375" t="str">
        <f t="shared" si="1"/>
        <v/>
      </c>
      <c r="AA64" s="138"/>
      <c r="AB64" s="138"/>
      <c r="AC64" s="138"/>
      <c r="AD64" s="138"/>
      <c r="AE64" s="138"/>
      <c r="AF64" s="138"/>
      <c r="AG64" s="1501"/>
      <c r="AH64" s="1482"/>
      <c r="AI64" s="208"/>
      <c r="AJ64" s="208"/>
      <c r="AK64" s="138"/>
      <c r="AL64" s="138"/>
      <c r="AM64" s="1483"/>
      <c r="AN64" s="1482"/>
      <c r="AO64" s="208"/>
      <c r="AP64" s="1483"/>
      <c r="AQ64" s="1482"/>
      <c r="AR64" s="1602"/>
      <c r="AS64" s="458"/>
      <c r="AT64" s="1600"/>
      <c r="AU64" s="1482"/>
      <c r="AV64" s="1483"/>
      <c r="AW64" s="1487"/>
      <c r="AX64" s="1488"/>
      <c r="AY64" s="1488"/>
      <c r="AZ64" s="1488"/>
      <c r="BA64" s="1489"/>
      <c r="BB64" s="1503"/>
      <c r="BC64" s="138"/>
      <c r="BD64" s="138"/>
      <c r="BE64" s="1483"/>
      <c r="BF64" s="1602"/>
      <c r="BG64" s="1482"/>
      <c r="BH64" s="138"/>
      <c r="BI64" s="279"/>
    </row>
    <row r="65" spans="1:61" ht="15" customHeight="1" x14ac:dyDescent="0.35">
      <c r="A65" s="259"/>
      <c r="B65" s="1500"/>
      <c r="C65" s="1472"/>
      <c r="D65" s="1472"/>
      <c r="E65" s="1592"/>
      <c r="F65" s="1592"/>
      <c r="G65" s="1472"/>
      <c r="H65" s="1502"/>
      <c r="I65" s="1501"/>
      <c r="J65" s="1483"/>
      <c r="K65" s="1501"/>
      <c r="L65" s="1501"/>
      <c r="M65" s="1501"/>
      <c r="N65" s="1501"/>
      <c r="O65" s="1501"/>
      <c r="P65" s="1501"/>
      <c r="Q65" s="1501"/>
      <c r="R65" s="1501"/>
      <c r="S65" s="1501"/>
      <c r="T65" s="1490"/>
      <c r="U65" s="1503"/>
      <c r="V65" s="138"/>
      <c r="W65" s="138"/>
      <c r="X65" s="138"/>
      <c r="Y65" s="138"/>
      <c r="Z65" s="375" t="str">
        <f t="shared" si="1"/>
        <v/>
      </c>
      <c r="AA65" s="138"/>
      <c r="AB65" s="138"/>
      <c r="AC65" s="138"/>
      <c r="AD65" s="138"/>
      <c r="AE65" s="138"/>
      <c r="AF65" s="138"/>
      <c r="AG65" s="1501"/>
      <c r="AH65" s="1482"/>
      <c r="AI65" s="208"/>
      <c r="AJ65" s="208"/>
      <c r="AK65" s="138"/>
      <c r="AL65" s="138"/>
      <c r="AM65" s="1483"/>
      <c r="AN65" s="1482"/>
      <c r="AO65" s="208"/>
      <c r="AP65" s="1483"/>
      <c r="AQ65" s="1482"/>
      <c r="AR65" s="1602"/>
      <c r="AS65" s="458"/>
      <c r="AT65" s="1600"/>
      <c r="AU65" s="1482"/>
      <c r="AV65" s="1483"/>
      <c r="AW65" s="1487"/>
      <c r="AX65" s="1488"/>
      <c r="AY65" s="1488"/>
      <c r="AZ65" s="1488"/>
      <c r="BA65" s="1489"/>
      <c r="BB65" s="1503"/>
      <c r="BC65" s="138"/>
      <c r="BD65" s="138"/>
      <c r="BE65" s="1483"/>
      <c r="BF65" s="1602"/>
      <c r="BG65" s="1482"/>
      <c r="BH65" s="138"/>
      <c r="BI65" s="279"/>
    </row>
    <row r="66" spans="1:61" ht="15" customHeight="1" x14ac:dyDescent="0.35">
      <c r="A66" s="259"/>
      <c r="B66" s="1500"/>
      <c r="C66" s="1472"/>
      <c r="D66" s="1472"/>
      <c r="E66" s="1592"/>
      <c r="F66" s="1592"/>
      <c r="G66" s="1472"/>
      <c r="H66" s="1502"/>
      <c r="I66" s="1501"/>
      <c r="J66" s="1483"/>
      <c r="K66" s="1501"/>
      <c r="L66" s="1501"/>
      <c r="M66" s="1501"/>
      <c r="N66" s="1501"/>
      <c r="O66" s="1501"/>
      <c r="P66" s="1501"/>
      <c r="Q66" s="1501"/>
      <c r="R66" s="1501"/>
      <c r="S66" s="1501"/>
      <c r="T66" s="1490"/>
      <c r="U66" s="1503"/>
      <c r="V66" s="138"/>
      <c r="W66" s="138"/>
      <c r="X66" s="138"/>
      <c r="Y66" s="138"/>
      <c r="Z66" s="375" t="str">
        <f t="shared" si="1"/>
        <v/>
      </c>
      <c r="AA66" s="138"/>
      <c r="AB66" s="138"/>
      <c r="AC66" s="138"/>
      <c r="AD66" s="138"/>
      <c r="AE66" s="138"/>
      <c r="AF66" s="138"/>
      <c r="AG66" s="1501"/>
      <c r="AH66" s="1482"/>
      <c r="AI66" s="208"/>
      <c r="AJ66" s="208"/>
      <c r="AK66" s="138"/>
      <c r="AL66" s="138"/>
      <c r="AM66" s="1483"/>
      <c r="AN66" s="1482"/>
      <c r="AO66" s="208"/>
      <c r="AP66" s="1483"/>
      <c r="AQ66" s="1482"/>
      <c r="AR66" s="1602"/>
      <c r="AS66" s="458"/>
      <c r="AT66" s="1600"/>
      <c r="AU66" s="1482"/>
      <c r="AV66" s="1483"/>
      <c r="AW66" s="1487"/>
      <c r="AX66" s="1488"/>
      <c r="AY66" s="1488"/>
      <c r="AZ66" s="1488"/>
      <c r="BA66" s="1489"/>
      <c r="BB66" s="1503"/>
      <c r="BC66" s="138"/>
      <c r="BD66" s="138"/>
      <c r="BE66" s="1483"/>
      <c r="BF66" s="1602"/>
      <c r="BG66" s="1482"/>
      <c r="BH66" s="138"/>
      <c r="BI66" s="279"/>
    </row>
    <row r="67" spans="1:61" ht="15" customHeight="1" x14ac:dyDescent="0.35">
      <c r="A67" s="259"/>
      <c r="B67" s="1500"/>
      <c r="C67" s="1472"/>
      <c r="D67" s="1472"/>
      <c r="E67" s="1592"/>
      <c r="F67" s="1592"/>
      <c r="G67" s="1472"/>
      <c r="H67" s="1502"/>
      <c r="I67" s="1501"/>
      <c r="J67" s="1483"/>
      <c r="K67" s="1501"/>
      <c r="L67" s="1501"/>
      <c r="M67" s="1501"/>
      <c r="N67" s="1501"/>
      <c r="O67" s="1501"/>
      <c r="P67" s="1501"/>
      <c r="Q67" s="1501"/>
      <c r="R67" s="1501"/>
      <c r="S67" s="1501"/>
      <c r="T67" s="1490"/>
      <c r="U67" s="1503"/>
      <c r="V67" s="138"/>
      <c r="W67" s="138"/>
      <c r="X67" s="138"/>
      <c r="Y67" s="138"/>
      <c r="Z67" s="375" t="str">
        <f t="shared" si="1"/>
        <v/>
      </c>
      <c r="AA67" s="138"/>
      <c r="AB67" s="138"/>
      <c r="AC67" s="138"/>
      <c r="AD67" s="138"/>
      <c r="AE67" s="138"/>
      <c r="AF67" s="138"/>
      <c r="AG67" s="1501"/>
      <c r="AH67" s="1482"/>
      <c r="AI67" s="208"/>
      <c r="AJ67" s="208"/>
      <c r="AK67" s="138"/>
      <c r="AL67" s="138"/>
      <c r="AM67" s="1483"/>
      <c r="AN67" s="1482"/>
      <c r="AO67" s="208"/>
      <c r="AP67" s="1483"/>
      <c r="AQ67" s="1482"/>
      <c r="AR67" s="1602"/>
      <c r="AS67" s="458"/>
      <c r="AT67" s="1600"/>
      <c r="AU67" s="1482"/>
      <c r="AV67" s="1483"/>
      <c r="AW67" s="1487"/>
      <c r="AX67" s="1488"/>
      <c r="AY67" s="1488"/>
      <c r="AZ67" s="1488"/>
      <c r="BA67" s="1489"/>
      <c r="BB67" s="1503"/>
      <c r="BC67" s="138"/>
      <c r="BD67" s="138"/>
      <c r="BE67" s="1483"/>
      <c r="BF67" s="1602"/>
      <c r="BG67" s="1482"/>
      <c r="BH67" s="138"/>
      <c r="BI67" s="279"/>
    </row>
    <row r="68" spans="1:61" ht="15" customHeight="1" x14ac:dyDescent="0.35">
      <c r="A68" s="259"/>
      <c r="B68" s="1500"/>
      <c r="C68" s="1472"/>
      <c r="D68" s="1472"/>
      <c r="E68" s="1592"/>
      <c r="F68" s="1592"/>
      <c r="G68" s="1472"/>
      <c r="H68" s="1502"/>
      <c r="I68" s="1501"/>
      <c r="J68" s="1483"/>
      <c r="K68" s="1501"/>
      <c r="L68" s="1501"/>
      <c r="M68" s="1501"/>
      <c r="N68" s="1501"/>
      <c r="O68" s="1501"/>
      <c r="P68" s="1501"/>
      <c r="Q68" s="1501"/>
      <c r="R68" s="1501"/>
      <c r="S68" s="1501"/>
      <c r="T68" s="1490"/>
      <c r="U68" s="1503"/>
      <c r="V68" s="138"/>
      <c r="W68" s="138"/>
      <c r="X68" s="138"/>
      <c r="Y68" s="138"/>
      <c r="Z68" s="375" t="str">
        <f t="shared" si="1"/>
        <v/>
      </c>
      <c r="AA68" s="138"/>
      <c r="AB68" s="138"/>
      <c r="AC68" s="138"/>
      <c r="AD68" s="138"/>
      <c r="AE68" s="138"/>
      <c r="AF68" s="138"/>
      <c r="AG68" s="1501"/>
      <c r="AH68" s="1482"/>
      <c r="AI68" s="208"/>
      <c r="AJ68" s="208"/>
      <c r="AK68" s="138"/>
      <c r="AL68" s="138"/>
      <c r="AM68" s="1483"/>
      <c r="AN68" s="1482"/>
      <c r="AO68" s="208"/>
      <c r="AP68" s="1483"/>
      <c r="AQ68" s="1482"/>
      <c r="AR68" s="1602"/>
      <c r="AS68" s="458"/>
      <c r="AT68" s="1600"/>
      <c r="AU68" s="1482"/>
      <c r="AV68" s="1483"/>
      <c r="AW68" s="1487"/>
      <c r="AX68" s="1488"/>
      <c r="AY68" s="1488"/>
      <c r="AZ68" s="1488"/>
      <c r="BA68" s="1489"/>
      <c r="BB68" s="1503"/>
      <c r="BC68" s="138"/>
      <c r="BD68" s="138"/>
      <c r="BE68" s="1483"/>
      <c r="BF68" s="1602"/>
      <c r="BG68" s="1482"/>
      <c r="BH68" s="138"/>
      <c r="BI68" s="279"/>
    </row>
    <row r="69" spans="1:61" ht="15" customHeight="1" x14ac:dyDescent="0.35">
      <c r="A69" s="259"/>
      <c r="B69" s="1500"/>
      <c r="C69" s="1472"/>
      <c r="D69" s="1472"/>
      <c r="E69" s="1592"/>
      <c r="F69" s="1592"/>
      <c r="G69" s="1472"/>
      <c r="H69" s="1502"/>
      <c r="I69" s="1501"/>
      <c r="J69" s="1483"/>
      <c r="K69" s="1501"/>
      <c r="L69" s="1501"/>
      <c r="M69" s="1501"/>
      <c r="N69" s="1501"/>
      <c r="O69" s="1501"/>
      <c r="P69" s="1501"/>
      <c r="Q69" s="1501"/>
      <c r="R69" s="1501"/>
      <c r="S69" s="1501"/>
      <c r="T69" s="1490"/>
      <c r="U69" s="1503"/>
      <c r="V69" s="138"/>
      <c r="W69" s="138"/>
      <c r="X69" s="138"/>
      <c r="Y69" s="138"/>
      <c r="Z69" s="375" t="str">
        <f t="shared" si="1"/>
        <v/>
      </c>
      <c r="AA69" s="138"/>
      <c r="AB69" s="138"/>
      <c r="AC69" s="138"/>
      <c r="AD69" s="138"/>
      <c r="AE69" s="138"/>
      <c r="AF69" s="138"/>
      <c r="AG69" s="1501"/>
      <c r="AH69" s="1482"/>
      <c r="AI69" s="208"/>
      <c r="AJ69" s="208"/>
      <c r="AK69" s="138"/>
      <c r="AL69" s="138"/>
      <c r="AM69" s="1483"/>
      <c r="AN69" s="1482"/>
      <c r="AO69" s="208"/>
      <c r="AP69" s="1483"/>
      <c r="AQ69" s="1482"/>
      <c r="AR69" s="1602"/>
      <c r="AS69" s="458"/>
      <c r="AT69" s="1600"/>
      <c r="AU69" s="1482"/>
      <c r="AV69" s="1483"/>
      <c r="AW69" s="1487"/>
      <c r="AX69" s="1488"/>
      <c r="AY69" s="1488"/>
      <c r="AZ69" s="1488"/>
      <c r="BA69" s="1489"/>
      <c r="BB69" s="1503"/>
      <c r="BC69" s="138"/>
      <c r="BD69" s="138"/>
      <c r="BE69" s="1483"/>
      <c r="BF69" s="1602"/>
      <c r="BG69" s="1482"/>
      <c r="BH69" s="138"/>
      <c r="BI69" s="279"/>
    </row>
    <row r="70" spans="1:61" ht="15" customHeight="1" x14ac:dyDescent="0.35">
      <c r="A70" s="259"/>
      <c r="B70" s="1500"/>
      <c r="C70" s="1472"/>
      <c r="D70" s="1472"/>
      <c r="E70" s="1592"/>
      <c r="F70" s="1592"/>
      <c r="G70" s="1472"/>
      <c r="H70" s="1502"/>
      <c r="I70" s="1501"/>
      <c r="J70" s="1483"/>
      <c r="K70" s="1501"/>
      <c r="L70" s="1501"/>
      <c r="M70" s="1501"/>
      <c r="N70" s="1501"/>
      <c r="O70" s="1501"/>
      <c r="P70" s="1501"/>
      <c r="Q70" s="1501"/>
      <c r="R70" s="1501"/>
      <c r="S70" s="1501"/>
      <c r="T70" s="1490"/>
      <c r="U70" s="1503"/>
      <c r="V70" s="138"/>
      <c r="W70" s="138"/>
      <c r="X70" s="138"/>
      <c r="Y70" s="138"/>
      <c r="Z70" s="375" t="str">
        <f t="shared" si="1"/>
        <v/>
      </c>
      <c r="AA70" s="138"/>
      <c r="AB70" s="138"/>
      <c r="AC70" s="138"/>
      <c r="AD70" s="138"/>
      <c r="AE70" s="138"/>
      <c r="AF70" s="138"/>
      <c r="AG70" s="1501"/>
      <c r="AH70" s="1482"/>
      <c r="AI70" s="208"/>
      <c r="AJ70" s="208"/>
      <c r="AK70" s="138"/>
      <c r="AL70" s="138"/>
      <c r="AM70" s="1483"/>
      <c r="AN70" s="1482"/>
      <c r="AO70" s="208"/>
      <c r="AP70" s="1483"/>
      <c r="AQ70" s="1482"/>
      <c r="AR70" s="1602"/>
      <c r="AS70" s="458"/>
      <c r="AT70" s="1600"/>
      <c r="AU70" s="1482"/>
      <c r="AV70" s="1483"/>
      <c r="AW70" s="1487"/>
      <c r="AX70" s="1488"/>
      <c r="AY70" s="1488"/>
      <c r="AZ70" s="1488"/>
      <c r="BA70" s="1489"/>
      <c r="BB70" s="1503"/>
      <c r="BC70" s="138"/>
      <c r="BD70" s="138"/>
      <c r="BE70" s="1483"/>
      <c r="BF70" s="1602"/>
      <c r="BG70" s="1482"/>
      <c r="BH70" s="138"/>
      <c r="BI70" s="279"/>
    </row>
    <row r="71" spans="1:61" ht="15" customHeight="1" x14ac:dyDescent="0.35">
      <c r="A71" s="259"/>
      <c r="B71" s="1500"/>
      <c r="C71" s="1472"/>
      <c r="D71" s="1472"/>
      <c r="E71" s="1592"/>
      <c r="F71" s="1592"/>
      <c r="G71" s="1472"/>
      <c r="H71" s="1502"/>
      <c r="I71" s="1501"/>
      <c r="J71" s="1483"/>
      <c r="K71" s="1501"/>
      <c r="L71" s="1501"/>
      <c r="M71" s="1501"/>
      <c r="N71" s="1501"/>
      <c r="O71" s="1501"/>
      <c r="P71" s="1501"/>
      <c r="Q71" s="1501"/>
      <c r="R71" s="1501"/>
      <c r="S71" s="1501"/>
      <c r="T71" s="1490"/>
      <c r="U71" s="1503"/>
      <c r="V71" s="138"/>
      <c r="W71" s="138"/>
      <c r="X71" s="138"/>
      <c r="Y71" s="138"/>
      <c r="Z71" s="375" t="str">
        <f t="shared" si="1"/>
        <v/>
      </c>
      <c r="AA71" s="138"/>
      <c r="AB71" s="138"/>
      <c r="AC71" s="138"/>
      <c r="AD71" s="138"/>
      <c r="AE71" s="138"/>
      <c r="AF71" s="138"/>
      <c r="AG71" s="1501"/>
      <c r="AH71" s="1482"/>
      <c r="AI71" s="208"/>
      <c r="AJ71" s="208"/>
      <c r="AK71" s="138"/>
      <c r="AL71" s="138"/>
      <c r="AM71" s="1483"/>
      <c r="AN71" s="1482"/>
      <c r="AO71" s="208"/>
      <c r="AP71" s="1483"/>
      <c r="AQ71" s="1482"/>
      <c r="AR71" s="1602"/>
      <c r="AS71" s="458"/>
      <c r="AT71" s="1600"/>
      <c r="AU71" s="1482"/>
      <c r="AV71" s="1483"/>
      <c r="AW71" s="1487"/>
      <c r="AX71" s="1488"/>
      <c r="AY71" s="1488"/>
      <c r="AZ71" s="1488"/>
      <c r="BA71" s="1489"/>
      <c r="BB71" s="1503"/>
      <c r="BC71" s="138"/>
      <c r="BD71" s="138"/>
      <c r="BE71" s="1483"/>
      <c r="BF71" s="1602"/>
      <c r="BG71" s="1482"/>
      <c r="BH71" s="138"/>
      <c r="BI71" s="279"/>
    </row>
    <row r="72" spans="1:61" ht="15" customHeight="1" x14ac:dyDescent="0.35">
      <c r="A72" s="259"/>
      <c r="B72" s="1500"/>
      <c r="C72" s="1472"/>
      <c r="D72" s="1472"/>
      <c r="E72" s="1592"/>
      <c r="F72" s="1592"/>
      <c r="G72" s="1472"/>
      <c r="H72" s="1502"/>
      <c r="I72" s="1501"/>
      <c r="J72" s="1483"/>
      <c r="K72" s="1501"/>
      <c r="L72" s="1501"/>
      <c r="M72" s="1501"/>
      <c r="N72" s="1501"/>
      <c r="O72" s="1501"/>
      <c r="P72" s="1501"/>
      <c r="Q72" s="1501"/>
      <c r="R72" s="1501"/>
      <c r="S72" s="1501"/>
      <c r="T72" s="1490"/>
      <c r="U72" s="1503"/>
      <c r="V72" s="138"/>
      <c r="W72" s="138"/>
      <c r="X72" s="138"/>
      <c r="Y72" s="138"/>
      <c r="Z72" s="375" t="str">
        <f t="shared" si="1"/>
        <v/>
      </c>
      <c r="AA72" s="138"/>
      <c r="AB72" s="138"/>
      <c r="AC72" s="138"/>
      <c r="AD72" s="138"/>
      <c r="AE72" s="138"/>
      <c r="AF72" s="138"/>
      <c r="AG72" s="1501"/>
      <c r="AH72" s="1482"/>
      <c r="AI72" s="208"/>
      <c r="AJ72" s="208"/>
      <c r="AK72" s="138"/>
      <c r="AL72" s="138"/>
      <c r="AM72" s="1483"/>
      <c r="AN72" s="1482"/>
      <c r="AO72" s="208"/>
      <c r="AP72" s="1483"/>
      <c r="AQ72" s="1482"/>
      <c r="AR72" s="1602"/>
      <c r="AS72" s="458"/>
      <c r="AT72" s="1600"/>
      <c r="AU72" s="1482"/>
      <c r="AV72" s="1483"/>
      <c r="AW72" s="1487"/>
      <c r="AX72" s="1488"/>
      <c r="AY72" s="1488"/>
      <c r="AZ72" s="1488"/>
      <c r="BA72" s="1489"/>
      <c r="BB72" s="1503"/>
      <c r="BC72" s="138"/>
      <c r="BD72" s="138"/>
      <c r="BE72" s="1483"/>
      <c r="BF72" s="1602"/>
      <c r="BG72" s="1482"/>
      <c r="BH72" s="138"/>
      <c r="BI72" s="279"/>
    </row>
    <row r="73" spans="1:61" ht="15" customHeight="1" x14ac:dyDescent="0.35">
      <c r="A73" s="259"/>
      <c r="B73" s="1500"/>
      <c r="C73" s="1472"/>
      <c r="D73" s="1472"/>
      <c r="E73" s="1592"/>
      <c r="F73" s="1592"/>
      <c r="G73" s="1472"/>
      <c r="H73" s="1502"/>
      <c r="I73" s="1501"/>
      <c r="J73" s="1483"/>
      <c r="K73" s="1501"/>
      <c r="L73" s="1501"/>
      <c r="M73" s="1501"/>
      <c r="N73" s="1501"/>
      <c r="O73" s="1501"/>
      <c r="P73" s="1501"/>
      <c r="Q73" s="1501"/>
      <c r="R73" s="1501"/>
      <c r="S73" s="1501"/>
      <c r="T73" s="1490"/>
      <c r="U73" s="1503"/>
      <c r="V73" s="138"/>
      <c r="W73" s="138"/>
      <c r="X73" s="138"/>
      <c r="Y73" s="138"/>
      <c r="Z73" s="375" t="str">
        <f t="shared" si="1"/>
        <v/>
      </c>
      <c r="AA73" s="138"/>
      <c r="AB73" s="138"/>
      <c r="AC73" s="138"/>
      <c r="AD73" s="138"/>
      <c r="AE73" s="138"/>
      <c r="AF73" s="138"/>
      <c r="AG73" s="1501"/>
      <c r="AH73" s="1482"/>
      <c r="AI73" s="208"/>
      <c r="AJ73" s="208"/>
      <c r="AK73" s="138"/>
      <c r="AL73" s="138"/>
      <c r="AM73" s="1483"/>
      <c r="AN73" s="1482"/>
      <c r="AO73" s="208"/>
      <c r="AP73" s="1483"/>
      <c r="AQ73" s="1482"/>
      <c r="AR73" s="1602"/>
      <c r="AS73" s="458"/>
      <c r="AT73" s="1600"/>
      <c r="AU73" s="1482"/>
      <c r="AV73" s="1483"/>
      <c r="AW73" s="1487"/>
      <c r="AX73" s="1488"/>
      <c r="AY73" s="1488"/>
      <c r="AZ73" s="1488"/>
      <c r="BA73" s="1489"/>
      <c r="BB73" s="1503"/>
      <c r="BC73" s="138"/>
      <c r="BD73" s="138"/>
      <c r="BE73" s="1483"/>
      <c r="BF73" s="1602"/>
      <c r="BG73" s="1482"/>
      <c r="BH73" s="138"/>
      <c r="BI73" s="279"/>
    </row>
    <row r="74" spans="1:61" ht="15" customHeight="1" x14ac:dyDescent="0.35">
      <c r="A74" s="259"/>
      <c r="B74" s="1500"/>
      <c r="C74" s="1472"/>
      <c r="D74" s="1472"/>
      <c r="E74" s="1592"/>
      <c r="F74" s="1592"/>
      <c r="G74" s="1472"/>
      <c r="H74" s="1502"/>
      <c r="I74" s="1501"/>
      <c r="J74" s="1483"/>
      <c r="K74" s="1501"/>
      <c r="L74" s="1501"/>
      <c r="M74" s="1501"/>
      <c r="N74" s="1501"/>
      <c r="O74" s="1501"/>
      <c r="P74" s="1501"/>
      <c r="Q74" s="1501"/>
      <c r="R74" s="1501"/>
      <c r="S74" s="1501"/>
      <c r="T74" s="1490"/>
      <c r="U74" s="1503"/>
      <c r="V74" s="138"/>
      <c r="W74" s="138"/>
      <c r="X74" s="138"/>
      <c r="Y74" s="138"/>
      <c r="Z74" s="375" t="str">
        <f t="shared" si="1"/>
        <v/>
      </c>
      <c r="AA74" s="138"/>
      <c r="AB74" s="138"/>
      <c r="AC74" s="138"/>
      <c r="AD74" s="138"/>
      <c r="AE74" s="138"/>
      <c r="AF74" s="138"/>
      <c r="AG74" s="1501"/>
      <c r="AH74" s="1482"/>
      <c r="AI74" s="208"/>
      <c r="AJ74" s="208"/>
      <c r="AK74" s="138"/>
      <c r="AL74" s="138"/>
      <c r="AM74" s="1483"/>
      <c r="AN74" s="1482"/>
      <c r="AO74" s="208"/>
      <c r="AP74" s="1483"/>
      <c r="AQ74" s="1482"/>
      <c r="AR74" s="1602"/>
      <c r="AS74" s="458"/>
      <c r="AT74" s="1600"/>
      <c r="AU74" s="1482"/>
      <c r="AV74" s="1483"/>
      <c r="AW74" s="1487"/>
      <c r="AX74" s="1488"/>
      <c r="AY74" s="1488"/>
      <c r="AZ74" s="1488"/>
      <c r="BA74" s="1489"/>
      <c r="BB74" s="1503"/>
      <c r="BC74" s="138"/>
      <c r="BD74" s="138"/>
      <c r="BE74" s="1483"/>
      <c r="BF74" s="1602"/>
      <c r="BG74" s="1482"/>
      <c r="BH74" s="138"/>
      <c r="BI74" s="279"/>
    </row>
    <row r="75" spans="1:61" ht="15" customHeight="1" x14ac:dyDescent="0.35">
      <c r="A75" s="259"/>
      <c r="B75" s="1500"/>
      <c r="C75" s="1472"/>
      <c r="D75" s="1472"/>
      <c r="E75" s="1592"/>
      <c r="F75" s="1592"/>
      <c r="G75" s="1472"/>
      <c r="H75" s="1502"/>
      <c r="I75" s="1501"/>
      <c r="J75" s="1483"/>
      <c r="K75" s="1501"/>
      <c r="L75" s="1501"/>
      <c r="M75" s="1501"/>
      <c r="N75" s="1501"/>
      <c r="O75" s="1501"/>
      <c r="P75" s="1501"/>
      <c r="Q75" s="1501"/>
      <c r="R75" s="1501"/>
      <c r="S75" s="1501"/>
      <c r="T75" s="1490"/>
      <c r="U75" s="1503"/>
      <c r="V75" s="138"/>
      <c r="W75" s="138"/>
      <c r="X75" s="138"/>
      <c r="Y75" s="138"/>
      <c r="Z75" s="375" t="str">
        <f t="shared" si="1"/>
        <v/>
      </c>
      <c r="AA75" s="138"/>
      <c r="AB75" s="138"/>
      <c r="AC75" s="138"/>
      <c r="AD75" s="138"/>
      <c r="AE75" s="138"/>
      <c r="AF75" s="138"/>
      <c r="AG75" s="1501"/>
      <c r="AH75" s="1482"/>
      <c r="AI75" s="208"/>
      <c r="AJ75" s="208"/>
      <c r="AK75" s="138"/>
      <c r="AL75" s="138"/>
      <c r="AM75" s="1483"/>
      <c r="AN75" s="1482"/>
      <c r="AO75" s="208"/>
      <c r="AP75" s="1483"/>
      <c r="AQ75" s="1482"/>
      <c r="AR75" s="1602"/>
      <c r="AS75" s="458"/>
      <c r="AT75" s="1600"/>
      <c r="AU75" s="1482"/>
      <c r="AV75" s="1483"/>
      <c r="AW75" s="1487"/>
      <c r="AX75" s="1488"/>
      <c r="AY75" s="1488"/>
      <c r="AZ75" s="1488"/>
      <c r="BA75" s="1489"/>
      <c r="BB75" s="1503"/>
      <c r="BC75" s="138"/>
      <c r="BD75" s="138"/>
      <c r="BE75" s="1483"/>
      <c r="BF75" s="1602"/>
      <c r="BG75" s="1482"/>
      <c r="BH75" s="138"/>
      <c r="BI75" s="279"/>
    </row>
    <row r="76" spans="1:61" ht="15" customHeight="1" x14ac:dyDescent="0.35">
      <c r="A76" s="259"/>
      <c r="B76" s="1500"/>
      <c r="C76" s="1472"/>
      <c r="D76" s="1472"/>
      <c r="E76" s="1592"/>
      <c r="F76" s="1592"/>
      <c r="G76" s="1472"/>
      <c r="H76" s="1502"/>
      <c r="I76" s="1501"/>
      <c r="J76" s="1483"/>
      <c r="K76" s="1501"/>
      <c r="L76" s="1501"/>
      <c r="M76" s="1501"/>
      <c r="N76" s="1501"/>
      <c r="O76" s="1501"/>
      <c r="P76" s="1501"/>
      <c r="Q76" s="1501"/>
      <c r="R76" s="1501"/>
      <c r="S76" s="1501"/>
      <c r="T76" s="1490"/>
      <c r="U76" s="1503"/>
      <c r="V76" s="138"/>
      <c r="W76" s="138"/>
      <c r="X76" s="138"/>
      <c r="Y76" s="138"/>
      <c r="Z76" s="375" t="str">
        <f t="shared" si="1"/>
        <v/>
      </c>
      <c r="AA76" s="138"/>
      <c r="AB76" s="138"/>
      <c r="AC76" s="138"/>
      <c r="AD76" s="138"/>
      <c r="AE76" s="138"/>
      <c r="AF76" s="138"/>
      <c r="AG76" s="1501"/>
      <c r="AH76" s="1482"/>
      <c r="AI76" s="208"/>
      <c r="AJ76" s="208"/>
      <c r="AK76" s="138"/>
      <c r="AL76" s="138"/>
      <c r="AM76" s="1483"/>
      <c r="AN76" s="1482"/>
      <c r="AO76" s="208"/>
      <c r="AP76" s="1483"/>
      <c r="AQ76" s="1482"/>
      <c r="AR76" s="1602"/>
      <c r="AS76" s="458"/>
      <c r="AT76" s="1600"/>
      <c r="AU76" s="1482"/>
      <c r="AV76" s="1483"/>
      <c r="AW76" s="1487"/>
      <c r="AX76" s="1488"/>
      <c r="AY76" s="1488"/>
      <c r="AZ76" s="1488"/>
      <c r="BA76" s="1489"/>
      <c r="BB76" s="1503"/>
      <c r="BC76" s="138"/>
      <c r="BD76" s="138"/>
      <c r="BE76" s="1483"/>
      <c r="BF76" s="1602"/>
      <c r="BG76" s="1482"/>
      <c r="BH76" s="138"/>
      <c r="BI76" s="279"/>
    </row>
    <row r="77" spans="1:61" ht="15" customHeight="1" x14ac:dyDescent="0.35">
      <c r="A77" s="259"/>
      <c r="B77" s="1500"/>
      <c r="C77" s="1472"/>
      <c r="D77" s="1472"/>
      <c r="E77" s="1592"/>
      <c r="F77" s="1592"/>
      <c r="G77" s="1472"/>
      <c r="H77" s="1502"/>
      <c r="I77" s="1501"/>
      <c r="J77" s="1483"/>
      <c r="K77" s="1501"/>
      <c r="L77" s="1501"/>
      <c r="M77" s="1501"/>
      <c r="N77" s="1501"/>
      <c r="O77" s="1501"/>
      <c r="P77" s="1501"/>
      <c r="Q77" s="1501"/>
      <c r="R77" s="1501"/>
      <c r="S77" s="1501"/>
      <c r="T77" s="1490"/>
      <c r="U77" s="1503"/>
      <c r="V77" s="138"/>
      <c r="W77" s="138"/>
      <c r="X77" s="138"/>
      <c r="Y77" s="138"/>
      <c r="Z77" s="375" t="str">
        <f t="shared" ref="Z77:Z112" si="2">IF(AND(ISNUMBER(W77),ISNUMBER(X77),ISNUMBER(Y77)),SUM(W77,X77,Y77),"")</f>
        <v/>
      </c>
      <c r="AA77" s="138"/>
      <c r="AB77" s="138"/>
      <c r="AC77" s="138"/>
      <c r="AD77" s="138"/>
      <c r="AE77" s="138"/>
      <c r="AF77" s="138"/>
      <c r="AG77" s="1501"/>
      <c r="AH77" s="1482"/>
      <c r="AI77" s="208"/>
      <c r="AJ77" s="208"/>
      <c r="AK77" s="138"/>
      <c r="AL77" s="138"/>
      <c r="AM77" s="1483"/>
      <c r="AN77" s="1482"/>
      <c r="AO77" s="208"/>
      <c r="AP77" s="1483"/>
      <c r="AQ77" s="1482"/>
      <c r="AR77" s="1602"/>
      <c r="AS77" s="458"/>
      <c r="AT77" s="1600"/>
      <c r="AU77" s="1482"/>
      <c r="AV77" s="1483"/>
      <c r="AW77" s="1487"/>
      <c r="AX77" s="1488"/>
      <c r="AY77" s="1488"/>
      <c r="AZ77" s="1488"/>
      <c r="BA77" s="1489"/>
      <c r="BB77" s="1503"/>
      <c r="BC77" s="138"/>
      <c r="BD77" s="138"/>
      <c r="BE77" s="1483"/>
      <c r="BF77" s="1602"/>
      <c r="BG77" s="1482"/>
      <c r="BH77" s="138"/>
      <c r="BI77" s="279"/>
    </row>
    <row r="78" spans="1:61" ht="15" customHeight="1" x14ac:dyDescent="0.35">
      <c r="A78" s="259"/>
      <c r="B78" s="1500"/>
      <c r="C78" s="1472"/>
      <c r="D78" s="1472"/>
      <c r="E78" s="1592"/>
      <c r="F78" s="1592"/>
      <c r="G78" s="1472"/>
      <c r="H78" s="1502"/>
      <c r="I78" s="1501"/>
      <c r="J78" s="1483"/>
      <c r="K78" s="1501"/>
      <c r="L78" s="1501"/>
      <c r="M78" s="1501"/>
      <c r="N78" s="1501"/>
      <c r="O78" s="1501"/>
      <c r="P78" s="1501"/>
      <c r="Q78" s="1501"/>
      <c r="R78" s="1501"/>
      <c r="S78" s="1501"/>
      <c r="T78" s="1490"/>
      <c r="U78" s="1503"/>
      <c r="V78" s="138"/>
      <c r="W78" s="138"/>
      <c r="X78" s="138"/>
      <c r="Y78" s="138"/>
      <c r="Z78" s="375" t="str">
        <f t="shared" si="2"/>
        <v/>
      </c>
      <c r="AA78" s="138"/>
      <c r="AB78" s="138"/>
      <c r="AC78" s="138"/>
      <c r="AD78" s="138"/>
      <c r="AE78" s="138"/>
      <c r="AF78" s="138"/>
      <c r="AG78" s="1501"/>
      <c r="AH78" s="1482"/>
      <c r="AI78" s="208"/>
      <c r="AJ78" s="208"/>
      <c r="AK78" s="138"/>
      <c r="AL78" s="138"/>
      <c r="AM78" s="1483"/>
      <c r="AN78" s="1482"/>
      <c r="AO78" s="208"/>
      <c r="AP78" s="1483"/>
      <c r="AQ78" s="1482"/>
      <c r="AR78" s="1602"/>
      <c r="AS78" s="458"/>
      <c r="AT78" s="1600"/>
      <c r="AU78" s="1482"/>
      <c r="AV78" s="1483"/>
      <c r="AW78" s="1487"/>
      <c r="AX78" s="1488"/>
      <c r="AY78" s="1488"/>
      <c r="AZ78" s="1488"/>
      <c r="BA78" s="1489"/>
      <c r="BB78" s="1503"/>
      <c r="BC78" s="138"/>
      <c r="BD78" s="138"/>
      <c r="BE78" s="1483"/>
      <c r="BF78" s="1602"/>
      <c r="BG78" s="1482"/>
      <c r="BH78" s="138"/>
      <c r="BI78" s="279"/>
    </row>
    <row r="79" spans="1:61" ht="15" customHeight="1" x14ac:dyDescent="0.35">
      <c r="A79" s="259"/>
      <c r="B79" s="1500"/>
      <c r="C79" s="1472"/>
      <c r="D79" s="1472"/>
      <c r="E79" s="1592"/>
      <c r="F79" s="1592"/>
      <c r="G79" s="1472"/>
      <c r="H79" s="1502"/>
      <c r="I79" s="1501"/>
      <c r="J79" s="1483"/>
      <c r="K79" s="1501"/>
      <c r="L79" s="1501"/>
      <c r="M79" s="1501"/>
      <c r="N79" s="1501"/>
      <c r="O79" s="1501"/>
      <c r="P79" s="1501"/>
      <c r="Q79" s="1501"/>
      <c r="R79" s="1501"/>
      <c r="S79" s="1501"/>
      <c r="T79" s="1490"/>
      <c r="U79" s="1503"/>
      <c r="V79" s="138"/>
      <c r="W79" s="138"/>
      <c r="X79" s="138"/>
      <c r="Y79" s="138"/>
      <c r="Z79" s="375" t="str">
        <f t="shared" si="2"/>
        <v/>
      </c>
      <c r="AA79" s="138"/>
      <c r="AB79" s="138"/>
      <c r="AC79" s="138"/>
      <c r="AD79" s="138"/>
      <c r="AE79" s="138"/>
      <c r="AF79" s="138"/>
      <c r="AG79" s="1501"/>
      <c r="AH79" s="1482"/>
      <c r="AI79" s="208"/>
      <c r="AJ79" s="208"/>
      <c r="AK79" s="138"/>
      <c r="AL79" s="138"/>
      <c r="AM79" s="1483"/>
      <c r="AN79" s="1482"/>
      <c r="AO79" s="208"/>
      <c r="AP79" s="1483"/>
      <c r="AQ79" s="1482"/>
      <c r="AR79" s="1602"/>
      <c r="AS79" s="458"/>
      <c r="AT79" s="1600"/>
      <c r="AU79" s="1482"/>
      <c r="AV79" s="1483"/>
      <c r="AW79" s="1487"/>
      <c r="AX79" s="1488"/>
      <c r="AY79" s="1488"/>
      <c r="AZ79" s="1488"/>
      <c r="BA79" s="1489"/>
      <c r="BB79" s="1503"/>
      <c r="BC79" s="138"/>
      <c r="BD79" s="138"/>
      <c r="BE79" s="1483"/>
      <c r="BF79" s="1602"/>
      <c r="BG79" s="1482"/>
      <c r="BH79" s="138"/>
      <c r="BI79" s="279"/>
    </row>
    <row r="80" spans="1:61" ht="15" customHeight="1" x14ac:dyDescent="0.35">
      <c r="A80" s="259"/>
      <c r="B80" s="1500"/>
      <c r="C80" s="1472"/>
      <c r="D80" s="1472"/>
      <c r="E80" s="1592"/>
      <c r="F80" s="1592"/>
      <c r="G80" s="1472"/>
      <c r="H80" s="1502"/>
      <c r="I80" s="1501"/>
      <c r="J80" s="1483"/>
      <c r="K80" s="1501"/>
      <c r="L80" s="1501"/>
      <c r="M80" s="1501"/>
      <c r="N80" s="1501"/>
      <c r="O80" s="1501"/>
      <c r="P80" s="1501"/>
      <c r="Q80" s="1501"/>
      <c r="R80" s="1501"/>
      <c r="S80" s="1501"/>
      <c r="T80" s="1490"/>
      <c r="U80" s="1503"/>
      <c r="V80" s="138"/>
      <c r="W80" s="138"/>
      <c r="X80" s="138"/>
      <c r="Y80" s="138"/>
      <c r="Z80" s="375" t="str">
        <f t="shared" si="2"/>
        <v/>
      </c>
      <c r="AA80" s="138"/>
      <c r="AB80" s="138"/>
      <c r="AC80" s="138"/>
      <c r="AD80" s="138"/>
      <c r="AE80" s="138"/>
      <c r="AF80" s="138"/>
      <c r="AG80" s="1501"/>
      <c r="AH80" s="1482"/>
      <c r="AI80" s="208"/>
      <c r="AJ80" s="208"/>
      <c r="AK80" s="138"/>
      <c r="AL80" s="138"/>
      <c r="AM80" s="1483"/>
      <c r="AN80" s="1482"/>
      <c r="AO80" s="208"/>
      <c r="AP80" s="1483"/>
      <c r="AQ80" s="1482"/>
      <c r="AR80" s="1602"/>
      <c r="AS80" s="458"/>
      <c r="AT80" s="1600"/>
      <c r="AU80" s="1482"/>
      <c r="AV80" s="1483"/>
      <c r="AW80" s="1487"/>
      <c r="AX80" s="1488"/>
      <c r="AY80" s="1488"/>
      <c r="AZ80" s="1488"/>
      <c r="BA80" s="1489"/>
      <c r="BB80" s="1503"/>
      <c r="BC80" s="138"/>
      <c r="BD80" s="138"/>
      <c r="BE80" s="1483"/>
      <c r="BF80" s="1602"/>
      <c r="BG80" s="1482"/>
      <c r="BH80" s="138"/>
      <c r="BI80" s="279"/>
    </row>
    <row r="81" spans="1:61" ht="15" customHeight="1" x14ac:dyDescent="0.35">
      <c r="A81" s="259"/>
      <c r="B81" s="1500"/>
      <c r="C81" s="1472"/>
      <c r="D81" s="1472"/>
      <c r="E81" s="1592"/>
      <c r="F81" s="1592"/>
      <c r="G81" s="1472"/>
      <c r="H81" s="1502"/>
      <c r="I81" s="1501"/>
      <c r="J81" s="1483"/>
      <c r="K81" s="1501"/>
      <c r="L81" s="1501"/>
      <c r="M81" s="1501"/>
      <c r="N81" s="1501"/>
      <c r="O81" s="1501"/>
      <c r="P81" s="1501"/>
      <c r="Q81" s="1501"/>
      <c r="R81" s="1501"/>
      <c r="S81" s="1501"/>
      <c r="T81" s="1490"/>
      <c r="U81" s="1503"/>
      <c r="V81" s="138"/>
      <c r="W81" s="138"/>
      <c r="X81" s="138"/>
      <c r="Y81" s="138"/>
      <c r="Z81" s="375" t="str">
        <f t="shared" si="2"/>
        <v/>
      </c>
      <c r="AA81" s="138"/>
      <c r="AB81" s="138"/>
      <c r="AC81" s="138"/>
      <c r="AD81" s="138"/>
      <c r="AE81" s="138"/>
      <c r="AF81" s="138"/>
      <c r="AG81" s="1501"/>
      <c r="AH81" s="1482"/>
      <c r="AI81" s="208"/>
      <c r="AJ81" s="208"/>
      <c r="AK81" s="138"/>
      <c r="AL81" s="138"/>
      <c r="AM81" s="1483"/>
      <c r="AN81" s="1482"/>
      <c r="AO81" s="208"/>
      <c r="AP81" s="1483"/>
      <c r="AQ81" s="1482"/>
      <c r="AR81" s="1602"/>
      <c r="AS81" s="458"/>
      <c r="AT81" s="1600"/>
      <c r="AU81" s="1482"/>
      <c r="AV81" s="1483"/>
      <c r="AW81" s="1487"/>
      <c r="AX81" s="1488"/>
      <c r="AY81" s="1488"/>
      <c r="AZ81" s="1488"/>
      <c r="BA81" s="1489"/>
      <c r="BB81" s="1503"/>
      <c r="BC81" s="138"/>
      <c r="BD81" s="138"/>
      <c r="BE81" s="1483"/>
      <c r="BF81" s="1602"/>
      <c r="BG81" s="1482"/>
      <c r="BH81" s="138"/>
      <c r="BI81" s="279"/>
    </row>
    <row r="82" spans="1:61" ht="15" customHeight="1" x14ac:dyDescent="0.35">
      <c r="A82" s="259"/>
      <c r="B82" s="1500"/>
      <c r="C82" s="1472"/>
      <c r="D82" s="1472"/>
      <c r="E82" s="1592"/>
      <c r="F82" s="1592"/>
      <c r="G82" s="1472"/>
      <c r="H82" s="1502"/>
      <c r="I82" s="1501"/>
      <c r="J82" s="1483"/>
      <c r="K82" s="1501"/>
      <c r="L82" s="1501"/>
      <c r="M82" s="1501"/>
      <c r="N82" s="1501"/>
      <c r="O82" s="1501"/>
      <c r="P82" s="1501"/>
      <c r="Q82" s="1501"/>
      <c r="R82" s="1501"/>
      <c r="S82" s="1501"/>
      <c r="T82" s="1490"/>
      <c r="U82" s="1503"/>
      <c r="V82" s="138"/>
      <c r="W82" s="138"/>
      <c r="X82" s="138"/>
      <c r="Y82" s="138"/>
      <c r="Z82" s="375" t="str">
        <f t="shared" si="2"/>
        <v/>
      </c>
      <c r="AA82" s="138"/>
      <c r="AB82" s="138"/>
      <c r="AC82" s="138"/>
      <c r="AD82" s="138"/>
      <c r="AE82" s="138"/>
      <c r="AF82" s="138"/>
      <c r="AG82" s="1501"/>
      <c r="AH82" s="1482"/>
      <c r="AI82" s="208"/>
      <c r="AJ82" s="208"/>
      <c r="AK82" s="138"/>
      <c r="AL82" s="138"/>
      <c r="AM82" s="1483"/>
      <c r="AN82" s="1482"/>
      <c r="AO82" s="208"/>
      <c r="AP82" s="1483"/>
      <c r="AQ82" s="1482"/>
      <c r="AR82" s="1602"/>
      <c r="AS82" s="458"/>
      <c r="AT82" s="1600"/>
      <c r="AU82" s="1482"/>
      <c r="AV82" s="1483"/>
      <c r="AW82" s="1487"/>
      <c r="AX82" s="1488"/>
      <c r="AY82" s="1488"/>
      <c r="AZ82" s="1488"/>
      <c r="BA82" s="1489"/>
      <c r="BB82" s="1503"/>
      <c r="BC82" s="138"/>
      <c r="BD82" s="138"/>
      <c r="BE82" s="1483"/>
      <c r="BF82" s="1602"/>
      <c r="BG82" s="1482"/>
      <c r="BH82" s="138"/>
      <c r="BI82" s="279"/>
    </row>
    <row r="83" spans="1:61" ht="15" customHeight="1" x14ac:dyDescent="0.35">
      <c r="A83" s="259"/>
      <c r="B83" s="1500"/>
      <c r="C83" s="1472"/>
      <c r="D83" s="1472"/>
      <c r="E83" s="1592"/>
      <c r="F83" s="1592"/>
      <c r="G83" s="1472"/>
      <c r="H83" s="1502"/>
      <c r="I83" s="1501"/>
      <c r="J83" s="1483"/>
      <c r="K83" s="1501"/>
      <c r="L83" s="1501"/>
      <c r="M83" s="1501"/>
      <c r="N83" s="1501"/>
      <c r="O83" s="1501"/>
      <c r="P83" s="1501"/>
      <c r="Q83" s="1501"/>
      <c r="R83" s="1501"/>
      <c r="S83" s="1501"/>
      <c r="T83" s="1490"/>
      <c r="U83" s="1503"/>
      <c r="V83" s="138"/>
      <c r="W83" s="138"/>
      <c r="X83" s="138"/>
      <c r="Y83" s="138"/>
      <c r="Z83" s="375" t="str">
        <f t="shared" si="2"/>
        <v/>
      </c>
      <c r="AA83" s="138"/>
      <c r="AB83" s="138"/>
      <c r="AC83" s="138"/>
      <c r="AD83" s="138"/>
      <c r="AE83" s="138"/>
      <c r="AF83" s="138"/>
      <c r="AG83" s="1501"/>
      <c r="AH83" s="1482"/>
      <c r="AI83" s="208"/>
      <c r="AJ83" s="208"/>
      <c r="AK83" s="138"/>
      <c r="AL83" s="138"/>
      <c r="AM83" s="1483"/>
      <c r="AN83" s="1482"/>
      <c r="AO83" s="208"/>
      <c r="AP83" s="1483"/>
      <c r="AQ83" s="1482"/>
      <c r="AR83" s="1602"/>
      <c r="AS83" s="458"/>
      <c r="AT83" s="1600"/>
      <c r="AU83" s="1482"/>
      <c r="AV83" s="1483"/>
      <c r="AW83" s="1487"/>
      <c r="AX83" s="1488"/>
      <c r="AY83" s="1488"/>
      <c r="AZ83" s="1488"/>
      <c r="BA83" s="1489"/>
      <c r="BB83" s="1503"/>
      <c r="BC83" s="138"/>
      <c r="BD83" s="138"/>
      <c r="BE83" s="1483"/>
      <c r="BF83" s="1602"/>
      <c r="BG83" s="1482"/>
      <c r="BH83" s="138"/>
      <c r="BI83" s="279"/>
    </row>
    <row r="84" spans="1:61" ht="15" customHeight="1" x14ac:dyDescent="0.35">
      <c r="A84" s="259"/>
      <c r="B84" s="1500"/>
      <c r="C84" s="1472"/>
      <c r="D84" s="1472"/>
      <c r="E84" s="1592"/>
      <c r="F84" s="1592"/>
      <c r="G84" s="1472"/>
      <c r="H84" s="1502"/>
      <c r="I84" s="1501"/>
      <c r="J84" s="1483"/>
      <c r="K84" s="1501"/>
      <c r="L84" s="1501"/>
      <c r="M84" s="1501"/>
      <c r="N84" s="1501"/>
      <c r="O84" s="1501"/>
      <c r="P84" s="1501"/>
      <c r="Q84" s="1501"/>
      <c r="R84" s="1501"/>
      <c r="S84" s="1501"/>
      <c r="T84" s="1490"/>
      <c r="U84" s="1503"/>
      <c r="V84" s="138"/>
      <c r="W84" s="138"/>
      <c r="X84" s="138"/>
      <c r="Y84" s="138"/>
      <c r="Z84" s="375" t="str">
        <f t="shared" si="2"/>
        <v/>
      </c>
      <c r="AA84" s="138"/>
      <c r="AB84" s="138"/>
      <c r="AC84" s="138"/>
      <c r="AD84" s="138"/>
      <c r="AE84" s="138"/>
      <c r="AF84" s="138"/>
      <c r="AG84" s="1501"/>
      <c r="AH84" s="1482"/>
      <c r="AI84" s="208"/>
      <c r="AJ84" s="208"/>
      <c r="AK84" s="138"/>
      <c r="AL84" s="138"/>
      <c r="AM84" s="1483"/>
      <c r="AN84" s="1482"/>
      <c r="AO84" s="208"/>
      <c r="AP84" s="1483"/>
      <c r="AQ84" s="1482"/>
      <c r="AR84" s="1602"/>
      <c r="AS84" s="458"/>
      <c r="AT84" s="1600"/>
      <c r="AU84" s="1482"/>
      <c r="AV84" s="1483"/>
      <c r="AW84" s="1487"/>
      <c r="AX84" s="1488"/>
      <c r="AY84" s="1488"/>
      <c r="AZ84" s="1488"/>
      <c r="BA84" s="1489"/>
      <c r="BB84" s="1503"/>
      <c r="BC84" s="138"/>
      <c r="BD84" s="138"/>
      <c r="BE84" s="1483"/>
      <c r="BF84" s="1602"/>
      <c r="BG84" s="1482"/>
      <c r="BH84" s="138"/>
      <c r="BI84" s="279"/>
    </row>
    <row r="85" spans="1:61" ht="15" customHeight="1" x14ac:dyDescent="0.35">
      <c r="A85" s="259"/>
      <c r="B85" s="1500"/>
      <c r="C85" s="1472"/>
      <c r="D85" s="1472"/>
      <c r="E85" s="1592"/>
      <c r="F85" s="1592"/>
      <c r="G85" s="1472"/>
      <c r="H85" s="1502"/>
      <c r="I85" s="1501"/>
      <c r="J85" s="1483"/>
      <c r="K85" s="1501"/>
      <c r="L85" s="1501"/>
      <c r="M85" s="1501"/>
      <c r="N85" s="1501"/>
      <c r="O85" s="1501"/>
      <c r="P85" s="1501"/>
      <c r="Q85" s="1501"/>
      <c r="R85" s="1501"/>
      <c r="S85" s="1501"/>
      <c r="T85" s="1490"/>
      <c r="U85" s="1503"/>
      <c r="V85" s="138"/>
      <c r="W85" s="138"/>
      <c r="X85" s="138"/>
      <c r="Y85" s="138"/>
      <c r="Z85" s="375" t="str">
        <f t="shared" si="2"/>
        <v/>
      </c>
      <c r="AA85" s="138"/>
      <c r="AB85" s="138"/>
      <c r="AC85" s="138"/>
      <c r="AD85" s="138"/>
      <c r="AE85" s="138"/>
      <c r="AF85" s="138"/>
      <c r="AG85" s="1501"/>
      <c r="AH85" s="1482"/>
      <c r="AI85" s="208"/>
      <c r="AJ85" s="208"/>
      <c r="AK85" s="138"/>
      <c r="AL85" s="138"/>
      <c r="AM85" s="1483"/>
      <c r="AN85" s="1482"/>
      <c r="AO85" s="208"/>
      <c r="AP85" s="1483"/>
      <c r="AQ85" s="1482"/>
      <c r="AR85" s="1602"/>
      <c r="AS85" s="458"/>
      <c r="AT85" s="1600"/>
      <c r="AU85" s="1482"/>
      <c r="AV85" s="1483"/>
      <c r="AW85" s="1487"/>
      <c r="AX85" s="1488"/>
      <c r="AY85" s="1488"/>
      <c r="AZ85" s="1488"/>
      <c r="BA85" s="1489"/>
      <c r="BB85" s="1503"/>
      <c r="BC85" s="138"/>
      <c r="BD85" s="138"/>
      <c r="BE85" s="1483"/>
      <c r="BF85" s="1602"/>
      <c r="BG85" s="1482"/>
      <c r="BH85" s="138"/>
      <c r="BI85" s="279"/>
    </row>
    <row r="86" spans="1:61" ht="15" customHeight="1" x14ac:dyDescent="0.35">
      <c r="A86" s="259"/>
      <c r="B86" s="1500"/>
      <c r="C86" s="1472"/>
      <c r="D86" s="1472"/>
      <c r="E86" s="1592"/>
      <c r="F86" s="1592"/>
      <c r="G86" s="1472"/>
      <c r="H86" s="1502"/>
      <c r="I86" s="1501"/>
      <c r="J86" s="1483"/>
      <c r="K86" s="1501"/>
      <c r="L86" s="1501"/>
      <c r="M86" s="1501"/>
      <c r="N86" s="1501"/>
      <c r="O86" s="1501"/>
      <c r="P86" s="1501"/>
      <c r="Q86" s="1501"/>
      <c r="R86" s="1501"/>
      <c r="S86" s="1501"/>
      <c r="T86" s="1490"/>
      <c r="U86" s="1503"/>
      <c r="V86" s="138"/>
      <c r="W86" s="138"/>
      <c r="X86" s="138"/>
      <c r="Y86" s="138"/>
      <c r="Z86" s="375" t="str">
        <f t="shared" si="2"/>
        <v/>
      </c>
      <c r="AA86" s="138"/>
      <c r="AB86" s="138"/>
      <c r="AC86" s="138"/>
      <c r="AD86" s="138"/>
      <c r="AE86" s="138"/>
      <c r="AF86" s="138"/>
      <c r="AG86" s="1501"/>
      <c r="AH86" s="1482"/>
      <c r="AI86" s="208"/>
      <c r="AJ86" s="208"/>
      <c r="AK86" s="138"/>
      <c r="AL86" s="138"/>
      <c r="AM86" s="1483"/>
      <c r="AN86" s="1482"/>
      <c r="AO86" s="208"/>
      <c r="AP86" s="1483"/>
      <c r="AQ86" s="1482"/>
      <c r="AR86" s="1602"/>
      <c r="AS86" s="458"/>
      <c r="AT86" s="1600"/>
      <c r="AU86" s="1482"/>
      <c r="AV86" s="1483"/>
      <c r="AW86" s="1487"/>
      <c r="AX86" s="1488"/>
      <c r="AY86" s="1488"/>
      <c r="AZ86" s="1488"/>
      <c r="BA86" s="1489"/>
      <c r="BB86" s="1503"/>
      <c r="BC86" s="138"/>
      <c r="BD86" s="138"/>
      <c r="BE86" s="1483"/>
      <c r="BF86" s="1602"/>
      <c r="BG86" s="1482"/>
      <c r="BH86" s="138"/>
      <c r="BI86" s="279"/>
    </row>
    <row r="87" spans="1:61" ht="15" customHeight="1" x14ac:dyDescent="0.35">
      <c r="A87" s="259"/>
      <c r="B87" s="1500"/>
      <c r="C87" s="1472"/>
      <c r="D87" s="1472"/>
      <c r="E87" s="1592"/>
      <c r="F87" s="1592"/>
      <c r="G87" s="1472"/>
      <c r="H87" s="1502"/>
      <c r="I87" s="1501"/>
      <c r="J87" s="1483"/>
      <c r="K87" s="1501"/>
      <c r="L87" s="1501"/>
      <c r="M87" s="1501"/>
      <c r="N87" s="1501"/>
      <c r="O87" s="1501"/>
      <c r="P87" s="1501"/>
      <c r="Q87" s="1501"/>
      <c r="R87" s="1501"/>
      <c r="S87" s="1501"/>
      <c r="T87" s="1490"/>
      <c r="U87" s="1503"/>
      <c r="V87" s="138"/>
      <c r="W87" s="138"/>
      <c r="X87" s="138"/>
      <c r="Y87" s="138"/>
      <c r="Z87" s="375" t="str">
        <f t="shared" si="2"/>
        <v/>
      </c>
      <c r="AA87" s="138"/>
      <c r="AB87" s="138"/>
      <c r="AC87" s="138"/>
      <c r="AD87" s="138"/>
      <c r="AE87" s="138"/>
      <c r="AF87" s="138"/>
      <c r="AG87" s="1501"/>
      <c r="AH87" s="1482"/>
      <c r="AI87" s="208"/>
      <c r="AJ87" s="208"/>
      <c r="AK87" s="138"/>
      <c r="AL87" s="138"/>
      <c r="AM87" s="1483"/>
      <c r="AN87" s="1482"/>
      <c r="AO87" s="208"/>
      <c r="AP87" s="1483"/>
      <c r="AQ87" s="1482"/>
      <c r="AR87" s="1602"/>
      <c r="AS87" s="458"/>
      <c r="AT87" s="1600"/>
      <c r="AU87" s="1482"/>
      <c r="AV87" s="1483"/>
      <c r="AW87" s="1487"/>
      <c r="AX87" s="1488"/>
      <c r="AY87" s="1488"/>
      <c r="AZ87" s="1488"/>
      <c r="BA87" s="1489"/>
      <c r="BB87" s="1503"/>
      <c r="BC87" s="138"/>
      <c r="BD87" s="138"/>
      <c r="BE87" s="1483"/>
      <c r="BF87" s="1602"/>
      <c r="BG87" s="1482"/>
      <c r="BH87" s="138"/>
      <c r="BI87" s="279"/>
    </row>
    <row r="88" spans="1:61" ht="15" customHeight="1" x14ac:dyDescent="0.35">
      <c r="A88" s="259"/>
      <c r="B88" s="1500"/>
      <c r="C88" s="1472"/>
      <c r="D88" s="1472"/>
      <c r="E88" s="1592"/>
      <c r="F88" s="1592"/>
      <c r="G88" s="1472"/>
      <c r="H88" s="1502"/>
      <c r="I88" s="1501"/>
      <c r="J88" s="1483"/>
      <c r="K88" s="1501"/>
      <c r="L88" s="1501"/>
      <c r="M88" s="1501"/>
      <c r="N88" s="1501"/>
      <c r="O88" s="1501"/>
      <c r="P88" s="1501"/>
      <c r="Q88" s="1501"/>
      <c r="R88" s="1501"/>
      <c r="S88" s="1501"/>
      <c r="T88" s="1490"/>
      <c r="U88" s="1503"/>
      <c r="V88" s="138"/>
      <c r="W88" s="138"/>
      <c r="X88" s="138"/>
      <c r="Y88" s="138"/>
      <c r="Z88" s="375" t="str">
        <f t="shared" si="2"/>
        <v/>
      </c>
      <c r="AA88" s="138"/>
      <c r="AB88" s="138"/>
      <c r="AC88" s="138"/>
      <c r="AD88" s="138"/>
      <c r="AE88" s="138"/>
      <c r="AF88" s="138"/>
      <c r="AG88" s="1501"/>
      <c r="AH88" s="1482"/>
      <c r="AI88" s="208"/>
      <c r="AJ88" s="208"/>
      <c r="AK88" s="138"/>
      <c r="AL88" s="138"/>
      <c r="AM88" s="1483"/>
      <c r="AN88" s="1482"/>
      <c r="AO88" s="208"/>
      <c r="AP88" s="1483"/>
      <c r="AQ88" s="1482"/>
      <c r="AR88" s="1602"/>
      <c r="AS88" s="458"/>
      <c r="AT88" s="1600"/>
      <c r="AU88" s="1482"/>
      <c r="AV88" s="1483"/>
      <c r="AW88" s="1487"/>
      <c r="AX88" s="1488"/>
      <c r="AY88" s="1488"/>
      <c r="AZ88" s="1488"/>
      <c r="BA88" s="1489"/>
      <c r="BB88" s="1503"/>
      <c r="BC88" s="138"/>
      <c r="BD88" s="138"/>
      <c r="BE88" s="1483"/>
      <c r="BF88" s="1602"/>
      <c r="BG88" s="1482"/>
      <c r="BH88" s="138"/>
      <c r="BI88" s="279"/>
    </row>
    <row r="89" spans="1:61" ht="15" customHeight="1" x14ac:dyDescent="0.35">
      <c r="A89" s="259"/>
      <c r="B89" s="1500"/>
      <c r="C89" s="1472"/>
      <c r="D89" s="1472"/>
      <c r="E89" s="1592"/>
      <c r="F89" s="1592"/>
      <c r="G89" s="1472"/>
      <c r="H89" s="1502"/>
      <c r="I89" s="1501"/>
      <c r="J89" s="1483"/>
      <c r="K89" s="1501"/>
      <c r="L89" s="1501"/>
      <c r="M89" s="1501"/>
      <c r="N89" s="1501"/>
      <c r="O89" s="1501"/>
      <c r="P89" s="1501"/>
      <c r="Q89" s="1501"/>
      <c r="R89" s="1501"/>
      <c r="S89" s="1501"/>
      <c r="T89" s="1490"/>
      <c r="U89" s="1503"/>
      <c r="V89" s="138"/>
      <c r="W89" s="138"/>
      <c r="X89" s="138"/>
      <c r="Y89" s="138"/>
      <c r="Z89" s="375" t="str">
        <f t="shared" si="2"/>
        <v/>
      </c>
      <c r="AA89" s="138"/>
      <c r="AB89" s="138"/>
      <c r="AC89" s="138"/>
      <c r="AD89" s="138"/>
      <c r="AE89" s="138"/>
      <c r="AF89" s="138"/>
      <c r="AG89" s="1501"/>
      <c r="AH89" s="1482"/>
      <c r="AI89" s="208"/>
      <c r="AJ89" s="208"/>
      <c r="AK89" s="138"/>
      <c r="AL89" s="138"/>
      <c r="AM89" s="1483"/>
      <c r="AN89" s="1482"/>
      <c r="AO89" s="208"/>
      <c r="AP89" s="1483"/>
      <c r="AQ89" s="1482"/>
      <c r="AR89" s="1602"/>
      <c r="AS89" s="458"/>
      <c r="AT89" s="1600"/>
      <c r="AU89" s="1482"/>
      <c r="AV89" s="1483"/>
      <c r="AW89" s="1487"/>
      <c r="AX89" s="1488"/>
      <c r="AY89" s="1488"/>
      <c r="AZ89" s="1488"/>
      <c r="BA89" s="1489"/>
      <c r="BB89" s="1503"/>
      <c r="BC89" s="138"/>
      <c r="BD89" s="138"/>
      <c r="BE89" s="1483"/>
      <c r="BF89" s="1602"/>
      <c r="BG89" s="1482"/>
      <c r="BH89" s="138"/>
      <c r="BI89" s="279"/>
    </row>
    <row r="90" spans="1:61" ht="15" customHeight="1" x14ac:dyDescent="0.35">
      <c r="A90" s="259"/>
      <c r="B90" s="1500"/>
      <c r="C90" s="1472"/>
      <c r="D90" s="1472"/>
      <c r="E90" s="1592"/>
      <c r="F90" s="1592"/>
      <c r="G90" s="1472"/>
      <c r="H90" s="1502"/>
      <c r="I90" s="1501"/>
      <c r="J90" s="1483"/>
      <c r="K90" s="1501"/>
      <c r="L90" s="1501"/>
      <c r="M90" s="1501"/>
      <c r="N90" s="1501"/>
      <c r="O90" s="1501"/>
      <c r="P90" s="1501"/>
      <c r="Q90" s="1501"/>
      <c r="R90" s="1501"/>
      <c r="S90" s="1501"/>
      <c r="T90" s="1490"/>
      <c r="U90" s="1503"/>
      <c r="V90" s="138"/>
      <c r="W90" s="138"/>
      <c r="X90" s="138"/>
      <c r="Y90" s="138"/>
      <c r="Z90" s="375" t="str">
        <f t="shared" si="2"/>
        <v/>
      </c>
      <c r="AA90" s="138"/>
      <c r="AB90" s="138"/>
      <c r="AC90" s="138"/>
      <c r="AD90" s="138"/>
      <c r="AE90" s="138"/>
      <c r="AF90" s="138"/>
      <c r="AG90" s="1501"/>
      <c r="AH90" s="1482"/>
      <c r="AI90" s="208"/>
      <c r="AJ90" s="208"/>
      <c r="AK90" s="138"/>
      <c r="AL90" s="138"/>
      <c r="AM90" s="1483"/>
      <c r="AN90" s="1482"/>
      <c r="AO90" s="208"/>
      <c r="AP90" s="1483"/>
      <c r="AQ90" s="1482"/>
      <c r="AR90" s="1602"/>
      <c r="AS90" s="458"/>
      <c r="AT90" s="1600"/>
      <c r="AU90" s="1482"/>
      <c r="AV90" s="1483"/>
      <c r="AW90" s="1487"/>
      <c r="AX90" s="1488"/>
      <c r="AY90" s="1488"/>
      <c r="AZ90" s="1488"/>
      <c r="BA90" s="1489"/>
      <c r="BB90" s="1503"/>
      <c r="BC90" s="138"/>
      <c r="BD90" s="138"/>
      <c r="BE90" s="1483"/>
      <c r="BF90" s="1602"/>
      <c r="BG90" s="1482"/>
      <c r="BH90" s="138"/>
      <c r="BI90" s="279"/>
    </row>
    <row r="91" spans="1:61" ht="15" customHeight="1" x14ac:dyDescent="0.35">
      <c r="A91" s="259"/>
      <c r="B91" s="1500"/>
      <c r="C91" s="1472"/>
      <c r="D91" s="1472"/>
      <c r="E91" s="1592"/>
      <c r="F91" s="1592"/>
      <c r="G91" s="1472"/>
      <c r="H91" s="1502"/>
      <c r="I91" s="1501"/>
      <c r="J91" s="1483"/>
      <c r="K91" s="1501"/>
      <c r="L91" s="1501"/>
      <c r="M91" s="1501"/>
      <c r="N91" s="1501"/>
      <c r="O91" s="1501"/>
      <c r="P91" s="1501"/>
      <c r="Q91" s="1501"/>
      <c r="R91" s="1501"/>
      <c r="S91" s="1501"/>
      <c r="T91" s="1490"/>
      <c r="U91" s="1503"/>
      <c r="V91" s="138"/>
      <c r="W91" s="138"/>
      <c r="X91" s="138"/>
      <c r="Y91" s="138"/>
      <c r="Z91" s="375" t="str">
        <f t="shared" si="2"/>
        <v/>
      </c>
      <c r="AA91" s="138"/>
      <c r="AB91" s="138"/>
      <c r="AC91" s="138"/>
      <c r="AD91" s="138"/>
      <c r="AE91" s="138"/>
      <c r="AF91" s="138"/>
      <c r="AG91" s="1501"/>
      <c r="AH91" s="1482"/>
      <c r="AI91" s="208"/>
      <c r="AJ91" s="208"/>
      <c r="AK91" s="138"/>
      <c r="AL91" s="138"/>
      <c r="AM91" s="1483"/>
      <c r="AN91" s="1482"/>
      <c r="AO91" s="208"/>
      <c r="AP91" s="1483"/>
      <c r="AQ91" s="1482"/>
      <c r="AR91" s="1602"/>
      <c r="AS91" s="458"/>
      <c r="AT91" s="1600"/>
      <c r="AU91" s="1482"/>
      <c r="AV91" s="1483"/>
      <c r="AW91" s="1487"/>
      <c r="AX91" s="1488"/>
      <c r="AY91" s="1488"/>
      <c r="AZ91" s="1488"/>
      <c r="BA91" s="1489"/>
      <c r="BB91" s="1503"/>
      <c r="BC91" s="138"/>
      <c r="BD91" s="138"/>
      <c r="BE91" s="1483"/>
      <c r="BF91" s="1602"/>
      <c r="BG91" s="1482"/>
      <c r="BH91" s="138"/>
      <c r="BI91" s="279"/>
    </row>
    <row r="92" spans="1:61" ht="15" customHeight="1" x14ac:dyDescent="0.35">
      <c r="A92" s="259"/>
      <c r="B92" s="1500"/>
      <c r="C92" s="1472"/>
      <c r="D92" s="1472"/>
      <c r="E92" s="1592"/>
      <c r="F92" s="1592"/>
      <c r="G92" s="1472"/>
      <c r="H92" s="1502"/>
      <c r="I92" s="1501"/>
      <c r="J92" s="1483"/>
      <c r="K92" s="1501"/>
      <c r="L92" s="1501"/>
      <c r="M92" s="1501"/>
      <c r="N92" s="1501"/>
      <c r="O92" s="1501"/>
      <c r="P92" s="1501"/>
      <c r="Q92" s="1501"/>
      <c r="R92" s="1501"/>
      <c r="S92" s="1501"/>
      <c r="T92" s="1490"/>
      <c r="U92" s="1503"/>
      <c r="V92" s="138"/>
      <c r="W92" s="138"/>
      <c r="X92" s="138"/>
      <c r="Y92" s="138"/>
      <c r="Z92" s="375" t="str">
        <f t="shared" si="2"/>
        <v/>
      </c>
      <c r="AA92" s="138"/>
      <c r="AB92" s="138"/>
      <c r="AC92" s="138"/>
      <c r="AD92" s="138"/>
      <c r="AE92" s="138"/>
      <c r="AF92" s="138"/>
      <c r="AG92" s="1501"/>
      <c r="AH92" s="1482"/>
      <c r="AI92" s="208"/>
      <c r="AJ92" s="208"/>
      <c r="AK92" s="138"/>
      <c r="AL92" s="138"/>
      <c r="AM92" s="1483"/>
      <c r="AN92" s="1482"/>
      <c r="AO92" s="208"/>
      <c r="AP92" s="1483"/>
      <c r="AQ92" s="1482"/>
      <c r="AR92" s="1602"/>
      <c r="AS92" s="458"/>
      <c r="AT92" s="1600"/>
      <c r="AU92" s="1482"/>
      <c r="AV92" s="1483"/>
      <c r="AW92" s="1487"/>
      <c r="AX92" s="1488"/>
      <c r="AY92" s="1488"/>
      <c r="AZ92" s="1488"/>
      <c r="BA92" s="1489"/>
      <c r="BB92" s="1503"/>
      <c r="BC92" s="138"/>
      <c r="BD92" s="138"/>
      <c r="BE92" s="1483"/>
      <c r="BF92" s="1602"/>
      <c r="BG92" s="1482"/>
      <c r="BH92" s="138"/>
      <c r="BI92" s="279"/>
    </row>
    <row r="93" spans="1:61" ht="15" customHeight="1" x14ac:dyDescent="0.35">
      <c r="A93" s="259"/>
      <c r="B93" s="1500"/>
      <c r="C93" s="1472"/>
      <c r="D93" s="1472"/>
      <c r="E93" s="1592"/>
      <c r="F93" s="1592"/>
      <c r="G93" s="1472"/>
      <c r="H93" s="1502"/>
      <c r="I93" s="1501"/>
      <c r="J93" s="1483"/>
      <c r="K93" s="1501"/>
      <c r="L93" s="1501"/>
      <c r="M93" s="1501"/>
      <c r="N93" s="1501"/>
      <c r="O93" s="1501"/>
      <c r="P93" s="1501"/>
      <c r="Q93" s="1501"/>
      <c r="R93" s="1501"/>
      <c r="S93" s="1501"/>
      <c r="T93" s="1490"/>
      <c r="U93" s="1503"/>
      <c r="V93" s="138"/>
      <c r="W93" s="138"/>
      <c r="X93" s="138"/>
      <c r="Y93" s="138"/>
      <c r="Z93" s="375" t="str">
        <f t="shared" si="2"/>
        <v/>
      </c>
      <c r="AA93" s="138"/>
      <c r="AB93" s="138"/>
      <c r="AC93" s="138"/>
      <c r="AD93" s="138"/>
      <c r="AE93" s="138"/>
      <c r="AF93" s="138"/>
      <c r="AG93" s="1501"/>
      <c r="AH93" s="1482"/>
      <c r="AI93" s="208"/>
      <c r="AJ93" s="208"/>
      <c r="AK93" s="138"/>
      <c r="AL93" s="138"/>
      <c r="AM93" s="1483"/>
      <c r="AN93" s="1482"/>
      <c r="AO93" s="208"/>
      <c r="AP93" s="1483"/>
      <c r="AQ93" s="1482"/>
      <c r="AR93" s="1602"/>
      <c r="AS93" s="458"/>
      <c r="AT93" s="1600"/>
      <c r="AU93" s="1482"/>
      <c r="AV93" s="1483"/>
      <c r="AW93" s="1487"/>
      <c r="AX93" s="1488"/>
      <c r="AY93" s="1488"/>
      <c r="AZ93" s="1488"/>
      <c r="BA93" s="1489"/>
      <c r="BB93" s="1503"/>
      <c r="BC93" s="138"/>
      <c r="BD93" s="138"/>
      <c r="BE93" s="1483"/>
      <c r="BF93" s="1602"/>
      <c r="BG93" s="1482"/>
      <c r="BH93" s="138"/>
      <c r="BI93" s="279"/>
    </row>
    <row r="94" spans="1:61" ht="15" customHeight="1" x14ac:dyDescent="0.35">
      <c r="A94" s="259"/>
      <c r="B94" s="1500"/>
      <c r="C94" s="1472"/>
      <c r="D94" s="1472"/>
      <c r="E94" s="1592"/>
      <c r="F94" s="1592"/>
      <c r="G94" s="1472"/>
      <c r="H94" s="1502"/>
      <c r="I94" s="1501"/>
      <c r="J94" s="1483"/>
      <c r="K94" s="1501"/>
      <c r="L94" s="1501"/>
      <c r="M94" s="1501"/>
      <c r="N94" s="1501"/>
      <c r="O94" s="1501"/>
      <c r="P94" s="1501"/>
      <c r="Q94" s="1501"/>
      <c r="R94" s="1501"/>
      <c r="S94" s="1501"/>
      <c r="T94" s="1490"/>
      <c r="U94" s="1503"/>
      <c r="V94" s="138"/>
      <c r="W94" s="138"/>
      <c r="X94" s="138"/>
      <c r="Y94" s="138"/>
      <c r="Z94" s="375" t="str">
        <f t="shared" si="2"/>
        <v/>
      </c>
      <c r="AA94" s="138"/>
      <c r="AB94" s="138"/>
      <c r="AC94" s="138"/>
      <c r="AD94" s="138"/>
      <c r="AE94" s="138"/>
      <c r="AF94" s="138"/>
      <c r="AG94" s="1501"/>
      <c r="AH94" s="1482"/>
      <c r="AI94" s="208"/>
      <c r="AJ94" s="208"/>
      <c r="AK94" s="138"/>
      <c r="AL94" s="138"/>
      <c r="AM94" s="1483"/>
      <c r="AN94" s="1482"/>
      <c r="AO94" s="208"/>
      <c r="AP94" s="1483"/>
      <c r="AQ94" s="1482"/>
      <c r="AR94" s="1602"/>
      <c r="AS94" s="458"/>
      <c r="AT94" s="1600"/>
      <c r="AU94" s="1482"/>
      <c r="AV94" s="1483"/>
      <c r="AW94" s="1487"/>
      <c r="AX94" s="1488"/>
      <c r="AY94" s="1488"/>
      <c r="AZ94" s="1488"/>
      <c r="BA94" s="1489"/>
      <c r="BB94" s="1503"/>
      <c r="BC94" s="138"/>
      <c r="BD94" s="138"/>
      <c r="BE94" s="1483"/>
      <c r="BF94" s="1602"/>
      <c r="BG94" s="1482"/>
      <c r="BH94" s="138"/>
      <c r="BI94" s="279"/>
    </row>
    <row r="95" spans="1:61" ht="15" customHeight="1" x14ac:dyDescent="0.35">
      <c r="A95" s="259"/>
      <c r="B95" s="1500"/>
      <c r="C95" s="1472"/>
      <c r="D95" s="1472"/>
      <c r="E95" s="1592"/>
      <c r="F95" s="1592"/>
      <c r="G95" s="1472"/>
      <c r="H95" s="1502"/>
      <c r="I95" s="1501"/>
      <c r="J95" s="1483"/>
      <c r="K95" s="1501"/>
      <c r="L95" s="1501"/>
      <c r="M95" s="1501"/>
      <c r="N95" s="1501"/>
      <c r="O95" s="1501"/>
      <c r="P95" s="1501"/>
      <c r="Q95" s="1501"/>
      <c r="R95" s="1501"/>
      <c r="S95" s="1501"/>
      <c r="T95" s="1490"/>
      <c r="U95" s="1503"/>
      <c r="V95" s="138"/>
      <c r="W95" s="138"/>
      <c r="X95" s="138"/>
      <c r="Y95" s="138"/>
      <c r="Z95" s="375" t="str">
        <f t="shared" si="2"/>
        <v/>
      </c>
      <c r="AA95" s="138"/>
      <c r="AB95" s="138"/>
      <c r="AC95" s="138"/>
      <c r="AD95" s="138"/>
      <c r="AE95" s="138"/>
      <c r="AF95" s="138"/>
      <c r="AG95" s="1501"/>
      <c r="AH95" s="1482"/>
      <c r="AI95" s="208"/>
      <c r="AJ95" s="208"/>
      <c r="AK95" s="138"/>
      <c r="AL95" s="138"/>
      <c r="AM95" s="1483"/>
      <c r="AN95" s="1482"/>
      <c r="AO95" s="208"/>
      <c r="AP95" s="1483"/>
      <c r="AQ95" s="1482"/>
      <c r="AR95" s="1602"/>
      <c r="AS95" s="458"/>
      <c r="AT95" s="1600"/>
      <c r="AU95" s="1482"/>
      <c r="AV95" s="1483"/>
      <c r="AW95" s="1487"/>
      <c r="AX95" s="1488"/>
      <c r="AY95" s="1488"/>
      <c r="AZ95" s="1488"/>
      <c r="BA95" s="1489"/>
      <c r="BB95" s="1503"/>
      <c r="BC95" s="138"/>
      <c r="BD95" s="138"/>
      <c r="BE95" s="1483"/>
      <c r="BF95" s="1602"/>
      <c r="BG95" s="1482"/>
      <c r="BH95" s="138"/>
      <c r="BI95" s="279"/>
    </row>
    <row r="96" spans="1:61" ht="15" customHeight="1" x14ac:dyDescent="0.35">
      <c r="A96" s="259"/>
      <c r="B96" s="1500"/>
      <c r="C96" s="1472"/>
      <c r="D96" s="1472"/>
      <c r="E96" s="1592"/>
      <c r="F96" s="1592"/>
      <c r="G96" s="1472"/>
      <c r="H96" s="1502"/>
      <c r="I96" s="1501"/>
      <c r="J96" s="1483"/>
      <c r="K96" s="1501"/>
      <c r="L96" s="1501"/>
      <c r="M96" s="1501"/>
      <c r="N96" s="1501"/>
      <c r="O96" s="1501"/>
      <c r="P96" s="1501"/>
      <c r="Q96" s="1501"/>
      <c r="R96" s="1501"/>
      <c r="S96" s="1501"/>
      <c r="T96" s="1490"/>
      <c r="U96" s="1503"/>
      <c r="V96" s="138"/>
      <c r="W96" s="138"/>
      <c r="X96" s="138"/>
      <c r="Y96" s="138"/>
      <c r="Z96" s="375" t="str">
        <f t="shared" si="2"/>
        <v/>
      </c>
      <c r="AA96" s="138"/>
      <c r="AB96" s="138"/>
      <c r="AC96" s="138"/>
      <c r="AD96" s="138"/>
      <c r="AE96" s="138"/>
      <c r="AF96" s="138"/>
      <c r="AG96" s="1501"/>
      <c r="AH96" s="1482"/>
      <c r="AI96" s="208"/>
      <c r="AJ96" s="208"/>
      <c r="AK96" s="138"/>
      <c r="AL96" s="138"/>
      <c r="AM96" s="1483"/>
      <c r="AN96" s="1482"/>
      <c r="AO96" s="208"/>
      <c r="AP96" s="1483"/>
      <c r="AQ96" s="1482"/>
      <c r="AR96" s="1602"/>
      <c r="AS96" s="458"/>
      <c r="AT96" s="1600"/>
      <c r="AU96" s="1482"/>
      <c r="AV96" s="1483"/>
      <c r="AW96" s="1487"/>
      <c r="AX96" s="1488"/>
      <c r="AY96" s="1488"/>
      <c r="AZ96" s="1488"/>
      <c r="BA96" s="1489"/>
      <c r="BB96" s="1503"/>
      <c r="BC96" s="138"/>
      <c r="BD96" s="138"/>
      <c r="BE96" s="1483"/>
      <c r="BF96" s="1602"/>
      <c r="BG96" s="1482"/>
      <c r="BH96" s="138"/>
      <c r="BI96" s="279"/>
    </row>
    <row r="97" spans="1:61" ht="15" customHeight="1" x14ac:dyDescent="0.35">
      <c r="A97" s="259"/>
      <c r="B97" s="1500"/>
      <c r="C97" s="1472"/>
      <c r="D97" s="1472"/>
      <c r="E97" s="1592"/>
      <c r="F97" s="1592"/>
      <c r="G97" s="1472"/>
      <c r="H97" s="1502"/>
      <c r="I97" s="1501"/>
      <c r="J97" s="1483"/>
      <c r="K97" s="1501"/>
      <c r="L97" s="1501"/>
      <c r="M97" s="1501"/>
      <c r="N97" s="1501"/>
      <c r="O97" s="1501"/>
      <c r="P97" s="1501"/>
      <c r="Q97" s="1501"/>
      <c r="R97" s="1501"/>
      <c r="S97" s="1501"/>
      <c r="T97" s="1490"/>
      <c r="U97" s="1503"/>
      <c r="V97" s="138"/>
      <c r="W97" s="138"/>
      <c r="X97" s="138"/>
      <c r="Y97" s="138"/>
      <c r="Z97" s="375" t="str">
        <f t="shared" si="2"/>
        <v/>
      </c>
      <c r="AA97" s="138"/>
      <c r="AB97" s="138"/>
      <c r="AC97" s="138"/>
      <c r="AD97" s="138"/>
      <c r="AE97" s="138"/>
      <c r="AF97" s="138"/>
      <c r="AG97" s="1501"/>
      <c r="AH97" s="1482"/>
      <c r="AI97" s="208"/>
      <c r="AJ97" s="208"/>
      <c r="AK97" s="138"/>
      <c r="AL97" s="138"/>
      <c r="AM97" s="1483"/>
      <c r="AN97" s="1482"/>
      <c r="AO97" s="208"/>
      <c r="AP97" s="1483"/>
      <c r="AQ97" s="1482"/>
      <c r="AR97" s="1602"/>
      <c r="AS97" s="458"/>
      <c r="AT97" s="1600"/>
      <c r="AU97" s="1482"/>
      <c r="AV97" s="1483"/>
      <c r="AW97" s="1487"/>
      <c r="AX97" s="1488"/>
      <c r="AY97" s="1488"/>
      <c r="AZ97" s="1488"/>
      <c r="BA97" s="1489"/>
      <c r="BB97" s="1503"/>
      <c r="BC97" s="138"/>
      <c r="BD97" s="138"/>
      <c r="BE97" s="1483"/>
      <c r="BF97" s="1602"/>
      <c r="BG97" s="1482"/>
      <c r="BH97" s="138"/>
      <c r="BI97" s="279"/>
    </row>
    <row r="98" spans="1:61" ht="15" customHeight="1" x14ac:dyDescent="0.35">
      <c r="A98" s="259"/>
      <c r="B98" s="1500"/>
      <c r="C98" s="1472"/>
      <c r="D98" s="1472"/>
      <c r="E98" s="1592"/>
      <c r="F98" s="1592"/>
      <c r="G98" s="1472"/>
      <c r="H98" s="1502"/>
      <c r="I98" s="1501"/>
      <c r="J98" s="1483"/>
      <c r="K98" s="1501"/>
      <c r="L98" s="1501"/>
      <c r="M98" s="1501"/>
      <c r="N98" s="1501"/>
      <c r="O98" s="1501"/>
      <c r="P98" s="1501"/>
      <c r="Q98" s="1501"/>
      <c r="R98" s="1501"/>
      <c r="S98" s="1501"/>
      <c r="T98" s="1490"/>
      <c r="U98" s="1503"/>
      <c r="V98" s="138"/>
      <c r="W98" s="138"/>
      <c r="X98" s="138"/>
      <c r="Y98" s="138"/>
      <c r="Z98" s="375" t="str">
        <f t="shared" si="2"/>
        <v/>
      </c>
      <c r="AA98" s="138"/>
      <c r="AB98" s="138"/>
      <c r="AC98" s="138"/>
      <c r="AD98" s="138"/>
      <c r="AE98" s="138"/>
      <c r="AF98" s="138"/>
      <c r="AG98" s="1501"/>
      <c r="AH98" s="1482"/>
      <c r="AI98" s="208"/>
      <c r="AJ98" s="208"/>
      <c r="AK98" s="138"/>
      <c r="AL98" s="138"/>
      <c r="AM98" s="1483"/>
      <c r="AN98" s="1482"/>
      <c r="AO98" s="208"/>
      <c r="AP98" s="1483"/>
      <c r="AQ98" s="1482"/>
      <c r="AR98" s="1602"/>
      <c r="AS98" s="458"/>
      <c r="AT98" s="1600"/>
      <c r="AU98" s="1482"/>
      <c r="AV98" s="1483"/>
      <c r="AW98" s="1487"/>
      <c r="AX98" s="1488"/>
      <c r="AY98" s="1488"/>
      <c r="AZ98" s="1488"/>
      <c r="BA98" s="1489"/>
      <c r="BB98" s="1503"/>
      <c r="BC98" s="138"/>
      <c r="BD98" s="138"/>
      <c r="BE98" s="1483"/>
      <c r="BF98" s="1602"/>
      <c r="BG98" s="1482"/>
      <c r="BH98" s="138"/>
      <c r="BI98" s="279"/>
    </row>
    <row r="99" spans="1:61" ht="15" customHeight="1" x14ac:dyDescent="0.35">
      <c r="A99" s="259"/>
      <c r="B99" s="1500"/>
      <c r="C99" s="1472"/>
      <c r="D99" s="1472"/>
      <c r="E99" s="1592"/>
      <c r="F99" s="1592"/>
      <c r="G99" s="1472"/>
      <c r="H99" s="1502"/>
      <c r="I99" s="1501"/>
      <c r="J99" s="1483"/>
      <c r="K99" s="1501"/>
      <c r="L99" s="1501"/>
      <c r="M99" s="1501"/>
      <c r="N99" s="1501"/>
      <c r="O99" s="1501"/>
      <c r="P99" s="1501"/>
      <c r="Q99" s="1501"/>
      <c r="R99" s="1501"/>
      <c r="S99" s="1501"/>
      <c r="T99" s="1490"/>
      <c r="U99" s="1503"/>
      <c r="V99" s="138"/>
      <c r="W99" s="138"/>
      <c r="X99" s="138"/>
      <c r="Y99" s="138"/>
      <c r="Z99" s="375" t="str">
        <f t="shared" si="2"/>
        <v/>
      </c>
      <c r="AA99" s="138"/>
      <c r="AB99" s="138"/>
      <c r="AC99" s="138"/>
      <c r="AD99" s="138"/>
      <c r="AE99" s="138"/>
      <c r="AF99" s="138"/>
      <c r="AG99" s="1501"/>
      <c r="AH99" s="1482"/>
      <c r="AI99" s="208"/>
      <c r="AJ99" s="208"/>
      <c r="AK99" s="138"/>
      <c r="AL99" s="138"/>
      <c r="AM99" s="1483"/>
      <c r="AN99" s="1482"/>
      <c r="AO99" s="208"/>
      <c r="AP99" s="1483"/>
      <c r="AQ99" s="1482"/>
      <c r="AR99" s="1602"/>
      <c r="AS99" s="458"/>
      <c r="AT99" s="1600"/>
      <c r="AU99" s="1482"/>
      <c r="AV99" s="1483"/>
      <c r="AW99" s="1487"/>
      <c r="AX99" s="1488"/>
      <c r="AY99" s="1488"/>
      <c r="AZ99" s="1488"/>
      <c r="BA99" s="1489"/>
      <c r="BB99" s="1503"/>
      <c r="BC99" s="138"/>
      <c r="BD99" s="138"/>
      <c r="BE99" s="1483"/>
      <c r="BF99" s="1602"/>
      <c r="BG99" s="1482"/>
      <c r="BH99" s="138"/>
      <c r="BI99" s="279"/>
    </row>
    <row r="100" spans="1:61" ht="15" customHeight="1" x14ac:dyDescent="0.35">
      <c r="A100" s="259"/>
      <c r="B100" s="1500"/>
      <c r="C100" s="1472"/>
      <c r="D100" s="1472"/>
      <c r="E100" s="1592"/>
      <c r="F100" s="1592"/>
      <c r="G100" s="1472"/>
      <c r="H100" s="1502"/>
      <c r="I100" s="1501"/>
      <c r="J100" s="1483"/>
      <c r="K100" s="1501"/>
      <c r="L100" s="1501"/>
      <c r="M100" s="1501"/>
      <c r="N100" s="1501"/>
      <c r="O100" s="1501"/>
      <c r="P100" s="1501"/>
      <c r="Q100" s="1501"/>
      <c r="R100" s="1501"/>
      <c r="S100" s="1501"/>
      <c r="T100" s="1490"/>
      <c r="U100" s="1503"/>
      <c r="V100" s="138"/>
      <c r="W100" s="138"/>
      <c r="X100" s="138"/>
      <c r="Y100" s="138"/>
      <c r="Z100" s="375" t="str">
        <f t="shared" si="2"/>
        <v/>
      </c>
      <c r="AA100" s="138"/>
      <c r="AB100" s="138"/>
      <c r="AC100" s="138"/>
      <c r="AD100" s="138"/>
      <c r="AE100" s="138"/>
      <c r="AF100" s="138"/>
      <c r="AG100" s="1501"/>
      <c r="AH100" s="1482"/>
      <c r="AI100" s="208"/>
      <c r="AJ100" s="208"/>
      <c r="AK100" s="138"/>
      <c r="AL100" s="138"/>
      <c r="AM100" s="1483"/>
      <c r="AN100" s="1482"/>
      <c r="AO100" s="208"/>
      <c r="AP100" s="1483"/>
      <c r="AQ100" s="1482"/>
      <c r="AR100" s="1602"/>
      <c r="AS100" s="458"/>
      <c r="AT100" s="1600"/>
      <c r="AU100" s="1482"/>
      <c r="AV100" s="1483"/>
      <c r="AW100" s="1487"/>
      <c r="AX100" s="1488"/>
      <c r="AY100" s="1488"/>
      <c r="AZ100" s="1488"/>
      <c r="BA100" s="1489"/>
      <c r="BB100" s="1503"/>
      <c r="BC100" s="138"/>
      <c r="BD100" s="138"/>
      <c r="BE100" s="1483"/>
      <c r="BF100" s="1602"/>
      <c r="BG100" s="1482"/>
      <c r="BH100" s="138"/>
      <c r="BI100" s="279"/>
    </row>
    <row r="101" spans="1:61" ht="15" customHeight="1" x14ac:dyDescent="0.35">
      <c r="A101" s="259"/>
      <c r="B101" s="1500"/>
      <c r="C101" s="1472"/>
      <c r="D101" s="1472"/>
      <c r="E101" s="1592"/>
      <c r="F101" s="1592"/>
      <c r="G101" s="1472"/>
      <c r="H101" s="1502"/>
      <c r="I101" s="1501"/>
      <c r="J101" s="1483"/>
      <c r="K101" s="1501"/>
      <c r="L101" s="1501"/>
      <c r="M101" s="1501"/>
      <c r="N101" s="1501"/>
      <c r="O101" s="1501"/>
      <c r="P101" s="1501"/>
      <c r="Q101" s="1501"/>
      <c r="R101" s="1501"/>
      <c r="S101" s="1501"/>
      <c r="T101" s="1490"/>
      <c r="U101" s="1503"/>
      <c r="V101" s="138"/>
      <c r="W101" s="138"/>
      <c r="X101" s="138"/>
      <c r="Y101" s="138"/>
      <c r="Z101" s="375" t="str">
        <f t="shared" si="2"/>
        <v/>
      </c>
      <c r="AA101" s="138"/>
      <c r="AB101" s="138"/>
      <c r="AC101" s="138"/>
      <c r="AD101" s="138"/>
      <c r="AE101" s="138"/>
      <c r="AF101" s="138"/>
      <c r="AG101" s="1501"/>
      <c r="AH101" s="1482"/>
      <c r="AI101" s="208"/>
      <c r="AJ101" s="208"/>
      <c r="AK101" s="138"/>
      <c r="AL101" s="138"/>
      <c r="AM101" s="1483"/>
      <c r="AN101" s="1482"/>
      <c r="AO101" s="208"/>
      <c r="AP101" s="1483"/>
      <c r="AQ101" s="1482"/>
      <c r="AR101" s="1602"/>
      <c r="AS101" s="458"/>
      <c r="AT101" s="1600"/>
      <c r="AU101" s="1482"/>
      <c r="AV101" s="1483"/>
      <c r="AW101" s="1487"/>
      <c r="AX101" s="1488"/>
      <c r="AY101" s="1488"/>
      <c r="AZ101" s="1488"/>
      <c r="BA101" s="1489"/>
      <c r="BB101" s="1503"/>
      <c r="BC101" s="138"/>
      <c r="BD101" s="138"/>
      <c r="BE101" s="1483"/>
      <c r="BF101" s="1602"/>
      <c r="BG101" s="1482"/>
      <c r="BH101" s="138"/>
      <c r="BI101" s="279"/>
    </row>
    <row r="102" spans="1:61" ht="15" customHeight="1" x14ac:dyDescent="0.35">
      <c r="A102" s="259"/>
      <c r="B102" s="1500"/>
      <c r="C102" s="1472"/>
      <c r="D102" s="1472"/>
      <c r="E102" s="1592"/>
      <c r="F102" s="1592"/>
      <c r="G102" s="1472"/>
      <c r="H102" s="1502"/>
      <c r="I102" s="1501"/>
      <c r="J102" s="1483"/>
      <c r="K102" s="1501"/>
      <c r="L102" s="1501"/>
      <c r="M102" s="1501"/>
      <c r="N102" s="1501"/>
      <c r="O102" s="1501"/>
      <c r="P102" s="1501"/>
      <c r="Q102" s="1501"/>
      <c r="R102" s="1501"/>
      <c r="S102" s="1501"/>
      <c r="T102" s="1490"/>
      <c r="U102" s="1503"/>
      <c r="V102" s="138"/>
      <c r="W102" s="138"/>
      <c r="X102" s="138"/>
      <c r="Y102" s="138"/>
      <c r="Z102" s="375" t="str">
        <f t="shared" si="2"/>
        <v/>
      </c>
      <c r="AA102" s="138"/>
      <c r="AB102" s="138"/>
      <c r="AC102" s="138"/>
      <c r="AD102" s="138"/>
      <c r="AE102" s="138"/>
      <c r="AF102" s="138"/>
      <c r="AG102" s="1501"/>
      <c r="AH102" s="1482"/>
      <c r="AI102" s="208"/>
      <c r="AJ102" s="208"/>
      <c r="AK102" s="138"/>
      <c r="AL102" s="138"/>
      <c r="AM102" s="1483"/>
      <c r="AN102" s="1482"/>
      <c r="AO102" s="208"/>
      <c r="AP102" s="1483"/>
      <c r="AQ102" s="1482"/>
      <c r="AR102" s="1602"/>
      <c r="AS102" s="458"/>
      <c r="AT102" s="1600"/>
      <c r="AU102" s="1482"/>
      <c r="AV102" s="1483"/>
      <c r="AW102" s="1487"/>
      <c r="AX102" s="1488"/>
      <c r="AY102" s="1488"/>
      <c r="AZ102" s="1488"/>
      <c r="BA102" s="1489"/>
      <c r="BB102" s="1503"/>
      <c r="BC102" s="138"/>
      <c r="BD102" s="138"/>
      <c r="BE102" s="1483"/>
      <c r="BF102" s="1602"/>
      <c r="BG102" s="1482"/>
      <c r="BH102" s="138"/>
      <c r="BI102" s="279"/>
    </row>
    <row r="103" spans="1:61" ht="15" customHeight="1" x14ac:dyDescent="0.35">
      <c r="A103" s="259"/>
      <c r="B103" s="1500"/>
      <c r="C103" s="1472"/>
      <c r="D103" s="1472"/>
      <c r="E103" s="1592"/>
      <c r="F103" s="1592"/>
      <c r="G103" s="1472"/>
      <c r="H103" s="1502"/>
      <c r="I103" s="1501"/>
      <c r="J103" s="1483"/>
      <c r="K103" s="1501"/>
      <c r="L103" s="1501"/>
      <c r="M103" s="1501"/>
      <c r="N103" s="1501"/>
      <c r="O103" s="1501"/>
      <c r="P103" s="1501"/>
      <c r="Q103" s="1501"/>
      <c r="R103" s="1501"/>
      <c r="S103" s="1501"/>
      <c r="T103" s="1490"/>
      <c r="U103" s="1503"/>
      <c r="V103" s="138"/>
      <c r="W103" s="138"/>
      <c r="X103" s="138"/>
      <c r="Y103" s="138"/>
      <c r="Z103" s="375" t="str">
        <f t="shared" si="2"/>
        <v/>
      </c>
      <c r="AA103" s="138"/>
      <c r="AB103" s="138"/>
      <c r="AC103" s="138"/>
      <c r="AD103" s="138"/>
      <c r="AE103" s="138"/>
      <c r="AF103" s="138"/>
      <c r="AG103" s="1501"/>
      <c r="AH103" s="1482"/>
      <c r="AI103" s="208"/>
      <c r="AJ103" s="208"/>
      <c r="AK103" s="138"/>
      <c r="AL103" s="138"/>
      <c r="AM103" s="1483"/>
      <c r="AN103" s="1482"/>
      <c r="AO103" s="208"/>
      <c r="AP103" s="1483"/>
      <c r="AQ103" s="1482"/>
      <c r="AR103" s="1602"/>
      <c r="AS103" s="458"/>
      <c r="AT103" s="1600"/>
      <c r="AU103" s="1482"/>
      <c r="AV103" s="1483"/>
      <c r="AW103" s="1487"/>
      <c r="AX103" s="1488"/>
      <c r="AY103" s="1488"/>
      <c r="AZ103" s="1488"/>
      <c r="BA103" s="1489"/>
      <c r="BB103" s="1503"/>
      <c r="BC103" s="138"/>
      <c r="BD103" s="138"/>
      <c r="BE103" s="1483"/>
      <c r="BF103" s="1602"/>
      <c r="BG103" s="1482"/>
      <c r="BH103" s="138"/>
      <c r="BI103" s="279"/>
    </row>
    <row r="104" spans="1:61" ht="15" customHeight="1" x14ac:dyDescent="0.35">
      <c r="A104" s="259"/>
      <c r="B104" s="1500"/>
      <c r="C104" s="1472"/>
      <c r="D104" s="1472"/>
      <c r="E104" s="1592"/>
      <c r="F104" s="1592"/>
      <c r="G104" s="1472"/>
      <c r="H104" s="1502"/>
      <c r="I104" s="1501"/>
      <c r="J104" s="1483"/>
      <c r="K104" s="1501"/>
      <c r="L104" s="1501"/>
      <c r="M104" s="1501"/>
      <c r="N104" s="1501"/>
      <c r="O104" s="1501"/>
      <c r="P104" s="1501"/>
      <c r="Q104" s="1501"/>
      <c r="R104" s="1501"/>
      <c r="S104" s="1501"/>
      <c r="T104" s="1490"/>
      <c r="U104" s="1503"/>
      <c r="V104" s="138"/>
      <c r="W104" s="138"/>
      <c r="X104" s="138"/>
      <c r="Y104" s="138"/>
      <c r="Z104" s="375" t="str">
        <f t="shared" si="2"/>
        <v/>
      </c>
      <c r="AA104" s="138"/>
      <c r="AB104" s="138"/>
      <c r="AC104" s="138"/>
      <c r="AD104" s="138"/>
      <c r="AE104" s="138"/>
      <c r="AF104" s="138"/>
      <c r="AG104" s="1501"/>
      <c r="AH104" s="1482"/>
      <c r="AI104" s="208"/>
      <c r="AJ104" s="208"/>
      <c r="AK104" s="138"/>
      <c r="AL104" s="138"/>
      <c r="AM104" s="1483"/>
      <c r="AN104" s="1482"/>
      <c r="AO104" s="208"/>
      <c r="AP104" s="1483"/>
      <c r="AQ104" s="1482"/>
      <c r="AR104" s="1602"/>
      <c r="AS104" s="458"/>
      <c r="AT104" s="1600"/>
      <c r="AU104" s="1482"/>
      <c r="AV104" s="1483"/>
      <c r="AW104" s="1487"/>
      <c r="AX104" s="1488"/>
      <c r="AY104" s="1488"/>
      <c r="AZ104" s="1488"/>
      <c r="BA104" s="1489"/>
      <c r="BB104" s="1503"/>
      <c r="BC104" s="138"/>
      <c r="BD104" s="138"/>
      <c r="BE104" s="1483"/>
      <c r="BF104" s="1602"/>
      <c r="BG104" s="1482"/>
      <c r="BH104" s="138"/>
      <c r="BI104" s="279"/>
    </row>
    <row r="105" spans="1:61" ht="15" customHeight="1" x14ac:dyDescent="0.35">
      <c r="A105" s="259"/>
      <c r="B105" s="1500"/>
      <c r="C105" s="1472"/>
      <c r="D105" s="1472"/>
      <c r="E105" s="1592"/>
      <c r="F105" s="1592"/>
      <c r="G105" s="1472"/>
      <c r="H105" s="1502"/>
      <c r="I105" s="1501"/>
      <c r="J105" s="1483"/>
      <c r="K105" s="1501"/>
      <c r="L105" s="1501"/>
      <c r="M105" s="1501"/>
      <c r="N105" s="1501"/>
      <c r="O105" s="1501"/>
      <c r="P105" s="1501"/>
      <c r="Q105" s="1501"/>
      <c r="R105" s="1501"/>
      <c r="S105" s="1501"/>
      <c r="T105" s="1490"/>
      <c r="U105" s="1503"/>
      <c r="V105" s="138"/>
      <c r="W105" s="138"/>
      <c r="X105" s="138"/>
      <c r="Y105" s="138"/>
      <c r="Z105" s="375" t="str">
        <f t="shared" si="2"/>
        <v/>
      </c>
      <c r="AA105" s="138"/>
      <c r="AB105" s="138"/>
      <c r="AC105" s="138"/>
      <c r="AD105" s="138"/>
      <c r="AE105" s="138"/>
      <c r="AF105" s="138"/>
      <c r="AG105" s="1501"/>
      <c r="AH105" s="1482"/>
      <c r="AI105" s="208"/>
      <c r="AJ105" s="208"/>
      <c r="AK105" s="138"/>
      <c r="AL105" s="138"/>
      <c r="AM105" s="1483"/>
      <c r="AN105" s="1482"/>
      <c r="AO105" s="208"/>
      <c r="AP105" s="1483"/>
      <c r="AQ105" s="1482"/>
      <c r="AR105" s="1602"/>
      <c r="AS105" s="458"/>
      <c r="AT105" s="1600"/>
      <c r="AU105" s="1482"/>
      <c r="AV105" s="1483"/>
      <c r="AW105" s="1487"/>
      <c r="AX105" s="1488"/>
      <c r="AY105" s="1488"/>
      <c r="AZ105" s="1488"/>
      <c r="BA105" s="1489"/>
      <c r="BB105" s="1503"/>
      <c r="BC105" s="138"/>
      <c r="BD105" s="138"/>
      <c r="BE105" s="1483"/>
      <c r="BF105" s="1602"/>
      <c r="BG105" s="1482"/>
      <c r="BH105" s="138"/>
      <c r="BI105" s="279"/>
    </row>
    <row r="106" spans="1:61" ht="15" customHeight="1" x14ac:dyDescent="0.35">
      <c r="A106" s="259"/>
      <c r="B106" s="1500"/>
      <c r="C106" s="1472"/>
      <c r="D106" s="1472"/>
      <c r="E106" s="1592"/>
      <c r="F106" s="1592"/>
      <c r="G106" s="1472"/>
      <c r="H106" s="1502"/>
      <c r="I106" s="1501"/>
      <c r="J106" s="1483"/>
      <c r="K106" s="1501"/>
      <c r="L106" s="1501"/>
      <c r="M106" s="1501"/>
      <c r="N106" s="1501"/>
      <c r="O106" s="1501"/>
      <c r="P106" s="1501"/>
      <c r="Q106" s="1501"/>
      <c r="R106" s="1501"/>
      <c r="S106" s="1501"/>
      <c r="T106" s="1490"/>
      <c r="U106" s="1503"/>
      <c r="V106" s="138"/>
      <c r="W106" s="138"/>
      <c r="X106" s="138"/>
      <c r="Y106" s="138"/>
      <c r="Z106" s="375" t="str">
        <f t="shared" si="2"/>
        <v/>
      </c>
      <c r="AA106" s="138"/>
      <c r="AB106" s="138"/>
      <c r="AC106" s="138"/>
      <c r="AD106" s="138"/>
      <c r="AE106" s="138"/>
      <c r="AF106" s="138"/>
      <c r="AG106" s="1501"/>
      <c r="AH106" s="1482"/>
      <c r="AI106" s="208"/>
      <c r="AJ106" s="208"/>
      <c r="AK106" s="138"/>
      <c r="AL106" s="138"/>
      <c r="AM106" s="1483"/>
      <c r="AN106" s="1482"/>
      <c r="AO106" s="208"/>
      <c r="AP106" s="1483"/>
      <c r="AQ106" s="1482"/>
      <c r="AR106" s="1602"/>
      <c r="AS106" s="458"/>
      <c r="AT106" s="1600"/>
      <c r="AU106" s="1482"/>
      <c r="AV106" s="1483"/>
      <c r="AW106" s="1487"/>
      <c r="AX106" s="1488"/>
      <c r="AY106" s="1488"/>
      <c r="AZ106" s="1488"/>
      <c r="BA106" s="1489"/>
      <c r="BB106" s="1503"/>
      <c r="BC106" s="138"/>
      <c r="BD106" s="138"/>
      <c r="BE106" s="1483"/>
      <c r="BF106" s="1602"/>
      <c r="BG106" s="1482"/>
      <c r="BH106" s="138"/>
      <c r="BI106" s="279"/>
    </row>
    <row r="107" spans="1:61" ht="15" customHeight="1" x14ac:dyDescent="0.35">
      <c r="A107" s="259"/>
      <c r="B107" s="1500"/>
      <c r="C107" s="1472"/>
      <c r="D107" s="1472"/>
      <c r="E107" s="1592"/>
      <c r="F107" s="1592"/>
      <c r="G107" s="1472"/>
      <c r="H107" s="1502"/>
      <c r="I107" s="1501"/>
      <c r="J107" s="1483"/>
      <c r="K107" s="1501"/>
      <c r="L107" s="1501"/>
      <c r="M107" s="1501"/>
      <c r="N107" s="1501"/>
      <c r="O107" s="1501"/>
      <c r="P107" s="1501"/>
      <c r="Q107" s="1501"/>
      <c r="R107" s="1501"/>
      <c r="S107" s="1501"/>
      <c r="T107" s="1490"/>
      <c r="U107" s="1503"/>
      <c r="V107" s="138"/>
      <c r="W107" s="138"/>
      <c r="X107" s="138"/>
      <c r="Y107" s="138"/>
      <c r="Z107" s="375" t="str">
        <f t="shared" si="2"/>
        <v/>
      </c>
      <c r="AA107" s="138"/>
      <c r="AB107" s="138"/>
      <c r="AC107" s="138"/>
      <c r="AD107" s="138"/>
      <c r="AE107" s="138"/>
      <c r="AF107" s="138"/>
      <c r="AG107" s="1501"/>
      <c r="AH107" s="1482"/>
      <c r="AI107" s="208"/>
      <c r="AJ107" s="208"/>
      <c r="AK107" s="138"/>
      <c r="AL107" s="138"/>
      <c r="AM107" s="1483"/>
      <c r="AN107" s="1482"/>
      <c r="AO107" s="208"/>
      <c r="AP107" s="1483"/>
      <c r="AQ107" s="1482"/>
      <c r="AR107" s="1602"/>
      <c r="AS107" s="458"/>
      <c r="AT107" s="1600"/>
      <c r="AU107" s="1482"/>
      <c r="AV107" s="1483"/>
      <c r="AW107" s="1487"/>
      <c r="AX107" s="1488"/>
      <c r="AY107" s="1488"/>
      <c r="AZ107" s="1488"/>
      <c r="BA107" s="1489"/>
      <c r="BB107" s="1503"/>
      <c r="BC107" s="138"/>
      <c r="BD107" s="138"/>
      <c r="BE107" s="1483"/>
      <c r="BF107" s="1602"/>
      <c r="BG107" s="1482"/>
      <c r="BH107" s="138"/>
      <c r="BI107" s="279"/>
    </row>
    <row r="108" spans="1:61" ht="15" customHeight="1" x14ac:dyDescent="0.35">
      <c r="A108" s="259"/>
      <c r="B108" s="1500"/>
      <c r="C108" s="1472"/>
      <c r="D108" s="1472"/>
      <c r="E108" s="1592"/>
      <c r="F108" s="1592"/>
      <c r="G108" s="1472"/>
      <c r="H108" s="1502"/>
      <c r="I108" s="1501"/>
      <c r="J108" s="1483"/>
      <c r="K108" s="1501"/>
      <c r="L108" s="1501"/>
      <c r="M108" s="1501"/>
      <c r="N108" s="1501"/>
      <c r="O108" s="1501"/>
      <c r="P108" s="1501"/>
      <c r="Q108" s="1501"/>
      <c r="R108" s="1501"/>
      <c r="S108" s="1501"/>
      <c r="T108" s="1490"/>
      <c r="U108" s="1503"/>
      <c r="V108" s="138"/>
      <c r="W108" s="138"/>
      <c r="X108" s="138"/>
      <c r="Y108" s="138"/>
      <c r="Z108" s="375" t="str">
        <f t="shared" si="2"/>
        <v/>
      </c>
      <c r="AA108" s="138"/>
      <c r="AB108" s="138"/>
      <c r="AC108" s="138"/>
      <c r="AD108" s="138"/>
      <c r="AE108" s="138"/>
      <c r="AF108" s="138"/>
      <c r="AG108" s="1501"/>
      <c r="AH108" s="1482"/>
      <c r="AI108" s="208"/>
      <c r="AJ108" s="208"/>
      <c r="AK108" s="138"/>
      <c r="AL108" s="138"/>
      <c r="AM108" s="1483"/>
      <c r="AN108" s="1482"/>
      <c r="AO108" s="208"/>
      <c r="AP108" s="1483"/>
      <c r="AQ108" s="1482"/>
      <c r="AR108" s="1602"/>
      <c r="AS108" s="458"/>
      <c r="AT108" s="1600"/>
      <c r="AU108" s="1482"/>
      <c r="AV108" s="1483"/>
      <c r="AW108" s="1487"/>
      <c r="AX108" s="1488"/>
      <c r="AY108" s="1488"/>
      <c r="AZ108" s="1488"/>
      <c r="BA108" s="1489"/>
      <c r="BB108" s="1503"/>
      <c r="BC108" s="138"/>
      <c r="BD108" s="138"/>
      <c r="BE108" s="1483"/>
      <c r="BF108" s="1602"/>
      <c r="BG108" s="1482"/>
      <c r="BH108" s="138"/>
      <c r="BI108" s="279"/>
    </row>
    <row r="109" spans="1:61" ht="15" customHeight="1" x14ac:dyDescent="0.35">
      <c r="A109" s="259"/>
      <c r="B109" s="1500"/>
      <c r="C109" s="1472"/>
      <c r="D109" s="1472"/>
      <c r="E109" s="1592"/>
      <c r="F109" s="1592"/>
      <c r="G109" s="1472"/>
      <c r="H109" s="1502"/>
      <c r="I109" s="1501"/>
      <c r="J109" s="1483"/>
      <c r="K109" s="1501"/>
      <c r="L109" s="1501"/>
      <c r="M109" s="1501"/>
      <c r="N109" s="1501"/>
      <c r="O109" s="1501"/>
      <c r="P109" s="1501"/>
      <c r="Q109" s="1501"/>
      <c r="R109" s="1501"/>
      <c r="S109" s="1501"/>
      <c r="T109" s="1490"/>
      <c r="U109" s="1503"/>
      <c r="V109" s="138"/>
      <c r="W109" s="138"/>
      <c r="X109" s="138"/>
      <c r="Y109" s="138"/>
      <c r="Z109" s="375" t="str">
        <f t="shared" si="2"/>
        <v/>
      </c>
      <c r="AA109" s="138"/>
      <c r="AB109" s="138"/>
      <c r="AC109" s="138"/>
      <c r="AD109" s="138"/>
      <c r="AE109" s="138"/>
      <c r="AF109" s="138"/>
      <c r="AG109" s="1501"/>
      <c r="AH109" s="1482"/>
      <c r="AI109" s="208"/>
      <c r="AJ109" s="208"/>
      <c r="AK109" s="138"/>
      <c r="AL109" s="138"/>
      <c r="AM109" s="1483"/>
      <c r="AN109" s="1482"/>
      <c r="AO109" s="208"/>
      <c r="AP109" s="1483"/>
      <c r="AQ109" s="1482"/>
      <c r="AR109" s="1602"/>
      <c r="AS109" s="458"/>
      <c r="AT109" s="1600"/>
      <c r="AU109" s="1482"/>
      <c r="AV109" s="1483"/>
      <c r="AW109" s="1487"/>
      <c r="AX109" s="1488"/>
      <c r="AY109" s="1488"/>
      <c r="AZ109" s="1488"/>
      <c r="BA109" s="1489"/>
      <c r="BB109" s="1503"/>
      <c r="BC109" s="138"/>
      <c r="BD109" s="138"/>
      <c r="BE109" s="1483"/>
      <c r="BF109" s="1602"/>
      <c r="BG109" s="1482"/>
      <c r="BH109" s="138"/>
      <c r="BI109" s="279"/>
    </row>
    <row r="110" spans="1:61" ht="15" customHeight="1" x14ac:dyDescent="0.35">
      <c r="A110" s="259"/>
      <c r="B110" s="1500"/>
      <c r="C110" s="1472"/>
      <c r="D110" s="1472"/>
      <c r="E110" s="1592"/>
      <c r="F110" s="1592"/>
      <c r="G110" s="1472"/>
      <c r="H110" s="1502"/>
      <c r="I110" s="1501"/>
      <c r="J110" s="1483"/>
      <c r="K110" s="1501"/>
      <c r="L110" s="1501"/>
      <c r="M110" s="1501"/>
      <c r="N110" s="1501"/>
      <c r="O110" s="1501"/>
      <c r="P110" s="1501"/>
      <c r="Q110" s="1501"/>
      <c r="R110" s="1501"/>
      <c r="S110" s="1501"/>
      <c r="T110" s="1490"/>
      <c r="U110" s="1503"/>
      <c r="V110" s="138"/>
      <c r="W110" s="138"/>
      <c r="X110" s="138"/>
      <c r="Y110" s="138"/>
      <c r="Z110" s="375" t="str">
        <f t="shared" si="2"/>
        <v/>
      </c>
      <c r="AA110" s="138"/>
      <c r="AB110" s="138"/>
      <c r="AC110" s="138"/>
      <c r="AD110" s="138"/>
      <c r="AE110" s="138"/>
      <c r="AF110" s="138"/>
      <c r="AG110" s="1501"/>
      <c r="AH110" s="1482"/>
      <c r="AI110" s="208"/>
      <c r="AJ110" s="208"/>
      <c r="AK110" s="138"/>
      <c r="AL110" s="138"/>
      <c r="AM110" s="1483"/>
      <c r="AN110" s="1482"/>
      <c r="AO110" s="208"/>
      <c r="AP110" s="1483"/>
      <c r="AQ110" s="1482"/>
      <c r="AR110" s="1602"/>
      <c r="AS110" s="458"/>
      <c r="AT110" s="1600"/>
      <c r="AU110" s="1482"/>
      <c r="AV110" s="1483"/>
      <c r="AW110" s="1487"/>
      <c r="AX110" s="1488"/>
      <c r="AY110" s="1488"/>
      <c r="AZ110" s="1488"/>
      <c r="BA110" s="1489"/>
      <c r="BB110" s="1503"/>
      <c r="BC110" s="138"/>
      <c r="BD110" s="138"/>
      <c r="BE110" s="1483"/>
      <c r="BF110" s="1602"/>
      <c r="BG110" s="1482"/>
      <c r="BH110" s="138"/>
      <c r="BI110" s="279"/>
    </row>
    <row r="111" spans="1:61" ht="15" customHeight="1" x14ac:dyDescent="0.35">
      <c r="A111" s="259"/>
      <c r="B111" s="1500"/>
      <c r="C111" s="1472"/>
      <c r="D111" s="1472"/>
      <c r="E111" s="1592"/>
      <c r="F111" s="1592"/>
      <c r="G111" s="1472"/>
      <c r="H111" s="1502"/>
      <c r="I111" s="1501"/>
      <c r="J111" s="1483"/>
      <c r="K111" s="1501"/>
      <c r="L111" s="1501"/>
      <c r="M111" s="1501"/>
      <c r="N111" s="1501"/>
      <c r="O111" s="1501"/>
      <c r="P111" s="1501"/>
      <c r="Q111" s="1501"/>
      <c r="R111" s="1501"/>
      <c r="S111" s="1501"/>
      <c r="T111" s="1490"/>
      <c r="U111" s="1503"/>
      <c r="V111" s="138"/>
      <c r="W111" s="138"/>
      <c r="X111" s="138"/>
      <c r="Y111" s="138"/>
      <c r="Z111" s="375" t="str">
        <f t="shared" si="2"/>
        <v/>
      </c>
      <c r="AA111" s="138"/>
      <c r="AB111" s="138"/>
      <c r="AC111" s="138"/>
      <c r="AD111" s="138"/>
      <c r="AE111" s="138"/>
      <c r="AF111" s="138"/>
      <c r="AG111" s="1501"/>
      <c r="AH111" s="1482"/>
      <c r="AI111" s="208"/>
      <c r="AJ111" s="208"/>
      <c r="AK111" s="138"/>
      <c r="AL111" s="138"/>
      <c r="AM111" s="1483"/>
      <c r="AN111" s="1482"/>
      <c r="AO111" s="208"/>
      <c r="AP111" s="1483"/>
      <c r="AQ111" s="1482"/>
      <c r="AR111" s="1602"/>
      <c r="AS111" s="458"/>
      <c r="AT111" s="1600"/>
      <c r="AU111" s="1482"/>
      <c r="AV111" s="1483"/>
      <c r="AW111" s="1487"/>
      <c r="AX111" s="1488"/>
      <c r="AY111" s="1488"/>
      <c r="AZ111" s="1488"/>
      <c r="BA111" s="1489"/>
      <c r="BB111" s="1503"/>
      <c r="BC111" s="138"/>
      <c r="BD111" s="138"/>
      <c r="BE111" s="1483"/>
      <c r="BF111" s="1602"/>
      <c r="BG111" s="1482"/>
      <c r="BH111" s="138"/>
      <c r="BI111" s="279"/>
    </row>
    <row r="112" spans="1:61" ht="15" customHeight="1" x14ac:dyDescent="0.35">
      <c r="A112" s="259"/>
      <c r="B112" s="1603"/>
      <c r="C112" s="1604"/>
      <c r="D112" s="1604"/>
      <c r="E112" s="1605"/>
      <c r="F112" s="1605"/>
      <c r="G112" s="1604"/>
      <c r="H112" s="1606"/>
      <c r="I112" s="1607"/>
      <c r="J112" s="1608"/>
      <c r="K112" s="1607"/>
      <c r="L112" s="1607"/>
      <c r="M112" s="1607"/>
      <c r="N112" s="1607"/>
      <c r="O112" s="1607"/>
      <c r="P112" s="1607"/>
      <c r="Q112" s="1607"/>
      <c r="R112" s="1607"/>
      <c r="S112" s="1607"/>
      <c r="T112" s="1609"/>
      <c r="U112" s="1610"/>
      <c r="V112" s="200"/>
      <c r="W112" s="200"/>
      <c r="X112" s="200"/>
      <c r="Y112" s="200"/>
      <c r="Z112" s="1611" t="str">
        <f t="shared" si="2"/>
        <v/>
      </c>
      <c r="AA112" s="200"/>
      <c r="AB112" s="200"/>
      <c r="AC112" s="200"/>
      <c r="AD112" s="200"/>
      <c r="AE112" s="200"/>
      <c r="AF112" s="200"/>
      <c r="AG112" s="1607"/>
      <c r="AH112" s="1504"/>
      <c r="AI112" s="900"/>
      <c r="AJ112" s="900"/>
      <c r="AK112" s="200"/>
      <c r="AL112" s="200"/>
      <c r="AM112" s="1608"/>
      <c r="AN112" s="1504"/>
      <c r="AO112" s="900"/>
      <c r="AP112" s="1608"/>
      <c r="AQ112" s="1504"/>
      <c r="AR112" s="1616"/>
      <c r="AS112" s="457"/>
      <c r="AT112" s="1612"/>
      <c r="AU112" s="1504"/>
      <c r="AV112" s="1608"/>
      <c r="AW112" s="1613"/>
      <c r="AX112" s="1614"/>
      <c r="AY112" s="1614"/>
      <c r="AZ112" s="1614"/>
      <c r="BA112" s="1615"/>
      <c r="BB112" s="1610"/>
      <c r="BC112" s="200"/>
      <c r="BD112" s="200"/>
      <c r="BE112" s="1608"/>
      <c r="BF112" s="1616"/>
      <c r="BG112" s="1504"/>
      <c r="BH112" s="200"/>
      <c r="BI112" s="279"/>
    </row>
    <row r="113" spans="1:61" ht="15" customHeight="1" x14ac:dyDescent="0.35">
      <c r="A113" s="729"/>
      <c r="B113" s="1471"/>
      <c r="C113" s="1471"/>
      <c r="D113" s="1471"/>
      <c r="E113" s="1471"/>
      <c r="F113" s="1471"/>
      <c r="G113" s="1471"/>
      <c r="H113" s="1201"/>
      <c r="I113" s="1201"/>
      <c r="J113" s="1201"/>
      <c r="K113" s="1201"/>
      <c r="L113" s="1201"/>
      <c r="M113" s="1201"/>
      <c r="N113" s="1201"/>
      <c r="O113" s="1201"/>
      <c r="P113" s="1201"/>
      <c r="Q113" s="1201"/>
      <c r="R113" s="1201"/>
      <c r="S113" s="1201"/>
      <c r="T113" s="1201"/>
      <c r="U113" s="1201"/>
      <c r="V113" s="1201"/>
      <c r="W113" s="1201"/>
      <c r="X113" s="1201"/>
      <c r="Y113" s="1201"/>
      <c r="Z113" s="1201"/>
      <c r="AA113" s="1201"/>
      <c r="AB113" s="1201"/>
      <c r="AC113" s="1201"/>
      <c r="AD113" s="1201"/>
      <c r="AE113" s="1201"/>
      <c r="AF113" s="1201"/>
      <c r="AG113" s="1201"/>
      <c r="AH113" s="1201"/>
      <c r="AI113" s="1201"/>
      <c r="AJ113" s="1201"/>
      <c r="AK113" s="1201"/>
      <c r="AL113" s="1201"/>
      <c r="AM113" s="1201"/>
      <c r="AN113" s="1201"/>
      <c r="AO113" s="1201"/>
      <c r="AP113" s="1201"/>
      <c r="AQ113" s="1201"/>
      <c r="AR113" s="1201"/>
      <c r="AS113" s="1201"/>
      <c r="AT113" s="1201"/>
      <c r="AU113" s="1201"/>
      <c r="AV113" s="1201"/>
      <c r="AW113" s="1201"/>
      <c r="AX113" s="1201"/>
      <c r="AY113" s="1201"/>
      <c r="AZ113" s="1201"/>
      <c r="BA113" s="1201"/>
      <c r="BB113" s="1201"/>
      <c r="BC113" s="1201"/>
      <c r="BD113" s="1201"/>
      <c r="BE113" s="1201"/>
      <c r="BF113" s="1201"/>
      <c r="BG113" s="1201"/>
      <c r="BH113" s="1201"/>
      <c r="BI113" s="875"/>
    </row>
    <row r="114" spans="1:61" ht="15" hidden="1" customHeight="1" x14ac:dyDescent="0.3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row>
    <row r="115" spans="1:61" ht="15" hidden="1" customHeight="1" x14ac:dyDescent="0.3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row>
    <row r="116" spans="1:61" ht="15" hidden="1" customHeight="1" x14ac:dyDescent="0.3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row>
    <row r="117" spans="1:61" ht="15" hidden="1" customHeight="1" x14ac:dyDescent="0.3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row>
    <row r="118" spans="1:61" ht="15" hidden="1" customHeight="1" x14ac:dyDescent="0.3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row>
    <row r="119" spans="1:61" hidden="1" x14ac:dyDescent="0.3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row>
  </sheetData>
  <sheetProtection algorithmName="SHA-512" hashValue="oKx4mf2iV2hMPvJ9YfXEZai69Y0vtsfD2RMhvqSRbzOVyvxnsw/0460Li5m3+K7fCevD8/sTfK4erI7jIF/AJw==" saltValue="dUN5ktKFH+FZPMHpY9xceA==" spinCount="100000" sheet="1" objects="1" scenarios="1"/>
  <mergeCells count="67">
    <mergeCell ref="B8:B10"/>
    <mergeCell ref="C8:C10"/>
    <mergeCell ref="D8:D10"/>
    <mergeCell ref="B7:D7"/>
    <mergeCell ref="E7:E10"/>
    <mergeCell ref="G8:G10"/>
    <mergeCell ref="F8:F10"/>
    <mergeCell ref="F7:G7"/>
    <mergeCell ref="AA9:AB9"/>
    <mergeCell ref="AC9:AF9"/>
    <mergeCell ref="AA8:AF8"/>
    <mergeCell ref="H8:H10"/>
    <mergeCell ref="I8:I10"/>
    <mergeCell ref="J8:J10"/>
    <mergeCell ref="K8:K10"/>
    <mergeCell ref="O8:O10"/>
    <mergeCell ref="P8:P10"/>
    <mergeCell ref="Q8:Q10"/>
    <mergeCell ref="R8:R10"/>
    <mergeCell ref="L8:N8"/>
    <mergeCell ref="L9:L10"/>
    <mergeCell ref="BG7:BH7"/>
    <mergeCell ref="AW7:BA7"/>
    <mergeCell ref="BG8:BH8"/>
    <mergeCell ref="BG9:BG10"/>
    <mergeCell ref="BH9:BH10"/>
    <mergeCell ref="BB7:BE7"/>
    <mergeCell ref="BB8:BB10"/>
    <mergeCell ref="BC8:BC10"/>
    <mergeCell ref="BD8:BD10"/>
    <mergeCell ref="BE8:BE10"/>
    <mergeCell ref="AW8:AW10"/>
    <mergeCell ref="AX8:AY9"/>
    <mergeCell ref="AZ8:BA9"/>
    <mergeCell ref="BF8:BF10"/>
    <mergeCell ref="B4:H4"/>
    <mergeCell ref="B3:H3"/>
    <mergeCell ref="AH7:AL7"/>
    <mergeCell ref="H7:J7"/>
    <mergeCell ref="U7:AG7"/>
    <mergeCell ref="K7:T7"/>
    <mergeCell ref="AU7:AV7"/>
    <mergeCell ref="AM8:AM10"/>
    <mergeCell ref="AJ8:AK9"/>
    <mergeCell ref="AU8:AU10"/>
    <mergeCell ref="AV8:AV10"/>
    <mergeCell ref="AS7:AT7"/>
    <mergeCell ref="AS8:AS10"/>
    <mergeCell ref="AT8:AT10"/>
    <mergeCell ref="AL8:AL10"/>
    <mergeCell ref="AN7:AP7"/>
    <mergeCell ref="AQ7:AR7"/>
    <mergeCell ref="AQ8:AQ10"/>
    <mergeCell ref="AR8:AR10"/>
    <mergeCell ref="M9:M10"/>
    <mergeCell ref="N9:N10"/>
    <mergeCell ref="AH8:AI9"/>
    <mergeCell ref="AN8:AO9"/>
    <mergeCell ref="AP8:AP10"/>
    <mergeCell ref="AG8:AG10"/>
    <mergeCell ref="S8:S10"/>
    <mergeCell ref="T8:T10"/>
    <mergeCell ref="U8:Y8"/>
    <mergeCell ref="Z8:Z10"/>
    <mergeCell ref="Y9:Y10"/>
    <mergeCell ref="U9:W9"/>
    <mergeCell ref="X9:X10"/>
  </mergeCells>
  <conditionalFormatting sqref="T12:Y112 H11:R112 AA12:BH112 T11:BF11">
    <cfRule type="cellIs" dxfId="914" priority="139" stopIfTrue="1" operator="lessThan">
      <formula>0</formula>
    </cfRule>
  </conditionalFormatting>
  <conditionalFormatting sqref="Y9:Y11 AF10:AF11">
    <cfRule type="cellIs" dxfId="913" priority="19" stopIfTrue="1" operator="equal">
      <formula>"Pass"</formula>
    </cfRule>
    <cfRule type="cellIs" dxfId="912" priority="20" stopIfTrue="1" operator="equal">
      <formula>"please check"</formula>
    </cfRule>
  </conditionalFormatting>
  <conditionalFormatting sqref="AE10:AE11">
    <cfRule type="cellIs" dxfId="911" priority="13" stopIfTrue="1" operator="equal">
      <formula>"Pass"</formula>
    </cfRule>
    <cfRule type="cellIs" dxfId="910" priority="14" stopIfTrue="1" operator="equal">
      <formula>"please check"</formula>
    </cfRule>
  </conditionalFormatting>
  <conditionalFormatting sqref="Z12:Z112">
    <cfRule type="cellIs" dxfId="909" priority="12" stopIfTrue="1" operator="lessThan">
      <formula>0</formula>
    </cfRule>
  </conditionalFormatting>
  <conditionalFormatting sqref="Z12:Z112">
    <cfRule type="cellIs" dxfId="908" priority="9" stopIfTrue="1" operator="equal">
      <formula>"Pass"</formula>
    </cfRule>
    <cfRule type="cellIs" dxfId="907" priority="10" stopIfTrue="1" operator="equal">
      <formula>"please check"</formula>
    </cfRule>
  </conditionalFormatting>
  <conditionalFormatting sqref="Z11">
    <cfRule type="cellIs" dxfId="906" priority="6" stopIfTrue="1" operator="equal">
      <formula>"Pass"</formula>
    </cfRule>
    <cfRule type="cellIs" dxfId="905" priority="7" stopIfTrue="1" operator="equal">
      <formula>"please check"</formula>
    </cfRule>
  </conditionalFormatting>
  <conditionalFormatting sqref="AA11">
    <cfRule type="cellIs" dxfId="904" priority="3" stopIfTrue="1" operator="equal">
      <formula>"Pass"</formula>
    </cfRule>
    <cfRule type="cellIs" dxfId="903" priority="4" stopIfTrue="1" operator="equal">
      <formula>"please check"</formula>
    </cfRule>
  </conditionalFormatting>
  <conditionalFormatting sqref="BG11">
    <cfRule type="cellIs" dxfId="902" priority="2" stopIfTrue="1" operator="lessThan">
      <formula>0</formula>
    </cfRule>
  </conditionalFormatting>
  <conditionalFormatting sqref="BH11">
    <cfRule type="cellIs" dxfId="901" priority="1" stopIfTrue="1" operator="lessThan">
      <formula>0</formula>
    </cfRule>
  </conditionalFormatting>
  <dataValidations count="7">
    <dataValidation type="list" allowBlank="1" showInputMessage="1" showErrorMessage="1" sqref="AG12:AG112">
      <formula1>CryptoAssetCLasses</formula1>
    </dataValidation>
    <dataValidation type="list" allowBlank="1" showInputMessage="1" showErrorMessage="1" sqref="I3 I12:I112 K12:M112 O12:Q112">
      <formula1>YesNo</formula1>
    </dataValidation>
    <dataValidation type="list" allowBlank="1" showInputMessage="1" showErrorMessage="1" sqref="S12:S112">
      <formula1>CryptoGroup</formula1>
    </dataValidation>
    <dataValidation type="list" allowBlank="1" showInputMessage="1" showErrorMessage="1" sqref="H12:H112">
      <formula1>CryptoActivity</formula1>
    </dataValidation>
    <dataValidation type="list" allowBlank="1" showInputMessage="1" showErrorMessage="1" sqref="AW12:AW112">
      <formula1>CryptoHQLA</formula1>
    </dataValidation>
    <dataValidation type="list" allowBlank="1" showInputMessage="1" showErrorMessage="1" sqref="B12:B112">
      <formula1>CryptoTicker</formula1>
    </dataValidation>
    <dataValidation type="list" allowBlank="1" showInputMessage="1" showErrorMessage="1" sqref="N12:N112">
      <formula1>CryptoFrequency</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colBreaks count="2" manualBreakCount="2">
    <brk id="39" max="62" man="1"/>
    <brk id="48" max="62" man="1"/>
  </colBreaks>
  <extLst>
    <ext xmlns:x14="http://schemas.microsoft.com/office/spreadsheetml/2009/9/main" uri="{78C0D931-6437-407d-A8EE-F0AAD7539E65}">
      <x14:conditionalFormattings>
        <x14:conditionalFormatting xmlns:xm="http://schemas.microsoft.com/office/excel/2006/main">
          <x14:cfRule type="beginsWith" priority="21" stopIfTrue="1" operator="beginsWith" id="{A104FF55-A2AA-4529-A49A-DEE5BFFE75FA}">
            <xm:f>LEFT(Y9,LEN("Fail"))="Fail"</xm:f>
            <xm:f>"Fail"</xm:f>
            <x14:dxf>
              <font>
                <b/>
                <i val="0"/>
                <strike val="0"/>
                <color rgb="FFAA322F"/>
              </font>
              <fill>
                <patternFill patternType="solid">
                  <bgColor theme="0"/>
                </patternFill>
              </fill>
            </x14:dxf>
          </x14:cfRule>
          <xm:sqref>Y9:Y11 AF10:AF11</xm:sqref>
        </x14:conditionalFormatting>
        <x14:conditionalFormatting xmlns:xm="http://schemas.microsoft.com/office/excel/2006/main">
          <x14:cfRule type="beginsWith" priority="15" stopIfTrue="1" operator="beginsWith" id="{C95D56E6-BC93-43BD-9E15-867C10EE1DB6}">
            <xm:f>LEFT(AE10,LEN("Fail"))="Fail"</xm:f>
            <xm:f>"Fail"</xm:f>
            <x14:dxf>
              <font>
                <b/>
                <i val="0"/>
                <strike val="0"/>
                <color rgb="FFAA322F"/>
              </font>
              <fill>
                <patternFill patternType="solid">
                  <bgColor theme="0"/>
                </patternFill>
              </fill>
            </x14:dxf>
          </x14:cfRule>
          <xm:sqref>AE10:AE11</xm:sqref>
        </x14:conditionalFormatting>
        <x14:conditionalFormatting xmlns:xm="http://schemas.microsoft.com/office/excel/2006/main">
          <x14:cfRule type="beginsWith" priority="11" stopIfTrue="1" operator="beginsWith" id="{E62ABFD6-237C-44EF-874B-5165D4641D44}">
            <xm:f>LEFT(Z12,LEN("Fail"))="Fail"</xm:f>
            <xm:f>"Fail"</xm:f>
            <x14:dxf>
              <font>
                <b/>
                <i val="0"/>
                <strike val="0"/>
                <color rgb="FFAA322F"/>
              </font>
              <fill>
                <patternFill patternType="solid">
                  <bgColor theme="0"/>
                </patternFill>
              </fill>
            </x14:dxf>
          </x14:cfRule>
          <xm:sqref>Z12:Z112</xm:sqref>
        </x14:conditionalFormatting>
        <x14:conditionalFormatting xmlns:xm="http://schemas.microsoft.com/office/excel/2006/main">
          <x14:cfRule type="beginsWith" priority="8" stopIfTrue="1" operator="beginsWith" id="{C77693AE-0F69-46D7-8394-2D3C07782FF9}">
            <xm:f>LEFT(Z11,LEN("Fail"))="Fail"</xm:f>
            <xm:f>"Fail"</xm:f>
            <x14:dxf>
              <font>
                <b/>
                <i val="0"/>
                <strike val="0"/>
                <color rgb="FFAA322F"/>
              </font>
              <fill>
                <patternFill patternType="solid">
                  <bgColor theme="0"/>
                </patternFill>
              </fill>
            </x14:dxf>
          </x14:cfRule>
          <xm:sqref>Z11</xm:sqref>
        </x14:conditionalFormatting>
        <x14:conditionalFormatting xmlns:xm="http://schemas.microsoft.com/office/excel/2006/main">
          <x14:cfRule type="beginsWith" priority="5" stopIfTrue="1" operator="beginsWith" id="{A75060FC-53B9-4941-ABF8-187163ECD448}">
            <xm:f>LEFT(AA11,LEN("Fail"))="Fail"</xm:f>
            <xm:f>"Fail"</xm:f>
            <x14:dxf>
              <font>
                <b/>
                <i val="0"/>
                <strike val="0"/>
                <color rgb="FFAA322F"/>
              </font>
              <fill>
                <patternFill patternType="solid">
                  <bgColor theme="0"/>
                </patternFill>
              </fill>
            </x14:dxf>
          </x14:cfRule>
          <xm:sqref>AA11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Parameters!$D$692:$D$694</xm:f>
          </x14:formula1>
          <xm:sqref>R12:R112</xm:sqref>
        </x14:dataValidation>
        <x14:dataValidation type="list" allowBlank="1" showInputMessage="1" showErrorMessage="1">
          <x14:formula1>
            <xm:f>Parameters!$D$695:$D$697</xm:f>
          </x14:formula1>
          <xm:sqref>AM12:AM112</xm:sqref>
        </x14:dataValidation>
        <x14:dataValidation type="list" allowBlank="1" showInputMessage="1" showErrorMessage="1">
          <x14:formula1>
            <xm:f>Parameters!$D$686:$D$691</xm:f>
          </x14:formula1>
          <xm:sqref>F12:F112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EC72"/>
  </sheetPr>
  <dimension ref="A1:P110"/>
  <sheetViews>
    <sheetView topLeftCell="A91" zoomScale="60" zoomScaleNormal="60" workbookViewId="0">
      <selection activeCell="M104" sqref="M104:N107"/>
    </sheetView>
  </sheetViews>
  <sheetFormatPr defaultColWidth="0" defaultRowHeight="16.8" zeroHeight="1" x14ac:dyDescent="0.35"/>
  <cols>
    <col min="1" max="1" width="1.6640625" style="1017" customWidth="1"/>
    <col min="2" max="2" width="100.6640625" style="1017" customWidth="1"/>
    <col min="3" max="15" width="18.6640625" style="1017" customWidth="1"/>
    <col min="16" max="16" width="1.6640625" style="1017" customWidth="1"/>
    <col min="17" max="16384" width="9.109375" hidden="1"/>
  </cols>
  <sheetData>
    <row r="1" spans="1:16" ht="29.4" x14ac:dyDescent="0.65">
      <c r="A1" s="913" t="s">
        <v>1677</v>
      </c>
      <c r="B1" s="767"/>
      <c r="C1" s="739"/>
      <c r="D1" s="739" t="str">
        <f>CONCATENATE("Reporting unit: ", 'General Info'!$C$7, " ", 'General Info'!$C$5)</f>
        <v>Reporting unit: 1000 eur</v>
      </c>
      <c r="E1" s="767"/>
      <c r="F1" s="884"/>
      <c r="G1" s="767"/>
      <c r="H1" s="767"/>
      <c r="I1" s="884"/>
      <c r="J1" s="884"/>
      <c r="K1" s="884"/>
      <c r="L1" s="884"/>
      <c r="M1" s="884"/>
      <c r="N1" s="884"/>
      <c r="O1" s="1364"/>
      <c r="P1" s="1365"/>
    </row>
    <row r="2" spans="1:16" ht="45" customHeight="1" x14ac:dyDescent="0.65">
      <c r="A2" s="1030" t="s">
        <v>1678</v>
      </c>
      <c r="B2" s="85"/>
      <c r="C2" s="85"/>
      <c r="D2" s="85"/>
      <c r="E2" s="71"/>
      <c r="F2" s="328"/>
      <c r="G2" s="328"/>
      <c r="H2" s="328"/>
      <c r="I2" s="328"/>
      <c r="J2" s="85"/>
      <c r="K2" s="328"/>
      <c r="L2" s="328"/>
      <c r="M2" s="85"/>
      <c r="N2" s="1031"/>
      <c r="O2" s="98"/>
      <c r="P2" s="315"/>
    </row>
    <row r="3" spans="1:16" ht="15" customHeight="1" x14ac:dyDescent="0.35">
      <c r="A3" s="259"/>
      <c r="B3" s="3232"/>
      <c r="C3" s="2862" t="s">
        <v>1679</v>
      </c>
      <c r="D3" s="2862"/>
      <c r="E3" s="2862"/>
      <c r="F3" s="2862"/>
      <c r="G3" s="2862"/>
      <c r="H3" s="3235"/>
      <c r="I3" s="3236" t="s">
        <v>1680</v>
      </c>
      <c r="J3" s="3237"/>
      <c r="K3" s="3240" t="s">
        <v>1681</v>
      </c>
      <c r="L3" s="3241"/>
      <c r="M3" s="3236" t="s">
        <v>1682</v>
      </c>
      <c r="N3" s="3237"/>
      <c r="O3" s="3245" t="s">
        <v>1683</v>
      </c>
      <c r="P3" s="1045"/>
    </row>
    <row r="4" spans="1:16" ht="15" customHeight="1" x14ac:dyDescent="0.35">
      <c r="A4" s="259"/>
      <c r="B4" s="3233"/>
      <c r="C4" s="2835" t="s">
        <v>1684</v>
      </c>
      <c r="D4" s="2658"/>
      <c r="E4" s="2658"/>
      <c r="F4" s="2658" t="s">
        <v>1685</v>
      </c>
      <c r="G4" s="2658"/>
      <c r="H4" s="2659"/>
      <c r="I4" s="3238"/>
      <c r="J4" s="3239"/>
      <c r="K4" s="3242"/>
      <c r="L4" s="3243"/>
      <c r="M4" s="3238"/>
      <c r="N4" s="3239"/>
      <c r="O4" s="3246"/>
      <c r="P4" s="1045"/>
    </row>
    <row r="5" spans="1:16" ht="15" customHeight="1" x14ac:dyDescent="0.35">
      <c r="A5" s="259"/>
      <c r="B5" s="3233"/>
      <c r="C5" s="2835" t="s">
        <v>177</v>
      </c>
      <c r="D5" s="2658" t="s">
        <v>1066</v>
      </c>
      <c r="E5" s="2658"/>
      <c r="F5" s="2658" t="s">
        <v>177</v>
      </c>
      <c r="G5" s="2658" t="s">
        <v>1066</v>
      </c>
      <c r="H5" s="2659"/>
      <c r="I5" s="3244" t="s">
        <v>1066</v>
      </c>
      <c r="J5" s="2659"/>
      <c r="K5" s="3244" t="s">
        <v>1066</v>
      </c>
      <c r="L5" s="2659"/>
      <c r="M5" s="3244" t="s">
        <v>1066</v>
      </c>
      <c r="N5" s="2659"/>
      <c r="O5" s="3246"/>
      <c r="P5" s="1045"/>
    </row>
    <row r="6" spans="1:16" ht="45" customHeight="1" x14ac:dyDescent="0.35">
      <c r="A6" s="259"/>
      <c r="B6" s="3234"/>
      <c r="C6" s="2835"/>
      <c r="D6" s="954" t="s">
        <v>1686</v>
      </c>
      <c r="E6" s="954" t="s">
        <v>1687</v>
      </c>
      <c r="F6" s="2658"/>
      <c r="G6" s="954" t="s">
        <v>1686</v>
      </c>
      <c r="H6" s="1727" t="s">
        <v>1687</v>
      </c>
      <c r="I6" s="1834" t="s">
        <v>1688</v>
      </c>
      <c r="J6" s="1727" t="s">
        <v>1689</v>
      </c>
      <c r="K6" s="1834" t="s">
        <v>1690</v>
      </c>
      <c r="L6" s="1727" t="s">
        <v>1691</v>
      </c>
      <c r="M6" s="1834" t="s">
        <v>1688</v>
      </c>
      <c r="N6" s="1727" t="s">
        <v>1689</v>
      </c>
      <c r="O6" s="3247"/>
      <c r="P6" s="1045"/>
    </row>
    <row r="7" spans="1:16" ht="15" customHeight="1" x14ac:dyDescent="0.35">
      <c r="A7" s="259"/>
      <c r="B7" s="670" t="s">
        <v>1692</v>
      </c>
      <c r="C7" s="726">
        <f>SUM(C8:C10)</f>
        <v>0</v>
      </c>
      <c r="D7" s="664">
        <f t="shared" ref="D7:J7" si="0">SUM(D8:D10)</f>
        <v>15443078</v>
      </c>
      <c r="E7" s="664">
        <f t="shared" si="0"/>
        <v>15438203</v>
      </c>
      <c r="F7" s="664">
        <f t="shared" si="0"/>
        <v>0</v>
      </c>
      <c r="G7" s="664">
        <f t="shared" si="0"/>
        <v>0</v>
      </c>
      <c r="H7" s="1066">
        <f t="shared" si="0"/>
        <v>0</v>
      </c>
      <c r="I7" s="985">
        <f t="shared" si="0"/>
        <v>0</v>
      </c>
      <c r="J7" s="1066">
        <f t="shared" si="0"/>
        <v>0</v>
      </c>
      <c r="K7" s="985">
        <f>SUM(K8:K10)</f>
        <v>0</v>
      </c>
      <c r="L7" s="1066">
        <f>SUM(L8:L10)</f>
        <v>0</v>
      </c>
      <c r="M7" s="985">
        <f t="shared" ref="M7:N7" si="1">SUM(M8:M10)</f>
        <v>0</v>
      </c>
      <c r="N7" s="1066">
        <f t="shared" si="1"/>
        <v>0</v>
      </c>
      <c r="O7" s="1067">
        <f>SUM(O8:O10)</f>
        <v>0</v>
      </c>
      <c r="P7" s="1045"/>
    </row>
    <row r="8" spans="1:16" ht="30" customHeight="1" x14ac:dyDescent="0.35">
      <c r="A8" s="259"/>
      <c r="B8" s="1588" t="s">
        <v>1693</v>
      </c>
      <c r="C8" s="33">
        <v>0</v>
      </c>
      <c r="D8" s="23">
        <v>10984209</v>
      </c>
      <c r="E8" s="23">
        <v>10979334</v>
      </c>
      <c r="F8" s="23">
        <v>0</v>
      </c>
      <c r="G8" s="23">
        <v>0</v>
      </c>
      <c r="H8" s="1021">
        <v>0</v>
      </c>
      <c r="I8" s="1020">
        <v>0</v>
      </c>
      <c r="J8" s="1021">
        <v>0</v>
      </c>
      <c r="K8" s="1020">
        <v>0</v>
      </c>
      <c r="L8" s="1021">
        <v>0</v>
      </c>
      <c r="M8" s="1020">
        <v>0</v>
      </c>
      <c r="N8" s="1021">
        <v>0</v>
      </c>
      <c r="O8" s="1068">
        <v>0</v>
      </c>
      <c r="P8" s="1045"/>
    </row>
    <row r="9" spans="1:16" ht="30" customHeight="1" x14ac:dyDescent="0.35">
      <c r="A9" s="259"/>
      <c r="B9" s="1588" t="s">
        <v>1694</v>
      </c>
      <c r="C9" s="33">
        <v>0</v>
      </c>
      <c r="D9" s="23">
        <v>0</v>
      </c>
      <c r="E9" s="23">
        <v>0</v>
      </c>
      <c r="F9" s="23">
        <v>0</v>
      </c>
      <c r="G9" s="23">
        <v>0</v>
      </c>
      <c r="H9" s="1021">
        <v>0</v>
      </c>
      <c r="I9" s="1020">
        <v>0</v>
      </c>
      <c r="J9" s="1021">
        <v>0</v>
      </c>
      <c r="K9" s="1020">
        <v>0</v>
      </c>
      <c r="L9" s="1021">
        <v>0</v>
      </c>
      <c r="M9" s="1020">
        <v>0</v>
      </c>
      <c r="N9" s="1021">
        <v>0</v>
      </c>
      <c r="O9" s="1068">
        <v>0</v>
      </c>
      <c r="P9" s="1045"/>
    </row>
    <row r="10" spans="1:16" ht="15" customHeight="1" x14ac:dyDescent="0.35">
      <c r="A10" s="259"/>
      <c r="B10" s="1039" t="str">
        <f>"the exposure is not applicable to rows " &amp; ROW(B8) &amp; " or " &amp; ROW(B9)</f>
        <v>the exposure is not applicable to rows 8 or 9</v>
      </c>
      <c r="C10" s="33">
        <v>0</v>
      </c>
      <c r="D10" s="23">
        <v>4458869</v>
      </c>
      <c r="E10" s="23">
        <v>4458869</v>
      </c>
      <c r="F10" s="23">
        <v>0</v>
      </c>
      <c r="G10" s="23">
        <v>0</v>
      </c>
      <c r="H10" s="1021">
        <v>0</v>
      </c>
      <c r="I10" s="1020">
        <v>0</v>
      </c>
      <c r="J10" s="1021">
        <v>0</v>
      </c>
      <c r="K10" s="1020">
        <v>0</v>
      </c>
      <c r="L10" s="1021">
        <v>0</v>
      </c>
      <c r="M10" s="1020">
        <v>0</v>
      </c>
      <c r="N10" s="1021">
        <v>0</v>
      </c>
      <c r="O10" s="1068">
        <v>0</v>
      </c>
      <c r="P10" s="1045"/>
    </row>
    <row r="11" spans="1:16" ht="15" customHeight="1" x14ac:dyDescent="0.35">
      <c r="A11" s="259"/>
      <c r="B11" s="100" t="s">
        <v>1695</v>
      </c>
      <c r="C11" s="97">
        <f>SUM(C12:C14)</f>
        <v>0</v>
      </c>
      <c r="D11" s="30">
        <f t="shared" ref="D11:L11" si="2">SUM(D12:D14)</f>
        <v>3380694</v>
      </c>
      <c r="E11" s="30">
        <f t="shared" si="2"/>
        <v>3380694</v>
      </c>
      <c r="F11" s="30">
        <f t="shared" si="2"/>
        <v>0</v>
      </c>
      <c r="G11" s="30">
        <f t="shared" si="2"/>
        <v>0</v>
      </c>
      <c r="H11" s="1065">
        <f t="shared" si="2"/>
        <v>0</v>
      </c>
      <c r="I11" s="987">
        <f t="shared" si="2"/>
        <v>0</v>
      </c>
      <c r="J11" s="1065">
        <f t="shared" si="2"/>
        <v>0</v>
      </c>
      <c r="K11" s="987">
        <f t="shared" si="2"/>
        <v>0</v>
      </c>
      <c r="L11" s="1065">
        <f t="shared" si="2"/>
        <v>0</v>
      </c>
      <c r="M11" s="987">
        <f>SUM(M12:M14)</f>
        <v>0</v>
      </c>
      <c r="N11" s="1065">
        <f t="shared" ref="N11" si="3">SUM(N12:N14)</f>
        <v>0</v>
      </c>
      <c r="O11" s="1069">
        <f>SUM(O12:O14)</f>
        <v>0</v>
      </c>
      <c r="P11" s="1045"/>
    </row>
    <row r="12" spans="1:16" ht="30" customHeight="1" x14ac:dyDescent="0.35">
      <c r="A12" s="259"/>
      <c r="B12" s="1588" t="s">
        <v>1693</v>
      </c>
      <c r="C12" s="33">
        <v>0</v>
      </c>
      <c r="D12" s="23">
        <v>3380694</v>
      </c>
      <c r="E12" s="23">
        <v>3380694</v>
      </c>
      <c r="F12" s="23">
        <v>0</v>
      </c>
      <c r="G12" s="23">
        <v>0</v>
      </c>
      <c r="H12" s="1021">
        <v>0</v>
      </c>
      <c r="I12" s="1020">
        <v>0</v>
      </c>
      <c r="J12" s="1021">
        <v>0</v>
      </c>
      <c r="K12" s="1020">
        <v>0</v>
      </c>
      <c r="L12" s="1021">
        <v>0</v>
      </c>
      <c r="M12" s="1020">
        <v>0</v>
      </c>
      <c r="N12" s="1021">
        <v>0</v>
      </c>
      <c r="O12" s="1068">
        <v>0</v>
      </c>
      <c r="P12" s="1045"/>
    </row>
    <row r="13" spans="1:16" ht="30" customHeight="1" x14ac:dyDescent="0.35">
      <c r="A13" s="259"/>
      <c r="B13" s="1588" t="s">
        <v>1694</v>
      </c>
      <c r="C13" s="33">
        <v>0</v>
      </c>
      <c r="D13" s="23">
        <v>0</v>
      </c>
      <c r="E13" s="23">
        <v>0</v>
      </c>
      <c r="F13" s="23">
        <v>0</v>
      </c>
      <c r="G13" s="23">
        <v>0</v>
      </c>
      <c r="H13" s="1021">
        <v>0</v>
      </c>
      <c r="I13" s="1020">
        <v>0</v>
      </c>
      <c r="J13" s="1021">
        <v>0</v>
      </c>
      <c r="K13" s="1020">
        <v>0</v>
      </c>
      <c r="L13" s="1021">
        <v>0</v>
      </c>
      <c r="M13" s="1020">
        <v>0</v>
      </c>
      <c r="N13" s="1021">
        <v>0</v>
      </c>
      <c r="O13" s="1068">
        <v>0</v>
      </c>
      <c r="P13" s="1045"/>
    </row>
    <row r="14" spans="1:16" ht="15" customHeight="1" x14ac:dyDescent="0.35">
      <c r="A14" s="259"/>
      <c r="B14" s="1039" t="str">
        <f>"the exposure is not applicable to rows " &amp; ROW(B12) &amp; " or " &amp; ROW(B13)</f>
        <v>the exposure is not applicable to rows 12 or 13</v>
      </c>
      <c r="C14" s="33">
        <v>0</v>
      </c>
      <c r="D14" s="23">
        <v>0</v>
      </c>
      <c r="E14" s="23">
        <v>0</v>
      </c>
      <c r="F14" s="23">
        <v>0</v>
      </c>
      <c r="G14" s="23">
        <v>0</v>
      </c>
      <c r="H14" s="1021">
        <v>0</v>
      </c>
      <c r="I14" s="1020">
        <v>0</v>
      </c>
      <c r="J14" s="1021">
        <v>0</v>
      </c>
      <c r="K14" s="1020">
        <v>0</v>
      </c>
      <c r="L14" s="1021">
        <v>0</v>
      </c>
      <c r="M14" s="1020">
        <v>0</v>
      </c>
      <c r="N14" s="1021">
        <v>0</v>
      </c>
      <c r="O14" s="1068">
        <v>0</v>
      </c>
      <c r="P14" s="1045"/>
    </row>
    <row r="15" spans="1:16" ht="15" customHeight="1" x14ac:dyDescent="0.35">
      <c r="A15" s="259"/>
      <c r="B15" s="100" t="s">
        <v>1696</v>
      </c>
      <c r="C15" s="97">
        <f>SUM(C16:C18)</f>
        <v>150117</v>
      </c>
      <c r="D15" s="30">
        <f t="shared" ref="D15:L15" si="4">SUM(D16:D18)</f>
        <v>154304</v>
      </c>
      <c r="E15" s="30">
        <f t="shared" si="4"/>
        <v>150117</v>
      </c>
      <c r="F15" s="30">
        <f t="shared" si="4"/>
        <v>0</v>
      </c>
      <c r="G15" s="30">
        <f t="shared" si="4"/>
        <v>0</v>
      </c>
      <c r="H15" s="1065">
        <f t="shared" si="4"/>
        <v>0</v>
      </c>
      <c r="I15" s="987">
        <f t="shared" si="4"/>
        <v>0</v>
      </c>
      <c r="J15" s="1065">
        <f t="shared" si="4"/>
        <v>0</v>
      </c>
      <c r="K15" s="987">
        <f t="shared" si="4"/>
        <v>0</v>
      </c>
      <c r="L15" s="1065">
        <f t="shared" si="4"/>
        <v>0</v>
      </c>
      <c r="M15" s="987">
        <f>SUM(M16:M18)</f>
        <v>0</v>
      </c>
      <c r="N15" s="1065">
        <f t="shared" ref="N15" si="5">SUM(N16:N18)</f>
        <v>0</v>
      </c>
      <c r="O15" s="1069">
        <f>SUM(O16:O18)</f>
        <v>0</v>
      </c>
      <c r="P15" s="1045"/>
    </row>
    <row r="16" spans="1:16" ht="30" customHeight="1" x14ac:dyDescent="0.35">
      <c r="A16" s="259"/>
      <c r="B16" s="1588" t="s">
        <v>1693</v>
      </c>
      <c r="C16" s="33">
        <v>150117</v>
      </c>
      <c r="D16" s="23">
        <v>154304</v>
      </c>
      <c r="E16" s="23">
        <v>150117</v>
      </c>
      <c r="F16" s="23">
        <v>0</v>
      </c>
      <c r="G16" s="23">
        <v>0</v>
      </c>
      <c r="H16" s="1021">
        <v>0</v>
      </c>
      <c r="I16" s="1020">
        <v>0</v>
      </c>
      <c r="J16" s="1021">
        <v>0</v>
      </c>
      <c r="K16" s="1020">
        <v>0</v>
      </c>
      <c r="L16" s="1021">
        <v>0</v>
      </c>
      <c r="M16" s="1020">
        <v>0</v>
      </c>
      <c r="N16" s="1021">
        <v>0</v>
      </c>
      <c r="O16" s="1068">
        <v>0</v>
      </c>
      <c r="P16" s="1045"/>
    </row>
    <row r="17" spans="1:16" ht="30" customHeight="1" x14ac:dyDescent="0.35">
      <c r="A17" s="259"/>
      <c r="B17" s="1588" t="s">
        <v>1694</v>
      </c>
      <c r="C17" s="33">
        <v>0</v>
      </c>
      <c r="D17" s="23">
        <v>0</v>
      </c>
      <c r="E17" s="23">
        <v>0</v>
      </c>
      <c r="F17" s="23">
        <v>0</v>
      </c>
      <c r="G17" s="23">
        <v>0</v>
      </c>
      <c r="H17" s="1021">
        <v>0</v>
      </c>
      <c r="I17" s="1020">
        <v>0</v>
      </c>
      <c r="J17" s="1021">
        <v>0</v>
      </c>
      <c r="K17" s="1020">
        <v>0</v>
      </c>
      <c r="L17" s="1021">
        <v>0</v>
      </c>
      <c r="M17" s="1020">
        <v>0</v>
      </c>
      <c r="N17" s="1021">
        <v>0</v>
      </c>
      <c r="O17" s="1068">
        <v>0</v>
      </c>
      <c r="P17" s="1045"/>
    </row>
    <row r="18" spans="1:16" ht="15" customHeight="1" x14ac:dyDescent="0.35">
      <c r="A18" s="259"/>
      <c r="B18" s="1039" t="str">
        <f>"the exposure is not applicable to rows " &amp; ROW(B16) &amp; " or " &amp; ROW(B17)</f>
        <v>the exposure is not applicable to rows 16 or 17</v>
      </c>
      <c r="C18" s="33">
        <v>0</v>
      </c>
      <c r="D18" s="23">
        <v>0</v>
      </c>
      <c r="E18" s="23">
        <v>0</v>
      </c>
      <c r="F18" s="23">
        <v>0</v>
      </c>
      <c r="G18" s="23">
        <v>0</v>
      </c>
      <c r="H18" s="1021">
        <v>0</v>
      </c>
      <c r="I18" s="1020">
        <v>0</v>
      </c>
      <c r="J18" s="1021">
        <v>0</v>
      </c>
      <c r="K18" s="1020">
        <v>0</v>
      </c>
      <c r="L18" s="1021">
        <v>0</v>
      </c>
      <c r="M18" s="1020">
        <v>0</v>
      </c>
      <c r="N18" s="1021">
        <v>0</v>
      </c>
      <c r="O18" s="1068">
        <v>0</v>
      </c>
      <c r="P18" s="1045"/>
    </row>
    <row r="19" spans="1:16" ht="15" customHeight="1" x14ac:dyDescent="0.35">
      <c r="A19" s="259"/>
      <c r="B19" s="1054" t="s">
        <v>1697</v>
      </c>
      <c r="C19" s="271">
        <v>0</v>
      </c>
      <c r="D19" s="18">
        <v>226510</v>
      </c>
      <c r="E19" s="18">
        <v>226510</v>
      </c>
      <c r="F19" s="18">
        <v>0</v>
      </c>
      <c r="G19" s="18">
        <v>0</v>
      </c>
      <c r="H19" s="1025">
        <v>0</v>
      </c>
      <c r="I19" s="1024">
        <v>0</v>
      </c>
      <c r="J19" s="1025">
        <v>0</v>
      </c>
      <c r="K19" s="1024">
        <v>0</v>
      </c>
      <c r="L19" s="1025">
        <v>0</v>
      </c>
      <c r="M19" s="1024">
        <v>0</v>
      </c>
      <c r="N19" s="1025">
        <v>0</v>
      </c>
      <c r="O19" s="1070">
        <v>0</v>
      </c>
      <c r="P19" s="1045"/>
    </row>
    <row r="20" spans="1:16" ht="15" customHeight="1" x14ac:dyDescent="0.35">
      <c r="A20" s="1046"/>
      <c r="B20" s="1044"/>
      <c r="C20" s="673">
        <f>SUM(C7+C11+C15+C19)</f>
        <v>150117</v>
      </c>
      <c r="D20" s="1026">
        <f t="shared" ref="D20:J20" si="6">SUM(D7+D11+D15+D19)</f>
        <v>19204586</v>
      </c>
      <c r="E20" s="1026">
        <f t="shared" si="6"/>
        <v>19195524</v>
      </c>
      <c r="F20" s="1026">
        <f t="shared" si="6"/>
        <v>0</v>
      </c>
      <c r="G20" s="1026">
        <f t="shared" si="6"/>
        <v>0</v>
      </c>
      <c r="H20" s="1077">
        <f t="shared" si="6"/>
        <v>0</v>
      </c>
      <c r="I20" s="1076">
        <f t="shared" si="6"/>
        <v>0</v>
      </c>
      <c r="J20" s="1077">
        <f t="shared" si="6"/>
        <v>0</v>
      </c>
      <c r="K20" s="1076">
        <f>SUM(K7+K11+K15+K19)</f>
        <v>0</v>
      </c>
      <c r="L20" s="1077">
        <f>SUM(L7+L11+L15+L19)</f>
        <v>0</v>
      </c>
      <c r="M20" s="1076">
        <f t="shared" ref="M20:N20" si="7">SUM(M7+M11+M15+M19)</f>
        <v>0</v>
      </c>
      <c r="N20" s="1077">
        <f t="shared" si="7"/>
        <v>0</v>
      </c>
      <c r="O20" s="1027">
        <f>SUM(O7+O11+O15+O19)</f>
        <v>0</v>
      </c>
      <c r="P20" s="1047"/>
    </row>
    <row r="21" spans="1:16" ht="15" customHeight="1" x14ac:dyDescent="0.35">
      <c r="A21" s="729"/>
      <c r="B21" s="884"/>
      <c r="C21" s="884"/>
      <c r="D21" s="884"/>
      <c r="E21" s="884"/>
      <c r="F21" s="884"/>
      <c r="G21" s="884"/>
      <c r="H21" s="884"/>
      <c r="I21" s="884"/>
      <c r="J21" s="884"/>
      <c r="K21" s="884"/>
      <c r="L21" s="884"/>
      <c r="M21" s="884"/>
      <c r="N21" s="1029"/>
      <c r="O21" s="1043"/>
      <c r="P21" s="1055"/>
    </row>
    <row r="22" spans="1:16" ht="45" customHeight="1" x14ac:dyDescent="0.35">
      <c r="A22" s="1030" t="s">
        <v>1698</v>
      </c>
      <c r="B22" s="278"/>
      <c r="C22" s="85"/>
      <c r="D22" s="85"/>
      <c r="E22" s="85"/>
      <c r="F22" s="85"/>
      <c r="G22" s="85"/>
      <c r="H22" s="85"/>
      <c r="I22" s="85"/>
      <c r="J22" s="1031"/>
      <c r="K22" s="1032"/>
      <c r="L22" s="85"/>
      <c r="M22" s="85"/>
      <c r="N22" s="1033"/>
      <c r="O22" s="1041"/>
      <c r="P22" s="1050"/>
    </row>
    <row r="23" spans="1:16" ht="15" customHeight="1" x14ac:dyDescent="0.35">
      <c r="A23" s="259"/>
      <c r="B23" s="1034"/>
      <c r="C23" s="3227" t="s">
        <v>177</v>
      </c>
      <c r="D23" s="3228"/>
      <c r="E23" s="3228"/>
      <c r="F23" s="3228"/>
      <c r="G23" s="3228"/>
      <c r="H23" s="3229"/>
      <c r="I23" s="3230" t="s">
        <v>1699</v>
      </c>
      <c r="J23" s="3228"/>
      <c r="K23" s="3228"/>
      <c r="L23" s="3228"/>
      <c r="M23" s="3228"/>
      <c r="N23" s="3231"/>
      <c r="O23" s="1041"/>
      <c r="P23" s="1050"/>
    </row>
    <row r="24" spans="1:16" ht="15" customHeight="1" x14ac:dyDescent="0.35">
      <c r="A24" s="1051"/>
      <c r="B24" s="424"/>
      <c r="C24" s="1057" t="s">
        <v>1700</v>
      </c>
      <c r="D24" s="1058" t="s">
        <v>766</v>
      </c>
      <c r="E24" s="1058" t="s">
        <v>767</v>
      </c>
      <c r="F24" s="1058" t="s">
        <v>768</v>
      </c>
      <c r="G24" s="1058" t="s">
        <v>1701</v>
      </c>
      <c r="H24" s="1060" t="s">
        <v>1591</v>
      </c>
      <c r="I24" s="1061" t="s">
        <v>1700</v>
      </c>
      <c r="J24" s="1058" t="s">
        <v>766</v>
      </c>
      <c r="K24" s="1058" t="s">
        <v>767</v>
      </c>
      <c r="L24" s="1058" t="s">
        <v>768</v>
      </c>
      <c r="M24" s="1058" t="s">
        <v>1701</v>
      </c>
      <c r="N24" s="1059" t="s">
        <v>1591</v>
      </c>
      <c r="P24" s="1049"/>
    </row>
    <row r="25" spans="1:16" ht="15" customHeight="1" x14ac:dyDescent="0.35">
      <c r="A25" s="1051"/>
      <c r="B25" s="670" t="s">
        <v>1702</v>
      </c>
      <c r="C25" s="589"/>
      <c r="D25" s="792"/>
      <c r="E25" s="792"/>
      <c r="F25" s="792"/>
      <c r="G25" s="792"/>
      <c r="H25" s="1064"/>
      <c r="I25" s="1062"/>
      <c r="J25" s="792"/>
      <c r="K25" s="792"/>
      <c r="L25" s="792"/>
      <c r="M25" s="792"/>
      <c r="N25" s="1373"/>
      <c r="O25" s="1028"/>
      <c r="P25" s="1049"/>
    </row>
    <row r="26" spans="1:16" ht="15" customHeight="1" x14ac:dyDescent="0.35">
      <c r="A26" s="1046"/>
      <c r="B26" s="345" t="s">
        <v>1692</v>
      </c>
      <c r="C26" s="97">
        <f t="shared" ref="C26:H26" si="8">SUM(C27:C29)</f>
        <v>0</v>
      </c>
      <c r="D26" s="30">
        <f t="shared" si="8"/>
        <v>0</v>
      </c>
      <c r="E26" s="30">
        <f t="shared" si="8"/>
        <v>0</v>
      </c>
      <c r="F26" s="30">
        <f t="shared" si="8"/>
        <v>0</v>
      </c>
      <c r="G26" s="30">
        <f t="shared" si="8"/>
        <v>0</v>
      </c>
      <c r="H26" s="1065">
        <f t="shared" si="8"/>
        <v>0</v>
      </c>
      <c r="I26" s="987">
        <f>SUM(I27:I28)</f>
        <v>2629522</v>
      </c>
      <c r="J26" s="30">
        <f t="shared" ref="J26:N26" si="9">SUM(J27:J28)</f>
        <v>1608789</v>
      </c>
      <c r="K26" s="30">
        <f t="shared" si="9"/>
        <v>5840876</v>
      </c>
      <c r="L26" s="30">
        <f t="shared" si="9"/>
        <v>0</v>
      </c>
      <c r="M26" s="30">
        <f t="shared" si="9"/>
        <v>0</v>
      </c>
      <c r="N26" s="9">
        <f t="shared" si="9"/>
        <v>5359016</v>
      </c>
      <c r="O26" s="1028"/>
      <c r="P26" s="1049"/>
    </row>
    <row r="27" spans="1:16" ht="15" customHeight="1" x14ac:dyDescent="0.35">
      <c r="A27" s="1046"/>
      <c r="B27" s="165" t="s">
        <v>1703</v>
      </c>
      <c r="C27" s="33">
        <v>0</v>
      </c>
      <c r="D27" s="23">
        <v>0</v>
      </c>
      <c r="E27" s="23">
        <v>0</v>
      </c>
      <c r="F27" s="23">
        <v>0</v>
      </c>
      <c r="G27" s="23">
        <v>0</v>
      </c>
      <c r="H27" s="1021">
        <v>0</v>
      </c>
      <c r="I27" s="1020">
        <v>2629522</v>
      </c>
      <c r="J27" s="23">
        <v>1608789</v>
      </c>
      <c r="K27" s="23">
        <v>5840876</v>
      </c>
      <c r="L27" s="23">
        <v>0</v>
      </c>
      <c r="M27" s="23">
        <v>0</v>
      </c>
      <c r="N27" s="34">
        <v>5359016</v>
      </c>
      <c r="O27" s="1028"/>
      <c r="P27" s="1049"/>
    </row>
    <row r="28" spans="1:16" ht="15" customHeight="1" x14ac:dyDescent="0.35">
      <c r="A28" s="1046"/>
      <c r="B28" s="165" t="s">
        <v>1704</v>
      </c>
      <c r="C28" s="33">
        <v>0</v>
      </c>
      <c r="D28" s="23">
        <v>0</v>
      </c>
      <c r="E28" s="23">
        <v>0</v>
      </c>
      <c r="F28" s="23">
        <v>0</v>
      </c>
      <c r="G28" s="23">
        <v>0</v>
      </c>
      <c r="H28" s="1021">
        <v>0</v>
      </c>
      <c r="I28" s="1020">
        <v>0</v>
      </c>
      <c r="J28" s="23">
        <v>0</v>
      </c>
      <c r="K28" s="23">
        <v>0</v>
      </c>
      <c r="L28" s="23">
        <v>0</v>
      </c>
      <c r="M28" s="23">
        <v>0</v>
      </c>
      <c r="N28" s="34">
        <v>0</v>
      </c>
      <c r="O28" s="1028"/>
      <c r="P28" s="1049"/>
    </row>
    <row r="29" spans="1:16" ht="15" customHeight="1" x14ac:dyDescent="0.35">
      <c r="A29" s="1046"/>
      <c r="B29" s="165" t="s">
        <v>1705</v>
      </c>
      <c r="C29" s="33">
        <v>0</v>
      </c>
      <c r="D29" s="23">
        <v>0</v>
      </c>
      <c r="E29" s="23">
        <v>0</v>
      </c>
      <c r="F29" s="23">
        <v>0</v>
      </c>
      <c r="G29" s="23">
        <v>0</v>
      </c>
      <c r="H29" s="1021">
        <v>0</v>
      </c>
      <c r="I29" s="3217"/>
      <c r="J29" s="3218"/>
      <c r="K29" s="3218"/>
      <c r="L29" s="3218"/>
      <c r="M29" s="3218"/>
      <c r="N29" s="3219"/>
      <c r="O29" s="1028"/>
      <c r="P29" s="1049"/>
    </row>
    <row r="30" spans="1:16" ht="15" customHeight="1" x14ac:dyDescent="0.35">
      <c r="A30" s="1046"/>
      <c r="B30" s="345" t="s">
        <v>1695</v>
      </c>
      <c r="C30" s="97">
        <f t="shared" ref="C30:H30" si="10">SUM(C31:C33)</f>
        <v>0</v>
      </c>
      <c r="D30" s="30">
        <f t="shared" si="10"/>
        <v>0</v>
      </c>
      <c r="E30" s="30">
        <f t="shared" si="10"/>
        <v>0</v>
      </c>
      <c r="F30" s="30">
        <f t="shared" si="10"/>
        <v>0</v>
      </c>
      <c r="G30" s="30">
        <f t="shared" si="10"/>
        <v>0</v>
      </c>
      <c r="H30" s="1065">
        <f t="shared" si="10"/>
        <v>0</v>
      </c>
      <c r="I30" s="987">
        <f>SUM(I31:I32)</f>
        <v>0</v>
      </c>
      <c r="J30" s="30">
        <f t="shared" ref="J30:N30" si="11">SUM(J31:J32)</f>
        <v>0</v>
      </c>
      <c r="K30" s="30">
        <f t="shared" si="11"/>
        <v>3380694.4258499998</v>
      </c>
      <c r="L30" s="30">
        <f t="shared" si="11"/>
        <v>0</v>
      </c>
      <c r="M30" s="30">
        <f t="shared" si="11"/>
        <v>0</v>
      </c>
      <c r="N30" s="9">
        <f t="shared" si="11"/>
        <v>0</v>
      </c>
      <c r="O30" s="1028"/>
      <c r="P30" s="1049"/>
    </row>
    <row r="31" spans="1:16" ht="15" customHeight="1" x14ac:dyDescent="0.35">
      <c r="A31" s="1046"/>
      <c r="B31" s="165" t="s">
        <v>1703</v>
      </c>
      <c r="C31" s="33">
        <v>0</v>
      </c>
      <c r="D31" s="23">
        <v>0</v>
      </c>
      <c r="E31" s="23">
        <v>0</v>
      </c>
      <c r="F31" s="23">
        <v>0</v>
      </c>
      <c r="G31" s="23">
        <v>0</v>
      </c>
      <c r="H31" s="1021">
        <v>0</v>
      </c>
      <c r="I31" s="1020">
        <v>0</v>
      </c>
      <c r="J31" s="23">
        <v>0</v>
      </c>
      <c r="K31" s="23">
        <v>0</v>
      </c>
      <c r="L31" s="23">
        <v>0</v>
      </c>
      <c r="M31" s="23">
        <v>0</v>
      </c>
      <c r="N31" s="34">
        <v>0</v>
      </c>
      <c r="O31" s="1028"/>
      <c r="P31" s="1049"/>
    </row>
    <row r="32" spans="1:16" ht="15" customHeight="1" x14ac:dyDescent="0.35">
      <c r="A32" s="1046"/>
      <c r="B32" s="165" t="s">
        <v>1704</v>
      </c>
      <c r="C32" s="33">
        <v>0</v>
      </c>
      <c r="D32" s="23">
        <v>0</v>
      </c>
      <c r="E32" s="23">
        <v>0</v>
      </c>
      <c r="F32" s="23">
        <v>0</v>
      </c>
      <c r="G32" s="23">
        <v>0</v>
      </c>
      <c r="H32" s="1021">
        <v>0</v>
      </c>
      <c r="I32" s="1020">
        <v>0</v>
      </c>
      <c r="J32" s="23">
        <v>0</v>
      </c>
      <c r="K32" s="23">
        <v>3380694.4258499998</v>
      </c>
      <c r="L32" s="23">
        <v>0</v>
      </c>
      <c r="M32" s="23">
        <v>0</v>
      </c>
      <c r="N32" s="34">
        <v>0</v>
      </c>
      <c r="O32" s="1028"/>
      <c r="P32" s="1049"/>
    </row>
    <row r="33" spans="1:16" ht="15" customHeight="1" x14ac:dyDescent="0.35">
      <c r="A33" s="1046"/>
      <c r="B33" s="165" t="s">
        <v>1705</v>
      </c>
      <c r="C33" s="33">
        <v>0</v>
      </c>
      <c r="D33" s="23">
        <v>0</v>
      </c>
      <c r="E33" s="23">
        <v>0</v>
      </c>
      <c r="F33" s="23">
        <v>0</v>
      </c>
      <c r="G33" s="23">
        <v>0</v>
      </c>
      <c r="H33" s="1021">
        <v>0</v>
      </c>
      <c r="I33" s="3220"/>
      <c r="J33" s="3221"/>
      <c r="K33" s="3221"/>
      <c r="L33" s="3221"/>
      <c r="M33" s="3221"/>
      <c r="N33" s="3222"/>
      <c r="O33" s="1028"/>
      <c r="P33" s="1049"/>
    </row>
    <row r="34" spans="1:16" ht="15" customHeight="1" x14ac:dyDescent="0.35">
      <c r="A34" s="1046"/>
      <c r="B34" s="345" t="s">
        <v>1706</v>
      </c>
      <c r="C34" s="97">
        <f t="shared" ref="C34:H34" si="12">SUM(C35:C38)</f>
        <v>0</v>
      </c>
      <c r="D34" s="30">
        <f t="shared" si="12"/>
        <v>0</v>
      </c>
      <c r="E34" s="30">
        <f t="shared" si="12"/>
        <v>150117</v>
      </c>
      <c r="F34" s="30">
        <f t="shared" si="12"/>
        <v>0</v>
      </c>
      <c r="G34" s="30">
        <f t="shared" si="12"/>
        <v>0</v>
      </c>
      <c r="H34" s="1065">
        <f t="shared" si="12"/>
        <v>0</v>
      </c>
      <c r="I34" s="987">
        <f>SUM(I35:I37)</f>
        <v>0</v>
      </c>
      <c r="J34" s="30">
        <f t="shared" ref="J34:N34" si="13">SUM(J35:J37)</f>
        <v>0</v>
      </c>
      <c r="K34" s="30">
        <f t="shared" si="13"/>
        <v>150117</v>
      </c>
      <c r="L34" s="30">
        <f t="shared" si="13"/>
        <v>0</v>
      </c>
      <c r="M34" s="30">
        <f t="shared" si="13"/>
        <v>0</v>
      </c>
      <c r="N34" s="9">
        <f t="shared" si="13"/>
        <v>0</v>
      </c>
      <c r="O34" s="1028"/>
      <c r="P34" s="1049"/>
    </row>
    <row r="35" spans="1:16" ht="15" customHeight="1" x14ac:dyDescent="0.35">
      <c r="A35" s="1046"/>
      <c r="B35" s="165" t="s">
        <v>1707</v>
      </c>
      <c r="C35" s="33">
        <v>0</v>
      </c>
      <c r="D35" s="23">
        <v>0</v>
      </c>
      <c r="E35" s="23">
        <v>0</v>
      </c>
      <c r="F35" s="23">
        <v>0</v>
      </c>
      <c r="G35" s="23">
        <v>0</v>
      </c>
      <c r="H35" s="1021">
        <v>0</v>
      </c>
      <c r="I35" s="1020">
        <v>0</v>
      </c>
      <c r="J35" s="23">
        <v>0</v>
      </c>
      <c r="K35" s="23">
        <v>0</v>
      </c>
      <c r="L35" s="23">
        <v>0</v>
      </c>
      <c r="M35" s="23">
        <v>0</v>
      </c>
      <c r="N35" s="34">
        <v>0</v>
      </c>
      <c r="O35" s="1028"/>
      <c r="P35" s="1049"/>
    </row>
    <row r="36" spans="1:16" ht="15" customHeight="1" x14ac:dyDescent="0.35">
      <c r="A36" s="1046"/>
      <c r="B36" s="165" t="s">
        <v>1708</v>
      </c>
      <c r="C36" s="33">
        <v>0</v>
      </c>
      <c r="D36" s="23">
        <v>0</v>
      </c>
      <c r="E36" s="23">
        <v>150117</v>
      </c>
      <c r="F36" s="23">
        <v>0</v>
      </c>
      <c r="G36" s="23">
        <v>0</v>
      </c>
      <c r="H36" s="1021">
        <v>0</v>
      </c>
      <c r="I36" s="1020">
        <v>0</v>
      </c>
      <c r="J36" s="23">
        <v>0</v>
      </c>
      <c r="K36" s="23">
        <v>150117</v>
      </c>
      <c r="L36" s="23">
        <v>0</v>
      </c>
      <c r="M36" s="23">
        <v>0</v>
      </c>
      <c r="N36" s="34">
        <v>0</v>
      </c>
      <c r="O36" s="1028"/>
      <c r="P36" s="1049"/>
    </row>
    <row r="37" spans="1:16" ht="15" customHeight="1" x14ac:dyDescent="0.35">
      <c r="A37" s="1046"/>
      <c r="B37" s="165" t="s">
        <v>1709</v>
      </c>
      <c r="C37" s="33">
        <v>0</v>
      </c>
      <c r="D37" s="23">
        <v>0</v>
      </c>
      <c r="E37" s="23">
        <v>0</v>
      </c>
      <c r="F37" s="23">
        <v>0</v>
      </c>
      <c r="G37" s="23">
        <v>0</v>
      </c>
      <c r="H37" s="1021">
        <v>0</v>
      </c>
      <c r="I37" s="1020">
        <v>0</v>
      </c>
      <c r="J37" s="23">
        <v>0</v>
      </c>
      <c r="K37" s="23">
        <v>0</v>
      </c>
      <c r="L37" s="23">
        <v>0</v>
      </c>
      <c r="M37" s="23">
        <v>0</v>
      </c>
      <c r="N37" s="34">
        <v>0</v>
      </c>
      <c r="O37" s="1028"/>
      <c r="P37" s="1049"/>
    </row>
    <row r="38" spans="1:16" ht="15" customHeight="1" x14ac:dyDescent="0.35">
      <c r="A38" s="1046"/>
      <c r="B38" s="165" t="s">
        <v>1710</v>
      </c>
      <c r="C38" s="33">
        <v>0</v>
      </c>
      <c r="D38" s="23">
        <v>0</v>
      </c>
      <c r="E38" s="23">
        <v>0</v>
      </c>
      <c r="F38" s="23">
        <v>0</v>
      </c>
      <c r="G38" s="23">
        <v>0</v>
      </c>
      <c r="H38" s="1021">
        <v>0</v>
      </c>
      <c r="I38" s="3217"/>
      <c r="J38" s="3218"/>
      <c r="K38" s="3218"/>
      <c r="L38" s="3218"/>
      <c r="M38" s="3218"/>
      <c r="N38" s="3219"/>
      <c r="O38" s="1028"/>
      <c r="P38" s="1049"/>
    </row>
    <row r="39" spans="1:16" ht="15" customHeight="1" x14ac:dyDescent="0.35">
      <c r="A39" s="1046"/>
      <c r="B39" s="345" t="s">
        <v>1697</v>
      </c>
      <c r="C39" s="97">
        <f t="shared" ref="C39:H39" si="14">SUM(C40:C42)</f>
        <v>0</v>
      </c>
      <c r="D39" s="30">
        <f t="shared" si="14"/>
        <v>0</v>
      </c>
      <c r="E39" s="30">
        <f t="shared" si="14"/>
        <v>0</v>
      </c>
      <c r="F39" s="30">
        <f t="shared" si="14"/>
        <v>0</v>
      </c>
      <c r="G39" s="30">
        <f t="shared" si="14"/>
        <v>0</v>
      </c>
      <c r="H39" s="1065">
        <f t="shared" si="14"/>
        <v>0</v>
      </c>
      <c r="I39" s="987">
        <f>SUM(I40:I41)</f>
        <v>226510</v>
      </c>
      <c r="J39" s="30">
        <f t="shared" ref="J39:N39" si="15">SUM(J40:J41)</f>
        <v>0</v>
      </c>
      <c r="K39" s="30">
        <f t="shared" si="15"/>
        <v>0</v>
      </c>
      <c r="L39" s="30">
        <f t="shared" si="15"/>
        <v>0</v>
      </c>
      <c r="M39" s="30">
        <f t="shared" si="15"/>
        <v>0</v>
      </c>
      <c r="N39" s="9">
        <f t="shared" si="15"/>
        <v>0</v>
      </c>
      <c r="O39" s="1028"/>
      <c r="P39" s="1049"/>
    </row>
    <row r="40" spans="1:16" ht="15" customHeight="1" x14ac:dyDescent="0.35">
      <c r="A40" s="1046"/>
      <c r="B40" s="165" t="s">
        <v>1711</v>
      </c>
      <c r="C40" s="33">
        <v>0</v>
      </c>
      <c r="D40" s="23">
        <v>0</v>
      </c>
      <c r="E40" s="23">
        <v>0</v>
      </c>
      <c r="F40" s="23">
        <v>0</v>
      </c>
      <c r="G40" s="23">
        <v>0</v>
      </c>
      <c r="H40" s="1021">
        <v>0</v>
      </c>
      <c r="I40" s="1020">
        <v>226510</v>
      </c>
      <c r="J40" s="23">
        <v>0</v>
      </c>
      <c r="K40" s="23">
        <v>0</v>
      </c>
      <c r="L40" s="23">
        <v>0</v>
      </c>
      <c r="M40" s="23">
        <v>0</v>
      </c>
      <c r="N40" s="34">
        <v>0</v>
      </c>
      <c r="O40" s="1028"/>
      <c r="P40" s="1049"/>
    </row>
    <row r="41" spans="1:16" ht="15" customHeight="1" x14ac:dyDescent="0.35">
      <c r="A41" s="1046"/>
      <c r="B41" s="165" t="s">
        <v>1712</v>
      </c>
      <c r="C41" s="33">
        <v>0</v>
      </c>
      <c r="D41" s="23">
        <v>0</v>
      </c>
      <c r="E41" s="23">
        <v>0</v>
      </c>
      <c r="F41" s="23">
        <v>0</v>
      </c>
      <c r="G41" s="23">
        <v>0</v>
      </c>
      <c r="H41" s="1021">
        <v>0</v>
      </c>
      <c r="I41" s="1020">
        <v>0</v>
      </c>
      <c r="J41" s="23">
        <v>0</v>
      </c>
      <c r="K41" s="23">
        <v>0</v>
      </c>
      <c r="L41" s="23">
        <v>0</v>
      </c>
      <c r="M41" s="23">
        <v>0</v>
      </c>
      <c r="N41" s="34">
        <v>0</v>
      </c>
      <c r="O41" s="1028"/>
      <c r="P41" s="1049"/>
    </row>
    <row r="42" spans="1:16" ht="15" customHeight="1" x14ac:dyDescent="0.35">
      <c r="A42" s="1046"/>
      <c r="B42" s="1063" t="s">
        <v>1713</v>
      </c>
      <c r="C42" s="271">
        <v>0</v>
      </c>
      <c r="D42" s="18">
        <v>0</v>
      </c>
      <c r="E42" s="18">
        <v>0</v>
      </c>
      <c r="F42" s="18">
        <v>0</v>
      </c>
      <c r="G42" s="18">
        <v>0</v>
      </c>
      <c r="H42" s="1025">
        <v>0</v>
      </c>
      <c r="I42" s="3223"/>
      <c r="J42" s="3224"/>
      <c r="K42" s="3224"/>
      <c r="L42" s="3224"/>
      <c r="M42" s="3224"/>
      <c r="N42" s="3225"/>
      <c r="O42" s="1028"/>
      <c r="P42" s="1049"/>
    </row>
    <row r="43" spans="1:16" ht="15" customHeight="1" x14ac:dyDescent="0.35">
      <c r="A43" s="1046"/>
      <c r="B43" s="474" t="s">
        <v>1714</v>
      </c>
      <c r="C43" s="589"/>
      <c r="D43" s="792"/>
      <c r="E43" s="792"/>
      <c r="F43" s="792"/>
      <c r="G43" s="792"/>
      <c r="H43" s="1064"/>
      <c r="I43" s="1062"/>
      <c r="J43" s="792"/>
      <c r="K43" s="792"/>
      <c r="L43" s="792"/>
      <c r="M43" s="792"/>
      <c r="N43" s="1373"/>
      <c r="O43" s="1028"/>
      <c r="P43" s="1049"/>
    </row>
    <row r="44" spans="1:16" ht="15" customHeight="1" x14ac:dyDescent="0.35">
      <c r="A44" s="1046"/>
      <c r="B44" s="345" t="s">
        <v>1715</v>
      </c>
      <c r="C44" s="97">
        <f t="shared" ref="C44:N44" si="16">SUM(C45:C48)</f>
        <v>0</v>
      </c>
      <c r="D44" s="30">
        <f t="shared" si="16"/>
        <v>0</v>
      </c>
      <c r="E44" s="30">
        <f t="shared" si="16"/>
        <v>0</v>
      </c>
      <c r="F44" s="30">
        <f t="shared" si="16"/>
        <v>0</v>
      </c>
      <c r="G44" s="30">
        <f t="shared" si="16"/>
        <v>0</v>
      </c>
      <c r="H44" s="1065">
        <f t="shared" si="16"/>
        <v>0</v>
      </c>
      <c r="I44" s="987">
        <f t="shared" si="16"/>
        <v>0</v>
      </c>
      <c r="J44" s="30">
        <f t="shared" si="16"/>
        <v>0</v>
      </c>
      <c r="K44" s="30">
        <f t="shared" si="16"/>
        <v>0</v>
      </c>
      <c r="L44" s="30">
        <f t="shared" si="16"/>
        <v>0</v>
      </c>
      <c r="M44" s="30">
        <f t="shared" si="16"/>
        <v>0</v>
      </c>
      <c r="N44" s="9">
        <f t="shared" si="16"/>
        <v>0</v>
      </c>
      <c r="O44" s="1028"/>
      <c r="P44" s="1049"/>
    </row>
    <row r="45" spans="1:16" ht="15" customHeight="1" x14ac:dyDescent="0.35">
      <c r="A45" s="1046"/>
      <c r="B45" s="165" t="s">
        <v>1716</v>
      </c>
      <c r="C45" s="33">
        <v>0</v>
      </c>
      <c r="D45" s="23">
        <v>0</v>
      </c>
      <c r="E45" s="23">
        <v>0</v>
      </c>
      <c r="F45" s="23">
        <v>0</v>
      </c>
      <c r="G45" s="23">
        <v>0</v>
      </c>
      <c r="H45" s="1021">
        <v>0</v>
      </c>
      <c r="I45" s="1020">
        <v>0</v>
      </c>
      <c r="J45" s="23">
        <v>0</v>
      </c>
      <c r="K45" s="23">
        <v>0</v>
      </c>
      <c r="L45" s="23">
        <v>0</v>
      </c>
      <c r="M45" s="23">
        <v>0</v>
      </c>
      <c r="N45" s="34">
        <v>0</v>
      </c>
      <c r="O45" s="1028"/>
      <c r="P45" s="1049"/>
    </row>
    <row r="46" spans="1:16" ht="15" customHeight="1" x14ac:dyDescent="0.35">
      <c r="A46" s="1046"/>
      <c r="B46" s="165" t="s">
        <v>1717</v>
      </c>
      <c r="C46" s="33">
        <v>0</v>
      </c>
      <c r="D46" s="23">
        <v>0</v>
      </c>
      <c r="E46" s="23">
        <v>0</v>
      </c>
      <c r="F46" s="23">
        <v>0</v>
      </c>
      <c r="G46" s="23">
        <v>0</v>
      </c>
      <c r="H46" s="1021">
        <v>0</v>
      </c>
      <c r="I46" s="1020">
        <v>0</v>
      </c>
      <c r="J46" s="23">
        <v>0</v>
      </c>
      <c r="K46" s="23">
        <v>0</v>
      </c>
      <c r="L46" s="23">
        <v>0</v>
      </c>
      <c r="M46" s="23">
        <v>0</v>
      </c>
      <c r="N46" s="34">
        <v>0</v>
      </c>
      <c r="O46" s="1028"/>
      <c r="P46" s="1049"/>
    </row>
    <row r="47" spans="1:16" ht="15" customHeight="1" x14ac:dyDescent="0.35">
      <c r="A47" s="1046"/>
      <c r="B47" s="165" t="s">
        <v>1718</v>
      </c>
      <c r="C47" s="33">
        <v>0</v>
      </c>
      <c r="D47" s="23">
        <v>0</v>
      </c>
      <c r="E47" s="23">
        <v>0</v>
      </c>
      <c r="F47" s="23">
        <v>0</v>
      </c>
      <c r="G47" s="23">
        <v>0</v>
      </c>
      <c r="H47" s="1021">
        <v>0</v>
      </c>
      <c r="I47" s="1020">
        <v>0</v>
      </c>
      <c r="J47" s="23">
        <v>0</v>
      </c>
      <c r="K47" s="23">
        <v>0</v>
      </c>
      <c r="L47" s="23">
        <v>0</v>
      </c>
      <c r="M47" s="23">
        <v>0</v>
      </c>
      <c r="N47" s="34">
        <v>0</v>
      </c>
      <c r="O47" s="1028"/>
      <c r="P47" s="1049"/>
    </row>
    <row r="48" spans="1:16" ht="15" customHeight="1" x14ac:dyDescent="0.35">
      <c r="A48" s="1046"/>
      <c r="B48" s="165" t="s">
        <v>1719</v>
      </c>
      <c r="C48" s="33">
        <v>0</v>
      </c>
      <c r="D48" s="23">
        <v>0</v>
      </c>
      <c r="E48" s="23">
        <v>0</v>
      </c>
      <c r="F48" s="23">
        <v>0</v>
      </c>
      <c r="G48" s="23">
        <v>0</v>
      </c>
      <c r="H48" s="1021">
        <v>0</v>
      </c>
      <c r="I48" s="1020">
        <v>0</v>
      </c>
      <c r="J48" s="23">
        <v>0</v>
      </c>
      <c r="K48" s="23">
        <v>0</v>
      </c>
      <c r="L48" s="23">
        <v>0</v>
      </c>
      <c r="M48" s="23">
        <v>0</v>
      </c>
      <c r="N48" s="34">
        <v>0</v>
      </c>
      <c r="O48" s="1028"/>
      <c r="P48" s="1049"/>
    </row>
    <row r="49" spans="1:16" ht="15" customHeight="1" x14ac:dyDescent="0.35">
      <c r="A49" s="1046"/>
      <c r="B49" s="345" t="s">
        <v>1720</v>
      </c>
      <c r="C49" s="97">
        <f t="shared" ref="C49:N49" si="17">SUM(C50:C51)</f>
        <v>0</v>
      </c>
      <c r="D49" s="30">
        <f t="shared" si="17"/>
        <v>0</v>
      </c>
      <c r="E49" s="30">
        <f t="shared" si="17"/>
        <v>0</v>
      </c>
      <c r="F49" s="30">
        <f t="shared" si="17"/>
        <v>0</v>
      </c>
      <c r="G49" s="30">
        <f t="shared" si="17"/>
        <v>0</v>
      </c>
      <c r="H49" s="1065">
        <f t="shared" si="17"/>
        <v>0</v>
      </c>
      <c r="I49" s="987">
        <f t="shared" si="17"/>
        <v>0</v>
      </c>
      <c r="J49" s="30">
        <f t="shared" si="17"/>
        <v>0</v>
      </c>
      <c r="K49" s="30">
        <f t="shared" si="17"/>
        <v>0</v>
      </c>
      <c r="L49" s="30">
        <f t="shared" si="17"/>
        <v>0</v>
      </c>
      <c r="M49" s="30">
        <f t="shared" si="17"/>
        <v>0</v>
      </c>
      <c r="N49" s="9">
        <f t="shared" si="17"/>
        <v>0</v>
      </c>
      <c r="O49" s="1028"/>
      <c r="P49" s="1049"/>
    </row>
    <row r="50" spans="1:16" ht="15" customHeight="1" x14ac:dyDescent="0.35">
      <c r="A50" s="1046"/>
      <c r="B50" s="165" t="s">
        <v>1721</v>
      </c>
      <c r="C50" s="33">
        <v>0</v>
      </c>
      <c r="D50" s="23">
        <v>0</v>
      </c>
      <c r="E50" s="23">
        <v>0</v>
      </c>
      <c r="F50" s="23">
        <v>0</v>
      </c>
      <c r="G50" s="23">
        <v>0</v>
      </c>
      <c r="H50" s="1021">
        <v>0</v>
      </c>
      <c r="I50" s="1020">
        <v>0</v>
      </c>
      <c r="J50" s="23">
        <v>0</v>
      </c>
      <c r="K50" s="23">
        <v>0</v>
      </c>
      <c r="L50" s="23">
        <v>0</v>
      </c>
      <c r="M50" s="23">
        <v>0</v>
      </c>
      <c r="N50" s="34">
        <v>0</v>
      </c>
      <c r="O50" s="1028"/>
      <c r="P50" s="1049"/>
    </row>
    <row r="51" spans="1:16" ht="15" customHeight="1" x14ac:dyDescent="0.35">
      <c r="A51" s="1046"/>
      <c r="B51" s="1063" t="s">
        <v>1722</v>
      </c>
      <c r="C51" s="271">
        <v>0</v>
      </c>
      <c r="D51" s="18">
        <v>0</v>
      </c>
      <c r="E51" s="18">
        <v>0</v>
      </c>
      <c r="F51" s="18">
        <v>0</v>
      </c>
      <c r="G51" s="18">
        <v>0</v>
      </c>
      <c r="H51" s="1025">
        <v>0</v>
      </c>
      <c r="I51" s="1024">
        <v>0</v>
      </c>
      <c r="J51" s="18">
        <v>0</v>
      </c>
      <c r="K51" s="18">
        <v>0</v>
      </c>
      <c r="L51" s="18">
        <v>0</v>
      </c>
      <c r="M51" s="18">
        <v>0</v>
      </c>
      <c r="N51" s="72">
        <v>0</v>
      </c>
      <c r="O51" s="1028"/>
      <c r="P51" s="1049"/>
    </row>
    <row r="52" spans="1:16" ht="15" customHeight="1" x14ac:dyDescent="0.35">
      <c r="A52" s="1046"/>
      <c r="B52" s="1044"/>
      <c r="C52" s="673">
        <f t="shared" ref="C52:N52" si="18">SUM(C26+C30+C34+C39+C44+C49)</f>
        <v>0</v>
      </c>
      <c r="D52" s="673">
        <f t="shared" si="18"/>
        <v>0</v>
      </c>
      <c r="E52" s="673">
        <f t="shared" si="18"/>
        <v>150117</v>
      </c>
      <c r="F52" s="673">
        <f t="shared" si="18"/>
        <v>0</v>
      </c>
      <c r="G52" s="673">
        <f t="shared" si="18"/>
        <v>0</v>
      </c>
      <c r="H52" s="1372">
        <f t="shared" si="18"/>
        <v>0</v>
      </c>
      <c r="I52" s="1076">
        <f t="shared" si="18"/>
        <v>2856032</v>
      </c>
      <c r="J52" s="673">
        <f t="shared" si="18"/>
        <v>1608789</v>
      </c>
      <c r="K52" s="673">
        <f t="shared" si="18"/>
        <v>9371687.4258500002</v>
      </c>
      <c r="L52" s="673">
        <f t="shared" si="18"/>
        <v>0</v>
      </c>
      <c r="M52" s="673">
        <f t="shared" si="18"/>
        <v>0</v>
      </c>
      <c r="N52" s="1372">
        <f t="shared" si="18"/>
        <v>5359016</v>
      </c>
      <c r="O52" s="1028"/>
      <c r="P52" s="1049"/>
    </row>
    <row r="53" spans="1:16" ht="15" customHeight="1" x14ac:dyDescent="0.35">
      <c r="A53" s="1052"/>
      <c r="B53" s="1835"/>
      <c r="C53" s="278"/>
      <c r="D53" s="278"/>
      <c r="E53" s="278"/>
      <c r="F53" s="278"/>
      <c r="G53" s="1835"/>
      <c r="H53" s="278"/>
      <c r="I53" s="1835"/>
      <c r="J53" s="1835"/>
      <c r="K53" s="278"/>
      <c r="L53" s="1035"/>
      <c r="M53" s="1036"/>
      <c r="N53" s="278"/>
      <c r="O53" s="1042"/>
      <c r="P53" s="1053"/>
    </row>
    <row r="54" spans="1:16" ht="45" customHeight="1" x14ac:dyDescent="0.35">
      <c r="A54" s="1018" t="s">
        <v>1723</v>
      </c>
      <c r="B54" s="846"/>
      <c r="C54" s="85"/>
      <c r="D54" s="85"/>
      <c r="E54" s="85"/>
      <c r="F54" s="85"/>
      <c r="G54" s="85"/>
      <c r="H54" s="85"/>
      <c r="I54" s="85"/>
      <c r="J54" s="1031"/>
      <c r="K54" s="1032"/>
      <c r="L54" s="85"/>
      <c r="M54" s="85"/>
      <c r="N54" s="85"/>
      <c r="O54" s="1041"/>
      <c r="P54" s="1050"/>
    </row>
    <row r="55" spans="1:16" ht="15" customHeight="1" x14ac:dyDescent="0.35">
      <c r="A55" s="1046"/>
      <c r="B55" s="1037"/>
      <c r="C55" s="2566" t="s">
        <v>1724</v>
      </c>
      <c r="D55" s="2566"/>
      <c r="E55" s="2729"/>
      <c r="F55" s="2710" t="s">
        <v>1725</v>
      </c>
      <c r="G55" s="2566"/>
      <c r="H55" s="2729"/>
      <c r="I55" s="2710" t="s">
        <v>1726</v>
      </c>
      <c r="J55" s="2566"/>
      <c r="K55" s="3226"/>
      <c r="P55" s="1049"/>
    </row>
    <row r="56" spans="1:16" ht="75" customHeight="1" x14ac:dyDescent="0.35">
      <c r="A56" s="1046"/>
      <c r="B56" s="1654"/>
      <c r="C56" s="760" t="s">
        <v>59</v>
      </c>
      <c r="D56" s="1056" t="s">
        <v>1727</v>
      </c>
      <c r="E56" s="1073" t="s">
        <v>1728</v>
      </c>
      <c r="F56" s="1510" t="s">
        <v>59</v>
      </c>
      <c r="G56" s="1056" t="s">
        <v>1727</v>
      </c>
      <c r="H56" s="1073" t="s">
        <v>1728</v>
      </c>
      <c r="I56" s="1510" t="s">
        <v>59</v>
      </c>
      <c r="J56" s="1056" t="s">
        <v>1727</v>
      </c>
      <c r="K56" s="1074" t="s">
        <v>1728</v>
      </c>
      <c r="L56" s="1028"/>
      <c r="P56" s="1049"/>
    </row>
    <row r="57" spans="1:16" ht="15" customHeight="1" x14ac:dyDescent="0.35">
      <c r="A57" s="1046"/>
      <c r="B57" s="1655" t="s">
        <v>1729</v>
      </c>
      <c r="C57" s="726">
        <f t="shared" ref="C57:C88" si="19">SUM(D57:E57)</f>
        <v>0</v>
      </c>
      <c r="D57" s="33">
        <v>0</v>
      </c>
      <c r="E57" s="1021">
        <v>0</v>
      </c>
      <c r="F57" s="985">
        <f t="shared" ref="F57:F88" si="20">SUM(G57:H57)</f>
        <v>0</v>
      </c>
      <c r="G57" s="2550">
        <v>0</v>
      </c>
      <c r="H57" s="2550">
        <v>0</v>
      </c>
      <c r="I57" s="985">
        <f t="shared" ref="I57:I88" si="21">SUM(J57:K57)</f>
        <v>0</v>
      </c>
      <c r="J57" s="33">
        <v>0</v>
      </c>
      <c r="K57" s="1038">
        <v>0</v>
      </c>
      <c r="P57" s="1049"/>
    </row>
    <row r="58" spans="1:16" ht="15" customHeight="1" x14ac:dyDescent="0.35">
      <c r="A58" s="1046"/>
      <c r="B58" s="339" t="s">
        <v>1730</v>
      </c>
      <c r="C58" s="97">
        <f t="shared" si="19"/>
        <v>0</v>
      </c>
      <c r="D58" s="33">
        <v>0</v>
      </c>
      <c r="E58" s="1021">
        <v>0</v>
      </c>
      <c r="F58" s="987">
        <f t="shared" si="20"/>
        <v>0</v>
      </c>
      <c r="G58" s="2550">
        <v>0</v>
      </c>
      <c r="H58" s="2551">
        <v>0</v>
      </c>
      <c r="I58" s="987">
        <f t="shared" si="21"/>
        <v>0</v>
      </c>
      <c r="J58" s="33">
        <v>0</v>
      </c>
      <c r="K58" s="1038">
        <v>0</v>
      </c>
      <c r="P58" s="1049"/>
    </row>
    <row r="59" spans="1:16" ht="15" customHeight="1" x14ac:dyDescent="0.35">
      <c r="A59" s="1046"/>
      <c r="B59" s="339" t="s">
        <v>1731</v>
      </c>
      <c r="C59" s="97">
        <f t="shared" si="19"/>
        <v>384551</v>
      </c>
      <c r="D59" s="33">
        <v>384551</v>
      </c>
      <c r="E59" s="1021">
        <v>0</v>
      </c>
      <c r="F59" s="987">
        <f t="shared" si="20"/>
        <v>0</v>
      </c>
      <c r="G59" s="2550">
        <v>0</v>
      </c>
      <c r="H59" s="2551">
        <v>0</v>
      </c>
      <c r="I59" s="987">
        <f t="shared" si="21"/>
        <v>0</v>
      </c>
      <c r="J59" s="33">
        <v>0</v>
      </c>
      <c r="K59" s="1038">
        <v>0</v>
      </c>
      <c r="P59" s="1049"/>
    </row>
    <row r="60" spans="1:16" ht="15" customHeight="1" x14ac:dyDescent="0.35">
      <c r="A60" s="1046"/>
      <c r="B60" s="339" t="s">
        <v>1732</v>
      </c>
      <c r="C60" s="97">
        <f t="shared" si="19"/>
        <v>0</v>
      </c>
      <c r="D60" s="33">
        <v>0</v>
      </c>
      <c r="E60" s="1021">
        <v>0</v>
      </c>
      <c r="F60" s="987">
        <f t="shared" si="20"/>
        <v>0</v>
      </c>
      <c r="G60" s="2550">
        <v>0</v>
      </c>
      <c r="H60" s="2551">
        <v>0</v>
      </c>
      <c r="I60" s="987">
        <f t="shared" si="21"/>
        <v>0</v>
      </c>
      <c r="J60" s="33">
        <v>0</v>
      </c>
      <c r="K60" s="1038">
        <v>0</v>
      </c>
      <c r="P60" s="1049"/>
    </row>
    <row r="61" spans="1:16" ht="15" customHeight="1" x14ac:dyDescent="0.35">
      <c r="A61" s="1046"/>
      <c r="B61" s="339" t="s">
        <v>1733</v>
      </c>
      <c r="C61" s="97">
        <f t="shared" si="19"/>
        <v>0</v>
      </c>
      <c r="D61" s="33">
        <v>0</v>
      </c>
      <c r="E61" s="1021">
        <v>0</v>
      </c>
      <c r="F61" s="987">
        <f t="shared" si="20"/>
        <v>0</v>
      </c>
      <c r="G61" s="2550">
        <v>0</v>
      </c>
      <c r="H61" s="2551">
        <v>0</v>
      </c>
      <c r="I61" s="987">
        <f t="shared" si="21"/>
        <v>0</v>
      </c>
      <c r="J61" s="33">
        <v>0</v>
      </c>
      <c r="K61" s="1038">
        <v>0</v>
      </c>
      <c r="P61" s="1049"/>
    </row>
    <row r="62" spans="1:16" ht="15" customHeight="1" x14ac:dyDescent="0.35">
      <c r="A62" s="1046"/>
      <c r="B62" s="339" t="s">
        <v>1734</v>
      </c>
      <c r="C62" s="97">
        <f t="shared" si="19"/>
        <v>0</v>
      </c>
      <c r="D62" s="33">
        <v>0</v>
      </c>
      <c r="E62" s="1021">
        <v>0</v>
      </c>
      <c r="F62" s="987">
        <f t="shared" si="20"/>
        <v>0</v>
      </c>
      <c r="G62" s="2550">
        <v>0</v>
      </c>
      <c r="H62" s="2551">
        <v>0</v>
      </c>
      <c r="I62" s="987">
        <f t="shared" si="21"/>
        <v>0</v>
      </c>
      <c r="J62" s="33">
        <v>0</v>
      </c>
      <c r="K62" s="1038">
        <v>0</v>
      </c>
      <c r="P62" s="1049"/>
    </row>
    <row r="63" spans="1:16" ht="15" customHeight="1" x14ac:dyDescent="0.35">
      <c r="A63" s="1046"/>
      <c r="B63" s="339" t="s">
        <v>1735</v>
      </c>
      <c r="C63" s="97">
        <f t="shared" si="19"/>
        <v>0</v>
      </c>
      <c r="D63" s="33">
        <v>0</v>
      </c>
      <c r="E63" s="1021">
        <v>0</v>
      </c>
      <c r="F63" s="987">
        <f t="shared" si="20"/>
        <v>0</v>
      </c>
      <c r="G63" s="2550">
        <v>0</v>
      </c>
      <c r="H63" s="2551">
        <v>0</v>
      </c>
      <c r="I63" s="987">
        <f t="shared" si="21"/>
        <v>0</v>
      </c>
      <c r="J63" s="33">
        <v>0</v>
      </c>
      <c r="K63" s="1038">
        <v>0</v>
      </c>
      <c r="P63" s="1049"/>
    </row>
    <row r="64" spans="1:16" ht="15" customHeight="1" x14ac:dyDescent="0.35">
      <c r="A64" s="1046"/>
      <c r="B64" s="339" t="s">
        <v>1736</v>
      </c>
      <c r="C64" s="97">
        <f t="shared" si="19"/>
        <v>0</v>
      </c>
      <c r="D64" s="33">
        <v>0</v>
      </c>
      <c r="E64" s="1021">
        <v>0</v>
      </c>
      <c r="F64" s="987">
        <f t="shared" si="20"/>
        <v>0</v>
      </c>
      <c r="G64" s="2550">
        <v>0</v>
      </c>
      <c r="H64" s="2551">
        <v>0</v>
      </c>
      <c r="I64" s="987">
        <f t="shared" si="21"/>
        <v>0</v>
      </c>
      <c r="J64" s="33">
        <v>0</v>
      </c>
      <c r="K64" s="1038">
        <v>0</v>
      </c>
      <c r="P64" s="1049"/>
    </row>
    <row r="65" spans="1:16" ht="15" customHeight="1" x14ac:dyDescent="0.35">
      <c r="A65" s="1046"/>
      <c r="B65" s="339" t="s">
        <v>1737</v>
      </c>
      <c r="C65" s="97">
        <f t="shared" si="19"/>
        <v>419790</v>
      </c>
      <c r="D65" s="33">
        <v>419790</v>
      </c>
      <c r="E65" s="1021">
        <v>0</v>
      </c>
      <c r="F65" s="987">
        <f t="shared" si="20"/>
        <v>0</v>
      </c>
      <c r="G65" s="2550">
        <v>0</v>
      </c>
      <c r="H65" s="2551">
        <v>0</v>
      </c>
      <c r="I65" s="987">
        <f t="shared" si="21"/>
        <v>0</v>
      </c>
      <c r="J65" s="33">
        <v>0</v>
      </c>
      <c r="K65" s="1038">
        <v>0</v>
      </c>
      <c r="P65" s="1049"/>
    </row>
    <row r="66" spans="1:16" ht="15" customHeight="1" x14ac:dyDescent="0.35">
      <c r="A66" s="1046"/>
      <c r="B66" s="339" t="s">
        <v>1738</v>
      </c>
      <c r="C66" s="97">
        <f t="shared" si="19"/>
        <v>0</v>
      </c>
      <c r="D66" s="33">
        <v>0</v>
      </c>
      <c r="E66" s="1021">
        <v>0</v>
      </c>
      <c r="F66" s="987">
        <f t="shared" si="20"/>
        <v>0</v>
      </c>
      <c r="G66" s="2550">
        <v>0</v>
      </c>
      <c r="H66" s="2551">
        <v>0</v>
      </c>
      <c r="I66" s="987">
        <f t="shared" si="21"/>
        <v>0</v>
      </c>
      <c r="J66" s="33">
        <v>0</v>
      </c>
      <c r="K66" s="1038">
        <v>0</v>
      </c>
      <c r="P66" s="1049"/>
    </row>
    <row r="67" spans="1:16" ht="15" customHeight="1" x14ac:dyDescent="0.35">
      <c r="A67" s="1046"/>
      <c r="B67" s="339" t="s">
        <v>1739</v>
      </c>
      <c r="C67" s="97">
        <f t="shared" si="19"/>
        <v>0</v>
      </c>
      <c r="D67" s="33">
        <v>0</v>
      </c>
      <c r="E67" s="1021">
        <v>0</v>
      </c>
      <c r="F67" s="987">
        <f t="shared" si="20"/>
        <v>0</v>
      </c>
      <c r="G67" s="2550">
        <v>0</v>
      </c>
      <c r="H67" s="2551">
        <v>0</v>
      </c>
      <c r="I67" s="987">
        <f t="shared" si="21"/>
        <v>0</v>
      </c>
      <c r="J67" s="33">
        <v>0</v>
      </c>
      <c r="K67" s="1038">
        <v>0</v>
      </c>
      <c r="P67" s="1049"/>
    </row>
    <row r="68" spans="1:16" ht="15" customHeight="1" x14ac:dyDescent="0.35">
      <c r="A68" s="1046"/>
      <c r="B68" s="339" t="s">
        <v>1740</v>
      </c>
      <c r="C68" s="97">
        <f t="shared" si="19"/>
        <v>0</v>
      </c>
      <c r="D68" s="33">
        <v>0</v>
      </c>
      <c r="E68" s="1021">
        <v>0</v>
      </c>
      <c r="F68" s="987">
        <f t="shared" si="20"/>
        <v>0</v>
      </c>
      <c r="G68" s="2550">
        <v>0</v>
      </c>
      <c r="H68" s="2551">
        <v>0</v>
      </c>
      <c r="I68" s="987">
        <f t="shared" si="21"/>
        <v>0</v>
      </c>
      <c r="J68" s="33">
        <v>0</v>
      </c>
      <c r="K68" s="1038">
        <v>0</v>
      </c>
      <c r="P68" s="1049"/>
    </row>
    <row r="69" spans="1:16" ht="15" customHeight="1" x14ac:dyDescent="0.35">
      <c r="A69" s="1046"/>
      <c r="B69" s="339" t="s">
        <v>1741</v>
      </c>
      <c r="C69" s="97">
        <f t="shared" si="19"/>
        <v>0</v>
      </c>
      <c r="D69" s="33">
        <v>0</v>
      </c>
      <c r="E69" s="1021">
        <v>0</v>
      </c>
      <c r="F69" s="987">
        <f t="shared" si="20"/>
        <v>0</v>
      </c>
      <c r="G69" s="2550">
        <v>0</v>
      </c>
      <c r="H69" s="2551">
        <v>0</v>
      </c>
      <c r="I69" s="987">
        <f t="shared" si="21"/>
        <v>0</v>
      </c>
      <c r="J69" s="33">
        <v>0</v>
      </c>
      <c r="K69" s="1038">
        <v>0</v>
      </c>
      <c r="P69" s="1049"/>
    </row>
    <row r="70" spans="1:16" ht="15" customHeight="1" x14ac:dyDescent="0.35">
      <c r="A70" s="1046"/>
      <c r="B70" s="339" t="s">
        <v>1742</v>
      </c>
      <c r="C70" s="97">
        <f t="shared" si="19"/>
        <v>10984205</v>
      </c>
      <c r="D70" s="33">
        <v>246975</v>
      </c>
      <c r="E70" s="1021">
        <v>10737230</v>
      </c>
      <c r="F70" s="987">
        <f t="shared" si="20"/>
        <v>3380694.4258499998</v>
      </c>
      <c r="G70" s="2550">
        <v>0</v>
      </c>
      <c r="H70" s="2551">
        <v>3380694.4258499998</v>
      </c>
      <c r="I70" s="987">
        <f t="shared" si="21"/>
        <v>154304</v>
      </c>
      <c r="J70" s="33">
        <v>0</v>
      </c>
      <c r="K70" s="1038">
        <v>154304</v>
      </c>
      <c r="P70" s="1049"/>
    </row>
    <row r="71" spans="1:16" ht="15" customHeight="1" x14ac:dyDescent="0.35">
      <c r="A71" s="1046"/>
      <c r="B71" s="339" t="s">
        <v>1743</v>
      </c>
      <c r="C71" s="97">
        <f t="shared" si="19"/>
        <v>0</v>
      </c>
      <c r="D71" s="33">
        <v>0</v>
      </c>
      <c r="E71" s="1021">
        <v>0</v>
      </c>
      <c r="F71" s="987">
        <f t="shared" si="20"/>
        <v>0</v>
      </c>
      <c r="G71" s="2550">
        <v>0</v>
      </c>
      <c r="H71" s="2551">
        <v>0</v>
      </c>
      <c r="I71" s="987">
        <f t="shared" si="21"/>
        <v>0</v>
      </c>
      <c r="J71" s="33">
        <v>0</v>
      </c>
      <c r="K71" s="1038">
        <v>0</v>
      </c>
      <c r="P71" s="1049"/>
    </row>
    <row r="72" spans="1:16" ht="15" customHeight="1" x14ac:dyDescent="0.35">
      <c r="A72" s="1046"/>
      <c r="B72" s="339" t="s">
        <v>1744</v>
      </c>
      <c r="C72" s="97">
        <f t="shared" si="19"/>
        <v>0</v>
      </c>
      <c r="D72" s="33">
        <v>0</v>
      </c>
      <c r="E72" s="1021">
        <v>0</v>
      </c>
      <c r="F72" s="987">
        <f t="shared" si="20"/>
        <v>0</v>
      </c>
      <c r="G72" s="2550">
        <v>0</v>
      </c>
      <c r="H72" s="2551">
        <v>0</v>
      </c>
      <c r="I72" s="987">
        <f t="shared" si="21"/>
        <v>0</v>
      </c>
      <c r="J72" s="33">
        <v>0</v>
      </c>
      <c r="K72" s="1038">
        <v>0</v>
      </c>
      <c r="P72" s="1049"/>
    </row>
    <row r="73" spans="1:16" ht="15" customHeight="1" x14ac:dyDescent="0.35">
      <c r="A73" s="1046"/>
      <c r="B73" s="339" t="s">
        <v>1745</v>
      </c>
      <c r="C73" s="97">
        <f t="shared" si="19"/>
        <v>220558</v>
      </c>
      <c r="D73" s="33">
        <v>0</v>
      </c>
      <c r="E73" s="1021">
        <v>220558</v>
      </c>
      <c r="F73" s="987">
        <f t="shared" si="20"/>
        <v>0</v>
      </c>
      <c r="G73" s="2550">
        <v>0</v>
      </c>
      <c r="H73" s="2551">
        <v>0</v>
      </c>
      <c r="I73" s="987">
        <f t="shared" si="21"/>
        <v>0</v>
      </c>
      <c r="J73" s="33">
        <v>0</v>
      </c>
      <c r="K73" s="1038">
        <v>0</v>
      </c>
      <c r="P73" s="1049"/>
    </row>
    <row r="74" spans="1:16" ht="15" customHeight="1" x14ac:dyDescent="0.35">
      <c r="A74" s="1046"/>
      <c r="B74" s="339" t="s">
        <v>1746</v>
      </c>
      <c r="C74" s="97">
        <f t="shared" si="19"/>
        <v>0</v>
      </c>
      <c r="D74" s="33">
        <v>0</v>
      </c>
      <c r="E74" s="1021">
        <v>0</v>
      </c>
      <c r="F74" s="987">
        <f t="shared" si="20"/>
        <v>0</v>
      </c>
      <c r="G74" s="2550">
        <v>0</v>
      </c>
      <c r="H74" s="2551">
        <v>0</v>
      </c>
      <c r="I74" s="987">
        <f t="shared" si="21"/>
        <v>0</v>
      </c>
      <c r="J74" s="33">
        <v>0</v>
      </c>
      <c r="K74" s="1038">
        <v>0</v>
      </c>
      <c r="P74" s="1049"/>
    </row>
    <row r="75" spans="1:16" ht="15" customHeight="1" x14ac:dyDescent="0.35">
      <c r="A75" s="1046"/>
      <c r="B75" s="339" t="s">
        <v>1747</v>
      </c>
      <c r="C75" s="97">
        <f t="shared" si="19"/>
        <v>0</v>
      </c>
      <c r="D75" s="33">
        <v>0</v>
      </c>
      <c r="E75" s="1021">
        <v>0</v>
      </c>
      <c r="F75" s="987">
        <f t="shared" si="20"/>
        <v>0</v>
      </c>
      <c r="G75" s="2550">
        <v>0</v>
      </c>
      <c r="H75" s="2551">
        <v>0</v>
      </c>
      <c r="I75" s="987">
        <f t="shared" si="21"/>
        <v>0</v>
      </c>
      <c r="J75" s="33">
        <v>0</v>
      </c>
      <c r="K75" s="1038">
        <v>0</v>
      </c>
      <c r="P75" s="1049"/>
    </row>
    <row r="76" spans="1:16" ht="15" customHeight="1" x14ac:dyDescent="0.35">
      <c r="A76" s="1046"/>
      <c r="B76" s="339" t="s">
        <v>1748</v>
      </c>
      <c r="C76" s="97">
        <f t="shared" si="19"/>
        <v>0</v>
      </c>
      <c r="D76" s="33">
        <v>0</v>
      </c>
      <c r="E76" s="1021">
        <v>0</v>
      </c>
      <c r="F76" s="987">
        <f t="shared" si="20"/>
        <v>0</v>
      </c>
      <c r="G76" s="2550">
        <v>0</v>
      </c>
      <c r="H76" s="2551">
        <v>0</v>
      </c>
      <c r="I76" s="987">
        <f t="shared" si="21"/>
        <v>0</v>
      </c>
      <c r="J76" s="33">
        <v>0</v>
      </c>
      <c r="K76" s="1038">
        <v>0</v>
      </c>
      <c r="P76" s="1049"/>
    </row>
    <row r="77" spans="1:16" ht="15" customHeight="1" x14ac:dyDescent="0.35">
      <c r="A77" s="1046"/>
      <c r="B77" s="339" t="s">
        <v>1749</v>
      </c>
      <c r="C77" s="97">
        <f t="shared" si="19"/>
        <v>0</v>
      </c>
      <c r="D77" s="33">
        <v>0</v>
      </c>
      <c r="E77" s="1021">
        <v>0</v>
      </c>
      <c r="F77" s="987">
        <f t="shared" si="20"/>
        <v>0</v>
      </c>
      <c r="G77" s="2550">
        <v>0</v>
      </c>
      <c r="H77" s="2551">
        <v>0</v>
      </c>
      <c r="I77" s="987">
        <f t="shared" si="21"/>
        <v>0</v>
      </c>
      <c r="J77" s="33">
        <v>0</v>
      </c>
      <c r="K77" s="1038">
        <v>0</v>
      </c>
      <c r="P77" s="1049"/>
    </row>
    <row r="78" spans="1:16" ht="15" customHeight="1" x14ac:dyDescent="0.35">
      <c r="A78" s="1046"/>
      <c r="B78" s="339" t="s">
        <v>1750</v>
      </c>
      <c r="C78" s="97">
        <f t="shared" si="19"/>
        <v>0</v>
      </c>
      <c r="D78" s="33">
        <v>0</v>
      </c>
      <c r="E78" s="1021">
        <v>0</v>
      </c>
      <c r="F78" s="987">
        <f t="shared" si="20"/>
        <v>0</v>
      </c>
      <c r="G78" s="2550">
        <v>0</v>
      </c>
      <c r="H78" s="2551">
        <v>0</v>
      </c>
      <c r="I78" s="987">
        <f t="shared" si="21"/>
        <v>0</v>
      </c>
      <c r="J78" s="33">
        <v>0</v>
      </c>
      <c r="K78" s="1038">
        <v>0</v>
      </c>
      <c r="P78" s="1049"/>
    </row>
    <row r="79" spans="1:16" ht="15" customHeight="1" x14ac:dyDescent="0.35">
      <c r="A79" s="1046"/>
      <c r="B79" s="339" t="s">
        <v>1751</v>
      </c>
      <c r="C79" s="97">
        <f t="shared" si="19"/>
        <v>0</v>
      </c>
      <c r="D79" s="33">
        <v>0</v>
      </c>
      <c r="E79" s="1021">
        <v>0</v>
      </c>
      <c r="F79" s="987">
        <f t="shared" si="20"/>
        <v>0</v>
      </c>
      <c r="G79" s="2550">
        <v>0</v>
      </c>
      <c r="H79" s="2551">
        <v>0</v>
      </c>
      <c r="I79" s="987">
        <f t="shared" si="21"/>
        <v>0</v>
      </c>
      <c r="J79" s="33">
        <v>0</v>
      </c>
      <c r="K79" s="1038">
        <v>0</v>
      </c>
      <c r="P79" s="1049"/>
    </row>
    <row r="80" spans="1:16" ht="15" customHeight="1" x14ac:dyDescent="0.35">
      <c r="A80" s="1046"/>
      <c r="B80" s="339" t="s">
        <v>1752</v>
      </c>
      <c r="C80" s="97">
        <f t="shared" si="19"/>
        <v>0</v>
      </c>
      <c r="D80" s="33">
        <v>0</v>
      </c>
      <c r="E80" s="1021">
        <v>0</v>
      </c>
      <c r="F80" s="987">
        <f t="shared" si="20"/>
        <v>0</v>
      </c>
      <c r="G80" s="2550">
        <v>0</v>
      </c>
      <c r="H80" s="2551">
        <v>0</v>
      </c>
      <c r="I80" s="987">
        <f t="shared" si="21"/>
        <v>0</v>
      </c>
      <c r="J80" s="33">
        <v>0</v>
      </c>
      <c r="K80" s="1038">
        <v>0</v>
      </c>
      <c r="P80" s="1049"/>
    </row>
    <row r="81" spans="1:16" ht="15" customHeight="1" x14ac:dyDescent="0.35">
      <c r="A81" s="1046"/>
      <c r="B81" s="339" t="s">
        <v>1753</v>
      </c>
      <c r="C81" s="97">
        <f t="shared" si="19"/>
        <v>1254791</v>
      </c>
      <c r="D81" s="33">
        <v>908075</v>
      </c>
      <c r="E81" s="1021">
        <v>346716</v>
      </c>
      <c r="F81" s="987">
        <f t="shared" si="20"/>
        <v>0</v>
      </c>
      <c r="G81" s="2550">
        <v>0</v>
      </c>
      <c r="H81" s="2551">
        <v>0</v>
      </c>
      <c r="I81" s="987">
        <f t="shared" si="21"/>
        <v>0</v>
      </c>
      <c r="J81" s="33">
        <v>0</v>
      </c>
      <c r="K81" s="1038">
        <v>0</v>
      </c>
      <c r="P81" s="1049"/>
    </row>
    <row r="82" spans="1:16" ht="15" customHeight="1" x14ac:dyDescent="0.35">
      <c r="A82" s="1046"/>
      <c r="B82" s="339" t="s">
        <v>1754</v>
      </c>
      <c r="C82" s="97">
        <f t="shared" si="19"/>
        <v>0</v>
      </c>
      <c r="D82" s="33">
        <v>0</v>
      </c>
      <c r="E82" s="1021">
        <v>0</v>
      </c>
      <c r="F82" s="987">
        <f t="shared" si="20"/>
        <v>0</v>
      </c>
      <c r="G82" s="2550">
        <v>0</v>
      </c>
      <c r="H82" s="2551">
        <v>0</v>
      </c>
      <c r="I82" s="987">
        <f t="shared" si="21"/>
        <v>0</v>
      </c>
      <c r="J82" s="33">
        <v>0</v>
      </c>
      <c r="K82" s="1038">
        <v>0</v>
      </c>
      <c r="P82" s="1049"/>
    </row>
    <row r="83" spans="1:16" ht="15" customHeight="1" x14ac:dyDescent="0.35">
      <c r="A83" s="1046"/>
      <c r="B83" s="339" t="s">
        <v>1755</v>
      </c>
      <c r="C83" s="97">
        <f t="shared" si="19"/>
        <v>0</v>
      </c>
      <c r="D83" s="33">
        <v>0</v>
      </c>
      <c r="E83" s="1021">
        <v>0</v>
      </c>
      <c r="F83" s="987">
        <f t="shared" si="20"/>
        <v>0</v>
      </c>
      <c r="G83" s="2550">
        <v>0</v>
      </c>
      <c r="H83" s="2551">
        <v>0</v>
      </c>
      <c r="I83" s="987">
        <f t="shared" si="21"/>
        <v>0</v>
      </c>
      <c r="J83" s="33">
        <v>0</v>
      </c>
      <c r="K83" s="1038">
        <v>0</v>
      </c>
      <c r="P83" s="1049"/>
    </row>
    <row r="84" spans="1:16" ht="15" customHeight="1" x14ac:dyDescent="0.35">
      <c r="A84" s="1046"/>
      <c r="B84" s="339" t="s">
        <v>1756</v>
      </c>
      <c r="C84" s="97">
        <f t="shared" si="19"/>
        <v>0</v>
      </c>
      <c r="D84" s="33">
        <v>0</v>
      </c>
      <c r="E84" s="1021">
        <v>0</v>
      </c>
      <c r="F84" s="987">
        <f t="shared" si="20"/>
        <v>0</v>
      </c>
      <c r="G84" s="2550">
        <v>0</v>
      </c>
      <c r="H84" s="2551">
        <v>0</v>
      </c>
      <c r="I84" s="987">
        <f t="shared" si="21"/>
        <v>0</v>
      </c>
      <c r="J84" s="33">
        <v>0</v>
      </c>
      <c r="K84" s="1038">
        <v>0</v>
      </c>
      <c r="P84" s="1049"/>
    </row>
    <row r="85" spans="1:16" ht="15" customHeight="1" x14ac:dyDescent="0.35">
      <c r="A85" s="1046"/>
      <c r="B85" s="339" t="s">
        <v>1757</v>
      </c>
      <c r="C85" s="97">
        <f t="shared" si="19"/>
        <v>0</v>
      </c>
      <c r="D85" s="33">
        <v>0</v>
      </c>
      <c r="E85" s="1021">
        <v>0</v>
      </c>
      <c r="F85" s="987">
        <f t="shared" si="20"/>
        <v>0</v>
      </c>
      <c r="G85" s="2550">
        <v>0</v>
      </c>
      <c r="H85" s="2551">
        <v>0</v>
      </c>
      <c r="I85" s="987">
        <f t="shared" si="21"/>
        <v>0</v>
      </c>
      <c r="J85" s="33">
        <v>0</v>
      </c>
      <c r="K85" s="1038">
        <v>0</v>
      </c>
      <c r="P85" s="1049"/>
    </row>
    <row r="86" spans="1:16" ht="15" customHeight="1" x14ac:dyDescent="0.35">
      <c r="A86" s="1046"/>
      <c r="B86" s="339" t="s">
        <v>1758</v>
      </c>
      <c r="C86" s="97">
        <f t="shared" si="19"/>
        <v>4</v>
      </c>
      <c r="D86" s="33">
        <v>0</v>
      </c>
      <c r="E86" s="1021">
        <v>4</v>
      </c>
      <c r="F86" s="987">
        <f t="shared" si="20"/>
        <v>0</v>
      </c>
      <c r="G86" s="2550">
        <v>0</v>
      </c>
      <c r="H86" s="2551">
        <v>0</v>
      </c>
      <c r="I86" s="987">
        <f t="shared" si="21"/>
        <v>0</v>
      </c>
      <c r="J86" s="33">
        <v>0</v>
      </c>
      <c r="K86" s="1038">
        <v>0</v>
      </c>
      <c r="P86" s="1049"/>
    </row>
    <row r="87" spans="1:16" ht="15" customHeight="1" x14ac:dyDescent="0.35">
      <c r="A87" s="1046"/>
      <c r="B87" s="339" t="s">
        <v>1759</v>
      </c>
      <c r="C87" s="97">
        <f t="shared" si="19"/>
        <v>1825182</v>
      </c>
      <c r="D87" s="33">
        <v>1825182</v>
      </c>
      <c r="E87" s="1021">
        <v>0</v>
      </c>
      <c r="F87" s="987">
        <f t="shared" si="20"/>
        <v>0</v>
      </c>
      <c r="G87" s="2550">
        <v>0</v>
      </c>
      <c r="H87" s="2551">
        <v>0</v>
      </c>
      <c r="I87" s="987">
        <f t="shared" si="21"/>
        <v>0</v>
      </c>
      <c r="J87" s="33">
        <v>0</v>
      </c>
      <c r="K87" s="1038">
        <v>0</v>
      </c>
      <c r="P87" s="1049"/>
    </row>
    <row r="88" spans="1:16" ht="15" customHeight="1" x14ac:dyDescent="0.35">
      <c r="A88" s="1046"/>
      <c r="B88" s="339" t="s">
        <v>1760</v>
      </c>
      <c r="C88" s="114">
        <f t="shared" si="19"/>
        <v>353997</v>
      </c>
      <c r="D88" s="33">
        <v>69866</v>
      </c>
      <c r="E88" s="1021">
        <v>284131</v>
      </c>
      <c r="F88" s="1071">
        <f t="shared" si="20"/>
        <v>0</v>
      </c>
      <c r="G88" s="2550">
        <v>0</v>
      </c>
      <c r="H88" s="2551">
        <v>0</v>
      </c>
      <c r="I88" s="1071">
        <f t="shared" si="21"/>
        <v>0</v>
      </c>
      <c r="J88" s="33">
        <v>0</v>
      </c>
      <c r="K88" s="1038">
        <v>0</v>
      </c>
      <c r="P88" s="1049"/>
    </row>
    <row r="89" spans="1:16" ht="15" customHeight="1" x14ac:dyDescent="0.35">
      <c r="A89" s="1046"/>
      <c r="B89" s="1044"/>
      <c r="C89" s="673">
        <f>SUM(C57:C88)</f>
        <v>15443078</v>
      </c>
      <c r="D89" s="1026">
        <f>SUM(D57:D88)</f>
        <v>3854439</v>
      </c>
      <c r="E89" s="1077">
        <f>SUM(E57:E88)</f>
        <v>11588639</v>
      </c>
      <c r="F89" s="1076">
        <f>SUM(F57:F88)</f>
        <v>3380694.4258499998</v>
      </c>
      <c r="G89" s="1026">
        <f>SUM(G57:G88)</f>
        <v>0</v>
      </c>
      <c r="H89" s="1836">
        <f t="shared" ref="H89" si="22">SUM(H57:H88)</f>
        <v>3380694.4258499998</v>
      </c>
      <c r="I89" s="1076">
        <f>SUM(I57:I88)</f>
        <v>154304</v>
      </c>
      <c r="J89" s="1026">
        <f>SUM(J57:J88)</f>
        <v>0</v>
      </c>
      <c r="K89" s="1836">
        <f t="shared" ref="K89" si="23">SUM(K57:K88)</f>
        <v>154304</v>
      </c>
      <c r="P89" s="1049"/>
    </row>
    <row r="90" spans="1:16" ht="15" customHeight="1" x14ac:dyDescent="0.35">
      <c r="A90" s="1052"/>
      <c r="B90" s="1835"/>
      <c r="C90" s="278"/>
      <c r="D90" s="278"/>
      <c r="E90" s="278"/>
      <c r="F90" s="278"/>
      <c r="G90" s="1835"/>
      <c r="H90" s="278"/>
      <c r="I90" s="1835"/>
      <c r="J90" s="1835"/>
      <c r="K90" s="278"/>
      <c r="L90" s="1035"/>
      <c r="M90" s="1036"/>
      <c r="N90" s="278"/>
      <c r="O90" s="1042"/>
      <c r="P90" s="1053"/>
    </row>
    <row r="91" spans="1:16" ht="45" customHeight="1" x14ac:dyDescent="0.35">
      <c r="A91" s="1018" t="s">
        <v>1761</v>
      </c>
      <c r="B91" s="846"/>
      <c r="C91" s="85"/>
      <c r="D91" s="85"/>
      <c r="E91" s="85"/>
      <c r="F91" s="85"/>
      <c r="G91" s="85"/>
      <c r="H91" s="85"/>
      <c r="I91" s="85"/>
      <c r="J91" s="1031"/>
      <c r="K91" s="1032"/>
      <c r="L91" s="85"/>
      <c r="M91" s="85"/>
      <c r="N91" s="85"/>
      <c r="O91" s="1041"/>
      <c r="P91" s="1050"/>
    </row>
    <row r="92" spans="1:16" ht="15" customHeight="1" x14ac:dyDescent="0.35">
      <c r="A92" s="1046"/>
      <c r="B92" s="1037"/>
      <c r="C92" s="2572" t="s">
        <v>1762</v>
      </c>
      <c r="D92" s="2633"/>
      <c r="E92" s="2633"/>
      <c r="F92" s="3215"/>
      <c r="G92" s="2672" t="s">
        <v>1763</v>
      </c>
      <c r="H92" s="2633"/>
      <c r="I92" s="2633"/>
      <c r="J92" s="3215"/>
      <c r="K92" s="2672" t="s">
        <v>1764</v>
      </c>
      <c r="L92" s="2633"/>
      <c r="M92" s="2633"/>
      <c r="N92" s="3216"/>
      <c r="P92" s="1049"/>
    </row>
    <row r="93" spans="1:16" ht="15" customHeight="1" x14ac:dyDescent="0.35">
      <c r="A93" s="1046"/>
      <c r="B93" s="1040"/>
      <c r="C93" s="2572" t="s">
        <v>1765</v>
      </c>
      <c r="D93" s="2633" t="s">
        <v>1766</v>
      </c>
      <c r="E93" s="2633"/>
      <c r="F93" s="3215"/>
      <c r="G93" s="2672" t="s">
        <v>1765</v>
      </c>
      <c r="H93" s="2633" t="s">
        <v>1766</v>
      </c>
      <c r="I93" s="2633"/>
      <c r="J93" s="3215"/>
      <c r="K93" s="2672" t="s">
        <v>1765</v>
      </c>
      <c r="L93" s="2633" t="s">
        <v>1766</v>
      </c>
      <c r="M93" s="2633"/>
      <c r="N93" s="3216"/>
      <c r="P93" s="1049"/>
    </row>
    <row r="94" spans="1:16" ht="75" customHeight="1" x14ac:dyDescent="0.35">
      <c r="A94" s="1046"/>
      <c r="B94" s="1654"/>
      <c r="C94" s="2572"/>
      <c r="D94" s="770" t="s">
        <v>59</v>
      </c>
      <c r="E94" s="1056" t="s">
        <v>1727</v>
      </c>
      <c r="F94" s="1073" t="s">
        <v>1728</v>
      </c>
      <c r="G94" s="2672"/>
      <c r="H94" s="770" t="s">
        <v>59</v>
      </c>
      <c r="I94" s="1056" t="s">
        <v>1727</v>
      </c>
      <c r="J94" s="1073" t="s">
        <v>1728</v>
      </c>
      <c r="K94" s="2672"/>
      <c r="L94" s="770" t="s">
        <v>59</v>
      </c>
      <c r="M94" s="1056" t="s">
        <v>1727</v>
      </c>
      <c r="N94" s="1074" t="s">
        <v>1728</v>
      </c>
      <c r="P94" s="1049"/>
    </row>
    <row r="95" spans="1:16" ht="15" customHeight="1" x14ac:dyDescent="0.35">
      <c r="A95" s="259"/>
      <c r="B95" s="670" t="s">
        <v>1692</v>
      </c>
      <c r="C95" s="418">
        <f>SUM(C96:C98)</f>
        <v>10155594</v>
      </c>
      <c r="D95" s="91">
        <f t="shared" ref="D95:D107" si="24">SUM(E95:F95)</f>
        <v>10155594</v>
      </c>
      <c r="E95" s="91">
        <f t="shared" ref="E95:F95" si="25">SUM(E96:E98)</f>
        <v>3930845</v>
      </c>
      <c r="F95" s="1072">
        <f t="shared" si="25"/>
        <v>6224749</v>
      </c>
      <c r="G95" s="985">
        <f>SUM(G96:G98)</f>
        <v>0</v>
      </c>
      <c r="H95" s="664">
        <f t="shared" ref="H95:H107" si="26">SUM(I95:J95)</f>
        <v>0</v>
      </c>
      <c r="I95" s="664">
        <f t="shared" ref="I95:J95" si="27">SUM(I96:I98)</f>
        <v>0</v>
      </c>
      <c r="J95" s="1066">
        <f t="shared" si="27"/>
        <v>0</v>
      </c>
      <c r="K95" s="985">
        <f>SUM(K96:K98)</f>
        <v>0</v>
      </c>
      <c r="L95" s="664">
        <f t="shared" ref="L95:L107" si="28">SUM(M95:N95)</f>
        <v>0</v>
      </c>
      <c r="M95" s="664">
        <f t="shared" ref="M95:N95" si="29">SUM(M96:M98)</f>
        <v>0</v>
      </c>
      <c r="N95" s="714">
        <f t="shared" si="29"/>
        <v>0</v>
      </c>
      <c r="O95" s="1019"/>
      <c r="P95" s="1048"/>
    </row>
    <row r="96" spans="1:16" ht="30" customHeight="1" x14ac:dyDescent="0.35">
      <c r="A96" s="259"/>
      <c r="B96" s="1588" t="s">
        <v>1693</v>
      </c>
      <c r="C96" s="33">
        <v>5840876</v>
      </c>
      <c r="D96" s="30">
        <f t="shared" si="24"/>
        <v>5840876</v>
      </c>
      <c r="E96" s="23">
        <v>246975</v>
      </c>
      <c r="F96" s="1021">
        <v>5593901</v>
      </c>
      <c r="G96" s="1020">
        <v>0</v>
      </c>
      <c r="H96" s="30">
        <f t="shared" si="26"/>
        <v>0</v>
      </c>
      <c r="I96" s="23">
        <v>0</v>
      </c>
      <c r="J96" s="1021">
        <v>0</v>
      </c>
      <c r="K96" s="1020">
        <v>0</v>
      </c>
      <c r="L96" s="30">
        <f t="shared" si="28"/>
        <v>0</v>
      </c>
      <c r="M96" s="23">
        <v>0</v>
      </c>
      <c r="N96" s="34">
        <v>0</v>
      </c>
      <c r="O96" s="1019"/>
      <c r="P96" s="1048"/>
    </row>
    <row r="97" spans="1:16" ht="30" customHeight="1" x14ac:dyDescent="0.35">
      <c r="A97" s="259"/>
      <c r="B97" s="1588" t="s">
        <v>1694</v>
      </c>
      <c r="C97" s="33">
        <v>0</v>
      </c>
      <c r="D97" s="30">
        <f t="shared" si="24"/>
        <v>0</v>
      </c>
      <c r="E97" s="23">
        <v>0</v>
      </c>
      <c r="F97" s="1021">
        <v>0</v>
      </c>
      <c r="G97" s="1020">
        <v>0</v>
      </c>
      <c r="H97" s="30">
        <f t="shared" si="26"/>
        <v>0</v>
      </c>
      <c r="I97" s="23">
        <v>0</v>
      </c>
      <c r="J97" s="1021">
        <v>0</v>
      </c>
      <c r="K97" s="1020">
        <v>0</v>
      </c>
      <c r="L97" s="30">
        <f t="shared" si="28"/>
        <v>0</v>
      </c>
      <c r="M97" s="23">
        <v>0</v>
      </c>
      <c r="N97" s="34">
        <v>0</v>
      </c>
      <c r="O97" s="1019"/>
      <c r="P97" s="1048"/>
    </row>
    <row r="98" spans="1:16" ht="15" customHeight="1" x14ac:dyDescent="0.35">
      <c r="A98" s="259"/>
      <c r="B98" s="1039" t="str">
        <f>"the exposure is not applicable to rows " &amp; ROW(B96) &amp; " or " &amp; ROW(B97)</f>
        <v>the exposure is not applicable to rows 96 or 97</v>
      </c>
      <c r="C98" s="33">
        <v>4314718</v>
      </c>
      <c r="D98" s="30">
        <f t="shared" si="24"/>
        <v>4314718</v>
      </c>
      <c r="E98" s="23">
        <v>3683870</v>
      </c>
      <c r="F98" s="1021">
        <v>630848</v>
      </c>
      <c r="G98" s="1020">
        <v>0</v>
      </c>
      <c r="H98" s="30">
        <f t="shared" si="26"/>
        <v>0</v>
      </c>
      <c r="I98" s="23">
        <v>0</v>
      </c>
      <c r="J98" s="1021">
        <v>0</v>
      </c>
      <c r="K98" s="1020">
        <v>0</v>
      </c>
      <c r="L98" s="30">
        <f t="shared" si="28"/>
        <v>0</v>
      </c>
      <c r="M98" s="23">
        <v>0</v>
      </c>
      <c r="N98" s="34">
        <v>0</v>
      </c>
      <c r="O98" s="1019"/>
      <c r="P98" s="1048"/>
    </row>
    <row r="99" spans="1:16" ht="15" customHeight="1" x14ac:dyDescent="0.35">
      <c r="A99" s="259"/>
      <c r="B99" s="100" t="s">
        <v>1695</v>
      </c>
      <c r="C99" s="97">
        <f>SUM(C100:C102)</f>
        <v>3380694.4258499998</v>
      </c>
      <c r="D99" s="30">
        <f t="shared" si="24"/>
        <v>3380694.4258499998</v>
      </c>
      <c r="E99" s="30">
        <f t="shared" ref="E99:F99" si="30">SUM(E100:E102)</f>
        <v>0</v>
      </c>
      <c r="F99" s="1065">
        <f t="shared" si="30"/>
        <v>3380694.4258499998</v>
      </c>
      <c r="G99" s="987">
        <f>SUM(G100:G102)</f>
        <v>0</v>
      </c>
      <c r="H99" s="30">
        <f t="shared" si="26"/>
        <v>0</v>
      </c>
      <c r="I99" s="30">
        <f t="shared" ref="I99:J99" si="31">SUM(I100:I102)</f>
        <v>0</v>
      </c>
      <c r="J99" s="1065">
        <f t="shared" si="31"/>
        <v>0</v>
      </c>
      <c r="K99" s="987">
        <f>SUM(K100:K102)</f>
        <v>0</v>
      </c>
      <c r="L99" s="30">
        <f t="shared" si="28"/>
        <v>0</v>
      </c>
      <c r="M99" s="30">
        <f t="shared" ref="M99:N99" si="32">SUM(M100:M102)</f>
        <v>0</v>
      </c>
      <c r="N99" s="9">
        <f t="shared" si="32"/>
        <v>0</v>
      </c>
      <c r="O99" s="1019"/>
      <c r="P99" s="1048"/>
    </row>
    <row r="100" spans="1:16" ht="30" customHeight="1" x14ac:dyDescent="0.35">
      <c r="A100" s="259"/>
      <c r="B100" s="1588" t="s">
        <v>1693</v>
      </c>
      <c r="C100" s="33">
        <v>3380694.4258499998</v>
      </c>
      <c r="D100" s="30">
        <f t="shared" si="24"/>
        <v>3380694.4258499998</v>
      </c>
      <c r="E100" s="23">
        <v>0</v>
      </c>
      <c r="F100" s="1021">
        <v>3380694.4258499998</v>
      </c>
      <c r="G100" s="1020">
        <v>0</v>
      </c>
      <c r="H100" s="30">
        <f t="shared" si="26"/>
        <v>0</v>
      </c>
      <c r="I100" s="23">
        <v>0</v>
      </c>
      <c r="J100" s="1021">
        <v>0</v>
      </c>
      <c r="K100" s="1020">
        <v>0</v>
      </c>
      <c r="L100" s="30">
        <f t="shared" si="28"/>
        <v>0</v>
      </c>
      <c r="M100" s="23">
        <v>0</v>
      </c>
      <c r="N100" s="34">
        <v>0</v>
      </c>
      <c r="O100" s="1019"/>
      <c r="P100" s="1048"/>
    </row>
    <row r="101" spans="1:16" ht="30" customHeight="1" x14ac:dyDescent="0.35">
      <c r="A101" s="259"/>
      <c r="B101" s="1588" t="s">
        <v>1694</v>
      </c>
      <c r="C101" s="33">
        <v>0</v>
      </c>
      <c r="D101" s="30">
        <f t="shared" si="24"/>
        <v>0</v>
      </c>
      <c r="E101" s="23">
        <v>0</v>
      </c>
      <c r="F101" s="1021">
        <v>0</v>
      </c>
      <c r="G101" s="1020">
        <v>0</v>
      </c>
      <c r="H101" s="30">
        <f t="shared" si="26"/>
        <v>0</v>
      </c>
      <c r="I101" s="23">
        <v>0</v>
      </c>
      <c r="J101" s="1021">
        <v>0</v>
      </c>
      <c r="K101" s="1020">
        <v>0</v>
      </c>
      <c r="L101" s="30">
        <f t="shared" si="28"/>
        <v>0</v>
      </c>
      <c r="M101" s="23">
        <v>0</v>
      </c>
      <c r="N101" s="34">
        <v>0</v>
      </c>
      <c r="O101" s="1019"/>
      <c r="P101" s="1048"/>
    </row>
    <row r="102" spans="1:16" ht="15" customHeight="1" x14ac:dyDescent="0.35">
      <c r="A102" s="259"/>
      <c r="B102" s="1039" t="str">
        <f>"the exposure is not applicable to rows " &amp; ROW(B100) &amp; " or " &amp; ROW(B101)</f>
        <v>the exposure is not applicable to rows 100 or 101</v>
      </c>
      <c r="C102" s="33">
        <v>0</v>
      </c>
      <c r="D102" s="30">
        <f t="shared" si="24"/>
        <v>0</v>
      </c>
      <c r="E102" s="23">
        <v>0</v>
      </c>
      <c r="F102" s="1021">
        <v>0</v>
      </c>
      <c r="G102" s="1020">
        <v>0</v>
      </c>
      <c r="H102" s="30">
        <f t="shared" si="26"/>
        <v>0</v>
      </c>
      <c r="I102" s="23">
        <v>0</v>
      </c>
      <c r="J102" s="1021">
        <v>0</v>
      </c>
      <c r="K102" s="1020">
        <v>0</v>
      </c>
      <c r="L102" s="30">
        <f t="shared" si="28"/>
        <v>0</v>
      </c>
      <c r="M102" s="23">
        <v>0</v>
      </c>
      <c r="N102" s="34">
        <v>0</v>
      </c>
      <c r="O102" s="1019"/>
      <c r="P102" s="1048"/>
    </row>
    <row r="103" spans="1:16" ht="15" customHeight="1" x14ac:dyDescent="0.35">
      <c r="A103" s="259"/>
      <c r="B103" s="100" t="s">
        <v>1696</v>
      </c>
      <c r="C103" s="97">
        <f>SUM(C104:C106)</f>
        <v>0</v>
      </c>
      <c r="D103" s="30">
        <f t="shared" si="24"/>
        <v>0</v>
      </c>
      <c r="E103" s="30">
        <f t="shared" ref="E103:F103" si="33">SUM(E104:E106)</f>
        <v>0</v>
      </c>
      <c r="F103" s="1065">
        <f t="shared" si="33"/>
        <v>0</v>
      </c>
      <c r="G103" s="987">
        <f>SUM(G104:G106)</f>
        <v>0</v>
      </c>
      <c r="H103" s="30">
        <f t="shared" si="26"/>
        <v>0</v>
      </c>
      <c r="I103" s="30">
        <f t="shared" ref="I103:J103" si="34">SUM(I104:I106)</f>
        <v>0</v>
      </c>
      <c r="J103" s="1065">
        <f t="shared" si="34"/>
        <v>0</v>
      </c>
      <c r="K103" s="987">
        <f>SUM(K104:K106)</f>
        <v>0</v>
      </c>
      <c r="L103" s="30">
        <f t="shared" si="28"/>
        <v>0</v>
      </c>
      <c r="M103" s="30">
        <f t="shared" ref="M103:N103" si="35">SUM(M104:M106)</f>
        <v>0</v>
      </c>
      <c r="N103" s="9">
        <f t="shared" si="35"/>
        <v>0</v>
      </c>
      <c r="O103" s="1019"/>
      <c r="P103" s="1048"/>
    </row>
    <row r="104" spans="1:16" ht="30" customHeight="1" x14ac:dyDescent="0.35">
      <c r="A104" s="259"/>
      <c r="B104" s="1588" t="s">
        <v>1693</v>
      </c>
      <c r="C104" s="33">
        <v>0</v>
      </c>
      <c r="D104" s="30">
        <f t="shared" si="24"/>
        <v>0</v>
      </c>
      <c r="E104" s="23">
        <v>0</v>
      </c>
      <c r="F104" s="1021">
        <v>0</v>
      </c>
      <c r="G104" s="1020">
        <v>0</v>
      </c>
      <c r="H104" s="30">
        <f t="shared" si="26"/>
        <v>0</v>
      </c>
      <c r="I104" s="23">
        <v>0</v>
      </c>
      <c r="J104" s="1021">
        <v>0</v>
      </c>
      <c r="K104" s="1020">
        <v>0</v>
      </c>
      <c r="L104" s="30">
        <f t="shared" si="28"/>
        <v>0</v>
      </c>
      <c r="M104" s="23">
        <v>0</v>
      </c>
      <c r="N104" s="34">
        <v>0</v>
      </c>
      <c r="O104" s="1019"/>
      <c r="P104" s="1048"/>
    </row>
    <row r="105" spans="1:16" ht="30" customHeight="1" x14ac:dyDescent="0.35">
      <c r="A105" s="259"/>
      <c r="B105" s="1588" t="s">
        <v>1767</v>
      </c>
      <c r="C105" s="33">
        <v>0</v>
      </c>
      <c r="D105" s="30">
        <f t="shared" si="24"/>
        <v>0</v>
      </c>
      <c r="E105" s="23">
        <v>0</v>
      </c>
      <c r="F105" s="1021">
        <v>0</v>
      </c>
      <c r="G105" s="1020">
        <v>0</v>
      </c>
      <c r="H105" s="30">
        <f t="shared" si="26"/>
        <v>0</v>
      </c>
      <c r="I105" s="23">
        <v>0</v>
      </c>
      <c r="J105" s="1021">
        <v>0</v>
      </c>
      <c r="K105" s="1020">
        <v>0</v>
      </c>
      <c r="L105" s="30">
        <f t="shared" si="28"/>
        <v>0</v>
      </c>
      <c r="M105" s="23">
        <v>0</v>
      </c>
      <c r="N105" s="34">
        <v>0</v>
      </c>
      <c r="O105" s="1019"/>
      <c r="P105" s="1048"/>
    </row>
    <row r="106" spans="1:16" ht="15" customHeight="1" x14ac:dyDescent="0.35">
      <c r="A106" s="259"/>
      <c r="B106" s="1039" t="str">
        <f>"the exposure is not applicable to rows " &amp; ROW(B104) &amp; " or " &amp; ROW(B105)</f>
        <v>the exposure is not applicable to rows 104 or 105</v>
      </c>
      <c r="C106" s="33">
        <v>0</v>
      </c>
      <c r="D106" s="30">
        <f t="shared" si="24"/>
        <v>0</v>
      </c>
      <c r="E106" s="23">
        <v>0</v>
      </c>
      <c r="F106" s="1021">
        <v>0</v>
      </c>
      <c r="G106" s="1020">
        <v>0</v>
      </c>
      <c r="H106" s="30">
        <f t="shared" si="26"/>
        <v>0</v>
      </c>
      <c r="I106" s="23">
        <v>0</v>
      </c>
      <c r="J106" s="1021">
        <v>0</v>
      </c>
      <c r="K106" s="1020">
        <v>0</v>
      </c>
      <c r="L106" s="30">
        <f t="shared" si="28"/>
        <v>0</v>
      </c>
      <c r="M106" s="23">
        <v>0</v>
      </c>
      <c r="N106" s="34">
        <v>0</v>
      </c>
      <c r="O106" s="1019"/>
      <c r="P106" s="1048"/>
    </row>
    <row r="107" spans="1:16" ht="15" customHeight="1" x14ac:dyDescent="0.35">
      <c r="A107" s="259"/>
      <c r="B107" s="1075" t="s">
        <v>1768</v>
      </c>
      <c r="C107" s="371">
        <v>0</v>
      </c>
      <c r="D107" s="203">
        <f t="shared" si="24"/>
        <v>0</v>
      </c>
      <c r="E107" s="29">
        <v>0</v>
      </c>
      <c r="F107" s="1023">
        <v>0</v>
      </c>
      <c r="G107" s="1022">
        <v>0</v>
      </c>
      <c r="H107" s="203">
        <f t="shared" si="26"/>
        <v>0</v>
      </c>
      <c r="I107" s="29">
        <v>0</v>
      </c>
      <c r="J107" s="1023">
        <v>0</v>
      </c>
      <c r="K107" s="1022">
        <v>0</v>
      </c>
      <c r="L107" s="203">
        <f t="shared" si="28"/>
        <v>0</v>
      </c>
      <c r="M107" s="29">
        <v>0</v>
      </c>
      <c r="N107" s="54">
        <v>0</v>
      </c>
      <c r="O107" s="1019"/>
      <c r="P107" s="1048"/>
    </row>
    <row r="108" spans="1:16" ht="15" customHeight="1" x14ac:dyDescent="0.35">
      <c r="A108" s="1046"/>
      <c r="B108" s="1044"/>
      <c r="C108" s="673">
        <f>SUM(C95+C99+C103+C107)</f>
        <v>13536288.42585</v>
      </c>
      <c r="D108" s="1026">
        <f t="shared" ref="D108:F108" si="36">SUM(D95+D99+D103+D107)</f>
        <v>13536288.42585</v>
      </c>
      <c r="E108" s="1026">
        <f t="shared" si="36"/>
        <v>3930845</v>
      </c>
      <c r="F108" s="748">
        <f t="shared" si="36"/>
        <v>9605443.4258500002</v>
      </c>
      <c r="G108" s="1076">
        <f>SUM(G95+G99+G103+G107)</f>
        <v>0</v>
      </c>
      <c r="H108" s="1026">
        <f t="shared" ref="H108:J108" si="37">SUM(H95+H99+H103+H107)</f>
        <v>0</v>
      </c>
      <c r="I108" s="1026">
        <f t="shared" si="37"/>
        <v>0</v>
      </c>
      <c r="J108" s="1077">
        <f t="shared" si="37"/>
        <v>0</v>
      </c>
      <c r="K108" s="673">
        <f>SUM(K95+K99+K103+K107)</f>
        <v>0</v>
      </c>
      <c r="L108" s="1026">
        <f t="shared" ref="L108:N108" si="38">SUM(L95+L99+L103+L107)</f>
        <v>0</v>
      </c>
      <c r="M108" s="1026">
        <f t="shared" si="38"/>
        <v>0</v>
      </c>
      <c r="N108" s="748">
        <f t="shared" si="38"/>
        <v>0</v>
      </c>
      <c r="O108" s="1028"/>
      <c r="P108" s="1049"/>
    </row>
    <row r="109" spans="1:16" ht="15" customHeight="1" x14ac:dyDescent="0.35">
      <c r="A109" s="1052"/>
      <c r="B109" s="1835"/>
      <c r="C109" s="278"/>
      <c r="D109" s="278"/>
      <c r="E109" s="278"/>
      <c r="F109" s="278"/>
      <c r="G109" s="1835"/>
      <c r="H109" s="278"/>
      <c r="I109" s="1835"/>
      <c r="J109" s="1835"/>
      <c r="K109" s="278"/>
      <c r="L109" s="1035"/>
      <c r="M109" s="1036"/>
      <c r="N109" s="278"/>
      <c r="O109" s="1042"/>
      <c r="P109" s="1053"/>
    </row>
    <row r="110" spans="1:16" hidden="1" x14ac:dyDescent="0.35">
      <c r="A110" s="1041"/>
      <c r="B110" s="1041"/>
      <c r="C110" s="1041"/>
      <c r="D110" s="1041"/>
      <c r="E110" s="1041"/>
      <c r="F110" s="1041"/>
      <c r="G110" s="1041"/>
      <c r="H110" s="1041"/>
      <c r="I110" s="1041"/>
      <c r="J110" s="1041"/>
      <c r="K110" s="1041"/>
      <c r="L110" s="1041"/>
      <c r="M110" s="1041"/>
      <c r="N110" s="1041"/>
      <c r="O110" s="1041"/>
      <c r="P110" s="1041"/>
    </row>
  </sheetData>
  <sheetProtection algorithmName="SHA-512" hashValue="bdFopqYlhtXzNBhwZhmPUq4v9N1jg2HTNMv2rsKbiTGk8NiwLveB48V9eh6NS/gfIHH5g9UTSDCN9yyxAVChGQ==" saltValue="3KIK1tyx0zmU9kx/AEmCmg==" spinCount="100000" sheet="1" objects="1" scenarios="1"/>
  <mergeCells count="33">
    <mergeCell ref="O3:O6"/>
    <mergeCell ref="C4:E4"/>
    <mergeCell ref="F4:H4"/>
    <mergeCell ref="C5:C6"/>
    <mergeCell ref="D5:E5"/>
    <mergeCell ref="C23:H23"/>
    <mergeCell ref="I23:N23"/>
    <mergeCell ref="B3:B6"/>
    <mergeCell ref="C3:H3"/>
    <mergeCell ref="I3:J4"/>
    <mergeCell ref="K3:L4"/>
    <mergeCell ref="M3:N4"/>
    <mergeCell ref="F5:F6"/>
    <mergeCell ref="G5:H5"/>
    <mergeCell ref="I5:J5"/>
    <mergeCell ref="K5:L5"/>
    <mergeCell ref="M5:N5"/>
    <mergeCell ref="I29:N29"/>
    <mergeCell ref="I33:N33"/>
    <mergeCell ref="I38:N38"/>
    <mergeCell ref="I42:N42"/>
    <mergeCell ref="C55:E55"/>
    <mergeCell ref="F55:H55"/>
    <mergeCell ref="I55:K55"/>
    <mergeCell ref="C92:F92"/>
    <mergeCell ref="G92:J92"/>
    <mergeCell ref="K92:N92"/>
    <mergeCell ref="C93:C94"/>
    <mergeCell ref="D93:F93"/>
    <mergeCell ref="G93:G94"/>
    <mergeCell ref="H93:J93"/>
    <mergeCell ref="K93:K94"/>
    <mergeCell ref="L93:N93"/>
  </mergeCells>
  <pageMargins left="0.7" right="0.7" top="0.75" bottom="0.75" header="0.3" footer="0.3"/>
  <pageSetup paperSize="9" orientation="portrait" verticalDpi="0" r:id="rId1"/>
  <headerFooter>
    <oddHeader>&amp;L&amp;"Calibri"&amp;12&amp;K000000 EBA Regular Use&amp;1#_x000D_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O108"/>
  <sheetViews>
    <sheetView topLeftCell="C1" zoomScale="75" zoomScaleNormal="75" workbookViewId="0">
      <pane ySplit="4" topLeftCell="A92" activePane="bottomLeft" state="frozen"/>
      <selection activeCell="P35" sqref="P35"/>
      <selection pane="bottomLeft" activeCell="O107" sqref="O107"/>
    </sheetView>
  </sheetViews>
  <sheetFormatPr defaultColWidth="0" defaultRowHeight="15" customHeight="1" zeroHeight="1" x14ac:dyDescent="0.35"/>
  <cols>
    <col min="1" max="1" width="1.6640625" style="85" customWidth="1"/>
    <col min="2" max="2" width="85.6640625" style="85" customWidth="1"/>
    <col min="3" max="4" width="20.6640625" style="85" customWidth="1"/>
    <col min="5" max="14" width="20.6640625" style="2" customWidth="1"/>
    <col min="15" max="15" width="1.6640625" style="85" customWidth="1"/>
    <col min="16" max="16384" width="16.88671875" hidden="1"/>
  </cols>
  <sheetData>
    <row r="1" spans="1:15" ht="30" customHeight="1" x14ac:dyDescent="0.65">
      <c r="A1" s="766" t="s">
        <v>237</v>
      </c>
      <c r="B1" s="767"/>
      <c r="C1" s="767"/>
      <c r="D1" s="767"/>
      <c r="E1" s="739" t="str">
        <f>CONCATENATE("Reporting unit: ", 'General Info'!$C$7, " ", 'General Info'!$C$5)</f>
        <v>Reporting unit: 1000 eur</v>
      </c>
      <c r="F1" s="767"/>
      <c r="G1" s="767"/>
      <c r="H1" s="767"/>
      <c r="I1" s="767"/>
      <c r="J1" s="767"/>
      <c r="K1" s="767"/>
      <c r="L1" s="767"/>
      <c r="M1" s="767"/>
      <c r="N1" s="767"/>
      <c r="O1" s="735"/>
    </row>
    <row r="2" spans="1:15" ht="15" customHeight="1" x14ac:dyDescent="0.35">
      <c r="A2" s="259"/>
      <c r="E2" s="85"/>
      <c r="F2" s="85"/>
      <c r="G2" s="85"/>
      <c r="H2" s="85"/>
      <c r="I2" s="85"/>
      <c r="J2" s="85"/>
      <c r="K2" s="85"/>
      <c r="L2" s="85"/>
      <c r="M2" s="85"/>
      <c r="N2" s="85"/>
      <c r="O2" s="279"/>
    </row>
    <row r="3" spans="1:15" ht="15" customHeight="1" x14ac:dyDescent="0.35">
      <c r="A3" s="259"/>
      <c r="B3" s="957" t="s">
        <v>1769</v>
      </c>
      <c r="C3" s="958">
        <f t="shared" ref="C3:L3" si="0">D3-1</f>
        <v>2011</v>
      </c>
      <c r="D3" s="958">
        <f t="shared" si="0"/>
        <v>2012</v>
      </c>
      <c r="E3" s="958">
        <f t="shared" si="0"/>
        <v>2013</v>
      </c>
      <c r="F3" s="958">
        <f t="shared" si="0"/>
        <v>2014</v>
      </c>
      <c r="G3" s="958">
        <f t="shared" si="0"/>
        <v>2015</v>
      </c>
      <c r="H3" s="958">
        <f t="shared" si="0"/>
        <v>2016</v>
      </c>
      <c r="I3" s="958">
        <f t="shared" si="0"/>
        <v>2017</v>
      </c>
      <c r="J3" s="958">
        <f t="shared" si="0"/>
        <v>2018</v>
      </c>
      <c r="K3" s="958">
        <f t="shared" si="0"/>
        <v>2019</v>
      </c>
      <c r="L3" s="958">
        <f t="shared" si="0"/>
        <v>2020</v>
      </c>
      <c r="M3" s="958">
        <f>N3-1</f>
        <v>2021</v>
      </c>
      <c r="N3" s="857">
        <v>2022</v>
      </c>
      <c r="O3" s="279"/>
    </row>
    <row r="4" spans="1:15" ht="15" customHeight="1" x14ac:dyDescent="0.35">
      <c r="A4" s="259"/>
      <c r="B4" s="859"/>
      <c r="C4" s="859"/>
      <c r="D4" s="859"/>
      <c r="E4" s="859"/>
      <c r="F4" s="859"/>
      <c r="G4" s="859"/>
      <c r="H4" s="859"/>
      <c r="I4" s="859"/>
      <c r="J4" s="859"/>
      <c r="K4" s="859"/>
      <c r="L4" s="859"/>
      <c r="M4" s="859"/>
      <c r="N4" s="859"/>
      <c r="O4" s="279"/>
    </row>
    <row r="5" spans="1:15" ht="45" customHeight="1" x14ac:dyDescent="0.35">
      <c r="A5" s="269" t="s">
        <v>1770</v>
      </c>
      <c r="B5" s="84"/>
      <c r="C5" s="84"/>
      <c r="D5" s="84"/>
      <c r="E5" s="85"/>
      <c r="F5" s="85"/>
      <c r="G5" s="85"/>
      <c r="H5" s="85"/>
      <c r="I5" s="85"/>
      <c r="J5" s="85"/>
      <c r="K5" s="85"/>
      <c r="L5" s="85"/>
      <c r="M5" s="85"/>
      <c r="N5" s="85"/>
      <c r="O5" s="279"/>
    </row>
    <row r="6" spans="1:15" ht="15" customHeight="1" x14ac:dyDescent="0.35">
      <c r="A6" s="259"/>
      <c r="B6" s="480" t="s">
        <v>1771</v>
      </c>
      <c r="C6" s="483"/>
      <c r="D6" s="483"/>
      <c r="E6" s="483"/>
      <c r="F6" s="873"/>
      <c r="G6" s="873"/>
      <c r="H6" s="873"/>
      <c r="I6" s="873"/>
      <c r="J6" s="715">
        <v>36298785</v>
      </c>
      <c r="K6" s="715">
        <v>40527208</v>
      </c>
      <c r="L6" s="874">
        <v>48893669</v>
      </c>
      <c r="M6" s="874">
        <v>59021346</v>
      </c>
      <c r="N6" s="872">
        <v>56804985</v>
      </c>
      <c r="O6" s="279"/>
    </row>
    <row r="7" spans="1:15" ht="15" customHeight="1" x14ac:dyDescent="0.35">
      <c r="A7" s="259"/>
      <c r="B7" s="164" t="s">
        <v>1772</v>
      </c>
      <c r="C7" s="452"/>
      <c r="D7" s="452"/>
      <c r="E7" s="452"/>
      <c r="F7" s="16"/>
      <c r="G7" s="16"/>
      <c r="H7" s="16"/>
      <c r="I7" s="16"/>
      <c r="J7" s="1">
        <v>34402572</v>
      </c>
      <c r="K7" s="1">
        <v>38437289</v>
      </c>
      <c r="L7" s="23">
        <v>46690378</v>
      </c>
      <c r="M7" s="23">
        <v>56177738</v>
      </c>
      <c r="N7" s="34">
        <v>51096634</v>
      </c>
      <c r="O7" s="279"/>
    </row>
    <row r="8" spans="1:15" ht="15" customHeight="1" x14ac:dyDescent="0.35">
      <c r="A8" s="259"/>
      <c r="B8" s="363" t="str">
        <f>CONCATENATE("Check: row ", ROW(E7), " ≤ row ", ROW(E6))</f>
        <v>Check: row 7 ≤ row 6</v>
      </c>
      <c r="C8" s="21"/>
      <c r="D8" s="21"/>
      <c r="E8" s="21"/>
      <c r="F8" s="17"/>
      <c r="G8" s="17"/>
      <c r="H8" s="17"/>
      <c r="I8" s="17"/>
      <c r="J8" s="353" t="str">
        <f t="shared" ref="J8:K8" si="1">IF(AND(ISNUMBER(J6), ISNUMBER(J7)), IF(AND(J7&lt;=J6), "Pass", "Fail"), "")</f>
        <v>Pass</v>
      </c>
      <c r="K8" s="353" t="str">
        <f t="shared" si="1"/>
        <v>Pass</v>
      </c>
      <c r="L8" s="353" t="str">
        <f t="shared" ref="L8:N8" si="2">IF(AND(ISNUMBER(L6), ISNUMBER(L7)), IF(AND(L7&lt;=L6), "Pass", "Fail"), "")</f>
        <v>Pass</v>
      </c>
      <c r="M8" s="353" t="str">
        <f t="shared" si="2"/>
        <v>Pass</v>
      </c>
      <c r="N8" s="353" t="str">
        <f t="shared" si="2"/>
        <v>Pass</v>
      </c>
      <c r="O8" s="279"/>
    </row>
    <row r="9" spans="1:15" ht="15" customHeight="1" x14ac:dyDescent="0.35">
      <c r="A9" s="259"/>
      <c r="E9" s="85"/>
      <c r="F9" s="85"/>
      <c r="G9" s="85"/>
      <c r="H9" s="85"/>
      <c r="I9" s="85"/>
      <c r="J9" s="85"/>
      <c r="K9" s="85"/>
      <c r="L9" s="85"/>
      <c r="M9" s="85"/>
      <c r="N9" s="85"/>
      <c r="O9" s="279"/>
    </row>
    <row r="10" spans="1:15" ht="45" customHeight="1" x14ac:dyDescent="0.35">
      <c r="A10" s="665" t="s">
        <v>1773</v>
      </c>
      <c r="B10" s="858"/>
      <c r="C10" s="846"/>
      <c r="D10" s="846"/>
      <c r="E10" s="846"/>
      <c r="F10" s="846"/>
      <c r="G10" s="846"/>
      <c r="H10" s="846"/>
      <c r="I10" s="846"/>
      <c r="J10" s="846"/>
      <c r="K10" s="846"/>
      <c r="L10" s="846"/>
      <c r="M10" s="846"/>
      <c r="N10" s="846"/>
      <c r="O10" s="728"/>
    </row>
    <row r="11" spans="1:15" ht="15" customHeight="1" x14ac:dyDescent="0.35">
      <c r="A11" s="259"/>
      <c r="B11" s="670" t="s">
        <v>1774</v>
      </c>
      <c r="C11" s="483"/>
      <c r="D11" s="483"/>
      <c r="E11" s="483"/>
      <c r="F11" s="873"/>
      <c r="G11" s="873"/>
      <c r="H11" s="873"/>
      <c r="I11" s="669"/>
      <c r="J11" s="664">
        <f>IF(AND(ISNUMBER(J12), ISNUMBER(J14), ISNUMBER(J17), ISNUMBER(J18), ISNUMBER(J19), ISNUMBER(J20), ISNUMBER(J22)), J12-J14+J17+J18-J19+J20+J22+ IF(ISNUMBER(J23), J23, 0), "")</f>
        <v>1168560</v>
      </c>
      <c r="K11" s="664">
        <f>IF(AND(ISNUMBER(K12), ISNUMBER(K14), ISNUMBER(K17), ISNUMBER(K18), ISNUMBER(K19), ISNUMBER(K20), ISNUMBER(K22)), K12-K14+K17+K18-K19+K20+K22+ IF(ISNUMBER(K23), K23, 0), "")</f>
        <v>1242150</v>
      </c>
      <c r="L11" s="664">
        <f>IF(AND(ISNUMBER(L12), ISNUMBER(L14), ISNUMBER(L17), ISNUMBER(L18), ISNUMBER(L19), ISNUMBER(L20), ISNUMBER(L22)), L12-L14+L17+L18-L19+L20+L22+ IF(ISNUMBER(L23), L23, 0), "")</f>
        <v>1226560</v>
      </c>
      <c r="M11" s="664">
        <f>IF(AND(ISNUMBER(M12), ISNUMBER(M14), ISNUMBER(M17), ISNUMBER(M18), ISNUMBER(M19), ISNUMBER(M20), ISNUMBER(M22)), M12-M14+M17+M18-M19+M20+M22+ IF(ISNUMBER(M23), M23, 0), "")</f>
        <v>1448226</v>
      </c>
      <c r="N11" s="714">
        <f>IF(AND(ISNUMBER(N12), ISNUMBER(N14), ISNUMBER(N17), ISNUMBER(N18), ISNUMBER(N19), ISNUMBER(N20), ISNUMBER(N22)), N12-N14+N17+N18-N19+N20+N22+ IF(ISNUMBER(N23), N23, 0), "")</f>
        <v>1528404</v>
      </c>
      <c r="O11" s="279"/>
    </row>
    <row r="12" spans="1:15" ht="15" customHeight="1" x14ac:dyDescent="0.35">
      <c r="A12" s="259"/>
      <c r="B12" s="152" t="s">
        <v>1775</v>
      </c>
      <c r="C12" s="452"/>
      <c r="D12" s="452"/>
      <c r="E12" s="452"/>
      <c r="F12" s="16"/>
      <c r="G12" s="16"/>
      <c r="H12" s="16"/>
      <c r="I12" s="16"/>
      <c r="J12" s="173">
        <v>589685</v>
      </c>
      <c r="K12" s="173">
        <v>590404</v>
      </c>
      <c r="L12" s="11">
        <v>555518</v>
      </c>
      <c r="M12" s="11">
        <v>584931</v>
      </c>
      <c r="N12" s="73">
        <v>798348</v>
      </c>
      <c r="O12" s="279"/>
    </row>
    <row r="13" spans="1:15" ht="15" customHeight="1" x14ac:dyDescent="0.35">
      <c r="A13" s="259"/>
      <c r="B13" s="164" t="s">
        <v>1776</v>
      </c>
      <c r="C13" s="452"/>
      <c r="D13" s="452"/>
      <c r="E13" s="452"/>
      <c r="F13" s="16"/>
      <c r="G13" s="16"/>
      <c r="H13" s="16"/>
      <c r="I13" s="16"/>
      <c r="J13" s="173">
        <v>51969</v>
      </c>
      <c r="K13" s="173">
        <v>51105</v>
      </c>
      <c r="L13" s="173">
        <v>52271</v>
      </c>
      <c r="M13" s="173">
        <v>54121</v>
      </c>
      <c r="N13" s="134">
        <v>66806</v>
      </c>
      <c r="O13" s="279"/>
    </row>
    <row r="14" spans="1:15" ht="15" customHeight="1" x14ac:dyDescent="0.35">
      <c r="A14" s="259"/>
      <c r="B14" s="152" t="s">
        <v>1777</v>
      </c>
      <c r="C14" s="452"/>
      <c r="D14" s="452"/>
      <c r="E14" s="452"/>
      <c r="F14" s="16"/>
      <c r="G14" s="16"/>
      <c r="H14" s="16"/>
      <c r="I14" s="16"/>
      <c r="J14" s="173">
        <v>99722</v>
      </c>
      <c r="K14" s="173">
        <v>106772</v>
      </c>
      <c r="L14" s="29">
        <v>66189</v>
      </c>
      <c r="M14" s="29">
        <v>94441</v>
      </c>
      <c r="N14" s="54">
        <v>143896</v>
      </c>
      <c r="O14" s="279"/>
    </row>
    <row r="15" spans="1:15" ht="15" customHeight="1" x14ac:dyDescent="0.35">
      <c r="A15" s="259"/>
      <c r="B15" s="164" t="s">
        <v>1778</v>
      </c>
      <c r="C15" s="452"/>
      <c r="D15" s="452"/>
      <c r="E15" s="452"/>
      <c r="F15" s="16"/>
      <c r="G15" s="16"/>
      <c r="H15" s="16"/>
      <c r="I15" s="65"/>
      <c r="J15" s="172">
        <v>3086</v>
      </c>
      <c r="K15" s="173">
        <v>3777</v>
      </c>
      <c r="L15" s="173">
        <v>3844</v>
      </c>
      <c r="M15" s="173">
        <v>3293</v>
      </c>
      <c r="N15" s="134">
        <v>3178</v>
      </c>
      <c r="O15" s="279"/>
    </row>
    <row r="16" spans="1:15" ht="15" customHeight="1" x14ac:dyDescent="0.35">
      <c r="A16" s="259"/>
      <c r="B16" s="152" t="s">
        <v>1779</v>
      </c>
      <c r="C16" s="452"/>
      <c r="D16" s="452"/>
      <c r="E16" s="452"/>
      <c r="F16" s="16"/>
      <c r="G16" s="16"/>
      <c r="H16" s="16"/>
      <c r="I16" s="65"/>
      <c r="J16" s="30">
        <f t="shared" ref="J16:K16" si="3">IF(AND(ISNUMBER(J12), ISNUMBER(J14)), ABS(J12-J14), "")</f>
        <v>489963</v>
      </c>
      <c r="K16" s="30">
        <f t="shared" si="3"/>
        <v>483632</v>
      </c>
      <c r="L16" s="30">
        <f t="shared" ref="L16:N16" si="4">IF(AND(ISNUMBER(L12), ISNUMBER(L14)), ABS(L12-L14), "")</f>
        <v>489329</v>
      </c>
      <c r="M16" s="30">
        <f t="shared" si="4"/>
        <v>490490</v>
      </c>
      <c r="N16" s="9">
        <f t="shared" si="4"/>
        <v>654452</v>
      </c>
      <c r="O16" s="279"/>
    </row>
    <row r="17" spans="1:15" ht="15" customHeight="1" x14ac:dyDescent="0.35">
      <c r="A17" s="259"/>
      <c r="B17" s="152" t="s">
        <v>1780</v>
      </c>
      <c r="C17" s="452"/>
      <c r="D17" s="452"/>
      <c r="E17" s="452"/>
      <c r="F17" s="16"/>
      <c r="G17" s="16"/>
      <c r="H17" s="16"/>
      <c r="I17" s="16"/>
      <c r="J17" s="173">
        <v>1079</v>
      </c>
      <c r="K17" s="173">
        <v>338</v>
      </c>
      <c r="L17" s="11">
        <v>585</v>
      </c>
      <c r="M17" s="11">
        <v>182</v>
      </c>
      <c r="N17" s="73">
        <v>2164</v>
      </c>
      <c r="O17" s="279"/>
    </row>
    <row r="18" spans="1:15" ht="15" customHeight="1" x14ac:dyDescent="0.35">
      <c r="A18" s="259"/>
      <c r="B18" s="152" t="s">
        <v>1781</v>
      </c>
      <c r="C18" s="452"/>
      <c r="D18" s="452"/>
      <c r="E18" s="452"/>
      <c r="F18" s="16"/>
      <c r="G18" s="16"/>
      <c r="H18" s="16"/>
      <c r="I18" s="16"/>
      <c r="J18" s="173">
        <v>673213</v>
      </c>
      <c r="K18" s="173">
        <v>757492</v>
      </c>
      <c r="L18" s="23">
        <v>738343</v>
      </c>
      <c r="M18" s="23">
        <v>868946</v>
      </c>
      <c r="N18" s="34">
        <v>809813</v>
      </c>
      <c r="O18" s="279"/>
    </row>
    <row r="19" spans="1:15" ht="15" customHeight="1" x14ac:dyDescent="0.35">
      <c r="A19" s="259"/>
      <c r="B19" s="152" t="s">
        <v>1782</v>
      </c>
      <c r="C19" s="452"/>
      <c r="D19" s="452"/>
      <c r="E19" s="452"/>
      <c r="F19" s="16"/>
      <c r="G19" s="16"/>
      <c r="H19" s="16"/>
      <c r="I19" s="16"/>
      <c r="J19" s="173">
        <v>150782</v>
      </c>
      <c r="K19" s="173">
        <v>165785</v>
      </c>
      <c r="L19" s="23">
        <v>168156</v>
      </c>
      <c r="M19" s="23">
        <v>176829</v>
      </c>
      <c r="N19" s="34">
        <v>149433</v>
      </c>
      <c r="O19" s="279"/>
    </row>
    <row r="20" spans="1:15" ht="15" customHeight="1" x14ac:dyDescent="0.35">
      <c r="A20" s="259"/>
      <c r="B20" s="213" t="s">
        <v>1783</v>
      </c>
      <c r="C20" s="452"/>
      <c r="D20" s="452"/>
      <c r="E20" s="452"/>
      <c r="F20" s="16"/>
      <c r="G20" s="16"/>
      <c r="H20" s="16"/>
      <c r="I20" s="16"/>
      <c r="J20" s="173">
        <v>10011</v>
      </c>
      <c r="K20" s="173">
        <v>22095</v>
      </c>
      <c r="L20" s="23">
        <v>26144</v>
      </c>
      <c r="M20" s="23">
        <v>15735</v>
      </c>
      <c r="N20" s="34">
        <v>8530</v>
      </c>
      <c r="O20" s="279"/>
    </row>
    <row r="21" spans="1:15" ht="15" customHeight="1" x14ac:dyDescent="0.35">
      <c r="A21" s="259"/>
      <c r="B21" s="213" t="s">
        <v>1784</v>
      </c>
      <c r="C21" s="452"/>
      <c r="D21" s="452"/>
      <c r="E21" s="452"/>
      <c r="F21" s="16"/>
      <c r="G21" s="16"/>
      <c r="H21" s="16"/>
      <c r="I21" s="16"/>
      <c r="J21" s="173">
        <v>37299</v>
      </c>
      <c r="K21" s="173">
        <v>12094</v>
      </c>
      <c r="L21" s="23">
        <v>25325</v>
      </c>
      <c r="M21" s="23">
        <v>39081</v>
      </c>
      <c r="N21" s="34">
        <v>46748</v>
      </c>
      <c r="O21" s="279"/>
    </row>
    <row r="22" spans="1:15" ht="15" customHeight="1" x14ac:dyDescent="0.35">
      <c r="A22" s="259"/>
      <c r="B22" s="152" t="s">
        <v>1785</v>
      </c>
      <c r="C22" s="452"/>
      <c r="D22" s="452"/>
      <c r="E22" s="452"/>
      <c r="F22" s="16"/>
      <c r="G22" s="16"/>
      <c r="H22" s="16"/>
      <c r="I22" s="16"/>
      <c r="J22" s="173">
        <v>145076</v>
      </c>
      <c r="K22" s="173">
        <v>144378</v>
      </c>
      <c r="L22" s="23">
        <v>140315</v>
      </c>
      <c r="M22" s="23">
        <v>249702</v>
      </c>
      <c r="N22" s="34">
        <v>202878</v>
      </c>
      <c r="O22" s="279"/>
    </row>
    <row r="23" spans="1:15" ht="15" customHeight="1" x14ac:dyDescent="0.35">
      <c r="A23" s="263"/>
      <c r="B23" s="132" t="s">
        <v>1786</v>
      </c>
      <c r="C23" s="453"/>
      <c r="D23" s="453"/>
      <c r="E23" s="453"/>
      <c r="F23" s="128"/>
      <c r="G23" s="128"/>
      <c r="H23" s="128"/>
      <c r="I23" s="128"/>
      <c r="J23" s="173">
        <v>0</v>
      </c>
      <c r="K23" s="173">
        <v>0</v>
      </c>
      <c r="L23" s="173">
        <v>0</v>
      </c>
      <c r="M23" s="173">
        <v>0</v>
      </c>
      <c r="N23" s="134">
        <v>0</v>
      </c>
      <c r="O23" s="279"/>
    </row>
    <row r="24" spans="1:15" ht="15" customHeight="1" x14ac:dyDescent="0.35">
      <c r="A24" s="259"/>
      <c r="B24" s="218" t="s">
        <v>1787</v>
      </c>
      <c r="C24" s="21"/>
      <c r="D24" s="21"/>
      <c r="E24" s="21"/>
      <c r="F24" s="17"/>
      <c r="G24" s="17"/>
      <c r="H24" s="17"/>
      <c r="I24" s="17"/>
      <c r="J24" s="24">
        <v>22300</v>
      </c>
      <c r="K24" s="24">
        <v>10160</v>
      </c>
      <c r="L24" s="18">
        <v>13822</v>
      </c>
      <c r="M24" s="18">
        <v>17842</v>
      </c>
      <c r="N24" s="72">
        <v>62576</v>
      </c>
      <c r="O24" s="279"/>
    </row>
    <row r="25" spans="1:15" ht="15" customHeight="1" x14ac:dyDescent="0.35">
      <c r="A25" s="259"/>
      <c r="E25" s="85"/>
      <c r="F25" s="85"/>
      <c r="G25" s="85"/>
      <c r="H25" s="85"/>
      <c r="I25" s="85"/>
      <c r="J25" s="85"/>
      <c r="K25" s="85"/>
      <c r="L25" s="85"/>
      <c r="M25" s="85"/>
      <c r="N25" s="85"/>
      <c r="O25" s="279"/>
    </row>
    <row r="26" spans="1:15" ht="45" customHeight="1" x14ac:dyDescent="0.35">
      <c r="A26" s="665" t="s">
        <v>1788</v>
      </c>
      <c r="B26" s="858"/>
      <c r="C26" s="858"/>
      <c r="D26" s="858"/>
      <c r="E26" s="846"/>
      <c r="F26" s="846"/>
      <c r="G26" s="846"/>
      <c r="H26" s="846"/>
      <c r="I26" s="846"/>
      <c r="J26" s="846"/>
      <c r="K26" s="846"/>
      <c r="L26" s="846"/>
      <c r="M26" s="846"/>
      <c r="N26" s="846"/>
      <c r="O26" s="728"/>
    </row>
    <row r="27" spans="1:15" ht="30" customHeight="1" x14ac:dyDescent="0.35">
      <c r="A27" s="269"/>
      <c r="B27" s="858"/>
      <c r="C27" s="2684" t="str">
        <f>CONCATENATE("Memo (of loss window ",C28,"–",D28+9, ")")</f>
        <v>Memo (of loss window 2011–2021)</v>
      </c>
      <c r="D27" s="2684"/>
      <c r="E27" s="3248" t="str">
        <f>"10-year Basel III monitoring loss window (" &amp; $N$3-9 &amp; "–" &amp; $N$3 &amp; ")"</f>
        <v>10-year Basel III monitoring loss window (2013–2022)</v>
      </c>
      <c r="F27" s="2836"/>
      <c r="G27" s="2836"/>
      <c r="H27" s="2836"/>
      <c r="I27" s="2836"/>
      <c r="J27" s="2836"/>
      <c r="K27" s="2836"/>
      <c r="L27" s="2836"/>
      <c r="M27" s="2836"/>
      <c r="N27" s="2836"/>
      <c r="O27" s="279"/>
    </row>
    <row r="28" spans="1:15" ht="15" customHeight="1" x14ac:dyDescent="0.35">
      <c r="A28" s="259"/>
      <c r="B28" s="1745"/>
      <c r="C28" s="870">
        <f t="shared" ref="C28:N28" si="5">C$3</f>
        <v>2011</v>
      </c>
      <c r="D28" s="871">
        <f t="shared" si="5"/>
        <v>2012</v>
      </c>
      <c r="E28" s="870">
        <f t="shared" si="5"/>
        <v>2013</v>
      </c>
      <c r="F28" s="870">
        <f t="shared" si="5"/>
        <v>2014</v>
      </c>
      <c r="G28" s="870">
        <f t="shared" si="5"/>
        <v>2015</v>
      </c>
      <c r="H28" s="870">
        <f t="shared" si="5"/>
        <v>2016</v>
      </c>
      <c r="I28" s="870">
        <f t="shared" si="5"/>
        <v>2017</v>
      </c>
      <c r="J28" s="870">
        <f t="shared" si="5"/>
        <v>2018</v>
      </c>
      <c r="K28" s="870">
        <f t="shared" si="5"/>
        <v>2019</v>
      </c>
      <c r="L28" s="870">
        <f t="shared" si="5"/>
        <v>2020</v>
      </c>
      <c r="M28" s="870">
        <f t="shared" si="5"/>
        <v>2021</v>
      </c>
      <c r="N28" s="959">
        <f t="shared" si="5"/>
        <v>2022</v>
      </c>
      <c r="O28" s="279"/>
    </row>
    <row r="29" spans="1:15" ht="30" customHeight="1" x14ac:dyDescent="0.35">
      <c r="A29" s="259"/>
      <c r="B29" s="64" t="s">
        <v>1789</v>
      </c>
      <c r="C29" s="1405" t="s">
        <v>7</v>
      </c>
      <c r="D29" s="1406" t="s">
        <v>7</v>
      </c>
      <c r="E29" s="1404" t="s">
        <v>1790</v>
      </c>
      <c r="F29" s="1404" t="s">
        <v>1790</v>
      </c>
      <c r="G29" s="1404" t="s">
        <v>1790</v>
      </c>
      <c r="H29" s="1404" t="s">
        <v>1790</v>
      </c>
      <c r="I29" s="1404" t="s">
        <v>1790</v>
      </c>
      <c r="J29" s="1404" t="s">
        <v>1790</v>
      </c>
      <c r="K29" s="1404" t="s">
        <v>1790</v>
      </c>
      <c r="L29" s="1404" t="s">
        <v>1790</v>
      </c>
      <c r="M29" s="1404" t="s">
        <v>1790</v>
      </c>
      <c r="N29" s="759" t="s">
        <v>1790</v>
      </c>
      <c r="O29" s="279"/>
    </row>
    <row r="30" spans="1:15" ht="15" customHeight="1" x14ac:dyDescent="0.35">
      <c r="A30" s="259"/>
      <c r="B30" s="481" t="s">
        <v>1791</v>
      </c>
      <c r="C30" s="1402"/>
      <c r="D30" s="1403"/>
      <c r="E30" s="1402"/>
      <c r="F30" s="1374"/>
      <c r="G30" s="1374"/>
      <c r="H30" s="1374"/>
      <c r="I30" s="1374"/>
      <c r="J30" s="1374"/>
      <c r="K30" s="1374"/>
      <c r="L30" s="1374"/>
      <c r="M30" s="1374"/>
      <c r="N30" s="1375"/>
      <c r="O30" s="279"/>
    </row>
    <row r="31" spans="1:15" ht="15" customHeight="1" x14ac:dyDescent="0.35">
      <c r="A31" s="259"/>
      <c r="B31" s="364" t="s">
        <v>1792</v>
      </c>
      <c r="C31" s="173"/>
      <c r="D31" s="861"/>
      <c r="E31" s="175">
        <v>17920.042000000001</v>
      </c>
      <c r="F31" s="23">
        <v>13257.950999999999</v>
      </c>
      <c r="G31" s="23">
        <v>25541.528999999999</v>
      </c>
      <c r="H31" s="23">
        <v>46023.188000000002</v>
      </c>
      <c r="I31" s="23">
        <v>24634.38</v>
      </c>
      <c r="J31" s="23">
        <v>19281.38</v>
      </c>
      <c r="K31" s="23">
        <v>27332.256000000001</v>
      </c>
      <c r="L31" s="23">
        <v>19489.564999999999</v>
      </c>
      <c r="M31" s="23">
        <v>11878.669</v>
      </c>
      <c r="N31" s="34">
        <v>15436.54</v>
      </c>
      <c r="O31" s="279"/>
    </row>
    <row r="32" spans="1:15" ht="15" customHeight="1" x14ac:dyDescent="0.35">
      <c r="A32" s="259"/>
      <c r="B32" s="364" t="s">
        <v>1793</v>
      </c>
      <c r="C32" s="173"/>
      <c r="D32" s="861"/>
      <c r="E32" s="175">
        <v>3281.0320000000002</v>
      </c>
      <c r="F32" s="23">
        <v>1738.5609999999999</v>
      </c>
      <c r="G32" s="23">
        <v>3457.4470000000001</v>
      </c>
      <c r="H32" s="23">
        <v>7890.4250000000002</v>
      </c>
      <c r="I32" s="23">
        <v>12747.855</v>
      </c>
      <c r="J32" s="23">
        <v>5332.9459999999999</v>
      </c>
      <c r="K32" s="23">
        <v>16250.653</v>
      </c>
      <c r="L32" s="23">
        <v>6080.9279999999999</v>
      </c>
      <c r="M32" s="23">
        <v>6547.1279999999997</v>
      </c>
      <c r="N32" s="34">
        <v>4031.029</v>
      </c>
      <c r="O32" s="279"/>
    </row>
    <row r="33" spans="1:15" ht="15" customHeight="1" x14ac:dyDescent="0.35">
      <c r="A33" s="259"/>
      <c r="B33" s="1588" t="s">
        <v>1794</v>
      </c>
      <c r="C33" s="173"/>
      <c r="D33" s="861"/>
      <c r="E33" s="175">
        <v>341</v>
      </c>
      <c r="F33" s="23">
        <v>590</v>
      </c>
      <c r="G33" s="23">
        <v>95.040999999999997</v>
      </c>
      <c r="H33" s="23">
        <v>3108.4960000000001</v>
      </c>
      <c r="I33" s="23">
        <v>6909.5370000000003</v>
      </c>
      <c r="J33" s="23">
        <v>420.29199999999997</v>
      </c>
      <c r="K33" s="23">
        <v>886.47400000000005</v>
      </c>
      <c r="L33" s="23">
        <v>201.756</v>
      </c>
      <c r="M33" s="23">
        <v>127.68</v>
      </c>
      <c r="N33" s="34">
        <v>88.694000000000003</v>
      </c>
      <c r="O33" s="279"/>
    </row>
    <row r="34" spans="1:15" ht="15" customHeight="1" x14ac:dyDescent="0.35">
      <c r="A34" s="259"/>
      <c r="B34" s="365" t="str">
        <f>CONCATENATE("Check: row ", ROW(B33), " ≤ row ", ROW(B32))</f>
        <v>Check: row 33 ≤ row 32</v>
      </c>
      <c r="C34" s="173"/>
      <c r="D34" s="861"/>
      <c r="E34" s="484" t="str">
        <f>IF(AND(ISNUMBER(E32), ISNUMBER(E33)), IF(E33&lt;=E32, "Pass", "Fail"), "")</f>
        <v>Pass</v>
      </c>
      <c r="F34" s="366" t="str">
        <f t="shared" ref="F34:N34" si="6">IF(AND(ISNUMBER(F32), ISNUMBER(F33)), IF(F33&lt;=F32, "Pass", "Fail"), "")</f>
        <v>Pass</v>
      </c>
      <c r="G34" s="366" t="str">
        <f t="shared" si="6"/>
        <v>Pass</v>
      </c>
      <c r="H34" s="366" t="str">
        <f t="shared" si="6"/>
        <v>Pass</v>
      </c>
      <c r="I34" s="366" t="str">
        <f t="shared" si="6"/>
        <v>Pass</v>
      </c>
      <c r="J34" s="366" t="str">
        <f t="shared" si="6"/>
        <v>Pass</v>
      </c>
      <c r="K34" s="366" t="str">
        <f t="shared" si="6"/>
        <v>Pass</v>
      </c>
      <c r="L34" s="366" t="str">
        <f t="shared" si="6"/>
        <v>Pass</v>
      </c>
      <c r="M34" s="366" t="str">
        <f t="shared" si="6"/>
        <v>Pass</v>
      </c>
      <c r="N34" s="357" t="str">
        <f t="shared" si="6"/>
        <v>Pass</v>
      </c>
      <c r="O34" s="279"/>
    </row>
    <row r="35" spans="1:15" ht="15" customHeight="1" x14ac:dyDescent="0.35">
      <c r="A35" s="259"/>
      <c r="B35" s="364" t="s">
        <v>1795</v>
      </c>
      <c r="C35" s="97" t="str">
        <f>IF(AND(ISNUMBER(C31), ISNUMBER(C32)), C31-C32, "")</f>
        <v/>
      </c>
      <c r="D35" s="862" t="str">
        <f>IF(AND(ISNUMBER(D31), ISNUMBER(D32)), D31-D32, "")</f>
        <v/>
      </c>
      <c r="E35" s="97">
        <f>IF(AND(ISNUMBER(E31), ISNUMBER(E32)), E31-E32, "")</f>
        <v>14639.010000000002</v>
      </c>
      <c r="F35" s="30">
        <f t="shared" ref="F35:N35" si="7">IF(AND(ISNUMBER(F31), ISNUMBER(F32)), F31-F32, "")</f>
        <v>11519.39</v>
      </c>
      <c r="G35" s="30">
        <f t="shared" si="7"/>
        <v>22084.081999999999</v>
      </c>
      <c r="H35" s="30">
        <f t="shared" si="7"/>
        <v>38132.762999999999</v>
      </c>
      <c r="I35" s="30">
        <f t="shared" si="7"/>
        <v>11886.525000000001</v>
      </c>
      <c r="J35" s="30">
        <f t="shared" si="7"/>
        <v>13948.434000000001</v>
      </c>
      <c r="K35" s="30">
        <f t="shared" si="7"/>
        <v>11081.603000000001</v>
      </c>
      <c r="L35" s="30">
        <f t="shared" si="7"/>
        <v>13408.636999999999</v>
      </c>
      <c r="M35" s="30">
        <f t="shared" si="7"/>
        <v>5331.5410000000002</v>
      </c>
      <c r="N35" s="9">
        <f t="shared" si="7"/>
        <v>11405.511</v>
      </c>
      <c r="O35" s="279"/>
    </row>
    <row r="36" spans="1:15" ht="15" customHeight="1" x14ac:dyDescent="0.35">
      <c r="A36" s="259"/>
      <c r="B36" s="364" t="s">
        <v>1796</v>
      </c>
      <c r="C36" s="173"/>
      <c r="D36" s="861"/>
      <c r="E36" s="401">
        <v>67</v>
      </c>
      <c r="F36" s="11">
        <v>90</v>
      </c>
      <c r="G36" s="11">
        <v>97</v>
      </c>
      <c r="H36" s="11">
        <v>117</v>
      </c>
      <c r="I36" s="11">
        <v>90</v>
      </c>
      <c r="J36" s="11">
        <v>115</v>
      </c>
      <c r="K36" s="11">
        <v>101</v>
      </c>
      <c r="L36" s="11">
        <v>100</v>
      </c>
      <c r="M36" s="11">
        <v>102</v>
      </c>
      <c r="N36" s="73">
        <v>147</v>
      </c>
      <c r="O36" s="279"/>
    </row>
    <row r="37" spans="1:15" ht="15" customHeight="1" x14ac:dyDescent="0.35">
      <c r="A37" s="259"/>
      <c r="B37" s="365" t="str">
        <f>CONCATENATE("Check: row ", ROW(B31), " &gt; 0 ↔ row ", ROW(B36)," &gt; 0")</f>
        <v>Check: row 31 &gt; 0 ↔ row 36 &gt; 0</v>
      </c>
      <c r="C37" s="359" t="str">
        <f t="shared" ref="C37:N37" si="8">IF(AND(ISNUMBER(C31), ISNUMBER(C36)), IF(C36&gt;0, IF(C31&gt;0, "Pass", "Fail"), IF(C31=0, "Pass", "Fail")), "")</f>
        <v/>
      </c>
      <c r="D37" s="863" t="str">
        <f t="shared" si="8"/>
        <v/>
      </c>
      <c r="E37" s="359" t="str">
        <f t="shared" si="8"/>
        <v>Pass</v>
      </c>
      <c r="F37" s="359" t="str">
        <f t="shared" si="8"/>
        <v>Pass</v>
      </c>
      <c r="G37" s="359" t="str">
        <f t="shared" si="8"/>
        <v>Pass</v>
      </c>
      <c r="H37" s="359" t="str">
        <f t="shared" si="8"/>
        <v>Pass</v>
      </c>
      <c r="I37" s="359" t="str">
        <f t="shared" si="8"/>
        <v>Pass</v>
      </c>
      <c r="J37" s="359" t="str">
        <f t="shared" si="8"/>
        <v>Pass</v>
      </c>
      <c r="K37" s="359" t="str">
        <f t="shared" si="8"/>
        <v>Pass</v>
      </c>
      <c r="L37" s="359" t="str">
        <f t="shared" si="8"/>
        <v>Pass</v>
      </c>
      <c r="M37" s="359" t="str">
        <f t="shared" si="8"/>
        <v>Pass</v>
      </c>
      <c r="N37" s="404" t="str">
        <f t="shared" si="8"/>
        <v>Pass</v>
      </c>
      <c r="O37" s="279"/>
    </row>
    <row r="38" spans="1:15" ht="15" customHeight="1" x14ac:dyDescent="0.35">
      <c r="A38" s="259"/>
      <c r="B38" s="364" t="s">
        <v>1797</v>
      </c>
      <c r="C38" s="452"/>
      <c r="D38" s="860"/>
      <c r="E38" s="3249">
        <v>615</v>
      </c>
      <c r="F38" s="3249"/>
      <c r="G38" s="3249"/>
      <c r="H38" s="3249"/>
      <c r="I38" s="3249"/>
      <c r="J38" s="3249"/>
      <c r="K38" s="3249"/>
      <c r="L38" s="3249"/>
      <c r="M38" s="3249"/>
      <c r="N38" s="3249"/>
      <c r="O38" s="279"/>
    </row>
    <row r="39" spans="1:15" ht="15" customHeight="1" x14ac:dyDescent="0.35">
      <c r="A39" s="259"/>
      <c r="B39" s="365" t="str">
        <f ca="1">CONCATENATE("Check: sum(row ", ROW(B36), ") ≥ ",CELL("address",E38)," ≥ max(row ",ROW(B36),")")</f>
        <v>Check: sum(row 36) ≥ $E$38 ≥ max(row 36)</v>
      </c>
      <c r="C39" s="452"/>
      <c r="D39" s="860"/>
      <c r="E39" s="2558" t="str">
        <f>IF(AND(SUM(E36:N36)&gt;=E38,E38&gt;=MAX(E36:N36)), "Pass", "Fail")</f>
        <v>Pass</v>
      </c>
      <c r="F39" s="2558"/>
      <c r="G39" s="2558"/>
      <c r="H39" s="2558"/>
      <c r="I39" s="2558"/>
      <c r="J39" s="2558"/>
      <c r="K39" s="2558"/>
      <c r="L39" s="2558"/>
      <c r="M39" s="2558"/>
      <c r="N39" s="2558"/>
      <c r="O39" s="279"/>
    </row>
    <row r="40" spans="1:15" ht="15" customHeight="1" x14ac:dyDescent="0.35">
      <c r="A40" s="259"/>
      <c r="B40" s="365" t="str">
        <f ca="1">CONCATENATE("Check: sum(row ",ROW(B35),")/",CELL("address",E38)," ≥ EUR 20,000 or ",CELL("address",E38)," = 0")</f>
        <v>Check: sum(row 35)/$E$38 ≥ EUR 20,000 or $E$38 = 0</v>
      </c>
      <c r="C40" s="452"/>
      <c r="D40" s="860"/>
      <c r="E40" s="2558" t="str">
        <f>IF(E38=0,"Pass",IF(SUM(E35:N35)/E38&gt;=20000/'Supervisory information'!D15,"Pass","Fail"))</f>
        <v>Pass</v>
      </c>
      <c r="F40" s="2558"/>
      <c r="G40" s="2558"/>
      <c r="H40" s="2558"/>
      <c r="I40" s="2558"/>
      <c r="J40" s="2558"/>
      <c r="K40" s="2558"/>
      <c r="L40" s="2558"/>
      <c r="M40" s="2558"/>
      <c r="N40" s="2558"/>
      <c r="O40" s="279"/>
    </row>
    <row r="41" spans="1:15" ht="15" customHeight="1" x14ac:dyDescent="0.35">
      <c r="A41" s="259"/>
      <c r="B41" s="364" t="s">
        <v>1798</v>
      </c>
      <c r="C41" s="173"/>
      <c r="D41" s="861"/>
      <c r="E41" s="175">
        <v>0</v>
      </c>
      <c r="F41" s="175">
        <v>0</v>
      </c>
      <c r="G41" s="175">
        <v>0</v>
      </c>
      <c r="H41" s="175">
        <v>0</v>
      </c>
      <c r="I41" s="175">
        <v>0</v>
      </c>
      <c r="J41" s="175">
        <v>0</v>
      </c>
      <c r="K41" s="175">
        <v>0</v>
      </c>
      <c r="L41" s="175">
        <v>0</v>
      </c>
      <c r="M41" s="175">
        <v>0</v>
      </c>
      <c r="N41" s="136">
        <v>0</v>
      </c>
      <c r="O41" s="279"/>
    </row>
    <row r="42" spans="1:15" ht="15" customHeight="1" x14ac:dyDescent="0.35">
      <c r="A42" s="259"/>
      <c r="B42" s="364" t="s">
        <v>1799</v>
      </c>
      <c r="C42" s="97" t="str">
        <f>IF(AND(ISNUMBER(C35), ISNUMBER(C41)), C35-C41, "")</f>
        <v/>
      </c>
      <c r="D42" s="862" t="str">
        <f>IF(AND(ISNUMBER(D35), ISNUMBER(D41)), D35-D41, "")</f>
        <v/>
      </c>
      <c r="E42" s="97">
        <f>IF(AND(ISNUMBER(E35), ISNUMBER(E41)), E35-E41, "")</f>
        <v>14639.010000000002</v>
      </c>
      <c r="F42" s="97">
        <f t="shared" ref="F42:N42" si="9">IF(AND(ISNUMBER(F35), ISNUMBER(F41)), F35-F41, "")</f>
        <v>11519.39</v>
      </c>
      <c r="G42" s="97">
        <f t="shared" si="9"/>
        <v>22084.081999999999</v>
      </c>
      <c r="H42" s="97">
        <f t="shared" si="9"/>
        <v>38132.762999999999</v>
      </c>
      <c r="I42" s="97">
        <f t="shared" si="9"/>
        <v>11886.525000000001</v>
      </c>
      <c r="J42" s="97">
        <f t="shared" si="9"/>
        <v>13948.434000000001</v>
      </c>
      <c r="K42" s="97">
        <f t="shared" si="9"/>
        <v>11081.603000000001</v>
      </c>
      <c r="L42" s="97">
        <f t="shared" si="9"/>
        <v>13408.636999999999</v>
      </c>
      <c r="M42" s="97">
        <f t="shared" si="9"/>
        <v>5331.5410000000002</v>
      </c>
      <c r="N42" s="9">
        <f t="shared" si="9"/>
        <v>11405.511</v>
      </c>
      <c r="O42" s="279"/>
    </row>
    <row r="43" spans="1:15" ht="15" customHeight="1" x14ac:dyDescent="0.35">
      <c r="A43" s="259"/>
      <c r="B43" s="364" t="s">
        <v>1800</v>
      </c>
      <c r="C43" s="452"/>
      <c r="D43" s="860"/>
      <c r="E43" s="3249">
        <v>0</v>
      </c>
      <c r="F43" s="3249"/>
      <c r="G43" s="3249"/>
      <c r="H43" s="3249"/>
      <c r="I43" s="3249"/>
      <c r="J43" s="3249"/>
      <c r="K43" s="3249"/>
      <c r="L43" s="3249"/>
      <c r="M43" s="3249"/>
      <c r="N43" s="3249"/>
      <c r="O43" s="279"/>
    </row>
    <row r="44" spans="1:15" ht="15" customHeight="1" x14ac:dyDescent="0.35">
      <c r="A44" s="259"/>
      <c r="B44" s="365" t="str">
        <f ca="1">CONCATENATE("Check: ",CELL("address",E38)," ≥ ",CELL("address",E43)," ≥ 0")</f>
        <v>Check: $E$38 ≥ $E$43 ≥ 0</v>
      </c>
      <c r="C44" s="453"/>
      <c r="D44" s="864"/>
      <c r="E44" s="2558" t="str">
        <f>IF(AND(ISNUMBER(E38), ISNUMBER(E43)), IF(AND(E38&gt;=E43, E43&gt;=0), "Pass", "Fail"), "")</f>
        <v>Pass</v>
      </c>
      <c r="F44" s="2558"/>
      <c r="G44" s="2558"/>
      <c r="H44" s="2558"/>
      <c r="I44" s="2558"/>
      <c r="J44" s="2558"/>
      <c r="K44" s="2558"/>
      <c r="L44" s="2558"/>
      <c r="M44" s="2558"/>
      <c r="N44" s="2558"/>
      <c r="O44" s="279"/>
    </row>
    <row r="45" spans="1:15" ht="15" customHeight="1" x14ac:dyDescent="0.35">
      <c r="A45" s="259"/>
      <c r="B45" s="365" t="str">
        <f ca="1">CONCATENATE("Check: sum(row ",ROW(B42),")/(",CELL("address",E38)," - ",CELL("address",E43),") ≥ EUR 20,000 or ",CELL("address",E38)," - ",CELL("address",E43)," = 0")</f>
        <v>Check: sum(row 42)/($E$38 - $E$43) ≥ EUR 20,000 or $E$38 - $E$43 = 0</v>
      </c>
      <c r="C45" s="21"/>
      <c r="D45" s="865"/>
      <c r="E45" s="2558" t="str">
        <f>IF(E38-E43=0,"Pass",IF(SUM(E42:N42)/(E38-E43)&gt;=20000/'Supervisory information'!D15, "Pass", "Fail"))</f>
        <v>Pass</v>
      </c>
      <c r="F45" s="2558"/>
      <c r="G45" s="2558"/>
      <c r="H45" s="2558"/>
      <c r="I45" s="2558"/>
      <c r="J45" s="2558"/>
      <c r="K45" s="2558"/>
      <c r="L45" s="2558"/>
      <c r="M45" s="2558"/>
      <c r="N45" s="2558"/>
      <c r="O45" s="279"/>
    </row>
    <row r="46" spans="1:15" ht="15" customHeight="1" x14ac:dyDescent="0.35">
      <c r="A46" s="259"/>
      <c r="B46" s="481" t="s">
        <v>1801</v>
      </c>
      <c r="C46" s="452"/>
      <c r="D46" s="860"/>
      <c r="E46" s="483"/>
      <c r="F46" s="873"/>
      <c r="G46" s="873"/>
      <c r="H46" s="873"/>
      <c r="I46" s="873"/>
      <c r="J46" s="873"/>
      <c r="K46" s="873"/>
      <c r="L46" s="873"/>
      <c r="M46" s="873"/>
      <c r="N46" s="669"/>
      <c r="O46" s="279"/>
    </row>
    <row r="47" spans="1:15" ht="15" customHeight="1" x14ac:dyDescent="0.35">
      <c r="A47" s="259"/>
      <c r="B47" s="364" t="s">
        <v>1792</v>
      </c>
      <c r="C47" s="173"/>
      <c r="D47" s="861"/>
      <c r="E47" s="401">
        <v>14861.241</v>
      </c>
      <c r="F47" s="11">
        <v>10303.156000000001</v>
      </c>
      <c r="G47" s="11">
        <v>20768.536</v>
      </c>
      <c r="H47" s="11">
        <v>41932.084000000003</v>
      </c>
      <c r="I47" s="11">
        <v>21534.343000000001</v>
      </c>
      <c r="J47" s="11">
        <v>13333.117</v>
      </c>
      <c r="K47" s="11">
        <v>14286.432000000001</v>
      </c>
      <c r="L47" s="11">
        <v>15788.898999999999</v>
      </c>
      <c r="M47" s="11">
        <v>9601.0669999999991</v>
      </c>
      <c r="N47" s="73">
        <v>12207.849</v>
      </c>
      <c r="O47" s="279"/>
    </row>
    <row r="48" spans="1:15" ht="15" customHeight="1" x14ac:dyDescent="0.35">
      <c r="A48" s="259"/>
      <c r="B48" s="364" t="s">
        <v>1793</v>
      </c>
      <c r="C48" s="173"/>
      <c r="D48" s="861"/>
      <c r="E48" s="175">
        <v>2141.0320000000002</v>
      </c>
      <c r="F48" s="23">
        <v>1000.569</v>
      </c>
      <c r="G48" s="23">
        <v>2314.7950000000001</v>
      </c>
      <c r="H48" s="23">
        <v>6375.2070000000003</v>
      </c>
      <c r="I48" s="23">
        <v>10153.857</v>
      </c>
      <c r="J48" s="23">
        <v>3268.0889999999999</v>
      </c>
      <c r="K48" s="23">
        <v>13871.995999999999</v>
      </c>
      <c r="L48" s="23">
        <v>5025.09</v>
      </c>
      <c r="M48" s="23">
        <v>5519.2359999999999</v>
      </c>
      <c r="N48" s="34">
        <v>2998.78</v>
      </c>
      <c r="O48" s="279"/>
    </row>
    <row r="49" spans="1:15" ht="15" customHeight="1" x14ac:dyDescent="0.35">
      <c r="A49" s="259"/>
      <c r="B49" s="1588" t="s">
        <v>1802</v>
      </c>
      <c r="C49" s="173"/>
      <c r="D49" s="861"/>
      <c r="E49" s="175">
        <v>0</v>
      </c>
      <c r="F49" s="23">
        <v>590</v>
      </c>
      <c r="G49" s="23">
        <v>61.389000000000003</v>
      </c>
      <c r="H49" s="23">
        <v>2900</v>
      </c>
      <c r="I49" s="23">
        <v>6648.384</v>
      </c>
      <c r="J49" s="23">
        <v>388.94099999999997</v>
      </c>
      <c r="K49" s="23">
        <v>867.70899999999995</v>
      </c>
      <c r="L49" s="23">
        <v>194.976</v>
      </c>
      <c r="M49" s="23">
        <v>39.5</v>
      </c>
      <c r="N49" s="34">
        <v>88.694000000000003</v>
      </c>
      <c r="O49" s="279"/>
    </row>
    <row r="50" spans="1:15" ht="15" customHeight="1" x14ac:dyDescent="0.35">
      <c r="A50" s="259"/>
      <c r="B50" s="365" t="str">
        <f>CONCATENATE("Check: row ", ROW(B49), " ≤ row ", ROW(B48))</f>
        <v>Check: row 49 ≤ row 48</v>
      </c>
      <c r="C50" s="173"/>
      <c r="D50" s="861"/>
      <c r="E50" s="484" t="str">
        <f>IF(AND(ISNUMBER(E48), ISNUMBER(E49)), IF(E49&lt;=E48, "Pass", "Fail"), "")</f>
        <v>Pass</v>
      </c>
      <c r="F50" s="366" t="str">
        <f t="shared" ref="F50" si="10">IF(AND(ISNUMBER(F48), ISNUMBER(F49)), IF(F49&lt;=F48, "Pass", "Fail"), "")</f>
        <v>Pass</v>
      </c>
      <c r="G50" s="366" t="str">
        <f t="shared" ref="G50" si="11">IF(AND(ISNUMBER(G48), ISNUMBER(G49)), IF(G49&lt;=G48, "Pass", "Fail"), "")</f>
        <v>Pass</v>
      </c>
      <c r="H50" s="366" t="str">
        <f t="shared" ref="H50" si="12">IF(AND(ISNUMBER(H48), ISNUMBER(H49)), IF(H49&lt;=H48, "Pass", "Fail"), "")</f>
        <v>Pass</v>
      </c>
      <c r="I50" s="366" t="str">
        <f t="shared" ref="I50" si="13">IF(AND(ISNUMBER(I48), ISNUMBER(I49)), IF(I49&lt;=I48, "Pass", "Fail"), "")</f>
        <v>Pass</v>
      </c>
      <c r="J50" s="366" t="str">
        <f t="shared" ref="J50" si="14">IF(AND(ISNUMBER(J48), ISNUMBER(J49)), IF(J49&lt;=J48, "Pass", "Fail"), "")</f>
        <v>Pass</v>
      </c>
      <c r="K50" s="366" t="str">
        <f t="shared" ref="K50" si="15">IF(AND(ISNUMBER(K48), ISNUMBER(K49)), IF(K49&lt;=K48, "Pass", "Fail"), "")</f>
        <v>Pass</v>
      </c>
      <c r="L50" s="366" t="str">
        <f t="shared" ref="L50" si="16">IF(AND(ISNUMBER(L48), ISNUMBER(L49)), IF(L49&lt;=L48, "Pass", "Fail"), "")</f>
        <v>Pass</v>
      </c>
      <c r="M50" s="366" t="str">
        <f t="shared" ref="M50" si="17">IF(AND(ISNUMBER(M48), ISNUMBER(M49)), IF(M49&lt;=M48, "Pass", "Fail"), "")</f>
        <v>Pass</v>
      </c>
      <c r="N50" s="357" t="str">
        <f t="shared" ref="N50" si="18">IF(AND(ISNUMBER(N48), ISNUMBER(N49)), IF(N49&lt;=N48, "Pass", "Fail"), "")</f>
        <v>Pass</v>
      </c>
      <c r="O50" s="279"/>
    </row>
    <row r="51" spans="1:15" ht="15" customHeight="1" x14ac:dyDescent="0.35">
      <c r="A51" s="259"/>
      <c r="B51" s="364" t="s">
        <v>1795</v>
      </c>
      <c r="C51" s="97" t="str">
        <f>IF(AND(ISNUMBER(C47), ISNUMBER(C48)), C47-C48, "")</f>
        <v/>
      </c>
      <c r="D51" s="862" t="str">
        <f>IF(AND(ISNUMBER(D47), ISNUMBER(D48)), D47-D48, "")</f>
        <v/>
      </c>
      <c r="E51" s="97">
        <f>IF(AND(ISNUMBER(E47), ISNUMBER(E48)), E47-E48, "")</f>
        <v>12720.208999999999</v>
      </c>
      <c r="F51" s="30">
        <f t="shared" ref="F51:N51" si="19">IF(AND(ISNUMBER(F47), ISNUMBER(F48)), F47-F48, "")</f>
        <v>9302.5870000000014</v>
      </c>
      <c r="G51" s="30">
        <f t="shared" si="19"/>
        <v>18453.741000000002</v>
      </c>
      <c r="H51" s="30">
        <f t="shared" si="19"/>
        <v>35556.877</v>
      </c>
      <c r="I51" s="30">
        <f t="shared" si="19"/>
        <v>11380.486000000001</v>
      </c>
      <c r="J51" s="30">
        <f t="shared" si="19"/>
        <v>10065.028</v>
      </c>
      <c r="K51" s="30">
        <f t="shared" si="19"/>
        <v>414.43600000000151</v>
      </c>
      <c r="L51" s="30">
        <f t="shared" si="19"/>
        <v>10763.808999999999</v>
      </c>
      <c r="M51" s="30">
        <f t="shared" si="19"/>
        <v>4081.8309999999992</v>
      </c>
      <c r="N51" s="9">
        <f t="shared" si="19"/>
        <v>9209.0689999999995</v>
      </c>
      <c r="O51" s="279"/>
    </row>
    <row r="52" spans="1:15" ht="15" customHeight="1" x14ac:dyDescent="0.35">
      <c r="A52" s="259"/>
      <c r="B52" s="364" t="s">
        <v>1796</v>
      </c>
      <c r="C52" s="173"/>
      <c r="D52" s="861"/>
      <c r="E52" s="175">
        <v>25</v>
      </c>
      <c r="F52" s="23">
        <v>39</v>
      </c>
      <c r="G52" s="23">
        <v>50</v>
      </c>
      <c r="H52" s="23">
        <v>64</v>
      </c>
      <c r="I52" s="23">
        <v>41</v>
      </c>
      <c r="J52" s="23">
        <v>48</v>
      </c>
      <c r="K52" s="23">
        <v>47</v>
      </c>
      <c r="L52" s="23">
        <v>44</v>
      </c>
      <c r="M52" s="23">
        <v>41</v>
      </c>
      <c r="N52" s="34">
        <v>64</v>
      </c>
      <c r="O52" s="279"/>
    </row>
    <row r="53" spans="1:15" ht="15" customHeight="1" x14ac:dyDescent="0.35">
      <c r="A53" s="259"/>
      <c r="B53" s="365" t="str">
        <f>CONCATENATE("Check: row ", ROW(B47), " &gt; 0 ↔ row ", ROW(B52)," &gt; 0")</f>
        <v>Check: row 47 &gt; 0 ↔ row 52 &gt; 0</v>
      </c>
      <c r="C53" s="359" t="str">
        <f t="shared" ref="C53:D53" si="20">IF(AND(ISNUMBER(C47), ISNUMBER(C52)), IF(C52&gt;0, IF(C47&gt;0, "Pass", "Fail"), IF(C47=0, "Pass", "Fail")), "")</f>
        <v/>
      </c>
      <c r="D53" s="863" t="str">
        <f t="shared" si="20"/>
        <v/>
      </c>
      <c r="E53" s="359" t="str">
        <f>IF(AND(ISNUMBER(E47), ISNUMBER(E52)), IF(E52&gt;0, IF(E47&gt;0, "Pass", "Fail"), IF(E47=0, "Pass", "Fail")), "")</f>
        <v>Pass</v>
      </c>
      <c r="F53" s="359" t="str">
        <f t="shared" ref="F53:N53" si="21">IF(AND(ISNUMBER(F47), ISNUMBER(F52)), IF(F52&gt;0, IF(F47&gt;0, "Pass", "Fail"), IF(F47=0, "Pass", "Fail")), "")</f>
        <v>Pass</v>
      </c>
      <c r="G53" s="359" t="str">
        <f t="shared" si="21"/>
        <v>Pass</v>
      </c>
      <c r="H53" s="359" t="str">
        <f t="shared" si="21"/>
        <v>Pass</v>
      </c>
      <c r="I53" s="359" t="str">
        <f t="shared" si="21"/>
        <v>Pass</v>
      </c>
      <c r="J53" s="359" t="str">
        <f t="shared" si="21"/>
        <v>Pass</v>
      </c>
      <c r="K53" s="359" t="str">
        <f t="shared" si="21"/>
        <v>Pass</v>
      </c>
      <c r="L53" s="359" t="str">
        <f t="shared" si="21"/>
        <v>Pass</v>
      </c>
      <c r="M53" s="359" t="str">
        <f t="shared" si="21"/>
        <v>Pass</v>
      </c>
      <c r="N53" s="404" t="str">
        <f t="shared" si="21"/>
        <v>Pass</v>
      </c>
      <c r="O53" s="279"/>
    </row>
    <row r="54" spans="1:15" ht="15" customHeight="1" x14ac:dyDescent="0.35">
      <c r="A54" s="259"/>
      <c r="B54" s="364" t="s">
        <v>1797</v>
      </c>
      <c r="C54" s="452"/>
      <c r="D54" s="860"/>
      <c r="E54" s="3249">
        <v>200</v>
      </c>
      <c r="F54" s="3249"/>
      <c r="G54" s="3249"/>
      <c r="H54" s="3249"/>
      <c r="I54" s="3249"/>
      <c r="J54" s="3249"/>
      <c r="K54" s="3249"/>
      <c r="L54" s="3249"/>
      <c r="M54" s="3249"/>
      <c r="N54" s="3249"/>
      <c r="O54" s="279"/>
    </row>
    <row r="55" spans="1:15" ht="15" customHeight="1" x14ac:dyDescent="0.35">
      <c r="A55" s="259"/>
      <c r="B55" s="365" t="str">
        <f ca="1">CONCATENATE("Check: sum(row ", ROW(B52), ") ≥ ",CELL("address",E54)," ≥ max(row ",ROW(B52),")")</f>
        <v>Check: sum(row 52) ≥ $E$54 ≥ max(row 52)</v>
      </c>
      <c r="C55" s="452"/>
      <c r="D55" s="860"/>
      <c r="E55" s="2558" t="str">
        <f>IF(AND(SUM(E52:N52)&gt;=E54,E54&gt;=MAX(E52:N52)), "Pass", "Fail")</f>
        <v>Pass</v>
      </c>
      <c r="F55" s="2558"/>
      <c r="G55" s="2558"/>
      <c r="H55" s="2558"/>
      <c r="I55" s="2558"/>
      <c r="J55" s="2558"/>
      <c r="K55" s="2558"/>
      <c r="L55" s="2558"/>
      <c r="M55" s="2558"/>
      <c r="N55" s="2558"/>
      <c r="O55" s="279"/>
    </row>
    <row r="56" spans="1:15" ht="15" customHeight="1" x14ac:dyDescent="0.35">
      <c r="A56" s="259"/>
      <c r="B56" s="365" t="str">
        <f ca="1">CONCATENATE("Check: sum(row ",ROW(B51),")/",CELL("address",E54)," ≥ EUR 100,000 or ",CELL("address",E54)," = 0")</f>
        <v>Check: sum(row 51)/$E$54 ≥ EUR 100,000 or $E$54 = 0</v>
      </c>
      <c r="C56" s="452"/>
      <c r="D56" s="860"/>
      <c r="E56" s="2558" t="str">
        <f>IF(E54=0,"Pass",IF(SUM(E51:N51)/E54&gt;=100000/'Supervisory information'!D15,"Pass","Fail"))</f>
        <v>Pass</v>
      </c>
      <c r="F56" s="2558"/>
      <c r="G56" s="2558"/>
      <c r="H56" s="2558"/>
      <c r="I56" s="2558"/>
      <c r="J56" s="2558"/>
      <c r="K56" s="2558"/>
      <c r="L56" s="2558"/>
      <c r="M56" s="2558"/>
      <c r="N56" s="2558"/>
      <c r="O56" s="279"/>
    </row>
    <row r="57" spans="1:15" ht="15" customHeight="1" x14ac:dyDescent="0.35">
      <c r="A57" s="259"/>
      <c r="B57" s="364" t="s">
        <v>1798</v>
      </c>
      <c r="C57" s="173"/>
      <c r="D57" s="861"/>
      <c r="E57" s="175">
        <v>0</v>
      </c>
      <c r="F57" s="175">
        <v>0</v>
      </c>
      <c r="G57" s="175">
        <v>0</v>
      </c>
      <c r="H57" s="175">
        <v>0</v>
      </c>
      <c r="I57" s="175">
        <v>0</v>
      </c>
      <c r="J57" s="175">
        <v>0</v>
      </c>
      <c r="K57" s="175">
        <v>0</v>
      </c>
      <c r="L57" s="175">
        <v>0</v>
      </c>
      <c r="M57" s="175">
        <v>0</v>
      </c>
      <c r="N57" s="136">
        <v>0</v>
      </c>
      <c r="O57" s="279"/>
    </row>
    <row r="58" spans="1:15" ht="15" customHeight="1" x14ac:dyDescent="0.35">
      <c r="A58" s="259"/>
      <c r="B58" s="364" t="s">
        <v>1799</v>
      </c>
      <c r="C58" s="97" t="str">
        <f>IF(AND(ISNUMBER(C51), ISNUMBER(C57)), C51-C57, "")</f>
        <v/>
      </c>
      <c r="D58" s="862" t="str">
        <f>IF(AND(ISNUMBER(D51), ISNUMBER(D57)), D51-D57, "")</f>
        <v/>
      </c>
      <c r="E58" s="97">
        <f>IF(AND(ISNUMBER(E51), ISNUMBER(E57)), E51-E57, "")</f>
        <v>12720.208999999999</v>
      </c>
      <c r="F58" s="97">
        <f t="shared" ref="F58:N58" si="22">IF(AND(ISNUMBER(F51), ISNUMBER(F57)), F51-F57, "")</f>
        <v>9302.5870000000014</v>
      </c>
      <c r="G58" s="97">
        <f t="shared" si="22"/>
        <v>18453.741000000002</v>
      </c>
      <c r="H58" s="97">
        <f t="shared" si="22"/>
        <v>35556.877</v>
      </c>
      <c r="I58" s="97">
        <f t="shared" si="22"/>
        <v>11380.486000000001</v>
      </c>
      <c r="J58" s="97">
        <f t="shared" si="22"/>
        <v>10065.028</v>
      </c>
      <c r="K58" s="97">
        <f t="shared" si="22"/>
        <v>414.43600000000151</v>
      </c>
      <c r="L58" s="97">
        <f t="shared" si="22"/>
        <v>10763.808999999999</v>
      </c>
      <c r="M58" s="97">
        <f t="shared" si="22"/>
        <v>4081.8309999999992</v>
      </c>
      <c r="N58" s="9">
        <f t="shared" si="22"/>
        <v>9209.0689999999995</v>
      </c>
      <c r="O58" s="279"/>
    </row>
    <row r="59" spans="1:15" ht="15" customHeight="1" x14ac:dyDescent="0.35">
      <c r="A59" s="259"/>
      <c r="B59" s="364" t="s">
        <v>1800</v>
      </c>
      <c r="C59" s="452"/>
      <c r="D59" s="860"/>
      <c r="E59" s="3249">
        <v>0</v>
      </c>
      <c r="F59" s="3249"/>
      <c r="G59" s="3249"/>
      <c r="H59" s="3249"/>
      <c r="I59" s="3249"/>
      <c r="J59" s="3249"/>
      <c r="K59" s="3249"/>
      <c r="L59" s="3249"/>
      <c r="M59" s="3249"/>
      <c r="N59" s="3249"/>
      <c r="O59" s="279"/>
    </row>
    <row r="60" spans="1:15" ht="15" customHeight="1" x14ac:dyDescent="0.35">
      <c r="A60" s="259"/>
      <c r="B60" s="365" t="str">
        <f ca="1">CONCATENATE("Check: ",CELL("address",E54)," ≥ ",CELL("address",E59)," ≥ 0")</f>
        <v>Check: $E$54 ≥ $E$59 ≥ 0</v>
      </c>
      <c r="C60" s="453"/>
      <c r="D60" s="864"/>
      <c r="E60" s="2558" t="str">
        <f>IF(AND(ISNUMBER(E54), ISNUMBER(E59)), IF(AND(E54&gt;=E59, E59&gt;=0), "Pass", "Fail"), "")</f>
        <v>Pass</v>
      </c>
      <c r="F60" s="2558"/>
      <c r="G60" s="2558"/>
      <c r="H60" s="2558"/>
      <c r="I60" s="2558"/>
      <c r="J60" s="2558"/>
      <c r="K60" s="2558"/>
      <c r="L60" s="2558"/>
      <c r="M60" s="2558"/>
      <c r="N60" s="2558"/>
      <c r="O60" s="279"/>
    </row>
    <row r="61" spans="1:15" ht="15" customHeight="1" x14ac:dyDescent="0.35">
      <c r="A61" s="259"/>
      <c r="B61" s="365" t="str">
        <f ca="1">CONCATENATE("Check: sum(row ",ROW(B58),")/(",CELL("address",E54)," - ",CELL("address",E59),") ≥ EUR 100,000 or ",CELL("address",E54)," - ",CELL("address",E59)," = 0")</f>
        <v>Check: sum(row 58)/($E$54 - $E$59) ≥ EUR 100,000 or $E$54 - $E$59 = 0</v>
      </c>
      <c r="C61" s="453"/>
      <c r="D61" s="864"/>
      <c r="E61" s="2558" t="str">
        <f>IF(E54-E59=0,"Pass",IF(SUM(E58:N58)/(E54-E59)&gt;=100000/'Supervisory information'!D15, "Pass", "Fail"))</f>
        <v>Pass</v>
      </c>
      <c r="F61" s="2558"/>
      <c r="G61" s="2558"/>
      <c r="H61" s="2558"/>
      <c r="I61" s="2558"/>
      <c r="J61" s="2558"/>
      <c r="K61" s="2558"/>
      <c r="L61" s="2558"/>
      <c r="M61" s="2558"/>
      <c r="N61" s="2558"/>
      <c r="O61" s="279"/>
    </row>
    <row r="62" spans="1:15" ht="15" customHeight="1" x14ac:dyDescent="0.35">
      <c r="A62" s="259"/>
      <c r="B62" s="367" t="str">
        <f>CONCATENATE("Check: row ",ROW(B31)," ≥ row ",ROW(B47)," &amp; row ",ROW(B32)," ≥ row ",ROW(B48)," &amp; row ",ROW(B33)," ≥ row ",ROW(B49)," &amp; row ",ROW(B36)," ≥ row ",ROW(B52))</f>
        <v>Check: row 31 ≥ row 47 &amp; row 32 ≥ row 48 &amp; row 33 ≥ row 49 &amp; row 36 ≥ row 52</v>
      </c>
      <c r="C62" s="360" t="str">
        <f t="shared" ref="C62:N62" si="23">IF(AND(C31&gt;=C47,C32&gt;=C48,C33&gt;=C49,C36&gt;=C52),"Pass","Fail")</f>
        <v>Pass</v>
      </c>
      <c r="D62" s="866" t="str">
        <f t="shared" si="23"/>
        <v>Pass</v>
      </c>
      <c r="E62" s="360" t="str">
        <f t="shared" si="23"/>
        <v>Pass</v>
      </c>
      <c r="F62" s="354" t="str">
        <f t="shared" si="23"/>
        <v>Pass</v>
      </c>
      <c r="G62" s="354" t="str">
        <f t="shared" si="23"/>
        <v>Pass</v>
      </c>
      <c r="H62" s="354" t="str">
        <f t="shared" si="23"/>
        <v>Pass</v>
      </c>
      <c r="I62" s="354" t="str">
        <f t="shared" si="23"/>
        <v>Pass</v>
      </c>
      <c r="J62" s="354" t="str">
        <f t="shared" si="23"/>
        <v>Pass</v>
      </c>
      <c r="K62" s="354" t="str">
        <f t="shared" si="23"/>
        <v>Pass</v>
      </c>
      <c r="L62" s="354" t="str">
        <f t="shared" si="23"/>
        <v>Pass</v>
      </c>
      <c r="M62" s="354" t="str">
        <f t="shared" si="23"/>
        <v>Pass</v>
      </c>
      <c r="N62" s="353" t="str">
        <f t="shared" si="23"/>
        <v>Pass</v>
      </c>
      <c r="O62" s="279"/>
    </row>
    <row r="63" spans="1:15" ht="15" customHeight="1" x14ac:dyDescent="0.35">
      <c r="A63" s="259"/>
      <c r="E63" s="85"/>
      <c r="F63" s="85"/>
      <c r="G63" s="85"/>
      <c r="H63" s="85"/>
      <c r="I63" s="85"/>
      <c r="J63" s="85"/>
      <c r="K63" s="85"/>
      <c r="L63" s="85"/>
      <c r="M63" s="85"/>
      <c r="N63" s="85"/>
      <c r="O63" s="279"/>
    </row>
    <row r="64" spans="1:15" ht="45" customHeight="1" x14ac:dyDescent="0.35">
      <c r="A64" s="665" t="s">
        <v>1803</v>
      </c>
      <c r="B64" s="858"/>
      <c r="C64" s="858"/>
      <c r="D64" s="858"/>
      <c r="E64" s="846"/>
      <c r="F64" s="846"/>
      <c r="G64" s="846"/>
      <c r="H64" s="846"/>
      <c r="I64" s="846"/>
      <c r="J64" s="846"/>
      <c r="K64" s="846"/>
      <c r="L64" s="846"/>
      <c r="M64" s="846"/>
      <c r="N64" s="846"/>
      <c r="O64" s="728"/>
    </row>
    <row r="65" spans="1:15" ht="30" customHeight="1" x14ac:dyDescent="0.35">
      <c r="A65" s="1743"/>
      <c r="B65" s="858"/>
      <c r="C65" s="1305"/>
      <c r="D65" s="1305"/>
      <c r="E65" s="1305"/>
      <c r="F65" s="1305"/>
      <c r="G65" s="1305"/>
      <c r="H65" s="958" t="str">
        <f>IF(ISNUMBER(L3), L3 &amp; " based on corrected BI/LC", "")</f>
        <v>2020 based on corrected BI/LC</v>
      </c>
      <c r="I65" s="958" t="str">
        <f>IF(ISNUMBER(M3), M3 &amp; " based on corrected BI/LC", "")</f>
        <v>2021 based on corrected BI/LC</v>
      </c>
      <c r="J65" s="958" t="str">
        <f>IF(ISNUMBER(N3), N3 &amp; " based on corrected BI/LC", "")</f>
        <v>2022 based on corrected BI/LC</v>
      </c>
      <c r="K65" s="1305"/>
      <c r="L65" s="958">
        <f>IF(ISNUMBER(L3), L3, "")</f>
        <v>2020</v>
      </c>
      <c r="M65" s="958">
        <f>IF(ISNUMBER(M3), M3, "")</f>
        <v>2021</v>
      </c>
      <c r="N65" s="959">
        <f>IF(ISNUMBER(N3), N3, "")</f>
        <v>2022</v>
      </c>
      <c r="O65" s="279"/>
    </row>
    <row r="66" spans="1:15" ht="15" customHeight="1" x14ac:dyDescent="0.35">
      <c r="A66" s="259"/>
      <c r="B66" s="464" t="s">
        <v>1804</v>
      </c>
      <c r="C66" s="483"/>
      <c r="D66" s="483"/>
      <c r="E66" s="483"/>
      <c r="F66" s="873"/>
      <c r="G66" s="873"/>
      <c r="H66" s="873"/>
      <c r="I66" s="873"/>
      <c r="J66" s="873"/>
      <c r="K66" s="669"/>
      <c r="L66" s="664">
        <f>IF(AND(ISNUMBER(J7), ISNUMBER(K7), ISNUMBER(L7), ISNUMBER(J16), ISNUMBER(K16), ISNUMBER(L16), ISNUMBER(J17), ISNUMBER(K17), ISNUMBER(L17)), MIN(AVERAGE(J16:L16), 0.0225*AVERAGE(J7:L7)) + AVERAGE(J17:L17), "")</f>
        <v>488308.66666666663</v>
      </c>
      <c r="M66" s="664">
        <f>IF(AND(ISNUMBER(K7), ISNUMBER(L7), ISNUMBER(M7), ISNUMBER(K16), ISNUMBER(L16), ISNUMBER(M16), ISNUMBER(K17), ISNUMBER(L17), ISNUMBER(M17)), MIN(AVERAGE(K16:M16), 0.0225*AVERAGE(K7:M7)) + AVERAGE(K17:M17), "")</f>
        <v>488185.33333333331</v>
      </c>
      <c r="N66" s="714">
        <f>IF(AND(ISNUMBER(L7), ISNUMBER(M7), ISNUMBER(N7), ISNUMBER(L16), ISNUMBER(M16), ISNUMBER(N16), ISNUMBER(L17), ISNUMBER(M17), ISNUMBER(N17)), MIN(AVERAGE(L16:N16), 0.0225*AVERAGE(L7:N7)) + AVERAGE(L17:N17), "")</f>
        <v>545734</v>
      </c>
      <c r="O66" s="279"/>
    </row>
    <row r="67" spans="1:15" ht="15" customHeight="1" x14ac:dyDescent="0.35">
      <c r="A67" s="259"/>
      <c r="B67" s="390" t="s">
        <v>1805</v>
      </c>
      <c r="C67" s="452"/>
      <c r="D67" s="452"/>
      <c r="E67" s="452"/>
      <c r="F67" s="16"/>
      <c r="G67" s="16"/>
      <c r="H67" s="16"/>
      <c r="I67" s="16"/>
      <c r="J67" s="16"/>
      <c r="K67" s="65"/>
      <c r="L67" s="30">
        <f>IF(AND(ISNUMBER(J18), ISNUMBER(K18), ISNUMBER(L18), ISNUMBER(J19), ISNUMBER(K19), ISNUMBER(L19), ISNUMBER(J22), ISNUMBER(K22), ISNUMBER(L22), ISNUMBER(J24), ISNUMBER(K24), ISNUMBER(L24)), MAX(AVERAGE(J22:L22), AVERAGE(J24:L24)) + MAX(AVERAGE(J18:L18), AVERAGE(J19:L19)), "")</f>
        <v>866272.33333333337</v>
      </c>
      <c r="M67" s="30">
        <f>IF(AND(ISNUMBER(K18), ISNUMBER(L18), ISNUMBER(M18), ISNUMBER(K19), ISNUMBER(L19), ISNUMBER(M19), ISNUMBER(K22), ISNUMBER(L22), ISNUMBER(M22), ISNUMBER(K24), ISNUMBER(L24), ISNUMBER(M24)), MAX(AVERAGE(K22:M22), AVERAGE(K24:M24)) + MAX(AVERAGE(K18:M18), AVERAGE(K19:M19)), "")</f>
        <v>966392</v>
      </c>
      <c r="N67" s="9">
        <f>IF(AND(ISNUMBER(L18), ISNUMBER(M18), ISNUMBER(N18), ISNUMBER(L19), ISNUMBER(M19), ISNUMBER(N19), ISNUMBER(L22), ISNUMBER(M22), ISNUMBER(N22), ISNUMBER(L24), ISNUMBER(M24), ISNUMBER(N24)), MAX(AVERAGE(L22:N22), AVERAGE(L24:N24)) + MAX(AVERAGE(L18:N18), AVERAGE(L19:N19)), "")</f>
        <v>1003332.3333333333</v>
      </c>
      <c r="O67" s="279"/>
    </row>
    <row r="68" spans="1:15" ht="15" customHeight="1" x14ac:dyDescent="0.35">
      <c r="A68" s="259"/>
      <c r="B68" s="390" t="s">
        <v>1806</v>
      </c>
      <c r="C68" s="452"/>
      <c r="D68" s="452"/>
      <c r="E68" s="452"/>
      <c r="F68" s="16"/>
      <c r="G68" s="16"/>
      <c r="H68" s="128"/>
      <c r="I68" s="128"/>
      <c r="J68" s="128"/>
      <c r="K68" s="65"/>
      <c r="L68" s="30">
        <f>IF(AND(ISNUMBER(J20), ISNUMBER(K20), ISNUMBER(L20), ISNUMBER(J21), ISNUMBER(K21), ISNUMBER(L21)), AVERAGE(ABS(J20), ABS(K20), ABS(L20))+AVERAGE(ABS(J21), ABS(K21), ABS(L21)), "")</f>
        <v>44322.666666666672</v>
      </c>
      <c r="M68" s="30">
        <f>IF(AND(ISNUMBER(K20), ISNUMBER(L20), ISNUMBER(M20), ISNUMBER(K21), ISNUMBER(L21), ISNUMBER(M21)), AVERAGE(ABS(K20), ABS(L20), ABS(M20))+AVERAGE(ABS(K21), ABS(L21), ABS(M21)), "")</f>
        <v>46824.666666666672</v>
      </c>
      <c r="N68" s="9">
        <f>IF(AND(ISNUMBER(L20), ISNUMBER(M20), ISNUMBER(N20), ISNUMBER(L21), ISNUMBER(M21), ISNUMBER(N21)), AVERAGE(ABS(L20), ABS(M20), ABS(N20))+AVERAGE(ABS(L21), ABS(M21), ABS(N21)), "")</f>
        <v>53854.333333333336</v>
      </c>
      <c r="O68" s="279"/>
    </row>
    <row r="69" spans="1:15" ht="15" customHeight="1" x14ac:dyDescent="0.35">
      <c r="A69" s="259"/>
      <c r="B69" s="390" t="s">
        <v>1807</v>
      </c>
      <c r="C69" s="452"/>
      <c r="D69" s="452"/>
      <c r="E69" s="452"/>
      <c r="F69" s="16"/>
      <c r="G69" s="65"/>
      <c r="H69" s="30">
        <f>IF(ISNUMBER(L72), L72, "")</f>
        <v>1109194</v>
      </c>
      <c r="I69" s="30">
        <f>IF(ISNUMBER(M72), M72, "")</f>
        <v>1172829</v>
      </c>
      <c r="J69" s="30">
        <f>IF(ISNUMBER(N72), N72, "")</f>
        <v>1261881</v>
      </c>
      <c r="K69" s="78"/>
      <c r="L69" s="30">
        <f>IF(AND(ISNUMBER(L66), ISNUMBER(L67), ISNUMBER(L68)), SUM(L66:L68), "")</f>
        <v>1398903.6666666667</v>
      </c>
      <c r="M69" s="30">
        <f>IF(AND(ISNUMBER(M66), ISNUMBER(M67), ISNUMBER(M68)), SUM(M66:M68), "")</f>
        <v>1501402</v>
      </c>
      <c r="N69" s="9">
        <f>IF(AND(ISNUMBER(N66), ISNUMBER(N67), ISNUMBER(N68)), SUM(N66:N68), "")</f>
        <v>1602920.6666666665</v>
      </c>
      <c r="O69" s="279"/>
    </row>
    <row r="70" spans="1:15" ht="15" customHeight="1" x14ac:dyDescent="0.35">
      <c r="A70" s="259"/>
      <c r="B70" s="161" t="s">
        <v>1808</v>
      </c>
      <c r="C70" s="452"/>
      <c r="D70" s="452"/>
      <c r="E70" s="452"/>
      <c r="F70" s="16"/>
      <c r="G70" s="16"/>
      <c r="H70" s="91">
        <f>IF(ISNUMBER(H69), IF(H69*'Supervisory information'!$D$15&lt;=1000000000, 1, IF(H69*'Supervisory information'!$D$15 &lt;= 30000000000, 2, 3)), "")</f>
        <v>2</v>
      </c>
      <c r="I70" s="91">
        <f>IF(ISNUMBER(I69), IF(I69*'Supervisory information'!$D$15&lt;=1000000000, 1, IF(I69*'Supervisory information'!$D$15 &lt;= 30000000000, 2, 3)), "")</f>
        <v>2</v>
      </c>
      <c r="J70" s="91">
        <f>IF(ISNUMBER(J69), IF(J69*'Supervisory information'!$D$15&lt;=1000000000, 1, IF(J69*'Supervisory information'!$D$15 &lt;= 30000000000, 2, 3)), "")</f>
        <v>2</v>
      </c>
      <c r="K70" s="65"/>
      <c r="L70" s="30">
        <f>IF(ISNUMBER(L69), IF(L69*'Supervisory information'!$D$15&lt;=1000000000, 1, IF(L69*'Supervisory information'!$D$15 &lt;= 30000000000, 2, 3)), "")</f>
        <v>2</v>
      </c>
      <c r="M70" s="30">
        <f>IF(ISNUMBER(M69), IF(M69*'Supervisory information'!$D$15&lt;=1000000000, 1, IF(M69*'Supervisory information'!$D$15 &lt;= 30000000000, 2, 3)), "")</f>
        <v>2</v>
      </c>
      <c r="N70" s="9">
        <f>IF(ISNUMBER(N69), IF(N69*'Supervisory information'!$D$15&lt;=1000000000, 1, IF(N69*'Supervisory information'!$D$15 &lt;= 30000000000, 2, 3)), "")</f>
        <v>2</v>
      </c>
      <c r="O70" s="279"/>
    </row>
    <row r="71" spans="1:15" ht="15" customHeight="1" x14ac:dyDescent="0.35">
      <c r="A71" s="259"/>
      <c r="B71" s="390" t="s">
        <v>1809</v>
      </c>
      <c r="C71" s="452"/>
      <c r="D71" s="452"/>
      <c r="E71" s="452"/>
      <c r="F71" s="16"/>
      <c r="G71" s="16"/>
      <c r="H71" s="30">
        <f>IF(ISNUMBER(H69), IF(H69&lt;(1000000000/'Supervisory information'!$D$15), 0.12*H69, IF(H69&lt;(30000000000/'Supervisory information'!$D$15), (120000000/'Supervisory information'!$D$15)+0.15*(H69-(1000000000/'Supervisory information'!$D$15)), (4470000000/'Supervisory information'!$D$15)+0.18*(H69-(30000000000/'Supervisory information'!$D$15)))), "")</f>
        <v>136379.1</v>
      </c>
      <c r="I71" s="30">
        <f>IF(ISNUMBER(I69), IF(I69&lt;(1000000000/'Supervisory information'!$D$15), 0.12*I69, IF(I69&lt;(30000000000/'Supervisory information'!$D$15), (120000000/'Supervisory information'!$D$15)+0.15*(I69-(1000000000/'Supervisory information'!$D$15)), (4470000000/'Supervisory information'!$D$15)+0.18*(I69-(30000000000/'Supervisory information'!$D$15)))), "")</f>
        <v>145924.35</v>
      </c>
      <c r="J71" s="30">
        <f>IF(ISNUMBER(J69), IF(J69&lt;(1000000000/'Supervisory information'!$D$15), 0.12*J69, IF(J69&lt;(30000000000/'Supervisory information'!$D$15), (120000000/'Supervisory information'!$D$15)+0.15*(J69-(1000000000/'Supervisory information'!$D$15)), (4470000000/'Supervisory information'!$D$15)+0.18*(J69-(30000000000/'Supervisory information'!$D$15)))), "")</f>
        <v>159282.15</v>
      </c>
      <c r="K71" s="65"/>
      <c r="L71" s="30">
        <f>IF(ISNUMBER(L69), IF(L69&lt;(1000000000/'Supervisory information'!$D$15), 0.12*L69, IF(L69&lt;(30000000000/'Supervisory information'!$D$15), (120000000/'Supervisory information'!$D$15)+0.15*(L69-(1000000000/'Supervisory information'!$D$15)), (4470000000/'Supervisory information'!$D$15)+0.18*(L69-(30000000000/'Supervisory information'!$D$15)))), "")</f>
        <v>179835.55000000002</v>
      </c>
      <c r="M71" s="30">
        <f>IF(ISNUMBER(M69), IF(M69&lt;(1000000000/'Supervisory information'!$D$15), 0.12*M69, IF(M69&lt;(30000000000/'Supervisory information'!$D$15), (120000000/'Supervisory information'!$D$15)+0.15*(M69-(1000000000/'Supervisory information'!$D$15)), (4470000000/'Supervisory information'!$D$15)+0.18*(M69-(30000000000/'Supervisory information'!$D$15)))), "")</f>
        <v>195210.3</v>
      </c>
      <c r="N71" s="9">
        <f>IF(ISNUMBER(N69), IF(N69&lt;(1000000000/'Supervisory information'!$D$15), 0.12*N69, IF(N69&lt;(30000000000/'Supervisory information'!$D$15), (120000000/'Supervisory information'!$D$15)+0.15*(N69-(1000000000/'Supervisory information'!$D$15)), (4470000000/'Supervisory information'!$D$15)+0.18*(N69-(30000000000/'Supervisory information'!$D$15)))), "")</f>
        <v>210438.09999999998</v>
      </c>
      <c r="O71" s="279"/>
    </row>
    <row r="72" spans="1:15" ht="15" customHeight="1" x14ac:dyDescent="0.35">
      <c r="A72" s="259"/>
      <c r="B72" s="390" t="s">
        <v>1810</v>
      </c>
      <c r="C72" s="452"/>
      <c r="D72" s="452"/>
      <c r="E72" s="452"/>
      <c r="F72" s="16"/>
      <c r="G72" s="16"/>
      <c r="H72" s="16"/>
      <c r="I72" s="16"/>
      <c r="J72" s="16"/>
      <c r="K72" s="65"/>
      <c r="L72" s="1">
        <v>1109194</v>
      </c>
      <c r="M72" s="1">
        <v>1172829</v>
      </c>
      <c r="N72" s="34">
        <v>1261881</v>
      </c>
      <c r="O72" s="279"/>
    </row>
    <row r="73" spans="1:15" ht="15" customHeight="1" x14ac:dyDescent="0.35">
      <c r="A73" s="259"/>
      <c r="B73" s="390" t="s">
        <v>1811</v>
      </c>
      <c r="C73" s="452"/>
      <c r="D73" s="452"/>
      <c r="E73" s="452"/>
      <c r="F73" s="16"/>
      <c r="G73" s="16"/>
      <c r="H73" s="16"/>
      <c r="I73" s="16"/>
      <c r="J73" s="16"/>
      <c r="K73" s="65"/>
      <c r="L73" s="30">
        <f>IF(AND(ISNUMBER(L69), ISNUMBER(L72)), L72-L69, "")</f>
        <v>-289709.66666666674</v>
      </c>
      <c r="M73" s="30">
        <f>IF(AND(ISNUMBER(M69), ISNUMBER(M72)), M72-M69, "")</f>
        <v>-328573</v>
      </c>
      <c r="N73" s="9">
        <f>IF(AND(ISNUMBER(N69), ISNUMBER(N72)), N72-N69, "")</f>
        <v>-341039.66666666651</v>
      </c>
      <c r="O73" s="279"/>
    </row>
    <row r="74" spans="1:15" ht="15" customHeight="1" x14ac:dyDescent="0.35">
      <c r="A74" s="259"/>
      <c r="B74" s="390" t="s">
        <v>1812</v>
      </c>
      <c r="C74" s="452"/>
      <c r="D74" s="452"/>
      <c r="E74" s="452"/>
      <c r="F74" s="16"/>
      <c r="G74" s="16"/>
      <c r="H74" s="128"/>
      <c r="I74" s="128"/>
      <c r="J74" s="128"/>
      <c r="K74" s="65"/>
      <c r="L74" s="16"/>
      <c r="M74" s="16"/>
      <c r="N74" s="65"/>
      <c r="O74" s="279"/>
    </row>
    <row r="75" spans="1:15" ht="15" customHeight="1" x14ac:dyDescent="0.35">
      <c r="A75" s="259"/>
      <c r="B75" s="339" t="s">
        <v>1813</v>
      </c>
      <c r="C75" s="452"/>
      <c r="D75" s="452"/>
      <c r="E75" s="452"/>
      <c r="F75" s="16"/>
      <c r="G75" s="65"/>
      <c r="H75" s="30" cm="1">
        <f t="array" ref="H75">IF(SUMPRODUCT(ISNUMBER(C41:L41)*1)&gt;0, AVERAGE(C41:L41)*15, "")</f>
        <v>0</v>
      </c>
      <c r="I75" s="30" cm="1">
        <f t="array" ref="I75">IF(SUMPRODUCT(ISNUMBER(D41:M41)*1)&gt;0, AVERAGE(D41:M41)*15, "")</f>
        <v>0</v>
      </c>
      <c r="J75" s="30" cm="1">
        <f t="array" ref="J75">IF(SUMPRODUCT(ISNUMBER(E41:N41)*1)&gt;0, AVERAGE(E41:N41)*15, "")</f>
        <v>0</v>
      </c>
      <c r="K75" s="78"/>
      <c r="L75" s="30">
        <f>IF(SUMPRODUCT(ISNUMBER(C35:L35)*1)&gt;0, AVERAGE(C35:L35)*15, "")</f>
        <v>256313.33249999999</v>
      </c>
      <c r="M75" s="30">
        <f>IF(SUMPRODUCT(ISNUMBER(D35:M35)*1)&gt;0, AVERAGE(D35:M35)*15, "")</f>
        <v>236719.97499999998</v>
      </c>
      <c r="N75" s="9">
        <f>IF(SUMPRODUCT(ISNUMBER(E35:N35)*1)&gt;0, AVERAGE(E35:N35)*15, "")</f>
        <v>230156.24399999998</v>
      </c>
      <c r="O75" s="279"/>
    </row>
    <row r="76" spans="1:15" ht="15" customHeight="1" x14ac:dyDescent="0.35">
      <c r="A76" s="259"/>
      <c r="B76" s="339" t="s">
        <v>1814</v>
      </c>
      <c r="C76" s="452"/>
      <c r="D76" s="452"/>
      <c r="E76" s="452"/>
      <c r="F76" s="16"/>
      <c r="G76" s="65"/>
      <c r="H76" s="30" cm="1">
        <f t="array" ref="H76">IF(SUMPRODUCT(ISNUMBER(C57:L57)*1)&gt;0, AVERAGE(C57:L57)*15, "")</f>
        <v>0</v>
      </c>
      <c r="I76" s="30" cm="1">
        <f t="array" ref="I76">IF(SUMPRODUCT(ISNUMBER(D57:M57)*1)&gt;0, AVERAGE(D57:M57)*15, "")</f>
        <v>0</v>
      </c>
      <c r="J76" s="30" cm="1">
        <f t="array" ref="J76">IF(SUMPRODUCT(ISNUMBER(E57:N57)*1)&gt;0, AVERAGE(E57:N57)*15, "")</f>
        <v>0</v>
      </c>
      <c r="K76" s="78"/>
      <c r="L76" s="30">
        <f>IF(SUMPRODUCT(ISNUMBER(C51:L51)*1)&gt;0, AVERAGE(C51:L51)*15, "")</f>
        <v>203732.19937500003</v>
      </c>
      <c r="M76" s="30">
        <f>IF(SUMPRODUCT(ISNUMBER(D51:M51)*1)&gt;0, AVERAGE(D51:M51)*15, "")</f>
        <v>187898.34000000003</v>
      </c>
      <c r="N76" s="9">
        <f>IF(SUMPRODUCT(ISNUMBER(E51:N51)*1)&gt;0, AVERAGE(E51:N51)*15, "")</f>
        <v>182922.10950000002</v>
      </c>
      <c r="O76" s="279"/>
    </row>
    <row r="77" spans="1:15" ht="15" customHeight="1" x14ac:dyDescent="0.35">
      <c r="A77" s="259"/>
      <c r="B77" s="390" t="s">
        <v>1815</v>
      </c>
      <c r="C77" s="452"/>
      <c r="D77" s="452"/>
      <c r="E77" s="452"/>
      <c r="F77" s="16"/>
      <c r="G77" s="16"/>
      <c r="H77" s="1374"/>
      <c r="I77" s="1374"/>
      <c r="J77" s="1374"/>
      <c r="K77" s="65"/>
      <c r="L77" s="128"/>
      <c r="M77" s="128"/>
      <c r="N77" s="362"/>
      <c r="O77" s="279"/>
    </row>
    <row r="78" spans="1:15" ht="15" customHeight="1" x14ac:dyDescent="0.35">
      <c r="A78" s="259"/>
      <c r="B78" s="339" t="s">
        <v>1816</v>
      </c>
      <c r="C78" s="452"/>
      <c r="D78" s="452"/>
      <c r="E78" s="452"/>
      <c r="F78" s="16"/>
      <c r="G78" s="16"/>
      <c r="H78" s="90">
        <f>IF(AND(ISNUMBER(H71), ISNUMBER(H75)), (LN(EXP(1)-1+(H75/H71)^0.8)), "")</f>
        <v>0.54132485461291802</v>
      </c>
      <c r="I78" s="90">
        <f>IF(AND(ISNUMBER(I71), ISNUMBER(I75)), (LN(EXP(1)-1+(I75/I71)^0.8)), "")</f>
        <v>0.54132485461291802</v>
      </c>
      <c r="J78" s="90">
        <f>IF(AND(ISNUMBER(J71), ISNUMBER(J75)), (LN(EXP(1)-1+(J75/J71)^0.8)), "")</f>
        <v>0.54132485461291802</v>
      </c>
      <c r="K78" s="65"/>
      <c r="L78" s="1376">
        <f>IF(AND(ISNUMBER(L71), ISNUMBER(L75)), (LN(EXP(1)-1+(L75/L71)^0.8)), "")</f>
        <v>1.1138399141511894</v>
      </c>
      <c r="M78" s="1376">
        <f>IF(AND(ISNUMBER(M71), ISNUMBER(M75)), (LN(EXP(1)-1+(M75/M71)^0.8)), "")</f>
        <v>1.0595433189544388</v>
      </c>
      <c r="N78" s="90">
        <f>IF(AND(ISNUMBER(N71), ISNUMBER(N75)), (LN(EXP(1)-1+(N75/N71)^0.8)), "")</f>
        <v>1.0269604742897189</v>
      </c>
      <c r="O78" s="279"/>
    </row>
    <row r="79" spans="1:15" ht="15" customHeight="1" x14ac:dyDescent="0.35">
      <c r="A79" s="259"/>
      <c r="B79" s="339" t="s">
        <v>1817</v>
      </c>
      <c r="C79" s="452"/>
      <c r="D79" s="452"/>
      <c r="E79" s="452"/>
      <c r="F79" s="16"/>
      <c r="G79" s="16"/>
      <c r="H79" s="90">
        <f>IF(AND(ISNUMBER(H71), ISNUMBER(H76)), (LN(EXP(1)-1+(H76/H71)^0.8)), "")</f>
        <v>0.54132485461291802</v>
      </c>
      <c r="I79" s="90">
        <f>IF(AND(ISNUMBER(I71), ISNUMBER(I76)), (LN(EXP(1)-1+(I76/I71)^0.8)), "")</f>
        <v>0.54132485461291802</v>
      </c>
      <c r="J79" s="90">
        <f>IF(AND(ISNUMBER(J71), ISNUMBER(J76)), (LN(EXP(1)-1+(J76/J71)^0.8)), "")</f>
        <v>0.54132485461291802</v>
      </c>
      <c r="K79" s="65"/>
      <c r="L79" s="1376">
        <f>IF(AND(ISNUMBER(L71), ISNUMBER(L76)), (LN(EXP(1)-1+(L76/L71)^0.8)), "")</f>
        <v>1.0378864799335605</v>
      </c>
      <c r="M79" s="1376">
        <f>IF(AND(ISNUMBER(M71), ISNUMBER(M76)), (LN(EXP(1)-1+(M76/M71)^0.8)), "")</f>
        <v>0.98887271823095413</v>
      </c>
      <c r="N79" s="90">
        <f>IF(AND(ISNUMBER(N71), ISNUMBER(N76)), (LN(EXP(1)-1+(N76/N71)^0.8)), "")</f>
        <v>0.96020514747971752</v>
      </c>
      <c r="O79" s="279"/>
    </row>
    <row r="80" spans="1:15" ht="15" customHeight="1" x14ac:dyDescent="0.35">
      <c r="A80" s="259"/>
      <c r="B80" s="161" t="s">
        <v>1818</v>
      </c>
      <c r="C80" s="452"/>
      <c r="D80" s="452"/>
      <c r="E80" s="452"/>
      <c r="F80" s="16"/>
      <c r="G80" s="16"/>
      <c r="H80" s="16"/>
      <c r="I80" s="16"/>
      <c r="J80" s="16"/>
      <c r="K80" s="65"/>
      <c r="L80" s="1374"/>
      <c r="M80" s="1374"/>
      <c r="N80" s="1375"/>
      <c r="O80" s="279"/>
    </row>
    <row r="81" spans="1:15" ht="15" customHeight="1" x14ac:dyDescent="0.35">
      <c r="A81" s="259"/>
      <c r="B81" s="339" t="s">
        <v>1813</v>
      </c>
      <c r="C81" s="452"/>
      <c r="D81" s="452"/>
      <c r="E81" s="452"/>
      <c r="F81" s="16"/>
      <c r="G81" s="16"/>
      <c r="H81" s="9">
        <f>IF(AND(ISNUMBER(H71), ISNUMBER(H78)), H71*H78, "")</f>
        <v>73825.396479740608</v>
      </c>
      <c r="I81" s="9">
        <f>IF(AND(ISNUMBER(I71), ISNUMBER(I78)), I71*I78, "")</f>
        <v>78992.477548234572</v>
      </c>
      <c r="J81" s="30">
        <f>IF(AND(ISNUMBER(J71), ISNUMBER(J78)), J71*J78, "")</f>
        <v>86223.386691182997</v>
      </c>
      <c r="K81" s="65"/>
      <c r="L81" s="30">
        <f>IF(AND(ISNUMBER(L71), ISNUMBER(L78)), L71*L78, "")</f>
        <v>200308.01357333196</v>
      </c>
      <c r="M81" s="30">
        <f>IF(AND(ISNUMBER(M71), ISNUMBER(M78)), M71*M78, "")</f>
        <v>206833.76915609167</v>
      </c>
      <c r="N81" s="9">
        <f>IF(AND(ISNUMBER(N71), ISNUMBER(N78)), N71*N78, "")</f>
        <v>216111.61098462727</v>
      </c>
      <c r="O81" s="279"/>
    </row>
    <row r="82" spans="1:15" ht="15" customHeight="1" x14ac:dyDescent="0.35">
      <c r="A82" s="259"/>
      <c r="B82" s="339" t="s">
        <v>1814</v>
      </c>
      <c r="C82" s="452"/>
      <c r="D82" s="452"/>
      <c r="E82" s="452"/>
      <c r="F82" s="16"/>
      <c r="G82" s="16"/>
      <c r="H82" s="9">
        <f>IF(AND(ISNUMBER(H71), ISNUMBER(H79)), H71*H79, "")</f>
        <v>73825.396479740608</v>
      </c>
      <c r="I82" s="9">
        <f>IF(AND(ISNUMBER(I71), ISNUMBER(I79)), I71*I79, "")</f>
        <v>78992.477548234572</v>
      </c>
      <c r="J82" s="30">
        <f>IF(AND(ISNUMBER(J71), ISNUMBER(J79)), J71*J79, "")</f>
        <v>86223.386691182997</v>
      </c>
      <c r="K82" s="65"/>
      <c r="L82" s="30">
        <f>IF(AND(ISNUMBER(L71), ISNUMBER(L79)), L71*L79, "")</f>
        <v>186648.88595641585</v>
      </c>
      <c r="M82" s="30">
        <f>IF(AND(ISNUMBER(M71), ISNUMBER(M79)), M71*M79, "")</f>
        <v>193038.13998768001</v>
      </c>
      <c r="N82" s="9">
        <f>IF(AND(ISNUMBER(N71), ISNUMBER(N79)), N71*N79, "")</f>
        <v>202063.74684585154</v>
      </c>
      <c r="O82" s="279"/>
    </row>
    <row r="83" spans="1:15" ht="15" customHeight="1" x14ac:dyDescent="0.35">
      <c r="A83" s="259"/>
      <c r="B83" s="339" t="s">
        <v>1819</v>
      </c>
      <c r="C83" s="452"/>
      <c r="D83" s="452"/>
      <c r="E83" s="452"/>
      <c r="F83" s="16"/>
      <c r="G83" s="16"/>
      <c r="H83" s="9">
        <f>IF(ISNUMBER(H71), H71, "")</f>
        <v>136379.1</v>
      </c>
      <c r="I83" s="9">
        <f>IF(ISNUMBER(I71), I71, "")</f>
        <v>145924.35</v>
      </c>
      <c r="J83" s="30">
        <f>IF(ISNUMBER(J71), J71, "")</f>
        <v>159282.15</v>
      </c>
      <c r="K83" s="65"/>
      <c r="L83" s="111">
        <f>IF(ISNUMBER(L71), L71, "")</f>
        <v>179835.55000000002</v>
      </c>
      <c r="M83" s="111">
        <f>IF(ISNUMBER(M71), M71, "")</f>
        <v>195210.3</v>
      </c>
      <c r="N83" s="35">
        <f>IF(ISNUMBER(N71), N71, "")</f>
        <v>210438.09999999998</v>
      </c>
      <c r="O83" s="279"/>
    </row>
    <row r="84" spans="1:15" ht="15" customHeight="1" x14ac:dyDescent="0.35">
      <c r="A84" s="259"/>
      <c r="B84" s="171" t="s">
        <v>1820</v>
      </c>
      <c r="C84" s="21"/>
      <c r="D84" s="21"/>
      <c r="E84" s="21"/>
      <c r="F84" s="17"/>
      <c r="G84" s="17"/>
      <c r="H84" s="1589"/>
      <c r="I84" s="1589"/>
      <c r="J84" s="1589"/>
      <c r="K84" s="17"/>
      <c r="L84" s="701" t="str">
        <f>IF(OR(L70&gt;1, NOT(ISNUMBER(L70))), Parameters!$F$399, IF(Parameters!$F$400="Yes", Parameters!$D$430, Parameters!$D$432))</f>
        <v>EUR 20,000</v>
      </c>
      <c r="M84" s="701" t="str">
        <f>IF(OR(M70&gt;1, NOT(ISNUMBER(M70))), Parameters!$F$399, IF(Parameters!$F$400="Yes", Parameters!$D$430, Parameters!$D$432))</f>
        <v>EUR 20,000</v>
      </c>
      <c r="N84" s="701" t="str">
        <f>IF(OR(N70&gt;1, NOT(ISNUMBER(N70))), Parameters!$F$399, IF(Parameters!$F$400="Yes", Parameters!$D$430, Parameters!$D$432))</f>
        <v>EUR 20,000</v>
      </c>
      <c r="O84" s="279"/>
    </row>
    <row r="85" spans="1:15" ht="15" customHeight="1" x14ac:dyDescent="0.35">
      <c r="A85" s="259"/>
      <c r="E85" s="85"/>
      <c r="F85" s="85"/>
      <c r="G85" s="85"/>
      <c r="H85" s="85"/>
      <c r="I85" s="85"/>
      <c r="J85" s="85"/>
      <c r="K85" s="85"/>
      <c r="L85" s="85"/>
      <c r="M85" s="85"/>
      <c r="N85" s="85"/>
      <c r="O85" s="279"/>
    </row>
    <row r="86" spans="1:15" ht="45" customHeight="1" x14ac:dyDescent="0.35">
      <c r="A86" s="665" t="s">
        <v>1821</v>
      </c>
      <c r="B86" s="858"/>
      <c r="C86" s="858"/>
      <c r="D86" s="858"/>
      <c r="E86" s="846"/>
      <c r="F86" s="846"/>
      <c r="G86" s="846"/>
      <c r="H86" s="846"/>
      <c r="I86" s="846"/>
      <c r="J86" s="846"/>
      <c r="K86" s="846"/>
      <c r="L86" s="846"/>
      <c r="M86" s="846"/>
      <c r="N86" s="846"/>
      <c r="O86" s="728"/>
    </row>
    <row r="87" spans="1:15" ht="45" customHeight="1" x14ac:dyDescent="0.35">
      <c r="A87" s="269" t="s">
        <v>1822</v>
      </c>
      <c r="B87" s="84"/>
      <c r="C87" s="84"/>
      <c r="D87" s="84"/>
      <c r="E87" s="85"/>
      <c r="F87" s="85"/>
      <c r="G87" s="85"/>
      <c r="H87" s="85"/>
      <c r="I87" s="85"/>
      <c r="J87" s="85"/>
      <c r="K87" s="85"/>
      <c r="L87" s="85"/>
      <c r="M87" s="85"/>
      <c r="N87" s="85"/>
      <c r="O87" s="279"/>
    </row>
    <row r="88" spans="1:15" ht="45" customHeight="1" x14ac:dyDescent="0.35">
      <c r="A88" s="269"/>
      <c r="B88" s="893"/>
      <c r="C88" s="1304"/>
      <c r="D88" s="1305"/>
      <c r="E88" s="1305"/>
      <c r="F88" s="1305"/>
      <c r="G88" s="1305"/>
      <c r="H88" s="1305"/>
      <c r="I88" s="1305"/>
      <c r="J88" s="1305"/>
      <c r="K88" s="1305"/>
      <c r="L88" s="1303">
        <f>IF(M88="", "", EDATE(M88,-12))</f>
        <v>44196</v>
      </c>
      <c r="M88" s="1303">
        <f>IF(N88="", "", EDATE(N88,-12))</f>
        <v>44561</v>
      </c>
      <c r="N88" s="1303">
        <f>IF(ISBLANK('General Info'!$C$4), "", 'General Info'!$C$4)</f>
        <v>44926</v>
      </c>
      <c r="O88" s="279"/>
    </row>
    <row r="89" spans="1:15" ht="30" customHeight="1" x14ac:dyDescent="0.35">
      <c r="A89" s="259"/>
      <c r="B89" s="1582" t="s">
        <v>1823</v>
      </c>
      <c r="C89" s="483"/>
      <c r="D89" s="483"/>
      <c r="E89" s="483"/>
      <c r="F89" s="873"/>
      <c r="G89" s="873"/>
      <c r="H89" s="873"/>
      <c r="I89" s="873"/>
      <c r="J89" s="669"/>
      <c r="K89" s="669"/>
      <c r="L89" s="714">
        <f>IF(COUNT(L90:L94)=ROWS(L90:L94), SUM(L90:L94), "")</f>
        <v>1694594</v>
      </c>
      <c r="M89" s="714">
        <f>IF(COUNT(M90:M94)=ROWS(M90:M94), SUM(M90:M94), "")</f>
        <v>1914326</v>
      </c>
      <c r="N89" s="714">
        <f>IF(COUNT(N90:N94)=ROWS(N90:N94), SUM(N90:N94), "")</f>
        <v>2021442</v>
      </c>
      <c r="O89" s="279"/>
    </row>
    <row r="90" spans="1:15" ht="15" customHeight="1" x14ac:dyDescent="0.35">
      <c r="A90" s="259"/>
      <c r="B90" s="339" t="s">
        <v>1824</v>
      </c>
      <c r="C90" s="452"/>
      <c r="D90" s="452"/>
      <c r="E90" s="452"/>
      <c r="F90" s="16"/>
      <c r="G90" s="16"/>
      <c r="H90" s="16"/>
      <c r="I90" s="16"/>
      <c r="J90" s="16"/>
      <c r="K90" s="16"/>
      <c r="L90" s="1">
        <v>0</v>
      </c>
      <c r="M90" s="1">
        <v>0</v>
      </c>
      <c r="N90" s="34">
        <v>0</v>
      </c>
      <c r="O90" s="279"/>
    </row>
    <row r="91" spans="1:15" ht="15" customHeight="1" x14ac:dyDescent="0.35">
      <c r="A91" s="259"/>
      <c r="B91" s="339" t="s">
        <v>1825</v>
      </c>
      <c r="C91" s="452"/>
      <c r="D91" s="452"/>
      <c r="E91" s="452"/>
      <c r="F91" s="16"/>
      <c r="G91" s="16"/>
      <c r="H91" s="16"/>
      <c r="I91" s="16"/>
      <c r="J91" s="16"/>
      <c r="K91" s="16"/>
      <c r="L91" s="1">
        <v>1694594</v>
      </c>
      <c r="M91" s="1">
        <v>1914326</v>
      </c>
      <c r="N91" s="34">
        <v>2021442</v>
      </c>
      <c r="O91" s="279"/>
    </row>
    <row r="92" spans="1:15" ht="15" customHeight="1" x14ac:dyDescent="0.35">
      <c r="A92" s="259"/>
      <c r="B92" s="339" t="s">
        <v>1826</v>
      </c>
      <c r="C92" s="452"/>
      <c r="D92" s="452"/>
      <c r="E92" s="452"/>
      <c r="F92" s="16"/>
      <c r="G92" s="16"/>
      <c r="H92" s="16"/>
      <c r="I92" s="16"/>
      <c r="J92" s="16"/>
      <c r="K92" s="16"/>
      <c r="L92" s="1">
        <v>0</v>
      </c>
      <c r="M92" s="1">
        <v>0</v>
      </c>
      <c r="N92" s="34">
        <v>0</v>
      </c>
      <c r="O92" s="279"/>
    </row>
    <row r="93" spans="1:15" ht="15" customHeight="1" x14ac:dyDescent="0.35">
      <c r="A93" s="259"/>
      <c r="B93" s="164" t="s">
        <v>1827</v>
      </c>
      <c r="C93" s="452"/>
      <c r="D93" s="452"/>
      <c r="E93" s="452"/>
      <c r="F93" s="16"/>
      <c r="G93" s="16"/>
      <c r="H93" s="16"/>
      <c r="I93" s="16"/>
      <c r="J93" s="16"/>
      <c r="K93" s="16"/>
      <c r="L93" s="1">
        <v>0</v>
      </c>
      <c r="M93" s="1">
        <v>0</v>
      </c>
      <c r="N93" s="34">
        <v>0</v>
      </c>
      <c r="O93" s="279"/>
    </row>
    <row r="94" spans="1:15" ht="15" customHeight="1" x14ac:dyDescent="0.35">
      <c r="A94" s="259"/>
      <c r="B94" s="164" t="s">
        <v>1828</v>
      </c>
      <c r="C94" s="452"/>
      <c r="D94" s="452"/>
      <c r="E94" s="452"/>
      <c r="F94" s="16"/>
      <c r="G94" s="16"/>
      <c r="H94" s="16"/>
      <c r="I94" s="16"/>
      <c r="J94" s="16"/>
      <c r="K94" s="16"/>
      <c r="L94" s="108">
        <v>0</v>
      </c>
      <c r="M94" s="108">
        <v>0</v>
      </c>
      <c r="N94" s="34">
        <v>0</v>
      </c>
      <c r="O94" s="279"/>
    </row>
    <row r="95" spans="1:15" ht="15" customHeight="1" x14ac:dyDescent="0.35">
      <c r="A95" s="259"/>
      <c r="B95" s="365" t="s">
        <v>1829</v>
      </c>
      <c r="C95" s="452"/>
      <c r="D95" s="452"/>
      <c r="E95" s="452"/>
      <c r="F95" s="16"/>
      <c r="G95" s="16"/>
      <c r="H95" s="16"/>
      <c r="I95" s="16"/>
      <c r="J95" s="16"/>
      <c r="K95" s="16"/>
      <c r="L95" s="359" t="str">
        <f>IF(COUNT(L90:L94)=ROWS(L90:L94), IF(OR(L94=0, AND(L94&gt;0, SUM(L90:L93)=0)), "Pass", "Fail"), "")</f>
        <v>Pass</v>
      </c>
      <c r="M95" s="359" t="str">
        <f>IF(COUNT(M90:M94)=ROWS(M90:M94), IF(OR(M94=0, AND(M94&gt;0, SUM(M90:M93)=0)), "Pass", "Fail"), "")</f>
        <v>Pass</v>
      </c>
      <c r="N95" s="404" t="str">
        <f>IF(COUNT(N90:N94)=ROWS(N90:N94), IF(OR(N94=0, AND(N94&gt;0, SUM(N90:N93)=0)), "Pass", "Fail"), "")</f>
        <v>Pass</v>
      </c>
      <c r="O95" s="279"/>
    </row>
    <row r="96" spans="1:15" ht="15" customHeight="1" x14ac:dyDescent="0.35">
      <c r="A96" s="259"/>
      <c r="B96" s="762" t="s">
        <v>1830</v>
      </c>
      <c r="C96" s="452"/>
      <c r="D96" s="452"/>
      <c r="E96" s="452"/>
      <c r="F96" s="16"/>
      <c r="G96" s="16"/>
      <c r="H96" s="16"/>
      <c r="I96" s="16"/>
      <c r="J96" s="16"/>
      <c r="K96" s="16"/>
      <c r="L96" s="9">
        <f>IF(COUNT(L97:L102)=ROWS(L97:L102), SUM(L97:L102), "")</f>
        <v>0</v>
      </c>
      <c r="M96" s="9">
        <f>IF(COUNT(M97:M102)=ROWS(M97:M102), SUM(M97:M102), "")</f>
        <v>0</v>
      </c>
      <c r="N96" s="9">
        <f>IF(COUNT(N97:N102)=ROWS(N97:N102), SUM(N97:N102), "")</f>
        <v>0</v>
      </c>
      <c r="O96" s="279"/>
    </row>
    <row r="97" spans="1:15" ht="15" customHeight="1" x14ac:dyDescent="0.35">
      <c r="A97" s="259"/>
      <c r="B97" s="339" t="s">
        <v>1824</v>
      </c>
      <c r="C97" s="452"/>
      <c r="D97" s="452"/>
      <c r="E97" s="452"/>
      <c r="F97" s="16"/>
      <c r="G97" s="16"/>
      <c r="H97" s="16"/>
      <c r="I97" s="16"/>
      <c r="J97" s="16"/>
      <c r="K97" s="16"/>
      <c r="L97" s="1">
        <v>0</v>
      </c>
      <c r="M97" s="1">
        <v>0</v>
      </c>
      <c r="N97" s="34">
        <v>0</v>
      </c>
      <c r="O97" s="279"/>
    </row>
    <row r="98" spans="1:15" ht="15" customHeight="1" x14ac:dyDescent="0.35">
      <c r="A98" s="259"/>
      <c r="B98" s="339" t="s">
        <v>1825</v>
      </c>
      <c r="C98" s="452"/>
      <c r="D98" s="452"/>
      <c r="E98" s="452"/>
      <c r="F98" s="16"/>
      <c r="G98" s="16"/>
      <c r="H98" s="16"/>
      <c r="I98" s="16"/>
      <c r="J98" s="16"/>
      <c r="K98" s="16"/>
      <c r="L98" s="1">
        <v>0</v>
      </c>
      <c r="M98" s="1">
        <v>0</v>
      </c>
      <c r="N98" s="34">
        <v>0</v>
      </c>
      <c r="O98" s="279"/>
    </row>
    <row r="99" spans="1:15" ht="15" customHeight="1" x14ac:dyDescent="0.35">
      <c r="A99" s="259"/>
      <c r="B99" s="339" t="s">
        <v>1826</v>
      </c>
      <c r="C99" s="452"/>
      <c r="D99" s="452"/>
      <c r="E99" s="452"/>
      <c r="F99" s="16"/>
      <c r="G99" s="16"/>
      <c r="H99" s="16"/>
      <c r="I99" s="16"/>
      <c r="J99" s="16"/>
      <c r="K99" s="16"/>
      <c r="L99" s="1">
        <v>0</v>
      </c>
      <c r="M99" s="1">
        <v>0</v>
      </c>
      <c r="N99" s="34">
        <v>0</v>
      </c>
      <c r="O99" s="279"/>
    </row>
    <row r="100" spans="1:15" ht="15" customHeight="1" x14ac:dyDescent="0.35">
      <c r="A100" s="259"/>
      <c r="B100" s="339" t="s">
        <v>1827</v>
      </c>
      <c r="C100" s="452"/>
      <c r="D100" s="452"/>
      <c r="E100" s="452"/>
      <c r="F100" s="16"/>
      <c r="G100" s="16"/>
      <c r="H100" s="16"/>
      <c r="I100" s="16"/>
      <c r="J100" s="16"/>
      <c r="K100" s="16"/>
      <c r="L100" s="1">
        <v>0</v>
      </c>
      <c r="M100" s="1">
        <v>0</v>
      </c>
      <c r="N100" s="34">
        <v>0</v>
      </c>
      <c r="O100" s="279"/>
    </row>
    <row r="101" spans="1:15" ht="15" customHeight="1" x14ac:dyDescent="0.35">
      <c r="A101" s="259"/>
      <c r="B101" s="164" t="s">
        <v>1828</v>
      </c>
      <c r="C101" s="452"/>
      <c r="D101" s="452"/>
      <c r="E101" s="452"/>
      <c r="F101" s="16"/>
      <c r="G101" s="16"/>
      <c r="H101" s="16"/>
      <c r="I101" s="16"/>
      <c r="J101" s="16"/>
      <c r="K101" s="16"/>
      <c r="L101" s="1">
        <v>0</v>
      </c>
      <c r="M101" s="1">
        <v>0</v>
      </c>
      <c r="N101" s="34">
        <v>0</v>
      </c>
      <c r="O101" s="279"/>
    </row>
    <row r="102" spans="1:15" ht="15" customHeight="1" x14ac:dyDescent="0.35">
      <c r="A102" s="259"/>
      <c r="B102" s="164" t="s">
        <v>1831</v>
      </c>
      <c r="C102" s="452"/>
      <c r="D102" s="452"/>
      <c r="E102" s="452"/>
      <c r="F102" s="16"/>
      <c r="G102" s="16"/>
      <c r="H102" s="16"/>
      <c r="I102" s="16"/>
      <c r="J102" s="16"/>
      <c r="K102" s="16"/>
      <c r="L102" s="1">
        <v>0</v>
      </c>
      <c r="M102" s="1">
        <v>0</v>
      </c>
      <c r="N102" s="34">
        <v>0</v>
      </c>
      <c r="O102" s="279"/>
    </row>
    <row r="103" spans="1:15" ht="15" customHeight="1" x14ac:dyDescent="0.35">
      <c r="A103" s="259"/>
      <c r="B103" s="367" t="s">
        <v>1832</v>
      </c>
      <c r="C103" s="21"/>
      <c r="D103" s="21"/>
      <c r="E103" s="21"/>
      <c r="F103" s="17"/>
      <c r="G103" s="17"/>
      <c r="H103" s="17"/>
      <c r="I103" s="17"/>
      <c r="J103" s="17"/>
      <c r="K103" s="17"/>
      <c r="L103" s="360" t="str">
        <f>IF(COUNT(L97:L102)=ROWS(L97:L102), IF(OR(L101=0, AND(L101&gt;0, SUM(L97:L100)=0)), "Pass", "Fail")," ")</f>
        <v>Pass</v>
      </c>
      <c r="M103" s="360" t="str">
        <f>IF(COUNT(M97:M102)=ROWS(M97:M102), IF(OR(M101=0, AND(M101&gt;0, SUM(M97:M100)=0)), "Pass", "Fail")," ")</f>
        <v>Pass</v>
      </c>
      <c r="N103" s="358" t="str">
        <f>IF(COUNT(N97:N102)=ROWS(N97:N102), IF(OR(N101=0, AND(N101&gt;0, SUM(N97:N100)=0)), "Pass", "Fail")," ")</f>
        <v>Pass</v>
      </c>
      <c r="O103" s="279"/>
    </row>
    <row r="104" spans="1:15" ht="45" customHeight="1" x14ac:dyDescent="0.35">
      <c r="A104" s="269" t="s">
        <v>1833</v>
      </c>
      <c r="B104" s="84"/>
      <c r="E104" s="85"/>
      <c r="F104" s="85"/>
      <c r="G104" s="85"/>
      <c r="H104" s="85"/>
      <c r="I104" s="85"/>
      <c r="J104" s="85"/>
      <c r="K104" s="85"/>
      <c r="L104" s="85"/>
      <c r="M104" s="85"/>
      <c r="N104" s="85"/>
      <c r="O104" s="279"/>
    </row>
    <row r="105" spans="1:15" ht="15" customHeight="1" x14ac:dyDescent="0.35">
      <c r="A105" s="269"/>
      <c r="B105" s="893"/>
      <c r="C105" s="1304"/>
      <c r="D105" s="1305"/>
      <c r="E105" s="1305"/>
      <c r="F105" s="1305"/>
      <c r="G105" s="1305"/>
      <c r="H105" s="1305"/>
      <c r="I105" s="1305"/>
      <c r="J105" s="1305"/>
      <c r="K105" s="1305"/>
      <c r="L105" s="1303">
        <f>IF(M105="", "", EDATE(M105,-12))</f>
        <v>44196</v>
      </c>
      <c r="M105" s="1303">
        <f>IF(N105="", "", EDATE(N105,-12))</f>
        <v>44561</v>
      </c>
      <c r="N105" s="1303">
        <f>IF(ISBLANK('General Info'!$C$4), "", 'General Info'!$C$4)</f>
        <v>44926</v>
      </c>
      <c r="O105" s="279"/>
    </row>
    <row r="106" spans="1:15" ht="15" customHeight="1" x14ac:dyDescent="0.35">
      <c r="A106" s="259"/>
      <c r="B106" s="482" t="s">
        <v>1834</v>
      </c>
      <c r="C106" s="483"/>
      <c r="D106" s="483"/>
      <c r="E106" s="483"/>
      <c r="F106" s="873"/>
      <c r="G106" s="873"/>
      <c r="H106" s="873"/>
      <c r="I106" s="873"/>
      <c r="J106" s="873"/>
      <c r="K106" s="873"/>
      <c r="L106" s="714">
        <f>IF(L84=Parameters!$D$430, IF(ISNUMBER(L81), L81*12.5, ""), IF(L84=Parameters!$D$431, IF(ISNUMBER(L82), L82*12.5, ""), IF(L84=Parameters!$D$432, IF(ISNUMBER(L83), L83*12.5, ""), "")))</f>
        <v>2503850.1696666493</v>
      </c>
      <c r="M106" s="714">
        <f>IF(M84=Parameters!$D$430, IF(ISNUMBER(M81), M81*12.5, ""), IF(M84=Parameters!$D$431, IF(ISNUMBER(M82), M82*12.5, ""), IF(M84=Parameters!$D$432, IF(ISNUMBER(M83), M83*12.5, ""), "")))</f>
        <v>2585422.1144511458</v>
      </c>
      <c r="N106" s="714">
        <f>IF(N84=Parameters!$D$430, IF(ISNUMBER(N81), N81*12.5, ""), IF(N84=Parameters!$D$431, IF(ISNUMBER(N82), N82*12.5, ""), IF(N84=Parameters!$D$432, IF(ISNUMBER(N83), N83*12.5, ""), "")))</f>
        <v>2701395.1373078409</v>
      </c>
      <c r="O106" s="279"/>
    </row>
    <row r="107" spans="1:15" ht="15" customHeight="1" x14ac:dyDescent="0.35">
      <c r="A107" s="259"/>
      <c r="B107" s="218" t="s">
        <v>1835</v>
      </c>
      <c r="C107" s="21"/>
      <c r="D107" s="21"/>
      <c r="E107" s="21"/>
      <c r="F107" s="17"/>
      <c r="G107" s="17"/>
      <c r="H107" s="17"/>
      <c r="I107" s="17"/>
      <c r="J107" s="17"/>
      <c r="K107" s="17"/>
      <c r="L107" s="24">
        <v>0</v>
      </c>
      <c r="M107" s="24">
        <v>0</v>
      </c>
      <c r="N107" s="420">
        <v>0</v>
      </c>
      <c r="O107" s="279"/>
    </row>
    <row r="108" spans="1:15" ht="15" customHeight="1" x14ac:dyDescent="0.35">
      <c r="A108" s="729"/>
      <c r="B108" s="278"/>
      <c r="C108" s="278"/>
      <c r="D108" s="278"/>
      <c r="E108" s="278"/>
      <c r="F108" s="278"/>
      <c r="G108" s="278"/>
      <c r="H108" s="278"/>
      <c r="I108" s="278"/>
      <c r="J108" s="278"/>
      <c r="K108" s="278"/>
      <c r="L108" s="278"/>
      <c r="M108" s="278"/>
      <c r="N108" s="278"/>
      <c r="O108" s="875"/>
    </row>
  </sheetData>
  <sheetProtection algorithmName="SHA-512" hashValue="MMiINdAApNqfnaKdir466xPJBEvNoDovqw3NIFVHfyqCXucTDnmtp5g8y0m2xw8e8n10Af0tCAzzloawlA+8ow==" saltValue="DOmp2s9OuvtKGynhJNvr8A==" spinCount="100000" sheet="1" objects="1" scenarios="1"/>
  <mergeCells count="14">
    <mergeCell ref="C27:D27"/>
    <mergeCell ref="E27:N27"/>
    <mergeCell ref="E61:N61"/>
    <mergeCell ref="E55:N55"/>
    <mergeCell ref="E56:N56"/>
    <mergeCell ref="E54:N54"/>
    <mergeCell ref="E38:N38"/>
    <mergeCell ref="E39:N39"/>
    <mergeCell ref="E40:N40"/>
    <mergeCell ref="E44:N44"/>
    <mergeCell ref="E45:N45"/>
    <mergeCell ref="E60:N60"/>
    <mergeCell ref="E43:N43"/>
    <mergeCell ref="E59:N59"/>
  </mergeCells>
  <conditionalFormatting sqref="C31:N33 C34:D34 C36:N36 E38 C41:N41 E43 C47:N49 C52:N52 E54:N54 C57:N57 E59 J6:N7 J12:N15 J17:N22 J24:N24 L90:N95 L97:N103 L107:N107">
    <cfRule type="cellIs" dxfId="895" priority="53" stopIfTrue="1" operator="lessThan">
      <formula>0</formula>
    </cfRule>
  </conditionalFormatting>
  <conditionalFormatting sqref="A1:O1048576">
    <cfRule type="cellIs" dxfId="894" priority="51" stopIfTrue="1" operator="equal">
      <formula>"Pass"</formula>
    </cfRule>
    <cfRule type="cellIs" dxfId="893" priority="52" stopIfTrue="1" operator="equal">
      <formula>"Fail"</formula>
    </cfRule>
  </conditionalFormatting>
  <dataValidations disablePrompts="1" count="1">
    <dataValidation type="list" showInputMessage="1" showErrorMessage="1" sqref="C29:N29">
      <formula1>OpRiskData</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5" max="14" man="1"/>
    <brk id="63" max="14" man="1"/>
  </rowBreaks>
  <colBreaks count="1" manualBreakCount="1">
    <brk id="9" max="9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12"/>
  <sheetViews>
    <sheetView showGridLines="0" zoomScale="70" zoomScaleNormal="70" workbookViewId="0"/>
  </sheetViews>
  <sheetFormatPr defaultColWidth="10.88671875" defaultRowHeight="14.4" x14ac:dyDescent="0.3"/>
  <cols>
    <col min="1" max="1" width="58.88671875" style="2146" customWidth="1"/>
    <col min="2" max="2" width="136.33203125" style="2146" customWidth="1"/>
    <col min="3" max="3" width="110.88671875" style="2146" customWidth="1"/>
    <col min="4" max="4" width="129.33203125" style="2146" customWidth="1"/>
    <col min="5" max="16384" width="10.88671875" style="2146"/>
  </cols>
  <sheetData>
    <row r="1" spans="1:4" ht="15" thickBot="1" x14ac:dyDescent="0.35"/>
    <row r="2" spans="1:4" ht="15" thickBot="1" x14ac:dyDescent="0.35">
      <c r="A2" s="2319"/>
      <c r="B2" s="2318" t="s">
        <v>3220</v>
      </c>
      <c r="C2" s="2317" t="s">
        <v>3219</v>
      </c>
      <c r="D2" s="2316" t="s">
        <v>3218</v>
      </c>
    </row>
    <row r="3" spans="1:4" ht="43.2" x14ac:dyDescent="0.3">
      <c r="A3" s="2315" t="s">
        <v>3217</v>
      </c>
      <c r="B3" s="2314" t="s">
        <v>3216</v>
      </c>
      <c r="C3" s="2313" t="s">
        <v>3215</v>
      </c>
      <c r="D3" s="2312" t="s">
        <v>3214</v>
      </c>
    </row>
    <row r="4" spans="1:4" ht="61.5" customHeight="1" x14ac:dyDescent="0.3">
      <c r="A4" s="2309" t="s">
        <v>3213</v>
      </c>
      <c r="B4" s="2311" t="s">
        <v>3212</v>
      </c>
      <c r="C4" s="2308" t="s">
        <v>3211</v>
      </c>
      <c r="D4" s="2310" t="s">
        <v>3210</v>
      </c>
    </row>
    <row r="5" spans="1:4" ht="43.2" x14ac:dyDescent="0.3">
      <c r="A5" s="2309" t="s">
        <v>3209</v>
      </c>
      <c r="B5" s="2307" t="s">
        <v>3208</v>
      </c>
      <c r="C5" s="2308" t="s">
        <v>3207</v>
      </c>
      <c r="D5" s="2310" t="s">
        <v>3206</v>
      </c>
    </row>
    <row r="6" spans="1:4" ht="43.2" x14ac:dyDescent="0.3">
      <c r="A6" s="2309" t="s">
        <v>3205</v>
      </c>
      <c r="B6" s="2307" t="s">
        <v>3204</v>
      </c>
      <c r="C6" s="2308" t="s">
        <v>3203</v>
      </c>
      <c r="D6" s="2304" t="s">
        <v>3202</v>
      </c>
    </row>
    <row r="7" spans="1:4" ht="28.8" x14ac:dyDescent="0.3">
      <c r="A7" s="2306" t="s">
        <v>3201</v>
      </c>
      <c r="B7" s="2307" t="s">
        <v>3200</v>
      </c>
      <c r="C7" s="2300" t="s">
        <v>3199</v>
      </c>
      <c r="D7" s="2304" t="s">
        <v>3198</v>
      </c>
    </row>
    <row r="8" spans="1:4" x14ac:dyDescent="0.3">
      <c r="A8" s="2306" t="s">
        <v>3197</v>
      </c>
      <c r="B8" s="2305" t="s">
        <v>3196</v>
      </c>
      <c r="C8" s="2300" t="s">
        <v>3191</v>
      </c>
      <c r="D8" s="2304" t="s">
        <v>3195</v>
      </c>
    </row>
    <row r="9" spans="1:4" x14ac:dyDescent="0.3">
      <c r="A9" s="2303" t="s">
        <v>3194</v>
      </c>
      <c r="B9" s="2301"/>
      <c r="C9" s="2300" t="s">
        <v>3191</v>
      </c>
      <c r="D9" s="2299" t="s">
        <v>3193</v>
      </c>
    </row>
    <row r="10" spans="1:4" x14ac:dyDescent="0.3">
      <c r="A10" s="2302" t="s">
        <v>3192</v>
      </c>
      <c r="B10" s="2301"/>
      <c r="C10" s="2300" t="s">
        <v>3191</v>
      </c>
      <c r="D10" s="2299"/>
    </row>
    <row r="11" spans="1:4" x14ac:dyDescent="0.3">
      <c r="A11" s="2302" t="s">
        <v>3190</v>
      </c>
      <c r="B11" s="2301"/>
      <c r="C11" s="2300" t="s">
        <v>3189</v>
      </c>
      <c r="D11" s="2299"/>
    </row>
    <row r="12" spans="1:4" ht="15" thickBot="1" x14ac:dyDescent="0.35">
      <c r="A12" s="2298" t="s">
        <v>3188</v>
      </c>
      <c r="B12" s="2297"/>
      <c r="C12" s="2296"/>
      <c r="D12" s="2295"/>
    </row>
  </sheetData>
  <sheetProtection algorithmName="SHA-512" hashValue="lK796n8WQXKJQnXP3lXBMVeYxBXrzkd6uogZUJ9qYz32RAo3Uh9Wmi+5tLBW47WaZZZGXTzSdvIV3B1AKWVTiQ==" saltValue="S/7R+hENbYkfh06n24ycyg==" spinCount="100000" sheet="1" objects="1" scenarios="1"/>
  <pageMargins left="0.7" right="0.7" top="0.75" bottom="0.75" header="0.3" footer="0.3"/>
  <pageSetup paperSize="9" orientation="portrait" r:id="rId1"/>
  <headerFooter>
    <oddHeader>&amp;L&amp;"Calibri"&amp;12&amp;K000000 EBA Regular Use&amp;1#_x000D_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58"/>
  <sheetViews>
    <sheetView showGridLines="0" topLeftCell="A22" zoomScale="70" zoomScaleNormal="70" workbookViewId="0">
      <selection activeCell="E8" sqref="E7:E8"/>
    </sheetView>
  </sheetViews>
  <sheetFormatPr defaultColWidth="9.109375" defaultRowHeight="13.8" x14ac:dyDescent="0.3"/>
  <cols>
    <col min="1" max="1" width="9.109375" style="2320"/>
    <col min="2" max="2" width="21.33203125" style="2320" customWidth="1"/>
    <col min="3" max="3" width="99.5546875" style="2320" customWidth="1"/>
    <col min="4" max="13" width="20.5546875" style="2320" customWidth="1"/>
    <col min="14" max="14" width="22.44140625" style="2320" customWidth="1"/>
    <col min="15" max="15" width="20.5546875" style="2320" customWidth="1"/>
    <col min="16" max="16" width="22" style="2320" customWidth="1"/>
    <col min="17" max="17" width="2.109375" style="2320" customWidth="1"/>
    <col min="18" max="18" width="13.6640625" style="2320" customWidth="1"/>
    <col min="19" max="19" width="12.6640625" style="2320" customWidth="1"/>
    <col min="20" max="16384" width="9.109375" style="2320"/>
  </cols>
  <sheetData>
    <row r="1" spans="1:14" ht="42.9" customHeight="1" x14ac:dyDescent="0.3">
      <c r="A1" s="3261" t="s">
        <v>3258</v>
      </c>
      <c r="B1" s="3261"/>
      <c r="C1" s="3262"/>
      <c r="D1" s="2321" t="s">
        <v>3569</v>
      </c>
    </row>
    <row r="2" spans="1:14" ht="30" customHeight="1" x14ac:dyDescent="0.4">
      <c r="A2" s="2338"/>
      <c r="B2" s="2338"/>
      <c r="C2" s="2338"/>
    </row>
    <row r="3" spans="1:14" ht="15.6" x14ac:dyDescent="0.3">
      <c r="A3" s="2337"/>
    </row>
    <row r="4" spans="1:14" ht="14.4" x14ac:dyDescent="0.3">
      <c r="B4" s="2336" t="s">
        <v>3257</v>
      </c>
    </row>
    <row r="5" spans="1:14" ht="14.4" x14ac:dyDescent="0.3">
      <c r="B5" s="2336"/>
    </row>
    <row r="6" spans="1:14" ht="14.4" x14ac:dyDescent="0.3">
      <c r="C6" s="2335" t="s">
        <v>1505</v>
      </c>
      <c r="D6" s="2321" t="s">
        <v>1391</v>
      </c>
    </row>
    <row r="7" spans="1:14" ht="14.4" x14ac:dyDescent="0.3">
      <c r="C7" s="2335" t="s">
        <v>3256</v>
      </c>
      <c r="D7" s="2321" t="s">
        <v>1390</v>
      </c>
    </row>
    <row r="8" spans="1:14" ht="14.4" x14ac:dyDescent="0.3">
      <c r="C8" s="2335" t="s">
        <v>3255</v>
      </c>
      <c r="D8" s="2321"/>
    </row>
    <row r="9" spans="1:14" ht="14.4" x14ac:dyDescent="0.3">
      <c r="C9" s="2335" t="s">
        <v>3254</v>
      </c>
      <c r="D9" s="2321"/>
    </row>
    <row r="10" spans="1:14" s="2333" customFormat="1" x14ac:dyDescent="0.3">
      <c r="C10" s="2334"/>
      <c r="D10" s="2320"/>
      <c r="E10" s="2320"/>
      <c r="F10" s="2320"/>
      <c r="G10" s="2320"/>
      <c r="H10" s="2320"/>
      <c r="I10" s="2320"/>
      <c r="J10" s="2320"/>
      <c r="K10" s="2320"/>
      <c r="L10" s="2320"/>
      <c r="M10" s="2320"/>
      <c r="N10" s="2320"/>
    </row>
    <row r="11" spans="1:14" ht="47.25" customHeight="1" x14ac:dyDescent="0.3">
      <c r="D11" s="3263" t="s">
        <v>3253</v>
      </c>
      <c r="E11" s="3264"/>
      <c r="F11" s="3265"/>
      <c r="G11" s="3259" t="s">
        <v>3252</v>
      </c>
      <c r="H11" s="3260"/>
      <c r="I11" s="3259" t="s">
        <v>3251</v>
      </c>
      <c r="J11" s="3260"/>
      <c r="K11" s="3259" t="s">
        <v>3250</v>
      </c>
      <c r="L11" s="3260"/>
      <c r="M11" s="3259" t="s">
        <v>3249</v>
      </c>
      <c r="N11" s="3260"/>
    </row>
    <row r="12" spans="1:14" ht="82.5" customHeight="1" x14ac:dyDescent="0.3">
      <c r="C12" s="2326" t="s">
        <v>3248</v>
      </c>
      <c r="D12" s="2332" t="s">
        <v>3235</v>
      </c>
      <c r="E12" s="3256" t="s">
        <v>3234</v>
      </c>
      <c r="F12" s="3257"/>
      <c r="G12" s="3250" t="s">
        <v>3235</v>
      </c>
      <c r="H12" s="3250" t="s">
        <v>3234</v>
      </c>
      <c r="I12" s="3250" t="s">
        <v>3235</v>
      </c>
      <c r="J12" s="3250" t="s">
        <v>3234</v>
      </c>
      <c r="K12" s="3250" t="s">
        <v>3235</v>
      </c>
      <c r="L12" s="3250" t="s">
        <v>3234</v>
      </c>
      <c r="M12" s="3250" t="s">
        <v>3235</v>
      </c>
      <c r="N12" s="3250" t="s">
        <v>3234</v>
      </c>
    </row>
    <row r="13" spans="1:14" ht="57.75" customHeight="1" x14ac:dyDescent="0.3">
      <c r="D13" s="2325" t="s">
        <v>3247</v>
      </c>
      <c r="E13" s="2325" t="s">
        <v>3247</v>
      </c>
      <c r="F13" s="2325" t="s">
        <v>3246</v>
      </c>
      <c r="G13" s="3251"/>
      <c r="H13" s="3251"/>
      <c r="I13" s="3251"/>
      <c r="J13" s="3251"/>
      <c r="K13" s="3251"/>
      <c r="L13" s="3251"/>
      <c r="M13" s="3251"/>
      <c r="N13" s="3251"/>
    </row>
    <row r="14" spans="1:14" x14ac:dyDescent="0.3">
      <c r="B14" s="3252" t="s">
        <v>3245</v>
      </c>
      <c r="C14" s="2330" t="s">
        <v>3244</v>
      </c>
      <c r="D14" s="2330"/>
      <c r="E14" s="2330"/>
      <c r="F14" s="2330"/>
      <c r="G14" s="2330"/>
      <c r="H14" s="2330"/>
      <c r="I14" s="2330"/>
      <c r="J14" s="2330"/>
      <c r="K14" s="2330"/>
      <c r="L14" s="2330"/>
      <c r="M14" s="2330"/>
      <c r="N14" s="2330"/>
    </row>
    <row r="15" spans="1:14" ht="14.4" x14ac:dyDescent="0.3">
      <c r="B15" s="3252"/>
      <c r="C15" s="2331" t="s">
        <v>3238</v>
      </c>
      <c r="D15" s="2321">
        <v>1380153.0040846886</v>
      </c>
      <c r="E15" s="2321">
        <v>1319283.8518995158</v>
      </c>
      <c r="F15" s="2321">
        <v>1319283.8518995158</v>
      </c>
      <c r="G15" s="2321">
        <v>245528.05924094547</v>
      </c>
      <c r="H15" s="2321">
        <v>225193.36570548854</v>
      </c>
      <c r="I15" s="2321"/>
      <c r="J15" s="2321"/>
      <c r="K15" s="2321"/>
      <c r="L15" s="2321"/>
      <c r="M15" s="2321"/>
      <c r="N15" s="2321"/>
    </row>
    <row r="16" spans="1:14" x14ac:dyDescent="0.3">
      <c r="B16" s="3252"/>
      <c r="C16" s="2330" t="s">
        <v>3243</v>
      </c>
      <c r="D16" s="2330"/>
      <c r="E16" s="2330"/>
      <c r="F16" s="2330"/>
      <c r="G16" s="2330"/>
      <c r="H16" s="2330"/>
      <c r="I16" s="2330"/>
      <c r="J16" s="2330"/>
      <c r="K16" s="2330"/>
      <c r="L16" s="2330"/>
      <c r="M16" s="2330"/>
      <c r="N16" s="2330"/>
    </row>
    <row r="17" spans="2:14" ht="14.4" x14ac:dyDescent="0.3">
      <c r="B17" s="3252"/>
      <c r="C17" s="2323" t="s">
        <v>3223</v>
      </c>
      <c r="D17" s="2321">
        <v>-9910.7992390459131</v>
      </c>
      <c r="E17" s="2321">
        <v>-160465.3466182882</v>
      </c>
      <c r="F17" s="2321">
        <v>-160465.3466182882</v>
      </c>
      <c r="G17" s="2321">
        <v>24168.267048005968</v>
      </c>
      <c r="H17" s="2321">
        <v>29163.5011537883</v>
      </c>
      <c r="I17" s="2321"/>
      <c r="J17" s="2321"/>
      <c r="K17" s="2321"/>
      <c r="L17" s="2321"/>
      <c r="M17" s="2321"/>
      <c r="N17" s="2321"/>
    </row>
    <row r="18" spans="2:14" ht="14.4" x14ac:dyDescent="0.3">
      <c r="B18" s="3252"/>
      <c r="C18" s="2323" t="s">
        <v>3222</v>
      </c>
      <c r="D18" s="2321">
        <v>-9910.799239045431</v>
      </c>
      <c r="E18" s="2321">
        <v>-84173.140907485402</v>
      </c>
      <c r="F18" s="2321">
        <v>-84173.140907485402</v>
      </c>
      <c r="G18" s="2321">
        <v>24168.26704800591</v>
      </c>
      <c r="H18" s="2321">
        <v>30127.958570712497</v>
      </c>
      <c r="I18" s="2321"/>
      <c r="J18" s="2321"/>
      <c r="K18" s="2321"/>
      <c r="L18" s="2321"/>
      <c r="M18" s="2321"/>
      <c r="N18" s="2321"/>
    </row>
    <row r="19" spans="2:14" ht="14.4" x14ac:dyDescent="0.3">
      <c r="B19" s="3252"/>
      <c r="C19" s="2323" t="s">
        <v>3221</v>
      </c>
      <c r="D19" s="2321">
        <v>-32023.521697354641</v>
      </c>
      <c r="E19" s="2321">
        <v>69877.989096998339</v>
      </c>
      <c r="F19" s="2322"/>
      <c r="G19" s="2321">
        <v>-19710.823856498788</v>
      </c>
      <c r="H19" s="2321">
        <v>-23353.216659744357</v>
      </c>
      <c r="I19" s="2321"/>
      <c r="J19" s="2321"/>
      <c r="K19" s="2321"/>
      <c r="L19" s="2321"/>
      <c r="M19" s="2321"/>
      <c r="N19" s="2321"/>
    </row>
    <row r="20" spans="2:14" ht="14.4" x14ac:dyDescent="0.3">
      <c r="B20" s="3252"/>
      <c r="C20" s="2323" t="s">
        <v>3229</v>
      </c>
      <c r="D20" s="2321">
        <v>126783.58985705057</v>
      </c>
      <c r="E20" s="2321">
        <v>107690.2670686655</v>
      </c>
      <c r="F20" s="2322"/>
      <c r="G20" s="2321">
        <v>-985.22255968624233</v>
      </c>
      <c r="H20" s="2321">
        <v>1527.685001539216</v>
      </c>
      <c r="I20" s="2321"/>
      <c r="J20" s="2321"/>
      <c r="K20" s="2321"/>
      <c r="L20" s="2321"/>
      <c r="M20" s="2321"/>
      <c r="N20" s="2321"/>
    </row>
    <row r="21" spans="2:14" ht="14.4" x14ac:dyDescent="0.3">
      <c r="B21" s="3252"/>
      <c r="C21" s="2323" t="s">
        <v>3228</v>
      </c>
      <c r="D21" s="2321">
        <v>-123348.08567241956</v>
      </c>
      <c r="E21" s="2321">
        <v>-110908.05602020813</v>
      </c>
      <c r="F21" s="2322"/>
      <c r="G21" s="2321">
        <v>926.55073495877423</v>
      </c>
      <c r="H21" s="2321">
        <v>266.00808033927649</v>
      </c>
      <c r="I21" s="2321"/>
      <c r="J21" s="2321"/>
      <c r="K21" s="2321"/>
      <c r="L21" s="2321"/>
      <c r="M21" s="2321"/>
      <c r="N21" s="2321"/>
    </row>
    <row r="22" spans="2:14" ht="14.4" x14ac:dyDescent="0.3">
      <c r="B22" s="3252"/>
      <c r="C22" s="2323" t="s">
        <v>3227</v>
      </c>
      <c r="D22" s="2321">
        <v>115491.23892511601</v>
      </c>
      <c r="E22" s="2321">
        <v>143327.19046585754</v>
      </c>
      <c r="F22" s="2322"/>
      <c r="G22" s="2321">
        <v>-15316.970919054391</v>
      </c>
      <c r="H22" s="2321">
        <v>-16988.62521733874</v>
      </c>
      <c r="I22" s="2321"/>
      <c r="J22" s="2321"/>
      <c r="K22" s="2321"/>
      <c r="L22" s="2321"/>
      <c r="M22" s="2321"/>
      <c r="N22" s="2321"/>
    </row>
    <row r="23" spans="2:14" ht="14.4" x14ac:dyDescent="0.3">
      <c r="B23" s="3252"/>
      <c r="C23" s="2323" t="s">
        <v>3226</v>
      </c>
      <c r="D23" s="2321">
        <v>-128954.83057768056</v>
      </c>
      <c r="E23" s="2321">
        <v>-155646.54754502812</v>
      </c>
      <c r="F23" s="2322"/>
      <c r="G23" s="2321">
        <v>10988.094384605753</v>
      </c>
      <c r="H23" s="2321">
        <v>12091.287308887298</v>
      </c>
      <c r="I23" s="2321"/>
      <c r="J23" s="2321"/>
      <c r="K23" s="2321"/>
      <c r="L23" s="2321"/>
      <c r="M23" s="2321"/>
      <c r="N23" s="2321"/>
    </row>
    <row r="24" spans="2:14" x14ac:dyDescent="0.3">
      <c r="B24" s="3252"/>
      <c r="C24" s="2330" t="s">
        <v>3242</v>
      </c>
      <c r="D24" s="2330"/>
      <c r="E24" s="2330"/>
      <c r="F24" s="2330"/>
      <c r="G24" s="2330"/>
      <c r="H24" s="2330"/>
      <c r="I24" s="2330"/>
      <c r="J24" s="2330"/>
      <c r="K24" s="2330"/>
      <c r="L24" s="2330"/>
      <c r="M24" s="2330"/>
      <c r="N24" s="2330"/>
    </row>
    <row r="25" spans="2:14" ht="14.4" x14ac:dyDescent="0.3">
      <c r="B25" s="3252"/>
      <c r="C25" s="2331" t="s">
        <v>3238</v>
      </c>
      <c r="D25" s="2321">
        <v>1007854.5134874664</v>
      </c>
      <c r="E25" s="2321">
        <v>716366.16623946838</v>
      </c>
      <c r="F25" s="2321">
        <v>716366.16623946838</v>
      </c>
      <c r="G25" s="2321">
        <v>27077.95703234891</v>
      </c>
      <c r="H25" s="2321">
        <v>11790.704376955497</v>
      </c>
      <c r="I25" s="2321"/>
      <c r="J25" s="2321"/>
      <c r="K25" s="2321"/>
      <c r="L25" s="2321"/>
      <c r="M25" s="2321"/>
      <c r="N25" s="2321"/>
    </row>
    <row r="26" spans="2:14" x14ac:dyDescent="0.3">
      <c r="B26" s="3252"/>
      <c r="C26" s="2330" t="s">
        <v>3241</v>
      </c>
      <c r="D26" s="2330"/>
      <c r="E26" s="2330"/>
      <c r="F26" s="2330"/>
      <c r="G26" s="2330"/>
      <c r="H26" s="2330"/>
      <c r="I26" s="2330"/>
      <c r="J26" s="2330"/>
      <c r="K26" s="2330"/>
      <c r="L26" s="2330"/>
      <c r="M26" s="2330"/>
      <c r="N26" s="2330"/>
    </row>
    <row r="27" spans="2:14" ht="14.4" x14ac:dyDescent="0.3">
      <c r="B27" s="3252"/>
      <c r="C27" s="2323" t="s">
        <v>3223</v>
      </c>
      <c r="D27" s="2321">
        <v>-132136.06645178868</v>
      </c>
      <c r="E27" s="2321">
        <v>-96257.734365325683</v>
      </c>
      <c r="F27" s="2321">
        <v>-96257.734365325683</v>
      </c>
      <c r="G27" s="2321">
        <v>-5751.3408557337598</v>
      </c>
      <c r="H27" s="2321">
        <v>-9357.1011958471736</v>
      </c>
      <c r="I27" s="2321"/>
      <c r="J27" s="2321"/>
      <c r="K27" s="2321"/>
      <c r="L27" s="2321"/>
      <c r="M27" s="2321"/>
      <c r="N27" s="2321"/>
    </row>
    <row r="28" spans="2:14" ht="14.4" x14ac:dyDescent="0.3">
      <c r="B28" s="3252"/>
      <c r="C28" s="2323" t="s">
        <v>3222</v>
      </c>
      <c r="D28" s="2321">
        <v>-132136.06645178868</v>
      </c>
      <c r="E28" s="2321">
        <v>-50915.445269434451</v>
      </c>
      <c r="F28" s="2321">
        <v>-50915.445269434451</v>
      </c>
      <c r="G28" s="2321">
        <v>-5751.340855733778</v>
      </c>
      <c r="H28" s="2321">
        <v>-6773.0813256317397</v>
      </c>
      <c r="I28" s="2321"/>
      <c r="J28" s="2321"/>
      <c r="K28" s="2321"/>
      <c r="L28" s="2321"/>
      <c r="M28" s="2321"/>
      <c r="N28" s="2321"/>
    </row>
    <row r="29" spans="2:14" ht="14.4" x14ac:dyDescent="0.3">
      <c r="B29" s="3252"/>
      <c r="C29" s="2323" t="s">
        <v>3221</v>
      </c>
      <c r="D29" s="2321">
        <v>176153.93592253971</v>
      </c>
      <c r="E29" s="2321">
        <v>171382.95374703003</v>
      </c>
      <c r="F29" s="2322"/>
      <c r="G29" s="2321">
        <v>5514.1003066051271</v>
      </c>
      <c r="H29" s="2321">
        <v>6875.4672707806476</v>
      </c>
      <c r="I29" s="2321"/>
      <c r="J29" s="2321"/>
      <c r="K29" s="2321"/>
      <c r="L29" s="2321"/>
      <c r="M29" s="2321"/>
      <c r="N29" s="2321"/>
    </row>
    <row r="30" spans="2:14" ht="15" customHeight="1" x14ac:dyDescent="0.3">
      <c r="B30" s="3253" t="s">
        <v>3240</v>
      </c>
      <c r="C30" s="2330" t="s">
        <v>3239</v>
      </c>
      <c r="D30" s="2330"/>
      <c r="E30" s="2330"/>
      <c r="F30" s="2324"/>
      <c r="G30" s="2330"/>
      <c r="H30" s="2330"/>
      <c r="I30" s="2330"/>
      <c r="J30" s="2330"/>
      <c r="K30" s="2330"/>
      <c r="L30" s="2330"/>
      <c r="M30" s="2330"/>
      <c r="N30" s="2330"/>
    </row>
    <row r="31" spans="2:14" ht="14.4" x14ac:dyDescent="0.3">
      <c r="B31" s="3254"/>
      <c r="C31" s="2331" t="s">
        <v>3238</v>
      </c>
      <c r="D31" s="2321">
        <v>4156018.7782241525</v>
      </c>
      <c r="E31" s="2321">
        <v>4113440.7960181981</v>
      </c>
      <c r="F31" s="2322"/>
      <c r="G31" s="2321">
        <v>2200260.3796042791</v>
      </c>
      <c r="H31" s="2321">
        <v>2056404.4400641529</v>
      </c>
      <c r="I31" s="2321"/>
      <c r="J31" s="2321"/>
      <c r="K31" s="2321"/>
      <c r="L31" s="2321"/>
      <c r="M31" s="2321"/>
      <c r="N31" s="2321"/>
    </row>
    <row r="32" spans="2:14" x14ac:dyDescent="0.3">
      <c r="B32" s="3254"/>
      <c r="C32" s="2330" t="s">
        <v>3237</v>
      </c>
      <c r="D32" s="2330"/>
      <c r="E32" s="2330"/>
      <c r="F32" s="2324"/>
      <c r="G32" s="2330"/>
      <c r="H32" s="2330"/>
      <c r="I32" s="2330"/>
      <c r="J32" s="2330"/>
      <c r="K32" s="2330"/>
      <c r="L32" s="2330"/>
      <c r="M32" s="2330"/>
      <c r="N32" s="2330"/>
    </row>
    <row r="33" spans="2:14" ht="14.4" x14ac:dyDescent="0.3">
      <c r="B33" s="3254"/>
      <c r="C33" s="2323" t="s">
        <v>3223</v>
      </c>
      <c r="D33" s="2321">
        <v>8890.7241075377351</v>
      </c>
      <c r="E33" s="2321">
        <v>7101.479143264286</v>
      </c>
      <c r="F33" s="2322"/>
      <c r="G33" s="2321">
        <v>19251.400684370219</v>
      </c>
      <c r="H33" s="2321">
        <v>21894.678774580152</v>
      </c>
      <c r="I33" s="2321"/>
      <c r="J33" s="2321"/>
      <c r="K33" s="2321"/>
      <c r="L33" s="2321"/>
      <c r="M33" s="2321"/>
      <c r="N33" s="2321"/>
    </row>
    <row r="34" spans="2:14" ht="14.4" x14ac:dyDescent="0.3">
      <c r="B34" s="3254"/>
      <c r="C34" s="2323" t="s">
        <v>3222</v>
      </c>
      <c r="D34" s="2321">
        <v>8890.7241075381044</v>
      </c>
      <c r="E34" s="2321">
        <v>3371.8536333590782</v>
      </c>
      <c r="F34" s="2322"/>
      <c r="G34" s="2321">
        <v>19251.400684370488</v>
      </c>
      <c r="H34" s="2321">
        <v>22633.315635802894</v>
      </c>
      <c r="I34" s="2321"/>
      <c r="J34" s="2321"/>
      <c r="K34" s="2321"/>
      <c r="L34" s="2321"/>
      <c r="M34" s="2321"/>
      <c r="N34" s="2321"/>
    </row>
    <row r="35" spans="2:14" ht="14.4" x14ac:dyDescent="0.3">
      <c r="B35" s="3255"/>
      <c r="C35" s="2323" t="s">
        <v>3221</v>
      </c>
      <c r="D35" s="2321">
        <v>-7978.4120075112323</v>
      </c>
      <c r="E35" s="2321">
        <v>-9961.824715634215</v>
      </c>
      <c r="F35" s="2322"/>
      <c r="G35" s="2321">
        <v>-15899.97567886582</v>
      </c>
      <c r="H35" s="2321">
        <v>-18246.21705207798</v>
      </c>
      <c r="I35" s="2321"/>
      <c r="J35" s="2321"/>
      <c r="K35" s="2321"/>
      <c r="L35" s="2321"/>
      <c r="M35" s="2321"/>
      <c r="N35" s="2321"/>
    </row>
    <row r="36" spans="2:14" ht="15.75" customHeight="1" x14ac:dyDescent="0.3"/>
    <row r="37" spans="2:14" ht="15.75" customHeight="1" x14ac:dyDescent="0.3">
      <c r="G37" s="2328"/>
      <c r="L37" s="2328"/>
    </row>
    <row r="38" spans="2:14" x14ac:dyDescent="0.3">
      <c r="B38" s="2329"/>
      <c r="G38" s="2328"/>
      <c r="H38" s="2328"/>
      <c r="L38" s="2328"/>
      <c r="M38" s="2327"/>
    </row>
    <row r="39" spans="2:14" x14ac:dyDescent="0.3">
      <c r="H39" s="2328"/>
      <c r="M39" s="2327"/>
    </row>
    <row r="40" spans="2:14" x14ac:dyDescent="0.3">
      <c r="G40" s="2328"/>
      <c r="H40" s="2328"/>
      <c r="M40" s="2327"/>
    </row>
    <row r="41" spans="2:14" ht="51" customHeight="1" x14ac:dyDescent="0.3">
      <c r="C41" s="2326" t="s">
        <v>3236</v>
      </c>
      <c r="D41" s="3256" t="s">
        <v>3235</v>
      </c>
      <c r="E41" s="3257"/>
      <c r="F41" s="3256" t="s">
        <v>3234</v>
      </c>
      <c r="G41" s="3258"/>
      <c r="H41" s="3257"/>
    </row>
    <row r="42" spans="2:14" ht="40.5" customHeight="1" x14ac:dyDescent="0.3">
      <c r="D42" s="2325" t="s">
        <v>3231</v>
      </c>
      <c r="E42" s="2325" t="s">
        <v>3233</v>
      </c>
      <c r="F42" s="2325" t="s">
        <v>3233</v>
      </c>
      <c r="G42" s="2325" t="s">
        <v>3232</v>
      </c>
      <c r="H42" s="2325" t="s">
        <v>3231</v>
      </c>
    </row>
    <row r="43" spans="2:14" ht="14.25" customHeight="1" x14ac:dyDescent="0.3">
      <c r="C43" s="2324" t="s">
        <v>3230</v>
      </c>
      <c r="D43" s="2324"/>
      <c r="E43" s="2324"/>
      <c r="F43" s="2324"/>
      <c r="G43" s="2324"/>
      <c r="H43" s="2324"/>
    </row>
    <row r="44" spans="2:14" ht="14.25" customHeight="1" x14ac:dyDescent="0.3">
      <c r="C44" s="2323" t="s">
        <v>3223</v>
      </c>
      <c r="D44" s="2321">
        <v>14238.145712682957</v>
      </c>
      <c r="E44" s="2322"/>
      <c r="F44" s="2322"/>
      <c r="G44" s="2322"/>
      <c r="H44" s="2322"/>
    </row>
    <row r="45" spans="2:14" ht="14.25" customHeight="1" x14ac:dyDescent="0.3">
      <c r="C45" s="2323" t="s">
        <v>3222</v>
      </c>
      <c r="D45" s="2321">
        <v>14234.886789939072</v>
      </c>
      <c r="E45" s="2322"/>
      <c r="F45" s="2322"/>
      <c r="G45" s="2322"/>
      <c r="H45" s="2322"/>
    </row>
    <row r="46" spans="2:14" ht="14.25" customHeight="1" x14ac:dyDescent="0.3">
      <c r="C46" s="2323" t="s">
        <v>3221</v>
      </c>
      <c r="D46" s="2321">
        <v>-51718.663505696692</v>
      </c>
      <c r="E46" s="2322"/>
      <c r="F46" s="2322"/>
      <c r="G46" s="2322"/>
      <c r="H46" s="2322"/>
    </row>
    <row r="47" spans="2:14" ht="14.25" customHeight="1" x14ac:dyDescent="0.3">
      <c r="C47" s="2323" t="s">
        <v>3229</v>
      </c>
      <c r="D47" s="2321">
        <v>125775.99431069264</v>
      </c>
      <c r="E47" s="2322"/>
      <c r="F47" s="2322"/>
      <c r="G47" s="2322"/>
      <c r="H47" s="2322"/>
    </row>
    <row r="48" spans="2:14" ht="14.25" customHeight="1" x14ac:dyDescent="0.3">
      <c r="C48" s="2323" t="s">
        <v>3228</v>
      </c>
      <c r="D48" s="2321">
        <v>-122404.46281849443</v>
      </c>
      <c r="E48" s="2322"/>
      <c r="F48" s="2322"/>
      <c r="G48" s="2322"/>
      <c r="H48" s="2322"/>
    </row>
    <row r="49" spans="3:8" ht="14.25" customHeight="1" x14ac:dyDescent="0.3">
      <c r="C49" s="2323" t="s">
        <v>3227</v>
      </c>
      <c r="D49" s="2321">
        <v>100163.77663002115</v>
      </c>
      <c r="E49" s="2322"/>
      <c r="F49" s="2322"/>
      <c r="G49" s="2322"/>
      <c r="H49" s="2322"/>
    </row>
    <row r="50" spans="3:8" ht="14.25" customHeight="1" x14ac:dyDescent="0.3">
      <c r="C50" s="2323" t="s">
        <v>3226</v>
      </c>
      <c r="D50" s="2321">
        <v>-117953.65716748552</v>
      </c>
      <c r="E50" s="2322"/>
      <c r="F50" s="2322"/>
      <c r="G50" s="2322"/>
      <c r="H50" s="2322"/>
    </row>
    <row r="51" spans="3:8" ht="14.25" customHeight="1" x14ac:dyDescent="0.3">
      <c r="C51" s="2324" t="s">
        <v>3225</v>
      </c>
      <c r="D51" s="2324"/>
      <c r="E51" s="2322"/>
      <c r="F51" s="2322"/>
      <c r="G51" s="2322"/>
      <c r="H51" s="2324"/>
    </row>
    <row r="52" spans="3:8" ht="14.25" customHeight="1" x14ac:dyDescent="0.3">
      <c r="C52" s="2323" t="s">
        <v>3223</v>
      </c>
      <c r="D52" s="2321">
        <v>-137628.84407001603</v>
      </c>
      <c r="E52" s="2322"/>
      <c r="F52" s="2322"/>
      <c r="G52" s="2322"/>
      <c r="H52" s="2322"/>
    </row>
    <row r="53" spans="3:8" ht="14.25" customHeight="1" x14ac:dyDescent="0.3">
      <c r="C53" s="2323" t="s">
        <v>3222</v>
      </c>
      <c r="D53" s="2321">
        <v>-137629.09671983408</v>
      </c>
      <c r="E53" s="2322"/>
      <c r="F53" s="2322"/>
      <c r="G53" s="2322"/>
      <c r="H53" s="2322"/>
    </row>
    <row r="54" spans="3:8" ht="14.25" customHeight="1" x14ac:dyDescent="0.3">
      <c r="C54" s="2323" t="s">
        <v>3221</v>
      </c>
      <c r="D54" s="2321">
        <v>181429.08724920024</v>
      </c>
      <c r="E54" s="2322"/>
      <c r="F54" s="2322"/>
      <c r="G54" s="2322"/>
      <c r="H54" s="2322"/>
    </row>
    <row r="55" spans="3:8" ht="14.25" customHeight="1" x14ac:dyDescent="0.3">
      <c r="C55" s="2324" t="s">
        <v>3224</v>
      </c>
      <c r="D55" s="2324"/>
      <c r="E55" s="2322"/>
      <c r="F55" s="2322"/>
      <c r="G55" s="2322"/>
      <c r="H55" s="2324"/>
    </row>
    <row r="56" spans="3:8" ht="14.4" x14ac:dyDescent="0.3">
      <c r="C56" s="2323" t="s">
        <v>3223</v>
      </c>
      <c r="D56" s="2321">
        <v>28142.124791908729</v>
      </c>
      <c r="E56" s="2322"/>
      <c r="F56" s="2322"/>
      <c r="G56" s="2322"/>
      <c r="H56" s="2321">
        <v>28996.157917843455</v>
      </c>
    </row>
    <row r="57" spans="3:8" ht="14.4" x14ac:dyDescent="0.3">
      <c r="C57" s="2323" t="s">
        <v>3222</v>
      </c>
      <c r="D57" s="2321">
        <v>28142.1247919091</v>
      </c>
      <c r="E57" s="2322"/>
      <c r="F57" s="2322"/>
      <c r="G57" s="2322"/>
      <c r="H57" s="2321">
        <v>26005.169269161197</v>
      </c>
    </row>
    <row r="58" spans="3:8" ht="14.4" x14ac:dyDescent="0.3">
      <c r="C58" s="2323" t="s">
        <v>3221</v>
      </c>
      <c r="D58" s="2321">
        <v>-23878.387686376365</v>
      </c>
      <c r="E58" s="2322"/>
      <c r="F58" s="2322"/>
      <c r="G58" s="2322"/>
      <c r="H58" s="2321">
        <v>-28208.041767711748</v>
      </c>
    </row>
  </sheetData>
  <sheetProtection algorithmName="SHA-512" hashValue="rSOgqmYUYZQAqBUjWF747acuD/fho/WdfG2uAJh2vQHvOXp0Vt/DkDk1tDyWTXX+77ADS4jzaDRqigdvon+5pg==" saltValue="sLKWys2jdk9+iUYD3bQhFg==" spinCount="100000" sheet="1" objects="1" scenarios="1"/>
  <mergeCells count="19">
    <mergeCell ref="M11:N11"/>
    <mergeCell ref="A1:C1"/>
    <mergeCell ref="D11:F11"/>
    <mergeCell ref="G11:H11"/>
    <mergeCell ref="I11:J11"/>
    <mergeCell ref="K11:L11"/>
    <mergeCell ref="B14:B29"/>
    <mergeCell ref="B30:B35"/>
    <mergeCell ref="D41:E41"/>
    <mergeCell ref="F41:H41"/>
    <mergeCell ref="E12:F12"/>
    <mergeCell ref="G12:G13"/>
    <mergeCell ref="H12:H13"/>
    <mergeCell ref="L12:L13"/>
    <mergeCell ref="M12:M13"/>
    <mergeCell ref="N12:N13"/>
    <mergeCell ref="I12:I13"/>
    <mergeCell ref="J12:J13"/>
    <mergeCell ref="K12:K13"/>
  </mergeCells>
  <dataValidations count="1">
    <dataValidation type="list" allowBlank="1" showInputMessage="1" showErrorMessage="1" sqref="D1">
      <formula1>"IMS,SA,sSA"</formula1>
    </dataValidation>
  </dataValidations>
  <pageMargins left="0.7" right="0.7" top="0.75" bottom="0.75" header="0.3" footer="0.3"/>
  <pageSetup orientation="portrait" r:id="rId1"/>
  <headerFooter>
    <oddHeader>&amp;L&amp;"Calibri"&amp;12&amp;K000000 EBA Regular Use&amp;1#_x000D_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G50"/>
  <sheetViews>
    <sheetView showGridLines="0" zoomScale="70" zoomScaleNormal="70" workbookViewId="0">
      <pane xSplit="1" ySplit="7" topLeftCell="B14" activePane="bottomRight" state="frozen"/>
      <selection sqref="A1:C1"/>
      <selection pane="topRight" sqref="A1:C1"/>
      <selection pane="bottomLeft" sqref="A1:C1"/>
      <selection pane="bottomRight" activeCell="AF32" sqref="AF32"/>
    </sheetView>
  </sheetViews>
  <sheetFormatPr defaultColWidth="10.88671875" defaultRowHeight="14.4" x14ac:dyDescent="0.3"/>
  <cols>
    <col min="1" max="1" width="102.6640625" style="2339" customWidth="1"/>
    <col min="2" max="2" width="10.88671875" style="2340"/>
    <col min="3" max="5" width="10.88671875" style="2343"/>
    <col min="6" max="6" width="10.88671875" style="2340"/>
    <col min="7" max="7" width="10.88671875" style="2342"/>
    <col min="8" max="8" width="10.88671875" style="2341"/>
    <col min="9" max="9" width="10.88671875" style="2340"/>
    <col min="10" max="12" width="10.88671875" style="2343"/>
    <col min="13" max="13" width="10.88671875" style="2340"/>
    <col min="14" max="14" width="10.88671875" style="2342"/>
    <col min="15" max="15" width="10.88671875" style="2341"/>
    <col min="16" max="18" width="10.88671875" style="2340"/>
    <col min="19" max="19" width="10.88671875" style="2342"/>
    <col min="20" max="21" width="10.88671875" style="2343"/>
    <col min="22" max="22" width="10.88671875" style="2340"/>
    <col min="23" max="23" width="10.88671875" style="2342"/>
    <col min="24" max="24" width="10.88671875" style="2341"/>
    <col min="25" max="25" width="10.88671875" style="2340"/>
    <col min="26" max="26" width="10.88671875" style="2344"/>
    <col min="27" max="28" width="10.88671875" style="2343"/>
    <col min="29" max="29" width="10.88671875" style="2340"/>
    <col min="30" max="30" width="10.88671875" style="2342"/>
    <col min="31" max="31" width="10.88671875" style="2341"/>
    <col min="32" max="33" width="10.88671875" style="2340"/>
    <col min="34" max="16384" width="10.88671875" style="2339"/>
  </cols>
  <sheetData>
    <row r="1" spans="1:33" ht="27" customHeight="1" x14ac:dyDescent="0.3">
      <c r="A1" s="2367" t="s">
        <v>3315</v>
      </c>
      <c r="B1" s="2342"/>
      <c r="P1" s="2342"/>
      <c r="Q1" s="2342"/>
      <c r="R1" s="2342"/>
      <c r="T1" s="2342"/>
      <c r="U1" s="2342"/>
      <c r="V1" s="2342"/>
      <c r="X1" s="2342"/>
      <c r="Y1" s="2342"/>
      <c r="Z1" s="2342"/>
      <c r="AA1" s="2342"/>
      <c r="AB1" s="2342"/>
      <c r="AC1" s="2342"/>
      <c r="AE1" s="2342"/>
      <c r="AF1" s="2342"/>
      <c r="AG1" s="2342"/>
    </row>
    <row r="2" spans="1:33" x14ac:dyDescent="0.3">
      <c r="A2" s="2366"/>
      <c r="P2" s="2342"/>
      <c r="Q2" s="2342"/>
      <c r="R2" s="2342"/>
      <c r="T2" s="2342"/>
      <c r="U2" s="2342"/>
      <c r="V2" s="2342"/>
      <c r="X2" s="2342"/>
      <c r="Y2" s="2342"/>
      <c r="Z2" s="2342"/>
      <c r="AA2" s="2342"/>
      <c r="AB2" s="2342"/>
      <c r="AC2" s="2342"/>
      <c r="AE2" s="2342"/>
      <c r="AF2" s="2342"/>
      <c r="AG2" s="2342"/>
    </row>
    <row r="3" spans="1:33" ht="15" customHeight="1" x14ac:dyDescent="0.3">
      <c r="B3" s="3278" t="s">
        <v>3314</v>
      </c>
      <c r="C3" s="3278"/>
      <c r="D3" s="3278"/>
      <c r="E3" s="3278"/>
      <c r="F3" s="3278"/>
      <c r="G3" s="3278"/>
      <c r="H3" s="3278"/>
      <c r="I3" s="3278"/>
      <c r="J3" s="3278"/>
      <c r="K3" s="3278"/>
      <c r="L3" s="3278"/>
      <c r="M3" s="3278"/>
      <c r="N3" s="3278"/>
      <c r="O3" s="3278"/>
      <c r="P3" s="3278"/>
      <c r="Q3" s="3278"/>
      <c r="R3" s="3278" t="s">
        <v>3313</v>
      </c>
      <c r="S3" s="3278"/>
      <c r="T3" s="3278"/>
      <c r="U3" s="3278"/>
      <c r="V3" s="3278"/>
      <c r="W3" s="3278"/>
      <c r="X3" s="3278"/>
      <c r="Y3" s="3278"/>
      <c r="Z3" s="3278"/>
      <c r="AA3" s="3278"/>
      <c r="AB3" s="3278"/>
      <c r="AC3" s="3278"/>
      <c r="AD3" s="3278"/>
      <c r="AE3" s="3278"/>
      <c r="AF3" s="3278"/>
      <c r="AG3" s="3278"/>
    </row>
    <row r="4" spans="1:33" ht="15" customHeight="1" x14ac:dyDescent="0.3">
      <c r="B4" s="3279" t="s">
        <v>3312</v>
      </c>
      <c r="C4" s="3279"/>
      <c r="D4" s="3279"/>
      <c r="E4" s="3279"/>
      <c r="F4" s="3279"/>
      <c r="G4" s="3279"/>
      <c r="H4" s="3279"/>
      <c r="I4" s="3278" t="s">
        <v>3311</v>
      </c>
      <c r="J4" s="3278"/>
      <c r="K4" s="3278"/>
      <c r="L4" s="3278"/>
      <c r="M4" s="3278"/>
      <c r="N4" s="3278"/>
      <c r="O4" s="3278"/>
      <c r="P4" s="3266" t="s">
        <v>3310</v>
      </c>
      <c r="Q4" s="3266"/>
      <c r="R4" s="3279" t="s">
        <v>3312</v>
      </c>
      <c r="S4" s="3279"/>
      <c r="T4" s="3279"/>
      <c r="U4" s="3279"/>
      <c r="V4" s="3279"/>
      <c r="W4" s="3279"/>
      <c r="X4" s="3279"/>
      <c r="Y4" s="3278" t="s">
        <v>3311</v>
      </c>
      <c r="Z4" s="3278"/>
      <c r="AA4" s="3278"/>
      <c r="AB4" s="3278"/>
      <c r="AC4" s="3278"/>
      <c r="AD4" s="3278"/>
      <c r="AE4" s="3278"/>
      <c r="AF4" s="3266" t="s">
        <v>3310</v>
      </c>
      <c r="AG4" s="3266"/>
    </row>
    <row r="5" spans="1:33" x14ac:dyDescent="0.3">
      <c r="A5" s="2365"/>
      <c r="B5" s="3279"/>
      <c r="C5" s="3279"/>
      <c r="D5" s="3279"/>
      <c r="E5" s="3279"/>
      <c r="F5" s="3279"/>
      <c r="G5" s="3279"/>
      <c r="H5" s="3279"/>
      <c r="I5" s="3278"/>
      <c r="J5" s="3278"/>
      <c r="K5" s="3278"/>
      <c r="L5" s="3278"/>
      <c r="M5" s="3278"/>
      <c r="N5" s="3278"/>
      <c r="O5" s="3278"/>
      <c r="P5" s="3266"/>
      <c r="Q5" s="3266"/>
      <c r="R5" s="3279"/>
      <c r="S5" s="3279"/>
      <c r="T5" s="3279"/>
      <c r="U5" s="3279"/>
      <c r="V5" s="3279"/>
      <c r="W5" s="3279"/>
      <c r="X5" s="3279"/>
      <c r="Y5" s="3278"/>
      <c r="Z5" s="3278"/>
      <c r="AA5" s="3278"/>
      <c r="AB5" s="3278"/>
      <c r="AC5" s="3278"/>
      <c r="AD5" s="3278"/>
      <c r="AE5" s="3278"/>
      <c r="AF5" s="3266"/>
      <c r="AG5" s="3266"/>
    </row>
    <row r="6" spans="1:33" ht="70.5" customHeight="1" x14ac:dyDescent="0.3">
      <c r="A6" s="2364"/>
      <c r="B6" s="3266" t="s">
        <v>3309</v>
      </c>
      <c r="C6" s="3280" t="s">
        <v>3308</v>
      </c>
      <c r="D6" s="3274" t="s">
        <v>3307</v>
      </c>
      <c r="E6" s="3274"/>
      <c r="F6" s="3266" t="s">
        <v>3306</v>
      </c>
      <c r="G6" s="3268" t="s">
        <v>3294</v>
      </c>
      <c r="H6" s="3270" t="s">
        <v>3293</v>
      </c>
      <c r="I6" s="3266" t="s">
        <v>3305</v>
      </c>
      <c r="J6" s="3276" t="s">
        <v>3304</v>
      </c>
      <c r="K6" s="3274" t="s">
        <v>3303</v>
      </c>
      <c r="L6" s="3274"/>
      <c r="M6" s="3266" t="s">
        <v>3295</v>
      </c>
      <c r="N6" s="3268" t="s">
        <v>3294</v>
      </c>
      <c r="O6" s="3270" t="s">
        <v>3293</v>
      </c>
      <c r="P6" s="3266" t="s">
        <v>3302</v>
      </c>
      <c r="Q6" s="3266" t="s">
        <v>3291</v>
      </c>
      <c r="R6" s="3266" t="s">
        <v>3301</v>
      </c>
      <c r="S6" s="3268" t="s">
        <v>3300</v>
      </c>
      <c r="T6" s="3274" t="s">
        <v>3299</v>
      </c>
      <c r="U6" s="3274"/>
      <c r="V6" s="3266" t="s">
        <v>3295</v>
      </c>
      <c r="W6" s="3268" t="s">
        <v>3294</v>
      </c>
      <c r="X6" s="3270" t="s">
        <v>3293</v>
      </c>
      <c r="Y6" s="3266" t="s">
        <v>3298</v>
      </c>
      <c r="Z6" s="3272" t="s">
        <v>3297</v>
      </c>
      <c r="AA6" s="3274" t="s">
        <v>3296</v>
      </c>
      <c r="AB6" s="3274"/>
      <c r="AC6" s="3266" t="s">
        <v>3295</v>
      </c>
      <c r="AD6" s="3268" t="s">
        <v>3294</v>
      </c>
      <c r="AE6" s="3270" t="s">
        <v>3293</v>
      </c>
      <c r="AF6" s="3267" t="s">
        <v>3292</v>
      </c>
      <c r="AG6" s="3266" t="s">
        <v>3291</v>
      </c>
    </row>
    <row r="7" spans="1:33" ht="70.5" customHeight="1" x14ac:dyDescent="0.3">
      <c r="A7" s="2364"/>
      <c r="B7" s="3267"/>
      <c r="C7" s="3281"/>
      <c r="D7" s="2363" t="s">
        <v>3290</v>
      </c>
      <c r="E7" s="2363" t="s">
        <v>3289</v>
      </c>
      <c r="F7" s="3267"/>
      <c r="G7" s="3269"/>
      <c r="H7" s="3271"/>
      <c r="I7" s="3267"/>
      <c r="J7" s="3277"/>
      <c r="K7" s="2363" t="s">
        <v>3290</v>
      </c>
      <c r="L7" s="2363" t="s">
        <v>3289</v>
      </c>
      <c r="M7" s="3267"/>
      <c r="N7" s="3269"/>
      <c r="O7" s="3271"/>
      <c r="P7" s="3267"/>
      <c r="Q7" s="3267"/>
      <c r="R7" s="3267"/>
      <c r="S7" s="3269"/>
      <c r="T7" s="2363" t="s">
        <v>3290</v>
      </c>
      <c r="U7" s="2363" t="s">
        <v>3289</v>
      </c>
      <c r="V7" s="3267"/>
      <c r="W7" s="3269"/>
      <c r="X7" s="3271"/>
      <c r="Y7" s="3267"/>
      <c r="Z7" s="3273"/>
      <c r="AA7" s="2363" t="s">
        <v>3290</v>
      </c>
      <c r="AB7" s="2363" t="s">
        <v>3289</v>
      </c>
      <c r="AC7" s="3267"/>
      <c r="AD7" s="3269"/>
      <c r="AE7" s="3271"/>
      <c r="AF7" s="3275"/>
      <c r="AG7" s="3267"/>
    </row>
    <row r="8" spans="1:33" ht="12" customHeight="1" x14ac:dyDescent="0.3">
      <c r="A8" s="2353" t="s">
        <v>3288</v>
      </c>
      <c r="B8" s="2357">
        <f>+B9+SUM(B11:B14)+B16</f>
        <v>30700481.568575256</v>
      </c>
      <c r="C8" s="2360">
        <f>IFERROR(+(B9*C9+SUMPRODUCT(B11:B16,C11:C16))/(B9+SUM(B11:B16)),"")</f>
        <v>0.29441840010939307</v>
      </c>
      <c r="D8" s="2360">
        <f>+IFERROR((B9*D9+SUMPRODUCT(B11:B16,D11:D16))/(B9+SUM(B11:B16)),"")</f>
        <v>0.4839280098144314</v>
      </c>
      <c r="E8" s="2360">
        <f>+IFERROR((B9*E9+SUMPRODUCT(B11:B16,E11:E16))/(B9+SUM(B11:B16)),"")</f>
        <v>2.4721669039774025E-3</v>
      </c>
      <c r="F8" s="2357">
        <f>+F9+SUM(F11:F14)+SUM(F16:F16)</f>
        <v>14720216.145718995</v>
      </c>
      <c r="G8" s="2359">
        <f>IFERROR((B9*G9+SUMPRODUCT(B11:B14,G11:G14)+B16*G16)/(B9+SUM(B11:B14)+B16),"")</f>
        <v>2.9553718748274352E-2</v>
      </c>
      <c r="H8" s="2358">
        <f>IFERROR((F9*H9+SUMPRODUCT(F11:F14,H11:H14)+F16*H16)/(+F9+SUM(F11:F14)+F16),"")</f>
        <v>0.11742572873369407</v>
      </c>
      <c r="I8" s="2357">
        <f>+I9+SUM(I11:I14)+I16</f>
        <v>42163694.024172299</v>
      </c>
      <c r="J8" s="2360">
        <f>IFERROR(+(I9*J9+SUMPRODUCT(I11:I16,J11:J16))/(I9+SUM(I11:I16)),"")</f>
        <v>0.29221530372288179</v>
      </c>
      <c r="K8" s="2360">
        <f>+IFERROR((I9*K9+SUMPRODUCT(I11:I16,K11:K16))/(I9+SUM(I11:I16)),"")</f>
        <v>0</v>
      </c>
      <c r="L8" s="2360">
        <f>+IFERROR((I9*L9+SUMPRODUCT(I11:I16,L11:L16))/(I9+SUM(I11:I16)),"")</f>
        <v>0</v>
      </c>
      <c r="M8" s="2357">
        <f>+M9+SUM(M11:M14)+M16</f>
        <v>36476333.48266165</v>
      </c>
      <c r="N8" s="2359">
        <f>IFERROR((I9*N9+SUMPRODUCT(I11:I14,N11:N14)+I16*N16)/(I9+SUM(I11:I14)+I16),"")</f>
        <v>1.6919163386347146E-2</v>
      </c>
      <c r="O8" s="2358">
        <f>IFERROR((M9*O9+SUMPRODUCT(M11:M14,O11:O14)+M16*O16)/(+M9+SUM(M11:M14)+M16),"")</f>
        <v>2.5717507599211649</v>
      </c>
      <c r="P8" s="2357">
        <f>+P9+SUM(P11:P16)</f>
        <v>2034900</v>
      </c>
      <c r="Q8" s="2357">
        <f>+Q9+SUM(Q11:Q16)</f>
        <v>959.78971431896002</v>
      </c>
      <c r="R8" s="2357">
        <f>+R9+SUM(R11:R14)+R16</f>
        <v>26450386.852585569</v>
      </c>
      <c r="S8" s="2360">
        <f>IFERROR(+(R9*S9+SUMPRODUCT(R11:R16,S11:S16))/(R9+SUM(R11:R16)),"")</f>
        <v>0.27999260540092596</v>
      </c>
      <c r="T8" s="2360">
        <f>+IFERROR((R9*T9+SUMPRODUCT(R11:R16,T11:T16))/(R9+SUM(R11:R16)),"")</f>
        <v>0.47932084587323348</v>
      </c>
      <c r="U8" s="2360">
        <f>+IFERROR((R9*U9+SUMPRODUCT(R11:R16,U11:U16))/(R9+SUM(R11:R16)),"")</f>
        <v>2.2172255493596764E-3</v>
      </c>
      <c r="V8" s="2357">
        <f>+V9+SUM(V11:V14)+SUM(V16:V16)</f>
        <v>12454048.869485641</v>
      </c>
      <c r="W8" s="2359">
        <f>IFERROR((R9*W9+SUMPRODUCT(R11:R14,W11:W14)+R16*W16)/(R9+SUM(R11:R14)+R16),"")</f>
        <v>5.6832398242994756E-3</v>
      </c>
      <c r="X8" s="2358">
        <f>IFERROR((V9*X9+SUMPRODUCT(V11:V14,X11:X14)+V16*X16)/(+V9+SUM(V11:V14)+V16),"")</f>
        <v>0.14008391073451093</v>
      </c>
      <c r="Y8" s="2357">
        <f>+Y9+SUM(Y11:Y14)+Y16</f>
        <v>43318443.377090156</v>
      </c>
      <c r="Z8" s="2360">
        <f>IFERROR(+(Y9*Z9+SUMPRODUCT(Y11:Y16,Z11:Z16))/(Y9+SUM(Y11:Y16)),"")</f>
        <v>0.31966085980447639</v>
      </c>
      <c r="AA8" s="2360">
        <f>+IFERROR((Y9*AA9+SUMPRODUCT(Y11:Y16,AA11:AA16))/(Y9+SUM(Y11:Y16)),"")</f>
        <v>0</v>
      </c>
      <c r="AB8" s="2360">
        <f>+IFERROR((Y9*AB9+SUMPRODUCT(Y11:Y16,AB11:AB16))/(Y9+SUM(Y11:Y16)),"")</f>
        <v>0</v>
      </c>
      <c r="AC8" s="2357">
        <f>+AC9+SUM(AC11:AC14)+AC16</f>
        <v>40192552.866933584</v>
      </c>
      <c r="AD8" s="2359">
        <f>IFERROR((Y9*AD9+SUMPRODUCT(Y11:Y14,AD11:AD14)+Y16*AD16)/(Y9+SUM(Y11:Y14)+Y16),"")</f>
        <v>9.0971355824404927E-3</v>
      </c>
      <c r="AE8" s="2358">
        <f>IFERROR((AC9*AE9+SUMPRODUCT(AC11:AC14,AE11:AE14)+AC16*AE16)/(+AC9+SUM(AC11:AC14)+AC16),"")</f>
        <v>2.7454270016337214</v>
      </c>
      <c r="AF8" s="2357">
        <f>+AF9+SUM(AF11:AF16)</f>
        <v>1851900</v>
      </c>
      <c r="AG8" s="2357">
        <f>+AG9+SUM(AG11:AG16)</f>
        <v>1014.9059522968021</v>
      </c>
    </row>
    <row r="9" spans="1:33" ht="12" customHeight="1" x14ac:dyDescent="0.3">
      <c r="A9" s="2362" t="s">
        <v>3282</v>
      </c>
      <c r="B9" s="2345">
        <v>0</v>
      </c>
      <c r="C9" s="2466"/>
      <c r="D9" s="2361">
        <v>0</v>
      </c>
      <c r="E9" s="2361">
        <v>0</v>
      </c>
      <c r="F9" s="2345">
        <v>0</v>
      </c>
      <c r="G9" s="2347">
        <v>0</v>
      </c>
      <c r="H9" s="2346">
        <v>0</v>
      </c>
      <c r="I9" s="2345">
        <v>3380674.2541799997</v>
      </c>
      <c r="J9" s="2465"/>
      <c r="K9" s="2361">
        <v>0</v>
      </c>
      <c r="L9" s="2361">
        <v>0</v>
      </c>
      <c r="M9" s="2345">
        <v>3380532.6213176507</v>
      </c>
      <c r="N9" s="2347">
        <v>2.0620766384597183E-2</v>
      </c>
      <c r="O9" s="2346">
        <v>1.1166081464362381E-2</v>
      </c>
      <c r="P9" s="2345">
        <v>0</v>
      </c>
      <c r="Q9" s="2345">
        <v>0</v>
      </c>
      <c r="R9" s="2345">
        <v>0</v>
      </c>
      <c r="S9" s="2466"/>
      <c r="T9" s="2361">
        <v>0</v>
      </c>
      <c r="U9" s="2361">
        <v>0</v>
      </c>
      <c r="V9" s="2345">
        <v>0</v>
      </c>
      <c r="W9" s="2347">
        <v>0</v>
      </c>
      <c r="X9" s="2346">
        <v>0</v>
      </c>
      <c r="Y9" s="2345">
        <v>7665136.9718500003</v>
      </c>
      <c r="Z9" s="2465"/>
      <c r="AA9" s="2361">
        <v>0</v>
      </c>
      <c r="AB9" s="2361">
        <v>0</v>
      </c>
      <c r="AC9" s="2345">
        <v>7665401.2058996661</v>
      </c>
      <c r="AD9" s="2347">
        <v>-2.457453437363517E-3</v>
      </c>
      <c r="AE9" s="2346">
        <v>7.7019077581258217E-3</v>
      </c>
      <c r="AF9" s="2345">
        <v>0</v>
      </c>
      <c r="AG9" s="2345">
        <v>0</v>
      </c>
    </row>
    <row r="10" spans="1:33" ht="12" customHeight="1" x14ac:dyDescent="0.3">
      <c r="A10" s="2352" t="s">
        <v>3287</v>
      </c>
      <c r="B10" s="2345">
        <v>0</v>
      </c>
      <c r="C10" s="2466"/>
      <c r="D10" s="2361">
        <v>0</v>
      </c>
      <c r="E10" s="2361">
        <v>0</v>
      </c>
      <c r="F10" s="2345">
        <v>0</v>
      </c>
      <c r="G10" s="2347">
        <v>0</v>
      </c>
      <c r="H10" s="2346">
        <v>0</v>
      </c>
      <c r="I10" s="2345">
        <v>280674.25417999999</v>
      </c>
      <c r="J10" s="2465"/>
      <c r="K10" s="2361">
        <v>0</v>
      </c>
      <c r="L10" s="2361">
        <v>0</v>
      </c>
      <c r="M10" s="2345">
        <v>280693.63236866094</v>
      </c>
      <c r="N10" s="2347">
        <v>0.02</v>
      </c>
      <c r="O10" s="2346">
        <v>0.10480503404266646</v>
      </c>
      <c r="P10" s="2345">
        <v>0</v>
      </c>
      <c r="Q10" s="2345">
        <v>0</v>
      </c>
      <c r="R10" s="2345">
        <v>0</v>
      </c>
      <c r="S10" s="2466"/>
      <c r="T10" s="2361">
        <v>0</v>
      </c>
      <c r="U10" s="2361">
        <v>0</v>
      </c>
      <c r="V10" s="2345">
        <v>0</v>
      </c>
      <c r="W10" s="2347">
        <v>0</v>
      </c>
      <c r="X10" s="2346">
        <v>0</v>
      </c>
      <c r="Y10" s="2345">
        <v>352505.65432999999</v>
      </c>
      <c r="Z10" s="2465"/>
      <c r="AA10" s="2361">
        <v>0</v>
      </c>
      <c r="AB10" s="2361">
        <v>0</v>
      </c>
      <c r="AC10" s="2345">
        <v>352733.98477258702</v>
      </c>
      <c r="AD10" s="2347">
        <v>0</v>
      </c>
      <c r="AE10" s="2346">
        <v>0.1103037333549222</v>
      </c>
      <c r="AF10" s="2345">
        <v>0</v>
      </c>
      <c r="AG10" s="2345">
        <v>0</v>
      </c>
    </row>
    <row r="11" spans="1:33" ht="12" customHeight="1" x14ac:dyDescent="0.3">
      <c r="A11" s="2362" t="s">
        <v>3281</v>
      </c>
      <c r="B11" s="2345">
        <v>0</v>
      </c>
      <c r="C11" s="2466"/>
      <c r="D11" s="2361">
        <v>0</v>
      </c>
      <c r="E11" s="2361">
        <v>0</v>
      </c>
      <c r="F11" s="2345">
        <v>0</v>
      </c>
      <c r="G11" s="2347">
        <v>0</v>
      </c>
      <c r="H11" s="2346">
        <v>0</v>
      </c>
      <c r="I11" s="2345">
        <v>23464.33525</v>
      </c>
      <c r="J11" s="2465"/>
      <c r="K11" s="2361">
        <v>0</v>
      </c>
      <c r="L11" s="2361">
        <v>0</v>
      </c>
      <c r="M11" s="2345">
        <v>23463.116534748384</v>
      </c>
      <c r="N11" s="2347">
        <v>2.0000263831619861E-2</v>
      </c>
      <c r="O11" s="2346">
        <v>2.6880030201674606E-3</v>
      </c>
      <c r="P11" s="2345">
        <v>0</v>
      </c>
      <c r="Q11" s="2345">
        <v>0</v>
      </c>
      <c r="R11" s="2345">
        <v>0</v>
      </c>
      <c r="S11" s="2466"/>
      <c r="T11" s="2361">
        <v>0</v>
      </c>
      <c r="U11" s="2361">
        <v>0</v>
      </c>
      <c r="V11" s="2345">
        <v>0</v>
      </c>
      <c r="W11" s="2347">
        <v>0</v>
      </c>
      <c r="X11" s="2346">
        <v>0</v>
      </c>
      <c r="Y11" s="2345">
        <v>221657.92459000001</v>
      </c>
      <c r="Z11" s="2465"/>
      <c r="AA11" s="2361">
        <v>0</v>
      </c>
      <c r="AB11" s="2361">
        <v>0</v>
      </c>
      <c r="AC11" s="2345">
        <v>221661.54512232775</v>
      </c>
      <c r="AD11" s="2347">
        <v>0</v>
      </c>
      <c r="AE11" s="2346">
        <v>2.7560145669072627E-3</v>
      </c>
      <c r="AF11" s="2345">
        <v>0</v>
      </c>
      <c r="AG11" s="2345">
        <v>0</v>
      </c>
    </row>
    <row r="12" spans="1:33" ht="12" customHeight="1" x14ac:dyDescent="0.3">
      <c r="A12" s="2362" t="s">
        <v>3286</v>
      </c>
      <c r="B12" s="2345">
        <v>13889667.195466256</v>
      </c>
      <c r="C12" s="2351">
        <v>0.65075617283027487</v>
      </c>
      <c r="D12" s="2361">
        <v>1</v>
      </c>
      <c r="E12" s="2361">
        <v>5.4642572353910358E-3</v>
      </c>
      <c r="F12" s="2345">
        <v>13721909.548506854</v>
      </c>
      <c r="G12" s="2347">
        <v>3.1374967497430711E-2</v>
      </c>
      <c r="H12" s="2346">
        <v>0.1139851231374036</v>
      </c>
      <c r="I12" s="2345">
        <v>19725437.713382296</v>
      </c>
      <c r="J12" s="2361">
        <v>0.62461866927258769</v>
      </c>
      <c r="K12" s="2361">
        <v>0</v>
      </c>
      <c r="L12" s="2361">
        <v>0</v>
      </c>
      <c r="M12" s="2345">
        <v>18343603.543939445</v>
      </c>
      <c r="N12" s="2347">
        <v>2.1928070292028416E-2</v>
      </c>
      <c r="O12" s="2346">
        <v>2.290152482559014</v>
      </c>
      <c r="P12" s="2345">
        <v>0</v>
      </c>
      <c r="Q12" s="2345">
        <v>0</v>
      </c>
      <c r="R12" s="2345">
        <v>11779208.547257569</v>
      </c>
      <c r="S12" s="2351">
        <v>0.62872753283938365</v>
      </c>
      <c r="T12" s="2361">
        <v>1</v>
      </c>
      <c r="U12" s="2361">
        <v>4.9788127347192655E-3</v>
      </c>
      <c r="V12" s="2345">
        <v>11579671.64444978</v>
      </c>
      <c r="W12" s="2347">
        <v>1.1833391159762017E-2</v>
      </c>
      <c r="X12" s="2346">
        <v>0.13890325238625154</v>
      </c>
      <c r="Y12" s="2345">
        <v>19939238.29103015</v>
      </c>
      <c r="Z12" s="2361">
        <v>0.69447040319195441</v>
      </c>
      <c r="AA12" s="2361">
        <v>0</v>
      </c>
      <c r="AB12" s="2361">
        <v>0</v>
      </c>
      <c r="AC12" s="2345">
        <v>19922358.171788674</v>
      </c>
      <c r="AD12" s="2347">
        <v>1.4616628573768975E-2</v>
      </c>
      <c r="AE12" s="2346">
        <v>2.5604351006894022</v>
      </c>
      <c r="AF12" s="2345">
        <v>0</v>
      </c>
      <c r="AG12" s="2345">
        <v>0</v>
      </c>
    </row>
    <row r="13" spans="1:33" ht="12" customHeight="1" x14ac:dyDescent="0.3">
      <c r="A13" s="2362" t="s">
        <v>3285</v>
      </c>
      <c r="B13" s="2345">
        <v>967155.75035899994</v>
      </c>
      <c r="C13" s="2351">
        <v>0</v>
      </c>
      <c r="D13" s="2361">
        <v>1</v>
      </c>
      <c r="E13" s="2361">
        <v>0</v>
      </c>
      <c r="F13" s="2345">
        <v>966950.0329157277</v>
      </c>
      <c r="G13" s="2347">
        <v>2.1063942063542392E-2</v>
      </c>
      <c r="H13" s="2346">
        <v>0.16997015820016573</v>
      </c>
      <c r="I13" s="2345">
        <v>12154281.591</v>
      </c>
      <c r="J13" s="2361">
        <v>0</v>
      </c>
      <c r="K13" s="2361">
        <v>0</v>
      </c>
      <c r="L13" s="2361">
        <v>0</v>
      </c>
      <c r="M13" s="2345">
        <v>10886628.350276304</v>
      </c>
      <c r="N13" s="2347">
        <v>1.2194297692249745E-2</v>
      </c>
      <c r="O13" s="2346">
        <v>3.6394166832524526</v>
      </c>
      <c r="P13" s="2345">
        <v>2034900</v>
      </c>
      <c r="Q13" s="2345">
        <v>959.78971431896002</v>
      </c>
      <c r="R13" s="2345">
        <v>899013.25259799999</v>
      </c>
      <c r="S13" s="2351">
        <v>0</v>
      </c>
      <c r="T13" s="2361">
        <v>1</v>
      </c>
      <c r="U13" s="2361">
        <v>0</v>
      </c>
      <c r="V13" s="2345">
        <v>898613.76270199928</v>
      </c>
      <c r="W13" s="2347">
        <v>4.4829051800878762E-4</v>
      </c>
      <c r="X13" s="2346">
        <v>0.15159373722564251</v>
      </c>
      <c r="Y13" s="2345">
        <v>10347819.742000001</v>
      </c>
      <c r="Z13" s="2361">
        <v>0</v>
      </c>
      <c r="AA13" s="2361">
        <v>0</v>
      </c>
      <c r="AB13" s="2361">
        <v>0</v>
      </c>
      <c r="AC13" s="2345">
        <v>10320025.048955025</v>
      </c>
      <c r="AD13" s="2347">
        <v>7.6583283196561417E-3</v>
      </c>
      <c r="AE13" s="2346">
        <v>4.7729379231060616</v>
      </c>
      <c r="AF13" s="2345">
        <v>1851900</v>
      </c>
      <c r="AG13" s="2345">
        <v>1014.9059522968021</v>
      </c>
    </row>
    <row r="14" spans="1:33" ht="12" customHeight="1" x14ac:dyDescent="0.3">
      <c r="A14" s="2362" t="s">
        <v>3272</v>
      </c>
      <c r="B14" s="2345">
        <v>15843658.622749999</v>
      </c>
      <c r="C14" s="2351">
        <v>0</v>
      </c>
      <c r="D14" s="2361">
        <v>0</v>
      </c>
      <c r="E14" s="2361">
        <v>0</v>
      </c>
      <c r="F14" s="2345">
        <v>31356.564296412496</v>
      </c>
      <c r="G14" s="2347">
        <v>2.8475331295422686E-2</v>
      </c>
      <c r="H14" s="2346">
        <v>2.7397260273972603E-3</v>
      </c>
      <c r="I14" s="2345">
        <v>6801969.71172</v>
      </c>
      <c r="J14" s="2361">
        <v>0</v>
      </c>
      <c r="K14" s="2361">
        <v>0</v>
      </c>
      <c r="L14" s="2361">
        <v>0</v>
      </c>
      <c r="M14" s="2345">
        <v>3771341.6195695456</v>
      </c>
      <c r="N14" s="2347">
        <v>9.1795952089691671E-3</v>
      </c>
      <c r="O14" s="2346">
        <v>3.1689052798179698</v>
      </c>
      <c r="P14" s="2345">
        <v>0</v>
      </c>
      <c r="Q14" s="2345">
        <v>0</v>
      </c>
      <c r="R14" s="2345">
        <v>13772165.05273</v>
      </c>
      <c r="S14" s="2351">
        <v>0</v>
      </c>
      <c r="T14" s="2361">
        <v>0</v>
      </c>
      <c r="U14" s="2361">
        <v>0</v>
      </c>
      <c r="V14" s="2345">
        <v>-24236.537666137432</v>
      </c>
      <c r="W14" s="2347">
        <v>7.6479554809277188E-4</v>
      </c>
      <c r="X14" s="2346">
        <v>2.7397260273972603E-3</v>
      </c>
      <c r="Y14" s="2345">
        <v>5031323.6558400001</v>
      </c>
      <c r="Z14" s="2361">
        <v>0</v>
      </c>
      <c r="AA14" s="2361">
        <v>0</v>
      </c>
      <c r="AB14" s="2361">
        <v>0</v>
      </c>
      <c r="AC14" s="2345">
        <v>1949124.4115842709</v>
      </c>
      <c r="AD14" s="2347">
        <v>8.3912368967310278E-3</v>
      </c>
      <c r="AE14" s="2346">
        <v>4.9631931004493097</v>
      </c>
      <c r="AF14" s="2345">
        <v>0</v>
      </c>
      <c r="AG14" s="2345">
        <v>0</v>
      </c>
    </row>
    <row r="15" spans="1:33" ht="12" customHeight="1" x14ac:dyDescent="0.3">
      <c r="A15" s="2362" t="s">
        <v>3271</v>
      </c>
      <c r="B15" s="2345">
        <v>0</v>
      </c>
      <c r="C15" s="2351">
        <v>0</v>
      </c>
      <c r="D15" s="2361">
        <v>0</v>
      </c>
      <c r="E15" s="2361">
        <v>0</v>
      </c>
      <c r="F15" s="2467"/>
      <c r="G15" s="2468"/>
      <c r="H15" s="2469"/>
      <c r="I15" s="2345">
        <v>0</v>
      </c>
      <c r="J15" s="2361">
        <v>0</v>
      </c>
      <c r="K15" s="2361">
        <v>0</v>
      </c>
      <c r="L15" s="2361">
        <v>0</v>
      </c>
      <c r="M15" s="2470"/>
      <c r="N15" s="2468"/>
      <c r="O15" s="2469"/>
      <c r="P15" s="2345">
        <v>0</v>
      </c>
      <c r="Q15" s="2345">
        <v>0</v>
      </c>
      <c r="R15" s="2345">
        <v>0</v>
      </c>
      <c r="S15" s="2351">
        <v>0</v>
      </c>
      <c r="T15" s="2361">
        <v>0</v>
      </c>
      <c r="U15" s="2361">
        <v>0</v>
      </c>
      <c r="V15" s="2467"/>
      <c r="W15" s="2468"/>
      <c r="X15" s="2469"/>
      <c r="Y15" s="2345">
        <v>0</v>
      </c>
      <c r="Z15" s="2361">
        <v>0</v>
      </c>
      <c r="AA15" s="2361">
        <v>0</v>
      </c>
      <c r="AB15" s="2361">
        <v>0</v>
      </c>
      <c r="AC15" s="2470"/>
      <c r="AD15" s="2468"/>
      <c r="AE15" s="2469"/>
      <c r="AF15" s="2345">
        <v>0</v>
      </c>
      <c r="AG15" s="2345">
        <v>0</v>
      </c>
    </row>
    <row r="16" spans="1:33" ht="12" customHeight="1" x14ac:dyDescent="0.3">
      <c r="A16" s="2362" t="s">
        <v>1760</v>
      </c>
      <c r="B16" s="2345">
        <v>0</v>
      </c>
      <c r="C16" s="2351">
        <v>0</v>
      </c>
      <c r="D16" s="2361">
        <v>0</v>
      </c>
      <c r="E16" s="2361">
        <v>0</v>
      </c>
      <c r="F16" s="2345">
        <v>0</v>
      </c>
      <c r="G16" s="2347">
        <v>0</v>
      </c>
      <c r="H16" s="2346">
        <v>0</v>
      </c>
      <c r="I16" s="2345">
        <v>77866.418640000004</v>
      </c>
      <c r="J16" s="2361">
        <v>0</v>
      </c>
      <c r="K16" s="2361">
        <v>0</v>
      </c>
      <c r="L16" s="2361">
        <v>0</v>
      </c>
      <c r="M16" s="2345">
        <v>70764.231023962318</v>
      </c>
      <c r="N16" s="2347">
        <v>0</v>
      </c>
      <c r="O16" s="2346">
        <v>2.6648713767727767</v>
      </c>
      <c r="P16" s="2345">
        <v>0</v>
      </c>
      <c r="Q16" s="2345">
        <v>0</v>
      </c>
      <c r="R16" s="2345">
        <v>0</v>
      </c>
      <c r="S16" s="2351">
        <v>0</v>
      </c>
      <c r="T16" s="2361">
        <v>0</v>
      </c>
      <c r="U16" s="2361">
        <v>0</v>
      </c>
      <c r="V16" s="2345">
        <v>0</v>
      </c>
      <c r="W16" s="2347">
        <v>0</v>
      </c>
      <c r="X16" s="2346">
        <v>0</v>
      </c>
      <c r="Y16" s="2345">
        <v>113266.79178</v>
      </c>
      <c r="Z16" s="2361">
        <v>0</v>
      </c>
      <c r="AA16" s="2361">
        <v>0</v>
      </c>
      <c r="AB16" s="2361">
        <v>0</v>
      </c>
      <c r="AC16" s="2345">
        <v>113982.48358362135</v>
      </c>
      <c r="AD16" s="2347">
        <v>0</v>
      </c>
      <c r="AE16" s="2346">
        <v>3.0306927216963286</v>
      </c>
      <c r="AF16" s="2345">
        <v>0</v>
      </c>
      <c r="AG16" s="2345">
        <v>0</v>
      </c>
    </row>
    <row r="17" spans="1:33" ht="12" customHeight="1" x14ac:dyDescent="0.3">
      <c r="A17" s="2353" t="s">
        <v>3284</v>
      </c>
      <c r="B17" s="2345">
        <v>0</v>
      </c>
      <c r="C17" s="2351">
        <v>0</v>
      </c>
      <c r="D17" s="2361">
        <v>0</v>
      </c>
      <c r="E17" s="2361">
        <v>0</v>
      </c>
      <c r="F17" s="2345">
        <v>0</v>
      </c>
      <c r="G17" s="2347">
        <v>0</v>
      </c>
      <c r="H17" s="2346">
        <v>0</v>
      </c>
      <c r="I17" s="2345">
        <v>71703.422320000012</v>
      </c>
      <c r="J17" s="2361">
        <v>0</v>
      </c>
      <c r="K17" s="2361">
        <v>0</v>
      </c>
      <c r="L17" s="2361">
        <v>0</v>
      </c>
      <c r="M17" s="2345">
        <v>71703.422320000012</v>
      </c>
      <c r="N17" s="2347">
        <v>2.1928070292028416E-2</v>
      </c>
      <c r="O17" s="2346">
        <v>10.531166181161705</v>
      </c>
      <c r="P17" s="2345">
        <v>0</v>
      </c>
      <c r="Q17" s="2345">
        <v>0</v>
      </c>
      <c r="R17" s="2345">
        <v>0</v>
      </c>
      <c r="S17" s="2351">
        <v>0</v>
      </c>
      <c r="T17" s="2361">
        <v>0</v>
      </c>
      <c r="U17" s="2361">
        <v>0</v>
      </c>
      <c r="V17" s="2345">
        <v>0</v>
      </c>
      <c r="W17" s="2347">
        <v>0</v>
      </c>
      <c r="X17" s="2346">
        <v>0</v>
      </c>
      <c r="Y17" s="2345">
        <v>80991.550600000002</v>
      </c>
      <c r="Z17" s="2361">
        <v>0</v>
      </c>
      <c r="AA17" s="2361">
        <v>0</v>
      </c>
      <c r="AB17" s="2361">
        <v>0</v>
      </c>
      <c r="AC17" s="2345">
        <v>80991.550600000002</v>
      </c>
      <c r="AD17" s="2347">
        <v>1.4616628573768975E-2</v>
      </c>
      <c r="AE17" s="2346">
        <v>18.075709718624559</v>
      </c>
      <c r="AF17" s="2345">
        <v>0</v>
      </c>
      <c r="AG17" s="2345">
        <v>0</v>
      </c>
    </row>
    <row r="18" spans="1:33" ht="12" customHeight="1" x14ac:dyDescent="0.3">
      <c r="A18" s="2352" t="s">
        <v>3269</v>
      </c>
      <c r="B18" s="2345">
        <v>0</v>
      </c>
      <c r="C18" s="2351">
        <v>0</v>
      </c>
      <c r="D18" s="2361">
        <v>0</v>
      </c>
      <c r="E18" s="2361">
        <v>0</v>
      </c>
      <c r="F18" s="2345">
        <v>0</v>
      </c>
      <c r="G18" s="2347">
        <v>0</v>
      </c>
      <c r="H18" s="2346">
        <v>0</v>
      </c>
      <c r="I18" s="2345">
        <v>71703.422320000012</v>
      </c>
      <c r="J18" s="2361">
        <v>0</v>
      </c>
      <c r="K18" s="2361">
        <v>0</v>
      </c>
      <c r="L18" s="2361">
        <v>0</v>
      </c>
      <c r="M18" s="2345">
        <v>71703.422320000012</v>
      </c>
      <c r="N18" s="2347">
        <v>2.1928070292028416E-2</v>
      </c>
      <c r="O18" s="2346">
        <v>10.531166181161705</v>
      </c>
      <c r="P18" s="2345">
        <v>0</v>
      </c>
      <c r="Q18" s="2345">
        <v>0</v>
      </c>
      <c r="R18" s="2345">
        <v>0</v>
      </c>
      <c r="S18" s="2351">
        <v>0</v>
      </c>
      <c r="T18" s="2361">
        <v>0</v>
      </c>
      <c r="U18" s="2361">
        <v>0</v>
      </c>
      <c r="V18" s="2345">
        <v>0</v>
      </c>
      <c r="W18" s="2347">
        <v>0</v>
      </c>
      <c r="X18" s="2346">
        <v>0</v>
      </c>
      <c r="Y18" s="2345">
        <v>80991.550600000002</v>
      </c>
      <c r="Z18" s="2361">
        <v>0</v>
      </c>
      <c r="AA18" s="2361">
        <v>0</v>
      </c>
      <c r="AB18" s="2361">
        <v>0</v>
      </c>
      <c r="AC18" s="2345">
        <v>80991.550600000002</v>
      </c>
      <c r="AD18" s="2347">
        <v>1.4616628573768975E-2</v>
      </c>
      <c r="AE18" s="2346">
        <v>18.075709718624559</v>
      </c>
      <c r="AF18" s="2345">
        <v>0</v>
      </c>
      <c r="AG18" s="2345">
        <v>0</v>
      </c>
    </row>
    <row r="19" spans="1:33" ht="12" customHeight="1" x14ac:dyDescent="0.3">
      <c r="A19" s="2353" t="s">
        <v>3283</v>
      </c>
      <c r="B19" s="2357">
        <f>SUM(B20:B23)+B25+B27+B29+B31+B32+B34</f>
        <v>22371116.867120378</v>
      </c>
      <c r="C19" s="2360">
        <f>IFERROR(+(SUMPRODUCT(B20:B23,C20:C23)+B25*C25+B27*C27+B29*C29+SUMPRODUCT(B31:B34,C31:C34))/(SUM(B20:B23)+B25+B27+B29+SUM(B31:B34)),"")</f>
        <v>0.4413596996157183</v>
      </c>
      <c r="D19" s="2360">
        <f>IFERROR(+(SUMPRODUCT(B20:B23,D20:D23)+B25*D25+B27*D27+B29*D29+SUMPRODUCT(B31:B34,D31:D34))/(SUM(B20:B23)+B25+B27+B29+SUM(B31:B34)),"")</f>
        <v>0</v>
      </c>
      <c r="E19" s="2360">
        <f>IFERROR(+(SUMPRODUCT(B20:B23,E20:E23)+B25*E25+B27*E27+B29*E29+SUMPRODUCT(B31:B34,E31:E34))/(SUM(B20:B23)+B25+B27+B29+SUM(B31:B34)),"")</f>
        <v>0.4413596996157183</v>
      </c>
      <c r="F19" s="2357">
        <f>SUM(F20:F23)+F25+F27+F29+F31+F32+F34</f>
        <v>9876725.9360645786</v>
      </c>
      <c r="G19" s="2359">
        <f>IFERROR((SUMPRODUCT(B20:B23,G20:G23)+B25*G25+B27*G27+B29*G29+B31*G31+B32*G32+B34*G34)/(SUM(B20:B23)+B25+B27+B29+B31+B32+B34),"")</f>
        <v>6.7945934778089216E-3</v>
      </c>
      <c r="H19" s="2358">
        <f>IFERROR((SUMPRODUCT(F20:F23,H20:H23)+F25*H25+F27*H27+F29*H29+F31*H31+F32*H32+F34*H34)/(SUM(F20:F23)+F25+F27+F29+F31+F32+F34),"")</f>
        <v>0.10925292315193251</v>
      </c>
      <c r="I19" s="2357">
        <f>SUM(I20:I23)+I25+I27+I29+I31+I32+I34</f>
        <v>45461506.520924181</v>
      </c>
      <c r="J19" s="2360">
        <f>IFERROR(+(SUMPRODUCT(I20:I23,J20:J23)+I25*J25+I27*J27+I29*J29+SUMPRODUCT(I31:I34,J31:J34))/(SUM(I20:I23)+I25+I27+I29+SUM(I31:I34)),"")</f>
        <v>0.37300326973666914</v>
      </c>
      <c r="K19" s="2360">
        <f>IFERROR(+(SUMPRODUCT(I20:I23,K20:K23)+I25*K25+I27*K27+I29*K29+SUMPRODUCT(I31:I34,K31:K34))/(SUM(I20:I23)+I25+I27+I29+SUM(I31:I34)),"")</f>
        <v>0</v>
      </c>
      <c r="L19" s="2360">
        <f>IFERROR(+(SUMPRODUCT(I20:I23,L20:L23)+I25*L25+I27*L27+I29*L29+SUMPRODUCT(I31:I34,L31:L34))/(SUM(I20:I23)+I25+I27+I29+SUM(I31:I34)),"")</f>
        <v>0</v>
      </c>
      <c r="M19" s="2357">
        <f>SUM(M20:M23)+M25+M27+M29+M31+M32+M34</f>
        <v>34245837.142146207</v>
      </c>
      <c r="N19" s="2359">
        <f>IFERROR((SUMPRODUCT(I20:I23,N20:N23)+I25*N25+I27*N27+I29*N29+I31*N31+I32*N32+I34*N34)/(SUM(I20:I23)+I25+I27+I29+I31+I32+I34),"")</f>
        <v>8.5646940733785995E-3</v>
      </c>
      <c r="O19" s="2358">
        <f>IFERROR((SUMPRODUCT(M20:M23,O20:O23)+M25*O25+M27*O27+M29*O29+M31*O31+M32*O32+M34*O34)/(SUM(M20:M23)+M25+M27+M29+M31+M32+M34),"")</f>
        <v>1.8737478623963428</v>
      </c>
      <c r="P19" s="2357">
        <f>SUM(P20:P23)+P25+P27+P29+SUM(P31:P34)</f>
        <v>2034900</v>
      </c>
      <c r="Q19" s="2357">
        <f>SUM(Q20:Q23)+Q25+Q27+Q29+SUM(Q31:Q34)</f>
        <v>959.78503094919699</v>
      </c>
      <c r="R19" s="2357">
        <f>SUM(R20:R23)+R25+R27+R29+R31+R32+R34</f>
        <v>23195033.076380379</v>
      </c>
      <c r="S19" s="2360">
        <f>IFERROR(+(SUMPRODUCT(R20:R23,S20:S23)+R25*S25+R27*S27+R29*S29+SUMPRODUCT(R31:R34,S31:S34))/(SUM(R20:R23)+R25+R27+R29+SUM(R31:R34)),"")</f>
        <v>0.42568205822456118</v>
      </c>
      <c r="T19" s="2360">
        <f>IFERROR(+(SUMPRODUCT(R20:R23,T20:T23)+R25*T25+R27*T27+R29*T29+SUMPRODUCT(R31:R34,T31:T34))/(SUM(R20:R23)+R25+R27+R29+SUM(R31:R34)),"")</f>
        <v>0</v>
      </c>
      <c r="U19" s="2360">
        <f>IFERROR(+(SUMPRODUCT(R20:R23,U20:U23)+R25*U25+R27*U27+R29*U29+SUMPRODUCT(R31:R34,U31:U34))/(SUM(R20:R23)+R25+R27+R29+SUM(R31:R34)),"")</f>
        <v>0.42568205822456118</v>
      </c>
      <c r="V19" s="2357">
        <f>SUM(V20:V23)+V25+V27+V29+V31+V32+V34</f>
        <v>18161988.160537425</v>
      </c>
      <c r="W19" s="2359">
        <f>IFERROR((SUMPRODUCT(R20:R23,W20:W23)+R25*W25+R27*W27+R29*W29+R31*W31+R32*W32+R34*W34)/(SUM(R20:R23)+R25+R27+R29+R31+R32+R34),"")</f>
        <v>-1.5436359509122843E-3</v>
      </c>
      <c r="X19" s="2358">
        <f>IFERROR((SUMPRODUCT(V20:V23,X20:X23)+V25*X25+V27*X27+V29*X29+V31*X31+V32*X32+V34*X34)/(SUM(V20:V23)+V25+V27+V29+V31+V32+V34),"")</f>
        <v>9.7104784876355779E-2</v>
      </c>
      <c r="Y19" s="2357">
        <f>SUM(Y20:Y23)+Y25+Y27+Y29+Y31+Y32+Y34</f>
        <v>50722168.734665208</v>
      </c>
      <c r="Z19" s="2360">
        <f>IFERROR(+(SUMPRODUCT(Y20:Y23,Z20:Z23)+Y25*Z25+Y27*Z27+Y29*Z29+SUMPRODUCT(Y31:Y34,Z31:Z34))/(SUM(Y20:Y23)+Y25+Y27+Y29+SUM(Y31:Y34)),"")</f>
        <v>0.44781713803460671</v>
      </c>
      <c r="AA19" s="2360">
        <f>IFERROR(+(SUMPRODUCT(Y20:Y23,AA20:AA23)+Y25*AA25+Y27*AA27+Y29*AA29+SUMPRODUCT(Y31:Y34,AA31:AA34))/(SUM(Y20:Y23)+Y25+Y27+Y29+SUM(Y31:Y34)),"")</f>
        <v>0</v>
      </c>
      <c r="AB19" s="2360">
        <f>IFERROR(+(SUMPRODUCT(Y20:Y23,AB20:AB23)+Y25*AB25+Y27*AB27+Y29*AB29+SUMPRODUCT(Y31:Y34,AB31:AB34))/(SUM(Y20:Y23)+Y25+Y27+Y29+SUM(Y31:Y34)),"")</f>
        <v>0</v>
      </c>
      <c r="AC19" s="2357">
        <f>SUM(AC20:AC23)+AC25+AC27+AC29+AC31+AC32+AC34</f>
        <v>33810934.041074753</v>
      </c>
      <c r="AD19" s="2359">
        <f>IFERROR((SUMPRODUCT(Y20:Y23,AD20:AD23)+Y25*AD25+Y27*AD27+Y29*AD29+Y31*AD31+Y32*AD32+Y34*AD34)/(SUM(Y20:Y23)+Y25+Y27+Y29+Y31+Y32+Y34),"")</f>
        <v>-3.4244471303272331E-3</v>
      </c>
      <c r="AE19" s="2358">
        <f>IFERROR((SUMPRODUCT(AC20:AC23,AE20:AE23)+AC25*AE25+AC27*AE27+AC29*AE29+AC31*AE31+AC32*AE32+AC34*AE34)/(SUM(AC20:AC23)+AC25+AC27+AC29+AC31+AC32+AC34),"")</f>
        <v>2.1717107880363158</v>
      </c>
      <c r="AF19" s="2357">
        <f>SUM(AF20:AF23)+AF25+AF27+AF29+SUM(AF31:AF34)</f>
        <v>1851900</v>
      </c>
      <c r="AG19" s="2357">
        <f>SUM(AG20:AG23)+AG25+AG27+AG29+SUM(AG31:AG34)</f>
        <v>1014.900999983</v>
      </c>
    </row>
    <row r="20" spans="1:33" ht="12" customHeight="1" x14ac:dyDescent="0.3">
      <c r="A20" s="2355" t="s">
        <v>3282</v>
      </c>
      <c r="B20" s="2345">
        <v>5690000</v>
      </c>
      <c r="C20" s="2466"/>
      <c r="D20" s="2347"/>
      <c r="E20" s="2347"/>
      <c r="F20" s="2345"/>
      <c r="G20" s="2347"/>
      <c r="H20" s="2346"/>
      <c r="I20" s="2345"/>
      <c r="J20" s="2468"/>
      <c r="K20" s="2347">
        <v>0</v>
      </c>
      <c r="L20" s="2347">
        <v>0</v>
      </c>
      <c r="M20" s="2345">
        <v>0</v>
      </c>
      <c r="N20" s="2347">
        <v>0</v>
      </c>
      <c r="O20" s="2346">
        <v>0</v>
      </c>
      <c r="P20" s="2345">
        <v>0</v>
      </c>
      <c r="Q20" s="2346">
        <v>0</v>
      </c>
      <c r="R20" s="2345">
        <v>8290000</v>
      </c>
      <c r="S20" s="2466"/>
      <c r="T20" s="2347">
        <v>0</v>
      </c>
      <c r="U20" s="2347">
        <v>0</v>
      </c>
      <c r="V20" s="2345">
        <v>8292826.3696037382</v>
      </c>
      <c r="W20" s="2347">
        <v>-1.2385128457772193E-3</v>
      </c>
      <c r="X20" s="2346">
        <v>7.0584394092714262E-2</v>
      </c>
      <c r="Y20" s="2345">
        <v>0</v>
      </c>
      <c r="Z20" s="2468"/>
      <c r="AA20" s="2347">
        <v>0</v>
      </c>
      <c r="AB20" s="2347">
        <v>0</v>
      </c>
      <c r="AC20" s="2345">
        <v>0</v>
      </c>
      <c r="AD20" s="2347">
        <v>0</v>
      </c>
      <c r="AE20" s="2346">
        <v>0</v>
      </c>
      <c r="AF20" s="2345">
        <v>0</v>
      </c>
      <c r="AG20" s="2346">
        <v>0</v>
      </c>
    </row>
    <row r="21" spans="1:33" ht="12" customHeight="1" x14ac:dyDescent="0.3">
      <c r="A21" s="2355" t="s">
        <v>3281</v>
      </c>
      <c r="B21" s="2345">
        <v>0</v>
      </c>
      <c r="C21" s="2466"/>
      <c r="D21" s="2347"/>
      <c r="E21" s="2347"/>
      <c r="F21" s="2345"/>
      <c r="G21" s="2347"/>
      <c r="H21" s="2346"/>
      <c r="I21" s="2345"/>
      <c r="J21" s="2468"/>
      <c r="K21" s="2347">
        <v>0</v>
      </c>
      <c r="L21" s="2347">
        <v>0</v>
      </c>
      <c r="M21" s="2345">
        <v>2942178.8592781406</v>
      </c>
      <c r="N21" s="2347">
        <v>5.5830488062038235E-3</v>
      </c>
      <c r="O21" s="2346">
        <v>9.3067146801989239E-3</v>
      </c>
      <c r="P21" s="2345">
        <v>0</v>
      </c>
      <c r="Q21" s="2346">
        <v>0</v>
      </c>
      <c r="R21" s="2345">
        <v>0</v>
      </c>
      <c r="S21" s="2466"/>
      <c r="T21" s="2347">
        <v>0</v>
      </c>
      <c r="U21" s="2347">
        <v>0</v>
      </c>
      <c r="V21" s="2345">
        <v>0</v>
      </c>
      <c r="W21" s="2347">
        <v>0</v>
      </c>
      <c r="X21" s="2346">
        <v>0</v>
      </c>
      <c r="Y21" s="2345">
        <v>10448623.446379999</v>
      </c>
      <c r="Z21" s="2468"/>
      <c r="AA21" s="2347">
        <v>0</v>
      </c>
      <c r="AB21" s="2347">
        <v>0</v>
      </c>
      <c r="AC21" s="2345">
        <v>5359533.6609412441</v>
      </c>
      <c r="AD21" s="2347">
        <v>-1.9812713113145849E-2</v>
      </c>
      <c r="AE21" s="2346">
        <v>1.3287147022622299E-2</v>
      </c>
      <c r="AF21" s="2345">
        <v>0</v>
      </c>
      <c r="AG21" s="2346">
        <v>0</v>
      </c>
    </row>
    <row r="22" spans="1:33" ht="12" customHeight="1" x14ac:dyDescent="0.3">
      <c r="A22" s="2355" t="s">
        <v>3280</v>
      </c>
      <c r="B22" s="2345">
        <v>0</v>
      </c>
      <c r="C22" s="2351">
        <v>0</v>
      </c>
      <c r="D22" s="2347">
        <v>0</v>
      </c>
      <c r="E22" s="2347">
        <v>0</v>
      </c>
      <c r="F22" s="2345">
        <v>0</v>
      </c>
      <c r="G22" s="2347">
        <v>0</v>
      </c>
      <c r="H22" s="2346">
        <v>0</v>
      </c>
      <c r="I22" s="2345">
        <v>3600000</v>
      </c>
      <c r="J22" s="2347">
        <v>0</v>
      </c>
      <c r="K22" s="2347">
        <v>0</v>
      </c>
      <c r="L22" s="2347">
        <v>0</v>
      </c>
      <c r="M22" s="2345">
        <v>3286108.1241702018</v>
      </c>
      <c r="N22" s="2347">
        <v>1.5663185008488085E-2</v>
      </c>
      <c r="O22" s="2346">
        <v>3.2025220353330939</v>
      </c>
      <c r="P22" s="2345">
        <v>0</v>
      </c>
      <c r="Q22" s="2346">
        <v>0</v>
      </c>
      <c r="R22" s="2345">
        <v>0</v>
      </c>
      <c r="S22" s="2351">
        <v>0</v>
      </c>
      <c r="T22" s="2347">
        <v>0</v>
      </c>
      <c r="U22" s="2347">
        <v>0</v>
      </c>
      <c r="V22" s="2345">
        <v>0</v>
      </c>
      <c r="W22" s="2347">
        <v>0</v>
      </c>
      <c r="X22" s="2346">
        <v>0</v>
      </c>
      <c r="Y22" s="2345">
        <v>2400000</v>
      </c>
      <c r="Z22" s="2347">
        <v>0</v>
      </c>
      <c r="AA22" s="2347">
        <v>0</v>
      </c>
      <c r="AB22" s="2347">
        <v>0</v>
      </c>
      <c r="AC22" s="2345">
        <v>2407445.7088147383</v>
      </c>
      <c r="AD22" s="2347">
        <v>1.1799071962395111E-2</v>
      </c>
      <c r="AE22" s="2346">
        <v>3.9031748227289014</v>
      </c>
      <c r="AF22" s="2345">
        <v>0</v>
      </c>
      <c r="AG22" s="2346">
        <v>0</v>
      </c>
    </row>
    <row r="23" spans="1:33" ht="12" customHeight="1" x14ac:dyDescent="0.3">
      <c r="A23" s="2355" t="s">
        <v>3279</v>
      </c>
      <c r="B23" s="2345">
        <v>5512420.0702570491</v>
      </c>
      <c r="C23" s="2351">
        <v>1</v>
      </c>
      <c r="D23" s="2347">
        <v>0</v>
      </c>
      <c r="E23" s="2347">
        <v>1</v>
      </c>
      <c r="F23" s="2345">
        <v>5503865.078353947</v>
      </c>
      <c r="G23" s="2347">
        <v>1.5574982416666704E-3</v>
      </c>
      <c r="H23" s="2346">
        <v>0.11887323537974165</v>
      </c>
      <c r="I23" s="2345">
        <v>14589571.975614658</v>
      </c>
      <c r="J23" s="2347">
        <v>0.78763794128577502</v>
      </c>
      <c r="K23" s="2347">
        <v>0</v>
      </c>
      <c r="L23" s="2347">
        <v>0</v>
      </c>
      <c r="M23" s="2345">
        <v>13693911.80221043</v>
      </c>
      <c r="N23" s="2347">
        <v>9.5424088504761726E-3</v>
      </c>
      <c r="O23" s="2346">
        <v>2.2708980677892763</v>
      </c>
      <c r="P23" s="2345">
        <v>0</v>
      </c>
      <c r="Q23" s="2346">
        <v>0</v>
      </c>
      <c r="R23" s="2345">
        <v>5375592.3710300103</v>
      </c>
      <c r="S23" s="2351">
        <v>1</v>
      </c>
      <c r="T23" s="2347">
        <v>0</v>
      </c>
      <c r="U23" s="2347">
        <v>1</v>
      </c>
      <c r="V23" s="2345">
        <v>5511710.0710314587</v>
      </c>
      <c r="W23" s="2347">
        <v>8.2281356760440248E-6</v>
      </c>
      <c r="X23" s="2346">
        <v>0.13238363963795702</v>
      </c>
      <c r="Y23" s="2345">
        <v>13885948.180915833</v>
      </c>
      <c r="Z23" s="2347">
        <v>1</v>
      </c>
      <c r="AA23" s="2347">
        <v>0</v>
      </c>
      <c r="AB23" s="2347">
        <v>0</v>
      </c>
      <c r="AC23" s="2345">
        <v>13964824.133594066</v>
      </c>
      <c r="AD23" s="2347">
        <v>4.2204451050211215E-6</v>
      </c>
      <c r="AE23" s="2346">
        <v>2.9890570342630047</v>
      </c>
      <c r="AF23" s="2345">
        <v>0</v>
      </c>
      <c r="AG23" s="2346">
        <v>0</v>
      </c>
    </row>
    <row r="24" spans="1:33" ht="12" customHeight="1" x14ac:dyDescent="0.3">
      <c r="A24" s="2356" t="s">
        <v>3276</v>
      </c>
      <c r="B24" s="2345">
        <v>0</v>
      </c>
      <c r="C24" s="2351">
        <v>0</v>
      </c>
      <c r="D24" s="2347">
        <v>0</v>
      </c>
      <c r="E24" s="2347">
        <v>0</v>
      </c>
      <c r="F24" s="2345">
        <v>0</v>
      </c>
      <c r="G24" s="2347">
        <v>0</v>
      </c>
      <c r="H24" s="2346">
        <v>0</v>
      </c>
      <c r="I24" s="2345">
        <v>0</v>
      </c>
      <c r="J24" s="2347">
        <v>0</v>
      </c>
      <c r="K24" s="2347">
        <v>0</v>
      </c>
      <c r="L24" s="2347">
        <v>0</v>
      </c>
      <c r="M24" s="2345">
        <v>0</v>
      </c>
      <c r="N24" s="2347">
        <v>0</v>
      </c>
      <c r="O24" s="2346">
        <v>0</v>
      </c>
      <c r="P24" s="2345">
        <v>0</v>
      </c>
      <c r="Q24" s="2346">
        <v>0</v>
      </c>
      <c r="R24" s="2345">
        <v>0</v>
      </c>
      <c r="S24" s="2351">
        <v>0</v>
      </c>
      <c r="T24" s="2347">
        <v>0</v>
      </c>
      <c r="U24" s="2347">
        <v>1</v>
      </c>
      <c r="V24" s="2345">
        <v>0</v>
      </c>
      <c r="W24" s="2347">
        <v>0</v>
      </c>
      <c r="X24" s="2346">
        <v>0</v>
      </c>
      <c r="Y24" s="2345">
        <v>0</v>
      </c>
      <c r="Z24" s="2347">
        <v>0</v>
      </c>
      <c r="AA24" s="2347">
        <v>0</v>
      </c>
      <c r="AB24" s="2347">
        <v>0</v>
      </c>
      <c r="AC24" s="2345">
        <v>0</v>
      </c>
      <c r="AD24" s="2347">
        <v>0</v>
      </c>
      <c r="AE24" s="2346">
        <v>0</v>
      </c>
      <c r="AF24" s="2345">
        <v>0</v>
      </c>
      <c r="AG24" s="2346">
        <v>0</v>
      </c>
    </row>
    <row r="25" spans="1:33" ht="12" customHeight="1" x14ac:dyDescent="0.3">
      <c r="A25" s="2355" t="s">
        <v>3278</v>
      </c>
      <c r="B25" s="2345">
        <v>1375624.7665042428</v>
      </c>
      <c r="C25" s="2351">
        <v>1</v>
      </c>
      <c r="D25" s="2347">
        <v>0</v>
      </c>
      <c r="E25" s="2347">
        <v>1</v>
      </c>
      <c r="F25" s="2345">
        <v>1373489.8677503092</v>
      </c>
      <c r="G25" s="2347">
        <v>1.5574982416666704E-3</v>
      </c>
      <c r="H25" s="2346">
        <v>0.11887323537974163</v>
      </c>
      <c r="I25" s="2345">
        <v>3640828.5810148506</v>
      </c>
      <c r="J25" s="2347">
        <v>0.78763794128577547</v>
      </c>
      <c r="K25" s="2347">
        <v>0</v>
      </c>
      <c r="L25" s="2347">
        <v>0</v>
      </c>
      <c r="M25" s="2345">
        <v>3417316.5298280679</v>
      </c>
      <c r="N25" s="2347">
        <v>9.5424088504761726E-3</v>
      </c>
      <c r="O25" s="2346">
        <v>2.2708980677892776</v>
      </c>
      <c r="P25" s="2345">
        <v>0</v>
      </c>
      <c r="Q25" s="2346">
        <v>0</v>
      </c>
      <c r="R25" s="2345">
        <v>1512452.4657312755</v>
      </c>
      <c r="S25" s="2351">
        <v>1</v>
      </c>
      <c r="T25" s="2347">
        <v>0</v>
      </c>
      <c r="U25" s="2347">
        <v>1</v>
      </c>
      <c r="V25" s="2345">
        <v>1375447.5861539661</v>
      </c>
      <c r="W25" s="2347">
        <v>8.2281356760440248E-6</v>
      </c>
      <c r="X25" s="2346">
        <v>0.13238363963795702</v>
      </c>
      <c r="Y25" s="2345">
        <v>3906887.8582433779</v>
      </c>
      <c r="Z25" s="2347">
        <v>1</v>
      </c>
      <c r="AA25" s="2347">
        <v>0</v>
      </c>
      <c r="AB25" s="2347">
        <v>0</v>
      </c>
      <c r="AC25" s="2345">
        <v>3929080.0411473503</v>
      </c>
      <c r="AD25" s="2347">
        <v>4.2204451050211215E-6</v>
      </c>
      <c r="AE25" s="2346">
        <v>2.989057034263003</v>
      </c>
      <c r="AF25" s="2345">
        <v>0</v>
      </c>
      <c r="AG25" s="2346">
        <v>0</v>
      </c>
    </row>
    <row r="26" spans="1:33" ht="12" customHeight="1" x14ac:dyDescent="0.3">
      <c r="A26" s="2356" t="s">
        <v>3276</v>
      </c>
      <c r="B26" s="2345">
        <v>0</v>
      </c>
      <c r="C26" s="2351">
        <v>0</v>
      </c>
      <c r="D26" s="2347">
        <v>0</v>
      </c>
      <c r="E26" s="2347">
        <v>0</v>
      </c>
      <c r="F26" s="2345">
        <v>0</v>
      </c>
      <c r="G26" s="2347">
        <v>0</v>
      </c>
      <c r="H26" s="2346">
        <v>0</v>
      </c>
      <c r="I26" s="2345">
        <v>0</v>
      </c>
      <c r="J26" s="2347">
        <v>0</v>
      </c>
      <c r="K26" s="2347">
        <v>0</v>
      </c>
      <c r="L26" s="2347">
        <v>0</v>
      </c>
      <c r="M26" s="2345">
        <v>0</v>
      </c>
      <c r="N26" s="2347">
        <v>0</v>
      </c>
      <c r="O26" s="2346">
        <v>0</v>
      </c>
      <c r="P26" s="2345">
        <v>0</v>
      </c>
      <c r="Q26" s="2346">
        <v>0</v>
      </c>
      <c r="R26" s="2345">
        <v>0</v>
      </c>
      <c r="S26" s="2351">
        <v>0</v>
      </c>
      <c r="T26" s="2347">
        <v>0</v>
      </c>
      <c r="U26" s="2347">
        <v>1</v>
      </c>
      <c r="V26" s="2345">
        <v>0</v>
      </c>
      <c r="W26" s="2347">
        <v>0</v>
      </c>
      <c r="X26" s="2346">
        <v>0</v>
      </c>
      <c r="Y26" s="2345">
        <v>0</v>
      </c>
      <c r="Z26" s="2347">
        <v>0</v>
      </c>
      <c r="AA26" s="2347">
        <v>0</v>
      </c>
      <c r="AB26" s="2347">
        <v>0</v>
      </c>
      <c r="AC26" s="2345">
        <v>0</v>
      </c>
      <c r="AD26" s="2347">
        <v>0</v>
      </c>
      <c r="AE26" s="2346">
        <v>0</v>
      </c>
      <c r="AF26" s="2345">
        <v>0</v>
      </c>
      <c r="AG26" s="2346">
        <v>0</v>
      </c>
    </row>
    <row r="27" spans="1:33" ht="12" customHeight="1" x14ac:dyDescent="0.3">
      <c r="A27" s="2355" t="s">
        <v>3277</v>
      </c>
      <c r="B27" s="2345">
        <v>2985664.5837790873</v>
      </c>
      <c r="C27" s="2351">
        <v>1</v>
      </c>
      <c r="D27" s="2347">
        <v>0</v>
      </c>
      <c r="E27" s="2347">
        <v>1</v>
      </c>
      <c r="F27" s="2345">
        <v>2984705.2052012566</v>
      </c>
      <c r="G27" s="2347">
        <v>1.5574982416666678E-3</v>
      </c>
      <c r="H27" s="2346">
        <v>8.7218777575465326E-2</v>
      </c>
      <c r="I27" s="2345">
        <v>5522651.8998927698</v>
      </c>
      <c r="J27" s="2347">
        <v>0.47048690797827769</v>
      </c>
      <c r="K27" s="2347">
        <v>0</v>
      </c>
      <c r="L27" s="2347">
        <v>0</v>
      </c>
      <c r="M27" s="2345">
        <v>5497423.1908339839</v>
      </c>
      <c r="N27" s="2347">
        <v>6.4363303375232026E-3</v>
      </c>
      <c r="O27" s="2346">
        <v>0.2796905064273339</v>
      </c>
      <c r="P27" s="2345">
        <v>0</v>
      </c>
      <c r="Q27" s="2346">
        <v>0</v>
      </c>
      <c r="R27" s="2345">
        <v>2985664.5837790901</v>
      </c>
      <c r="S27" s="2351">
        <v>1</v>
      </c>
      <c r="T27" s="2347">
        <v>0</v>
      </c>
      <c r="U27" s="2347">
        <v>1</v>
      </c>
      <c r="V27" s="2345">
        <v>2985730.0659870976</v>
      </c>
      <c r="W27" s="2347">
        <v>0</v>
      </c>
      <c r="X27" s="2346">
        <v>8.9368786304005188E-2</v>
      </c>
      <c r="Y27" s="2345">
        <v>4921420.3985069701</v>
      </c>
      <c r="Z27" s="2347">
        <v>1</v>
      </c>
      <c r="AA27" s="2347">
        <v>0</v>
      </c>
      <c r="AB27" s="2347">
        <v>0</v>
      </c>
      <c r="AC27" s="2345">
        <v>4921165.2101396453</v>
      </c>
      <c r="AD27" s="2347">
        <v>0</v>
      </c>
      <c r="AE27" s="2346">
        <v>0.33210539848866805</v>
      </c>
      <c r="AF27" s="2345">
        <v>0</v>
      </c>
      <c r="AG27" s="2346">
        <v>0</v>
      </c>
    </row>
    <row r="28" spans="1:33" ht="12" customHeight="1" x14ac:dyDescent="0.3">
      <c r="A28" s="2356" t="s">
        <v>3276</v>
      </c>
      <c r="B28" s="2345">
        <v>0</v>
      </c>
      <c r="C28" s="2351">
        <v>0</v>
      </c>
      <c r="D28" s="2347">
        <v>0</v>
      </c>
      <c r="E28" s="2347">
        <v>0</v>
      </c>
      <c r="F28" s="2345">
        <v>0</v>
      </c>
      <c r="G28" s="2347">
        <v>0</v>
      </c>
      <c r="H28" s="2346">
        <v>0</v>
      </c>
      <c r="I28" s="2345">
        <v>0</v>
      </c>
      <c r="J28" s="2347">
        <v>0</v>
      </c>
      <c r="K28" s="2347">
        <v>0</v>
      </c>
      <c r="L28" s="2347">
        <v>0</v>
      </c>
      <c r="M28" s="2345">
        <v>0</v>
      </c>
      <c r="N28" s="2347">
        <v>0</v>
      </c>
      <c r="O28" s="2346">
        <v>0</v>
      </c>
      <c r="P28" s="2345">
        <v>0</v>
      </c>
      <c r="Q28" s="2346">
        <v>0</v>
      </c>
      <c r="R28" s="2345">
        <v>0</v>
      </c>
      <c r="S28" s="2351">
        <v>0</v>
      </c>
      <c r="T28" s="2347">
        <v>0</v>
      </c>
      <c r="U28" s="2347">
        <v>1</v>
      </c>
      <c r="V28" s="2345">
        <v>0</v>
      </c>
      <c r="W28" s="2347">
        <v>0</v>
      </c>
      <c r="X28" s="2346">
        <v>0</v>
      </c>
      <c r="Y28" s="2345">
        <v>0</v>
      </c>
      <c r="Z28" s="2347">
        <v>0</v>
      </c>
      <c r="AA28" s="2347">
        <v>0</v>
      </c>
      <c r="AB28" s="2347">
        <v>0</v>
      </c>
      <c r="AC28" s="2345">
        <v>0</v>
      </c>
      <c r="AD28" s="2347">
        <v>0</v>
      </c>
      <c r="AE28" s="2346">
        <v>0</v>
      </c>
      <c r="AF28" s="2345">
        <v>0</v>
      </c>
      <c r="AG28" s="2346">
        <v>0</v>
      </c>
    </row>
    <row r="29" spans="1:33" ht="12" customHeight="1" x14ac:dyDescent="0.3">
      <c r="A29" s="2355" t="s">
        <v>3275</v>
      </c>
      <c r="B29" s="2345">
        <v>0</v>
      </c>
      <c r="C29" s="2351">
        <v>0</v>
      </c>
      <c r="D29" s="2347">
        <v>0</v>
      </c>
      <c r="E29" s="2347">
        <v>0</v>
      </c>
      <c r="F29" s="2345">
        <v>0</v>
      </c>
      <c r="G29" s="2347">
        <v>0</v>
      </c>
      <c r="H29" s="2346">
        <v>0</v>
      </c>
      <c r="I29" s="2345">
        <v>481941.34571189882</v>
      </c>
      <c r="J29" s="2347">
        <v>0</v>
      </c>
      <c r="K29" s="2347">
        <v>0</v>
      </c>
      <c r="L29" s="2347">
        <v>0</v>
      </c>
      <c r="M29" s="2345">
        <v>481916.3141368666</v>
      </c>
      <c r="N29" s="2347">
        <v>2.24926270595444E-3</v>
      </c>
      <c r="O29" s="2346">
        <v>2.6880030204902662E-3</v>
      </c>
      <c r="P29" s="2345">
        <v>0</v>
      </c>
      <c r="Q29" s="2346">
        <v>0</v>
      </c>
      <c r="R29" s="2345">
        <v>0</v>
      </c>
      <c r="S29" s="2351">
        <v>0</v>
      </c>
      <c r="T29" s="2347">
        <v>0</v>
      </c>
      <c r="U29" s="2347">
        <v>0</v>
      </c>
      <c r="V29" s="2345">
        <v>0</v>
      </c>
      <c r="W29" s="2347">
        <v>0</v>
      </c>
      <c r="X29" s="2346">
        <v>0</v>
      </c>
      <c r="Y29" s="2345">
        <v>677776.63194903184</v>
      </c>
      <c r="Z29" s="2347">
        <v>0</v>
      </c>
      <c r="AA29" s="2347">
        <v>0</v>
      </c>
      <c r="AB29" s="2347">
        <v>0</v>
      </c>
      <c r="AC29" s="2345">
        <v>677787.70266627322</v>
      </c>
      <c r="AD29" s="2347">
        <v>0</v>
      </c>
      <c r="AE29" s="2346">
        <v>2.7560145686108908E-3</v>
      </c>
      <c r="AF29" s="2345">
        <v>0</v>
      </c>
      <c r="AG29" s="2346">
        <v>0</v>
      </c>
    </row>
    <row r="30" spans="1:33" ht="12" customHeight="1" x14ac:dyDescent="0.3">
      <c r="A30" s="2356" t="s">
        <v>3274</v>
      </c>
      <c r="B30" s="2345">
        <v>0</v>
      </c>
      <c r="C30" s="2351">
        <v>0</v>
      </c>
      <c r="D30" s="2347">
        <v>0</v>
      </c>
      <c r="E30" s="2347">
        <v>0</v>
      </c>
      <c r="F30" s="2345">
        <v>0</v>
      </c>
      <c r="G30" s="2347">
        <v>0</v>
      </c>
      <c r="H30" s="2346">
        <v>0</v>
      </c>
      <c r="I30" s="2345">
        <v>0</v>
      </c>
      <c r="J30" s="2347">
        <v>0</v>
      </c>
      <c r="K30" s="2347">
        <v>0</v>
      </c>
      <c r="L30" s="2347">
        <v>0</v>
      </c>
      <c r="M30" s="2345">
        <v>0</v>
      </c>
      <c r="N30" s="2347">
        <v>0</v>
      </c>
      <c r="O30" s="2346">
        <v>0</v>
      </c>
      <c r="P30" s="2345">
        <v>0</v>
      </c>
      <c r="Q30" s="2346">
        <v>0</v>
      </c>
      <c r="R30" s="2345">
        <v>0</v>
      </c>
      <c r="S30" s="2351">
        <v>0</v>
      </c>
      <c r="T30" s="2347">
        <v>0</v>
      </c>
      <c r="U30" s="2347">
        <v>0</v>
      </c>
      <c r="V30" s="2345">
        <v>0</v>
      </c>
      <c r="W30" s="2347">
        <v>0</v>
      </c>
      <c r="X30" s="2346">
        <v>0</v>
      </c>
      <c r="Y30" s="2345">
        <v>0</v>
      </c>
      <c r="Z30" s="2347">
        <v>0</v>
      </c>
      <c r="AA30" s="2347">
        <v>0</v>
      </c>
      <c r="AB30" s="2347">
        <v>0</v>
      </c>
      <c r="AC30" s="2345">
        <v>0</v>
      </c>
      <c r="AD30" s="2347">
        <v>0</v>
      </c>
      <c r="AE30" s="2346">
        <v>0</v>
      </c>
      <c r="AF30" s="2345">
        <v>0</v>
      </c>
      <c r="AG30" s="2346">
        <v>0</v>
      </c>
    </row>
    <row r="31" spans="1:33" ht="11.25" customHeight="1" x14ac:dyDescent="0.3">
      <c r="A31" s="2355" t="s">
        <v>3273</v>
      </c>
      <c r="B31" s="2345">
        <v>0</v>
      </c>
      <c r="C31" s="2351">
        <v>0</v>
      </c>
      <c r="D31" s="2347">
        <v>0</v>
      </c>
      <c r="E31" s="2347">
        <v>0</v>
      </c>
      <c r="F31" s="2345">
        <v>0</v>
      </c>
      <c r="G31" s="2347">
        <v>0</v>
      </c>
      <c r="H31" s="2346">
        <v>0</v>
      </c>
      <c r="I31" s="2345">
        <v>1259442.6869399999</v>
      </c>
      <c r="J31" s="2347">
        <v>0</v>
      </c>
      <c r="K31" s="2347">
        <v>0</v>
      </c>
      <c r="L31" s="2347">
        <v>0</v>
      </c>
      <c r="M31" s="2345">
        <v>1252654.0578669212</v>
      </c>
      <c r="N31" s="2347">
        <v>1.8630457461394464E-2</v>
      </c>
      <c r="O31" s="2346">
        <v>0.48694810744168576</v>
      </c>
      <c r="P31" s="2345">
        <v>0</v>
      </c>
      <c r="Q31" s="2346">
        <v>0</v>
      </c>
      <c r="R31" s="2345">
        <v>0</v>
      </c>
      <c r="S31" s="2351">
        <v>0</v>
      </c>
      <c r="T31" s="2347">
        <v>0</v>
      </c>
      <c r="U31" s="2347">
        <v>0</v>
      </c>
      <c r="V31" s="2345">
        <v>0</v>
      </c>
      <c r="W31" s="2347">
        <v>0</v>
      </c>
      <c r="X31" s="2346">
        <v>0</v>
      </c>
      <c r="Y31" s="2345">
        <v>417975.09493999998</v>
      </c>
      <c r="Z31" s="2347">
        <v>0</v>
      </c>
      <c r="AA31" s="2347">
        <v>0</v>
      </c>
      <c r="AB31" s="2347">
        <v>0</v>
      </c>
      <c r="AC31" s="2345">
        <v>416785.26404170366</v>
      </c>
      <c r="AD31" s="2347">
        <v>0</v>
      </c>
      <c r="AE31" s="2346">
        <v>1.0778389217632853</v>
      </c>
      <c r="AF31" s="2345">
        <v>0</v>
      </c>
      <c r="AG31" s="2346">
        <v>0</v>
      </c>
    </row>
    <row r="32" spans="1:33" ht="12" customHeight="1" x14ac:dyDescent="0.3">
      <c r="A32" s="2354" t="s">
        <v>3272</v>
      </c>
      <c r="B32" s="2345">
        <v>6807407.4465800002</v>
      </c>
      <c r="C32" s="2351">
        <v>0</v>
      </c>
      <c r="D32" s="2347">
        <v>0</v>
      </c>
      <c r="E32" s="2347">
        <v>0</v>
      </c>
      <c r="F32" s="2345">
        <v>14665.784759064989</v>
      </c>
      <c r="G32" s="2347">
        <v>2.0069954790800315E-2</v>
      </c>
      <c r="H32" s="2346">
        <v>8.2191780821917804E-2</v>
      </c>
      <c r="I32" s="2345">
        <v>16310640.213749999</v>
      </c>
      <c r="J32" s="2347">
        <v>0</v>
      </c>
      <c r="K32" s="2347">
        <v>0</v>
      </c>
      <c r="L32" s="2347">
        <v>0</v>
      </c>
      <c r="M32" s="2345">
        <v>3629865.9984993702</v>
      </c>
      <c r="N32" s="2347">
        <v>6.06480643641684E-3</v>
      </c>
      <c r="O32" s="2346">
        <v>3.3989189695284261</v>
      </c>
      <c r="P32" s="2345">
        <v>2034900</v>
      </c>
      <c r="Q32" s="2346">
        <v>959.78503094919699</v>
      </c>
      <c r="R32" s="2345">
        <v>5031323.6558400001</v>
      </c>
      <c r="S32" s="2351">
        <v>0</v>
      </c>
      <c r="T32" s="2347">
        <v>0</v>
      </c>
      <c r="U32" s="2347">
        <v>0</v>
      </c>
      <c r="V32" s="2345">
        <v>-3725.9322388368842</v>
      </c>
      <c r="W32" s="2347">
        <v>-5.0869498696548623E-3</v>
      </c>
      <c r="X32" s="2346">
        <v>8.2191780821917804E-2</v>
      </c>
      <c r="Y32" s="2345">
        <v>13993284.79473</v>
      </c>
      <c r="Z32" s="2347">
        <v>0</v>
      </c>
      <c r="AA32" s="2347">
        <v>0</v>
      </c>
      <c r="AB32" s="2347">
        <v>0</v>
      </c>
      <c r="AC32" s="2345">
        <v>2065254.479362933</v>
      </c>
      <c r="AD32" s="2347">
        <v>3.5212084065920732E-4</v>
      </c>
      <c r="AE32" s="2346">
        <v>3.7705413386439157</v>
      </c>
      <c r="AF32" s="2345">
        <v>1851900</v>
      </c>
      <c r="AG32" s="2346">
        <v>1014.900999983</v>
      </c>
    </row>
    <row r="33" spans="1:33" ht="12" customHeight="1" x14ac:dyDescent="0.3">
      <c r="A33" s="2354" t="s">
        <v>3271</v>
      </c>
      <c r="B33" s="2345">
        <v>0</v>
      </c>
      <c r="C33" s="2351">
        <v>0</v>
      </c>
      <c r="D33" s="2347">
        <v>0</v>
      </c>
      <c r="E33" s="2347">
        <v>0</v>
      </c>
      <c r="F33" s="2468"/>
      <c r="G33" s="2468"/>
      <c r="H33" s="2468"/>
      <c r="I33" s="2345">
        <v>0</v>
      </c>
      <c r="J33" s="2347">
        <v>0</v>
      </c>
      <c r="K33" s="2347">
        <v>0</v>
      </c>
      <c r="L33" s="2347">
        <v>0</v>
      </c>
      <c r="M33" s="2470"/>
      <c r="N33" s="2468"/>
      <c r="O33" s="2469"/>
      <c r="P33" s="2345">
        <v>0</v>
      </c>
      <c r="Q33" s="2346">
        <v>0</v>
      </c>
      <c r="R33" s="2345">
        <v>0</v>
      </c>
      <c r="S33" s="2351">
        <v>0</v>
      </c>
      <c r="T33" s="2347">
        <v>0</v>
      </c>
      <c r="U33" s="2347">
        <v>0</v>
      </c>
      <c r="V33" s="2468"/>
      <c r="W33" s="2468"/>
      <c r="X33" s="2468"/>
      <c r="Y33" s="2345">
        <v>0</v>
      </c>
      <c r="Z33" s="2347">
        <v>0</v>
      </c>
      <c r="AA33" s="2347">
        <v>0</v>
      </c>
      <c r="AB33" s="2347">
        <v>0</v>
      </c>
      <c r="AC33" s="2470"/>
      <c r="AD33" s="2468"/>
      <c r="AE33" s="2469"/>
      <c r="AF33" s="2345">
        <v>0</v>
      </c>
      <c r="AG33" s="2346">
        <v>0</v>
      </c>
    </row>
    <row r="34" spans="1:33" ht="12" customHeight="1" x14ac:dyDescent="0.3">
      <c r="A34" s="2354" t="s">
        <v>1760</v>
      </c>
      <c r="B34" s="2345">
        <v>0</v>
      </c>
      <c r="C34" s="2351">
        <v>0</v>
      </c>
      <c r="D34" s="2347">
        <v>0</v>
      </c>
      <c r="E34" s="2347">
        <v>0</v>
      </c>
      <c r="F34" s="2345">
        <v>0</v>
      </c>
      <c r="G34" s="2347">
        <v>0</v>
      </c>
      <c r="H34" s="2346">
        <v>0</v>
      </c>
      <c r="I34" s="2345">
        <v>56429.817999999999</v>
      </c>
      <c r="J34" s="2347">
        <v>0</v>
      </c>
      <c r="K34" s="2347">
        <v>0</v>
      </c>
      <c r="L34" s="2347">
        <v>0</v>
      </c>
      <c r="M34" s="2345">
        <v>44462.265322224528</v>
      </c>
      <c r="N34" s="2347">
        <v>0</v>
      </c>
      <c r="O34" s="2346">
        <v>6.1293030020589336</v>
      </c>
      <c r="P34" s="2345">
        <v>0</v>
      </c>
      <c r="Q34" s="2346">
        <v>0</v>
      </c>
      <c r="R34" s="2345">
        <v>0</v>
      </c>
      <c r="S34" s="2351">
        <v>0</v>
      </c>
      <c r="T34" s="2347">
        <v>0</v>
      </c>
      <c r="U34" s="2347">
        <v>0</v>
      </c>
      <c r="V34" s="2345">
        <v>0</v>
      </c>
      <c r="W34" s="2347">
        <v>0</v>
      </c>
      <c r="X34" s="2346">
        <v>0</v>
      </c>
      <c r="Y34" s="2345">
        <v>70252.328999999998</v>
      </c>
      <c r="Z34" s="2347">
        <v>0</v>
      </c>
      <c r="AA34" s="2347">
        <v>0</v>
      </c>
      <c r="AB34" s="2347">
        <v>0</v>
      </c>
      <c r="AC34" s="2345">
        <v>69057.840366799384</v>
      </c>
      <c r="AD34" s="2347">
        <v>0</v>
      </c>
      <c r="AE34" s="2346">
        <v>8.705852647752458</v>
      </c>
      <c r="AF34" s="2345">
        <v>0</v>
      </c>
      <c r="AG34" s="2346">
        <v>0</v>
      </c>
    </row>
    <row r="35" spans="1:33" ht="12" customHeight="1" x14ac:dyDescent="0.3">
      <c r="A35" s="2353" t="s">
        <v>3270</v>
      </c>
      <c r="B35" s="2345">
        <v>0</v>
      </c>
      <c r="C35" s="2351">
        <v>0</v>
      </c>
      <c r="D35" s="2347">
        <v>0</v>
      </c>
      <c r="E35" s="2347">
        <v>0</v>
      </c>
      <c r="F35" s="2345">
        <v>0</v>
      </c>
      <c r="G35" s="2347">
        <v>0</v>
      </c>
      <c r="H35" s="2346">
        <v>0</v>
      </c>
      <c r="I35" s="2345">
        <v>71703.422320000012</v>
      </c>
      <c r="J35" s="2347">
        <v>0</v>
      </c>
      <c r="K35" s="2347">
        <v>0</v>
      </c>
      <c r="L35" s="2347">
        <v>0</v>
      </c>
      <c r="M35" s="2345">
        <v>71703.422320000012</v>
      </c>
      <c r="N35" s="2347">
        <v>2.1928070292028416E-2</v>
      </c>
      <c r="O35" s="2346">
        <v>10.531166181161705</v>
      </c>
      <c r="P35" s="2345">
        <v>0</v>
      </c>
      <c r="Q35" s="2346">
        <v>0</v>
      </c>
      <c r="R35" s="2345">
        <v>0</v>
      </c>
      <c r="S35" s="2351">
        <v>0</v>
      </c>
      <c r="T35" s="2347">
        <v>0</v>
      </c>
      <c r="U35" s="2347">
        <v>0</v>
      </c>
      <c r="V35" s="2345">
        <v>0</v>
      </c>
      <c r="W35" s="2347">
        <v>0</v>
      </c>
      <c r="X35" s="2346">
        <v>0</v>
      </c>
      <c r="Y35" s="2345">
        <v>80991.550600000002</v>
      </c>
      <c r="Z35" s="2347">
        <v>0</v>
      </c>
      <c r="AA35" s="2347">
        <v>0</v>
      </c>
      <c r="AB35" s="2347">
        <v>0</v>
      </c>
      <c r="AC35" s="2345">
        <v>80991.550600000002</v>
      </c>
      <c r="AD35" s="2347">
        <v>1.4616628573768975E-2</v>
      </c>
      <c r="AE35" s="2346">
        <v>18.075709718624559</v>
      </c>
      <c r="AF35" s="2345">
        <v>0</v>
      </c>
      <c r="AG35" s="2346">
        <v>0</v>
      </c>
    </row>
    <row r="36" spans="1:33" ht="12" customHeight="1" x14ac:dyDescent="0.3">
      <c r="A36" s="2352" t="s">
        <v>3269</v>
      </c>
      <c r="B36" s="2345">
        <v>0</v>
      </c>
      <c r="C36" s="2351">
        <v>0</v>
      </c>
      <c r="D36" s="2347">
        <v>0</v>
      </c>
      <c r="E36" s="2347">
        <v>0</v>
      </c>
      <c r="F36" s="2345">
        <v>0</v>
      </c>
      <c r="G36" s="2347">
        <v>0</v>
      </c>
      <c r="H36" s="2346">
        <v>0</v>
      </c>
      <c r="I36" s="2345">
        <v>71703.422320000012</v>
      </c>
      <c r="J36" s="2347">
        <v>0</v>
      </c>
      <c r="K36" s="2347">
        <v>0</v>
      </c>
      <c r="L36" s="2347">
        <v>0</v>
      </c>
      <c r="M36" s="2345">
        <v>71703.422320000012</v>
      </c>
      <c r="N36" s="2347">
        <v>2.1928070292028416E-2</v>
      </c>
      <c r="O36" s="2346">
        <v>10.531166181161705</v>
      </c>
      <c r="P36" s="2345">
        <v>0</v>
      </c>
      <c r="Q36" s="2346">
        <v>0</v>
      </c>
      <c r="R36" s="2345">
        <v>0</v>
      </c>
      <c r="S36" s="2351">
        <v>0</v>
      </c>
      <c r="T36" s="2347">
        <v>0</v>
      </c>
      <c r="U36" s="2347">
        <v>0</v>
      </c>
      <c r="V36" s="2345">
        <v>0</v>
      </c>
      <c r="W36" s="2347">
        <v>0</v>
      </c>
      <c r="X36" s="2346">
        <v>0</v>
      </c>
      <c r="Y36" s="2345">
        <v>80991.550600000002</v>
      </c>
      <c r="Z36" s="2347">
        <v>0</v>
      </c>
      <c r="AA36" s="2347">
        <v>0</v>
      </c>
      <c r="AB36" s="2347">
        <v>0</v>
      </c>
      <c r="AC36" s="2345">
        <v>80991.550600000002</v>
      </c>
      <c r="AD36" s="2347">
        <v>1.4616628573768975E-2</v>
      </c>
      <c r="AE36" s="2346">
        <v>18.075709718624559</v>
      </c>
      <c r="AF36" s="2345">
        <v>0</v>
      </c>
      <c r="AG36" s="2346">
        <v>0</v>
      </c>
    </row>
    <row r="37" spans="1:33" s="2511" customFormat="1" ht="12" customHeight="1" x14ac:dyDescent="0.3">
      <c r="A37" s="2505"/>
      <c r="B37" s="2506"/>
      <c r="C37" s="2507"/>
      <c r="D37" s="2507"/>
      <c r="E37" s="2507"/>
      <c r="F37" s="2506"/>
      <c r="G37" s="2508"/>
      <c r="H37" s="2509"/>
      <c r="I37" s="2506"/>
      <c r="J37" s="2507"/>
      <c r="K37" s="2507"/>
      <c r="L37" s="2507"/>
      <c r="M37" s="2506"/>
      <c r="N37" s="2508"/>
      <c r="O37" s="2509"/>
      <c r="P37" s="2506"/>
      <c r="Q37" s="2506"/>
      <c r="R37" s="2506"/>
      <c r="S37" s="2508"/>
      <c r="T37" s="2507"/>
      <c r="U37" s="2507"/>
      <c r="V37" s="2506"/>
      <c r="W37" s="2508"/>
      <c r="X37" s="2509"/>
      <c r="Y37" s="2506"/>
      <c r="Z37" s="2510"/>
      <c r="AA37" s="2507"/>
      <c r="AB37" s="2507"/>
      <c r="AC37" s="2506"/>
      <c r="AD37" s="2508"/>
      <c r="AE37" s="2509"/>
      <c r="AF37" s="2506"/>
      <c r="AG37" s="2506"/>
    </row>
    <row r="38" spans="1:33" s="2511" customFormat="1" ht="12" customHeight="1" x14ac:dyDescent="0.3">
      <c r="A38" s="2505"/>
      <c r="B38" s="2506"/>
      <c r="C38" s="2507"/>
      <c r="D38" s="2507"/>
      <c r="E38" s="2507"/>
      <c r="F38" s="2506"/>
      <c r="G38" s="2508"/>
      <c r="H38" s="2509"/>
      <c r="I38" s="2506"/>
      <c r="J38" s="2507"/>
      <c r="K38" s="2507"/>
      <c r="L38" s="2507"/>
      <c r="M38" s="2506"/>
      <c r="N38" s="2508"/>
      <c r="O38" s="2509"/>
      <c r="P38" s="2506"/>
      <c r="Q38" s="2506"/>
      <c r="R38" s="2506"/>
      <c r="S38" s="2508"/>
      <c r="T38" s="2507"/>
      <c r="U38" s="2507"/>
      <c r="V38" s="2506"/>
      <c r="W38" s="2508"/>
      <c r="X38" s="2509"/>
      <c r="Y38" s="2506"/>
      <c r="Z38" s="2510"/>
      <c r="AA38" s="2507"/>
      <c r="AB38" s="2507"/>
      <c r="AC38" s="2506"/>
      <c r="AD38" s="2508"/>
      <c r="AE38" s="2509"/>
      <c r="AF38" s="2506"/>
      <c r="AG38" s="2506"/>
    </row>
    <row r="39" spans="1:33" ht="18.75" customHeight="1" x14ac:dyDescent="0.3">
      <c r="A39" s="2350" t="s">
        <v>3268</v>
      </c>
      <c r="B39" s="2471"/>
      <c r="C39" s="2465"/>
      <c r="D39" s="2465"/>
      <c r="E39" s="2465"/>
      <c r="F39" s="2471"/>
      <c r="G39" s="2468"/>
      <c r="H39" s="2472"/>
      <c r="I39" s="2471"/>
      <c r="J39" s="2465"/>
      <c r="K39" s="2465"/>
      <c r="L39" s="2465"/>
      <c r="M39" s="2471"/>
      <c r="N39" s="2468"/>
      <c r="O39" s="2472"/>
      <c r="P39" s="2467"/>
      <c r="Q39" s="2467"/>
      <c r="R39" s="2471"/>
      <c r="S39" s="2465"/>
      <c r="T39" s="2465"/>
      <c r="U39" s="2465"/>
      <c r="V39" s="2471"/>
      <c r="W39" s="2468"/>
      <c r="X39" s="2472"/>
      <c r="Y39" s="2471"/>
      <c r="Z39" s="2465"/>
      <c r="AA39" s="2465"/>
      <c r="AB39" s="2465"/>
      <c r="AC39" s="2471"/>
      <c r="AD39" s="2468"/>
      <c r="AE39" s="2472"/>
      <c r="AF39" s="2467"/>
      <c r="AG39" s="2467"/>
    </row>
    <row r="40" spans="1:33" ht="12" customHeight="1" x14ac:dyDescent="0.3">
      <c r="A40" s="2349" t="s">
        <v>3267</v>
      </c>
      <c r="B40" s="2498">
        <v>322026.683349</v>
      </c>
      <c r="C40" s="2465"/>
      <c r="D40" s="2465"/>
      <c r="E40" s="2465"/>
      <c r="F40" s="2498">
        <v>320197.88279581402</v>
      </c>
      <c r="G40" s="2347">
        <v>4.2748036160618633E-2</v>
      </c>
      <c r="H40" s="2499">
        <v>0.20332915947715927</v>
      </c>
      <c r="I40" s="2498">
        <v>10386781.591</v>
      </c>
      <c r="J40" s="2465"/>
      <c r="K40" s="2465"/>
      <c r="L40" s="2465"/>
      <c r="M40" s="2498">
        <v>9694761.4516236056</v>
      </c>
      <c r="N40" s="2347">
        <v>2.8636036557675527E-2</v>
      </c>
      <c r="O40" s="2499">
        <v>3.8326828893708194</v>
      </c>
      <c r="P40" s="2498">
        <v>2034900</v>
      </c>
      <c r="Q40" s="2498">
        <v>959.78971431896002</v>
      </c>
      <c r="R40" s="2498">
        <v>265884.64600000001</v>
      </c>
      <c r="S40" s="2465"/>
      <c r="T40" s="2465"/>
      <c r="U40" s="2465"/>
      <c r="V40" s="2498">
        <v>277451.73593830015</v>
      </c>
      <c r="W40" s="2347">
        <v>4.7965896218866442E-3</v>
      </c>
      <c r="X40" s="2499">
        <v>2.9343227009903194</v>
      </c>
      <c r="Y40" s="2498">
        <v>8919581.8220000006</v>
      </c>
      <c r="Z40" s="2465"/>
      <c r="AA40" s="2465"/>
      <c r="AB40" s="2465"/>
      <c r="AC40" s="2498">
        <v>9581334.8371238783</v>
      </c>
      <c r="AD40" s="2347">
        <v>-2.1106779338238109E-3</v>
      </c>
      <c r="AE40" s="2499">
        <v>4.5452469223125336</v>
      </c>
      <c r="AF40" s="2498">
        <v>1851900</v>
      </c>
      <c r="AG40" s="2498">
        <v>1014.9059522968021</v>
      </c>
    </row>
    <row r="41" spans="1:33" ht="12" customHeight="1" x14ac:dyDescent="0.3">
      <c r="A41" s="2349" t="s">
        <v>3266</v>
      </c>
      <c r="B41" s="2498">
        <v>0</v>
      </c>
      <c r="C41" s="2465"/>
      <c r="D41" s="2465"/>
      <c r="E41" s="2465"/>
      <c r="F41" s="2498">
        <v>0</v>
      </c>
      <c r="G41" s="2347">
        <v>0</v>
      </c>
      <c r="H41" s="2499">
        <v>0</v>
      </c>
      <c r="I41" s="2498">
        <v>0</v>
      </c>
      <c r="J41" s="2465"/>
      <c r="K41" s="2465"/>
      <c r="L41" s="2465"/>
      <c r="M41" s="2498">
        <v>0</v>
      </c>
      <c r="N41" s="2347">
        <v>0</v>
      </c>
      <c r="O41" s="2499">
        <v>0</v>
      </c>
      <c r="P41" s="2498"/>
      <c r="Q41" s="2498"/>
      <c r="R41" s="2498">
        <v>0</v>
      </c>
      <c r="S41" s="2465"/>
      <c r="T41" s="2465"/>
      <c r="U41" s="2465"/>
      <c r="V41" s="2498">
        <v>0</v>
      </c>
      <c r="W41" s="2347">
        <v>0</v>
      </c>
      <c r="X41" s="2499">
        <v>0</v>
      </c>
      <c r="Y41" s="2498">
        <v>0</v>
      </c>
      <c r="Z41" s="2465"/>
      <c r="AA41" s="2465"/>
      <c r="AB41" s="2465"/>
      <c r="AC41" s="2498">
        <v>0</v>
      </c>
      <c r="AD41" s="2347">
        <v>0</v>
      </c>
      <c r="AE41" s="2499">
        <v>0</v>
      </c>
      <c r="AF41" s="2498">
        <v>0</v>
      </c>
      <c r="AG41" s="2498">
        <v>0</v>
      </c>
    </row>
    <row r="42" spans="1:33" ht="12" customHeight="1" x14ac:dyDescent="0.3">
      <c r="A42" s="2349" t="s">
        <v>3265</v>
      </c>
      <c r="B42" s="2471"/>
      <c r="C42" s="2465"/>
      <c r="D42" s="2465"/>
      <c r="E42" s="2465"/>
      <c r="F42" s="2471"/>
      <c r="G42" s="2468"/>
      <c r="H42" s="2472"/>
      <c r="I42" s="2471"/>
      <c r="J42" s="2465"/>
      <c r="K42" s="2465"/>
      <c r="L42" s="2465"/>
      <c r="M42" s="2471"/>
      <c r="N42" s="2468"/>
      <c r="O42" s="2472"/>
      <c r="P42" s="2467"/>
      <c r="Q42" s="2467"/>
      <c r="R42" s="2471"/>
      <c r="S42" s="2465"/>
      <c r="T42" s="2465"/>
      <c r="U42" s="2465"/>
      <c r="V42" s="2471"/>
      <c r="W42" s="2468"/>
      <c r="X42" s="2472"/>
      <c r="Y42" s="2471"/>
      <c r="Z42" s="2465"/>
      <c r="AA42" s="2465"/>
      <c r="AB42" s="2465"/>
      <c r="AC42" s="2471"/>
      <c r="AD42" s="2468"/>
      <c r="AE42" s="2472"/>
      <c r="AF42" s="2467"/>
      <c r="AG42" s="2467"/>
    </row>
    <row r="43" spans="1:33" ht="12" customHeight="1" x14ac:dyDescent="0.3">
      <c r="A43" s="2348" t="s">
        <v>3260</v>
      </c>
      <c r="B43" s="2498">
        <v>8370450</v>
      </c>
      <c r="C43" s="2465"/>
      <c r="D43" s="2465"/>
      <c r="E43" s="2465"/>
      <c r="F43" s="2498">
        <v>8669542.5119785238</v>
      </c>
      <c r="G43" s="2347">
        <v>3.8965245508341136E-2</v>
      </c>
      <c r="H43" s="2499">
        <v>0.10882099636525862</v>
      </c>
      <c r="I43" s="2498">
        <v>0</v>
      </c>
      <c r="J43" s="2465"/>
      <c r="K43" s="2465"/>
      <c r="L43" s="2465"/>
      <c r="M43" s="2498">
        <v>0</v>
      </c>
      <c r="N43" s="2347">
        <v>0</v>
      </c>
      <c r="O43" s="2499">
        <v>0</v>
      </c>
      <c r="P43" s="2498">
        <v>2034900</v>
      </c>
      <c r="Q43" s="2498">
        <v>0</v>
      </c>
      <c r="R43" s="2498">
        <v>9093050</v>
      </c>
      <c r="S43" s="2465"/>
      <c r="T43" s="2465"/>
      <c r="U43" s="2465"/>
      <c r="V43" s="2498">
        <v>9381027.1618256606</v>
      </c>
      <c r="W43" s="2347">
        <v>3.1305257475049926E-2</v>
      </c>
      <c r="X43" s="2499">
        <v>0.12003771117932464</v>
      </c>
      <c r="Y43" s="2498">
        <v>0</v>
      </c>
      <c r="Z43" s="2465"/>
      <c r="AA43" s="2465"/>
      <c r="AB43" s="2465"/>
      <c r="AC43" s="2498">
        <v>0</v>
      </c>
      <c r="AD43" s="2347">
        <v>0</v>
      </c>
      <c r="AE43" s="2499">
        <v>0</v>
      </c>
      <c r="AF43" s="2498">
        <v>1851900</v>
      </c>
      <c r="AG43" s="2498">
        <v>0</v>
      </c>
    </row>
    <row r="44" spans="1:33" ht="12" customHeight="1" x14ac:dyDescent="0.3">
      <c r="A44" s="2348" t="s">
        <v>3259</v>
      </c>
      <c r="B44" s="2498">
        <v>0</v>
      </c>
      <c r="C44" s="2465"/>
      <c r="D44" s="2465"/>
      <c r="E44" s="2465"/>
      <c r="F44" s="2498">
        <v>0</v>
      </c>
      <c r="G44" s="2347">
        <v>0</v>
      </c>
      <c r="H44" s="2499">
        <v>0</v>
      </c>
      <c r="I44" s="2498">
        <v>8798750.0700000003</v>
      </c>
      <c r="J44" s="2465"/>
      <c r="K44" s="2465"/>
      <c r="L44" s="2465"/>
      <c r="M44" s="2498">
        <v>7826450.5031493409</v>
      </c>
      <c r="N44" s="2347">
        <v>4.2214908970246497E-2</v>
      </c>
      <c r="O44" s="2499">
        <v>4.3945798896600277</v>
      </c>
      <c r="P44" s="2498">
        <v>2034900</v>
      </c>
      <c r="Q44" s="2498">
        <v>-959.78503094919699</v>
      </c>
      <c r="R44" s="2498">
        <v>0</v>
      </c>
      <c r="S44" s="2465"/>
      <c r="T44" s="2465"/>
      <c r="U44" s="2465"/>
      <c r="V44" s="2498">
        <v>0</v>
      </c>
      <c r="W44" s="2347">
        <v>0</v>
      </c>
      <c r="X44" s="2499">
        <v>0</v>
      </c>
      <c r="Y44" s="2498">
        <v>9297035.6699999999</v>
      </c>
      <c r="Z44" s="2465"/>
      <c r="AA44" s="2465"/>
      <c r="AB44" s="2465"/>
      <c r="AC44" s="2498">
        <v>9400149.5049653761</v>
      </c>
      <c r="AD44" s="2347">
        <v>9.1367760661716403E-3</v>
      </c>
      <c r="AE44" s="2499">
        <v>4.4912419922615276</v>
      </c>
      <c r="AF44" s="2498">
        <v>1851900</v>
      </c>
      <c r="AG44" s="2498">
        <v>-1014.900999983</v>
      </c>
    </row>
    <row r="45" spans="1:33" ht="22.5" customHeight="1" x14ac:dyDescent="0.3">
      <c r="A45" s="2350" t="s">
        <v>3264</v>
      </c>
      <c r="B45" s="2471"/>
      <c r="C45" s="2465"/>
      <c r="D45" s="2465"/>
      <c r="E45" s="2465"/>
      <c r="F45" s="2471"/>
      <c r="G45" s="2468"/>
      <c r="H45" s="2472"/>
      <c r="I45" s="2471"/>
      <c r="J45" s="2465"/>
      <c r="K45" s="2465"/>
      <c r="L45" s="2465"/>
      <c r="M45" s="2471"/>
      <c r="N45" s="2468"/>
      <c r="O45" s="2472"/>
      <c r="P45" s="2467"/>
      <c r="Q45" s="2467"/>
      <c r="R45" s="2471"/>
      <c r="S45" s="2465"/>
      <c r="T45" s="2465"/>
      <c r="U45" s="2465"/>
      <c r="V45" s="2471"/>
      <c r="W45" s="2468"/>
      <c r="X45" s="2472"/>
      <c r="Y45" s="2471"/>
      <c r="Z45" s="2465"/>
      <c r="AA45" s="2465"/>
      <c r="AB45" s="2465"/>
      <c r="AC45" s="2471"/>
      <c r="AD45" s="2468"/>
      <c r="AE45" s="2472"/>
      <c r="AF45" s="2467"/>
      <c r="AG45" s="2467"/>
    </row>
    <row r="46" spans="1:33" ht="12" customHeight="1" x14ac:dyDescent="0.3">
      <c r="A46" s="2349" t="s">
        <v>3263</v>
      </c>
      <c r="B46" s="2498">
        <v>0</v>
      </c>
      <c r="C46" s="2465"/>
      <c r="D46" s="2465"/>
      <c r="E46" s="2465"/>
      <c r="F46" s="2498">
        <v>0</v>
      </c>
      <c r="G46" s="2498">
        <v>0</v>
      </c>
      <c r="H46" s="2498">
        <v>0</v>
      </c>
      <c r="I46" s="2498">
        <v>0</v>
      </c>
      <c r="J46" s="2465"/>
      <c r="K46" s="2465"/>
      <c r="L46" s="2465"/>
      <c r="M46" s="2498">
        <v>0</v>
      </c>
      <c r="N46" s="2347">
        <v>0</v>
      </c>
      <c r="O46" s="2499">
        <v>0</v>
      </c>
      <c r="P46" s="2498">
        <v>0</v>
      </c>
      <c r="Q46" s="2498">
        <v>0</v>
      </c>
      <c r="R46" s="2498">
        <v>0</v>
      </c>
      <c r="S46" s="2465"/>
      <c r="T46" s="2465"/>
      <c r="U46" s="2465"/>
      <c r="V46" s="2498">
        <v>0</v>
      </c>
      <c r="W46" s="2347">
        <v>0</v>
      </c>
      <c r="X46" s="2499">
        <v>0</v>
      </c>
      <c r="Y46" s="2498">
        <v>0</v>
      </c>
      <c r="Z46" s="2465"/>
      <c r="AA46" s="2465"/>
      <c r="AB46" s="2465"/>
      <c r="AC46" s="2498">
        <v>0</v>
      </c>
      <c r="AD46" s="2347">
        <v>0</v>
      </c>
      <c r="AE46" s="2499">
        <v>0</v>
      </c>
      <c r="AF46" s="2498">
        <v>0</v>
      </c>
      <c r="AG46" s="2498">
        <v>0</v>
      </c>
    </row>
    <row r="47" spans="1:33" ht="12" customHeight="1" x14ac:dyDescent="0.3">
      <c r="A47" s="2349" t="s">
        <v>3262</v>
      </c>
      <c r="B47" s="2498">
        <v>0</v>
      </c>
      <c r="C47" s="2465"/>
      <c r="D47" s="2465"/>
      <c r="E47" s="2465"/>
      <c r="F47" s="2498">
        <v>0</v>
      </c>
      <c r="G47" s="2498">
        <v>0</v>
      </c>
      <c r="H47" s="2498">
        <v>0</v>
      </c>
      <c r="I47" s="2498">
        <v>0</v>
      </c>
      <c r="J47" s="2465"/>
      <c r="K47" s="2465"/>
      <c r="L47" s="2465"/>
      <c r="M47" s="2498">
        <v>0</v>
      </c>
      <c r="N47" s="2347">
        <v>0</v>
      </c>
      <c r="O47" s="2499">
        <v>0</v>
      </c>
      <c r="P47" s="2498">
        <v>0</v>
      </c>
      <c r="Q47" s="2498">
        <v>0</v>
      </c>
      <c r="R47" s="2498">
        <v>0</v>
      </c>
      <c r="S47" s="2465"/>
      <c r="T47" s="2465"/>
      <c r="U47" s="2465"/>
      <c r="V47" s="2498">
        <v>0</v>
      </c>
      <c r="W47" s="2347">
        <v>0</v>
      </c>
      <c r="X47" s="2499">
        <v>0</v>
      </c>
      <c r="Y47" s="2498">
        <v>0</v>
      </c>
      <c r="Z47" s="2465"/>
      <c r="AA47" s="2465"/>
      <c r="AB47" s="2465"/>
      <c r="AC47" s="2498">
        <v>0</v>
      </c>
      <c r="AD47" s="2347">
        <v>0</v>
      </c>
      <c r="AE47" s="2499">
        <v>0</v>
      </c>
      <c r="AF47" s="2498">
        <v>0</v>
      </c>
      <c r="AG47" s="2498">
        <v>0</v>
      </c>
    </row>
    <row r="48" spans="1:33" ht="12" customHeight="1" x14ac:dyDescent="0.3">
      <c r="A48" s="2349" t="s">
        <v>3261</v>
      </c>
      <c r="B48" s="2471"/>
      <c r="C48" s="2465"/>
      <c r="D48" s="2465"/>
      <c r="E48" s="2465"/>
      <c r="F48" s="2471"/>
      <c r="G48" s="2468"/>
      <c r="H48" s="2472"/>
      <c r="I48" s="2471"/>
      <c r="J48" s="2465"/>
      <c r="K48" s="2465"/>
      <c r="L48" s="2465"/>
      <c r="M48" s="2471"/>
      <c r="N48" s="2468"/>
      <c r="O48" s="2472"/>
      <c r="P48" s="2467"/>
      <c r="Q48" s="2467"/>
      <c r="R48" s="2471"/>
      <c r="S48" s="2465"/>
      <c r="T48" s="2465"/>
      <c r="U48" s="2465"/>
      <c r="V48" s="2471"/>
      <c r="W48" s="2468"/>
      <c r="X48" s="2472"/>
      <c r="Y48" s="2471"/>
      <c r="Z48" s="2465"/>
      <c r="AA48" s="2465"/>
      <c r="AB48" s="2465"/>
      <c r="AC48" s="2471"/>
      <c r="AD48" s="2468"/>
      <c r="AE48" s="2472"/>
      <c r="AF48" s="2467"/>
      <c r="AG48" s="2467"/>
    </row>
    <row r="49" spans="1:33" ht="12" customHeight="1" x14ac:dyDescent="0.3">
      <c r="A49" s="2348" t="s">
        <v>3260</v>
      </c>
      <c r="B49" s="2498">
        <v>0</v>
      </c>
      <c r="C49" s="2465"/>
      <c r="D49" s="2465"/>
      <c r="E49" s="2465"/>
      <c r="F49" s="2498">
        <v>0</v>
      </c>
      <c r="G49" s="2498">
        <v>0</v>
      </c>
      <c r="H49" s="2498">
        <v>0</v>
      </c>
      <c r="I49" s="2498">
        <v>0</v>
      </c>
      <c r="J49" s="2465"/>
      <c r="K49" s="2465"/>
      <c r="L49" s="2465"/>
      <c r="M49" s="2498">
        <v>0</v>
      </c>
      <c r="N49" s="2347">
        <v>0</v>
      </c>
      <c r="O49" s="2499">
        <v>0</v>
      </c>
      <c r="P49" s="2498">
        <v>0</v>
      </c>
      <c r="Q49" s="2498">
        <v>0</v>
      </c>
      <c r="R49" s="2498">
        <v>0</v>
      </c>
      <c r="S49" s="2465"/>
      <c r="T49" s="2465"/>
      <c r="U49" s="2465"/>
      <c r="V49" s="2498">
        <v>0</v>
      </c>
      <c r="W49" s="2347">
        <v>0</v>
      </c>
      <c r="X49" s="2499">
        <v>0</v>
      </c>
      <c r="Y49" s="2498">
        <v>0</v>
      </c>
      <c r="Z49" s="2465"/>
      <c r="AA49" s="2465"/>
      <c r="AB49" s="2465"/>
      <c r="AC49" s="2498">
        <v>0</v>
      </c>
      <c r="AD49" s="2347">
        <v>0</v>
      </c>
      <c r="AE49" s="2499">
        <v>0</v>
      </c>
      <c r="AF49" s="2498">
        <v>0</v>
      </c>
      <c r="AG49" s="2498">
        <v>0</v>
      </c>
    </row>
    <row r="50" spans="1:33" ht="12" customHeight="1" x14ac:dyDescent="0.3">
      <c r="A50" s="2348" t="s">
        <v>3259</v>
      </c>
      <c r="B50" s="2498">
        <v>0</v>
      </c>
      <c r="C50" s="2465"/>
      <c r="D50" s="2465"/>
      <c r="E50" s="2465"/>
      <c r="F50" s="2498">
        <v>0</v>
      </c>
      <c r="G50" s="2498">
        <v>0</v>
      </c>
      <c r="H50" s="2498">
        <v>0</v>
      </c>
      <c r="I50" s="2498">
        <v>0</v>
      </c>
      <c r="J50" s="2465"/>
      <c r="K50" s="2465"/>
      <c r="L50" s="2465"/>
      <c r="M50" s="2498">
        <v>0</v>
      </c>
      <c r="N50" s="2347">
        <v>0</v>
      </c>
      <c r="O50" s="2499">
        <v>0</v>
      </c>
      <c r="P50" s="2498">
        <v>0</v>
      </c>
      <c r="Q50" s="2498">
        <v>0</v>
      </c>
      <c r="R50" s="2498">
        <v>0</v>
      </c>
      <c r="S50" s="2465"/>
      <c r="T50" s="2465"/>
      <c r="U50" s="2465"/>
      <c r="V50" s="2498">
        <v>0</v>
      </c>
      <c r="W50" s="2347">
        <v>0</v>
      </c>
      <c r="X50" s="2499">
        <v>0</v>
      </c>
      <c r="Y50" s="2498">
        <v>0</v>
      </c>
      <c r="Z50" s="2465"/>
      <c r="AA50" s="2465"/>
      <c r="AB50" s="2465"/>
      <c r="AC50" s="2498">
        <v>0</v>
      </c>
      <c r="AD50" s="2347">
        <v>0</v>
      </c>
      <c r="AE50" s="2499">
        <v>0</v>
      </c>
      <c r="AF50" s="2498">
        <v>0</v>
      </c>
      <c r="AG50" s="2498">
        <v>0</v>
      </c>
    </row>
  </sheetData>
  <sheetProtection algorithmName="SHA-512" hashValue="F2395pyClzFl9RuHNSmu7mM+lKvMmtxgYoRJvPPmZlvFRzyrAtbJDGoaobV+RTrqebAUJEjWBHKCzfC+xIYOOg==" saltValue="yOPW1O49icyq0A8sHoP4qw==" spinCount="100000" sheet="1" objects="1" scenarios="1"/>
  <mergeCells count="36">
    <mergeCell ref="B6:B7"/>
    <mergeCell ref="P6:P7"/>
    <mergeCell ref="Q6:Q7"/>
    <mergeCell ref="R6:R7"/>
    <mergeCell ref="B3:Q3"/>
    <mergeCell ref="R3:AG3"/>
    <mergeCell ref="B4:H5"/>
    <mergeCell ref="I4:O5"/>
    <mergeCell ref="P4:Q5"/>
    <mergeCell ref="R4:X5"/>
    <mergeCell ref="Y4:AE5"/>
    <mergeCell ref="AF4:AG5"/>
    <mergeCell ref="C6:C7"/>
    <mergeCell ref="D6:E6"/>
    <mergeCell ref="F6:F7"/>
    <mergeCell ref="G6:G7"/>
    <mergeCell ref="I6:I7"/>
    <mergeCell ref="H6:H7"/>
    <mergeCell ref="T6:U6"/>
    <mergeCell ref="AE6:AE7"/>
    <mergeCell ref="AF6:AF7"/>
    <mergeCell ref="AD6:AD7"/>
    <mergeCell ref="S6:S7"/>
    <mergeCell ref="J6:J7"/>
    <mergeCell ref="K6:L6"/>
    <mergeCell ref="M6:M7"/>
    <mergeCell ref="N6:N7"/>
    <mergeCell ref="O6:O7"/>
    <mergeCell ref="V6:V7"/>
    <mergeCell ref="AG6:AG7"/>
    <mergeCell ref="W6:W7"/>
    <mergeCell ref="X6:X7"/>
    <mergeCell ref="Y6:Y7"/>
    <mergeCell ref="Z6:Z7"/>
    <mergeCell ref="AA6:AB6"/>
    <mergeCell ref="AC6:AC7"/>
  </mergeCells>
  <conditionalFormatting sqref="B8">
    <cfRule type="cellIs" dxfId="892" priority="92" stopIfTrue="1" operator="lessThan">
      <formula>0</formula>
    </cfRule>
  </conditionalFormatting>
  <conditionalFormatting sqref="G8:H8 C8:E8">
    <cfRule type="cellIs" dxfId="891" priority="91" stopIfTrue="1" operator="lessThan">
      <formula>0</formula>
    </cfRule>
  </conditionalFormatting>
  <conditionalFormatting sqref="B39">
    <cfRule type="cellIs" dxfId="890" priority="90" stopIfTrue="1" operator="lessThan">
      <formula>0</formula>
    </cfRule>
  </conditionalFormatting>
  <conditionalFormatting sqref="G39:H39">
    <cfRule type="cellIs" dxfId="889" priority="89" stopIfTrue="1" operator="lessThan">
      <formula>0</formula>
    </cfRule>
  </conditionalFormatting>
  <conditionalFormatting sqref="F39">
    <cfRule type="cellIs" dxfId="888" priority="88" stopIfTrue="1" operator="lessThan">
      <formula>0</formula>
    </cfRule>
  </conditionalFormatting>
  <conditionalFormatting sqref="B42">
    <cfRule type="cellIs" dxfId="887" priority="87" stopIfTrue="1" operator="lessThan">
      <formula>0</formula>
    </cfRule>
  </conditionalFormatting>
  <conditionalFormatting sqref="F42">
    <cfRule type="cellIs" dxfId="886" priority="86" stopIfTrue="1" operator="lessThan">
      <formula>0</formula>
    </cfRule>
  </conditionalFormatting>
  <conditionalFormatting sqref="H42">
    <cfRule type="cellIs" dxfId="885" priority="85" stopIfTrue="1" operator="lessThan">
      <formula>0</formula>
    </cfRule>
  </conditionalFormatting>
  <conditionalFormatting sqref="F8">
    <cfRule type="cellIs" dxfId="884" priority="84" stopIfTrue="1" operator="lessThan">
      <formula>0</formula>
    </cfRule>
  </conditionalFormatting>
  <conditionalFormatting sqref="I8">
    <cfRule type="cellIs" dxfId="883" priority="83" stopIfTrue="1" operator="lessThan">
      <formula>0</formula>
    </cfRule>
  </conditionalFormatting>
  <conditionalFormatting sqref="K8">
    <cfRule type="cellIs" dxfId="882" priority="82" stopIfTrue="1" operator="lessThan">
      <formula>0</formula>
    </cfRule>
  </conditionalFormatting>
  <conditionalFormatting sqref="L8">
    <cfRule type="cellIs" dxfId="881" priority="81" stopIfTrue="1" operator="lessThan">
      <formula>0</formula>
    </cfRule>
  </conditionalFormatting>
  <conditionalFormatting sqref="N8:O8">
    <cfRule type="cellIs" dxfId="880" priority="80" stopIfTrue="1" operator="lessThan">
      <formula>0</formula>
    </cfRule>
  </conditionalFormatting>
  <conditionalFormatting sqref="M8">
    <cfRule type="cellIs" dxfId="879" priority="79" stopIfTrue="1" operator="lessThan">
      <formula>0</formula>
    </cfRule>
  </conditionalFormatting>
  <conditionalFormatting sqref="P8">
    <cfRule type="cellIs" dxfId="878" priority="78" stopIfTrue="1" operator="lessThan">
      <formula>0</formula>
    </cfRule>
  </conditionalFormatting>
  <conditionalFormatting sqref="B19">
    <cfRule type="cellIs" dxfId="877" priority="77" stopIfTrue="1" operator="lessThan">
      <formula>0</formula>
    </cfRule>
  </conditionalFormatting>
  <conditionalFormatting sqref="C19:E19 G19">
    <cfRule type="cellIs" dxfId="876" priority="76" stopIfTrue="1" operator="lessThan">
      <formula>0</formula>
    </cfRule>
  </conditionalFormatting>
  <conditionalFormatting sqref="F19">
    <cfRule type="cellIs" dxfId="875" priority="75" stopIfTrue="1" operator="lessThan">
      <formula>0</formula>
    </cfRule>
  </conditionalFormatting>
  <conditionalFormatting sqref="H19">
    <cfRule type="cellIs" dxfId="874" priority="74" stopIfTrue="1" operator="lessThan">
      <formula>0</formula>
    </cfRule>
  </conditionalFormatting>
  <conditionalFormatting sqref="J8">
    <cfRule type="cellIs" dxfId="873" priority="73" stopIfTrue="1" operator="lessThan">
      <formula>0</formula>
    </cfRule>
  </conditionalFormatting>
  <conditionalFormatting sqref="R8">
    <cfRule type="cellIs" dxfId="872" priority="72" stopIfTrue="1" operator="lessThan">
      <formula>0</formula>
    </cfRule>
  </conditionalFormatting>
  <conditionalFormatting sqref="W8:X8 S8:U8">
    <cfRule type="cellIs" dxfId="871" priority="71" stopIfTrue="1" operator="lessThan">
      <formula>0</formula>
    </cfRule>
  </conditionalFormatting>
  <conditionalFormatting sqref="V8">
    <cfRule type="cellIs" dxfId="870" priority="70" stopIfTrue="1" operator="lessThan">
      <formula>0</formula>
    </cfRule>
  </conditionalFormatting>
  <conditionalFormatting sqref="Y8">
    <cfRule type="cellIs" dxfId="869" priority="69" stopIfTrue="1" operator="lessThan">
      <formula>0</formula>
    </cfRule>
  </conditionalFormatting>
  <conditionalFormatting sqref="AA8">
    <cfRule type="cellIs" dxfId="868" priority="68" stopIfTrue="1" operator="lessThan">
      <formula>0</formula>
    </cfRule>
  </conditionalFormatting>
  <conditionalFormatting sqref="AB8">
    <cfRule type="cellIs" dxfId="867" priority="67" stopIfTrue="1" operator="lessThan">
      <formula>0</formula>
    </cfRule>
  </conditionalFormatting>
  <conditionalFormatting sqref="AD8:AE8">
    <cfRule type="cellIs" dxfId="866" priority="66" stopIfTrue="1" operator="lessThan">
      <formula>0</formula>
    </cfRule>
  </conditionalFormatting>
  <conditionalFormatting sqref="AC8">
    <cfRule type="cellIs" dxfId="865" priority="65" stopIfTrue="1" operator="lessThan">
      <formula>0</formula>
    </cfRule>
  </conditionalFormatting>
  <conditionalFormatting sqref="Z8">
    <cfRule type="cellIs" dxfId="864" priority="64" stopIfTrue="1" operator="lessThan">
      <formula>0</formula>
    </cfRule>
  </conditionalFormatting>
  <conditionalFormatting sqref="I19">
    <cfRule type="cellIs" dxfId="863" priority="63" stopIfTrue="1" operator="lessThan">
      <formula>0</formula>
    </cfRule>
  </conditionalFormatting>
  <conditionalFormatting sqref="J19:L19">
    <cfRule type="cellIs" dxfId="862" priority="62" stopIfTrue="1" operator="lessThan">
      <formula>0</formula>
    </cfRule>
  </conditionalFormatting>
  <conditionalFormatting sqref="M19">
    <cfRule type="cellIs" dxfId="861" priority="61" stopIfTrue="1" operator="lessThan">
      <formula>0</formula>
    </cfRule>
  </conditionalFormatting>
  <conditionalFormatting sqref="O19">
    <cfRule type="cellIs" dxfId="860" priority="60" stopIfTrue="1" operator="lessThan">
      <formula>0</formula>
    </cfRule>
  </conditionalFormatting>
  <conditionalFormatting sqref="N19">
    <cfRule type="cellIs" dxfId="859" priority="59" stopIfTrue="1" operator="lessThan">
      <formula>0</formula>
    </cfRule>
  </conditionalFormatting>
  <conditionalFormatting sqref="P19">
    <cfRule type="cellIs" dxfId="858" priority="58" stopIfTrue="1" operator="lessThan">
      <formula>0</formula>
    </cfRule>
  </conditionalFormatting>
  <conditionalFormatting sqref="Q19">
    <cfRule type="cellIs" dxfId="857" priority="57" stopIfTrue="1" operator="lessThan">
      <formula>0</formula>
    </cfRule>
  </conditionalFormatting>
  <conditionalFormatting sqref="Q8">
    <cfRule type="cellIs" dxfId="856" priority="56" stopIfTrue="1" operator="lessThan">
      <formula>0</formula>
    </cfRule>
  </conditionalFormatting>
  <conditionalFormatting sqref="AF8">
    <cfRule type="cellIs" dxfId="855" priority="55" stopIfTrue="1" operator="lessThan">
      <formula>0</formula>
    </cfRule>
  </conditionalFormatting>
  <conditionalFormatting sqref="AG8">
    <cfRule type="cellIs" dxfId="854" priority="54" stopIfTrue="1" operator="lessThan">
      <formula>0</formula>
    </cfRule>
  </conditionalFormatting>
  <conditionalFormatting sqref="R19">
    <cfRule type="cellIs" dxfId="853" priority="53" stopIfTrue="1" operator="lessThan">
      <formula>0</formula>
    </cfRule>
  </conditionalFormatting>
  <conditionalFormatting sqref="S19:U19 W19">
    <cfRule type="cellIs" dxfId="852" priority="52" stopIfTrue="1" operator="lessThan">
      <formula>0</formula>
    </cfRule>
  </conditionalFormatting>
  <conditionalFormatting sqref="V19">
    <cfRule type="cellIs" dxfId="851" priority="51" stopIfTrue="1" operator="lessThan">
      <formula>0</formula>
    </cfRule>
  </conditionalFormatting>
  <conditionalFormatting sqref="X19">
    <cfRule type="cellIs" dxfId="850" priority="50" stopIfTrue="1" operator="lessThan">
      <formula>0</formula>
    </cfRule>
  </conditionalFormatting>
  <conditionalFormatting sqref="Y19">
    <cfRule type="cellIs" dxfId="849" priority="49" stopIfTrue="1" operator="lessThan">
      <formula>0</formula>
    </cfRule>
  </conditionalFormatting>
  <conditionalFormatting sqref="Z19:AB19">
    <cfRule type="cellIs" dxfId="848" priority="48" stopIfTrue="1" operator="lessThan">
      <formula>0</formula>
    </cfRule>
  </conditionalFormatting>
  <conditionalFormatting sqref="AC19">
    <cfRule type="cellIs" dxfId="847" priority="47" stopIfTrue="1" operator="lessThan">
      <formula>0</formula>
    </cfRule>
  </conditionalFormatting>
  <conditionalFormatting sqref="AE19">
    <cfRule type="cellIs" dxfId="846" priority="46" stopIfTrue="1" operator="lessThan">
      <formula>0</formula>
    </cfRule>
  </conditionalFormatting>
  <conditionalFormatting sqref="AD19">
    <cfRule type="cellIs" dxfId="845" priority="45" stopIfTrue="1" operator="lessThan">
      <formula>0</formula>
    </cfRule>
  </conditionalFormatting>
  <conditionalFormatting sqref="AF19">
    <cfRule type="cellIs" dxfId="844" priority="44" stopIfTrue="1" operator="lessThan">
      <formula>0</formula>
    </cfRule>
  </conditionalFormatting>
  <conditionalFormatting sqref="AG19">
    <cfRule type="cellIs" dxfId="843" priority="43" stopIfTrue="1" operator="lessThan">
      <formula>0</formula>
    </cfRule>
  </conditionalFormatting>
  <conditionalFormatting sqref="I39">
    <cfRule type="cellIs" dxfId="842" priority="42" stopIfTrue="1" operator="lessThan">
      <formula>0</formula>
    </cfRule>
  </conditionalFormatting>
  <conditionalFormatting sqref="N39:O39">
    <cfRule type="cellIs" dxfId="841" priority="41" stopIfTrue="1" operator="lessThan">
      <formula>0</formula>
    </cfRule>
  </conditionalFormatting>
  <conditionalFormatting sqref="M39">
    <cfRule type="cellIs" dxfId="840" priority="40" stopIfTrue="1" operator="lessThan">
      <formula>0</formula>
    </cfRule>
  </conditionalFormatting>
  <conditionalFormatting sqref="I42">
    <cfRule type="cellIs" dxfId="839" priority="39" stopIfTrue="1" operator="lessThan">
      <formula>0</formula>
    </cfRule>
  </conditionalFormatting>
  <conditionalFormatting sqref="M42">
    <cfRule type="cellIs" dxfId="838" priority="38" stopIfTrue="1" operator="lessThan">
      <formula>0</formula>
    </cfRule>
  </conditionalFormatting>
  <conditionalFormatting sqref="O42">
    <cfRule type="cellIs" dxfId="837" priority="37" stopIfTrue="1" operator="lessThan">
      <formula>0</formula>
    </cfRule>
  </conditionalFormatting>
  <conditionalFormatting sqref="B45">
    <cfRule type="cellIs" dxfId="836" priority="36" stopIfTrue="1" operator="lessThan">
      <formula>0</formula>
    </cfRule>
  </conditionalFormatting>
  <conditionalFormatting sqref="G45:H45">
    <cfRule type="cellIs" dxfId="835" priority="35" stopIfTrue="1" operator="lessThan">
      <formula>0</formula>
    </cfRule>
  </conditionalFormatting>
  <conditionalFormatting sqref="F45">
    <cfRule type="cellIs" dxfId="834" priority="34" stopIfTrue="1" operator="lessThan">
      <formula>0</formula>
    </cfRule>
  </conditionalFormatting>
  <conditionalFormatting sqref="B48">
    <cfRule type="cellIs" dxfId="833" priority="33" stopIfTrue="1" operator="lessThan">
      <formula>0</formula>
    </cfRule>
  </conditionalFormatting>
  <conditionalFormatting sqref="F48">
    <cfRule type="cellIs" dxfId="832" priority="32" stopIfTrue="1" operator="lessThan">
      <formula>0</formula>
    </cfRule>
  </conditionalFormatting>
  <conditionalFormatting sqref="H48">
    <cfRule type="cellIs" dxfId="831" priority="31" stopIfTrue="1" operator="lessThan">
      <formula>0</formula>
    </cfRule>
  </conditionalFormatting>
  <conditionalFormatting sqref="I45">
    <cfRule type="cellIs" dxfId="830" priority="30" stopIfTrue="1" operator="lessThan">
      <formula>0</formula>
    </cfRule>
  </conditionalFormatting>
  <conditionalFormatting sqref="N45:O45">
    <cfRule type="cellIs" dxfId="829" priority="29" stopIfTrue="1" operator="lessThan">
      <formula>0</formula>
    </cfRule>
  </conditionalFormatting>
  <conditionalFormatting sqref="M45">
    <cfRule type="cellIs" dxfId="828" priority="28" stopIfTrue="1" operator="lessThan">
      <formula>0</formula>
    </cfRule>
  </conditionalFormatting>
  <conditionalFormatting sqref="I48">
    <cfRule type="cellIs" dxfId="827" priority="27" stopIfTrue="1" operator="lessThan">
      <formula>0</formula>
    </cfRule>
  </conditionalFormatting>
  <conditionalFormatting sqref="M48">
    <cfRule type="cellIs" dxfId="826" priority="26" stopIfTrue="1" operator="lessThan">
      <formula>0</formula>
    </cfRule>
  </conditionalFormatting>
  <conditionalFormatting sqref="O48">
    <cfRule type="cellIs" dxfId="825" priority="25" stopIfTrue="1" operator="lessThan">
      <formula>0</formula>
    </cfRule>
  </conditionalFormatting>
  <conditionalFormatting sqref="R39">
    <cfRule type="cellIs" dxfId="824" priority="24" stopIfTrue="1" operator="lessThan">
      <formula>0</formula>
    </cfRule>
  </conditionalFormatting>
  <conditionalFormatting sqref="W39:X39">
    <cfRule type="cellIs" dxfId="823" priority="23" stopIfTrue="1" operator="lessThan">
      <formula>0</formula>
    </cfRule>
  </conditionalFormatting>
  <conditionalFormatting sqref="V39">
    <cfRule type="cellIs" dxfId="822" priority="22" stopIfTrue="1" operator="lessThan">
      <formula>0</formula>
    </cfRule>
  </conditionalFormatting>
  <conditionalFormatting sqref="R42">
    <cfRule type="cellIs" dxfId="821" priority="21" stopIfTrue="1" operator="lessThan">
      <formula>0</formula>
    </cfRule>
  </conditionalFormatting>
  <conditionalFormatting sqref="V42">
    <cfRule type="cellIs" dxfId="820" priority="20" stopIfTrue="1" operator="lessThan">
      <formula>0</formula>
    </cfRule>
  </conditionalFormatting>
  <conditionalFormatting sqref="X42">
    <cfRule type="cellIs" dxfId="819" priority="19" stopIfTrue="1" operator="lessThan">
      <formula>0</formula>
    </cfRule>
  </conditionalFormatting>
  <conditionalFormatting sqref="Y39">
    <cfRule type="cellIs" dxfId="818" priority="18" stopIfTrue="1" operator="lessThan">
      <formula>0</formula>
    </cfRule>
  </conditionalFormatting>
  <conditionalFormatting sqref="AD39:AE39">
    <cfRule type="cellIs" dxfId="817" priority="17" stopIfTrue="1" operator="lessThan">
      <formula>0</formula>
    </cfRule>
  </conditionalFormatting>
  <conditionalFormatting sqref="AC39">
    <cfRule type="cellIs" dxfId="816" priority="16" stopIfTrue="1" operator="lessThan">
      <formula>0</formula>
    </cfRule>
  </conditionalFormatting>
  <conditionalFormatting sqref="Y42">
    <cfRule type="cellIs" dxfId="815" priority="15" stopIfTrue="1" operator="lessThan">
      <formula>0</formula>
    </cfRule>
  </conditionalFormatting>
  <conditionalFormatting sqref="AC42">
    <cfRule type="cellIs" dxfId="814" priority="14" stopIfTrue="1" operator="lessThan">
      <formula>0</formula>
    </cfRule>
  </conditionalFormatting>
  <conditionalFormatting sqref="AE42">
    <cfRule type="cellIs" dxfId="813" priority="13" stopIfTrue="1" operator="lessThan">
      <formula>0</formula>
    </cfRule>
  </conditionalFormatting>
  <conditionalFormatting sqref="R45">
    <cfRule type="cellIs" dxfId="812" priority="12" stopIfTrue="1" operator="lessThan">
      <formula>0</formula>
    </cfRule>
  </conditionalFormatting>
  <conditionalFormatting sqref="W45:X45">
    <cfRule type="cellIs" dxfId="811" priority="11" stopIfTrue="1" operator="lessThan">
      <formula>0</formula>
    </cfRule>
  </conditionalFormatting>
  <conditionalFormatting sqref="V45">
    <cfRule type="cellIs" dxfId="810" priority="10" stopIfTrue="1" operator="lessThan">
      <formula>0</formula>
    </cfRule>
  </conditionalFormatting>
  <conditionalFormatting sqref="R48">
    <cfRule type="cellIs" dxfId="809" priority="9" stopIfTrue="1" operator="lessThan">
      <formula>0</formula>
    </cfRule>
  </conditionalFormatting>
  <conditionalFormatting sqref="V48">
    <cfRule type="cellIs" dxfId="808" priority="8" stopIfTrue="1" operator="lessThan">
      <formula>0</formula>
    </cfRule>
  </conditionalFormatting>
  <conditionalFormatting sqref="X48">
    <cfRule type="cellIs" dxfId="807" priority="7" stopIfTrue="1" operator="lessThan">
      <formula>0</formula>
    </cfRule>
  </conditionalFormatting>
  <conditionalFormatting sqref="Y45">
    <cfRule type="cellIs" dxfId="806" priority="6" stopIfTrue="1" operator="lessThan">
      <formula>0</formula>
    </cfRule>
  </conditionalFormatting>
  <conditionalFormatting sqref="AD45:AE45">
    <cfRule type="cellIs" dxfId="805" priority="5" stopIfTrue="1" operator="lessThan">
      <formula>0</formula>
    </cfRule>
  </conditionalFormatting>
  <conditionalFormatting sqref="AC45">
    <cfRule type="cellIs" dxfId="804" priority="4" stopIfTrue="1" operator="lessThan">
      <formula>0</formula>
    </cfRule>
  </conditionalFormatting>
  <conditionalFormatting sqref="Y48">
    <cfRule type="cellIs" dxfId="803" priority="3" stopIfTrue="1" operator="lessThan">
      <formula>0</formula>
    </cfRule>
  </conditionalFormatting>
  <conditionalFormatting sqref="AC48">
    <cfRule type="cellIs" dxfId="802" priority="2" stopIfTrue="1" operator="lessThan">
      <formula>0</formula>
    </cfRule>
  </conditionalFormatting>
  <conditionalFormatting sqref="AE48">
    <cfRule type="cellIs" dxfId="801" priority="1" stopIfTrue="1" operator="lessThan">
      <formula>0</formula>
    </cfRule>
  </conditionalFormatting>
  <pageMargins left="0.7" right="0.7" top="0.75" bottom="0.75" header="0.3" footer="0.3"/>
  <pageSetup paperSize="9" orientation="portrait" r:id="rId1"/>
  <headerFooter>
    <oddHeader>&amp;L&amp;"Calibri"&amp;12&amp;K000000 EBA Regular Use&amp;1#_x000D_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E55"/>
  <sheetViews>
    <sheetView showGridLines="0" topLeftCell="A4" zoomScale="70" zoomScaleNormal="70" workbookViewId="0">
      <selection activeCell="AX38" sqref="AX38"/>
    </sheetView>
  </sheetViews>
  <sheetFormatPr defaultColWidth="10.88671875" defaultRowHeight="14.4" x14ac:dyDescent="0.3"/>
  <cols>
    <col min="1" max="1" width="113.88671875" style="2339" customWidth="1"/>
    <col min="2" max="2" width="13.109375" style="2340" customWidth="1"/>
    <col min="3" max="3" width="11.88671875" style="2340" bestFit="1" customWidth="1"/>
    <col min="4" max="6" width="10.88671875" style="2340"/>
    <col min="7" max="7" width="12" style="2340" customWidth="1"/>
    <col min="8" max="11" width="10.88671875" style="2340"/>
    <col min="12" max="12" width="11.88671875" style="2340" customWidth="1"/>
    <col min="13" max="13" width="9.88671875" style="2340" customWidth="1"/>
    <col min="14" max="57" width="10.88671875" style="2340"/>
    <col min="58" max="16384" width="10.88671875" style="2339"/>
  </cols>
  <sheetData>
    <row r="1" spans="1:57" x14ac:dyDescent="0.3">
      <c r="A1" s="2387" t="s">
        <v>3348</v>
      </c>
      <c r="E1" s="2340">
        <f>+E8-E18</f>
        <v>-836690.49869038537</v>
      </c>
      <c r="F1" s="2340">
        <f>+F8-F18</f>
        <v>-841495.40355123021</v>
      </c>
      <c r="H1" s="2385"/>
      <c r="I1" s="2386"/>
      <c r="J1" s="2385"/>
      <c r="K1" s="2385"/>
    </row>
    <row r="2" spans="1:57" x14ac:dyDescent="0.3">
      <c r="A2" s="2339" t="s">
        <v>3347</v>
      </c>
    </row>
    <row r="3" spans="1:57" ht="15" customHeight="1" x14ac:dyDescent="0.3">
      <c r="A3" s="2366" t="s">
        <v>3346</v>
      </c>
      <c r="B3" s="2340" t="s">
        <v>3314</v>
      </c>
    </row>
    <row r="4" spans="1:57" x14ac:dyDescent="0.3">
      <c r="A4" s="2364"/>
      <c r="B4" s="3302" t="s">
        <v>3345</v>
      </c>
      <c r="C4" s="3302"/>
      <c r="D4" s="3302"/>
      <c r="E4" s="3302"/>
      <c r="F4" s="3302"/>
      <c r="G4" s="3302"/>
      <c r="H4" s="3302"/>
      <c r="I4" s="3302"/>
      <c r="J4" s="3302"/>
      <c r="K4" s="3302"/>
      <c r="L4" s="3302"/>
      <c r="M4" s="3302"/>
      <c r="N4" s="3302"/>
      <c r="O4" s="3302"/>
      <c r="P4" s="3302"/>
      <c r="Q4" s="3302"/>
      <c r="R4" s="3302"/>
      <c r="S4" s="3302"/>
      <c r="T4" s="3302"/>
      <c r="U4" s="3302"/>
      <c r="V4" s="3302"/>
      <c r="W4" s="3302"/>
      <c r="X4" s="3302"/>
      <c r="Y4" s="3302"/>
      <c r="Z4" s="3302"/>
      <c r="AA4" s="3302"/>
      <c r="AB4" s="3302"/>
      <c r="AC4" s="3302"/>
      <c r="AD4" s="3303" t="s">
        <v>3344</v>
      </c>
      <c r="AE4" s="3303"/>
      <c r="AF4" s="3303"/>
      <c r="AG4" s="3303"/>
      <c r="AH4" s="3303"/>
      <c r="AI4" s="3303"/>
      <c r="AJ4" s="3303"/>
      <c r="AK4" s="3303"/>
      <c r="AL4" s="3303"/>
      <c r="AM4" s="3303"/>
      <c r="AN4" s="3303"/>
      <c r="AO4" s="3303"/>
      <c r="AP4" s="3303"/>
      <c r="AQ4" s="3303"/>
      <c r="AR4" s="3303"/>
      <c r="AS4" s="3303"/>
      <c r="AT4" s="3303"/>
      <c r="AU4" s="3303"/>
      <c r="AV4" s="3303"/>
      <c r="AW4" s="3303"/>
      <c r="AX4" s="3303"/>
      <c r="AY4" s="3303"/>
      <c r="AZ4" s="3303"/>
      <c r="BA4" s="3303"/>
      <c r="BB4" s="3303"/>
      <c r="BC4" s="3303"/>
      <c r="BD4" s="3303"/>
      <c r="BE4" s="3303"/>
    </row>
    <row r="5" spans="1:57" ht="37.5" customHeight="1" x14ac:dyDescent="0.3">
      <c r="A5" s="2364"/>
      <c r="B5" s="3304" t="s">
        <v>3331</v>
      </c>
      <c r="C5" s="3305"/>
      <c r="D5" s="3305"/>
      <c r="E5" s="3305"/>
      <c r="F5" s="3305"/>
      <c r="G5" s="3305"/>
      <c r="H5" s="3305"/>
      <c r="I5" s="3305"/>
      <c r="J5" s="3264"/>
      <c r="K5" s="3264"/>
      <c r="L5" s="3264"/>
      <c r="M5" s="3264"/>
      <c r="N5" s="3306" t="s">
        <v>3330</v>
      </c>
      <c r="O5" s="3307"/>
      <c r="P5" s="3307"/>
      <c r="Q5" s="3307"/>
      <c r="R5" s="3307"/>
      <c r="S5" s="3307"/>
      <c r="T5" s="3307"/>
      <c r="U5" s="3308"/>
      <c r="V5" s="3309" t="s">
        <v>3343</v>
      </c>
      <c r="W5" s="3310"/>
      <c r="X5" s="3310"/>
      <c r="Y5" s="3310"/>
      <c r="Z5" s="3310"/>
      <c r="AA5" s="3310"/>
      <c r="AB5" s="3310"/>
      <c r="AC5" s="3311"/>
      <c r="AD5" s="3312" t="s">
        <v>3331</v>
      </c>
      <c r="AE5" s="3313"/>
      <c r="AF5" s="3313"/>
      <c r="AG5" s="3313"/>
      <c r="AH5" s="3313"/>
      <c r="AI5" s="3313"/>
      <c r="AJ5" s="3313"/>
      <c r="AK5" s="3313"/>
      <c r="AL5" s="3307"/>
      <c r="AM5" s="3307"/>
      <c r="AN5" s="3307"/>
      <c r="AO5" s="3307"/>
      <c r="AP5" s="3306" t="s">
        <v>3330</v>
      </c>
      <c r="AQ5" s="3307"/>
      <c r="AR5" s="3307"/>
      <c r="AS5" s="3307"/>
      <c r="AT5" s="3307"/>
      <c r="AU5" s="3307"/>
      <c r="AV5" s="3307"/>
      <c r="AW5" s="3308"/>
      <c r="AX5" s="3306" t="s">
        <v>3343</v>
      </c>
      <c r="AY5" s="3307"/>
      <c r="AZ5" s="3307"/>
      <c r="BA5" s="3307"/>
      <c r="BB5" s="3307"/>
      <c r="BC5" s="3307"/>
      <c r="BD5" s="3307"/>
      <c r="BE5" s="3308"/>
    </row>
    <row r="6" spans="1:57" ht="37.5" customHeight="1" x14ac:dyDescent="0.3">
      <c r="A6" s="2364"/>
      <c r="B6" s="3293" t="s">
        <v>3341</v>
      </c>
      <c r="C6" s="3294"/>
      <c r="D6" s="3294"/>
      <c r="E6" s="3294"/>
      <c r="F6" s="3294"/>
      <c r="G6" s="3294"/>
      <c r="H6" s="3294"/>
      <c r="I6" s="3295"/>
      <c r="J6" s="3291" t="s">
        <v>3342</v>
      </c>
      <c r="K6" s="3291"/>
      <c r="L6" s="3291"/>
      <c r="M6" s="3292"/>
      <c r="N6" s="3288" t="s">
        <v>3341</v>
      </c>
      <c r="O6" s="3289"/>
      <c r="P6" s="3289"/>
      <c r="Q6" s="3289"/>
      <c r="R6" s="3289"/>
      <c r="S6" s="3289"/>
      <c r="T6" s="3289"/>
      <c r="U6" s="3290"/>
      <c r="V6" s="3288" t="s">
        <v>3341</v>
      </c>
      <c r="W6" s="3289"/>
      <c r="X6" s="3289"/>
      <c r="Y6" s="3289"/>
      <c r="Z6" s="3289"/>
      <c r="AA6" s="3289"/>
      <c r="AB6" s="3289"/>
      <c r="AC6" s="3290"/>
      <c r="AD6" s="3288" t="s">
        <v>3341</v>
      </c>
      <c r="AE6" s="3289"/>
      <c r="AF6" s="3289"/>
      <c r="AG6" s="3289"/>
      <c r="AH6" s="3289"/>
      <c r="AI6" s="3289"/>
      <c r="AJ6" s="3289"/>
      <c r="AK6" s="3290"/>
      <c r="AL6" s="3291" t="s">
        <v>3342</v>
      </c>
      <c r="AM6" s="3291"/>
      <c r="AN6" s="3291"/>
      <c r="AO6" s="3292"/>
      <c r="AP6" s="3288" t="s">
        <v>3341</v>
      </c>
      <c r="AQ6" s="3289"/>
      <c r="AR6" s="3289"/>
      <c r="AS6" s="3289"/>
      <c r="AT6" s="3289"/>
      <c r="AU6" s="3289"/>
      <c r="AV6" s="3289"/>
      <c r="AW6" s="3290"/>
      <c r="AX6" s="3288" t="s">
        <v>3341</v>
      </c>
      <c r="AY6" s="3289"/>
      <c r="AZ6" s="3289"/>
      <c r="BA6" s="3289"/>
      <c r="BB6" s="3289"/>
      <c r="BC6" s="3289"/>
      <c r="BD6" s="3289"/>
      <c r="BE6" s="3290"/>
    </row>
    <row r="7" spans="1:57" ht="70.5" customHeight="1" x14ac:dyDescent="0.3">
      <c r="A7" s="2364"/>
      <c r="B7" s="2375" t="s">
        <v>3337</v>
      </c>
      <c r="C7" s="2375" t="s">
        <v>3327</v>
      </c>
      <c r="D7" s="2375" t="s">
        <v>3326</v>
      </c>
      <c r="E7" s="2383" t="s">
        <v>3238</v>
      </c>
      <c r="F7" s="2375" t="s">
        <v>3325</v>
      </c>
      <c r="G7" s="2375" t="s">
        <v>3324</v>
      </c>
      <c r="H7" s="2375" t="s">
        <v>3336</v>
      </c>
      <c r="I7" s="2375" t="s">
        <v>3335</v>
      </c>
      <c r="J7" s="2384" t="s">
        <v>3340</v>
      </c>
      <c r="K7" s="2384" t="s">
        <v>3228</v>
      </c>
      <c r="L7" s="2384" t="s">
        <v>3339</v>
      </c>
      <c r="M7" s="2384" t="s">
        <v>3338</v>
      </c>
      <c r="N7" s="2375" t="s">
        <v>3337</v>
      </c>
      <c r="O7" s="2374" t="s">
        <v>3327</v>
      </c>
      <c r="P7" s="2375" t="s">
        <v>3326</v>
      </c>
      <c r="Q7" s="2383" t="s">
        <v>3238</v>
      </c>
      <c r="R7" s="2375" t="s">
        <v>3325</v>
      </c>
      <c r="S7" s="2374" t="s">
        <v>3324</v>
      </c>
      <c r="T7" s="2375" t="s">
        <v>3336</v>
      </c>
      <c r="U7" s="2375" t="s">
        <v>3335</v>
      </c>
      <c r="V7" s="2375" t="s">
        <v>3337</v>
      </c>
      <c r="W7" s="2374" t="s">
        <v>3327</v>
      </c>
      <c r="X7" s="2375" t="s">
        <v>3326</v>
      </c>
      <c r="Y7" s="2383" t="s">
        <v>3238</v>
      </c>
      <c r="Z7" s="2375" t="s">
        <v>3325</v>
      </c>
      <c r="AA7" s="2374" t="s">
        <v>3324</v>
      </c>
      <c r="AB7" s="2375" t="s">
        <v>3336</v>
      </c>
      <c r="AC7" s="2375" t="s">
        <v>3335</v>
      </c>
      <c r="AD7" s="2375" t="s">
        <v>3337</v>
      </c>
      <c r="AE7" s="2374" t="s">
        <v>3327</v>
      </c>
      <c r="AF7" s="2375" t="s">
        <v>3326</v>
      </c>
      <c r="AG7" s="2383" t="s">
        <v>3238</v>
      </c>
      <c r="AH7" s="2375" t="s">
        <v>3325</v>
      </c>
      <c r="AI7" s="2374" t="s">
        <v>3324</v>
      </c>
      <c r="AJ7" s="2375" t="s">
        <v>3336</v>
      </c>
      <c r="AK7" s="2375" t="s">
        <v>3335</v>
      </c>
      <c r="AL7" s="2384" t="s">
        <v>3340</v>
      </c>
      <c r="AM7" s="2384" t="s">
        <v>3228</v>
      </c>
      <c r="AN7" s="2384" t="s">
        <v>3339</v>
      </c>
      <c r="AO7" s="2384" t="s">
        <v>3338</v>
      </c>
      <c r="AP7" s="2375" t="s">
        <v>3337</v>
      </c>
      <c r="AQ7" s="2374" t="s">
        <v>3327</v>
      </c>
      <c r="AR7" s="2375" t="s">
        <v>3326</v>
      </c>
      <c r="AS7" s="2383" t="s">
        <v>3238</v>
      </c>
      <c r="AT7" s="2375" t="s">
        <v>3325</v>
      </c>
      <c r="AU7" s="2374" t="s">
        <v>3324</v>
      </c>
      <c r="AV7" s="2375" t="s">
        <v>3336</v>
      </c>
      <c r="AW7" s="2375" t="s">
        <v>3335</v>
      </c>
      <c r="AX7" s="2375" t="s">
        <v>3337</v>
      </c>
      <c r="AY7" s="2374" t="s">
        <v>3327</v>
      </c>
      <c r="AZ7" s="2375" t="s">
        <v>3326</v>
      </c>
      <c r="BA7" s="2383" t="s">
        <v>3238</v>
      </c>
      <c r="BB7" s="2375" t="s">
        <v>3325</v>
      </c>
      <c r="BC7" s="2374" t="s">
        <v>3324</v>
      </c>
      <c r="BD7" s="2375" t="s">
        <v>3336</v>
      </c>
      <c r="BE7" s="2375" t="s">
        <v>3335</v>
      </c>
    </row>
    <row r="8" spans="1:57" ht="12" customHeight="1" x14ac:dyDescent="0.3">
      <c r="A8" s="2353" t="s">
        <v>3288</v>
      </c>
      <c r="B8" s="2357">
        <f t="shared" ref="B8:U8" si="0">SUM(B9:B16)</f>
        <v>14862173.713805513</v>
      </c>
      <c r="C8" s="2357">
        <f t="shared" si="0"/>
        <v>14796248.620093154</v>
      </c>
      <c r="D8" s="2357">
        <f t="shared" si="0"/>
        <v>14757062.502087817</v>
      </c>
      <c r="E8" s="2357">
        <f t="shared" si="0"/>
        <v>14728113.168010486</v>
      </c>
      <c r="F8" s="2357">
        <f t="shared" si="0"/>
        <v>14703991.454097377</v>
      </c>
      <c r="G8" s="2357">
        <f t="shared" si="0"/>
        <v>14682488.974154105</v>
      </c>
      <c r="H8" s="2357">
        <f t="shared" si="0"/>
        <v>14662675.896400206</v>
      </c>
      <c r="I8" s="2357">
        <f t="shared" si="0"/>
        <v>14644113.614880295</v>
      </c>
      <c r="J8" s="2357">
        <f t="shared" si="0"/>
        <v>14778779.962313721</v>
      </c>
      <c r="K8" s="2357">
        <f t="shared" si="0"/>
        <v>14680617.693373704</v>
      </c>
      <c r="L8" s="2357">
        <f t="shared" si="0"/>
        <v>14755259.014130598</v>
      </c>
      <c r="M8" s="2357">
        <f t="shared" si="0"/>
        <v>14694779.91722385</v>
      </c>
      <c r="N8" s="2357">
        <f t="shared" si="0"/>
        <v>11519.784261343406</v>
      </c>
      <c r="O8" s="2357">
        <f t="shared" si="0"/>
        <v>21559.148119021545</v>
      </c>
      <c r="P8" s="2357">
        <f t="shared" si="0"/>
        <v>31884.069339556667</v>
      </c>
      <c r="Q8" s="2357">
        <f t="shared" si="0"/>
        <v>42135.682111237351</v>
      </c>
      <c r="R8" s="2357">
        <f t="shared" si="0"/>
        <v>52315.287045281257</v>
      </c>
      <c r="S8" s="2357">
        <f t="shared" si="0"/>
        <v>62424.149360936186</v>
      </c>
      <c r="T8" s="2357">
        <f t="shared" si="0"/>
        <v>72463.500176050002</v>
      </c>
      <c r="U8" s="2357">
        <f t="shared" si="0"/>
        <v>82434.537738881932</v>
      </c>
      <c r="V8" s="2467"/>
      <c r="W8" s="2467"/>
      <c r="X8" s="2467"/>
      <c r="Y8" s="2467"/>
      <c r="Z8" s="2467"/>
      <c r="AA8" s="2467"/>
      <c r="AB8" s="2467"/>
      <c r="AC8" s="2467"/>
      <c r="AD8" s="2357">
        <f t="shared" ref="AD8:AW8" si="1">SUM(AD9:AD16)</f>
        <v>37994723.389349289</v>
      </c>
      <c r="AE8" s="2357">
        <f t="shared" si="1"/>
        <v>37453645.242734239</v>
      </c>
      <c r="AF8" s="2357">
        <f t="shared" si="1"/>
        <v>36949412.782870755</v>
      </c>
      <c r="AG8" s="2357">
        <f t="shared" si="1"/>
        <v>36477531.488302767</v>
      </c>
      <c r="AH8" s="2357">
        <f t="shared" si="1"/>
        <v>36034390.715041704</v>
      </c>
      <c r="AI8" s="2357">
        <f t="shared" si="1"/>
        <v>35617009.699104801</v>
      </c>
      <c r="AJ8" s="2357">
        <f t="shared" si="1"/>
        <v>35222877.362013705</v>
      </c>
      <c r="AK8" s="2357">
        <f t="shared" si="1"/>
        <v>34849847.293223456</v>
      </c>
      <c r="AL8" s="2357">
        <f t="shared" si="1"/>
        <v>36881054.4704751</v>
      </c>
      <c r="AM8" s="2357">
        <f t="shared" si="1"/>
        <v>36088616.698660135</v>
      </c>
      <c r="AN8" s="2357">
        <f t="shared" si="1"/>
        <v>36472133.20504988</v>
      </c>
      <c r="AO8" s="2357">
        <f t="shared" si="1"/>
        <v>36343422.366591841</v>
      </c>
      <c r="AP8" s="2357">
        <f t="shared" si="1"/>
        <v>583910.39526957856</v>
      </c>
      <c r="AQ8" s="2357">
        <f t="shared" si="1"/>
        <v>670818.49250035954</v>
      </c>
      <c r="AR8" s="2357">
        <f t="shared" si="1"/>
        <v>758790.51365019917</v>
      </c>
      <c r="AS8" s="2357">
        <f t="shared" si="1"/>
        <v>847321.23260651808</v>
      </c>
      <c r="AT8" s="2357">
        <f t="shared" si="1"/>
        <v>936836.73902816477</v>
      </c>
      <c r="AU8" s="2357">
        <f t="shared" si="1"/>
        <v>1025842.4488386679</v>
      </c>
      <c r="AV8" s="2357">
        <f t="shared" si="1"/>
        <v>1114347.2392931005</v>
      </c>
      <c r="AW8" s="2357">
        <f t="shared" si="1"/>
        <v>1202359.9080094371</v>
      </c>
      <c r="AX8" s="2467"/>
      <c r="AY8" s="2467"/>
      <c r="AZ8" s="2467"/>
      <c r="BA8" s="2467"/>
      <c r="BB8" s="2467"/>
      <c r="BC8" s="2467"/>
      <c r="BD8" s="2467"/>
      <c r="BE8" s="2467"/>
    </row>
    <row r="9" spans="1:57" ht="12" customHeight="1" x14ac:dyDescent="0.3">
      <c r="A9" s="2362" t="s">
        <v>3282</v>
      </c>
      <c r="B9" s="2345">
        <v>0</v>
      </c>
      <c r="C9" s="2345">
        <v>0</v>
      </c>
      <c r="D9" s="2345">
        <v>0</v>
      </c>
      <c r="E9" s="2345">
        <v>0</v>
      </c>
      <c r="F9" s="2345">
        <v>0</v>
      </c>
      <c r="G9" s="2345">
        <v>0</v>
      </c>
      <c r="H9" s="2345">
        <v>0</v>
      </c>
      <c r="I9" s="2345">
        <v>0</v>
      </c>
      <c r="J9" s="2345">
        <v>0</v>
      </c>
      <c r="K9" s="2345">
        <v>0</v>
      </c>
      <c r="L9" s="2345">
        <v>0</v>
      </c>
      <c r="M9" s="2345">
        <v>0</v>
      </c>
      <c r="N9" s="2345">
        <v>0</v>
      </c>
      <c r="O9" s="2345">
        <v>0</v>
      </c>
      <c r="P9" s="2345">
        <v>0</v>
      </c>
      <c r="Q9" s="2345">
        <v>0</v>
      </c>
      <c r="R9" s="2345">
        <v>0</v>
      </c>
      <c r="S9" s="2345">
        <v>0</v>
      </c>
      <c r="T9" s="2345">
        <v>0</v>
      </c>
      <c r="U9" s="2345">
        <v>0</v>
      </c>
      <c r="V9" s="2467"/>
      <c r="W9" s="2467"/>
      <c r="X9" s="2467"/>
      <c r="Y9" s="2467"/>
      <c r="Z9" s="2467"/>
      <c r="AA9" s="2467"/>
      <c r="AB9" s="2467"/>
      <c r="AC9" s="2467"/>
      <c r="AD9" s="2345">
        <v>3381683.5876185237</v>
      </c>
      <c r="AE9" s="2345">
        <v>3381295.77762372</v>
      </c>
      <c r="AF9" s="2345">
        <v>3380912.1508463738</v>
      </c>
      <c r="AG9" s="2345">
        <v>3380532.6213176507</v>
      </c>
      <c r="AH9" s="2345">
        <v>3380157.1056577605</v>
      </c>
      <c r="AI9" s="2345">
        <v>3379785.5229736953</v>
      </c>
      <c r="AJ9" s="2345">
        <v>3379417.7947619674</v>
      </c>
      <c r="AK9" s="2345">
        <v>3379053.844816023</v>
      </c>
      <c r="AL9" s="2345">
        <v>3381451.4571169801</v>
      </c>
      <c r="AM9" s="2345">
        <v>3379636.9420125117</v>
      </c>
      <c r="AN9" s="2345">
        <v>3381113.0241372157</v>
      </c>
      <c r="AO9" s="2345">
        <v>3379824.3553303462</v>
      </c>
      <c r="AP9" s="2345">
        <v>6819.2771324477972</v>
      </c>
      <c r="AQ9" s="2345">
        <v>37198.93485576017</v>
      </c>
      <c r="AR9" s="2345">
        <v>67304.682269732293</v>
      </c>
      <c r="AS9" s="2345">
        <v>97141.633082528439</v>
      </c>
      <c r="AT9" s="2345">
        <v>126714.75712283194</v>
      </c>
      <c r="AU9" s="2345">
        <v>156028.88572410238</v>
      </c>
      <c r="AV9" s="2345">
        <v>185088.71685827014</v>
      </c>
      <c r="AW9" s="2345">
        <v>213898.82003278134</v>
      </c>
      <c r="AX9" s="2467"/>
      <c r="AY9" s="2467"/>
      <c r="AZ9" s="2467"/>
      <c r="BA9" s="2467"/>
      <c r="BB9" s="2467"/>
      <c r="BC9" s="2467"/>
      <c r="BD9" s="2467"/>
      <c r="BE9" s="2467"/>
    </row>
    <row r="10" spans="1:57" ht="12" customHeight="1" x14ac:dyDescent="0.3">
      <c r="A10" s="2362" t="s">
        <v>3281</v>
      </c>
      <c r="B10" s="2345">
        <v>0</v>
      </c>
      <c r="C10" s="2345">
        <v>0</v>
      </c>
      <c r="D10" s="2345">
        <v>0</v>
      </c>
      <c r="E10" s="2345">
        <v>0</v>
      </c>
      <c r="F10" s="2345">
        <v>0</v>
      </c>
      <c r="G10" s="2345">
        <v>0</v>
      </c>
      <c r="H10" s="2345">
        <v>0</v>
      </c>
      <c r="I10" s="2345">
        <v>0</v>
      </c>
      <c r="J10" s="2345">
        <v>0</v>
      </c>
      <c r="K10" s="2345">
        <v>0</v>
      </c>
      <c r="L10" s="2345">
        <v>0</v>
      </c>
      <c r="M10" s="2345">
        <v>0</v>
      </c>
      <c r="N10" s="2345">
        <v>0</v>
      </c>
      <c r="O10" s="2345">
        <v>0</v>
      </c>
      <c r="P10" s="2345">
        <v>0</v>
      </c>
      <c r="Q10" s="2345">
        <v>0</v>
      </c>
      <c r="R10" s="2345">
        <v>0</v>
      </c>
      <c r="S10" s="2345">
        <v>0</v>
      </c>
      <c r="T10" s="2345">
        <v>0</v>
      </c>
      <c r="U10" s="2345">
        <v>0</v>
      </c>
      <c r="V10" s="2467"/>
      <c r="W10" s="2467"/>
      <c r="X10" s="2467"/>
      <c r="Y10" s="2467"/>
      <c r="Z10" s="2467"/>
      <c r="AA10" s="2467"/>
      <c r="AB10" s="2467"/>
      <c r="AC10" s="2467"/>
      <c r="AD10" s="2345">
        <v>23465.037282330348</v>
      </c>
      <c r="AE10" s="2345">
        <v>23464.390617995297</v>
      </c>
      <c r="AF10" s="2345">
        <v>23463.75041131071</v>
      </c>
      <c r="AG10" s="2345">
        <v>23463.116534748384</v>
      </c>
      <c r="AH10" s="2345">
        <v>23462.488864519248</v>
      </c>
      <c r="AI10" s="2345">
        <v>23461.867280428647</v>
      </c>
      <c r="AJ10" s="2345">
        <v>23461.251665738571</v>
      </c>
      <c r="AK10" s="2345">
        <v>23460.641907036355</v>
      </c>
      <c r="AL10" s="2345">
        <v>23464.693738004578</v>
      </c>
      <c r="AM10" s="2345">
        <v>23461.577205033151</v>
      </c>
      <c r="AN10" s="2345">
        <v>23464.133767630476</v>
      </c>
      <c r="AO10" s="2345">
        <v>23461.885840521732</v>
      </c>
      <c r="AP10" s="2345">
        <v>148.39812244551365</v>
      </c>
      <c r="AQ10" s="2345">
        <v>419.10148398594845</v>
      </c>
      <c r="AR10" s="2345">
        <v>742.57909519475913</v>
      </c>
      <c r="AS10" s="2345">
        <v>1063.1676988553938</v>
      </c>
      <c r="AT10" s="2345">
        <v>1380.9207222258956</v>
      </c>
      <c r="AU10" s="2345">
        <v>1695.8901034031646</v>
      </c>
      <c r="AV10" s="2345">
        <v>2008.1263465327822</v>
      </c>
      <c r="AW10" s="2345">
        <v>2317.6785744733866</v>
      </c>
      <c r="AX10" s="2467"/>
      <c r="AY10" s="2467"/>
      <c r="AZ10" s="2467"/>
      <c r="BA10" s="2467"/>
      <c r="BB10" s="2467"/>
      <c r="BC10" s="2467"/>
      <c r="BD10" s="2467"/>
      <c r="BE10" s="2467"/>
    </row>
    <row r="11" spans="1:57" ht="12" customHeight="1" x14ac:dyDescent="0.3">
      <c r="A11" s="2362" t="s">
        <v>3286</v>
      </c>
      <c r="B11" s="2345">
        <v>13851826.461521424</v>
      </c>
      <c r="C11" s="2345">
        <v>13791386.201183943</v>
      </c>
      <c r="D11" s="2345">
        <v>13755505.687835297</v>
      </c>
      <c r="E11" s="2345">
        <v>13729034.498348031</v>
      </c>
      <c r="F11" s="2345">
        <v>13707020.1499283</v>
      </c>
      <c r="G11" s="2345">
        <v>13687443.20291234</v>
      </c>
      <c r="H11" s="2345">
        <v>13669457.896043329</v>
      </c>
      <c r="I11" s="2345">
        <v>13652665.215270534</v>
      </c>
      <c r="J11" s="2345">
        <v>13776216.114403972</v>
      </c>
      <c r="K11" s="2345">
        <v>13684876.339989893</v>
      </c>
      <c r="L11" s="2345">
        <v>13754669.865377644</v>
      </c>
      <c r="M11" s="2345">
        <v>13697808.791133957</v>
      </c>
      <c r="N11" s="2345">
        <v>10548.091579803408</v>
      </c>
      <c r="O11" s="2345">
        <v>18370.556462747914</v>
      </c>
      <c r="P11" s="2345">
        <v>26263.83081731958</v>
      </c>
      <c r="Q11" s="2345">
        <v>34105.493371049444</v>
      </c>
      <c r="R11" s="2345">
        <v>41896.44390271874</v>
      </c>
      <c r="S11" s="2345">
        <v>49637.557959727194</v>
      </c>
      <c r="T11" s="2345">
        <v>57329.687735328924</v>
      </c>
      <c r="U11" s="2345">
        <v>64973.662906145189</v>
      </c>
      <c r="V11" s="2467"/>
      <c r="W11" s="2467"/>
      <c r="X11" s="2467"/>
      <c r="Y11" s="2467"/>
      <c r="Z11" s="2467"/>
      <c r="AA11" s="2467"/>
      <c r="AB11" s="2467"/>
      <c r="AC11" s="2467"/>
      <c r="AD11" s="2345">
        <v>19878488.602285609</v>
      </c>
      <c r="AE11" s="2345">
        <v>19324338.886741314</v>
      </c>
      <c r="AF11" s="2345">
        <v>18815002.020222761</v>
      </c>
      <c r="AG11" s="2345">
        <v>18344801.549580567</v>
      </c>
      <c r="AH11" s="2345">
        <v>17909109.206630394</v>
      </c>
      <c r="AI11" s="2345">
        <v>17504067.236626051</v>
      </c>
      <c r="AJ11" s="2345">
        <v>17126408.146298125</v>
      </c>
      <c r="AK11" s="2345">
        <v>16773332.656988321</v>
      </c>
      <c r="AL11" s="2345">
        <v>18657813.074846573</v>
      </c>
      <c r="AM11" s="2345">
        <v>18042940.360506702</v>
      </c>
      <c r="AN11" s="2345">
        <v>18256231.442663278</v>
      </c>
      <c r="AO11" s="2345">
        <v>18300800.068910696</v>
      </c>
      <c r="AP11" s="2345">
        <v>388564.5280100386</v>
      </c>
      <c r="AQ11" s="2345">
        <v>434977.63738501363</v>
      </c>
      <c r="AR11" s="2345">
        <v>482676.42761826463</v>
      </c>
      <c r="AS11" s="2345">
        <v>531206.21538270614</v>
      </c>
      <c r="AT11" s="2345">
        <v>580988.05062153307</v>
      </c>
      <c r="AU11" s="2345">
        <v>630522.44086276391</v>
      </c>
      <c r="AV11" s="2345">
        <v>679813.48229046515</v>
      </c>
      <c r="AW11" s="2345">
        <v>728865.31511756987</v>
      </c>
      <c r="AX11" s="2467"/>
      <c r="AY11" s="2467"/>
      <c r="AZ11" s="2467"/>
      <c r="BA11" s="2467"/>
      <c r="BB11" s="2467"/>
      <c r="BC11" s="2467"/>
      <c r="BD11" s="2467"/>
      <c r="BE11" s="2467"/>
    </row>
    <row r="12" spans="1:57" ht="12" customHeight="1" x14ac:dyDescent="0.3">
      <c r="A12" s="2362" t="s">
        <v>3285</v>
      </c>
      <c r="B12" s="2345">
        <v>978652.75734045636</v>
      </c>
      <c r="C12" s="2345">
        <v>973273.32827990106</v>
      </c>
      <c r="D12" s="2345">
        <v>970080.6668842003</v>
      </c>
      <c r="E12" s="2345">
        <v>967722.10536604223</v>
      </c>
      <c r="F12" s="2345">
        <v>965740.16525946255</v>
      </c>
      <c r="G12" s="2345">
        <v>963945.19194790057</v>
      </c>
      <c r="H12" s="2345">
        <v>962252.48558278417</v>
      </c>
      <c r="I12" s="2345">
        <v>960621.89440630667</v>
      </c>
      <c r="J12" s="2345">
        <v>971471.68604256434</v>
      </c>
      <c r="K12" s="2345">
        <v>964153.52662867378</v>
      </c>
      <c r="L12" s="2345">
        <v>969597.34484393231</v>
      </c>
      <c r="M12" s="2345">
        <v>965316.04809055093</v>
      </c>
      <c r="N12" s="2345">
        <v>971.69268153999815</v>
      </c>
      <c r="O12" s="2345">
        <v>3188.5916562736302</v>
      </c>
      <c r="P12" s="2345">
        <v>5620.2385222370858</v>
      </c>
      <c r="Q12" s="2345">
        <v>8030.1887401879067</v>
      </c>
      <c r="R12" s="2345">
        <v>10418.843142562515</v>
      </c>
      <c r="S12" s="2345">
        <v>12786.591401208991</v>
      </c>
      <c r="T12" s="2345">
        <v>15133.81244072108</v>
      </c>
      <c r="U12" s="2345">
        <v>17460.874832736739</v>
      </c>
      <c r="V12" s="2467"/>
      <c r="W12" s="2467"/>
      <c r="X12" s="2467"/>
      <c r="Y12" s="2467"/>
      <c r="Z12" s="2467"/>
      <c r="AA12" s="2467"/>
      <c r="AB12" s="2467"/>
      <c r="AC12" s="2467"/>
      <c r="AD12" s="2345">
        <v>12350556.072820107</v>
      </c>
      <c r="AE12" s="2345">
        <v>11830732.1892114</v>
      </c>
      <c r="AF12" s="2345">
        <v>11343608.918267112</v>
      </c>
      <c r="AG12" s="2345">
        <v>10886628.350276299</v>
      </c>
      <c r="AH12" s="2345">
        <v>10457465.866155922</v>
      </c>
      <c r="AI12" s="2345">
        <v>10054006.15564792</v>
      </c>
      <c r="AJ12" s="2345">
        <v>9674321.9565229621</v>
      </c>
      <c r="AK12" s="2345">
        <v>9316655.1788900234</v>
      </c>
      <c r="AL12" s="2345">
        <v>11181966.774186673</v>
      </c>
      <c r="AM12" s="2345">
        <v>10601825.139944103</v>
      </c>
      <c r="AN12" s="2345">
        <v>10784998.766618777</v>
      </c>
      <c r="AO12" s="2345">
        <v>10851818.513321778</v>
      </c>
      <c r="AP12" s="2345">
        <v>145400.81898629008</v>
      </c>
      <c r="AQ12" s="2345">
        <v>148667.50127232278</v>
      </c>
      <c r="AR12" s="2345">
        <v>151933.40982795271</v>
      </c>
      <c r="AS12" s="2345">
        <v>155198.55179894937</v>
      </c>
      <c r="AT12" s="2345">
        <v>158462.94405433451</v>
      </c>
      <c r="AU12" s="2345">
        <v>161726.6121623384</v>
      </c>
      <c r="AV12" s="2345">
        <v>164989.58920338409</v>
      </c>
      <c r="AW12" s="2345">
        <v>168251.91448357725</v>
      </c>
      <c r="AX12" s="2467"/>
      <c r="AY12" s="2467"/>
      <c r="AZ12" s="2467"/>
      <c r="BA12" s="2467"/>
      <c r="BB12" s="2467"/>
      <c r="BC12" s="2467"/>
      <c r="BD12" s="2467"/>
      <c r="BE12" s="2467"/>
    </row>
    <row r="13" spans="1:57" ht="12" customHeight="1" x14ac:dyDescent="0.3">
      <c r="A13" s="2362" t="s">
        <v>3272</v>
      </c>
      <c r="B13" s="2345">
        <v>31694.494943632137</v>
      </c>
      <c r="C13" s="2345">
        <v>31589.090629308859</v>
      </c>
      <c r="D13" s="2345">
        <v>31476.147368319609</v>
      </c>
      <c r="E13" s="2345">
        <v>31356.564296412442</v>
      </c>
      <c r="F13" s="2345">
        <v>31231.138909615507</v>
      </c>
      <c r="G13" s="2345">
        <v>31100.579293865183</v>
      </c>
      <c r="H13" s="2345">
        <v>30965.514774093484</v>
      </c>
      <c r="I13" s="2345">
        <v>30826.505203453456</v>
      </c>
      <c r="J13" s="2345">
        <v>31092.161867184182</v>
      </c>
      <c r="K13" s="2345">
        <v>31587.826755137492</v>
      </c>
      <c r="L13" s="2345">
        <v>30991.803909021623</v>
      </c>
      <c r="M13" s="2345">
        <v>31655.077999342728</v>
      </c>
      <c r="N13" s="2345">
        <v>0</v>
      </c>
      <c r="O13" s="2345">
        <v>0</v>
      </c>
      <c r="P13" s="2345">
        <v>0</v>
      </c>
      <c r="Q13" s="2345">
        <v>0</v>
      </c>
      <c r="R13" s="2345">
        <v>0</v>
      </c>
      <c r="S13" s="2345">
        <v>0</v>
      </c>
      <c r="T13" s="2345">
        <v>0</v>
      </c>
      <c r="U13" s="2345">
        <v>0</v>
      </c>
      <c r="V13" s="2467"/>
      <c r="W13" s="2467"/>
      <c r="X13" s="2467"/>
      <c r="Y13" s="2467"/>
      <c r="Z13" s="2467"/>
      <c r="AA13" s="2467"/>
      <c r="AB13" s="2467"/>
      <c r="AC13" s="2467"/>
      <c r="AD13" s="2345">
        <v>2283023.0194613421</v>
      </c>
      <c r="AE13" s="2345">
        <v>2818645.7285491475</v>
      </c>
      <c r="AF13" s="2345">
        <v>3313503.776691962</v>
      </c>
      <c r="AG13" s="2345">
        <v>3771341.6195695465</v>
      </c>
      <c r="AH13" s="2345">
        <v>4195505.8500091098</v>
      </c>
      <c r="AI13" s="2345">
        <v>4588992.8714557234</v>
      </c>
      <c r="AJ13" s="2345">
        <v>4954490.2325051129</v>
      </c>
      <c r="AK13" s="2345">
        <v>5294412.5469510974</v>
      </c>
      <c r="AL13" s="2345">
        <v>3563392.6165257059</v>
      </c>
      <c r="AM13" s="2345">
        <v>3972102.8063213569</v>
      </c>
      <c r="AN13" s="2345">
        <v>3955286.2513525686</v>
      </c>
      <c r="AO13" s="2345">
        <v>3717715.3834743612</v>
      </c>
      <c r="AP13" s="2345">
        <v>42977.373018356528</v>
      </c>
      <c r="AQ13" s="2345">
        <v>49555.317503277096</v>
      </c>
      <c r="AR13" s="2345">
        <v>56133.41483905472</v>
      </c>
      <c r="AS13" s="2345">
        <v>62711.664643478667</v>
      </c>
      <c r="AT13" s="2345">
        <v>69290.066507239375</v>
      </c>
      <c r="AU13" s="2345">
        <v>75868.619986060017</v>
      </c>
      <c r="AV13" s="2345">
        <v>82447.324594448364</v>
      </c>
      <c r="AW13" s="2345">
        <v>89026.179801035454</v>
      </c>
      <c r="AX13" s="2467"/>
      <c r="AY13" s="2467"/>
      <c r="AZ13" s="2467"/>
      <c r="BA13" s="2467"/>
      <c r="BB13" s="2467"/>
      <c r="BC13" s="2467"/>
      <c r="BD13" s="2467"/>
      <c r="BE13" s="2467"/>
    </row>
    <row r="14" spans="1:57" ht="12" customHeight="1" x14ac:dyDescent="0.3">
      <c r="A14" s="2362" t="s">
        <v>3271</v>
      </c>
      <c r="B14" s="2345">
        <v>0</v>
      </c>
      <c r="C14" s="2345">
        <v>0</v>
      </c>
      <c r="D14" s="2345">
        <v>0</v>
      </c>
      <c r="E14" s="2345">
        <v>0</v>
      </c>
      <c r="F14" s="2345">
        <v>0</v>
      </c>
      <c r="G14" s="2345">
        <v>0</v>
      </c>
      <c r="H14" s="2345">
        <v>0</v>
      </c>
      <c r="I14" s="2345">
        <v>0</v>
      </c>
      <c r="J14" s="2345">
        <v>0</v>
      </c>
      <c r="K14" s="2345">
        <v>0</v>
      </c>
      <c r="L14" s="2345">
        <v>0</v>
      </c>
      <c r="M14" s="2345">
        <v>0</v>
      </c>
      <c r="N14" s="2345">
        <v>0</v>
      </c>
      <c r="O14" s="2345">
        <v>0</v>
      </c>
      <c r="P14" s="2345">
        <v>0</v>
      </c>
      <c r="Q14" s="2345">
        <v>0</v>
      </c>
      <c r="R14" s="2345">
        <v>0</v>
      </c>
      <c r="S14" s="2345">
        <v>0</v>
      </c>
      <c r="T14" s="2345">
        <v>0</v>
      </c>
      <c r="U14" s="2345">
        <v>0</v>
      </c>
      <c r="V14" s="2467"/>
      <c r="W14" s="2467"/>
      <c r="X14" s="2467"/>
      <c r="Y14" s="2467"/>
      <c r="Z14" s="2467"/>
      <c r="AA14" s="2467"/>
      <c r="AB14" s="2467"/>
      <c r="AC14" s="2467"/>
      <c r="AD14" s="2345">
        <v>0</v>
      </c>
      <c r="AE14" s="2345">
        <v>0</v>
      </c>
      <c r="AF14" s="2345">
        <v>0</v>
      </c>
      <c r="AG14" s="2345">
        <v>0</v>
      </c>
      <c r="AH14" s="2345">
        <v>0</v>
      </c>
      <c r="AI14" s="2345">
        <v>0</v>
      </c>
      <c r="AJ14" s="2345">
        <v>0</v>
      </c>
      <c r="AK14" s="2345">
        <v>0</v>
      </c>
      <c r="AL14" s="2345">
        <v>0</v>
      </c>
      <c r="AM14" s="2345">
        <v>0</v>
      </c>
      <c r="AN14" s="2345">
        <v>0</v>
      </c>
      <c r="AO14" s="2345">
        <v>0</v>
      </c>
      <c r="AP14" s="2345">
        <v>0</v>
      </c>
      <c r="AQ14" s="2345">
        <v>0</v>
      </c>
      <c r="AR14" s="2345">
        <v>0</v>
      </c>
      <c r="AS14" s="2345">
        <v>0</v>
      </c>
      <c r="AT14" s="2345">
        <v>0</v>
      </c>
      <c r="AU14" s="2345">
        <v>0</v>
      </c>
      <c r="AV14" s="2345">
        <v>0</v>
      </c>
      <c r="AW14" s="2345">
        <v>0</v>
      </c>
      <c r="AX14" s="2467"/>
      <c r="AY14" s="2467"/>
      <c r="AZ14" s="2467"/>
      <c r="BA14" s="2467"/>
      <c r="BB14" s="2467"/>
      <c r="BC14" s="2467"/>
      <c r="BD14" s="2467"/>
      <c r="BE14" s="2467"/>
    </row>
    <row r="15" spans="1:57" ht="12" customHeight="1" x14ac:dyDescent="0.3">
      <c r="A15" s="2362" t="s">
        <v>1760</v>
      </c>
      <c r="B15" s="2345">
        <v>0</v>
      </c>
      <c r="C15" s="2345">
        <v>0</v>
      </c>
      <c r="D15" s="2345">
        <v>0</v>
      </c>
      <c r="E15" s="2345">
        <v>0</v>
      </c>
      <c r="F15" s="2345">
        <v>0</v>
      </c>
      <c r="G15" s="2345">
        <v>0</v>
      </c>
      <c r="H15" s="2345">
        <v>0</v>
      </c>
      <c r="I15" s="2345">
        <v>0</v>
      </c>
      <c r="J15" s="2345">
        <v>0</v>
      </c>
      <c r="K15" s="2345">
        <v>0</v>
      </c>
      <c r="L15" s="2345">
        <v>0</v>
      </c>
      <c r="M15" s="2345">
        <v>0</v>
      </c>
      <c r="N15" s="2345">
        <v>0</v>
      </c>
      <c r="O15" s="2345">
        <v>0</v>
      </c>
      <c r="P15" s="2345">
        <v>0</v>
      </c>
      <c r="Q15" s="2345">
        <v>0</v>
      </c>
      <c r="R15" s="2345">
        <v>0</v>
      </c>
      <c r="S15" s="2345">
        <v>0</v>
      </c>
      <c r="T15" s="2345">
        <v>0</v>
      </c>
      <c r="U15" s="2345">
        <v>0</v>
      </c>
      <c r="V15" s="2467"/>
      <c r="W15" s="2467"/>
      <c r="X15" s="2467"/>
      <c r="Y15" s="2467"/>
      <c r="Z15" s="2467"/>
      <c r="AA15" s="2467"/>
      <c r="AB15" s="2467"/>
      <c r="AC15" s="2467"/>
      <c r="AD15" s="2345">
        <v>77507.069881378542</v>
      </c>
      <c r="AE15" s="2345">
        <v>75168.269990657005</v>
      </c>
      <c r="AF15" s="2345">
        <v>72922.166431234509</v>
      </c>
      <c r="AG15" s="2345">
        <v>70764.231023962318</v>
      </c>
      <c r="AH15" s="2345">
        <v>68690.197723999503</v>
      </c>
      <c r="AI15" s="2345">
        <v>66696.045120985509</v>
      </c>
      <c r="AJ15" s="2345">
        <v>64777.980259797565</v>
      </c>
      <c r="AK15" s="2345">
        <v>62932.423670956894</v>
      </c>
      <c r="AL15" s="2345">
        <v>72965.854061164529</v>
      </c>
      <c r="AM15" s="2345">
        <v>68649.872670429701</v>
      </c>
      <c r="AN15" s="2345">
        <v>71039.586510408815</v>
      </c>
      <c r="AO15" s="2345">
        <v>69802.159714129069</v>
      </c>
      <c r="AP15" s="2345">
        <v>0</v>
      </c>
      <c r="AQ15" s="2345">
        <v>0</v>
      </c>
      <c r="AR15" s="2345">
        <v>0</v>
      </c>
      <c r="AS15" s="2345">
        <v>0</v>
      </c>
      <c r="AT15" s="2345">
        <v>0</v>
      </c>
      <c r="AU15" s="2345">
        <v>0</v>
      </c>
      <c r="AV15" s="2345">
        <v>0</v>
      </c>
      <c r="AW15" s="2345">
        <v>0</v>
      </c>
      <c r="AX15" s="2467"/>
      <c r="AY15" s="2467"/>
      <c r="AZ15" s="2467"/>
      <c r="BA15" s="2467"/>
      <c r="BB15" s="2467"/>
      <c r="BC15" s="2467"/>
      <c r="BD15" s="2467"/>
      <c r="BE15" s="2467"/>
    </row>
    <row r="16" spans="1:57" ht="12" customHeight="1" x14ac:dyDescent="0.3">
      <c r="A16" s="2350" t="s">
        <v>3284</v>
      </c>
      <c r="B16" s="2345">
        <v>0</v>
      </c>
      <c r="C16" s="2345">
        <v>0</v>
      </c>
      <c r="D16" s="2345">
        <v>0</v>
      </c>
      <c r="E16" s="2345">
        <v>0</v>
      </c>
      <c r="F16" s="2345">
        <v>0</v>
      </c>
      <c r="G16" s="2345">
        <v>0</v>
      </c>
      <c r="H16" s="2345">
        <v>0</v>
      </c>
      <c r="I16" s="2345">
        <v>0</v>
      </c>
      <c r="J16" s="2345">
        <v>0</v>
      </c>
      <c r="K16" s="2345">
        <v>0</v>
      </c>
      <c r="L16" s="2345">
        <v>0</v>
      </c>
      <c r="M16" s="2345">
        <v>0</v>
      </c>
      <c r="N16" s="2345">
        <v>0</v>
      </c>
      <c r="O16" s="2345">
        <v>0</v>
      </c>
      <c r="P16" s="2345">
        <v>0</v>
      </c>
      <c r="Q16" s="2345">
        <v>0</v>
      </c>
      <c r="R16" s="2345">
        <v>0</v>
      </c>
      <c r="S16" s="2345">
        <v>0</v>
      </c>
      <c r="T16" s="2345">
        <v>0</v>
      </c>
      <c r="U16" s="2345">
        <v>0</v>
      </c>
      <c r="V16" s="2467"/>
      <c r="W16" s="2467"/>
      <c r="X16" s="2467"/>
      <c r="Y16" s="2467"/>
      <c r="Z16" s="2467"/>
      <c r="AA16" s="2467"/>
      <c r="AB16" s="2467"/>
      <c r="AC16" s="2467"/>
      <c r="AD16" s="2345">
        <v>0</v>
      </c>
      <c r="AE16" s="2345">
        <v>0</v>
      </c>
      <c r="AF16" s="2345">
        <v>0</v>
      </c>
      <c r="AG16" s="2345">
        <v>0</v>
      </c>
      <c r="AH16" s="2345">
        <v>0</v>
      </c>
      <c r="AI16" s="2345">
        <v>0</v>
      </c>
      <c r="AJ16" s="2345">
        <v>0</v>
      </c>
      <c r="AK16" s="2345">
        <v>0</v>
      </c>
      <c r="AL16" s="2345">
        <v>0</v>
      </c>
      <c r="AM16" s="2345">
        <v>0</v>
      </c>
      <c r="AN16" s="2345">
        <v>0</v>
      </c>
      <c r="AO16" s="2345">
        <v>0</v>
      </c>
      <c r="AP16" s="2345">
        <v>0</v>
      </c>
      <c r="AQ16" s="2345">
        <v>0</v>
      </c>
      <c r="AR16" s="2345">
        <v>0</v>
      </c>
      <c r="AS16" s="2345">
        <v>0</v>
      </c>
      <c r="AT16" s="2345">
        <v>0</v>
      </c>
      <c r="AU16" s="2345">
        <v>0</v>
      </c>
      <c r="AV16" s="2345">
        <v>0</v>
      </c>
      <c r="AW16" s="2345">
        <v>0</v>
      </c>
      <c r="AX16" s="2467"/>
      <c r="AY16" s="2467"/>
      <c r="AZ16" s="2467"/>
      <c r="BA16" s="2467"/>
      <c r="BB16" s="2467"/>
      <c r="BC16" s="2467"/>
      <c r="BD16" s="2467"/>
      <c r="BE16" s="2467"/>
    </row>
    <row r="17" spans="1:57" ht="12" customHeight="1" x14ac:dyDescent="0.3">
      <c r="A17" s="2348" t="s">
        <v>3334</v>
      </c>
      <c r="B17" s="2345">
        <v>0</v>
      </c>
      <c r="C17" s="2345">
        <v>0</v>
      </c>
      <c r="D17" s="2345">
        <v>0</v>
      </c>
      <c r="E17" s="2345">
        <v>0</v>
      </c>
      <c r="F17" s="2345">
        <v>0</v>
      </c>
      <c r="G17" s="2345">
        <v>0</v>
      </c>
      <c r="H17" s="2345">
        <v>0</v>
      </c>
      <c r="I17" s="2345">
        <v>0</v>
      </c>
      <c r="J17" s="2345">
        <v>0</v>
      </c>
      <c r="K17" s="2345">
        <v>0</v>
      </c>
      <c r="L17" s="2345">
        <v>0</v>
      </c>
      <c r="M17" s="2345">
        <v>0</v>
      </c>
      <c r="N17" s="2345">
        <v>0</v>
      </c>
      <c r="O17" s="2345">
        <v>0</v>
      </c>
      <c r="P17" s="2345">
        <v>0</v>
      </c>
      <c r="Q17" s="2345">
        <v>0</v>
      </c>
      <c r="R17" s="2345">
        <v>0</v>
      </c>
      <c r="S17" s="2345">
        <v>0</v>
      </c>
      <c r="T17" s="2345">
        <v>0</v>
      </c>
      <c r="U17" s="2345">
        <v>0</v>
      </c>
      <c r="V17" s="2467"/>
      <c r="W17" s="2467"/>
      <c r="X17" s="2467"/>
      <c r="Y17" s="2467"/>
      <c r="Z17" s="2467"/>
      <c r="AA17" s="2467"/>
      <c r="AB17" s="2467"/>
      <c r="AC17" s="2467"/>
      <c r="AD17" s="2345">
        <v>0</v>
      </c>
      <c r="AE17" s="2345">
        <v>0</v>
      </c>
      <c r="AF17" s="2345">
        <v>0</v>
      </c>
      <c r="AG17" s="2345">
        <v>0</v>
      </c>
      <c r="AH17" s="2345">
        <v>0</v>
      </c>
      <c r="AI17" s="2345">
        <v>0</v>
      </c>
      <c r="AJ17" s="2345">
        <v>0</v>
      </c>
      <c r="AK17" s="2345">
        <v>0</v>
      </c>
      <c r="AL17" s="2345">
        <v>0</v>
      </c>
      <c r="AM17" s="2345">
        <v>0</v>
      </c>
      <c r="AN17" s="2345">
        <v>0</v>
      </c>
      <c r="AO17" s="2345">
        <v>0</v>
      </c>
      <c r="AP17" s="2345">
        <v>0</v>
      </c>
      <c r="AQ17" s="2345">
        <v>0</v>
      </c>
      <c r="AR17" s="2345">
        <v>0</v>
      </c>
      <c r="AS17" s="2345">
        <v>0</v>
      </c>
      <c r="AT17" s="2345">
        <v>0</v>
      </c>
      <c r="AU17" s="2345">
        <v>0</v>
      </c>
      <c r="AV17" s="2345">
        <v>0</v>
      </c>
      <c r="AW17" s="2345">
        <v>0</v>
      </c>
      <c r="AX17" s="2467"/>
      <c r="AY17" s="2467"/>
      <c r="AZ17" s="2467"/>
      <c r="BA17" s="2467"/>
      <c r="BB17" s="2467"/>
      <c r="BC17" s="2467"/>
      <c r="BD17" s="2467"/>
      <c r="BE17" s="2467"/>
    </row>
    <row r="18" spans="1:57" ht="12" customHeight="1" x14ac:dyDescent="0.3">
      <c r="A18" s="2350" t="s">
        <v>3283</v>
      </c>
      <c r="B18" s="2357">
        <f t="shared" ref="B18:U18" si="2">SUM(B19:B22)+B24+B26+B28*SUM(B31:B34)</f>
        <v>15718485.344379099</v>
      </c>
      <c r="C18" s="2357">
        <f t="shared" si="2"/>
        <v>15633185.36413002</v>
      </c>
      <c r="D18" s="2357">
        <f t="shared" si="2"/>
        <v>15591266.591459651</v>
      </c>
      <c r="E18" s="2357">
        <f t="shared" si="2"/>
        <v>15564803.666700872</v>
      </c>
      <c r="F18" s="2357">
        <f t="shared" si="2"/>
        <v>15545486.857648607</v>
      </c>
      <c r="G18" s="2357">
        <f t="shared" si="2"/>
        <v>15529858.531179331</v>
      </c>
      <c r="H18" s="2357">
        <f t="shared" si="2"/>
        <v>15516267.110175235</v>
      </c>
      <c r="I18" s="2357">
        <f t="shared" si="2"/>
        <v>15503881.495538052</v>
      </c>
      <c r="J18" s="2357">
        <f t="shared" si="2"/>
        <v>15590124.526701804</v>
      </c>
      <c r="K18" s="2357">
        <f t="shared" si="2"/>
        <v>15543407.637412284</v>
      </c>
      <c r="L18" s="2357">
        <f t="shared" si="2"/>
        <v>15569723.487143319</v>
      </c>
      <c r="M18" s="2357">
        <f t="shared" si="2"/>
        <v>15557115.393647708</v>
      </c>
      <c r="N18" s="2357">
        <f t="shared" si="2"/>
        <v>197543.15842501284</v>
      </c>
      <c r="O18" s="2357">
        <f t="shared" si="2"/>
        <v>909560.53009461029</v>
      </c>
      <c r="P18" s="2357">
        <f t="shared" si="2"/>
        <v>1753898.7744372154</v>
      </c>
      <c r="Q18" s="2357">
        <f t="shared" si="2"/>
        <v>2706942.9767871853</v>
      </c>
      <c r="R18" s="2357">
        <f t="shared" si="2"/>
        <v>3740126.8108926984</v>
      </c>
      <c r="S18" s="2357">
        <f t="shared" si="2"/>
        <v>4868355.4976732973</v>
      </c>
      <c r="T18" s="2357">
        <f t="shared" si="2"/>
        <v>6089033.4160612691</v>
      </c>
      <c r="U18" s="2357">
        <f t="shared" si="2"/>
        <v>7399651.5242976928</v>
      </c>
      <c r="V18" s="2467"/>
      <c r="W18" s="2467"/>
      <c r="X18" s="2467"/>
      <c r="Y18" s="2467"/>
      <c r="Z18" s="2467"/>
      <c r="AA18" s="2467"/>
      <c r="AB18" s="2467"/>
      <c r="AC18" s="2467"/>
      <c r="AD18" s="2357">
        <f t="shared" ref="AD18:AW18" si="3">SUM(AD19:AD22)+AD24+AD26+AD28*SUM(AD31:AD34)</f>
        <v>1613032231039.6672</v>
      </c>
      <c r="AE18" s="2357">
        <f t="shared" si="3"/>
        <v>1669286651836.7827</v>
      </c>
      <c r="AF18" s="2357">
        <f t="shared" si="3"/>
        <v>1721759322337.6116</v>
      </c>
      <c r="AG18" s="2357">
        <f t="shared" si="3"/>
        <v>1770747570883.0308</v>
      </c>
      <c r="AH18" s="2357">
        <f t="shared" si="3"/>
        <v>1816522416247.8884</v>
      </c>
      <c r="AI18" s="2357">
        <f t="shared" si="3"/>
        <v>1859331130301.5576</v>
      </c>
      <c r="AJ18" s="2357">
        <f t="shared" si="3"/>
        <v>1899399532268.7637</v>
      </c>
      <c r="AK18" s="2357">
        <f t="shared" si="3"/>
        <v>1936934043840.5593</v>
      </c>
      <c r="AL18" s="2357">
        <f t="shared" si="3"/>
        <v>1744388612632.0471</v>
      </c>
      <c r="AM18" s="2357">
        <f t="shared" si="3"/>
        <v>1796236115462.0371</v>
      </c>
      <c r="AN18" s="2357">
        <f t="shared" si="3"/>
        <v>1786645798935.791</v>
      </c>
      <c r="AO18" s="2357">
        <f t="shared" si="3"/>
        <v>1769321708344.6448</v>
      </c>
      <c r="AP18" s="2357">
        <f t="shared" si="3"/>
        <v>22099557.739216261</v>
      </c>
      <c r="AQ18" s="2357">
        <f t="shared" si="3"/>
        <v>62781379.371234313</v>
      </c>
      <c r="AR18" s="2357">
        <f t="shared" si="3"/>
        <v>115654546.05161037</v>
      </c>
      <c r="AS18" s="2357">
        <f t="shared" si="3"/>
        <v>172751617.72287366</v>
      </c>
      <c r="AT18" s="2357">
        <f t="shared" si="3"/>
        <v>233928841.68530416</v>
      </c>
      <c r="AU18" s="2357">
        <f t="shared" si="3"/>
        <v>299072747.96362901</v>
      </c>
      <c r="AV18" s="2357">
        <f t="shared" si="3"/>
        <v>368064128.03466225</v>
      </c>
      <c r="AW18" s="2357">
        <f t="shared" si="3"/>
        <v>440787951.00586677</v>
      </c>
      <c r="AX18" s="2467"/>
      <c r="AY18" s="2467"/>
      <c r="AZ18" s="2467"/>
      <c r="BA18" s="2467"/>
      <c r="BB18" s="2467"/>
      <c r="BC18" s="2467"/>
      <c r="BD18" s="2467"/>
      <c r="BE18" s="2467"/>
    </row>
    <row r="19" spans="1:57" ht="12" customHeight="1" x14ac:dyDescent="0.3">
      <c r="A19" s="2380" t="s">
        <v>3282</v>
      </c>
      <c r="B19" s="2345">
        <v>5689554.1952260649</v>
      </c>
      <c r="C19" s="2345">
        <v>5688248.3654603241</v>
      </c>
      <c r="D19" s="2345">
        <v>5686946.9590157373</v>
      </c>
      <c r="E19" s="2345">
        <v>5685650.0585789271</v>
      </c>
      <c r="F19" s="2345">
        <v>5684357.7394428374</v>
      </c>
      <c r="G19" s="2345">
        <v>5683070.0699847722</v>
      </c>
      <c r="H19" s="2345">
        <v>5681787.1121123899</v>
      </c>
      <c r="I19" s="2345">
        <v>5680508.9216799624</v>
      </c>
      <c r="J19" s="2345">
        <v>5688053.9536969895</v>
      </c>
      <c r="K19" s="2345">
        <v>5683247.9954077369</v>
      </c>
      <c r="L19" s="2345">
        <v>5686917.4738740204</v>
      </c>
      <c r="M19" s="2345">
        <v>5683929.3892135173</v>
      </c>
      <c r="N19" s="2345">
        <v>5331.2583089690042</v>
      </c>
      <c r="O19" s="2345">
        <v>60076.658520984711</v>
      </c>
      <c r="P19" s="2345">
        <v>114327.58874177278</v>
      </c>
      <c r="Q19" s="2345">
        <v>168093.29310516443</v>
      </c>
      <c r="R19" s="2345">
        <v>221382.75532626896</v>
      </c>
      <c r="S19" s="2345">
        <v>274204.70845839393</v>
      </c>
      <c r="T19" s="2345">
        <v>326567.64419541199</v>
      </c>
      <c r="U19" s="2345">
        <v>378479.82174481754</v>
      </c>
      <c r="V19" s="2467"/>
      <c r="W19" s="2467"/>
      <c r="X19" s="2467"/>
      <c r="Y19" s="2467"/>
      <c r="Z19" s="2467"/>
      <c r="AA19" s="2467"/>
      <c r="AB19" s="2467"/>
      <c r="AC19" s="2467"/>
      <c r="AD19" s="2345">
        <v>0</v>
      </c>
      <c r="AE19" s="2345">
        <v>0</v>
      </c>
      <c r="AF19" s="2345">
        <v>0</v>
      </c>
      <c r="AG19" s="2345">
        <v>0</v>
      </c>
      <c r="AH19" s="2345">
        <v>0</v>
      </c>
      <c r="AI19" s="2345">
        <v>0</v>
      </c>
      <c r="AJ19" s="2345">
        <v>0</v>
      </c>
      <c r="AK19" s="2345">
        <v>0</v>
      </c>
      <c r="AL19" s="2345">
        <v>0</v>
      </c>
      <c r="AM19" s="2345">
        <v>0</v>
      </c>
      <c r="AN19" s="2345">
        <v>0</v>
      </c>
      <c r="AO19" s="2345">
        <v>0</v>
      </c>
      <c r="AP19" s="2345">
        <v>0</v>
      </c>
      <c r="AQ19" s="2345">
        <v>0</v>
      </c>
      <c r="AR19" s="2345">
        <v>0</v>
      </c>
      <c r="AS19" s="2345">
        <v>0</v>
      </c>
      <c r="AT19" s="2345">
        <v>0</v>
      </c>
      <c r="AU19" s="2345">
        <v>0</v>
      </c>
      <c r="AV19" s="2345">
        <v>0</v>
      </c>
      <c r="AW19" s="2345">
        <v>0</v>
      </c>
      <c r="AX19" s="2467"/>
      <c r="AY19" s="2467"/>
      <c r="AZ19" s="2467"/>
      <c r="BA19" s="2467"/>
      <c r="BB19" s="2467"/>
      <c r="BC19" s="2467"/>
      <c r="BD19" s="2467"/>
      <c r="BE19" s="2467"/>
    </row>
    <row r="20" spans="1:57" ht="12" customHeight="1" x14ac:dyDescent="0.3">
      <c r="A20" s="2379" t="s">
        <v>3281</v>
      </c>
      <c r="B20" s="2345">
        <v>0</v>
      </c>
      <c r="C20" s="2345">
        <v>0</v>
      </c>
      <c r="D20" s="2345">
        <v>0</v>
      </c>
      <c r="E20" s="2345">
        <v>0</v>
      </c>
      <c r="F20" s="2345">
        <v>0</v>
      </c>
      <c r="G20" s="2345">
        <v>0</v>
      </c>
      <c r="H20" s="2345">
        <v>0</v>
      </c>
      <c r="I20" s="2345">
        <v>0</v>
      </c>
      <c r="J20" s="2345">
        <v>0</v>
      </c>
      <c r="K20" s="2345">
        <v>0</v>
      </c>
      <c r="L20" s="2345">
        <v>0</v>
      </c>
      <c r="M20" s="2345">
        <v>0</v>
      </c>
      <c r="N20" s="2345">
        <v>0</v>
      </c>
      <c r="O20" s="2345">
        <v>0</v>
      </c>
      <c r="P20" s="2345">
        <v>0</v>
      </c>
      <c r="Q20" s="2345">
        <v>0</v>
      </c>
      <c r="R20" s="2345">
        <v>0</v>
      </c>
      <c r="S20" s="2345">
        <v>0</v>
      </c>
      <c r="T20" s="2345">
        <v>0</v>
      </c>
      <c r="U20" s="2345">
        <v>0</v>
      </c>
      <c r="V20" s="2467"/>
      <c r="W20" s="2467"/>
      <c r="X20" s="2467"/>
      <c r="Y20" s="2467"/>
      <c r="Z20" s="2467"/>
      <c r="AA20" s="2467"/>
      <c r="AB20" s="2467"/>
      <c r="AC20" s="2467"/>
      <c r="AD20" s="2345">
        <v>2944240.0776802758</v>
      </c>
      <c r="AE20" s="2345">
        <v>2943545.8685008823</v>
      </c>
      <c r="AF20" s="2345">
        <v>2942858.8438684344</v>
      </c>
      <c r="AG20" s="2345">
        <v>2942178.8592781411</v>
      </c>
      <c r="AH20" s="2345">
        <v>2941505.7745146439</v>
      </c>
      <c r="AI20" s="2345">
        <v>2940839.4534844407</v>
      </c>
      <c r="AJ20" s="2345">
        <v>2940179.7640563911</v>
      </c>
      <c r="AK20" s="2345">
        <v>2939526.5779098542</v>
      </c>
      <c r="AL20" s="2345">
        <v>2943849.6410710239</v>
      </c>
      <c r="AM20" s="2345">
        <v>2940549.1133593237</v>
      </c>
      <c r="AN20" s="2345">
        <v>2943245.758191756</v>
      </c>
      <c r="AO20" s="2345">
        <v>2940882.9177936949</v>
      </c>
      <c r="AP20" s="2345">
        <v>-43629.516171416872</v>
      </c>
      <c r="AQ20" s="2345">
        <v>-15459.918963763652</v>
      </c>
      <c r="AR20" s="2345">
        <v>12455.995439593051</v>
      </c>
      <c r="AS20" s="2345">
        <v>40122.961338472669</v>
      </c>
      <c r="AT20" s="2345">
        <v>67545.579850957147</v>
      </c>
      <c r="AU20" s="2345">
        <v>94728.323896918198</v>
      </c>
      <c r="AV20" s="2345">
        <v>121675.54294963539</v>
      </c>
      <c r="AW20" s="2345">
        <v>148391.46756838437</v>
      </c>
      <c r="AX20" s="2467"/>
      <c r="AY20" s="2467"/>
      <c r="AZ20" s="2467"/>
      <c r="BA20" s="2467"/>
      <c r="BB20" s="2467"/>
      <c r="BC20" s="2467"/>
      <c r="BD20" s="2467"/>
      <c r="BE20" s="2467"/>
    </row>
    <row r="21" spans="1:57" ht="12" customHeight="1" x14ac:dyDescent="0.3">
      <c r="A21" s="2380" t="s">
        <v>3280</v>
      </c>
      <c r="B21" s="2345">
        <v>0</v>
      </c>
      <c r="C21" s="2345">
        <v>0</v>
      </c>
      <c r="D21" s="2345">
        <v>0</v>
      </c>
      <c r="E21" s="2345">
        <v>0</v>
      </c>
      <c r="F21" s="2345">
        <v>0</v>
      </c>
      <c r="G21" s="2345">
        <v>0</v>
      </c>
      <c r="H21" s="2345">
        <v>0</v>
      </c>
      <c r="I21" s="2345">
        <v>0</v>
      </c>
      <c r="J21" s="2345">
        <v>0</v>
      </c>
      <c r="K21" s="2345">
        <v>0</v>
      </c>
      <c r="L21" s="2345">
        <v>0</v>
      </c>
      <c r="M21" s="2345">
        <v>0</v>
      </c>
      <c r="N21" s="2345">
        <v>0</v>
      </c>
      <c r="O21" s="2345">
        <v>0</v>
      </c>
      <c r="P21" s="2345">
        <v>0</v>
      </c>
      <c r="Q21" s="2345">
        <v>0</v>
      </c>
      <c r="R21" s="2345">
        <v>0</v>
      </c>
      <c r="S21" s="2345">
        <v>0</v>
      </c>
      <c r="T21" s="2345">
        <v>0</v>
      </c>
      <c r="U21" s="2345">
        <v>0</v>
      </c>
      <c r="V21" s="2467"/>
      <c r="W21" s="2467"/>
      <c r="X21" s="2467"/>
      <c r="Y21" s="2467"/>
      <c r="Z21" s="2467"/>
      <c r="AA21" s="2467"/>
      <c r="AB21" s="2467"/>
      <c r="AC21" s="2467"/>
      <c r="AD21" s="2345">
        <v>3664005.8253346947</v>
      </c>
      <c r="AE21" s="2345">
        <v>3530616.754534225</v>
      </c>
      <c r="AF21" s="2345">
        <v>3404926.7534794486</v>
      </c>
      <c r="AG21" s="2345">
        <v>3286222.8359564897</v>
      </c>
      <c r="AH21" s="2345">
        <v>3173960.2519834451</v>
      </c>
      <c r="AI21" s="2345">
        <v>3067679.1281977217</v>
      </c>
      <c r="AJ21" s="2345">
        <v>2966971.8821641188</v>
      </c>
      <c r="AK21" s="2345">
        <v>2871469.0980688664</v>
      </c>
      <c r="AL21" s="2345">
        <v>3375362.6052626092</v>
      </c>
      <c r="AM21" s="2345">
        <v>3200304.4645968368</v>
      </c>
      <c r="AN21" s="2345">
        <v>3271583.2253546854</v>
      </c>
      <c r="AO21" s="2345">
        <v>3264674.6414715187</v>
      </c>
      <c r="AP21" s="2345">
        <v>54935.490796235463</v>
      </c>
      <c r="AQ21" s="2345">
        <v>54935.490796235485</v>
      </c>
      <c r="AR21" s="2345">
        <v>54935.490796235477</v>
      </c>
      <c r="AS21" s="2345">
        <v>54935.490796235455</v>
      </c>
      <c r="AT21" s="2345">
        <v>54935.49079623547</v>
      </c>
      <c r="AU21" s="2345">
        <v>54935.490796235499</v>
      </c>
      <c r="AV21" s="2345">
        <v>54935.49079623547</v>
      </c>
      <c r="AW21" s="2345">
        <v>54935.490796235485</v>
      </c>
      <c r="AX21" s="2467"/>
      <c r="AY21" s="2467"/>
      <c r="AZ21" s="2467"/>
      <c r="BA21" s="2467"/>
      <c r="BB21" s="2467"/>
      <c r="BC21" s="2467"/>
      <c r="BD21" s="2467"/>
      <c r="BE21" s="2467"/>
    </row>
    <row r="22" spans="1:57" ht="12" customHeight="1" x14ac:dyDescent="0.3">
      <c r="A22" s="2380" t="s">
        <v>3279</v>
      </c>
      <c r="B22" s="2345">
        <v>5627026.5609969059</v>
      </c>
      <c r="C22" s="2345">
        <v>5565483.5810994729</v>
      </c>
      <c r="D22" s="2345">
        <v>5535500.3519842625</v>
      </c>
      <c r="E22" s="2345">
        <v>5517520.4904752709</v>
      </c>
      <c r="F22" s="2345">
        <v>5505184.671948649</v>
      </c>
      <c r="G22" s="2345">
        <v>5495761.4977972861</v>
      </c>
      <c r="H22" s="2345">
        <v>5487938.1876091305</v>
      </c>
      <c r="I22" s="2345">
        <v>5481052.4014378628</v>
      </c>
      <c r="J22" s="2345">
        <v>5530484.4104675315</v>
      </c>
      <c r="K22" s="2345">
        <v>5507053.5579823582</v>
      </c>
      <c r="L22" s="2345">
        <v>5517453.0636100108</v>
      </c>
      <c r="M22" s="2345">
        <v>5516429.4515517997</v>
      </c>
      <c r="N22" s="2345">
        <v>9130.9465518549969</v>
      </c>
      <c r="O22" s="2345">
        <v>28547.487759052463</v>
      </c>
      <c r="P22" s="2345">
        <v>56738.677228233995</v>
      </c>
      <c r="Q22" s="2345">
        <v>87638.510167858258</v>
      </c>
      <c r="R22" s="2345">
        <v>108994.93532440678</v>
      </c>
      <c r="S22" s="2345">
        <v>130163.84922361997</v>
      </c>
      <c r="T22" s="2345">
        <v>151148.66169711982</v>
      </c>
      <c r="U22" s="2345">
        <v>171952.68910410043</v>
      </c>
      <c r="V22" s="2467"/>
      <c r="W22" s="2467"/>
      <c r="X22" s="2467"/>
      <c r="Y22" s="2467"/>
      <c r="Z22" s="2467"/>
      <c r="AA22" s="2467"/>
      <c r="AB22" s="2467"/>
      <c r="AC22" s="2467"/>
      <c r="AD22" s="2345">
        <v>14835749.005584523</v>
      </c>
      <c r="AE22" s="2345">
        <v>14419644.43458828</v>
      </c>
      <c r="AF22" s="2345">
        <v>14040441.227488587</v>
      </c>
      <c r="AG22" s="2345">
        <v>13693911.80221043</v>
      </c>
      <c r="AH22" s="2345">
        <v>13376382.464116283</v>
      </c>
      <c r="AI22" s="2345">
        <v>13084653.788940407</v>
      </c>
      <c r="AJ22" s="2345">
        <v>12815933.316543475</v>
      </c>
      <c r="AK22" s="2345">
        <v>12567778.531370586</v>
      </c>
      <c r="AL22" s="2345">
        <v>13873573.930393426</v>
      </c>
      <c r="AM22" s="2345">
        <v>13520238.91506218</v>
      </c>
      <c r="AN22" s="2345">
        <v>13581715.674608966</v>
      </c>
      <c r="AO22" s="2345">
        <v>13713238.952100791</v>
      </c>
      <c r="AP22" s="2345">
        <v>10627.964293293497</v>
      </c>
      <c r="AQ22" s="2345">
        <v>31881.422639108114</v>
      </c>
      <c r="AR22" s="2345">
        <v>58446.572181758631</v>
      </c>
      <c r="AS22" s="2345">
        <v>86034.579927033046</v>
      </c>
      <c r="AT22" s="2345">
        <v>109433.11356460226</v>
      </c>
      <c r="AU22" s="2345">
        <v>132626.57862755776</v>
      </c>
      <c r="AV22" s="2345">
        <v>155618.69779764515</v>
      </c>
      <c r="AW22" s="2345">
        <v>178413.09188036222</v>
      </c>
      <c r="AX22" s="2467"/>
      <c r="AY22" s="2467"/>
      <c r="AZ22" s="2467"/>
      <c r="BA22" s="2467"/>
      <c r="BB22" s="2467"/>
      <c r="BC22" s="2467"/>
      <c r="BD22" s="2467"/>
      <c r="BE22" s="2467"/>
    </row>
    <row r="23" spans="1:57" s="2382" customFormat="1" ht="12" customHeight="1" x14ac:dyDescent="0.3">
      <c r="A23" s="2356" t="s">
        <v>3276</v>
      </c>
      <c r="B23" s="2345">
        <v>0</v>
      </c>
      <c r="C23" s="2345">
        <v>0</v>
      </c>
      <c r="D23" s="2345">
        <v>0</v>
      </c>
      <c r="E23" s="2345">
        <v>0</v>
      </c>
      <c r="F23" s="2345">
        <v>0</v>
      </c>
      <c r="G23" s="2345">
        <v>0</v>
      </c>
      <c r="H23" s="2345">
        <v>0</v>
      </c>
      <c r="I23" s="2345">
        <v>0</v>
      </c>
      <c r="J23" s="2345">
        <v>0</v>
      </c>
      <c r="K23" s="2345">
        <v>0</v>
      </c>
      <c r="L23" s="2345">
        <v>0</v>
      </c>
      <c r="M23" s="2345">
        <v>0</v>
      </c>
      <c r="N23" s="2345">
        <v>0</v>
      </c>
      <c r="O23" s="2345">
        <v>0</v>
      </c>
      <c r="P23" s="2345">
        <v>0</v>
      </c>
      <c r="Q23" s="2345">
        <v>0</v>
      </c>
      <c r="R23" s="2345">
        <v>0</v>
      </c>
      <c r="S23" s="2345">
        <v>0</v>
      </c>
      <c r="T23" s="2345">
        <v>0</v>
      </c>
      <c r="U23" s="2345">
        <v>0</v>
      </c>
      <c r="V23" s="2473"/>
      <c r="W23" s="2473"/>
      <c r="X23" s="2473"/>
      <c r="Y23" s="2473"/>
      <c r="Z23" s="2473"/>
      <c r="AA23" s="2473"/>
      <c r="AB23" s="2473"/>
      <c r="AC23" s="2473"/>
      <c r="AD23" s="2345">
        <v>0</v>
      </c>
      <c r="AE23" s="2345">
        <v>0</v>
      </c>
      <c r="AF23" s="2345">
        <v>0</v>
      </c>
      <c r="AG23" s="2345">
        <v>0</v>
      </c>
      <c r="AH23" s="2345">
        <v>0</v>
      </c>
      <c r="AI23" s="2345">
        <v>0</v>
      </c>
      <c r="AJ23" s="2345">
        <v>0</v>
      </c>
      <c r="AK23" s="2345">
        <v>0</v>
      </c>
      <c r="AL23" s="2345">
        <v>0</v>
      </c>
      <c r="AM23" s="2345">
        <v>0</v>
      </c>
      <c r="AN23" s="2345">
        <v>0</v>
      </c>
      <c r="AO23" s="2345">
        <v>0</v>
      </c>
      <c r="AP23" s="2345">
        <v>0</v>
      </c>
      <c r="AQ23" s="2345">
        <v>0</v>
      </c>
      <c r="AR23" s="2345">
        <v>0</v>
      </c>
      <c r="AS23" s="2345">
        <v>0</v>
      </c>
      <c r="AT23" s="2345">
        <v>0</v>
      </c>
      <c r="AU23" s="2345">
        <v>0</v>
      </c>
      <c r="AV23" s="2345">
        <v>0</v>
      </c>
      <c r="AW23" s="2345">
        <v>0</v>
      </c>
      <c r="AX23" s="2473"/>
      <c r="AY23" s="2473"/>
      <c r="AZ23" s="2473"/>
      <c r="BA23" s="2473"/>
      <c r="BB23" s="2473"/>
      <c r="BC23" s="2473"/>
      <c r="BD23" s="2473"/>
      <c r="BE23" s="2473"/>
    </row>
    <row r="24" spans="1:57" ht="12" customHeight="1" x14ac:dyDescent="0.3">
      <c r="A24" s="2380" t="s">
        <v>3278</v>
      </c>
      <c r="B24" s="2345">
        <v>1404224.8232950049</v>
      </c>
      <c r="C24" s="2345">
        <v>1388866.7688883431</v>
      </c>
      <c r="D24" s="2345">
        <v>1381384.4522243426</v>
      </c>
      <c r="E24" s="2345">
        <v>1376897.5766824118</v>
      </c>
      <c r="F24" s="2345">
        <v>1373819.1724127729</v>
      </c>
      <c r="G24" s="2345">
        <v>1371467.6187255566</v>
      </c>
      <c r="H24" s="2345">
        <v>1369515.311188448</v>
      </c>
      <c r="I24" s="2345">
        <v>1367796.9628272343</v>
      </c>
      <c r="J24" s="2345">
        <v>1380132.7237113104</v>
      </c>
      <c r="K24" s="2345">
        <v>1374285.5530370681</v>
      </c>
      <c r="L24" s="2345">
        <v>1376880.7503040524</v>
      </c>
      <c r="M24" s="2345">
        <v>1376625.3078521672</v>
      </c>
      <c r="N24" s="2345">
        <v>2278.6282718422317</v>
      </c>
      <c r="O24" s="2345">
        <v>7124.0273205445419</v>
      </c>
      <c r="P24" s="2345">
        <v>14159.140381006813</v>
      </c>
      <c r="Q24" s="2345">
        <v>21870.195585587517</v>
      </c>
      <c r="R24" s="2345">
        <v>27199.692792786467</v>
      </c>
      <c r="S24" s="2345">
        <v>32482.396554220908</v>
      </c>
      <c r="T24" s="2345">
        <v>37719.157793581144</v>
      </c>
      <c r="U24" s="2345">
        <v>42910.804108507407</v>
      </c>
      <c r="V24" s="2467"/>
      <c r="W24" s="2467"/>
      <c r="X24" s="2467"/>
      <c r="Y24" s="2467"/>
      <c r="Z24" s="2467"/>
      <c r="AA24" s="2467"/>
      <c r="AB24" s="2467"/>
      <c r="AC24" s="2467"/>
      <c r="AD24" s="2345">
        <v>3702262.0739371721</v>
      </c>
      <c r="AE24" s="2345">
        <v>3598423.1527333017</v>
      </c>
      <c r="AF24" s="2345">
        <v>3503792.9691522722</v>
      </c>
      <c r="AG24" s="2345">
        <v>3417316.5298280674</v>
      </c>
      <c r="AH24" s="2345">
        <v>3338077.0640386543</v>
      </c>
      <c r="AI24" s="2345">
        <v>3265276.1552623576</v>
      </c>
      <c r="AJ24" s="2345">
        <v>3198216.9449002016</v>
      </c>
      <c r="AK24" s="2345">
        <v>3136289.9030457074</v>
      </c>
      <c r="AL24" s="2345">
        <v>3462151.2249313858</v>
      </c>
      <c r="AM24" s="2345">
        <v>3373976.4501921749</v>
      </c>
      <c r="AN24" s="2345">
        <v>3389317.9793062736</v>
      </c>
      <c r="AO24" s="2345">
        <v>3422139.6212681727</v>
      </c>
      <c r="AP24" s="2345">
        <v>2652.2091410017583</v>
      </c>
      <c r="AQ24" s="2345">
        <v>7956.0109742690738</v>
      </c>
      <c r="AR24" s="2345">
        <v>14585.34567137151</v>
      </c>
      <c r="AS24" s="2345">
        <v>21469.934695651133</v>
      </c>
      <c r="AT24" s="2345">
        <v>27309.040199492367</v>
      </c>
      <c r="AU24" s="2345">
        <v>33096.970827965801</v>
      </c>
      <c r="AV24" s="2345">
        <v>38834.655576529301</v>
      </c>
      <c r="AW24" s="2345">
        <v>44522.99801741683</v>
      </c>
      <c r="AX24" s="2467"/>
      <c r="AY24" s="2467"/>
      <c r="AZ24" s="2467"/>
      <c r="BA24" s="2467"/>
      <c r="BB24" s="2467"/>
      <c r="BC24" s="2467"/>
      <c r="BD24" s="2467"/>
      <c r="BE24" s="2467"/>
    </row>
    <row r="25" spans="1:57" s="2382" customFormat="1" ht="12" customHeight="1" x14ac:dyDescent="0.3">
      <c r="A25" s="2381" t="s">
        <v>3276</v>
      </c>
      <c r="B25" s="2368">
        <v>0</v>
      </c>
      <c r="C25" s="2368">
        <v>0</v>
      </c>
      <c r="D25" s="2368">
        <v>0</v>
      </c>
      <c r="E25" s="2368">
        <v>0</v>
      </c>
      <c r="F25" s="2368">
        <v>0</v>
      </c>
      <c r="G25" s="2368">
        <v>0</v>
      </c>
      <c r="H25" s="2368">
        <v>0</v>
      </c>
      <c r="I25" s="2368">
        <v>0</v>
      </c>
      <c r="J25" s="2368">
        <v>0</v>
      </c>
      <c r="K25" s="2368">
        <v>0</v>
      </c>
      <c r="L25" s="2368">
        <v>0</v>
      </c>
      <c r="M25" s="2368">
        <v>0</v>
      </c>
      <c r="N25" s="2368">
        <v>0</v>
      </c>
      <c r="O25" s="2368">
        <v>0</v>
      </c>
      <c r="P25" s="2368">
        <v>0</v>
      </c>
      <c r="Q25" s="2368">
        <v>0</v>
      </c>
      <c r="R25" s="2368">
        <v>0</v>
      </c>
      <c r="S25" s="2368">
        <v>0</v>
      </c>
      <c r="T25" s="2368">
        <v>0</v>
      </c>
      <c r="U25" s="2368">
        <v>0</v>
      </c>
      <c r="V25" s="2473"/>
      <c r="W25" s="2473"/>
      <c r="X25" s="2473"/>
      <c r="Y25" s="2473"/>
      <c r="Z25" s="2473"/>
      <c r="AA25" s="2473"/>
      <c r="AB25" s="2473"/>
      <c r="AC25" s="2473"/>
      <c r="AD25" s="2368">
        <v>0</v>
      </c>
      <c r="AE25" s="2368">
        <v>0</v>
      </c>
      <c r="AF25" s="2368">
        <v>0</v>
      </c>
      <c r="AG25" s="2368">
        <v>0</v>
      </c>
      <c r="AH25" s="2368">
        <v>0</v>
      </c>
      <c r="AI25" s="2368">
        <v>0</v>
      </c>
      <c r="AJ25" s="2368">
        <v>0</v>
      </c>
      <c r="AK25" s="2368">
        <v>0</v>
      </c>
      <c r="AL25" s="2368">
        <v>0</v>
      </c>
      <c r="AM25" s="2368">
        <v>0</v>
      </c>
      <c r="AN25" s="2368">
        <v>0</v>
      </c>
      <c r="AO25" s="2368">
        <v>0</v>
      </c>
      <c r="AP25" s="2368">
        <v>0</v>
      </c>
      <c r="AQ25" s="2368">
        <v>0</v>
      </c>
      <c r="AR25" s="2368">
        <v>0</v>
      </c>
      <c r="AS25" s="2368">
        <v>0</v>
      </c>
      <c r="AT25" s="2368">
        <v>0</v>
      </c>
      <c r="AU25" s="2368">
        <v>0</v>
      </c>
      <c r="AV25" s="2368">
        <v>0</v>
      </c>
      <c r="AW25" s="2368">
        <v>0</v>
      </c>
      <c r="AX25" s="2473"/>
      <c r="AY25" s="2473"/>
      <c r="AZ25" s="2473"/>
      <c r="BA25" s="2473"/>
      <c r="BB25" s="2473"/>
      <c r="BC25" s="2473"/>
      <c r="BD25" s="2473"/>
      <c r="BE25" s="2473"/>
    </row>
    <row r="26" spans="1:57" ht="12" customHeight="1" x14ac:dyDescent="0.3">
      <c r="A26" s="2380" t="s">
        <v>3277</v>
      </c>
      <c r="B26" s="2345">
        <v>2997679.7648611241</v>
      </c>
      <c r="C26" s="2345">
        <v>2990586.64868188</v>
      </c>
      <c r="D26" s="2345">
        <v>2987434.8282353068</v>
      </c>
      <c r="E26" s="2345">
        <v>2984735.540964263</v>
      </c>
      <c r="F26" s="2345">
        <v>2982125.2738443483</v>
      </c>
      <c r="G26" s="2345">
        <v>2979559.3446717151</v>
      </c>
      <c r="H26" s="2345">
        <v>2977026.4992652661</v>
      </c>
      <c r="I26" s="2345">
        <v>2974523.2095929915</v>
      </c>
      <c r="J26" s="2345">
        <v>2991453.4388259733</v>
      </c>
      <c r="K26" s="2345">
        <v>2978820.5309851202</v>
      </c>
      <c r="L26" s="2345">
        <v>2988472.1993552363</v>
      </c>
      <c r="M26" s="2345">
        <v>2980131.2450302239</v>
      </c>
      <c r="N26" s="2345">
        <v>2008.4998606624495</v>
      </c>
      <c r="O26" s="2345">
        <v>6962.7375507435017</v>
      </c>
      <c r="P26" s="2345">
        <v>14269.746056159469</v>
      </c>
      <c r="Q26" s="2345">
        <v>26090.372487448625</v>
      </c>
      <c r="R26" s="2345">
        <v>31953.610805309851</v>
      </c>
      <c r="S26" s="2345">
        <v>37765.330608480959</v>
      </c>
      <c r="T26" s="2345">
        <v>43526.469528092697</v>
      </c>
      <c r="U26" s="2345">
        <v>49237.939470245939</v>
      </c>
      <c r="V26" s="2467"/>
      <c r="W26" s="2467"/>
      <c r="X26" s="2467"/>
      <c r="Y26" s="2467"/>
      <c r="Z26" s="2467"/>
      <c r="AA26" s="2467"/>
      <c r="AB26" s="2467"/>
      <c r="AC26" s="2467"/>
      <c r="AD26" s="2345">
        <v>5545165.1901016617</v>
      </c>
      <c r="AE26" s="2345">
        <v>5528934.0260906359</v>
      </c>
      <c r="AF26" s="2345">
        <v>5513023.254479574</v>
      </c>
      <c r="AG26" s="2345">
        <v>5497423.1908339802</v>
      </c>
      <c r="AH26" s="2345">
        <v>5482124.5387503393</v>
      </c>
      <c r="AI26" s="2345">
        <v>5467118.3706340902</v>
      </c>
      <c r="AJ26" s="2345">
        <v>5452396.1096065287</v>
      </c>
      <c r="AK26" s="2345">
        <v>5437949.5124642085</v>
      </c>
      <c r="AL26" s="2345">
        <v>5526674.2463061782</v>
      </c>
      <c r="AM26" s="2345">
        <v>5469168.9891382959</v>
      </c>
      <c r="AN26" s="2345">
        <v>5512706.0016346294</v>
      </c>
      <c r="AO26" s="2345">
        <v>5477051.1793533489</v>
      </c>
      <c r="AP26" s="2345">
        <v>6049.5151598047705</v>
      </c>
      <c r="AQ26" s="2345">
        <v>18628.361148157037</v>
      </c>
      <c r="AR26" s="2345">
        <v>34091.172908433378</v>
      </c>
      <c r="AS26" s="2345">
        <v>53393.898352364697</v>
      </c>
      <c r="AT26" s="2345">
        <v>67441.263689381522</v>
      </c>
      <c r="AU26" s="2345">
        <v>81365.505768835792</v>
      </c>
      <c r="AV26" s="2345">
        <v>95168.860320925916</v>
      </c>
      <c r="AW26" s="2345">
        <v>108853.50187087938</v>
      </c>
      <c r="AX26" s="2467"/>
      <c r="AY26" s="2467"/>
      <c r="AZ26" s="2467"/>
      <c r="BA26" s="2467"/>
      <c r="BB26" s="2467"/>
      <c r="BC26" s="2467"/>
      <c r="BD26" s="2467"/>
      <c r="BE26" s="2467"/>
    </row>
    <row r="27" spans="1:57" s="2382" customFormat="1" ht="12" customHeight="1" x14ac:dyDescent="0.3">
      <c r="A27" s="2381" t="s">
        <v>3276</v>
      </c>
      <c r="B27" s="2368">
        <v>0</v>
      </c>
      <c r="C27" s="2368">
        <v>0</v>
      </c>
      <c r="D27" s="2368">
        <v>0</v>
      </c>
      <c r="E27" s="2368">
        <v>0</v>
      </c>
      <c r="F27" s="2368">
        <v>0</v>
      </c>
      <c r="G27" s="2368">
        <v>0</v>
      </c>
      <c r="H27" s="2368">
        <v>0</v>
      </c>
      <c r="I27" s="2368">
        <v>0</v>
      </c>
      <c r="J27" s="2368">
        <v>0</v>
      </c>
      <c r="K27" s="2368">
        <v>0</v>
      </c>
      <c r="L27" s="2368">
        <v>0</v>
      </c>
      <c r="M27" s="2368">
        <v>0</v>
      </c>
      <c r="N27" s="2368">
        <v>0</v>
      </c>
      <c r="O27" s="2368">
        <v>0</v>
      </c>
      <c r="P27" s="2368">
        <v>0</v>
      </c>
      <c r="Q27" s="2368">
        <v>0</v>
      </c>
      <c r="R27" s="2368">
        <v>0</v>
      </c>
      <c r="S27" s="2368">
        <v>0</v>
      </c>
      <c r="T27" s="2368">
        <v>0</v>
      </c>
      <c r="U27" s="2368">
        <v>0</v>
      </c>
      <c r="V27" s="2473"/>
      <c r="W27" s="2473"/>
      <c r="X27" s="2473"/>
      <c r="Y27" s="2473"/>
      <c r="Z27" s="2473"/>
      <c r="AA27" s="2473"/>
      <c r="AB27" s="2473"/>
      <c r="AC27" s="2473"/>
      <c r="AD27" s="2368">
        <v>0</v>
      </c>
      <c r="AE27" s="2368">
        <v>0</v>
      </c>
      <c r="AF27" s="2368">
        <v>0</v>
      </c>
      <c r="AG27" s="2368">
        <v>0</v>
      </c>
      <c r="AH27" s="2368">
        <v>0</v>
      </c>
      <c r="AI27" s="2368">
        <v>0</v>
      </c>
      <c r="AJ27" s="2368">
        <v>0</v>
      </c>
      <c r="AK27" s="2368">
        <v>0</v>
      </c>
      <c r="AL27" s="2368">
        <v>0</v>
      </c>
      <c r="AM27" s="2368">
        <v>0</v>
      </c>
      <c r="AN27" s="2368">
        <v>0</v>
      </c>
      <c r="AO27" s="2368">
        <v>0</v>
      </c>
      <c r="AP27" s="2368">
        <v>0</v>
      </c>
      <c r="AQ27" s="2368">
        <v>0</v>
      </c>
      <c r="AR27" s="2368">
        <v>0</v>
      </c>
      <c r="AS27" s="2368">
        <v>0</v>
      </c>
      <c r="AT27" s="2368">
        <v>0</v>
      </c>
      <c r="AU27" s="2368">
        <v>0</v>
      </c>
      <c r="AV27" s="2368">
        <v>0</v>
      </c>
      <c r="AW27" s="2368">
        <v>0</v>
      </c>
      <c r="AX27" s="2473"/>
      <c r="AY27" s="2473"/>
      <c r="AZ27" s="2473"/>
      <c r="BA27" s="2473"/>
      <c r="BB27" s="2473"/>
      <c r="BC27" s="2473"/>
      <c r="BD27" s="2473"/>
      <c r="BE27" s="2473"/>
    </row>
    <row r="28" spans="1:57" ht="12" customHeight="1" x14ac:dyDescent="0.3">
      <c r="A28" s="2380" t="s">
        <v>3275</v>
      </c>
      <c r="B28" s="2345">
        <v>0</v>
      </c>
      <c r="C28" s="2345">
        <v>0</v>
      </c>
      <c r="D28" s="2345">
        <v>0</v>
      </c>
      <c r="E28" s="2345">
        <v>0</v>
      </c>
      <c r="F28" s="2345">
        <v>0</v>
      </c>
      <c r="G28" s="2345">
        <v>0</v>
      </c>
      <c r="H28" s="2345">
        <v>0</v>
      </c>
      <c r="I28" s="2345">
        <v>0</v>
      </c>
      <c r="J28" s="2345">
        <v>0</v>
      </c>
      <c r="K28" s="2345">
        <v>0</v>
      </c>
      <c r="L28" s="2345">
        <v>0</v>
      </c>
      <c r="M28" s="2345">
        <v>0</v>
      </c>
      <c r="N28" s="2345">
        <v>11.800762749430742</v>
      </c>
      <c r="O28" s="2345">
        <v>11.844530854419535</v>
      </c>
      <c r="P28" s="2345">
        <v>12.889294274414462</v>
      </c>
      <c r="Q28" s="2345">
        <v>13.924638458427394</v>
      </c>
      <c r="R28" s="2345">
        <v>14.950739397110866</v>
      </c>
      <c r="S28" s="2345">
        <v>15.967768124165161</v>
      </c>
      <c r="T28" s="2345">
        <v>16.975890902059252</v>
      </c>
      <c r="U28" s="2345">
        <v>17.975269399094671</v>
      </c>
      <c r="V28" s="2467"/>
      <c r="W28" s="2467"/>
      <c r="X28" s="2467"/>
      <c r="Y28" s="2467"/>
      <c r="Z28" s="2467"/>
      <c r="AA28" s="2467"/>
      <c r="AB28" s="2467"/>
      <c r="AC28" s="2467"/>
      <c r="AD28" s="2345">
        <v>481955.76497425657</v>
      </c>
      <c r="AE28" s="2345">
        <v>481942.48293253069</v>
      </c>
      <c r="AF28" s="2345">
        <v>481929.33352651447</v>
      </c>
      <c r="AG28" s="2345">
        <v>481916.31413686596</v>
      </c>
      <c r="AH28" s="2345">
        <v>481903.42222104257</v>
      </c>
      <c r="AI28" s="2345">
        <v>481890.65531032876</v>
      </c>
      <c r="AJ28" s="2345">
        <v>481878.0110070057</v>
      </c>
      <c r="AK28" s="2345">
        <v>481865.48698165518</v>
      </c>
      <c r="AL28" s="2345">
        <v>481948.70880953217</v>
      </c>
      <c r="AM28" s="2345">
        <v>481884.69736074383</v>
      </c>
      <c r="AN28" s="2345">
        <v>481937.20740227815</v>
      </c>
      <c r="AO28" s="2345">
        <v>481891.03652190557</v>
      </c>
      <c r="AP28" s="2345">
        <v>333.45686296119459</v>
      </c>
      <c r="AQ28" s="2345">
        <v>898.81490288488487</v>
      </c>
      <c r="AR28" s="2345">
        <v>1576.3174718622563</v>
      </c>
      <c r="AS28" s="2345">
        <v>2247.7682379682674</v>
      </c>
      <c r="AT28" s="2345">
        <v>2913.2791316372968</v>
      </c>
      <c r="AU28" s="2345">
        <v>3572.9589631966232</v>
      </c>
      <c r="AV28" s="2345">
        <v>4226.9135385529962</v>
      </c>
      <c r="AW28" s="2345">
        <v>4875.2457695451139</v>
      </c>
      <c r="AX28" s="2467"/>
      <c r="AY28" s="2467"/>
      <c r="AZ28" s="2467"/>
      <c r="BA28" s="2467"/>
      <c r="BB28" s="2467"/>
      <c r="BC28" s="2467"/>
      <c r="BD28" s="2467"/>
      <c r="BE28" s="2467"/>
    </row>
    <row r="29" spans="1:57" ht="12" customHeight="1" x14ac:dyDescent="0.3">
      <c r="A29" s="2381" t="s">
        <v>3274</v>
      </c>
      <c r="B29" s="2345">
        <v>0</v>
      </c>
      <c r="C29" s="2345">
        <v>0</v>
      </c>
      <c r="D29" s="2345">
        <v>0</v>
      </c>
      <c r="E29" s="2345">
        <v>0</v>
      </c>
      <c r="F29" s="2345">
        <v>0</v>
      </c>
      <c r="G29" s="2345">
        <v>0</v>
      </c>
      <c r="H29" s="2345">
        <v>0</v>
      </c>
      <c r="I29" s="2345">
        <v>0</v>
      </c>
      <c r="J29" s="2345">
        <v>0</v>
      </c>
      <c r="K29" s="2345">
        <v>0</v>
      </c>
      <c r="L29" s="2345">
        <v>0</v>
      </c>
      <c r="M29" s="2345">
        <v>0</v>
      </c>
      <c r="N29" s="2345">
        <v>0</v>
      </c>
      <c r="O29" s="2345">
        <v>0</v>
      </c>
      <c r="P29" s="2345">
        <v>0</v>
      </c>
      <c r="Q29" s="2345">
        <v>0</v>
      </c>
      <c r="R29" s="2345">
        <v>0</v>
      </c>
      <c r="S29" s="2345">
        <v>0</v>
      </c>
      <c r="T29" s="2345">
        <v>0</v>
      </c>
      <c r="U29" s="2345">
        <v>0</v>
      </c>
      <c r="V29" s="2467"/>
      <c r="W29" s="2467"/>
      <c r="X29" s="2467"/>
      <c r="Y29" s="2467"/>
      <c r="Z29" s="2467"/>
      <c r="AA29" s="2467"/>
      <c r="AB29" s="2467"/>
      <c r="AC29" s="2467"/>
      <c r="AD29" s="2345">
        <v>0</v>
      </c>
      <c r="AE29" s="2345">
        <v>0</v>
      </c>
      <c r="AF29" s="2345">
        <v>0</v>
      </c>
      <c r="AG29" s="2345">
        <v>0</v>
      </c>
      <c r="AH29" s="2345">
        <v>0</v>
      </c>
      <c r="AI29" s="2345">
        <v>0</v>
      </c>
      <c r="AJ29" s="2345">
        <v>0</v>
      </c>
      <c r="AK29" s="2345">
        <v>0</v>
      </c>
      <c r="AL29" s="2345">
        <v>0</v>
      </c>
      <c r="AM29" s="2345">
        <v>0</v>
      </c>
      <c r="AN29" s="2345">
        <v>0</v>
      </c>
      <c r="AO29" s="2345">
        <v>0</v>
      </c>
      <c r="AP29" s="2345">
        <v>0</v>
      </c>
      <c r="AQ29" s="2345">
        <v>0</v>
      </c>
      <c r="AR29" s="2345">
        <v>0</v>
      </c>
      <c r="AS29" s="2345">
        <v>0</v>
      </c>
      <c r="AT29" s="2345">
        <v>0</v>
      </c>
      <c r="AU29" s="2345">
        <v>0</v>
      </c>
      <c r="AV29" s="2345">
        <v>0</v>
      </c>
      <c r="AW29" s="2345">
        <v>0</v>
      </c>
      <c r="AX29" s="2467"/>
      <c r="AY29" s="2467"/>
      <c r="AZ29" s="2467"/>
      <c r="BA29" s="2467"/>
      <c r="BB29" s="2467"/>
      <c r="BC29" s="2467"/>
      <c r="BD29" s="2467"/>
      <c r="BE29" s="2467"/>
    </row>
    <row r="30" spans="1:57" ht="12" customHeight="1" x14ac:dyDescent="0.3">
      <c r="A30" s="2380" t="s">
        <v>3273</v>
      </c>
      <c r="B30" s="2345">
        <v>0</v>
      </c>
      <c r="C30" s="2345">
        <v>0</v>
      </c>
      <c r="D30" s="2345">
        <v>0</v>
      </c>
      <c r="E30" s="2345">
        <v>0</v>
      </c>
      <c r="F30" s="2345">
        <v>0</v>
      </c>
      <c r="G30" s="2345">
        <v>0</v>
      </c>
      <c r="H30" s="2345">
        <v>0</v>
      </c>
      <c r="I30" s="2345">
        <v>0</v>
      </c>
      <c r="J30" s="2345">
        <v>0</v>
      </c>
      <c r="K30" s="2345">
        <v>0</v>
      </c>
      <c r="L30" s="2345">
        <v>0</v>
      </c>
      <c r="M30" s="2345">
        <v>0</v>
      </c>
      <c r="N30" s="2345">
        <v>0</v>
      </c>
      <c r="O30" s="2345">
        <v>0</v>
      </c>
      <c r="P30" s="2345">
        <v>0</v>
      </c>
      <c r="Q30" s="2345">
        <v>0</v>
      </c>
      <c r="R30" s="2345">
        <v>0</v>
      </c>
      <c r="S30" s="2345">
        <v>0</v>
      </c>
      <c r="T30" s="2345">
        <v>0</v>
      </c>
      <c r="U30" s="2345">
        <v>0</v>
      </c>
      <c r="V30" s="2467"/>
      <c r="W30" s="2467"/>
      <c r="X30" s="2467"/>
      <c r="Y30" s="2467"/>
      <c r="Z30" s="2467"/>
      <c r="AA30" s="2467"/>
      <c r="AB30" s="2467"/>
      <c r="AC30" s="2467"/>
      <c r="AD30" s="2345">
        <v>1271719.3146827903</v>
      </c>
      <c r="AE30" s="2345">
        <v>1265252.4196122165</v>
      </c>
      <c r="AF30" s="2345">
        <v>1258922.375769238</v>
      </c>
      <c r="AG30" s="2345">
        <v>1252724.4047029836</v>
      </c>
      <c r="AH30" s="2345">
        <v>1246653.9560478372</v>
      </c>
      <c r="AI30" s="2345">
        <v>1240706.6939270175</v>
      </c>
      <c r="AJ30" s="2345">
        <v>1234878.4843169781</v>
      </c>
      <c r="AK30" s="2345">
        <v>1229165.3832947593</v>
      </c>
      <c r="AL30" s="2345">
        <v>1264193.7911247672</v>
      </c>
      <c r="AM30" s="2345">
        <v>1241631.1290706189</v>
      </c>
      <c r="AN30" s="2345">
        <v>1258645.6836570825</v>
      </c>
      <c r="AO30" s="2345">
        <v>1244782.0129382808</v>
      </c>
      <c r="AP30" s="2345">
        <v>12651.279192541937</v>
      </c>
      <c r="AQ30" s="2345">
        <v>18831.533361095877</v>
      </c>
      <c r="AR30" s="2345">
        <v>25743.58810215228</v>
      </c>
      <c r="AS30" s="2345">
        <v>32638.150901970661</v>
      </c>
      <c r="AT30" s="2345">
        <v>39491.613114050648</v>
      </c>
      <c r="AU30" s="2345">
        <v>46304.646230312086</v>
      </c>
      <c r="AV30" s="2345">
        <v>53077.904458748504</v>
      </c>
      <c r="AW30" s="2345">
        <v>59812.025325441988</v>
      </c>
      <c r="AX30" s="2467"/>
      <c r="AY30" s="2467"/>
      <c r="AZ30" s="2467"/>
      <c r="BA30" s="2467"/>
      <c r="BB30" s="2467"/>
      <c r="BC30" s="2467"/>
      <c r="BD30" s="2467"/>
      <c r="BE30" s="2467"/>
    </row>
    <row r="31" spans="1:57" ht="12" customHeight="1" x14ac:dyDescent="0.3">
      <c r="A31" s="2379" t="s">
        <v>3272</v>
      </c>
      <c r="B31" s="2345">
        <v>14500.763722582935</v>
      </c>
      <c r="C31" s="2345">
        <v>14505.808996845557</v>
      </c>
      <c r="D31" s="2345">
        <v>14562.437376208636</v>
      </c>
      <c r="E31" s="2345">
        <v>14665.784759065</v>
      </c>
      <c r="F31" s="2345">
        <v>14811.438044175191</v>
      </c>
      <c r="G31" s="2345">
        <v>14995.390854887723</v>
      </c>
      <c r="H31" s="2345">
        <v>15214.003910265907</v>
      </c>
      <c r="I31" s="2345">
        <v>15463.969522615384</v>
      </c>
      <c r="J31" s="2345">
        <v>15631.039712898295</v>
      </c>
      <c r="K31" s="2345">
        <v>13804.601543949708</v>
      </c>
      <c r="L31" s="2345">
        <v>15715.523430672038</v>
      </c>
      <c r="M31" s="2345">
        <v>13666.208406570502</v>
      </c>
      <c r="N31" s="2345">
        <v>15151.039744469823</v>
      </c>
      <c r="O31" s="2345">
        <v>68120.014955444713</v>
      </c>
      <c r="P31" s="2345">
        <v>120596.4879796071</v>
      </c>
      <c r="Q31" s="2345">
        <v>172589.80278849858</v>
      </c>
      <c r="R31" s="2345">
        <v>224109.03752970288</v>
      </c>
      <c r="S31" s="2345">
        <v>275163.0145592622</v>
      </c>
      <c r="T31" s="2345">
        <v>325760.31000389153</v>
      </c>
      <c r="U31" s="2345">
        <v>375909.26287927252</v>
      </c>
      <c r="V31" s="2467"/>
      <c r="W31" s="2467"/>
      <c r="X31" s="2467"/>
      <c r="Y31" s="2467"/>
      <c r="Z31" s="2467"/>
      <c r="AA31" s="2467"/>
      <c r="AB31" s="2467"/>
      <c r="AC31" s="2467"/>
      <c r="AD31" s="2345">
        <v>3290791.6450014659</v>
      </c>
      <c r="AE31" s="2345">
        <v>3411808.9272710164</v>
      </c>
      <c r="AF31" s="2345">
        <v>3524615.5596503345</v>
      </c>
      <c r="AG31" s="2345">
        <v>3629865.9984993697</v>
      </c>
      <c r="AH31" s="2345">
        <v>3728155.4994015233</v>
      </c>
      <c r="AI31" s="2345">
        <v>3820026.1037436021</v>
      </c>
      <c r="AJ31" s="2345">
        <v>3905971.9559877133</v>
      </c>
      <c r="AK31" s="2345">
        <v>3986444.0335615068</v>
      </c>
      <c r="AL31" s="2345">
        <v>3573838.7540472727</v>
      </c>
      <c r="AM31" s="2345">
        <v>3684058.1854322175</v>
      </c>
      <c r="AN31" s="2345">
        <v>3664562.9500541296</v>
      </c>
      <c r="AO31" s="2345">
        <v>3626199.2478119782</v>
      </c>
      <c r="AP31" s="2345">
        <v>66182.239825621975</v>
      </c>
      <c r="AQ31" s="2345">
        <v>69740.096435259533</v>
      </c>
      <c r="AR31" s="2345">
        <v>73259.374165399073</v>
      </c>
      <c r="AS31" s="2345">
        <v>76740.856972728114</v>
      </c>
      <c r="AT31" s="2345">
        <v>80185.305506896737</v>
      </c>
      <c r="AU31" s="2345">
        <v>83593.458019034937</v>
      </c>
      <c r="AV31" s="2345">
        <v>86966.031226903549</v>
      </c>
      <c r="AW31" s="2345">
        <v>90303.721138721463</v>
      </c>
      <c r="AX31" s="2467"/>
      <c r="AY31" s="2467"/>
      <c r="AZ31" s="2467"/>
      <c r="BA31" s="2467"/>
      <c r="BB31" s="2467"/>
      <c r="BC31" s="2467"/>
      <c r="BD31" s="2467"/>
      <c r="BE31" s="2467"/>
    </row>
    <row r="32" spans="1:57" ht="12" customHeight="1" x14ac:dyDescent="0.3">
      <c r="A32" s="2379" t="s">
        <v>3271</v>
      </c>
      <c r="B32" s="2345">
        <v>0</v>
      </c>
      <c r="C32" s="2345">
        <v>0</v>
      </c>
      <c r="D32" s="2345">
        <v>0</v>
      </c>
      <c r="E32" s="2345">
        <v>0</v>
      </c>
      <c r="F32" s="2345">
        <v>0</v>
      </c>
      <c r="G32" s="2345">
        <v>0</v>
      </c>
      <c r="H32" s="2345">
        <v>0</v>
      </c>
      <c r="I32" s="2345">
        <v>0</v>
      </c>
      <c r="J32" s="2345">
        <v>0</v>
      </c>
      <c r="K32" s="2345">
        <v>0</v>
      </c>
      <c r="L32" s="2345">
        <v>0</v>
      </c>
      <c r="M32" s="2345">
        <v>0</v>
      </c>
      <c r="N32" s="2345">
        <v>0</v>
      </c>
      <c r="O32" s="2345">
        <v>0</v>
      </c>
      <c r="P32" s="2345">
        <v>0</v>
      </c>
      <c r="Q32" s="2345">
        <v>0</v>
      </c>
      <c r="R32" s="2345">
        <v>0</v>
      </c>
      <c r="S32" s="2345">
        <v>0</v>
      </c>
      <c r="T32" s="2345">
        <v>0</v>
      </c>
      <c r="U32" s="2345">
        <v>0</v>
      </c>
      <c r="V32" s="2467"/>
      <c r="W32" s="2467"/>
      <c r="X32" s="2467"/>
      <c r="Y32" s="2467"/>
      <c r="Z32" s="2467"/>
      <c r="AA32" s="2467"/>
      <c r="AB32" s="2467"/>
      <c r="AC32" s="2467"/>
      <c r="AD32" s="2345">
        <v>0</v>
      </c>
      <c r="AE32" s="2345">
        <v>0</v>
      </c>
      <c r="AF32" s="2345">
        <v>0</v>
      </c>
      <c r="AG32" s="2345">
        <v>0</v>
      </c>
      <c r="AH32" s="2345">
        <v>0</v>
      </c>
      <c r="AI32" s="2345">
        <v>0</v>
      </c>
      <c r="AJ32" s="2345">
        <v>0</v>
      </c>
      <c r="AK32" s="2345">
        <v>0</v>
      </c>
      <c r="AL32" s="2345">
        <v>0</v>
      </c>
      <c r="AM32" s="2345">
        <v>0</v>
      </c>
      <c r="AN32" s="2345">
        <v>0</v>
      </c>
      <c r="AO32" s="2345">
        <v>0</v>
      </c>
      <c r="AP32" s="2345">
        <v>0</v>
      </c>
      <c r="AQ32" s="2345">
        <v>0</v>
      </c>
      <c r="AR32" s="2345">
        <v>0</v>
      </c>
      <c r="AS32" s="2345">
        <v>0</v>
      </c>
      <c r="AT32" s="2345">
        <v>0</v>
      </c>
      <c r="AU32" s="2345">
        <v>0</v>
      </c>
      <c r="AV32" s="2345">
        <v>0</v>
      </c>
      <c r="AW32" s="2345">
        <v>0</v>
      </c>
      <c r="AX32" s="2467"/>
      <c r="AY32" s="2467"/>
      <c r="AZ32" s="2467"/>
      <c r="BA32" s="2467"/>
      <c r="BB32" s="2467"/>
      <c r="BC32" s="2467"/>
      <c r="BD32" s="2467"/>
      <c r="BE32" s="2467"/>
    </row>
    <row r="33" spans="1:57" ht="12" customHeight="1" x14ac:dyDescent="0.3">
      <c r="A33" s="2379" t="s">
        <v>1760</v>
      </c>
      <c r="B33" s="2345">
        <v>0</v>
      </c>
      <c r="C33" s="2345">
        <v>0</v>
      </c>
      <c r="D33" s="2345">
        <v>0</v>
      </c>
      <c r="E33" s="2345">
        <v>0</v>
      </c>
      <c r="F33" s="2345">
        <v>0</v>
      </c>
      <c r="G33" s="2345">
        <v>0</v>
      </c>
      <c r="H33" s="2345">
        <v>0</v>
      </c>
      <c r="I33" s="2345">
        <v>0</v>
      </c>
      <c r="J33" s="2345">
        <v>0</v>
      </c>
      <c r="K33" s="2345">
        <v>0</v>
      </c>
      <c r="L33" s="2345">
        <v>0</v>
      </c>
      <c r="M33" s="2345">
        <v>0</v>
      </c>
      <c r="N33" s="2345">
        <v>0</v>
      </c>
      <c r="O33" s="2345">
        <v>0</v>
      </c>
      <c r="P33" s="2345">
        <v>0</v>
      </c>
      <c r="Q33" s="2345">
        <v>0</v>
      </c>
      <c r="R33" s="2345">
        <v>0</v>
      </c>
      <c r="S33" s="2345">
        <v>0</v>
      </c>
      <c r="T33" s="2345">
        <v>0</v>
      </c>
      <c r="U33" s="2345">
        <v>0</v>
      </c>
      <c r="V33" s="2467"/>
      <c r="W33" s="2467"/>
      <c r="X33" s="2467"/>
      <c r="Y33" s="2467"/>
      <c r="Z33" s="2467"/>
      <c r="AA33" s="2467"/>
      <c r="AB33" s="2467"/>
      <c r="AC33" s="2467"/>
      <c r="AD33" s="2345">
        <v>55991.725674995156</v>
      </c>
      <c r="AE33" s="2345">
        <v>51792.4147717706</v>
      </c>
      <c r="AF33" s="2345">
        <v>47961.98962606334</v>
      </c>
      <c r="AG33" s="2345">
        <v>44462.265322224528</v>
      </c>
      <c r="AH33" s="2345">
        <v>41259.741158012694</v>
      </c>
      <c r="AI33" s="2345">
        <v>38324.923082813184</v>
      </c>
      <c r="AJ33" s="2345">
        <v>35631.75944542943</v>
      </c>
      <c r="AK33" s="2345">
        <v>33157.168756341191</v>
      </c>
      <c r="AL33" s="2345">
        <v>45549.365757351596</v>
      </c>
      <c r="AM33" s="2345">
        <v>43405.295068067659</v>
      </c>
      <c r="AN33" s="2345">
        <v>42594.482336940251</v>
      </c>
      <c r="AO33" s="2345">
        <v>45362.902684475717</v>
      </c>
      <c r="AP33" s="2345">
        <v>0</v>
      </c>
      <c r="AQ33" s="2345">
        <v>0</v>
      </c>
      <c r="AR33" s="2345">
        <v>0</v>
      </c>
      <c r="AS33" s="2345">
        <v>0</v>
      </c>
      <c r="AT33" s="2345">
        <v>0</v>
      </c>
      <c r="AU33" s="2345">
        <v>0</v>
      </c>
      <c r="AV33" s="2345">
        <v>0</v>
      </c>
      <c r="AW33" s="2345">
        <v>0</v>
      </c>
      <c r="AX33" s="2467"/>
      <c r="AY33" s="2467"/>
      <c r="AZ33" s="2467"/>
      <c r="BA33" s="2467"/>
      <c r="BB33" s="2467"/>
      <c r="BC33" s="2467"/>
      <c r="BD33" s="2467"/>
      <c r="BE33" s="2467"/>
    </row>
    <row r="34" spans="1:57" x14ac:dyDescent="0.3">
      <c r="A34" s="2350" t="s">
        <v>3270</v>
      </c>
      <c r="B34" s="2345">
        <v>0</v>
      </c>
      <c r="C34" s="2345">
        <v>0</v>
      </c>
      <c r="D34" s="2345">
        <v>0</v>
      </c>
      <c r="E34" s="2345">
        <v>0</v>
      </c>
      <c r="F34" s="2345">
        <v>0</v>
      </c>
      <c r="G34" s="2345">
        <v>0</v>
      </c>
      <c r="H34" s="2345">
        <v>0</v>
      </c>
      <c r="I34" s="2345">
        <v>0</v>
      </c>
      <c r="J34" s="2345">
        <v>0</v>
      </c>
      <c r="K34" s="2345">
        <v>0</v>
      </c>
      <c r="L34" s="2345">
        <v>0</v>
      </c>
      <c r="M34" s="2345">
        <v>0</v>
      </c>
      <c r="N34" s="2345">
        <v>0</v>
      </c>
      <c r="O34" s="2345">
        <v>0</v>
      </c>
      <c r="P34" s="2345">
        <v>0</v>
      </c>
      <c r="Q34" s="2345">
        <v>0</v>
      </c>
      <c r="R34" s="2345">
        <v>0</v>
      </c>
      <c r="S34" s="2345">
        <v>0</v>
      </c>
      <c r="T34" s="2345">
        <v>0</v>
      </c>
      <c r="U34" s="2345">
        <v>0</v>
      </c>
      <c r="V34" s="2467"/>
      <c r="W34" s="2467"/>
      <c r="X34" s="2467"/>
      <c r="Y34" s="2467"/>
      <c r="Z34" s="2467"/>
      <c r="AA34" s="2467"/>
      <c r="AB34" s="2467"/>
      <c r="AC34" s="2467"/>
      <c r="AD34" s="2345">
        <v>0</v>
      </c>
      <c r="AE34" s="2345">
        <v>0</v>
      </c>
      <c r="AF34" s="2345">
        <v>0</v>
      </c>
      <c r="AG34" s="2345">
        <v>0</v>
      </c>
      <c r="AH34" s="2345">
        <v>0</v>
      </c>
      <c r="AI34" s="2345">
        <v>0</v>
      </c>
      <c r="AJ34" s="2345">
        <v>0</v>
      </c>
      <c r="AK34" s="2345">
        <v>0</v>
      </c>
      <c r="AL34" s="2345">
        <v>0</v>
      </c>
      <c r="AM34" s="2345">
        <v>0</v>
      </c>
      <c r="AN34" s="2345">
        <v>0</v>
      </c>
      <c r="AO34" s="2345">
        <v>0</v>
      </c>
      <c r="AP34" s="2345">
        <v>0</v>
      </c>
      <c r="AQ34" s="2345">
        <v>0</v>
      </c>
      <c r="AR34" s="2345">
        <v>0</v>
      </c>
      <c r="AS34" s="2345">
        <v>0</v>
      </c>
      <c r="AT34" s="2345">
        <v>0</v>
      </c>
      <c r="AU34" s="2345">
        <v>0</v>
      </c>
      <c r="AV34" s="2345">
        <v>0</v>
      </c>
      <c r="AW34" s="2345">
        <v>0</v>
      </c>
      <c r="AX34" s="2467"/>
      <c r="AY34" s="2467"/>
      <c r="AZ34" s="2467"/>
      <c r="BA34" s="2467"/>
      <c r="BB34" s="2467"/>
      <c r="BC34" s="2467"/>
      <c r="BD34" s="2467"/>
      <c r="BE34" s="2467"/>
    </row>
    <row r="35" spans="1:57" ht="15" customHeight="1" x14ac:dyDescent="0.3">
      <c r="A35" s="2348" t="s">
        <v>3334</v>
      </c>
      <c r="B35" s="2345">
        <v>0</v>
      </c>
      <c r="C35" s="2345">
        <v>0</v>
      </c>
      <c r="D35" s="2345">
        <v>0</v>
      </c>
      <c r="E35" s="2345">
        <v>0</v>
      </c>
      <c r="F35" s="2345">
        <v>0</v>
      </c>
      <c r="G35" s="2345">
        <v>0</v>
      </c>
      <c r="H35" s="2345">
        <v>0</v>
      </c>
      <c r="I35" s="2345">
        <v>0</v>
      </c>
      <c r="J35" s="2345">
        <v>0</v>
      </c>
      <c r="K35" s="2345">
        <v>0</v>
      </c>
      <c r="L35" s="2345">
        <v>0</v>
      </c>
      <c r="M35" s="2345">
        <v>0</v>
      </c>
      <c r="N35" s="2345">
        <v>0</v>
      </c>
      <c r="O35" s="2345">
        <v>0</v>
      </c>
      <c r="P35" s="2345">
        <v>0</v>
      </c>
      <c r="Q35" s="2345">
        <v>0</v>
      </c>
      <c r="R35" s="2345">
        <v>0</v>
      </c>
      <c r="S35" s="2345">
        <v>0</v>
      </c>
      <c r="T35" s="2345">
        <v>0</v>
      </c>
      <c r="U35" s="2345">
        <v>0</v>
      </c>
      <c r="V35" s="2467"/>
      <c r="W35" s="2467"/>
      <c r="X35" s="2467"/>
      <c r="Y35" s="2467"/>
      <c r="Z35" s="2467"/>
      <c r="AA35" s="2467"/>
      <c r="AB35" s="2467"/>
      <c r="AC35" s="2467"/>
      <c r="AD35" s="2345">
        <v>0</v>
      </c>
      <c r="AE35" s="2345">
        <v>0</v>
      </c>
      <c r="AF35" s="2345">
        <v>0</v>
      </c>
      <c r="AG35" s="2345">
        <v>0</v>
      </c>
      <c r="AH35" s="2345">
        <v>0</v>
      </c>
      <c r="AI35" s="2345">
        <v>0</v>
      </c>
      <c r="AJ35" s="2345">
        <v>0</v>
      </c>
      <c r="AK35" s="2345">
        <v>0</v>
      </c>
      <c r="AL35" s="2345">
        <v>0</v>
      </c>
      <c r="AM35" s="2345">
        <v>0</v>
      </c>
      <c r="AN35" s="2345">
        <v>0</v>
      </c>
      <c r="AO35" s="2345">
        <v>0</v>
      </c>
      <c r="AP35" s="2345">
        <v>0</v>
      </c>
      <c r="AQ35" s="2345">
        <v>0</v>
      </c>
      <c r="AR35" s="2345">
        <v>0</v>
      </c>
      <c r="AS35" s="2345">
        <v>0</v>
      </c>
      <c r="AT35" s="2345">
        <v>0</v>
      </c>
      <c r="AU35" s="2345">
        <v>0</v>
      </c>
      <c r="AV35" s="2345">
        <v>0</v>
      </c>
      <c r="AW35" s="2345">
        <v>0</v>
      </c>
      <c r="AX35" s="2467"/>
      <c r="AY35" s="2467"/>
      <c r="AZ35" s="2467"/>
      <c r="BA35" s="2467"/>
      <c r="BB35" s="2467"/>
      <c r="BC35" s="2467"/>
      <c r="BD35" s="2467"/>
      <c r="BE35" s="2467"/>
    </row>
    <row r="36" spans="1:57" s="2377" customFormat="1" ht="15" customHeight="1" x14ac:dyDescent="0.3">
      <c r="A36" s="2378"/>
      <c r="B36" s="2513"/>
      <c r="C36" s="2513"/>
      <c r="D36" s="2513"/>
      <c r="E36" s="2513"/>
      <c r="F36" s="2513"/>
      <c r="G36" s="2513"/>
      <c r="H36" s="2513"/>
      <c r="I36" s="2513"/>
      <c r="J36" s="2513"/>
      <c r="K36" s="2513"/>
      <c r="L36" s="2513"/>
      <c r="M36" s="2513"/>
      <c r="N36" s="2513"/>
      <c r="O36" s="2513"/>
      <c r="P36" s="2513"/>
      <c r="Q36" s="2513"/>
      <c r="R36" s="2513"/>
      <c r="S36" s="2513"/>
      <c r="T36" s="2513"/>
      <c r="U36" s="2513"/>
      <c r="V36" s="2513"/>
      <c r="W36" s="2513"/>
      <c r="X36" s="2513"/>
      <c r="Y36" s="2513"/>
      <c r="Z36" s="2513"/>
      <c r="AA36" s="2513"/>
      <c r="AB36" s="2513"/>
      <c r="AC36" s="2513"/>
      <c r="AD36" s="2513"/>
      <c r="AE36" s="2513"/>
      <c r="AF36" s="2513"/>
      <c r="AG36" s="2513"/>
      <c r="AH36" s="2513"/>
      <c r="AI36" s="2513"/>
      <c r="AJ36" s="2513"/>
      <c r="AK36" s="2513"/>
      <c r="AL36" s="2513"/>
      <c r="AM36" s="2513"/>
      <c r="AN36" s="2513"/>
      <c r="AO36" s="2513"/>
      <c r="AP36" s="2513"/>
      <c r="AQ36" s="2513"/>
      <c r="AR36" s="2513"/>
      <c r="AS36" s="2513"/>
      <c r="AT36" s="2513"/>
      <c r="AU36" s="2513"/>
      <c r="AV36" s="2513"/>
      <c r="AW36" s="2513"/>
      <c r="AX36" s="2513"/>
      <c r="AY36" s="2513"/>
      <c r="AZ36" s="2513"/>
      <c r="BA36" s="2513"/>
      <c r="BB36" s="2513"/>
      <c r="BC36" s="2513"/>
      <c r="BD36" s="2513"/>
      <c r="BE36" s="2513"/>
    </row>
    <row r="37" spans="1:57" ht="15" customHeight="1" x14ac:dyDescent="0.3">
      <c r="A37" s="2376" t="s">
        <v>3268</v>
      </c>
      <c r="B37" s="2467"/>
      <c r="C37" s="2467"/>
      <c r="D37" s="2467"/>
      <c r="E37" s="2467"/>
      <c r="F37" s="2467"/>
      <c r="G37" s="2467"/>
      <c r="H37" s="2467"/>
      <c r="I37" s="2467"/>
      <c r="J37" s="2467"/>
      <c r="K37" s="2467"/>
      <c r="L37" s="2467"/>
      <c r="M37" s="2467"/>
      <c r="N37" s="2467"/>
      <c r="O37" s="2467"/>
      <c r="P37" s="2467"/>
      <c r="Q37" s="2467"/>
      <c r="R37" s="2467"/>
      <c r="S37" s="2467"/>
      <c r="T37" s="2467"/>
      <c r="U37" s="2467"/>
      <c r="V37" s="2345">
        <v>334489.58285468415</v>
      </c>
      <c r="W37" s="2345">
        <v>329545.79216267273</v>
      </c>
      <c r="X37" s="2345">
        <v>324780.7345087906</v>
      </c>
      <c r="Y37" s="2345">
        <v>320197.88279581402</v>
      </c>
      <c r="Z37" s="2345">
        <v>315797.23702374351</v>
      </c>
      <c r="AA37" s="2345">
        <v>311578.79719257902</v>
      </c>
      <c r="AB37" s="2345">
        <v>307542.56330232072</v>
      </c>
      <c r="AC37" s="2345">
        <v>303688.53535296774</v>
      </c>
      <c r="AD37" s="2467"/>
      <c r="AE37" s="2467"/>
      <c r="AF37" s="2467"/>
      <c r="AG37" s="2467"/>
      <c r="AH37" s="2467"/>
      <c r="AI37" s="2467"/>
      <c r="AJ37" s="2467"/>
      <c r="AK37" s="2467"/>
      <c r="AL37" s="2467"/>
      <c r="AM37" s="2467"/>
      <c r="AN37" s="2467"/>
      <c r="AO37" s="2467"/>
      <c r="AP37" s="2467"/>
      <c r="AQ37" s="2467"/>
      <c r="AR37" s="2467"/>
      <c r="AS37" s="2467"/>
      <c r="AT37" s="2467"/>
      <c r="AU37" s="2467"/>
      <c r="AV37" s="2467"/>
      <c r="AW37" s="2467"/>
      <c r="AX37" s="2345">
        <v>1903755.1954693184</v>
      </c>
      <c r="AY37" s="2345">
        <v>1891681.4787712651</v>
      </c>
      <c r="AZ37" s="2345">
        <v>1879866.3800548078</v>
      </c>
      <c r="BA37" s="2345">
        <v>1868310.9484742652</v>
      </c>
      <c r="BB37" s="2345">
        <v>1857015.1840296211</v>
      </c>
      <c r="BC37" s="2345">
        <v>1845979.0867209167</v>
      </c>
      <c r="BD37" s="2345">
        <v>1835202.6565481187</v>
      </c>
      <c r="BE37" s="2345">
        <v>1824685.8935112399</v>
      </c>
    </row>
    <row r="38" spans="1:57" ht="15" customHeight="1" x14ac:dyDescent="0.3">
      <c r="A38" s="2376" t="s">
        <v>3264</v>
      </c>
      <c r="B38" s="2467"/>
      <c r="C38" s="2467"/>
      <c r="D38" s="2467"/>
      <c r="E38" s="2467"/>
      <c r="F38" s="2467"/>
      <c r="G38" s="2467"/>
      <c r="H38" s="2467"/>
      <c r="I38" s="2467"/>
      <c r="J38" s="2467"/>
      <c r="K38" s="2467"/>
      <c r="L38" s="2467"/>
      <c r="M38" s="2467"/>
      <c r="N38" s="2467"/>
      <c r="O38" s="2467"/>
      <c r="P38" s="2467"/>
      <c r="Q38" s="2467"/>
      <c r="R38" s="2467"/>
      <c r="S38" s="2467"/>
      <c r="T38" s="2467"/>
      <c r="U38" s="2467"/>
      <c r="V38" s="2345">
        <v>8706407.1124291047</v>
      </c>
      <c r="W38" s="2345">
        <v>8690741.6604365893</v>
      </c>
      <c r="X38" s="2345">
        <v>8679092.5791224819</v>
      </c>
      <c r="Y38" s="2345">
        <v>8669542.5119785238</v>
      </c>
      <c r="Z38" s="2345">
        <v>8660306.1060979944</v>
      </c>
      <c r="AA38" s="2345">
        <v>8649765.7423239257</v>
      </c>
      <c r="AB38" s="2345">
        <v>8636453.9670985509</v>
      </c>
      <c r="AC38" s="2345">
        <v>8619037.9427082501</v>
      </c>
      <c r="AD38" s="2467"/>
      <c r="AE38" s="2467"/>
      <c r="AF38" s="2467"/>
      <c r="AG38" s="2467"/>
      <c r="AH38" s="2467"/>
      <c r="AI38" s="2467"/>
      <c r="AJ38" s="2467"/>
      <c r="AK38" s="2467"/>
      <c r="AL38" s="2467"/>
      <c r="AM38" s="2467"/>
      <c r="AN38" s="2467"/>
      <c r="AO38" s="2467"/>
      <c r="AP38" s="2467"/>
      <c r="AQ38" s="2467"/>
      <c r="AR38" s="2467"/>
      <c r="AS38" s="2467"/>
      <c r="AT38" s="2467"/>
      <c r="AU38" s="2467"/>
      <c r="AV38" s="2467"/>
      <c r="AW38" s="2467"/>
      <c r="AX38" s="2345">
        <v>0</v>
      </c>
      <c r="AY38" s="2345">
        <v>0</v>
      </c>
      <c r="AZ38" s="2345">
        <v>0</v>
      </c>
      <c r="BA38" s="2345">
        <v>0</v>
      </c>
      <c r="BB38" s="2345">
        <v>0</v>
      </c>
      <c r="BC38" s="2345">
        <v>0</v>
      </c>
      <c r="BD38" s="2345">
        <v>0</v>
      </c>
      <c r="BE38" s="2345">
        <v>0</v>
      </c>
    </row>
    <row r="39" spans="1:57" ht="15" customHeight="1" x14ac:dyDescent="0.3">
      <c r="A39" s="2376" t="s">
        <v>3333</v>
      </c>
      <c r="B39" s="2467"/>
      <c r="C39" s="2467"/>
      <c r="D39" s="2467"/>
      <c r="E39" s="2467"/>
      <c r="F39" s="2467"/>
      <c r="G39" s="2467"/>
      <c r="H39" s="2467"/>
      <c r="I39" s="2467"/>
      <c r="J39" s="2467"/>
      <c r="K39" s="2467"/>
      <c r="L39" s="2467"/>
      <c r="M39" s="2467"/>
      <c r="N39" s="2467"/>
      <c r="O39" s="2467"/>
      <c r="P39" s="2467"/>
      <c r="Q39" s="2467"/>
      <c r="R39" s="2467"/>
      <c r="S39" s="2467"/>
      <c r="T39" s="2467"/>
      <c r="U39" s="2467"/>
      <c r="V39" s="2345">
        <v>0</v>
      </c>
      <c r="W39" s="2345">
        <v>0</v>
      </c>
      <c r="X39" s="2345">
        <v>0</v>
      </c>
      <c r="Y39" s="2345">
        <v>0</v>
      </c>
      <c r="Z39" s="2345">
        <v>0</v>
      </c>
      <c r="AA39" s="2345">
        <v>0</v>
      </c>
      <c r="AB39" s="2345">
        <v>0</v>
      </c>
      <c r="AC39" s="2345">
        <v>0</v>
      </c>
      <c r="AD39" s="2467"/>
      <c r="AE39" s="2467"/>
      <c r="AF39" s="2467"/>
      <c r="AG39" s="2467"/>
      <c r="AH39" s="2467"/>
      <c r="AI39" s="2467"/>
      <c r="AJ39" s="2467"/>
      <c r="AK39" s="2467"/>
      <c r="AL39" s="2467"/>
      <c r="AM39" s="2467"/>
      <c r="AN39" s="2467"/>
      <c r="AO39" s="2467"/>
      <c r="AP39" s="2467"/>
      <c r="AQ39" s="2467"/>
      <c r="AR39" s="2467"/>
      <c r="AS39" s="2467"/>
      <c r="AT39" s="2467"/>
      <c r="AU39" s="2467"/>
      <c r="AV39" s="2467"/>
      <c r="AW39" s="2467"/>
      <c r="AX39" s="2345">
        <v>0</v>
      </c>
      <c r="AY39" s="2345">
        <v>0</v>
      </c>
      <c r="AZ39" s="2345">
        <v>0</v>
      </c>
      <c r="BA39" s="2345">
        <v>0</v>
      </c>
      <c r="BB39" s="2345">
        <v>0</v>
      </c>
      <c r="BC39" s="2345">
        <v>0</v>
      </c>
      <c r="BD39" s="2345">
        <v>0</v>
      </c>
      <c r="BE39" s="2345">
        <v>0</v>
      </c>
    </row>
    <row r="40" spans="1:57" s="2511" customFormat="1" ht="15" customHeight="1" x14ac:dyDescent="0.3">
      <c r="A40" s="2505"/>
      <c r="B40" s="2506"/>
      <c r="C40" s="2506"/>
      <c r="D40" s="2506"/>
      <c r="E40" s="2506"/>
      <c r="F40" s="2506"/>
      <c r="G40" s="2506"/>
      <c r="H40" s="2506"/>
      <c r="I40" s="2506"/>
      <c r="J40" s="2506"/>
      <c r="K40" s="2506"/>
      <c r="L40" s="2506"/>
      <c r="M40" s="2506"/>
      <c r="N40" s="2506"/>
      <c r="O40" s="2506"/>
      <c r="P40" s="2506"/>
      <c r="Q40" s="2506"/>
      <c r="R40" s="2506"/>
      <c r="S40" s="2506"/>
      <c r="T40" s="2506"/>
      <c r="U40" s="2506"/>
      <c r="V40" s="2506"/>
      <c r="W40" s="2506"/>
      <c r="X40" s="2506"/>
      <c r="Y40" s="2506"/>
      <c r="Z40" s="2506"/>
      <c r="AA40" s="2506"/>
      <c r="AB40" s="2506"/>
      <c r="AC40" s="2506"/>
      <c r="AD40" s="2506"/>
      <c r="AE40" s="2506"/>
      <c r="AF40" s="2506"/>
      <c r="AG40" s="2506"/>
      <c r="AH40" s="2506"/>
      <c r="AI40" s="2506"/>
      <c r="AJ40" s="2506"/>
      <c r="AK40" s="2506"/>
      <c r="AL40" s="2506"/>
      <c r="AM40" s="2506"/>
      <c r="AN40" s="2506"/>
      <c r="AO40" s="2506"/>
      <c r="AP40" s="2506"/>
      <c r="AQ40" s="2506"/>
      <c r="AR40" s="2506"/>
      <c r="AS40" s="2506"/>
      <c r="AT40" s="2506"/>
      <c r="AU40" s="2506"/>
      <c r="AV40" s="2506"/>
      <c r="AW40" s="2506"/>
      <c r="AX40" s="2506"/>
      <c r="AY40" s="2506"/>
      <c r="AZ40" s="2506"/>
      <c r="BA40" s="2506"/>
      <c r="BB40" s="2506"/>
      <c r="BC40" s="2506"/>
      <c r="BD40" s="2506"/>
      <c r="BE40" s="2506"/>
    </row>
    <row r="41" spans="1:57" s="2511" customFormat="1" ht="15" customHeight="1" x14ac:dyDescent="0.3">
      <c r="A41" s="2505"/>
      <c r="B41" s="2506"/>
      <c r="C41" s="2506"/>
      <c r="D41" s="2506"/>
      <c r="E41" s="2506"/>
      <c r="F41" s="2506"/>
      <c r="G41" s="2506"/>
      <c r="H41" s="2506"/>
      <c r="I41" s="2506"/>
      <c r="J41" s="2506"/>
      <c r="K41" s="2506"/>
      <c r="L41" s="2506"/>
      <c r="M41" s="2506"/>
      <c r="N41" s="2506"/>
      <c r="O41" s="2506"/>
      <c r="P41" s="2506"/>
      <c r="Q41" s="2506"/>
      <c r="R41" s="2506"/>
      <c r="S41" s="2506"/>
      <c r="T41" s="2506"/>
      <c r="U41" s="2506"/>
      <c r="V41" s="2506"/>
      <c r="W41" s="2506"/>
      <c r="X41" s="2506"/>
      <c r="Y41" s="2506"/>
      <c r="Z41" s="2506"/>
      <c r="AA41" s="2506"/>
      <c r="AB41" s="2506"/>
      <c r="AC41" s="2506"/>
      <c r="AD41" s="2506"/>
      <c r="AE41" s="2506"/>
      <c r="AF41" s="2506"/>
      <c r="AG41" s="2506"/>
      <c r="AH41" s="2506"/>
      <c r="AI41" s="2506"/>
      <c r="AJ41" s="2506"/>
      <c r="AK41" s="2506"/>
      <c r="AL41" s="2506"/>
      <c r="AM41" s="2506"/>
      <c r="AN41" s="2506"/>
      <c r="AO41" s="2506"/>
      <c r="AP41" s="2506"/>
      <c r="AQ41" s="2506"/>
      <c r="AR41" s="2506"/>
      <c r="AS41" s="2506"/>
      <c r="AT41" s="2506"/>
      <c r="AU41" s="2506"/>
      <c r="AV41" s="2506"/>
      <c r="AW41" s="2506"/>
      <c r="AX41" s="2506"/>
      <c r="AY41" s="2506"/>
      <c r="AZ41" s="2506"/>
      <c r="BA41" s="2506"/>
      <c r="BB41" s="2506"/>
      <c r="BC41" s="2506"/>
      <c r="BD41" s="2506"/>
      <c r="BE41" s="2506"/>
    </row>
    <row r="42" spans="1:57" s="2511" customFormat="1" x14ac:dyDescent="0.3">
      <c r="B42" s="2514"/>
      <c r="C42" s="2514"/>
      <c r="D42" s="2514"/>
      <c r="E42" s="2514"/>
      <c r="F42" s="2514"/>
      <c r="G42" s="2514"/>
      <c r="H42" s="2514"/>
      <c r="I42" s="2514"/>
      <c r="J42" s="2514"/>
      <c r="K42" s="2514"/>
      <c r="L42" s="2514"/>
      <c r="M42" s="2514"/>
      <c r="N42" s="2514"/>
      <c r="O42" s="2514"/>
      <c r="P42" s="2514"/>
      <c r="Q42" s="2514"/>
      <c r="R42" s="2514"/>
      <c r="S42" s="2514"/>
      <c r="T42" s="2514"/>
      <c r="U42" s="2514"/>
      <c r="V42" s="2514"/>
      <c r="W42" s="2514"/>
      <c r="X42" s="2514"/>
      <c r="Y42" s="2514"/>
      <c r="Z42" s="2514"/>
      <c r="AA42" s="2514"/>
      <c r="AB42" s="2514"/>
      <c r="AC42" s="2514"/>
      <c r="AD42" s="2514"/>
      <c r="AE42" s="2514"/>
      <c r="AF42" s="2514"/>
      <c r="AG42" s="2514"/>
      <c r="AH42" s="2514"/>
      <c r="AI42" s="2514"/>
      <c r="AJ42" s="2514"/>
      <c r="AK42" s="2514"/>
      <c r="AL42" s="2514"/>
      <c r="AM42" s="2514"/>
      <c r="AN42" s="2514"/>
      <c r="AO42" s="2514"/>
      <c r="AP42" s="2514"/>
      <c r="AQ42" s="2514"/>
      <c r="AR42" s="2514"/>
      <c r="AS42" s="2514"/>
      <c r="AT42" s="2514"/>
      <c r="AU42" s="2514"/>
      <c r="AV42" s="2514"/>
      <c r="AW42" s="2514"/>
      <c r="AX42" s="2514"/>
      <c r="AY42" s="2514"/>
      <c r="AZ42" s="2514"/>
      <c r="BA42" s="2514"/>
      <c r="BB42" s="2514"/>
      <c r="BC42" s="2514"/>
      <c r="BD42" s="2514"/>
      <c r="BE42" s="2514"/>
    </row>
    <row r="43" spans="1:57" s="2511" customFormat="1" x14ac:dyDescent="0.3">
      <c r="B43" s="2514"/>
      <c r="C43" s="2514"/>
      <c r="D43" s="2514"/>
      <c r="E43" s="2514"/>
      <c r="F43" s="2514"/>
      <c r="G43" s="2514"/>
      <c r="H43" s="2514"/>
      <c r="I43" s="2514"/>
      <c r="J43" s="2514"/>
      <c r="K43" s="2514"/>
      <c r="L43" s="2514"/>
      <c r="M43" s="2514"/>
      <c r="N43" s="2514"/>
      <c r="O43" s="2514"/>
      <c r="P43" s="2514"/>
      <c r="Q43" s="2514"/>
      <c r="R43" s="2514"/>
      <c r="S43" s="2514"/>
      <c r="T43" s="2514"/>
      <c r="U43" s="2514"/>
      <c r="V43" s="2514"/>
      <c r="W43" s="2514"/>
      <c r="X43" s="2514"/>
      <c r="Y43" s="2514"/>
      <c r="Z43" s="2514"/>
      <c r="AA43" s="2514"/>
      <c r="AB43" s="2514"/>
      <c r="AC43" s="2514"/>
      <c r="AD43" s="2514"/>
      <c r="AE43" s="2514"/>
      <c r="AF43" s="2514"/>
      <c r="AG43" s="2514"/>
      <c r="AH43" s="2514"/>
      <c r="AI43" s="2514"/>
      <c r="AJ43" s="2514"/>
      <c r="AK43" s="2514"/>
      <c r="AL43" s="2514"/>
      <c r="AM43" s="2514"/>
      <c r="AN43" s="2514"/>
      <c r="AO43" s="2514"/>
      <c r="AP43" s="2514"/>
      <c r="AQ43" s="2514"/>
      <c r="AR43" s="2514"/>
      <c r="AS43" s="2514"/>
      <c r="AT43" s="2514"/>
      <c r="AU43" s="2514"/>
      <c r="AV43" s="2514"/>
      <c r="AW43" s="2514"/>
      <c r="AX43" s="2514"/>
      <c r="AY43" s="2514"/>
      <c r="AZ43" s="2514"/>
      <c r="BA43" s="2514"/>
      <c r="BB43" s="2514"/>
      <c r="BC43" s="2514"/>
      <c r="BD43" s="2514"/>
      <c r="BE43" s="2514"/>
    </row>
    <row r="44" spans="1:57" s="2511" customFormat="1" x14ac:dyDescent="0.3">
      <c r="A44" s="2515" t="s">
        <v>3332</v>
      </c>
      <c r="B44" s="2514"/>
      <c r="C44" s="2514"/>
      <c r="D44" s="2514"/>
      <c r="E44" s="2514"/>
      <c r="F44" s="2514"/>
      <c r="G44" s="2514"/>
      <c r="H44" s="2514"/>
      <c r="I44" s="2514"/>
      <c r="J44" s="2514"/>
      <c r="K44" s="2514"/>
      <c r="L44" s="2514"/>
      <c r="M44" s="2514"/>
      <c r="N44" s="2514"/>
      <c r="O44" s="2514"/>
      <c r="P44" s="2514"/>
      <c r="Q44" s="2514"/>
      <c r="R44" s="2514"/>
      <c r="S44" s="2514"/>
      <c r="T44" s="2514"/>
      <c r="U44" s="2514"/>
      <c r="V44" s="2514"/>
      <c r="W44" s="2514"/>
      <c r="X44" s="2514"/>
      <c r="Y44" s="2514"/>
      <c r="Z44" s="2514"/>
      <c r="AA44" s="2514"/>
      <c r="AB44" s="2514"/>
      <c r="AC44" s="2514"/>
      <c r="AD44" s="2514"/>
      <c r="AE44" s="2514"/>
      <c r="AF44" s="2514"/>
      <c r="AG44" s="2514"/>
      <c r="AH44" s="2514"/>
      <c r="AI44" s="2514"/>
      <c r="AJ44" s="2514"/>
      <c r="AK44" s="2514"/>
      <c r="AL44" s="2514"/>
      <c r="AM44" s="2514"/>
      <c r="AN44" s="2514"/>
      <c r="AO44" s="2514"/>
      <c r="AP44" s="2514"/>
      <c r="AQ44" s="2514"/>
      <c r="AR44" s="2514"/>
      <c r="AS44" s="2514"/>
      <c r="AT44" s="2514"/>
      <c r="AU44" s="2514"/>
      <c r="AV44" s="2514"/>
      <c r="AW44" s="2514"/>
      <c r="AX44" s="2514"/>
      <c r="AY44" s="2514"/>
      <c r="AZ44" s="2514"/>
      <c r="BA44" s="2514"/>
      <c r="BB44" s="2514"/>
      <c r="BC44" s="2514"/>
      <c r="BD44" s="2514"/>
      <c r="BE44" s="2514"/>
    </row>
    <row r="45" spans="1:57" s="2511" customFormat="1" x14ac:dyDescent="0.3">
      <c r="B45" s="3296" t="s">
        <v>3331</v>
      </c>
      <c r="C45" s="3297"/>
      <c r="D45" s="3297"/>
      <c r="E45" s="3297"/>
      <c r="F45" s="3298"/>
      <c r="G45" s="3299" t="s">
        <v>3330</v>
      </c>
      <c r="H45" s="3300"/>
      <c r="I45" s="3300"/>
      <c r="J45" s="3300"/>
      <c r="K45" s="3301"/>
      <c r="L45" s="3299" t="s">
        <v>3239</v>
      </c>
      <c r="M45" s="3300"/>
      <c r="N45" s="3300"/>
      <c r="O45" s="3300"/>
      <c r="P45" s="3301"/>
      <c r="Q45" s="2514"/>
      <c r="R45" s="2514"/>
      <c r="S45" s="2514"/>
      <c r="T45" s="2514"/>
      <c r="U45" s="2514"/>
      <c r="V45" s="2514"/>
      <c r="W45" s="2514"/>
      <c r="X45" s="2514"/>
      <c r="Y45" s="2514"/>
      <c r="Z45" s="2514"/>
      <c r="AA45" s="2514"/>
      <c r="AB45" s="2514"/>
      <c r="AC45" s="2514"/>
      <c r="AD45" s="2514"/>
      <c r="AE45" s="2514"/>
      <c r="AF45" s="2514"/>
      <c r="AG45" s="2514"/>
      <c r="AH45" s="2514"/>
      <c r="AI45" s="2514"/>
      <c r="AJ45" s="2514"/>
      <c r="AK45" s="2514"/>
      <c r="AL45" s="2514"/>
      <c r="AM45" s="2514"/>
      <c r="AN45" s="2514"/>
      <c r="AO45" s="2514"/>
      <c r="AP45" s="2514"/>
      <c r="AQ45" s="2514"/>
      <c r="AR45" s="2514"/>
      <c r="AS45" s="2514"/>
      <c r="AT45" s="2514"/>
      <c r="AU45" s="2514"/>
      <c r="AV45" s="2514"/>
      <c r="AW45" s="2514"/>
      <c r="AX45" s="2514"/>
      <c r="AY45" s="2514"/>
      <c r="AZ45" s="2514"/>
      <c r="BA45" s="2514"/>
      <c r="BB45" s="2514"/>
      <c r="BC45" s="2514"/>
      <c r="BD45" s="2514"/>
      <c r="BE45" s="2514"/>
    </row>
    <row r="46" spans="1:57" s="2511" customFormat="1" ht="14.4" customHeight="1" x14ac:dyDescent="0.3">
      <c r="B46" s="3282" t="s">
        <v>3329</v>
      </c>
      <c r="C46" s="3283"/>
      <c r="D46" s="3283"/>
      <c r="E46" s="3283"/>
      <c r="F46" s="3284"/>
      <c r="G46" s="3285" t="s">
        <v>3329</v>
      </c>
      <c r="H46" s="3286"/>
      <c r="I46" s="3286"/>
      <c r="J46" s="3286"/>
      <c r="K46" s="3287"/>
      <c r="L46" s="3285" t="s">
        <v>3329</v>
      </c>
      <c r="M46" s="3286"/>
      <c r="N46" s="3286"/>
      <c r="O46" s="3286"/>
      <c r="P46" s="3287"/>
      <c r="Q46" s="2514"/>
      <c r="R46" s="2514"/>
      <c r="S46" s="2514"/>
      <c r="T46" s="2514"/>
      <c r="U46" s="2514"/>
      <c r="V46" s="2514"/>
      <c r="W46" s="2514"/>
      <c r="X46" s="2514"/>
      <c r="Y46" s="2514"/>
      <c r="Z46" s="2514"/>
      <c r="AA46" s="2514"/>
      <c r="AB46" s="2514"/>
      <c r="AC46" s="2514"/>
      <c r="AD46" s="2514"/>
      <c r="AE46" s="2514"/>
      <c r="AF46" s="2514"/>
      <c r="AG46" s="2514"/>
      <c r="AH46" s="2514"/>
      <c r="AI46" s="2514"/>
      <c r="AJ46" s="2514"/>
      <c r="AK46" s="2514"/>
      <c r="AL46" s="2514"/>
      <c r="AM46" s="2514"/>
      <c r="AN46" s="2514"/>
      <c r="AO46" s="2514"/>
      <c r="AP46" s="2514"/>
      <c r="AQ46" s="2514"/>
      <c r="AR46" s="2514"/>
      <c r="AS46" s="2514"/>
      <c r="AT46" s="2514"/>
      <c r="AU46" s="2514"/>
      <c r="AV46" s="2514"/>
      <c r="AW46" s="2514"/>
      <c r="AX46" s="2514"/>
      <c r="AY46" s="2514"/>
      <c r="AZ46" s="2514"/>
      <c r="BA46" s="2514"/>
      <c r="BB46" s="2514"/>
      <c r="BC46" s="2514"/>
      <c r="BD46" s="2514"/>
      <c r="BE46" s="2514"/>
    </row>
    <row r="47" spans="1:57" s="2511" customFormat="1" x14ac:dyDescent="0.3">
      <c r="A47" s="2516" t="s">
        <v>3328</v>
      </c>
      <c r="B47" s="2517" t="s">
        <v>3327</v>
      </c>
      <c r="C47" s="2518" t="s">
        <v>3326</v>
      </c>
      <c r="D47" s="2519" t="s">
        <v>3238</v>
      </c>
      <c r="E47" s="2518" t="s">
        <v>3325</v>
      </c>
      <c r="F47" s="2520" t="s">
        <v>3324</v>
      </c>
      <c r="G47" s="2521" t="s">
        <v>3327</v>
      </c>
      <c r="H47" s="2518" t="s">
        <v>3326</v>
      </c>
      <c r="I47" s="2519" t="s">
        <v>3238</v>
      </c>
      <c r="J47" s="2518" t="s">
        <v>3325</v>
      </c>
      <c r="K47" s="2520" t="s">
        <v>3324</v>
      </c>
      <c r="L47" s="2521" t="s">
        <v>3327</v>
      </c>
      <c r="M47" s="2518" t="s">
        <v>3326</v>
      </c>
      <c r="N47" s="2519" t="s">
        <v>3238</v>
      </c>
      <c r="O47" s="2518" t="s">
        <v>3325</v>
      </c>
      <c r="P47" s="2520" t="s">
        <v>3324</v>
      </c>
      <c r="Q47" s="2514"/>
      <c r="R47" s="2514"/>
      <c r="S47" s="2514"/>
      <c r="T47" s="2514"/>
      <c r="U47" s="2514"/>
      <c r="V47" s="2514"/>
      <c r="W47" s="2514"/>
      <c r="X47" s="2514"/>
      <c r="Y47" s="2514"/>
      <c r="Z47" s="2514"/>
      <c r="AA47" s="2514"/>
      <c r="AB47" s="2514"/>
      <c r="AC47" s="2514"/>
      <c r="AD47" s="2514"/>
      <c r="AE47" s="2514"/>
      <c r="AF47" s="2514"/>
      <c r="AG47" s="2514"/>
      <c r="AH47" s="2514"/>
      <c r="AI47" s="2514"/>
      <c r="AJ47" s="2514"/>
      <c r="AK47" s="2514"/>
      <c r="AL47" s="2514"/>
      <c r="AM47" s="2514"/>
      <c r="AN47" s="2514"/>
      <c r="AO47" s="2514"/>
      <c r="AP47" s="2514"/>
      <c r="AQ47" s="2514"/>
      <c r="AR47" s="2514"/>
      <c r="AS47" s="2514"/>
      <c r="AT47" s="2514"/>
      <c r="AU47" s="2514"/>
      <c r="AV47" s="2514"/>
      <c r="AW47" s="2514"/>
      <c r="AX47" s="2514"/>
      <c r="AY47" s="2514"/>
      <c r="AZ47" s="2514"/>
      <c r="BA47" s="2514"/>
      <c r="BB47" s="2514"/>
      <c r="BC47" s="2514"/>
      <c r="BD47" s="2514"/>
      <c r="BE47" s="2514"/>
    </row>
    <row r="48" spans="1:57" x14ac:dyDescent="0.3">
      <c r="A48" s="2373" t="s">
        <v>3323</v>
      </c>
      <c r="B48" s="2372"/>
      <c r="C48" s="2371"/>
      <c r="D48" s="2371"/>
      <c r="E48" s="2371"/>
      <c r="F48" s="2371"/>
      <c r="G48" s="2371"/>
      <c r="H48" s="2371"/>
      <c r="I48" s="2371"/>
      <c r="J48" s="2371"/>
      <c r="K48" s="2371"/>
      <c r="L48" s="2370"/>
      <c r="M48" s="2370"/>
      <c r="N48" s="2370"/>
      <c r="O48" s="2370"/>
      <c r="P48" s="2369"/>
    </row>
    <row r="49" spans="1:16" x14ac:dyDescent="0.3">
      <c r="A49" s="2355" t="s">
        <v>3322</v>
      </c>
      <c r="B49" s="2345"/>
      <c r="C49" s="2345"/>
      <c r="D49" s="2345"/>
      <c r="E49" s="2345"/>
      <c r="F49" s="2345"/>
      <c r="G49" s="2345"/>
      <c r="H49" s="2345"/>
      <c r="I49" s="2345"/>
      <c r="J49" s="2345"/>
      <c r="K49" s="2345"/>
      <c r="L49" s="2345"/>
      <c r="M49" s="2345"/>
      <c r="N49" s="2345"/>
      <c r="O49" s="2345"/>
      <c r="P49" s="2345"/>
    </row>
    <row r="50" spans="1:16" x14ac:dyDescent="0.3">
      <c r="A50" s="2355" t="s">
        <v>3321</v>
      </c>
      <c r="B50" s="2345"/>
      <c r="C50" s="2345"/>
      <c r="D50" s="2345"/>
      <c r="E50" s="2345"/>
      <c r="F50" s="2345"/>
      <c r="G50" s="2345"/>
      <c r="H50" s="2345"/>
      <c r="I50" s="2345"/>
      <c r="J50" s="2345"/>
      <c r="K50" s="2345"/>
      <c r="L50" s="2345"/>
      <c r="M50" s="2345"/>
      <c r="N50" s="2345"/>
      <c r="O50" s="2345"/>
      <c r="P50" s="2345"/>
    </row>
    <row r="51" spans="1:16" x14ac:dyDescent="0.3">
      <c r="A51" s="2355" t="s">
        <v>3320</v>
      </c>
      <c r="B51" s="2368">
        <v>2042526.0082250678</v>
      </c>
      <c r="C51" s="2368">
        <v>2039264.0514150988</v>
      </c>
      <c r="D51" s="2345">
        <v>2036038.4125671673</v>
      </c>
      <c r="E51" s="2368">
        <v>2032848.3734866157</v>
      </c>
      <c r="F51" s="2368">
        <v>2029693.2355705635</v>
      </c>
      <c r="G51" s="2368"/>
      <c r="H51" s="2368"/>
      <c r="I51" s="2368"/>
      <c r="J51" s="2368"/>
      <c r="K51" s="2368"/>
      <c r="L51" s="2368"/>
      <c r="M51" s="2368"/>
      <c r="N51" s="2368"/>
      <c r="O51" s="2368"/>
      <c r="P51" s="2368"/>
    </row>
    <row r="52" spans="1:16" x14ac:dyDescent="0.3">
      <c r="A52" s="2355" t="s">
        <v>3319</v>
      </c>
      <c r="B52" s="2345">
        <v>2042525.6897281678</v>
      </c>
      <c r="C52" s="2345">
        <v>2039263.4226013091</v>
      </c>
      <c r="D52" s="2345">
        <v>2036037.4866565075</v>
      </c>
      <c r="E52" s="2345">
        <v>2032847.1632247157</v>
      </c>
      <c r="F52" s="2345">
        <v>2029691.7532461637</v>
      </c>
      <c r="G52" s="2345"/>
      <c r="H52" s="2345"/>
      <c r="I52" s="2345"/>
      <c r="J52" s="2345"/>
      <c r="K52" s="2345"/>
      <c r="L52" s="2345"/>
      <c r="M52" s="2345"/>
      <c r="N52" s="2345"/>
      <c r="O52" s="2345"/>
      <c r="P52" s="2345"/>
    </row>
    <row r="53" spans="1:16" x14ac:dyDescent="0.3">
      <c r="A53" s="2355" t="s">
        <v>3318</v>
      </c>
      <c r="B53" s="2345">
        <v>2042525.8480899378</v>
      </c>
      <c r="C53" s="2345">
        <v>2039263.7352049986</v>
      </c>
      <c r="D53" s="2345">
        <v>2036037.9469403974</v>
      </c>
      <c r="E53" s="2345">
        <v>2032847.7648620959</v>
      </c>
      <c r="F53" s="2345">
        <v>2029692.4901366932</v>
      </c>
      <c r="G53" s="2345"/>
      <c r="H53" s="2345"/>
      <c r="I53" s="2345"/>
      <c r="J53" s="2345"/>
      <c r="K53" s="2345"/>
      <c r="L53" s="2345"/>
      <c r="M53" s="2345"/>
      <c r="N53" s="2345"/>
      <c r="O53" s="2345"/>
      <c r="P53" s="2345"/>
    </row>
    <row r="54" spans="1:16" x14ac:dyDescent="0.3">
      <c r="A54" s="2355" t="s">
        <v>3317</v>
      </c>
      <c r="B54" s="2345">
        <v>2042526.1701443379</v>
      </c>
      <c r="C54" s="2345">
        <v>2039264.3712553489</v>
      </c>
      <c r="D54" s="2345">
        <v>2036038.8835724774</v>
      </c>
      <c r="E54" s="2345">
        <v>2032848.9891448254</v>
      </c>
      <c r="F54" s="2345">
        <v>2029693.9896042936</v>
      </c>
      <c r="G54" s="2345"/>
      <c r="H54" s="2345"/>
      <c r="I54" s="2345"/>
      <c r="J54" s="2345"/>
      <c r="K54" s="2345"/>
      <c r="L54" s="2345"/>
      <c r="M54" s="2345"/>
      <c r="N54" s="2345"/>
      <c r="O54" s="2345"/>
      <c r="P54" s="2345"/>
    </row>
    <row r="55" spans="1:16" x14ac:dyDescent="0.3">
      <c r="A55" s="2355" t="s">
        <v>3316</v>
      </c>
      <c r="B55" s="2345">
        <v>2042526.3338586281</v>
      </c>
      <c r="C55" s="2345">
        <v>2039264.6947497891</v>
      </c>
      <c r="D55" s="2345">
        <v>2036039.3599924073</v>
      </c>
      <c r="E55" s="2345">
        <v>2032849.6118838659</v>
      </c>
      <c r="F55" s="2345">
        <v>2029694.7522950934</v>
      </c>
      <c r="G55" s="2345"/>
      <c r="H55" s="2345"/>
      <c r="I55" s="2345"/>
      <c r="J55" s="2345"/>
      <c r="K55" s="2345"/>
      <c r="L55" s="2345"/>
      <c r="M55" s="2345"/>
      <c r="N55" s="2345"/>
      <c r="O55" s="2345"/>
      <c r="P55" s="2345"/>
    </row>
  </sheetData>
  <sheetProtection algorithmName="SHA-512" hashValue="e2hTk9d0typRNXnT6nZdDlFSSkciF+uPAu1Hd3PnTnJNnydobQlsVbMVw7TsbU44afkyhjzfFGEyOujsAUNpFQ==" saltValue="4GE3bQoDsyv5gGk8c1tDCw==" spinCount="100000" sheet="1" objects="1" scenarios="1"/>
  <mergeCells count="22">
    <mergeCell ref="B4:AC4"/>
    <mergeCell ref="AD4:BE4"/>
    <mergeCell ref="B5:M5"/>
    <mergeCell ref="N5:U5"/>
    <mergeCell ref="V5:AC5"/>
    <mergeCell ref="AD5:AO5"/>
    <mergeCell ref="AP5:AW5"/>
    <mergeCell ref="AX5:BE5"/>
    <mergeCell ref="B46:F46"/>
    <mergeCell ref="G46:K46"/>
    <mergeCell ref="L46:P46"/>
    <mergeCell ref="AP6:AW6"/>
    <mergeCell ref="AX6:BE6"/>
    <mergeCell ref="AD6:AK6"/>
    <mergeCell ref="AL6:AO6"/>
    <mergeCell ref="B6:I6"/>
    <mergeCell ref="J6:M6"/>
    <mergeCell ref="N6:U6"/>
    <mergeCell ref="V6:AC6"/>
    <mergeCell ref="B45:F45"/>
    <mergeCell ref="G45:K45"/>
    <mergeCell ref="L45:P45"/>
  </mergeCells>
  <conditionalFormatting sqref="B8:U8">
    <cfRule type="cellIs" dxfId="800" priority="4" stopIfTrue="1" operator="lessThan">
      <formula>0</formula>
    </cfRule>
  </conditionalFormatting>
  <conditionalFormatting sqref="B18:U18">
    <cfRule type="cellIs" dxfId="799" priority="3" stopIfTrue="1" operator="lessThan">
      <formula>0</formula>
    </cfRule>
  </conditionalFormatting>
  <conditionalFormatting sqref="AD8:AW8">
    <cfRule type="cellIs" dxfId="798" priority="2" stopIfTrue="1" operator="lessThan">
      <formula>0</formula>
    </cfRule>
  </conditionalFormatting>
  <conditionalFormatting sqref="AD18:AW18">
    <cfRule type="cellIs" dxfId="797" priority="1" stopIfTrue="1" operator="lessThan">
      <formula>0</formula>
    </cfRule>
  </conditionalFormatting>
  <pageMargins left="0.7" right="0.7" top="0.75" bottom="0.75" header="0.3" footer="0.3"/>
  <pageSetup paperSize="9" orientation="portrait" r:id="rId1"/>
  <headerFooter>
    <oddHeader>&amp;L&amp;"Calibri"&amp;12&amp;K000000 EBA Regular Use&amp;1#_x000D_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EC72"/>
  </sheetPr>
  <dimension ref="A1:F90"/>
  <sheetViews>
    <sheetView zoomScale="75" zoomScaleNormal="75" workbookViewId="0">
      <pane ySplit="1" topLeftCell="A2" activePane="bottomLeft" state="frozen"/>
      <selection activeCell="P35" sqref="P35"/>
      <selection pane="bottomLeft" activeCell="E59" sqref="E59"/>
    </sheetView>
  </sheetViews>
  <sheetFormatPr defaultColWidth="0" defaultRowHeight="0" customHeight="1" zeroHeight="1" x14ac:dyDescent="0.35"/>
  <cols>
    <col min="1" max="1" width="1.6640625" style="55" customWidth="1"/>
    <col min="2" max="2" width="100.6640625" style="85" customWidth="1"/>
    <col min="3" max="5" width="18.6640625" style="85" customWidth="1"/>
    <col min="6" max="6" width="1.6640625" style="85" customWidth="1"/>
    <col min="7" max="16384" width="16.88671875" hidden="1"/>
  </cols>
  <sheetData>
    <row r="1" spans="1:6" ht="30" customHeight="1" x14ac:dyDescent="0.65">
      <c r="A1" s="1387" t="s">
        <v>77</v>
      </c>
      <c r="B1" s="882"/>
      <c r="C1" s="883" t="str">
        <f>CONCATENATE("v",Parameters!C4,".",Parameters!D4,".",Parameters!E4)</f>
        <v>v4.6.1</v>
      </c>
      <c r="D1" s="2502" t="str">
        <f>CONCATENATE("EBA Version",".",'EU Parameters'!C4,".",'EU Parameters'!D4)</f>
        <v>EBA Version.2.1</v>
      </c>
      <c r="E1" s="884"/>
      <c r="F1" s="735"/>
    </row>
    <row r="2" spans="1:6" ht="30" customHeight="1" x14ac:dyDescent="0.45">
      <c r="A2" s="885" t="s">
        <v>1</v>
      </c>
      <c r="B2" s="886"/>
      <c r="C2" s="887"/>
      <c r="D2" s="846"/>
      <c r="E2" s="846"/>
      <c r="F2" s="279"/>
    </row>
    <row r="3" spans="1:6" ht="45" customHeight="1" x14ac:dyDescent="0.35">
      <c r="A3" s="280" t="s">
        <v>78</v>
      </c>
      <c r="B3" s="84"/>
      <c r="F3" s="279"/>
    </row>
    <row r="4" spans="1:6" ht="15" customHeight="1" x14ac:dyDescent="0.35">
      <c r="A4" s="291"/>
      <c r="B4" s="480" t="s">
        <v>79</v>
      </c>
      <c r="C4" s="888">
        <v>44926</v>
      </c>
      <c r="D4" s="889"/>
      <c r="E4" s="2"/>
      <c r="F4" s="279"/>
    </row>
    <row r="5" spans="1:6" ht="15" customHeight="1" x14ac:dyDescent="0.35">
      <c r="A5" s="291"/>
      <c r="B5" s="152" t="s">
        <v>80</v>
      </c>
      <c r="C5" s="414" t="s">
        <v>3561</v>
      </c>
      <c r="D5" s="8"/>
      <c r="E5" s="2"/>
      <c r="F5" s="279"/>
    </row>
    <row r="6" spans="1:6" ht="15" customHeight="1" x14ac:dyDescent="0.35">
      <c r="A6" s="291"/>
      <c r="B6" s="152" t="s">
        <v>81</v>
      </c>
      <c r="C6" s="707" t="s">
        <v>3561</v>
      </c>
      <c r="D6" s="8"/>
      <c r="E6" s="2"/>
      <c r="F6" s="279"/>
    </row>
    <row r="7" spans="1:6" ht="15" customHeight="1" x14ac:dyDescent="0.35">
      <c r="A7" s="291"/>
      <c r="B7" s="213" t="s">
        <v>82</v>
      </c>
      <c r="C7" s="415">
        <v>1000</v>
      </c>
      <c r="D7" s="9" t="str">
        <f>VLOOKUP(C7,UnitT,2)</f>
        <v>Thousands</v>
      </c>
      <c r="E7" s="2"/>
      <c r="F7" s="279"/>
    </row>
    <row r="8" spans="1:6" ht="15" customHeight="1" x14ac:dyDescent="0.35">
      <c r="A8" s="291"/>
      <c r="B8" s="101" t="s">
        <v>83</v>
      </c>
      <c r="C8" s="2576" t="s">
        <v>1919</v>
      </c>
      <c r="D8" s="2576"/>
      <c r="E8" s="2"/>
      <c r="F8" s="279"/>
    </row>
    <row r="9" spans="1:6" ht="60" customHeight="1" x14ac:dyDescent="0.35">
      <c r="A9" s="2577" t="s">
        <v>84</v>
      </c>
      <c r="B9" s="2578"/>
      <c r="F9" s="279"/>
    </row>
    <row r="10" spans="1:6" ht="45" customHeight="1" x14ac:dyDescent="0.35">
      <c r="A10" s="2579" t="s">
        <v>85</v>
      </c>
      <c r="B10" s="2580"/>
      <c r="C10" s="215"/>
      <c r="D10" s="215"/>
      <c r="E10" s="215"/>
      <c r="F10" s="890"/>
    </row>
    <row r="11" spans="1:6" ht="15" customHeight="1" x14ac:dyDescent="0.35">
      <c r="A11" s="265"/>
      <c r="B11" s="482" t="s">
        <v>86</v>
      </c>
      <c r="C11" s="552" t="s">
        <v>18</v>
      </c>
      <c r="D11" s="889"/>
      <c r="F11" s="279"/>
    </row>
    <row r="12" spans="1:6" ht="15" customHeight="1" x14ac:dyDescent="0.35">
      <c r="A12" s="291"/>
      <c r="B12" s="152" t="s">
        <v>87</v>
      </c>
      <c r="C12" s="1224" t="s">
        <v>7</v>
      </c>
      <c r="D12" s="85" t="str">
        <f>IF(OR(C12="",C13=""),"", IF(OR(C12="Yes", C13="Yes"), "Yes", "No"))</f>
        <v>Yes</v>
      </c>
      <c r="F12" s="279"/>
    </row>
    <row r="13" spans="1:6" ht="15" customHeight="1" x14ac:dyDescent="0.35">
      <c r="A13" s="291"/>
      <c r="B13" s="152" t="s">
        <v>88</v>
      </c>
      <c r="C13" s="1390" t="s">
        <v>18</v>
      </c>
      <c r="D13" s="1460"/>
      <c r="F13" s="279"/>
    </row>
    <row r="14" spans="1:6" ht="30" customHeight="1" x14ac:dyDescent="0.35">
      <c r="A14" s="291"/>
      <c r="B14" s="881" t="s">
        <v>89</v>
      </c>
      <c r="C14" s="787" t="s">
        <v>7</v>
      </c>
      <c r="D14" s="749"/>
      <c r="F14" s="279"/>
    </row>
    <row r="15" spans="1:6" ht="15" customHeight="1" x14ac:dyDescent="0.35">
      <c r="A15" s="291"/>
      <c r="B15" s="218" t="s">
        <v>90</v>
      </c>
      <c r="C15" s="1382" t="s">
        <v>7</v>
      </c>
      <c r="D15" s="594"/>
      <c r="F15" s="279"/>
    </row>
    <row r="16" spans="1:6" ht="60" customHeight="1" x14ac:dyDescent="0.35">
      <c r="A16" s="280" t="s">
        <v>91</v>
      </c>
      <c r="B16" s="84"/>
      <c r="F16" s="279"/>
    </row>
    <row r="17" spans="1:6" ht="30" customHeight="1" x14ac:dyDescent="0.35">
      <c r="A17" s="291"/>
      <c r="B17" s="921"/>
      <c r="C17" s="1082" t="s">
        <v>92</v>
      </c>
      <c r="D17" s="1252" t="s">
        <v>93</v>
      </c>
      <c r="E17" s="1252" t="s">
        <v>94</v>
      </c>
      <c r="F17" s="279"/>
    </row>
    <row r="18" spans="1:6" ht="15" customHeight="1" x14ac:dyDescent="0.35">
      <c r="A18" s="291"/>
      <c r="B18" s="482" t="s">
        <v>95</v>
      </c>
      <c r="C18" s="1388"/>
      <c r="D18" s="1388"/>
      <c r="E18" s="889"/>
      <c r="F18" s="279"/>
    </row>
    <row r="19" spans="1:6" ht="15" customHeight="1" x14ac:dyDescent="0.35">
      <c r="A19" s="259"/>
      <c r="B19" s="339" t="s">
        <v>96</v>
      </c>
      <c r="C19" s="416" t="s">
        <v>7</v>
      </c>
      <c r="D19" s="225" t="s">
        <v>7</v>
      </c>
      <c r="E19" s="749"/>
      <c r="F19" s="279"/>
    </row>
    <row r="20" spans="1:6" ht="15" customHeight="1" x14ac:dyDescent="0.35">
      <c r="A20" s="259"/>
      <c r="B20" s="339" t="s">
        <v>97</v>
      </c>
      <c r="C20" s="416" t="s">
        <v>7</v>
      </c>
      <c r="D20" s="749"/>
      <c r="E20" s="749"/>
      <c r="F20" s="279"/>
    </row>
    <row r="21" spans="1:6" ht="15" customHeight="1" x14ac:dyDescent="0.35">
      <c r="A21" s="259"/>
      <c r="B21" s="339" t="s">
        <v>98</v>
      </c>
      <c r="C21" s="416" t="s">
        <v>18</v>
      </c>
      <c r="D21" s="749"/>
      <c r="E21" s="749"/>
      <c r="F21" s="279"/>
    </row>
    <row r="22" spans="1:6" ht="15" customHeight="1" x14ac:dyDescent="0.35">
      <c r="A22" s="259"/>
      <c r="B22" s="411" t="s">
        <v>99</v>
      </c>
      <c r="C22" s="1382" t="s">
        <v>7</v>
      </c>
      <c r="D22" s="226" t="s">
        <v>18</v>
      </c>
      <c r="E22" s="1735" t="s">
        <v>7</v>
      </c>
      <c r="F22" s="279"/>
    </row>
    <row r="23" spans="1:6" ht="15" customHeight="1" x14ac:dyDescent="0.35">
      <c r="A23" s="291"/>
      <c r="B23" s="482" t="s">
        <v>100</v>
      </c>
      <c r="C23" s="1388"/>
      <c r="D23" s="1388"/>
      <c r="E23" s="889"/>
      <c r="F23" s="279"/>
    </row>
    <row r="24" spans="1:6" ht="15" customHeight="1" x14ac:dyDescent="0.35">
      <c r="A24" s="259"/>
      <c r="B24" s="339" t="s">
        <v>96</v>
      </c>
      <c r="C24" s="416" t="s">
        <v>7</v>
      </c>
      <c r="D24" s="225" t="s">
        <v>7</v>
      </c>
      <c r="E24" s="749"/>
      <c r="F24" s="279"/>
    </row>
    <row r="25" spans="1:6" ht="15" customHeight="1" x14ac:dyDescent="0.35">
      <c r="A25" s="259"/>
      <c r="B25" s="339" t="s">
        <v>101</v>
      </c>
      <c r="C25" s="416" t="s">
        <v>7</v>
      </c>
      <c r="D25" s="225" t="s">
        <v>7</v>
      </c>
      <c r="E25" s="749"/>
      <c r="F25" s="279"/>
    </row>
    <row r="26" spans="1:6" ht="15" customHeight="1" x14ac:dyDescent="0.35">
      <c r="A26" s="259"/>
      <c r="B26" s="164" t="s">
        <v>102</v>
      </c>
      <c r="C26" s="416" t="s">
        <v>7</v>
      </c>
      <c r="D26" s="749"/>
      <c r="E26" s="749"/>
      <c r="F26" s="279"/>
    </row>
    <row r="27" spans="1:6" ht="15" customHeight="1" x14ac:dyDescent="0.35">
      <c r="A27" s="259"/>
      <c r="B27" s="238" t="s">
        <v>103</v>
      </c>
      <c r="C27" s="1382" t="s">
        <v>7</v>
      </c>
      <c r="D27" s="226" t="s">
        <v>7</v>
      </c>
      <c r="E27" s="749"/>
      <c r="F27" s="279"/>
    </row>
    <row r="28" spans="1:6" ht="15" customHeight="1" x14ac:dyDescent="0.35">
      <c r="A28" s="259"/>
      <c r="B28" s="274" t="s">
        <v>104</v>
      </c>
      <c r="C28" s="891" t="s">
        <v>7</v>
      </c>
      <c r="D28" s="594"/>
      <c r="E28" s="594"/>
      <c r="F28" s="279"/>
    </row>
    <row r="29" spans="1:6" ht="60" customHeight="1" x14ac:dyDescent="0.35">
      <c r="A29" s="280" t="s">
        <v>105</v>
      </c>
      <c r="B29" s="84"/>
      <c r="F29" s="279"/>
    </row>
    <row r="30" spans="1:6" ht="15" customHeight="1" x14ac:dyDescent="0.35">
      <c r="A30" s="291"/>
      <c r="B30" s="480" t="s">
        <v>106</v>
      </c>
      <c r="C30" s="552" t="s">
        <v>18</v>
      </c>
      <c r="F30" s="279"/>
    </row>
    <row r="31" spans="1:6" ht="15" customHeight="1" x14ac:dyDescent="0.35">
      <c r="A31" s="291"/>
      <c r="B31" s="99" t="s">
        <v>107</v>
      </c>
      <c r="C31" s="416" t="s">
        <v>7</v>
      </c>
      <c r="F31" s="279"/>
    </row>
    <row r="32" spans="1:6" ht="15" customHeight="1" x14ac:dyDescent="0.35">
      <c r="A32" s="892"/>
      <c r="B32" s="339" t="s">
        <v>108</v>
      </c>
      <c r="C32" s="416" t="s">
        <v>7</v>
      </c>
      <c r="F32" s="279"/>
    </row>
    <row r="33" spans="1:6" ht="15" customHeight="1" x14ac:dyDescent="0.35">
      <c r="A33" s="892"/>
      <c r="B33" s="341" t="s">
        <v>109</v>
      </c>
      <c r="C33" s="416" t="s">
        <v>7</v>
      </c>
      <c r="F33" s="279"/>
    </row>
    <row r="34" spans="1:6" ht="15" customHeight="1" x14ac:dyDescent="0.35">
      <c r="A34" s="892"/>
      <c r="B34" s="341" t="s">
        <v>110</v>
      </c>
      <c r="C34" s="787" t="s">
        <v>7</v>
      </c>
      <c r="F34" s="279"/>
    </row>
    <row r="35" spans="1:6" ht="15" customHeight="1" x14ac:dyDescent="0.35">
      <c r="A35" s="892"/>
      <c r="B35" s="218" t="s">
        <v>111</v>
      </c>
      <c r="C35" s="1382" t="s">
        <v>1987</v>
      </c>
      <c r="F35" s="279"/>
    </row>
    <row r="36" spans="1:6" ht="60" customHeight="1" x14ac:dyDescent="0.35">
      <c r="A36" s="280" t="s">
        <v>112</v>
      </c>
      <c r="B36" s="84"/>
      <c r="F36" s="279"/>
    </row>
    <row r="37" spans="1:6" ht="30" customHeight="1" x14ac:dyDescent="0.35">
      <c r="A37" s="291"/>
      <c r="B37" s="921"/>
      <c r="C37" s="685" t="s">
        <v>92</v>
      </c>
      <c r="D37" s="1252" t="s">
        <v>93</v>
      </c>
      <c r="F37" s="279"/>
    </row>
    <row r="38" spans="1:6" ht="15" customHeight="1" x14ac:dyDescent="0.35">
      <c r="A38" s="265"/>
      <c r="B38" s="480" t="s">
        <v>113</v>
      </c>
      <c r="C38" s="1002" t="s">
        <v>7</v>
      </c>
      <c r="D38" s="78"/>
      <c r="F38" s="279"/>
    </row>
    <row r="39" spans="1:6" ht="15" customHeight="1" x14ac:dyDescent="0.35">
      <c r="A39" s="265"/>
      <c r="B39" s="213" t="s">
        <v>114</v>
      </c>
      <c r="C39" s="688" t="s">
        <v>18</v>
      </c>
      <c r="D39" s="78"/>
      <c r="F39" s="279"/>
    </row>
    <row r="40" spans="1:6" ht="15" customHeight="1" x14ac:dyDescent="0.35">
      <c r="A40" s="291"/>
      <c r="B40" s="152" t="s">
        <v>115</v>
      </c>
      <c r="C40" s="78"/>
      <c r="D40" s="688" t="s">
        <v>7</v>
      </c>
      <c r="F40" s="279"/>
    </row>
    <row r="41" spans="1:6" ht="15" customHeight="1" x14ac:dyDescent="0.35">
      <c r="A41" s="291"/>
      <c r="B41" s="152" t="s">
        <v>116</v>
      </c>
      <c r="C41" s="78"/>
      <c r="D41" s="688" t="s">
        <v>7</v>
      </c>
      <c r="F41" s="279"/>
    </row>
    <row r="42" spans="1:6" ht="15" customHeight="1" x14ac:dyDescent="0.35">
      <c r="A42" s="291"/>
      <c r="B42" s="218" t="s">
        <v>117</v>
      </c>
      <c r="C42" s="710"/>
      <c r="D42" s="751" t="s">
        <v>7</v>
      </c>
      <c r="F42" s="279"/>
    </row>
    <row r="43" spans="1:6" ht="60" customHeight="1" x14ac:dyDescent="0.35">
      <c r="A43" s="280" t="s">
        <v>118</v>
      </c>
      <c r="B43" s="84"/>
      <c r="F43" s="279"/>
    </row>
    <row r="44" spans="1:6" ht="15" customHeight="1" x14ac:dyDescent="0.35">
      <c r="A44" s="265"/>
      <c r="B44" s="758" t="s">
        <v>119</v>
      </c>
      <c r="C44" s="759" t="s">
        <v>7</v>
      </c>
      <c r="F44" s="279"/>
    </row>
    <row r="45" spans="1:6" ht="60" customHeight="1" x14ac:dyDescent="0.35">
      <c r="A45" s="280" t="s">
        <v>120</v>
      </c>
      <c r="B45" s="84"/>
      <c r="F45" s="279"/>
    </row>
    <row r="46" spans="1:6" ht="30" customHeight="1" x14ac:dyDescent="0.35">
      <c r="A46" s="291"/>
      <c r="B46" s="921"/>
      <c r="C46" s="1384" t="s">
        <v>92</v>
      </c>
      <c r="D46" s="750" t="s">
        <v>93</v>
      </c>
      <c r="F46" s="279"/>
    </row>
    <row r="47" spans="1:6" ht="15" customHeight="1" x14ac:dyDescent="0.35">
      <c r="A47" s="265"/>
      <c r="B47" s="480" t="s">
        <v>121</v>
      </c>
      <c r="C47" s="552" t="s">
        <v>18</v>
      </c>
      <c r="D47" s="78"/>
      <c r="F47" s="279"/>
    </row>
    <row r="48" spans="1:6" ht="15" customHeight="1" x14ac:dyDescent="0.35">
      <c r="A48" s="265"/>
      <c r="B48" s="213" t="s">
        <v>122</v>
      </c>
      <c r="C48" s="688" t="s">
        <v>18</v>
      </c>
      <c r="D48" s="225" t="s">
        <v>1989</v>
      </c>
      <c r="F48" s="279"/>
    </row>
    <row r="49" spans="1:6" ht="15" customHeight="1" x14ac:dyDescent="0.35">
      <c r="A49" s="291"/>
      <c r="B49" s="213" t="s">
        <v>123</v>
      </c>
      <c r="C49" s="416" t="s">
        <v>7</v>
      </c>
      <c r="D49" s="225" t="s">
        <v>7</v>
      </c>
      <c r="F49" s="279"/>
    </row>
    <row r="50" spans="1:6" ht="15" customHeight="1" x14ac:dyDescent="0.35">
      <c r="A50" s="291"/>
      <c r="B50" s="152" t="s">
        <v>124</v>
      </c>
      <c r="C50" s="581">
        <v>0</v>
      </c>
      <c r="D50" s="78"/>
      <c r="F50" s="279"/>
    </row>
    <row r="51" spans="1:6" ht="15" customHeight="1" x14ac:dyDescent="0.35">
      <c r="A51" s="291"/>
      <c r="B51" s="218" t="s">
        <v>125</v>
      </c>
      <c r="C51" s="417">
        <v>0</v>
      </c>
      <c r="D51" s="594"/>
      <c r="F51" s="279"/>
    </row>
    <row r="52" spans="1:6" ht="60" customHeight="1" x14ac:dyDescent="0.35">
      <c r="A52" s="280" t="s">
        <v>126</v>
      </c>
      <c r="B52" s="84"/>
      <c r="F52" s="279"/>
    </row>
    <row r="53" spans="1:6" ht="15" customHeight="1" x14ac:dyDescent="0.35">
      <c r="A53" s="265"/>
      <c r="B53" s="893" t="s">
        <v>127</v>
      </c>
      <c r="C53" s="894">
        <v>56804985</v>
      </c>
      <c r="F53" s="279"/>
    </row>
    <row r="54" spans="1:6" ht="15" customHeight="1" x14ac:dyDescent="0.35">
      <c r="A54" s="576"/>
      <c r="D54" s="278"/>
      <c r="E54" s="278"/>
      <c r="F54" s="875"/>
    </row>
    <row r="55" spans="1:6" ht="45" customHeight="1" x14ac:dyDescent="0.45">
      <c r="A55" s="885" t="s">
        <v>128</v>
      </c>
      <c r="B55" s="886"/>
      <c r="C55" s="887"/>
      <c r="D55" s="846"/>
      <c r="E55" s="846"/>
      <c r="F55" s="279"/>
    </row>
    <row r="56" spans="1:6" ht="45" customHeight="1" x14ac:dyDescent="0.35">
      <c r="A56" s="291"/>
      <c r="B56" s="71" t="str">
        <f>CONCATENATE("Data in cells C ", ROW(C58), " to C", ROW(C71), " must be in line with regulatory reporting.")</f>
        <v>Data in cells C 58 to C71 must be in line with regulatory reporting.</v>
      </c>
      <c r="F56" s="279"/>
    </row>
    <row r="57" spans="1:6" ht="45" customHeight="1" x14ac:dyDescent="0.35">
      <c r="A57" s="291"/>
      <c r="B57" s="921"/>
      <c r="C57" s="1384" t="s">
        <v>129</v>
      </c>
      <c r="D57" s="895" t="s">
        <v>130</v>
      </c>
      <c r="E57" s="750" t="s">
        <v>131</v>
      </c>
      <c r="F57" s="279"/>
    </row>
    <row r="58" spans="1:6" ht="15" customHeight="1" x14ac:dyDescent="0.35">
      <c r="A58" s="265"/>
      <c r="B58" s="412" t="s">
        <v>132</v>
      </c>
      <c r="C58" s="418">
        <f>IF(AND(ISNUMBER(C59), ISNUMBER(C62), ISNUMBER(C67), ISNUMBER(C71)), C59+C62+C67+C71, "")</f>
        <v>3063158.2608098146</v>
      </c>
      <c r="D58" s="91">
        <f>IF(AND(ISNUMBER(D59),ISNUMBER(D62),ISNUMBER(D67)),D59+D62+D67,"")</f>
        <v>3063158</v>
      </c>
      <c r="E58" s="714">
        <f>IF(AND(ISNUMBER(E59),ISNUMBER(E62),ISNUMBER(E67)),E59+E62+E67,"")</f>
        <v>3100905</v>
      </c>
      <c r="F58" s="279"/>
    </row>
    <row r="59" spans="1:6" ht="15" customHeight="1" x14ac:dyDescent="0.35">
      <c r="A59" s="265"/>
      <c r="B59" s="1039" t="s">
        <v>133</v>
      </c>
      <c r="C59" s="97">
        <f>IF(AND(ISNUMBER(C60),ISNUMBER(C61)),C60-C61,"")</f>
        <v>2523675</v>
      </c>
      <c r="D59" s="9">
        <f>IF(ISNUMBER(DefCap!D65),DefCap!D65,"")</f>
        <v>2523675</v>
      </c>
      <c r="E59" s="9">
        <f>IF(ISNUMBER(DefCap!E65),DefCap!E65,"")</f>
        <v>2561422</v>
      </c>
      <c r="F59" s="279"/>
    </row>
    <row r="60" spans="1:6" ht="15" customHeight="1" x14ac:dyDescent="0.35">
      <c r="A60" s="265"/>
      <c r="B60" s="1385" t="s">
        <v>134</v>
      </c>
      <c r="C60" s="33">
        <v>2900546</v>
      </c>
      <c r="D60" s="9">
        <f>IF(ISNUMBER(DefCap!D33),DefCap!D33,"")</f>
        <v>2900546</v>
      </c>
      <c r="E60" s="9">
        <f>IF(ISNUMBER(DefCap!E33),DefCap!E33,"")</f>
        <v>2900546</v>
      </c>
      <c r="F60" s="279"/>
    </row>
    <row r="61" spans="1:6" ht="15" customHeight="1" x14ac:dyDescent="0.35">
      <c r="A61" s="265"/>
      <c r="B61" s="1385" t="s">
        <v>135</v>
      </c>
      <c r="C61" s="33">
        <v>376871</v>
      </c>
      <c r="D61" s="9">
        <f>IF(ISNUMBER(DefCap!D64),DefCap!D64,"")</f>
        <v>376871</v>
      </c>
      <c r="E61" s="9">
        <f>IF(ISNUMBER(DefCap!E64),DefCap!E64,"")</f>
        <v>339124</v>
      </c>
      <c r="F61" s="279"/>
    </row>
    <row r="62" spans="1:6" ht="15" customHeight="1" x14ac:dyDescent="0.35">
      <c r="A62" s="265"/>
      <c r="B62" s="1039" t="s">
        <v>136</v>
      </c>
      <c r="C62" s="97">
        <f>IF(AND(ISNUMBER(C63),ISNUMBER(C64)),C63-C64,"")</f>
        <v>57938.268059313399</v>
      </c>
      <c r="D62" s="9">
        <f>IF(ISNUMBER(DefCap!D83),DefCap!D83,"")</f>
        <v>57938</v>
      </c>
      <c r="E62" s="9">
        <f>IF(ISNUMBER(DefCap!E83),DefCap!E83,"")</f>
        <v>57938</v>
      </c>
      <c r="F62" s="279"/>
    </row>
    <row r="63" spans="1:6" ht="15" customHeight="1" x14ac:dyDescent="0.35">
      <c r="A63" s="265"/>
      <c r="B63" s="1385" t="s">
        <v>134</v>
      </c>
      <c r="C63" s="33">
        <v>57938.268059313399</v>
      </c>
      <c r="D63" s="9">
        <f>IF(ISNUMBER(DefCap!D72),DefCap!D72,"")</f>
        <v>57938</v>
      </c>
      <c r="E63" s="9">
        <f>IF(ISNUMBER(DefCap!E72),DefCap!E72,"")</f>
        <v>57938</v>
      </c>
      <c r="F63" s="279"/>
    </row>
    <row r="64" spans="1:6" ht="15" customHeight="1" x14ac:dyDescent="0.35">
      <c r="A64" s="265"/>
      <c r="B64" s="1385" t="s">
        <v>135</v>
      </c>
      <c r="C64" s="371">
        <v>0</v>
      </c>
      <c r="D64" s="9">
        <f>IF(ISNUMBER(DefCap!D82),DefCap!D82,"")</f>
        <v>0</v>
      </c>
      <c r="E64" s="9">
        <f>IF(ISNUMBER(DefCap!E82),DefCap!E82,"")</f>
        <v>0</v>
      </c>
      <c r="F64" s="279"/>
    </row>
    <row r="65" spans="1:6" ht="15" customHeight="1" x14ac:dyDescent="0.35">
      <c r="A65" s="265"/>
      <c r="B65" s="1383" t="s">
        <v>137</v>
      </c>
      <c r="C65" s="359" t="str">
        <f>IF(AND(ISNUMBER(C63), ISNUMBER(C64)), IF(C63&gt;=C64, "Pass", "Fail"), "")</f>
        <v>Pass</v>
      </c>
      <c r="D65" s="78"/>
      <c r="E65" s="65"/>
      <c r="F65" s="279"/>
    </row>
    <row r="66" spans="1:6" ht="15" customHeight="1" x14ac:dyDescent="0.35">
      <c r="A66" s="265"/>
      <c r="B66" s="1039" t="s">
        <v>138</v>
      </c>
      <c r="C66" s="418">
        <f>IF(AND(ISNUMBER(C59),ISNUMBER(C62)),C59+C62,"")</f>
        <v>2581613.2680593133</v>
      </c>
      <c r="D66" s="9">
        <f>IF(AND(ISNUMBER(D59),ISNUMBER(D62)),D59+D62,"")</f>
        <v>2581613</v>
      </c>
      <c r="E66" s="9">
        <f>IF(AND(ISNUMBER(E59),ISNUMBER(E62)),E59+E62,"")</f>
        <v>2619360</v>
      </c>
      <c r="F66" s="279"/>
    </row>
    <row r="67" spans="1:6" ht="15" customHeight="1" x14ac:dyDescent="0.35">
      <c r="A67" s="265"/>
      <c r="B67" s="1039" t="s">
        <v>139</v>
      </c>
      <c r="C67" s="97">
        <f>IF(AND(ISNUMBER(C68),ISNUMBER(C69)),C68-C69,"")</f>
        <v>481544.99275050138</v>
      </c>
      <c r="D67" s="9">
        <f>IF(ISNUMBER(DefCap!D106),DefCap!D106,"")</f>
        <v>481545</v>
      </c>
      <c r="E67" s="9">
        <f>IF(ISNUMBER(DefCap!E106),DefCap!E106,"")</f>
        <v>481545</v>
      </c>
      <c r="F67" s="279"/>
    </row>
    <row r="68" spans="1:6" ht="15" customHeight="1" x14ac:dyDescent="0.35">
      <c r="A68" s="265"/>
      <c r="B68" s="1385" t="s">
        <v>140</v>
      </c>
      <c r="C68" s="33">
        <v>481544.99275050138</v>
      </c>
      <c r="D68" s="9">
        <f>IF(ISNUMBER(DefCap!D92),DefCap!D92,"")</f>
        <v>481545</v>
      </c>
      <c r="E68" s="9">
        <f>IF(ISNUMBER(DefCap!E92),DefCap!E92,"")</f>
        <v>481545</v>
      </c>
      <c r="F68" s="279"/>
    </row>
    <row r="69" spans="1:6" ht="15" customHeight="1" x14ac:dyDescent="0.35">
      <c r="A69" s="265"/>
      <c r="B69" s="1385" t="s">
        <v>135</v>
      </c>
      <c r="C69" s="33">
        <v>0</v>
      </c>
      <c r="D69" s="9">
        <f>IF(ISNUMBER(DefCap!D105),DefCap!D105,"")</f>
        <v>0</v>
      </c>
      <c r="E69" s="9">
        <f>IF(ISNUMBER(DefCap!E105),DefCap!E105,"")</f>
        <v>0</v>
      </c>
      <c r="F69" s="279"/>
    </row>
    <row r="70" spans="1:6" ht="15" customHeight="1" x14ac:dyDescent="0.35">
      <c r="A70" s="265"/>
      <c r="B70" s="1383" t="s">
        <v>141</v>
      </c>
      <c r="C70" s="359" t="str">
        <f>IF(AND(ISNUMBER(C68), ISNUMBER(C69)), IF(C68&gt;=C69, "Pass", "Fail"), "")</f>
        <v>Pass</v>
      </c>
      <c r="D70" s="65"/>
      <c r="E70" s="65"/>
      <c r="F70" s="279"/>
    </row>
    <row r="71" spans="1:6" ht="15" customHeight="1" x14ac:dyDescent="0.35">
      <c r="A71" s="265"/>
      <c r="B71" s="413" t="s">
        <v>142</v>
      </c>
      <c r="C71" s="271">
        <v>0</v>
      </c>
      <c r="D71" s="83"/>
      <c r="E71" s="83"/>
      <c r="F71" s="279"/>
    </row>
    <row r="72" spans="1:6" ht="15" customHeight="1" x14ac:dyDescent="0.35">
      <c r="A72" s="896"/>
      <c r="B72" s="278"/>
      <c r="C72" s="278"/>
      <c r="D72" s="278"/>
      <c r="E72" s="278"/>
      <c r="F72" s="279"/>
    </row>
    <row r="73" spans="1:6" ht="60" customHeight="1" x14ac:dyDescent="0.35">
      <c r="A73" s="676" t="s">
        <v>143</v>
      </c>
      <c r="B73" s="858"/>
      <c r="C73" s="846"/>
      <c r="D73" s="846"/>
      <c r="E73" s="846"/>
      <c r="F73" s="728"/>
    </row>
    <row r="74" spans="1:6" ht="75" customHeight="1" x14ac:dyDescent="0.35">
      <c r="A74" s="265"/>
      <c r="B74" s="897"/>
      <c r="C74" s="1309" t="s">
        <v>144</v>
      </c>
      <c r="D74" s="765" t="s">
        <v>145</v>
      </c>
      <c r="E74" s="1389" t="s">
        <v>146</v>
      </c>
      <c r="F74" s="279"/>
    </row>
    <row r="75" spans="1:6" ht="15" customHeight="1" x14ac:dyDescent="0.35">
      <c r="A75" s="265"/>
      <c r="B75" s="160" t="s">
        <v>147</v>
      </c>
      <c r="C75" s="419"/>
      <c r="D75" s="1375"/>
      <c r="E75" s="669"/>
      <c r="F75" s="279"/>
    </row>
    <row r="76" spans="1:6" ht="15" customHeight="1" x14ac:dyDescent="0.35">
      <c r="A76" s="265"/>
      <c r="B76" s="339" t="s">
        <v>148</v>
      </c>
      <c r="C76" s="292">
        <v>156821</v>
      </c>
      <c r="D76" s="34">
        <v>310804</v>
      </c>
      <c r="E76" s="65"/>
      <c r="F76" s="279"/>
    </row>
    <row r="77" spans="1:6" ht="15" customHeight="1" x14ac:dyDescent="0.35">
      <c r="A77" s="265"/>
      <c r="B77" s="339" t="s">
        <v>149</v>
      </c>
      <c r="C77" s="292">
        <v>181261.1588</v>
      </c>
      <c r="D77" s="34">
        <v>357385</v>
      </c>
      <c r="E77" s="65"/>
      <c r="F77" s="279"/>
    </row>
    <row r="78" spans="1:6" ht="15" customHeight="1" x14ac:dyDescent="0.35">
      <c r="A78" s="265"/>
      <c r="B78" s="100" t="s">
        <v>150</v>
      </c>
      <c r="C78" s="78"/>
      <c r="D78" s="65"/>
      <c r="E78" s="65"/>
      <c r="F78" s="279"/>
    </row>
    <row r="79" spans="1:6" ht="15" customHeight="1" x14ac:dyDescent="0.35">
      <c r="A79" s="265"/>
      <c r="B79" s="164" t="s">
        <v>151</v>
      </c>
      <c r="C79" s="292">
        <v>46140</v>
      </c>
      <c r="D79" s="34">
        <v>77821</v>
      </c>
      <c r="E79" s="356" t="str">
        <f>IF(AND(ISNUMBER(C79), ISNUMBER(D79)), IF(D79&gt;=C79, "Pass", "Fail"), "")</f>
        <v>Pass</v>
      </c>
      <c r="F79" s="279"/>
    </row>
    <row r="80" spans="1:6" ht="15" customHeight="1" x14ac:dyDescent="0.35">
      <c r="A80" s="265"/>
      <c r="B80" s="164" t="s">
        <v>152</v>
      </c>
      <c r="C80" s="292">
        <v>0</v>
      </c>
      <c r="D80" s="34">
        <v>0</v>
      </c>
      <c r="E80" s="356" t="str">
        <f t="shared" ref="E80:E85" si="0">IF(AND(ISNUMBER(C80), ISNUMBER(D80)), IF(D80&gt;=C80, "Pass", "Fail"), "")</f>
        <v>Pass</v>
      </c>
      <c r="F80" s="279"/>
    </row>
    <row r="81" spans="1:6" ht="15" customHeight="1" x14ac:dyDescent="0.35">
      <c r="A81" s="265"/>
      <c r="B81" s="165" t="s">
        <v>153</v>
      </c>
      <c r="C81" s="292">
        <v>0</v>
      </c>
      <c r="D81" s="34">
        <v>0</v>
      </c>
      <c r="E81" s="356" t="str">
        <f t="shared" si="0"/>
        <v>Pass</v>
      </c>
      <c r="F81" s="279"/>
    </row>
    <row r="82" spans="1:6" ht="15" customHeight="1" x14ac:dyDescent="0.35">
      <c r="A82" s="265"/>
      <c r="B82" s="339" t="s">
        <v>154</v>
      </c>
      <c r="C82" s="292">
        <v>0</v>
      </c>
      <c r="D82" s="34">
        <v>0</v>
      </c>
      <c r="E82" s="356" t="str">
        <f t="shared" si="0"/>
        <v>Pass</v>
      </c>
      <c r="F82" s="279"/>
    </row>
    <row r="83" spans="1:6" ht="15" customHeight="1" x14ac:dyDescent="0.35">
      <c r="A83" s="265"/>
      <c r="B83" s="339" t="s">
        <v>155</v>
      </c>
      <c r="C83" s="292">
        <v>0</v>
      </c>
      <c r="D83" s="34">
        <v>0</v>
      </c>
      <c r="E83" s="356" t="str">
        <f t="shared" si="0"/>
        <v>Pass</v>
      </c>
      <c r="F83" s="279"/>
    </row>
    <row r="84" spans="1:6" ht="15" customHeight="1" x14ac:dyDescent="0.35">
      <c r="A84" s="265"/>
      <c r="B84" s="339" t="s">
        <v>156</v>
      </c>
      <c r="C84" s="292">
        <v>36516</v>
      </c>
      <c r="D84" s="34">
        <v>58657</v>
      </c>
      <c r="E84" s="356" t="str">
        <f t="shared" si="0"/>
        <v>Pass</v>
      </c>
      <c r="F84" s="279"/>
    </row>
    <row r="85" spans="1:6" ht="15" customHeight="1" x14ac:dyDescent="0.35">
      <c r="A85" s="265"/>
      <c r="B85" s="339" t="s">
        <v>157</v>
      </c>
      <c r="C85" s="292">
        <v>0</v>
      </c>
      <c r="D85" s="34">
        <v>0</v>
      </c>
      <c r="E85" s="356" t="str">
        <f t="shared" si="0"/>
        <v>Pass</v>
      </c>
      <c r="F85" s="279"/>
    </row>
    <row r="86" spans="1:6" ht="15" customHeight="1" x14ac:dyDescent="0.35">
      <c r="A86" s="265"/>
      <c r="B86" s="100" t="s">
        <v>158</v>
      </c>
      <c r="C86" s="78"/>
      <c r="D86" s="65"/>
      <c r="E86" s="65"/>
      <c r="F86" s="279"/>
    </row>
    <row r="87" spans="1:6" ht="15" customHeight="1" x14ac:dyDescent="0.35">
      <c r="A87" s="265"/>
      <c r="B87" s="339" t="s">
        <v>159</v>
      </c>
      <c r="C87" s="292">
        <v>49437</v>
      </c>
      <c r="D87" s="34">
        <v>49437</v>
      </c>
      <c r="E87" s="356" t="str">
        <f>IF(AND(ISNUMBER(C87), ISNUMBER(D87)), IF(D87&gt;=C87, "Pass", "Fail"), "")</f>
        <v>Pass</v>
      </c>
      <c r="F87" s="279"/>
    </row>
    <row r="88" spans="1:6" ht="15" customHeight="1" x14ac:dyDescent="0.35">
      <c r="A88" s="265"/>
      <c r="B88" s="339" t="s">
        <v>160</v>
      </c>
      <c r="C88" s="292">
        <v>0</v>
      </c>
      <c r="D88" s="34">
        <v>0</v>
      </c>
      <c r="E88" s="356" t="str">
        <f>IF(AND(ISNUMBER(C88), ISNUMBER(D88)), IF(D88&gt;=C88, "Pass", "Fail"), "")</f>
        <v>Pass</v>
      </c>
      <c r="F88" s="279"/>
    </row>
    <row r="89" spans="1:6" ht="15" customHeight="1" x14ac:dyDescent="0.35">
      <c r="A89" s="265"/>
      <c r="B89" s="411" t="s">
        <v>161</v>
      </c>
      <c r="C89" s="420">
        <v>0</v>
      </c>
      <c r="D89" s="72">
        <v>0</v>
      </c>
      <c r="E89" s="353" t="str">
        <f>IF(AND(ISNUMBER(C89), ISNUMBER(D89)), IF(D89&gt;=C89, "Pass", "Fail"), "")</f>
        <v>Pass</v>
      </c>
      <c r="F89" s="279"/>
    </row>
    <row r="90" spans="1:6" ht="15" customHeight="1" x14ac:dyDescent="0.35">
      <c r="A90" s="729"/>
      <c r="B90" s="278"/>
      <c r="C90" s="278"/>
      <c r="D90" s="278"/>
      <c r="E90" s="278"/>
      <c r="F90" s="875"/>
    </row>
  </sheetData>
  <sheetProtection algorithmName="SHA-512" hashValue="h1atX/qnU9CvWTDxe/1uqhehecPBZ+tA9/rh/msmNqQMKpByRvmk29CEAoP2Ya6j84HGLgVgRG8BX7JMvBM7DA==" saltValue="wO+Js1snp82w0LLH3PkhlA==" spinCount="100000" sheet="1" objects="1" scenarios="1"/>
  <mergeCells count="3">
    <mergeCell ref="C8:D8"/>
    <mergeCell ref="A9:B9"/>
    <mergeCell ref="A10:B10"/>
  </mergeCells>
  <phoneticPr fontId="9" type="noConversion"/>
  <conditionalFormatting sqref="C60 C63 C71 C68 C87:D89 C43:C44 C79:D85">
    <cfRule type="cellIs" dxfId="10115" priority="139" stopIfTrue="1" operator="lessThan">
      <formula>0</formula>
    </cfRule>
  </conditionalFormatting>
  <conditionalFormatting sqref="C65 C70 E74 E79:E85 E87:E89">
    <cfRule type="cellIs" dxfId="10114" priority="37" stopIfTrue="1" operator="equal">
      <formula>"Pass"</formula>
    </cfRule>
    <cfRule type="cellIs" dxfId="10113" priority="38" stopIfTrue="1" operator="equal">
      <formula>"Fail"</formula>
    </cfRule>
  </conditionalFormatting>
  <dataValidations count="5">
    <dataValidation type="list" showInputMessage="1" showErrorMessage="1" sqref="D27 C30:C34 C11:C15 C47:C49 C24:C28 D19 D24:D25 C44 C38:C39 C22:E22 D40:D42 C19:C21 D49">
      <formula1>YesNo</formula1>
    </dataValidation>
    <dataValidation type="list" showInputMessage="1" showErrorMessage="1" sqref="C8">
      <formula1>Accounting</formula1>
    </dataValidation>
    <dataValidation type="list" allowBlank="1" showInputMessage="1" showErrorMessage="1" sqref="C7">
      <formula1>UnitW</formula1>
    </dataValidation>
    <dataValidation type="list" showInputMessage="1" showErrorMessage="1" sqref="C35">
      <formula1>CRMCCF</formula1>
    </dataValidation>
    <dataValidation type="list" showInputMessage="1" showErrorMessage="1" sqref="D48">
      <formula1>YesNoSimplified</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5" max="5" man="1"/>
    <brk id="54" max="5" man="1"/>
  </rowBreaks>
  <ignoredErrors>
    <ignoredError sqref="C62 C67" emptyCellReferenc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O54"/>
  <sheetViews>
    <sheetView showGridLines="0" zoomScale="60" zoomScaleNormal="60" workbookViewId="0">
      <pane xSplit="2" ySplit="4" topLeftCell="C23" activePane="bottomRight" state="frozen"/>
      <selection sqref="A1:C1"/>
      <selection pane="topRight" sqref="A1:C1"/>
      <selection pane="bottomLeft" sqref="A1:C1"/>
      <selection pane="bottomRight" activeCell="T38" sqref="T38"/>
    </sheetView>
  </sheetViews>
  <sheetFormatPr defaultColWidth="10.88671875" defaultRowHeight="14.4" x14ac:dyDescent="0.3"/>
  <cols>
    <col min="1" max="1" width="10.6640625" style="2388" customWidth="1"/>
    <col min="2" max="2" width="131.5546875" style="2388" customWidth="1"/>
    <col min="3" max="3" width="10.5546875" style="2388" customWidth="1"/>
    <col min="4" max="4" width="10.6640625" style="2388" customWidth="1"/>
    <col min="5" max="5" width="10.88671875" style="2390" customWidth="1"/>
    <col min="6" max="6" width="10" style="2390" customWidth="1"/>
    <col min="7" max="8" width="10.88671875" style="2390" customWidth="1"/>
    <col min="9" max="9" width="8.6640625" style="2390" bestFit="1" customWidth="1"/>
    <col min="10" max="10" width="9.109375" style="2390" customWidth="1"/>
    <col min="11" max="11" width="13.44140625" style="2390" customWidth="1"/>
    <col min="12" max="12" width="6.109375" style="2390" customWidth="1"/>
    <col min="13" max="13" width="8.109375" style="2391" customWidth="1"/>
    <col min="14" max="14" width="6.109375" style="2391" customWidth="1"/>
    <col min="15" max="15" width="7.33203125" style="2390" customWidth="1"/>
    <col min="16" max="16" width="9.109375" style="2390" customWidth="1"/>
    <col min="17" max="18" width="6.109375" style="2390" customWidth="1"/>
    <col min="19" max="20" width="9.109375" style="2390" customWidth="1"/>
    <col min="21" max="21" width="11.109375" style="2390" customWidth="1"/>
    <col min="22" max="22" width="7.33203125" style="2390" customWidth="1"/>
    <col min="23" max="23" width="11" style="2390" customWidth="1"/>
    <col min="24" max="24" width="4.88671875" style="2389" customWidth="1"/>
    <col min="25" max="34" width="9.109375" style="2388" customWidth="1"/>
    <col min="35" max="16384" width="10.88671875" style="2388"/>
  </cols>
  <sheetData>
    <row r="1" spans="1:41" ht="30" customHeight="1" x14ac:dyDescent="0.3">
      <c r="A1" s="2410" t="s">
        <v>3381</v>
      </c>
      <c r="B1" s="2393"/>
      <c r="G1" s="2409"/>
      <c r="T1" s="2408"/>
      <c r="U1" s="2408"/>
      <c r="V1" s="2408"/>
      <c r="W1" s="2408"/>
    </row>
    <row r="2" spans="1:41" ht="55.5" customHeight="1" x14ac:dyDescent="0.3">
      <c r="A2" s="2393"/>
      <c r="C2" s="3314" t="s">
        <v>3359</v>
      </c>
      <c r="D2" s="3314"/>
      <c r="E2" s="3314"/>
      <c r="F2" s="3314"/>
      <c r="G2" s="3314"/>
      <c r="H2" s="3314"/>
      <c r="I2" s="3314"/>
      <c r="J2" s="3314"/>
      <c r="K2" s="3314"/>
      <c r="L2" s="3314"/>
      <c r="M2" s="3314"/>
      <c r="N2" s="3314"/>
      <c r="O2" s="3314"/>
      <c r="P2" s="3314"/>
      <c r="Q2" s="3314"/>
      <c r="R2" s="3314"/>
      <c r="S2" s="3314"/>
      <c r="T2" s="3314"/>
      <c r="U2" s="3314"/>
      <c r="V2" s="3314"/>
      <c r="W2" s="3314"/>
      <c r="Y2" s="3315" t="s">
        <v>3358</v>
      </c>
      <c r="Z2" s="3315"/>
      <c r="AA2" s="3315"/>
      <c r="AB2" s="3315"/>
      <c r="AC2" s="3315"/>
      <c r="AD2" s="3315"/>
      <c r="AE2" s="3315"/>
      <c r="AF2" s="3315"/>
      <c r="AG2" s="3315"/>
      <c r="AH2" s="3315"/>
      <c r="AI2" s="3315"/>
      <c r="AJ2" s="3315"/>
      <c r="AK2" s="3315"/>
      <c r="AL2" s="3315"/>
      <c r="AM2" s="3315"/>
      <c r="AN2" s="3315"/>
      <c r="AO2" s="3315"/>
    </row>
    <row r="3" spans="1:41" ht="52.5" customHeight="1" x14ac:dyDescent="0.3">
      <c r="C3" s="3316" t="s">
        <v>3378</v>
      </c>
      <c r="D3" s="3316" t="s">
        <v>3377</v>
      </c>
      <c r="E3" s="3318" t="s">
        <v>3376</v>
      </c>
      <c r="F3" s="3319"/>
      <c r="G3" s="3318" t="s">
        <v>3375</v>
      </c>
      <c r="H3" s="3319"/>
      <c r="I3" s="3318" t="s">
        <v>3374</v>
      </c>
      <c r="J3" s="3319"/>
      <c r="K3" s="3320" t="s">
        <v>3373</v>
      </c>
      <c r="L3" s="3321"/>
      <c r="M3" s="3322"/>
      <c r="N3" s="3320" t="s">
        <v>3372</v>
      </c>
      <c r="O3" s="3321"/>
      <c r="P3" s="3322"/>
      <c r="Q3" s="3320" t="s">
        <v>3371</v>
      </c>
      <c r="R3" s="3321"/>
      <c r="S3" s="3322"/>
      <c r="T3" s="3318" t="s">
        <v>3380</v>
      </c>
      <c r="U3" s="3319"/>
      <c r="V3" s="3318" t="s">
        <v>3379</v>
      </c>
      <c r="W3" s="3319"/>
      <c r="Y3" s="3316" t="s">
        <v>3378</v>
      </c>
      <c r="Z3" s="3316" t="s">
        <v>3377</v>
      </c>
      <c r="AA3" s="3318" t="s">
        <v>3376</v>
      </c>
      <c r="AB3" s="3319"/>
      <c r="AC3" s="3318" t="s">
        <v>3375</v>
      </c>
      <c r="AD3" s="3319"/>
      <c r="AE3" s="3318" t="s">
        <v>3374</v>
      </c>
      <c r="AF3" s="3319"/>
      <c r="AG3" s="3320" t="s">
        <v>3373</v>
      </c>
      <c r="AH3" s="3321"/>
      <c r="AI3" s="3322"/>
      <c r="AJ3" s="3320" t="s">
        <v>3372</v>
      </c>
      <c r="AK3" s="3321"/>
      <c r="AL3" s="3322"/>
      <c r="AM3" s="3320" t="s">
        <v>3371</v>
      </c>
      <c r="AN3" s="3321"/>
      <c r="AO3" s="3322"/>
    </row>
    <row r="4" spans="1:41" s="2403" customFormat="1" ht="27.6" x14ac:dyDescent="0.3">
      <c r="C4" s="3317"/>
      <c r="D4" s="3317"/>
      <c r="E4" s="2404" t="s">
        <v>3370</v>
      </c>
      <c r="F4" s="2404" t="s">
        <v>3369</v>
      </c>
      <c r="G4" s="2404" t="s">
        <v>3370</v>
      </c>
      <c r="H4" s="2404" t="s">
        <v>3369</v>
      </c>
      <c r="I4" s="2404" t="s">
        <v>3370</v>
      </c>
      <c r="J4" s="2404" t="s">
        <v>3369</v>
      </c>
      <c r="K4" s="2404" t="s">
        <v>3370</v>
      </c>
      <c r="L4" s="2404" t="s">
        <v>3369</v>
      </c>
      <c r="M4" s="2405" t="s">
        <v>59</v>
      </c>
      <c r="N4" s="2405" t="s">
        <v>3370</v>
      </c>
      <c r="O4" s="2404" t="s">
        <v>3369</v>
      </c>
      <c r="P4" s="2404" t="s">
        <v>59</v>
      </c>
      <c r="Q4" s="2404" t="s">
        <v>3370</v>
      </c>
      <c r="R4" s="2404" t="s">
        <v>3369</v>
      </c>
      <c r="S4" s="2404" t="s">
        <v>59</v>
      </c>
      <c r="T4" s="2407" t="s">
        <v>3324</v>
      </c>
      <c r="U4" s="2406" t="s">
        <v>3327</v>
      </c>
      <c r="V4" s="2407" t="s">
        <v>3324</v>
      </c>
      <c r="W4" s="2406" t="s">
        <v>3327</v>
      </c>
      <c r="X4" s="2389"/>
      <c r="Y4" s="3317"/>
      <c r="Z4" s="3317"/>
      <c r="AA4" s="2404" t="s">
        <v>3370</v>
      </c>
      <c r="AB4" s="2404" t="s">
        <v>3369</v>
      </c>
      <c r="AC4" s="2404" t="s">
        <v>3370</v>
      </c>
      <c r="AD4" s="2404" t="s">
        <v>3369</v>
      </c>
      <c r="AE4" s="2404" t="s">
        <v>3370</v>
      </c>
      <c r="AF4" s="2404" t="s">
        <v>3369</v>
      </c>
      <c r="AG4" s="2404" t="s">
        <v>3370</v>
      </c>
      <c r="AH4" s="2404" t="s">
        <v>3369</v>
      </c>
      <c r="AI4" s="2405" t="s">
        <v>59</v>
      </c>
      <c r="AJ4" s="2405" t="s">
        <v>3370</v>
      </c>
      <c r="AK4" s="2404" t="s">
        <v>3369</v>
      </c>
      <c r="AL4" s="2404" t="s">
        <v>59</v>
      </c>
      <c r="AM4" s="2404" t="s">
        <v>3370</v>
      </c>
      <c r="AN4" s="2404" t="s">
        <v>3369</v>
      </c>
      <c r="AO4" s="2404" t="s">
        <v>59</v>
      </c>
    </row>
    <row r="5" spans="1:41" x14ac:dyDescent="0.3">
      <c r="B5" s="2397" t="s">
        <v>3368</v>
      </c>
      <c r="C5" s="2463">
        <f>+C6+C10+C14+C18</f>
        <v>34108703.222774565</v>
      </c>
      <c r="D5" s="2474">
        <f>+($C6*D6+$C10*D10+$C14*D14+$C18*D18)/$C5</f>
        <v>6.6249908085591605E-3</v>
      </c>
      <c r="E5" s="2477"/>
      <c r="F5" s="2477"/>
      <c r="G5" s="2477"/>
      <c r="H5" s="2477"/>
      <c r="I5" s="2477"/>
      <c r="J5" s="2477"/>
      <c r="K5" s="2477"/>
      <c r="L5" s="2477"/>
      <c r="M5" s="2476" t="e">
        <f>+($C6*M6+$C10*M10+$C14*M14+$C18*M18)/$C5</f>
        <v>#DIV/0!</v>
      </c>
      <c r="N5" s="2478"/>
      <c r="O5" s="2477"/>
      <c r="P5" s="2476" t="e">
        <f>+($C6*P6+$C10*P10+$C14*P14+$C18*P18)/$C5</f>
        <v>#DIV/0!</v>
      </c>
      <c r="Q5" s="2477"/>
      <c r="R5" s="2477"/>
      <c r="S5" s="2476" t="e">
        <f>+($C6*S6+$C10*S10+$C14*S14+$C18*S18)/$C5</f>
        <v>#DIV/0!</v>
      </c>
      <c r="T5" s="2477"/>
      <c r="U5" s="2477"/>
      <c r="V5" s="2477"/>
      <c r="W5" s="2477"/>
      <c r="Y5" s="2463">
        <f>+Y6+Y10+Y14+Y18</f>
        <v>33265742.490155596</v>
      </c>
      <c r="Z5" s="2474">
        <f>+($C6*Z6+$C10*Z10+$C14*Z14+$C18*Z18)/$C5</f>
        <v>3.9317115038861607E-6</v>
      </c>
      <c r="AA5" s="2480"/>
      <c r="AB5" s="2480"/>
      <c r="AC5" s="2480"/>
      <c r="AD5" s="2480"/>
      <c r="AE5" s="2480"/>
      <c r="AF5" s="2480"/>
      <c r="AG5" s="2477"/>
      <c r="AH5" s="2477"/>
      <c r="AI5" s="2476" t="e">
        <f>+($Y6*AI6+$Y10*AI10+$Y14*AI14+$Y18*AI18)/$Y5</f>
        <v>#DIV/0!</v>
      </c>
      <c r="AJ5" s="2478"/>
      <c r="AK5" s="2477"/>
      <c r="AL5" s="2476" t="e">
        <f>+($Y6*AL6+$Y10*AL10+$Y14*AL14+$Y18*AL18)/$Y5</f>
        <v>#DIV/0!</v>
      </c>
      <c r="AM5" s="2477"/>
      <c r="AN5" s="2477"/>
      <c r="AO5" s="2476" t="e">
        <f>+($Y6*AO6+$Y10*AO10+$Y14*AO14+$Y18*AO18)/$Y5</f>
        <v>#DIV/0!</v>
      </c>
    </row>
    <row r="6" spans="1:41" x14ac:dyDescent="0.3">
      <c r="B6" s="2402" t="s">
        <v>3279</v>
      </c>
      <c r="C6" s="2463">
        <f>+C7+C8+C9</f>
        <v>20101992.045871709</v>
      </c>
      <c r="D6" s="2474">
        <f>+(C7*D7+C8*D8+C9*D9)/C6</f>
        <v>7.3527660827958693E-3</v>
      </c>
      <c r="E6" s="2475">
        <f>+(E7*$C7+E8*$C8+E9*$C9)/$C6</f>
        <v>0.57164983494626864</v>
      </c>
      <c r="F6" s="2475">
        <f t="shared" ref="F6:F20" si="0">100%-E6</f>
        <v>0.42835016505373136</v>
      </c>
      <c r="G6" s="2475">
        <f>+(G7*$C7+G8*$C8+G9*$C9)/$C6</f>
        <v>0.57164983494626864</v>
      </c>
      <c r="H6" s="2475">
        <f t="shared" ref="H6:H20" si="1">100%-G6</f>
        <v>0.42835016505373136</v>
      </c>
      <c r="I6" s="2475">
        <f>+(I7*$C7+I8*$C8+I9*$C9)/$C6</f>
        <v>0.57164983494626864</v>
      </c>
      <c r="J6" s="2475">
        <f t="shared" ref="J6:J20" si="2">100%-I6</f>
        <v>0.42835016505373136</v>
      </c>
      <c r="K6" s="2479">
        <f>+(K7*E7*$C7+K8*E8*$C8+K9*E9*$C9)/($C6*E6)</f>
        <v>2.8824503196415625</v>
      </c>
      <c r="L6" s="2479">
        <f>+(L7*F7*$C7+L8*F8*$C8+L9*F9*$C9)/($C6*F6)</f>
        <v>7.7086447141346923E-2</v>
      </c>
      <c r="M6" s="2476">
        <f t="shared" ref="M6:M20" si="3">+E6*K6+F6*L6</f>
        <v>1.6807722418203201</v>
      </c>
      <c r="N6" s="2479">
        <f>+(N7*G7*$C7+N8*G8*$C8+N9*G9*$C9)/($C6*G6)</f>
        <v>3.1570160588391492</v>
      </c>
      <c r="O6" s="2479">
        <f>+(O7*H7*$C7+O8*H8*$C8+O9*H9*$C9)/($C6*H6)</f>
        <v>7.7086447141346923E-2</v>
      </c>
      <c r="P6" s="2476">
        <f t="shared" ref="P6:P20" si="4">+G6*N6+H6*O6</f>
        <v>1.8377277013145208</v>
      </c>
      <c r="Q6" s="2479">
        <f>+(Q7*I7*$C7+Q8*I8*$C8+Q9*I9*$C9)/($C6*I6)</f>
        <v>2.6502355542848028</v>
      </c>
      <c r="R6" s="2479">
        <f>+(R7*J7*$C7+R8*J8*$C8+R9*J9*$C9)/($C6*J6)</f>
        <v>7.7086447141346923E-2</v>
      </c>
      <c r="S6" s="2476">
        <f t="shared" ref="S6:S20" si="5">+I6*Q6+J6*R6</f>
        <v>1.5480267095320419</v>
      </c>
      <c r="T6" s="2463">
        <f>+T7+T8+T9</f>
        <v>631017.00594800967</v>
      </c>
      <c r="U6" s="2463">
        <f>+U7+U8+U9</f>
        <v>-773695.72300205124</v>
      </c>
      <c r="V6" s="2463">
        <f>+V7+V8+V9</f>
        <v>-89117.337756286419</v>
      </c>
      <c r="W6" s="2463">
        <f>+W7+W8+W9</f>
        <v>113244.17969673073</v>
      </c>
      <c r="Y6" s="2463">
        <f>+Y7+Y8+Y9</f>
        <v>19261540.551945843</v>
      </c>
      <c r="Z6" s="2474">
        <f>+(Y7*Z7+Y8*Z8+Y9*Z9)/Y6</f>
        <v>5.3389283748789539E-6</v>
      </c>
      <c r="AA6" s="2475">
        <f>+(AA7*$Y7+AA8*$Y8+AA9*$Y9)/$Y6</f>
        <v>0.58178454956394199</v>
      </c>
      <c r="AB6" s="2475">
        <f t="shared" ref="AB6:AB20" si="6">100%-AA6</f>
        <v>0.41821545043605801</v>
      </c>
      <c r="AC6" s="2475">
        <f>+(AC7*$Y7+AC8*$Y8+AC9*$Y9)/$Y6</f>
        <v>0.58178454956394199</v>
      </c>
      <c r="AD6" s="2475">
        <f t="shared" ref="AD6:AD20" si="7">100%-AC6</f>
        <v>0.41821545043605801</v>
      </c>
      <c r="AE6" s="2475">
        <f>+(AE7*$Y7+AE8*$Y8+AE9*$Y9)/$Y6</f>
        <v>0.58178454956394199</v>
      </c>
      <c r="AF6" s="2475">
        <f t="shared" ref="AF6:AF20" si="8">100%-AE6</f>
        <v>0.41821545043605801</v>
      </c>
      <c r="AG6" s="2479">
        <f>+(AG7*AA7*$Y7+AG8*AA8*$Y8+AG9*AA9*$Y9)/($Y6*AA6)</f>
        <v>3.7032177686667818</v>
      </c>
      <c r="AH6" s="2479">
        <f>+(AH7*AB7*$Y7+AH8*AB8*$Y8+AH9*AB9*$Y9)/($Y6*AB6)</f>
        <v>8.9253920628273684E-2</v>
      </c>
      <c r="AI6" s="2476">
        <f t="shared" ref="AI6:AI20" si="9">+AA6*AG6+AB6*AH6</f>
        <v>2.1918022500997276</v>
      </c>
      <c r="AJ6" s="2479">
        <f>+(AJ7*AC7*$Y7+AJ8*AC8*$Y8+AJ9*AC9*$Y9)/($Y6*AC6)</f>
        <v>4.0559651229351701</v>
      </c>
      <c r="AK6" s="2479">
        <f>+(AK7*AD7*$Y7+AK8*AD8*$Y8+AK9*AD9*$Y9)/($Y6*AD6)</f>
        <v>8.9253920628273684E-2</v>
      </c>
      <c r="AL6" s="2476">
        <f t="shared" ref="AL6:AL20" si="10">+AC6*AJ6+AD6*AK6</f>
        <v>2.3970252107126342</v>
      </c>
      <c r="AM6" s="2479">
        <f>+(AM7*AE7*$Y7+AM8*AE8*$Y8+AM9*AE9*$Y9)/($Y6*AE6)</f>
        <v>3.3807372978833379</v>
      </c>
      <c r="AN6" s="2479">
        <f>+(AN7*AF7*$Y7+AN8*AF8*$Y8+AN9*AF9*$Y9)/($Y6*AF6)</f>
        <v>8.9253920628273684E-2</v>
      </c>
      <c r="AO6" s="2476">
        <f t="shared" ref="AO6:AO20" si="11">+AE6*AM6+AF6*AN6</f>
        <v>2.004188094661814</v>
      </c>
    </row>
    <row r="7" spans="1:41" x14ac:dyDescent="0.3">
      <c r="B7" s="2355" t="s">
        <v>3365</v>
      </c>
      <c r="C7" s="2463">
        <f t="shared" ref="C7:D9" si="12">+C24</f>
        <v>0</v>
      </c>
      <c r="D7" s="2474">
        <f t="shared" si="12"/>
        <v>0</v>
      </c>
      <c r="E7" s="2347"/>
      <c r="F7" s="2475">
        <f t="shared" si="0"/>
        <v>1</v>
      </c>
      <c r="G7" s="2347"/>
      <c r="H7" s="2475">
        <f t="shared" si="1"/>
        <v>1</v>
      </c>
      <c r="I7" s="2347"/>
      <c r="J7" s="2475">
        <f t="shared" si="2"/>
        <v>1</v>
      </c>
      <c r="K7" s="2398"/>
      <c r="L7" s="2398"/>
      <c r="M7" s="2476">
        <f t="shared" si="3"/>
        <v>0</v>
      </c>
      <c r="N7" s="2398"/>
      <c r="O7" s="2398"/>
      <c r="P7" s="2476">
        <f t="shared" si="4"/>
        <v>0</v>
      </c>
      <c r="Q7" s="2398"/>
      <c r="R7" s="2398"/>
      <c r="S7" s="2476">
        <f t="shared" si="5"/>
        <v>0</v>
      </c>
      <c r="T7" s="2321"/>
      <c r="U7" s="2321"/>
      <c r="V7" s="2321"/>
      <c r="W7" s="2321"/>
      <c r="Y7" s="2463">
        <f t="shared" ref="Y7:Z9" si="13">+Y24</f>
        <v>0</v>
      </c>
      <c r="Z7" s="2474">
        <f t="shared" si="13"/>
        <v>0</v>
      </c>
      <c r="AA7" s="2347"/>
      <c r="AB7" s="2475">
        <f t="shared" si="6"/>
        <v>1</v>
      </c>
      <c r="AC7" s="2347"/>
      <c r="AD7" s="2475">
        <f t="shared" si="7"/>
        <v>1</v>
      </c>
      <c r="AE7" s="2347"/>
      <c r="AF7" s="2475">
        <f t="shared" si="8"/>
        <v>1</v>
      </c>
      <c r="AG7" s="2398"/>
      <c r="AH7" s="2398"/>
      <c r="AI7" s="2476">
        <f t="shared" si="9"/>
        <v>0</v>
      </c>
      <c r="AJ7" s="2398"/>
      <c r="AK7" s="2398"/>
      <c r="AL7" s="2476">
        <f t="shared" si="10"/>
        <v>0</v>
      </c>
      <c r="AM7" s="2398"/>
      <c r="AN7" s="2398"/>
      <c r="AO7" s="2476">
        <f t="shared" si="11"/>
        <v>0</v>
      </c>
    </row>
    <row r="8" spans="1:41" x14ac:dyDescent="0.3">
      <c r="B8" s="2355" t="s">
        <v>3364</v>
      </c>
      <c r="C8" s="2463">
        <f t="shared" si="12"/>
        <v>0</v>
      </c>
      <c r="D8" s="2474">
        <f t="shared" si="12"/>
        <v>0</v>
      </c>
      <c r="E8" s="2399"/>
      <c r="F8" s="2475">
        <f t="shared" si="0"/>
        <v>1</v>
      </c>
      <c r="G8" s="2399"/>
      <c r="H8" s="2475">
        <f t="shared" si="1"/>
        <v>1</v>
      </c>
      <c r="I8" s="2399"/>
      <c r="J8" s="2475">
        <f t="shared" si="2"/>
        <v>1</v>
      </c>
      <c r="K8" s="2398"/>
      <c r="L8" s="2398"/>
      <c r="M8" s="2476">
        <f t="shared" si="3"/>
        <v>0</v>
      </c>
      <c r="N8" s="2398"/>
      <c r="O8" s="2398"/>
      <c r="P8" s="2476">
        <f t="shared" si="4"/>
        <v>0</v>
      </c>
      <c r="Q8" s="2398"/>
      <c r="R8" s="2398"/>
      <c r="S8" s="2476">
        <f t="shared" si="5"/>
        <v>0</v>
      </c>
      <c r="T8" s="2321"/>
      <c r="U8" s="2321"/>
      <c r="V8" s="2321"/>
      <c r="W8" s="2321"/>
      <c r="Y8" s="2463">
        <f t="shared" si="13"/>
        <v>0</v>
      </c>
      <c r="Z8" s="2474">
        <f t="shared" si="13"/>
        <v>0</v>
      </c>
      <c r="AA8" s="2399"/>
      <c r="AB8" s="2475">
        <f t="shared" si="6"/>
        <v>1</v>
      </c>
      <c r="AC8" s="2399"/>
      <c r="AD8" s="2475">
        <f t="shared" si="7"/>
        <v>1</v>
      </c>
      <c r="AE8" s="2399"/>
      <c r="AF8" s="2475">
        <f t="shared" si="8"/>
        <v>1</v>
      </c>
      <c r="AG8" s="2398"/>
      <c r="AH8" s="2398"/>
      <c r="AI8" s="2476">
        <f t="shared" si="9"/>
        <v>0</v>
      </c>
      <c r="AJ8" s="2398"/>
      <c r="AK8" s="2398"/>
      <c r="AL8" s="2476">
        <f t="shared" si="10"/>
        <v>0</v>
      </c>
      <c r="AM8" s="2398"/>
      <c r="AN8" s="2398"/>
      <c r="AO8" s="2476">
        <f t="shared" si="11"/>
        <v>0</v>
      </c>
    </row>
    <row r="9" spans="1:41" x14ac:dyDescent="0.3">
      <c r="B9" s="2355" t="s">
        <v>3362</v>
      </c>
      <c r="C9" s="2463">
        <f t="shared" si="12"/>
        <v>20101992.045871709</v>
      </c>
      <c r="D9" s="2474">
        <f t="shared" si="12"/>
        <v>7.3527660827958701E-3</v>
      </c>
      <c r="E9" s="2399">
        <v>0.57164983494626864</v>
      </c>
      <c r="F9" s="2475">
        <f t="shared" si="0"/>
        <v>0.42835016505373136</v>
      </c>
      <c r="G9" s="2399">
        <v>0.57164983494626864</v>
      </c>
      <c r="H9" s="2475">
        <f t="shared" si="1"/>
        <v>0.42835016505373136</v>
      </c>
      <c r="I9" s="2399">
        <v>0.57164983494626864</v>
      </c>
      <c r="J9" s="2475">
        <f t="shared" si="2"/>
        <v>0.42835016505373136</v>
      </c>
      <c r="K9" s="2398">
        <v>2.8824503196415625</v>
      </c>
      <c r="L9" s="2398">
        <v>7.7086447141346923E-2</v>
      </c>
      <c r="M9" s="2476">
        <f t="shared" si="3"/>
        <v>1.6807722418203201</v>
      </c>
      <c r="N9" s="2398">
        <v>3.1570160588391487</v>
      </c>
      <c r="O9" s="2398">
        <v>7.7086447141346923E-2</v>
      </c>
      <c r="P9" s="2476">
        <f t="shared" si="4"/>
        <v>1.8377277013145206</v>
      </c>
      <c r="Q9" s="2398">
        <v>2.6502355542848028</v>
      </c>
      <c r="R9" s="2398">
        <v>7.7086447141346923E-2</v>
      </c>
      <c r="S9" s="2476">
        <f t="shared" si="5"/>
        <v>1.5480267095320419</v>
      </c>
      <c r="T9" s="2321">
        <v>631017.00594800967</v>
      </c>
      <c r="U9" s="2321">
        <v>-773695.72300205124</v>
      </c>
      <c r="V9" s="2321">
        <v>-89117.337756286419</v>
      </c>
      <c r="W9" s="2321">
        <v>113244.17969673073</v>
      </c>
      <c r="Y9" s="2463">
        <f t="shared" si="13"/>
        <v>19261540.551945843</v>
      </c>
      <c r="Z9" s="2474">
        <f t="shared" si="13"/>
        <v>5.3389283748789539E-6</v>
      </c>
      <c r="AA9" s="2399">
        <v>0.58178454956394199</v>
      </c>
      <c r="AB9" s="2475">
        <f t="shared" si="6"/>
        <v>0.41821545043605801</v>
      </c>
      <c r="AC9" s="2399">
        <v>0.58178454956394199</v>
      </c>
      <c r="AD9" s="2475">
        <f t="shared" si="7"/>
        <v>0.41821545043605801</v>
      </c>
      <c r="AE9" s="2399">
        <v>0.58178454956394199</v>
      </c>
      <c r="AF9" s="2475">
        <f t="shared" si="8"/>
        <v>0.41821545043605801</v>
      </c>
      <c r="AG9" s="2398">
        <v>3.7032177686667818</v>
      </c>
      <c r="AH9" s="2398">
        <v>8.9253920628273684E-2</v>
      </c>
      <c r="AI9" s="2476">
        <f t="shared" si="9"/>
        <v>2.1918022500997276</v>
      </c>
      <c r="AJ9" s="2398">
        <v>4.0559651229351701</v>
      </c>
      <c r="AK9" s="2398">
        <v>8.9253920628273684E-2</v>
      </c>
      <c r="AL9" s="2476">
        <f t="shared" si="10"/>
        <v>2.3970252107126342</v>
      </c>
      <c r="AM9" s="2398">
        <v>3.3807372978833374</v>
      </c>
      <c r="AN9" s="2398">
        <v>8.9253920628273684E-2</v>
      </c>
      <c r="AO9" s="2476">
        <f t="shared" si="11"/>
        <v>2.0041880946618136</v>
      </c>
    </row>
    <row r="10" spans="1:41" x14ac:dyDescent="0.3">
      <c r="B10" s="2402" t="s">
        <v>3278</v>
      </c>
      <c r="C10" s="2463">
        <f>+C11+C12+C13</f>
        <v>5016453.3475190932</v>
      </c>
      <c r="D10" s="2474">
        <f>+(C11*D11+C12*D12+C13*D13)/C10</f>
        <v>7.3527660827958719E-3</v>
      </c>
      <c r="E10" s="2475">
        <f>+(E11*$C11+E12*$C12+E13*$C13)/$C10</f>
        <v>0.57164983494626898</v>
      </c>
      <c r="F10" s="2475">
        <f t="shared" si="0"/>
        <v>0.42835016505373102</v>
      </c>
      <c r="G10" s="2475">
        <f>+(G11*$C11+G12*$C12+G13*$C13)/$C10</f>
        <v>0.57164983494626898</v>
      </c>
      <c r="H10" s="2475">
        <f t="shared" si="1"/>
        <v>0.42835016505373102</v>
      </c>
      <c r="I10" s="2475">
        <f>+(I11*$C11+I12*$C12+I13*$C13)/$C10</f>
        <v>0.57164983494626898</v>
      </c>
      <c r="J10" s="2475">
        <f t="shared" si="2"/>
        <v>0.42835016505373102</v>
      </c>
      <c r="K10" s="2479">
        <f>+(K11*E11*$C11+K12*E12*$C12+K13*E13*$C13)/($C10*E10)</f>
        <v>2.8824503196415625</v>
      </c>
      <c r="L10" s="2479">
        <f>+(L11*F11*$C11+L12*F12*$C12+L13*F13*$C13)/($C10*F10)</f>
        <v>7.7086447141346964E-2</v>
      </c>
      <c r="M10" s="2476">
        <f t="shared" si="3"/>
        <v>1.680772241820321</v>
      </c>
      <c r="N10" s="2479">
        <f>+(N11*G11*$C11+N12*G12*$C12+N13*G13*$C13)/($C10*G10)</f>
        <v>3.1570160588391487</v>
      </c>
      <c r="O10" s="2479">
        <f>+(O11*H11*$C11+O12*H12*$C12+O13*H13*$C13)/($C10*H10)</f>
        <v>7.7086447141346964E-2</v>
      </c>
      <c r="P10" s="2476">
        <f t="shared" si="4"/>
        <v>1.8377277013145217</v>
      </c>
      <c r="Q10" s="2479">
        <f>+(Q11*I11*$C11+Q12*I12*$C12+Q13*I13*$C13)/($C10*I10)</f>
        <v>2.6502355542848024</v>
      </c>
      <c r="R10" s="2479">
        <f>+(R11*J11*$C11+R12*J12*$C12+R13*J13*$C13)/($C10*J10)</f>
        <v>7.7086447141346964E-2</v>
      </c>
      <c r="S10" s="2476">
        <f t="shared" si="5"/>
        <v>1.5480267095320426</v>
      </c>
      <c r="T10" s="2463">
        <f>+T11+T12+T13</f>
        <v>157470.33252256477</v>
      </c>
      <c r="U10" s="2463">
        <f>+U11+U12+U13</f>
        <v>-193075.81511116552</v>
      </c>
      <c r="V10" s="2463">
        <f>+V11+V12+V13</f>
        <v>-22239.237100948067</v>
      </c>
      <c r="W10" s="2463">
        <f>+W11+W12+W13</f>
        <v>28260.091986425032</v>
      </c>
      <c r="Y10" s="2463">
        <f>+Y11+Y12+Y13</f>
        <v>5419340.3239746531</v>
      </c>
      <c r="Z10" s="2474">
        <f>+(Y11*Z11+Y12*Z12+Y13*Z13)/Y10</f>
        <v>5.338928374878953E-6</v>
      </c>
      <c r="AA10" s="2475">
        <f>+(AA11*$Y11+AA12*$Y12+AA13*$Y13)/$Y10</f>
        <v>0.58178454956394188</v>
      </c>
      <c r="AB10" s="2475">
        <f t="shared" si="6"/>
        <v>0.41821545043605812</v>
      </c>
      <c r="AC10" s="2475">
        <f>+(AC11*$Y11+AC12*$Y12+AC13*$Y13)/$Y10</f>
        <v>0.58178454956394188</v>
      </c>
      <c r="AD10" s="2475">
        <f t="shared" si="7"/>
        <v>0.41821545043605812</v>
      </c>
      <c r="AE10" s="2475">
        <f>+(AE11*$Y11+AE12*$Y12+AE13*$Y13)/$Y10</f>
        <v>0.58178454956394188</v>
      </c>
      <c r="AF10" s="2475">
        <f t="shared" si="8"/>
        <v>0.41821545043605812</v>
      </c>
      <c r="AG10" s="2479">
        <f>+(AG11*AA11*$Y11+AG12*AA12*$Y12+AG13*AA13*$Y13)/($Y10*AA10)</f>
        <v>3.7032177686667818</v>
      </c>
      <c r="AH10" s="2479">
        <f>+(AH11*AB11*$Y11+AH12*AB12*$Y12+AH13*AB13*$Y13)/($Y10*AB10)</f>
        <v>8.9253920628273614E-2</v>
      </c>
      <c r="AI10" s="2476">
        <f t="shared" si="9"/>
        <v>2.1918022500997272</v>
      </c>
      <c r="AJ10" s="2479">
        <f>+(AJ11*AC11*$Y11+AJ12*AC12*$Y12+AJ13*AC13*$Y13)/($Y10*AC10)</f>
        <v>4.0559651229351701</v>
      </c>
      <c r="AK10" s="2479">
        <f>+(AK11*AD11*$Y11+AK12*AD12*$Y12+AK13*AD13*$Y13)/($Y10*AD10)</f>
        <v>8.9253920628273614E-2</v>
      </c>
      <c r="AL10" s="2476">
        <f t="shared" si="10"/>
        <v>2.3970252107126337</v>
      </c>
      <c r="AM10" s="2479">
        <f>+(AM11*AE11*$Y11+AM12*AE12*$Y12+AM13*AE13*$Y13)/($Y10*AE10)</f>
        <v>3.3807372978833379</v>
      </c>
      <c r="AN10" s="2479">
        <f>+(AN11*AF11*$Y11+AN12*AF12*$Y12+AN13*AF13*$Y13)/($Y10*AF10)</f>
        <v>8.9253920628273614E-2</v>
      </c>
      <c r="AO10" s="2476">
        <f t="shared" si="11"/>
        <v>2.0041880946618131</v>
      </c>
    </row>
    <row r="11" spans="1:41" x14ac:dyDescent="0.3">
      <c r="B11" s="2355" t="s">
        <v>3365</v>
      </c>
      <c r="C11" s="2463">
        <f t="shared" ref="C11:D13" si="14">+C28</f>
        <v>0</v>
      </c>
      <c r="D11" s="2474">
        <f t="shared" si="14"/>
        <v>0</v>
      </c>
      <c r="E11" s="2347"/>
      <c r="F11" s="2475">
        <f t="shared" si="0"/>
        <v>1</v>
      </c>
      <c r="G11" s="2347"/>
      <c r="H11" s="2475">
        <f t="shared" si="1"/>
        <v>1</v>
      </c>
      <c r="I11" s="2347"/>
      <c r="J11" s="2475">
        <f t="shared" si="2"/>
        <v>1</v>
      </c>
      <c r="K11" s="2398"/>
      <c r="L11" s="2398"/>
      <c r="M11" s="2476">
        <f t="shared" si="3"/>
        <v>0</v>
      </c>
      <c r="N11" s="2398"/>
      <c r="O11" s="2398"/>
      <c r="P11" s="2476">
        <f t="shared" si="4"/>
        <v>0</v>
      </c>
      <c r="Q11" s="2398"/>
      <c r="R11" s="2398"/>
      <c r="S11" s="2476">
        <f t="shared" si="5"/>
        <v>0</v>
      </c>
      <c r="T11" s="2321"/>
      <c r="U11" s="2321"/>
      <c r="V11" s="2321"/>
      <c r="W11" s="2321"/>
      <c r="Y11" s="2463">
        <f t="shared" ref="Y11:Z13" si="15">+Y28</f>
        <v>0</v>
      </c>
      <c r="Z11" s="2474">
        <f t="shared" si="15"/>
        <v>0</v>
      </c>
      <c r="AA11" s="2347"/>
      <c r="AB11" s="2475">
        <f t="shared" si="6"/>
        <v>1</v>
      </c>
      <c r="AC11" s="2347"/>
      <c r="AD11" s="2475">
        <f t="shared" si="7"/>
        <v>1</v>
      </c>
      <c r="AE11" s="2347"/>
      <c r="AF11" s="2475">
        <f t="shared" si="8"/>
        <v>1</v>
      </c>
      <c r="AG11" s="2398"/>
      <c r="AH11" s="2398"/>
      <c r="AI11" s="2476">
        <f t="shared" si="9"/>
        <v>0</v>
      </c>
      <c r="AJ11" s="2398"/>
      <c r="AK11" s="2398"/>
      <c r="AL11" s="2476">
        <f t="shared" si="10"/>
        <v>0</v>
      </c>
      <c r="AM11" s="2398"/>
      <c r="AN11" s="2398"/>
      <c r="AO11" s="2476">
        <f t="shared" si="11"/>
        <v>0</v>
      </c>
    </row>
    <row r="12" spans="1:41" ht="15" customHeight="1" x14ac:dyDescent="0.3">
      <c r="B12" s="2355" t="s">
        <v>3364</v>
      </c>
      <c r="C12" s="2463">
        <f t="shared" si="14"/>
        <v>0</v>
      </c>
      <c r="D12" s="2474">
        <f t="shared" si="14"/>
        <v>0</v>
      </c>
      <c r="E12" s="2399"/>
      <c r="F12" s="2475">
        <f t="shared" si="0"/>
        <v>1</v>
      </c>
      <c r="G12" s="2399"/>
      <c r="H12" s="2475">
        <f t="shared" si="1"/>
        <v>1</v>
      </c>
      <c r="I12" s="2399"/>
      <c r="J12" s="2475">
        <f t="shared" si="2"/>
        <v>1</v>
      </c>
      <c r="K12" s="2398"/>
      <c r="L12" s="2398"/>
      <c r="M12" s="2476">
        <f t="shared" si="3"/>
        <v>0</v>
      </c>
      <c r="N12" s="2398"/>
      <c r="O12" s="2398"/>
      <c r="P12" s="2476">
        <f t="shared" si="4"/>
        <v>0</v>
      </c>
      <c r="Q12" s="2398"/>
      <c r="R12" s="2398"/>
      <c r="S12" s="2476">
        <f t="shared" si="5"/>
        <v>0</v>
      </c>
      <c r="T12" s="2321"/>
      <c r="U12" s="2321"/>
      <c r="V12" s="2321"/>
      <c r="W12" s="2321"/>
      <c r="Y12" s="2463">
        <f t="shared" si="15"/>
        <v>0</v>
      </c>
      <c r="Z12" s="2474">
        <f t="shared" si="15"/>
        <v>0</v>
      </c>
      <c r="AA12" s="2399"/>
      <c r="AB12" s="2475">
        <f t="shared" si="6"/>
        <v>1</v>
      </c>
      <c r="AC12" s="2399"/>
      <c r="AD12" s="2475">
        <f t="shared" si="7"/>
        <v>1</v>
      </c>
      <c r="AE12" s="2399"/>
      <c r="AF12" s="2475">
        <f t="shared" si="8"/>
        <v>1</v>
      </c>
      <c r="AG12" s="2398"/>
      <c r="AH12" s="2398"/>
      <c r="AI12" s="2476">
        <f t="shared" si="9"/>
        <v>0</v>
      </c>
      <c r="AJ12" s="2398"/>
      <c r="AK12" s="2398"/>
      <c r="AL12" s="2476">
        <f t="shared" si="10"/>
        <v>0</v>
      </c>
      <c r="AM12" s="2398"/>
      <c r="AN12" s="2398"/>
      <c r="AO12" s="2476">
        <f t="shared" si="11"/>
        <v>0</v>
      </c>
    </row>
    <row r="13" spans="1:41" ht="15" customHeight="1" x14ac:dyDescent="0.3">
      <c r="B13" s="2355" t="s">
        <v>3362</v>
      </c>
      <c r="C13" s="2463">
        <f t="shared" si="14"/>
        <v>5016453.3475190932</v>
      </c>
      <c r="D13" s="2474">
        <f t="shared" si="14"/>
        <v>7.352766082795871E-3</v>
      </c>
      <c r="E13" s="2399">
        <v>0.57164983494626898</v>
      </c>
      <c r="F13" s="2475">
        <f t="shared" si="0"/>
        <v>0.42835016505373102</v>
      </c>
      <c r="G13" s="2399">
        <v>0.57164983494626898</v>
      </c>
      <c r="H13" s="2475">
        <f t="shared" si="1"/>
        <v>0.42835016505373102</v>
      </c>
      <c r="I13" s="2399">
        <v>0.57164983494626898</v>
      </c>
      <c r="J13" s="2475">
        <f t="shared" si="2"/>
        <v>0.42835016505373102</v>
      </c>
      <c r="K13" s="2398">
        <v>2.8824503196415625</v>
      </c>
      <c r="L13" s="2398">
        <v>7.7086447141346964E-2</v>
      </c>
      <c r="M13" s="2476">
        <f t="shared" si="3"/>
        <v>1.680772241820321</v>
      </c>
      <c r="N13" s="2398">
        <v>3.1570160588391487</v>
      </c>
      <c r="O13" s="2398">
        <v>7.7086447141346964E-2</v>
      </c>
      <c r="P13" s="2476">
        <f t="shared" si="4"/>
        <v>1.8377277013145217</v>
      </c>
      <c r="Q13" s="2398">
        <v>2.6502355542848028</v>
      </c>
      <c r="R13" s="2398">
        <v>7.7086447141346964E-2</v>
      </c>
      <c r="S13" s="2476">
        <f t="shared" si="5"/>
        <v>1.5480267095320428</v>
      </c>
      <c r="T13" s="2321">
        <v>157470.33252256477</v>
      </c>
      <c r="U13" s="2321">
        <v>-193075.81511116552</v>
      </c>
      <c r="V13" s="2321">
        <v>-22239.237100948067</v>
      </c>
      <c r="W13" s="2321">
        <v>28260.091986425032</v>
      </c>
      <c r="Y13" s="2463">
        <f t="shared" si="15"/>
        <v>5419340.3239746531</v>
      </c>
      <c r="Z13" s="2474">
        <f t="shared" si="15"/>
        <v>5.338928374878953E-6</v>
      </c>
      <c r="AA13" s="2399">
        <v>0.58178454956394188</v>
      </c>
      <c r="AB13" s="2475">
        <f t="shared" si="6"/>
        <v>0.41821545043605812</v>
      </c>
      <c r="AC13" s="2399">
        <v>0.58178454956394188</v>
      </c>
      <c r="AD13" s="2475">
        <f t="shared" si="7"/>
        <v>0.41821545043605812</v>
      </c>
      <c r="AE13" s="2399">
        <v>0.58178454956394188</v>
      </c>
      <c r="AF13" s="2475">
        <f t="shared" si="8"/>
        <v>0.41821545043605812</v>
      </c>
      <c r="AG13" s="2398">
        <v>3.7032177686667818</v>
      </c>
      <c r="AH13" s="2398">
        <v>8.9253920628273614E-2</v>
      </c>
      <c r="AI13" s="2476">
        <f t="shared" si="9"/>
        <v>2.1918022500997272</v>
      </c>
      <c r="AJ13" s="2398">
        <v>4.0559651229351701</v>
      </c>
      <c r="AK13" s="2398">
        <v>8.9253920628273614E-2</v>
      </c>
      <c r="AL13" s="2476">
        <f t="shared" si="10"/>
        <v>2.3970252107126337</v>
      </c>
      <c r="AM13" s="2398">
        <v>3.3807372978833374</v>
      </c>
      <c r="AN13" s="2398">
        <v>8.9253920628273614E-2</v>
      </c>
      <c r="AO13" s="2476">
        <f t="shared" si="11"/>
        <v>2.0041880946618131</v>
      </c>
    </row>
    <row r="14" spans="1:41" ht="15" customHeight="1" x14ac:dyDescent="0.3">
      <c r="B14" s="2402" t="s">
        <v>3366</v>
      </c>
      <c r="C14" s="2463">
        <f>+C15+C16+C17</f>
        <v>8508316.483671857</v>
      </c>
      <c r="D14" s="2474">
        <f>+(C15*D15+C16*D16+C17*D17)/C14</f>
        <v>4.7242929178106258E-3</v>
      </c>
      <c r="E14" s="2475">
        <f>+(E15*$C15+E16*$C16+E17*$C17)/$C14</f>
        <v>0.30538772519890633</v>
      </c>
      <c r="F14" s="2475">
        <f t="shared" si="0"/>
        <v>0.69461227480109367</v>
      </c>
      <c r="G14" s="2475">
        <f>+(G15*$C15+G16*$C16+G17*$C17)/$C14</f>
        <v>0.30538772519890633</v>
      </c>
      <c r="H14" s="2475">
        <f t="shared" si="1"/>
        <v>0.69461227480109367</v>
      </c>
      <c r="I14" s="2475">
        <f>+(I15*$C15+I16*$C16+I17*$C17)/$C14</f>
        <v>0.30538772519890633</v>
      </c>
      <c r="J14" s="2475">
        <f t="shared" si="2"/>
        <v>0.69461227480109367</v>
      </c>
      <c r="K14" s="2479">
        <f>+(K15*E15*$C15+K16*E16*$C16+K17*E17*$C17)/($C14*E14)</f>
        <v>0.59144508072620661</v>
      </c>
      <c r="L14" s="2479">
        <f>+(L15*F15*$C15+L16*F16*$C16+L17*F17*$C17)/($C14*F14)</f>
        <v>4.5417715922736059E-2</v>
      </c>
      <c r="M14" s="2476">
        <f t="shared" si="3"/>
        <v>0.21216777075642129</v>
      </c>
      <c r="N14" s="2479">
        <f>+(N15*G15*$C15+N16*G16*$C16+N17*G17*$C17)/($C14*G14)</f>
        <v>0.6033102661474371</v>
      </c>
      <c r="O14" s="2479">
        <f>+(O15*H15*$C15+O16*H16*$C16+O17*H17*$C17)/($C14*H14)</f>
        <v>4.5417715922736059E-2</v>
      </c>
      <c r="P14" s="2476">
        <f t="shared" si="4"/>
        <v>0.21579125274127411</v>
      </c>
      <c r="Q14" s="2479">
        <f>+(Q15*I15*$C15+Q16*I16*$C16+Q17*I17*$C17)/($C14*I14)</f>
        <v>0.58016235648013981</v>
      </c>
      <c r="R14" s="2479">
        <f>+(R15*J15*$C15+R16*J16*$C16+R17*J17*$C17)/($C14*J14)</f>
        <v>4.5417715922736059E-2</v>
      </c>
      <c r="S14" s="2476">
        <f t="shared" si="5"/>
        <v>0.20872216526486842</v>
      </c>
      <c r="T14" s="2463">
        <f>+T15+T16+T17</f>
        <v>35481.016492437324</v>
      </c>
      <c r="U14" s="2463">
        <f>+U15+U16+U17</f>
        <v>-37361.942974273203</v>
      </c>
      <c r="V14" s="2463">
        <f>+V15+V16+V17</f>
        <v>-39646.565537503433</v>
      </c>
      <c r="W14" s="2463">
        <f>+W15+W16+W17</f>
        <v>53893.172140912786</v>
      </c>
      <c r="Y14" s="2463">
        <f>+Y15+Y16+Y17</f>
        <v>7907084.9822860602</v>
      </c>
      <c r="Z14" s="2474">
        <f>+(Y15*Z15+Y16*Z16+Y17*Z17)/Y14</f>
        <v>0</v>
      </c>
      <c r="AA14" s="2475">
        <f>+(AA15*$Y15+AA16*$Y16+AA17*$Y17)/$Y14</f>
        <v>0.32860851022113174</v>
      </c>
      <c r="AB14" s="2475">
        <f t="shared" si="6"/>
        <v>0.6713914897788682</v>
      </c>
      <c r="AC14" s="2475">
        <f>+(AC15*$Y15+AC16*$Y16+AC17*$Y17)/$Y14</f>
        <v>0.32860851022113174</v>
      </c>
      <c r="AD14" s="2475">
        <f t="shared" si="7"/>
        <v>0.6713914897788682</v>
      </c>
      <c r="AE14" s="2475">
        <f>+(AE15*$Y15+AE16*$Y16+AE17*$Y17)/$Y14</f>
        <v>0.32860851022113174</v>
      </c>
      <c r="AF14" s="2475">
        <f t="shared" si="8"/>
        <v>0.6713914897788682</v>
      </c>
      <c r="AG14" s="2479">
        <f>+(AG15*AA15*$Y15+AG16*AA16*$Y16+AG17*AA17*$Y17)/($Y14*AA14)</f>
        <v>0.6265656811807685</v>
      </c>
      <c r="AH14" s="2479">
        <f>+(AH15*AB15*$Y15+AH16*AB16*$Y16+AH17*AB17*$Y17)/($Y14*AB14)</f>
        <v>5.1460298353366032E-2</v>
      </c>
      <c r="AI14" s="2476">
        <f t="shared" si="9"/>
        <v>0.24044482142443241</v>
      </c>
      <c r="AJ14" s="2479">
        <f>+(AJ15*AC15*$Y15+AJ16*AC16*$Y16+AJ17*AC17*$Y17)/($Y14*AC14)</f>
        <v>0.63913543317982335</v>
      </c>
      <c r="AK14" s="2479">
        <f>+(AK15*AD15*$Y15+AK16*AD16*$Y16+AK17*AD17*$Y17)/($Y14*AD14)</f>
        <v>5.1460298353366032E-2</v>
      </c>
      <c r="AL14" s="2476">
        <f t="shared" si="10"/>
        <v>0.24457534890269089</v>
      </c>
      <c r="AM14" s="2479">
        <f>+(AM15*AE15*$Y15+AM16*AE16*$Y16+AM17*AE17*$Y17)/($Y14*AE14)</f>
        <v>0.61414391961814685</v>
      </c>
      <c r="AN14" s="2479">
        <f>+(AN15*AF15*$Y15+AN16*AF16*$Y16+AN17*AF17*$Y17)/($Y14*AF14)</f>
        <v>5.1460298353366032E-2</v>
      </c>
      <c r="AO14" s="2476">
        <f t="shared" si="11"/>
        <v>0.23636292486301719</v>
      </c>
    </row>
    <row r="15" spans="1:41" ht="15" customHeight="1" x14ac:dyDescent="0.3">
      <c r="B15" s="2355" t="s">
        <v>3365</v>
      </c>
      <c r="C15" s="2463">
        <f t="shared" ref="C15:D17" si="16">+C32</f>
        <v>0</v>
      </c>
      <c r="D15" s="2474">
        <f t="shared" si="16"/>
        <v>0</v>
      </c>
      <c r="E15" s="2399"/>
      <c r="F15" s="2475">
        <f t="shared" si="0"/>
        <v>1</v>
      </c>
      <c r="G15" s="2399"/>
      <c r="H15" s="2475">
        <f t="shared" si="1"/>
        <v>1</v>
      </c>
      <c r="I15" s="2399"/>
      <c r="J15" s="2475">
        <f t="shared" si="2"/>
        <v>1</v>
      </c>
      <c r="K15" s="2398"/>
      <c r="L15" s="2398"/>
      <c r="M15" s="2476">
        <f t="shared" si="3"/>
        <v>0</v>
      </c>
      <c r="N15" s="2398"/>
      <c r="O15" s="2398"/>
      <c r="P15" s="2476">
        <f t="shared" si="4"/>
        <v>0</v>
      </c>
      <c r="Q15" s="2398"/>
      <c r="R15" s="2398"/>
      <c r="S15" s="2476">
        <f t="shared" si="5"/>
        <v>0</v>
      </c>
      <c r="T15" s="2321"/>
      <c r="U15" s="2321"/>
      <c r="V15" s="2321"/>
      <c r="W15" s="2321"/>
      <c r="Y15" s="2463">
        <f t="shared" ref="Y15:Z17" si="17">+Y32</f>
        <v>0</v>
      </c>
      <c r="Z15" s="2474">
        <f t="shared" si="17"/>
        <v>0</v>
      </c>
      <c r="AA15" s="2399"/>
      <c r="AB15" s="2475">
        <f t="shared" si="6"/>
        <v>1</v>
      </c>
      <c r="AC15" s="2399"/>
      <c r="AD15" s="2475">
        <f t="shared" si="7"/>
        <v>1</v>
      </c>
      <c r="AE15" s="2399"/>
      <c r="AF15" s="2475">
        <f t="shared" si="8"/>
        <v>1</v>
      </c>
      <c r="AG15" s="2398"/>
      <c r="AH15" s="2398"/>
      <c r="AI15" s="2476">
        <f t="shared" si="9"/>
        <v>0</v>
      </c>
      <c r="AJ15" s="2398"/>
      <c r="AK15" s="2398"/>
      <c r="AL15" s="2476">
        <f t="shared" si="10"/>
        <v>0</v>
      </c>
      <c r="AM15" s="2398"/>
      <c r="AN15" s="2398"/>
      <c r="AO15" s="2476">
        <f t="shared" si="11"/>
        <v>0</v>
      </c>
    </row>
    <row r="16" spans="1:41" ht="15" customHeight="1" x14ac:dyDescent="0.3">
      <c r="B16" s="2355" t="s">
        <v>3364</v>
      </c>
      <c r="C16" s="2463">
        <f t="shared" si="16"/>
        <v>0</v>
      </c>
      <c r="D16" s="2474">
        <f t="shared" si="16"/>
        <v>0</v>
      </c>
      <c r="E16" s="2399"/>
      <c r="F16" s="2475">
        <f t="shared" si="0"/>
        <v>1</v>
      </c>
      <c r="G16" s="2399"/>
      <c r="H16" s="2475">
        <f t="shared" si="1"/>
        <v>1</v>
      </c>
      <c r="I16" s="2399"/>
      <c r="J16" s="2475">
        <f t="shared" si="2"/>
        <v>1</v>
      </c>
      <c r="K16" s="2398"/>
      <c r="L16" s="2398"/>
      <c r="M16" s="2476">
        <f t="shared" si="3"/>
        <v>0</v>
      </c>
      <c r="N16" s="2398"/>
      <c r="O16" s="2398"/>
      <c r="P16" s="2476">
        <f t="shared" si="4"/>
        <v>0</v>
      </c>
      <c r="Q16" s="2398"/>
      <c r="R16" s="2398"/>
      <c r="S16" s="2476">
        <f t="shared" si="5"/>
        <v>0</v>
      </c>
      <c r="T16" s="2321"/>
      <c r="U16" s="2321"/>
      <c r="V16" s="2321"/>
      <c r="W16" s="2321"/>
      <c r="Y16" s="2463">
        <f t="shared" si="17"/>
        <v>0</v>
      </c>
      <c r="Z16" s="2474">
        <f t="shared" si="17"/>
        <v>0</v>
      </c>
      <c r="AA16" s="2399"/>
      <c r="AB16" s="2475">
        <f t="shared" si="6"/>
        <v>1</v>
      </c>
      <c r="AC16" s="2399"/>
      <c r="AD16" s="2475">
        <f t="shared" si="7"/>
        <v>1</v>
      </c>
      <c r="AE16" s="2399"/>
      <c r="AF16" s="2475">
        <f t="shared" si="8"/>
        <v>1</v>
      </c>
      <c r="AG16" s="2398"/>
      <c r="AH16" s="2398"/>
      <c r="AI16" s="2476">
        <f t="shared" si="9"/>
        <v>0</v>
      </c>
      <c r="AJ16" s="2398"/>
      <c r="AK16" s="2398"/>
      <c r="AL16" s="2476">
        <f t="shared" si="10"/>
        <v>0</v>
      </c>
      <c r="AM16" s="2398"/>
      <c r="AN16" s="2398"/>
      <c r="AO16" s="2476">
        <f t="shared" si="11"/>
        <v>0</v>
      </c>
    </row>
    <row r="17" spans="1:41" ht="15" customHeight="1" x14ac:dyDescent="0.3">
      <c r="B17" s="2355" t="s">
        <v>3362</v>
      </c>
      <c r="C17" s="2463">
        <f t="shared" si="16"/>
        <v>8508316.483671857</v>
      </c>
      <c r="D17" s="2474">
        <f t="shared" si="16"/>
        <v>4.7242929178106258E-3</v>
      </c>
      <c r="E17" s="2399">
        <v>0.30538772519890633</v>
      </c>
      <c r="F17" s="2475">
        <f t="shared" si="0"/>
        <v>0.69461227480109367</v>
      </c>
      <c r="G17" s="2399">
        <v>0.30538772519890633</v>
      </c>
      <c r="H17" s="2475">
        <f t="shared" si="1"/>
        <v>0.69461227480109367</v>
      </c>
      <c r="I17" s="2399">
        <v>0.30538772519890633</v>
      </c>
      <c r="J17" s="2475">
        <f t="shared" si="2"/>
        <v>0.69461227480109367</v>
      </c>
      <c r="K17" s="2398">
        <v>0.59144508072620661</v>
      </c>
      <c r="L17" s="2398">
        <v>4.5417715922736059E-2</v>
      </c>
      <c r="M17" s="2476">
        <f t="shared" si="3"/>
        <v>0.21216777075642129</v>
      </c>
      <c r="N17" s="2398">
        <v>0.6033102661474371</v>
      </c>
      <c r="O17" s="2398">
        <v>4.5417715922736059E-2</v>
      </c>
      <c r="P17" s="2476">
        <f t="shared" si="4"/>
        <v>0.21579125274127411</v>
      </c>
      <c r="Q17" s="2398">
        <v>0.58016235648013981</v>
      </c>
      <c r="R17" s="2398">
        <v>4.5417715922736059E-2</v>
      </c>
      <c r="S17" s="2476">
        <f t="shared" si="5"/>
        <v>0.20872216526486842</v>
      </c>
      <c r="T17" s="2321">
        <v>35481.016492437324</v>
      </c>
      <c r="U17" s="2321">
        <v>-37361.942974273203</v>
      </c>
      <c r="V17" s="2321">
        <v>-39646.565537503433</v>
      </c>
      <c r="W17" s="2321">
        <v>53893.172140912786</v>
      </c>
      <c r="Y17" s="2463">
        <f t="shared" si="17"/>
        <v>7907084.9822860602</v>
      </c>
      <c r="Z17" s="2474">
        <f t="shared" si="17"/>
        <v>0</v>
      </c>
      <c r="AA17" s="2399">
        <v>0.32860851022113174</v>
      </c>
      <c r="AB17" s="2475">
        <f t="shared" si="6"/>
        <v>0.6713914897788682</v>
      </c>
      <c r="AC17" s="2399">
        <v>0.32860851022113174</v>
      </c>
      <c r="AD17" s="2475">
        <f t="shared" si="7"/>
        <v>0.6713914897788682</v>
      </c>
      <c r="AE17" s="2399">
        <v>0.32860851022113174</v>
      </c>
      <c r="AF17" s="2475">
        <f t="shared" si="8"/>
        <v>0.6713914897788682</v>
      </c>
      <c r="AG17" s="2398">
        <v>0.6265656811807685</v>
      </c>
      <c r="AH17" s="2398">
        <v>5.1460298353366032E-2</v>
      </c>
      <c r="AI17" s="2476">
        <f t="shared" si="9"/>
        <v>0.24044482142443241</v>
      </c>
      <c r="AJ17" s="2398">
        <v>0.63913543317982335</v>
      </c>
      <c r="AK17" s="2398">
        <v>5.1460298353366032E-2</v>
      </c>
      <c r="AL17" s="2476">
        <f t="shared" si="10"/>
        <v>0.24457534890269089</v>
      </c>
      <c r="AM17" s="2398">
        <v>0.61414391961814685</v>
      </c>
      <c r="AN17" s="2398">
        <v>5.1460298353366032E-2</v>
      </c>
      <c r="AO17" s="2476">
        <f t="shared" si="11"/>
        <v>0.23636292486301719</v>
      </c>
    </row>
    <row r="18" spans="1:41" ht="15" customHeight="1" x14ac:dyDescent="0.3">
      <c r="B18" s="2402" t="s">
        <v>3275</v>
      </c>
      <c r="C18" s="2463">
        <f>+C19+C20</f>
        <v>481941.34571191145</v>
      </c>
      <c r="D18" s="2474">
        <f>+(C19*D19+C20*D20)/C18</f>
        <v>2.24926270595444E-3</v>
      </c>
      <c r="E18" s="2475">
        <f>+(E19*$C19+E20*$C20)/$C18</f>
        <v>0</v>
      </c>
      <c r="F18" s="2475">
        <f t="shared" si="0"/>
        <v>1</v>
      </c>
      <c r="G18" s="2475">
        <f>+(G19*$C19+G20*$C20)/$C18</f>
        <v>0</v>
      </c>
      <c r="H18" s="2475">
        <f t="shared" si="1"/>
        <v>1</v>
      </c>
      <c r="I18" s="2475">
        <f>+(I19*$C19+I20*$C20)/$C18</f>
        <v>0</v>
      </c>
      <c r="J18" s="2475">
        <f t="shared" si="2"/>
        <v>1</v>
      </c>
      <c r="K18" s="2479" t="e">
        <f>+(K19*$C19*E19+K20*$C20*E20)/($C18*E18)</f>
        <v>#DIV/0!</v>
      </c>
      <c r="L18" s="2479">
        <f>+(L19*$C19*F19+L20*$C20*F20)/($C18*F18)</f>
        <v>2.6621179451606527E-3</v>
      </c>
      <c r="M18" s="2476" t="e">
        <f t="shared" si="3"/>
        <v>#DIV/0!</v>
      </c>
      <c r="N18" s="2479" t="e">
        <f>+(N19*$C19*G19+N20*$C20*G20)/($C18*G18)</f>
        <v>#DIV/0!</v>
      </c>
      <c r="O18" s="2479">
        <f>+(O19*$C19*H19+O20*$C20*H20)/($C18*H18)</f>
        <v>2.6621179451606527E-3</v>
      </c>
      <c r="P18" s="2476" t="e">
        <f t="shared" si="4"/>
        <v>#DIV/0!</v>
      </c>
      <c r="Q18" s="2479" t="e">
        <f>+(Q19*$C19*I19+Q20*$C20*I20)/($C18*I18)</f>
        <v>#DIV/0!</v>
      </c>
      <c r="R18" s="2479">
        <f>+(R19*$C19*J19+R20*$C20*J20)/($C18*J18)</f>
        <v>2.6621179451606527E-3</v>
      </c>
      <c r="S18" s="2476" t="e">
        <f t="shared" si="5"/>
        <v>#DIV/0!</v>
      </c>
      <c r="T18" s="2463">
        <f>+T19+T20</f>
        <v>25.658826537169823</v>
      </c>
      <c r="U18" s="2463">
        <f>+U19+U20</f>
        <v>-26.168795664737527</v>
      </c>
      <c r="V18" s="2463">
        <f>+V19+V20</f>
        <v>-1327.2338548940932</v>
      </c>
      <c r="W18" s="2463">
        <f>+W19+W20</f>
        <v>1351.0334426873903</v>
      </c>
      <c r="Y18" s="2463">
        <f>+Y19+Y20</f>
        <v>677776.63194904278</v>
      </c>
      <c r="Z18" s="2474">
        <f>+(Y19*Z19+Y20*Z20)/Y18</f>
        <v>0</v>
      </c>
      <c r="AA18" s="2475">
        <f>+(AA19*$Y19+AA20*$Y20)/$Y18</f>
        <v>0</v>
      </c>
      <c r="AB18" s="2475">
        <f t="shared" si="6"/>
        <v>1</v>
      </c>
      <c r="AC18" s="2475">
        <f>+(AC19*$Y19+AC20*$Y20)/$Y18</f>
        <v>0</v>
      </c>
      <c r="AD18" s="2475">
        <f t="shared" si="7"/>
        <v>1</v>
      </c>
      <c r="AE18" s="2475">
        <f>+(AE19*$Y19+AE20*$Y20)/$Y18</f>
        <v>0</v>
      </c>
      <c r="AF18" s="2475">
        <f t="shared" si="8"/>
        <v>1</v>
      </c>
      <c r="AG18" s="2479" t="e">
        <f>+(AG19*$Y19*AA19+AG20*$Y20*AA20)/($Y18*AA18)</f>
        <v>#DIV/0!</v>
      </c>
      <c r="AH18" s="2479">
        <f>+(AH19*$Y19*AB19+AH20*$Y20*AB20)/($Y18*AB18)</f>
        <v>2.7286945507741505E-3</v>
      </c>
      <c r="AI18" s="2476" t="e">
        <f t="shared" si="9"/>
        <v>#DIV/0!</v>
      </c>
      <c r="AJ18" s="2479" t="e">
        <f>+(AJ19*$Y19*AC19+AJ20*$Y20*AC20)/($Y18*AC18)</f>
        <v>#DIV/0!</v>
      </c>
      <c r="AK18" s="2479">
        <f>+(AK19*$Y19*AD19+AK20*$Y20*AD20)/($Y18*AD18)</f>
        <v>2.7286945507741505E-3</v>
      </c>
      <c r="AL18" s="2476" t="e">
        <f t="shared" si="10"/>
        <v>#DIV/0!</v>
      </c>
      <c r="AM18" s="2479" t="e">
        <f>+(AM19*$Y19*AE19+AM20*$Y20*AE20)/($Y18*AE18)</f>
        <v>#DIV/0!</v>
      </c>
      <c r="AN18" s="2479">
        <f>+(AN19*$Y19*AF19+AN20*$Y20*AF20)/($Y18*AF18)</f>
        <v>2.7286945507741505E-3</v>
      </c>
      <c r="AO18" s="2476" t="e">
        <f t="shared" si="11"/>
        <v>#DIV/0!</v>
      </c>
    </row>
    <row r="19" spans="1:41" ht="15" customHeight="1" x14ac:dyDescent="0.3">
      <c r="B19" s="2355" t="s">
        <v>3363</v>
      </c>
      <c r="C19" s="2463">
        <f>+C36</f>
        <v>0</v>
      </c>
      <c r="D19" s="2474">
        <f>+D36</f>
        <v>0</v>
      </c>
      <c r="E19" s="2399"/>
      <c r="F19" s="2475">
        <f t="shared" si="0"/>
        <v>1</v>
      </c>
      <c r="G19" s="2399"/>
      <c r="H19" s="2475">
        <f t="shared" si="1"/>
        <v>1</v>
      </c>
      <c r="I19" s="2399"/>
      <c r="J19" s="2475">
        <f t="shared" si="2"/>
        <v>1</v>
      </c>
      <c r="K19" s="2398"/>
      <c r="L19" s="2398"/>
      <c r="M19" s="2476">
        <f t="shared" si="3"/>
        <v>0</v>
      </c>
      <c r="N19" s="2398"/>
      <c r="O19" s="2398"/>
      <c r="P19" s="2476">
        <f t="shared" si="4"/>
        <v>0</v>
      </c>
      <c r="Q19" s="2398"/>
      <c r="R19" s="2398"/>
      <c r="S19" s="2476">
        <f t="shared" si="5"/>
        <v>0</v>
      </c>
      <c r="T19" s="2321"/>
      <c r="U19" s="2321"/>
      <c r="V19" s="2321"/>
      <c r="W19" s="2321"/>
      <c r="Y19" s="2463">
        <f>+Y36</f>
        <v>0</v>
      </c>
      <c r="Z19" s="2474">
        <f>+Z36</f>
        <v>0</v>
      </c>
      <c r="AA19" s="2399"/>
      <c r="AB19" s="2475">
        <f t="shared" si="6"/>
        <v>1</v>
      </c>
      <c r="AC19" s="2399"/>
      <c r="AD19" s="2475">
        <f t="shared" si="7"/>
        <v>1</v>
      </c>
      <c r="AE19" s="2399"/>
      <c r="AF19" s="2475">
        <f t="shared" si="8"/>
        <v>1</v>
      </c>
      <c r="AG19" s="2398"/>
      <c r="AH19" s="2398"/>
      <c r="AI19" s="2476">
        <f t="shared" si="9"/>
        <v>0</v>
      </c>
      <c r="AJ19" s="2398"/>
      <c r="AK19" s="2398"/>
      <c r="AL19" s="2476">
        <f t="shared" si="10"/>
        <v>0</v>
      </c>
      <c r="AM19" s="2398"/>
      <c r="AN19" s="2398"/>
      <c r="AO19" s="2476">
        <f t="shared" si="11"/>
        <v>0</v>
      </c>
    </row>
    <row r="20" spans="1:41" ht="16.5" customHeight="1" x14ac:dyDescent="0.3">
      <c r="B20" s="2355" t="s">
        <v>3362</v>
      </c>
      <c r="C20" s="2463">
        <f>+C37</f>
        <v>481941.34571191145</v>
      </c>
      <c r="D20" s="2474">
        <f>+D37</f>
        <v>2.24926270595444E-3</v>
      </c>
      <c r="E20" s="2475">
        <f>+E37</f>
        <v>0</v>
      </c>
      <c r="F20" s="2475">
        <f t="shared" si="0"/>
        <v>1</v>
      </c>
      <c r="G20" s="2475">
        <f>+G37</f>
        <v>0</v>
      </c>
      <c r="H20" s="2475">
        <f t="shared" si="1"/>
        <v>1</v>
      </c>
      <c r="I20" s="2475">
        <f>+I37</f>
        <v>0</v>
      </c>
      <c r="J20" s="2475">
        <f t="shared" si="2"/>
        <v>1</v>
      </c>
      <c r="K20" s="2479">
        <f>+K37</f>
        <v>2.6621179451606527E-3</v>
      </c>
      <c r="L20" s="2479">
        <f>+L37</f>
        <v>2.6621179451606527E-3</v>
      </c>
      <c r="M20" s="2476">
        <f t="shared" si="3"/>
        <v>2.6621179451606527E-3</v>
      </c>
      <c r="N20" s="2479">
        <f>+N37</f>
        <v>2.6621179451606527E-3</v>
      </c>
      <c r="O20" s="2479">
        <f>+O37</f>
        <v>2.6621179451606527E-3</v>
      </c>
      <c r="P20" s="2476">
        <f t="shared" si="4"/>
        <v>2.6621179451606527E-3</v>
      </c>
      <c r="Q20" s="2479">
        <f>+Q37</f>
        <v>2.6621179451606527E-3</v>
      </c>
      <c r="R20" s="2479">
        <f>+R37</f>
        <v>2.6621179451606527E-3</v>
      </c>
      <c r="S20" s="2476">
        <f t="shared" si="5"/>
        <v>2.6621179451606527E-3</v>
      </c>
      <c r="T20" s="2463">
        <f>+T37</f>
        <v>25.658826537169823</v>
      </c>
      <c r="U20" s="2463">
        <f>+U37</f>
        <v>-26.168795664737527</v>
      </c>
      <c r="V20" s="2463">
        <f>+V37</f>
        <v>-1327.2338548940932</v>
      </c>
      <c r="W20" s="2463">
        <f>+W37</f>
        <v>1351.0334426873903</v>
      </c>
      <c r="Y20" s="2463">
        <f>+Y37</f>
        <v>677776.63194904278</v>
      </c>
      <c r="Z20" s="2474">
        <f>+Z37</f>
        <v>0</v>
      </c>
      <c r="AA20" s="2475">
        <f>+AA37</f>
        <v>0</v>
      </c>
      <c r="AB20" s="2475">
        <f t="shared" si="6"/>
        <v>1</v>
      </c>
      <c r="AC20" s="2475">
        <f>+AC37</f>
        <v>0</v>
      </c>
      <c r="AD20" s="2475">
        <f t="shared" si="7"/>
        <v>1</v>
      </c>
      <c r="AE20" s="2475">
        <f>+AE37</f>
        <v>0</v>
      </c>
      <c r="AF20" s="2475">
        <f t="shared" si="8"/>
        <v>1</v>
      </c>
      <c r="AG20" s="2479">
        <f>+AG37</f>
        <v>2.7286945507741505E-3</v>
      </c>
      <c r="AH20" s="2479">
        <f>+AH37</f>
        <v>2.7286945507741505E-3</v>
      </c>
      <c r="AI20" s="2476">
        <f t="shared" si="9"/>
        <v>2.7286945507741505E-3</v>
      </c>
      <c r="AJ20" s="2479">
        <f>+AJ37</f>
        <v>2.7286945507741505E-3</v>
      </c>
      <c r="AK20" s="2479">
        <f>+AK37</f>
        <v>2.7286945507741505E-3</v>
      </c>
      <c r="AL20" s="2476">
        <f t="shared" si="10"/>
        <v>2.7286945507741505E-3</v>
      </c>
      <c r="AM20" s="2479">
        <f>+AM37</f>
        <v>2.7286945507741505E-3</v>
      </c>
      <c r="AN20" s="2479">
        <f>+AN37</f>
        <v>2.7286945507741505E-3</v>
      </c>
      <c r="AO20" s="2476">
        <f t="shared" si="11"/>
        <v>2.7286945507741505E-3</v>
      </c>
    </row>
    <row r="21" spans="1:41" ht="15" customHeight="1" x14ac:dyDescent="0.3">
      <c r="E21" s="2400"/>
      <c r="F21" s="2400"/>
      <c r="G21" s="2400"/>
      <c r="H21" s="2400"/>
      <c r="I21" s="2400"/>
      <c r="J21" s="2400"/>
      <c r="Z21" s="2401"/>
      <c r="AA21" s="2400"/>
      <c r="AB21" s="2400"/>
      <c r="AC21" s="2400"/>
      <c r="AD21" s="2400"/>
      <c r="AE21" s="2400"/>
      <c r="AF21" s="2400"/>
      <c r="AG21" s="2390"/>
      <c r="AH21" s="2390"/>
      <c r="AI21" s="2391"/>
      <c r="AJ21" s="2391"/>
      <c r="AK21" s="2390"/>
      <c r="AL21" s="2390"/>
      <c r="AM21" s="2390"/>
      <c r="AN21" s="2390"/>
      <c r="AO21" s="2390"/>
    </row>
    <row r="22" spans="1:41" ht="15" customHeight="1" x14ac:dyDescent="0.3">
      <c r="B22" s="2397" t="s">
        <v>3367</v>
      </c>
      <c r="C22" s="2463">
        <f>+C23+C27+C31+C35</f>
        <v>34108703.222774565</v>
      </c>
      <c r="D22" s="2474">
        <f>+($C23*D23+$C27*D27+$C31*D31+$C35*D35)/$C22</f>
        <v>6.6249908085591605E-3</v>
      </c>
      <c r="E22" s="2480"/>
      <c r="F22" s="2480"/>
      <c r="G22" s="2480"/>
      <c r="H22" s="2480"/>
      <c r="I22" s="2480"/>
      <c r="J22" s="2480"/>
      <c r="K22" s="2477"/>
      <c r="L22" s="2477"/>
      <c r="M22" s="2476" t="e">
        <f>+($C23*M23+$C27*M27+$C31*M31+$C35*M35)/$C22</f>
        <v>#DIV/0!</v>
      </c>
      <c r="N22" s="2478"/>
      <c r="O22" s="2477"/>
      <c r="P22" s="2476" t="e">
        <f>+($C23*P23+$C27*P27+$C31*P31+$C35*P35)/$C22</f>
        <v>#DIV/0!</v>
      </c>
      <c r="Q22" s="2477"/>
      <c r="R22" s="2477"/>
      <c r="S22" s="2476" t="e">
        <f>+($C23*S23+$C27*S27+$C31*S31+$C35*S35)/$C22</f>
        <v>#DIV/0!</v>
      </c>
      <c r="T22" s="2477"/>
      <c r="U22" s="2477"/>
      <c r="V22" s="2477"/>
      <c r="W22" s="2477"/>
      <c r="Y22" s="2463">
        <f>+Y23+Y27+Y31+Y35</f>
        <v>33265742.490155596</v>
      </c>
      <c r="Z22" s="2474">
        <f>+($C23*Z23+$C27*Z27+$C31*Z31+$C35*Z35)/$C22</f>
        <v>3.9317115038861607E-6</v>
      </c>
      <c r="AA22" s="2480"/>
      <c r="AB22" s="2480"/>
      <c r="AC22" s="2480"/>
      <c r="AD22" s="2480"/>
      <c r="AE22" s="2480"/>
      <c r="AF22" s="2480"/>
      <c r="AG22" s="2477"/>
      <c r="AH22" s="2477"/>
      <c r="AI22" s="2476" t="e">
        <f>+($Y23*AI23+$Y27*AI27+$Y31*AI31+$Y35*AI35)/$Y22</f>
        <v>#DIV/0!</v>
      </c>
      <c r="AJ22" s="2478"/>
      <c r="AK22" s="2477"/>
      <c r="AL22" s="2476" t="e">
        <f>+($Y23*AL23+$Y27*AL27+$Y31*AL31+$Y35*AL35)/$Y22</f>
        <v>#DIV/0!</v>
      </c>
      <c r="AM22" s="2477"/>
      <c r="AN22" s="2477"/>
      <c r="AO22" s="2476" t="e">
        <f>+($Y23*AO23+$Y27*AO27+$Y31*AO31+$Y35*AO35)/$Y22</f>
        <v>#DIV/0!</v>
      </c>
    </row>
    <row r="23" spans="1:41" ht="15" customHeight="1" x14ac:dyDescent="0.3">
      <c r="B23" s="2402" t="s">
        <v>3279</v>
      </c>
      <c r="C23" s="2463">
        <f>+C24+C25+C26</f>
        <v>20101992.045871709</v>
      </c>
      <c r="D23" s="2474">
        <f>+(C24*D24+C25*D25+C26*D26)/C23</f>
        <v>7.3527660827958693E-3</v>
      </c>
      <c r="E23" s="2475">
        <f>+(E24*$C24+E25*$C25+E26*$C26)/$C23</f>
        <v>0.57164983494626864</v>
      </c>
      <c r="F23" s="2475">
        <f t="shared" ref="F23:F37" si="18">100%-E23</f>
        <v>0.42835016505373136</v>
      </c>
      <c r="G23" s="2475">
        <f>+(G24*$C24+G25*$C25+G26*$C26)/$C23</f>
        <v>0.57164983494626864</v>
      </c>
      <c r="H23" s="2475">
        <f t="shared" ref="H23:H37" si="19">100%-G23</f>
        <v>0.42835016505373136</v>
      </c>
      <c r="I23" s="2475">
        <f>+(I24*$C24+I25*$C25+I26*$C26)/$C23</f>
        <v>0.57164983494626864</v>
      </c>
      <c r="J23" s="2475">
        <f t="shared" ref="J23:J37" si="20">100%-I23</f>
        <v>0.42835016505373136</v>
      </c>
      <c r="K23" s="2479">
        <f>+(K24*E24*$C24+K25*E25*$C25+K26*E26*$C26)/($C23*E23)</f>
        <v>2.8824503196415625</v>
      </c>
      <c r="L23" s="2479">
        <f>+(L24*F24*$C24+L25*F25*$C25+L26*F26*$C26)/($C23*F23)</f>
        <v>7.7086447141346923E-2</v>
      </c>
      <c r="M23" s="2476">
        <f t="shared" ref="M23:M37" si="21">+E23*K23+F23*L23</f>
        <v>1.6807722418203201</v>
      </c>
      <c r="N23" s="2479">
        <f>+(N24*G24*$C24+N25*G25*$C25+N26*G26*$C26)/($C23*G23)</f>
        <v>3.1570160588391492</v>
      </c>
      <c r="O23" s="2479">
        <f>+(O24*H24*$C24+O25*H25*$C25+O26*H26*$C26)/($C23*H23)</f>
        <v>7.7086447141346923E-2</v>
      </c>
      <c r="P23" s="2476">
        <f t="shared" ref="P23:P37" si="22">+G23*N23+H23*O23</f>
        <v>1.8377277013145208</v>
      </c>
      <c r="Q23" s="2479">
        <f>+(Q24*I24*$C24+Q25*I25*$C25+Q26*I26*$C26)/($C23*I23)</f>
        <v>2.6502355542848028</v>
      </c>
      <c r="R23" s="2479">
        <f>+(R24*J24*$C24+R25*J25*$C25+R26*J26*$C26)/($C23*J23)</f>
        <v>7.7086447141346923E-2</v>
      </c>
      <c r="S23" s="2476">
        <f t="shared" ref="S23:S37" si="23">+I23*Q23+J23*R23</f>
        <v>1.5480267095320419</v>
      </c>
      <c r="T23" s="2463">
        <f>+T24+T25+T26</f>
        <v>631017.00594800967</v>
      </c>
      <c r="U23" s="2463">
        <f>+U24+U25+U26</f>
        <v>-773695.72300205124</v>
      </c>
      <c r="V23" s="2463">
        <f>+V24+V25+V26</f>
        <v>-89117.337756286419</v>
      </c>
      <c r="W23" s="2463">
        <f>+W24+W25+W26</f>
        <v>113244.17969673073</v>
      </c>
      <c r="Y23" s="2463">
        <f>+Y24+Y25+Y26</f>
        <v>19261540.551945843</v>
      </c>
      <c r="Z23" s="2474">
        <f>+(Y24*Z24+Y25*Z25+Y26*Z26)/Y23</f>
        <v>5.3389283748789539E-6</v>
      </c>
      <c r="AA23" s="2475">
        <f>+(AA24*$Y24+AA25*$Y25+AA26*$Y26)/$Y23</f>
        <v>0.58178454956394199</v>
      </c>
      <c r="AB23" s="2475">
        <f t="shared" ref="AB23:AB37" si="24">100%-AA23</f>
        <v>0.41821545043605801</v>
      </c>
      <c r="AC23" s="2475">
        <f>+(AC24*$Y24+AC25*$Y25+AC26*$Y26)/$Y23</f>
        <v>0.58178454956394199</v>
      </c>
      <c r="AD23" s="2475">
        <f t="shared" ref="AD23:AD37" si="25">100%-AC23</f>
        <v>0.41821545043605801</v>
      </c>
      <c r="AE23" s="2475">
        <f>+(AE24*$Y24+AE25*$Y25+AE26*$Y26)/$Y23</f>
        <v>0.58178454956394199</v>
      </c>
      <c r="AF23" s="2475">
        <f t="shared" ref="AF23:AF37" si="26">100%-AE23</f>
        <v>0.41821545043605801</v>
      </c>
      <c r="AG23" s="2479">
        <f>+(AG24*AA24*$Y24+AG25*AA25*$Y25+AG26*AA26*$Y26)/($Y23*AA23)</f>
        <v>3.7032177686667818</v>
      </c>
      <c r="AH23" s="2479">
        <f>+(AH24*AB24*$Y24+AH25*AB25*$Y25+AH26*AB26*$Y26)/($Y23*AB23)</f>
        <v>8.9253920628273684E-2</v>
      </c>
      <c r="AI23" s="2476">
        <f t="shared" ref="AI23:AI37" si="27">+AA23*AG23+AB23*AH23</f>
        <v>2.1918022500997276</v>
      </c>
      <c r="AJ23" s="2479">
        <f>+(AJ24*AC24*$Y24+AJ25*AC25*$Y25+AJ26*AC26*$Y26)/($Y23*AC23)</f>
        <v>4.0559651229351701</v>
      </c>
      <c r="AK23" s="2479">
        <f>+(AK24*AD24*$Y24+AK25*AD25*$Y25+AK26*AD26*$Y26)/($Y23*AD23)</f>
        <v>8.9253920628273684E-2</v>
      </c>
      <c r="AL23" s="2476">
        <f t="shared" ref="AL23:AL37" si="28">+AC23*AJ23+AD23*AK23</f>
        <v>2.3970252107126342</v>
      </c>
      <c r="AM23" s="2479">
        <f>+(AM24*AE24*$Y24+AM25*AE25*$Y25+AM26*AE26*$Y26)/($Y23*AE23)</f>
        <v>3.3807372978833379</v>
      </c>
      <c r="AN23" s="2479">
        <f>+(AN24*AF24*$Y24+AN25*AF25*$Y25+AN26*AF26*$Y26)/($Y23*AF23)</f>
        <v>8.9253920628273684E-2</v>
      </c>
      <c r="AO23" s="2476">
        <f t="shared" ref="AO23:AO37" si="29">+AE23*AM23+AF23*AN23</f>
        <v>2.004188094661814</v>
      </c>
    </row>
    <row r="24" spans="1:41" ht="15" customHeight="1" x14ac:dyDescent="0.3">
      <c r="B24" s="2355" t="s">
        <v>3365</v>
      </c>
      <c r="C24" s="2321">
        <v>0</v>
      </c>
      <c r="D24" s="2347"/>
      <c r="E24" s="2347"/>
      <c r="F24" s="2475">
        <f t="shared" si="18"/>
        <v>1</v>
      </c>
      <c r="G24" s="2347"/>
      <c r="H24" s="2475">
        <f t="shared" si="19"/>
        <v>1</v>
      </c>
      <c r="I24" s="2347"/>
      <c r="J24" s="2475">
        <f t="shared" si="20"/>
        <v>1</v>
      </c>
      <c r="K24" s="2398"/>
      <c r="L24" s="2398"/>
      <c r="M24" s="2476">
        <f t="shared" si="21"/>
        <v>0</v>
      </c>
      <c r="N24" s="2398"/>
      <c r="O24" s="2398"/>
      <c r="P24" s="2476">
        <f t="shared" si="22"/>
        <v>0</v>
      </c>
      <c r="Q24" s="2398"/>
      <c r="R24" s="2398"/>
      <c r="S24" s="2476">
        <f t="shared" si="23"/>
        <v>0</v>
      </c>
      <c r="T24" s="2321"/>
      <c r="U24" s="2321"/>
      <c r="V24" s="2321"/>
      <c r="W24" s="2321"/>
      <c r="Y24" s="2321"/>
      <c r="Z24" s="2347"/>
      <c r="AA24" s="2347"/>
      <c r="AB24" s="2475">
        <f t="shared" si="24"/>
        <v>1</v>
      </c>
      <c r="AC24" s="2347"/>
      <c r="AD24" s="2475">
        <f t="shared" si="25"/>
        <v>1</v>
      </c>
      <c r="AE24" s="2347"/>
      <c r="AF24" s="2475">
        <f t="shared" si="26"/>
        <v>1</v>
      </c>
      <c r="AG24" s="2398"/>
      <c r="AH24" s="2398"/>
      <c r="AI24" s="2476">
        <f t="shared" si="27"/>
        <v>0</v>
      </c>
      <c r="AJ24" s="2398"/>
      <c r="AK24" s="2398"/>
      <c r="AL24" s="2476">
        <f t="shared" si="28"/>
        <v>0</v>
      </c>
      <c r="AM24" s="2398"/>
      <c r="AN24" s="2398"/>
      <c r="AO24" s="2476">
        <f t="shared" si="29"/>
        <v>0</v>
      </c>
    </row>
    <row r="25" spans="1:41" ht="15" customHeight="1" x14ac:dyDescent="0.3">
      <c r="B25" s="2355" t="s">
        <v>3364</v>
      </c>
      <c r="C25" s="2321">
        <v>0</v>
      </c>
      <c r="D25" s="2347"/>
      <c r="E25" s="2399"/>
      <c r="F25" s="2475">
        <f t="shared" si="18"/>
        <v>1</v>
      </c>
      <c r="G25" s="2399"/>
      <c r="H25" s="2475">
        <f t="shared" si="19"/>
        <v>1</v>
      </c>
      <c r="I25" s="2399"/>
      <c r="J25" s="2475">
        <f t="shared" si="20"/>
        <v>1</v>
      </c>
      <c r="K25" s="2398"/>
      <c r="L25" s="2398"/>
      <c r="M25" s="2476">
        <f t="shared" si="21"/>
        <v>0</v>
      </c>
      <c r="N25" s="2398"/>
      <c r="O25" s="2398"/>
      <c r="P25" s="2476">
        <f t="shared" si="22"/>
        <v>0</v>
      </c>
      <c r="Q25" s="2398"/>
      <c r="R25" s="2398"/>
      <c r="S25" s="2476">
        <f t="shared" si="23"/>
        <v>0</v>
      </c>
      <c r="T25" s="2321"/>
      <c r="U25" s="2321"/>
      <c r="V25" s="2321"/>
      <c r="W25" s="2321"/>
      <c r="Y25" s="2321"/>
      <c r="Z25" s="2347"/>
      <c r="AA25" s="2399"/>
      <c r="AB25" s="2475">
        <f t="shared" si="24"/>
        <v>1</v>
      </c>
      <c r="AC25" s="2399"/>
      <c r="AD25" s="2475">
        <f t="shared" si="25"/>
        <v>1</v>
      </c>
      <c r="AE25" s="2399"/>
      <c r="AF25" s="2475">
        <f t="shared" si="26"/>
        <v>1</v>
      </c>
      <c r="AG25" s="2398"/>
      <c r="AH25" s="2398"/>
      <c r="AI25" s="2476">
        <f t="shared" si="27"/>
        <v>0</v>
      </c>
      <c r="AJ25" s="2398"/>
      <c r="AK25" s="2398"/>
      <c r="AL25" s="2476">
        <f t="shared" si="28"/>
        <v>0</v>
      </c>
      <c r="AM25" s="2398"/>
      <c r="AN25" s="2398"/>
      <c r="AO25" s="2476">
        <f t="shared" si="29"/>
        <v>0</v>
      </c>
    </row>
    <row r="26" spans="1:41" ht="15" customHeight="1" x14ac:dyDescent="0.3">
      <c r="B26" s="2355" t="s">
        <v>3362</v>
      </c>
      <c r="C26" s="2321">
        <v>20101992.045871709</v>
      </c>
      <c r="D26" s="2347">
        <v>7.3527660827958701E-3</v>
      </c>
      <c r="E26" s="2399">
        <v>0.57164983494626864</v>
      </c>
      <c r="F26" s="2475">
        <f t="shared" si="18"/>
        <v>0.42835016505373136</v>
      </c>
      <c r="G26" s="2399">
        <v>0.57164983494626864</v>
      </c>
      <c r="H26" s="2475">
        <f t="shared" si="19"/>
        <v>0.42835016505373136</v>
      </c>
      <c r="I26" s="2399">
        <v>0.57164983494626864</v>
      </c>
      <c r="J26" s="2475">
        <f t="shared" si="20"/>
        <v>0.42835016505373136</v>
      </c>
      <c r="K26" s="2398">
        <v>2.8824503196415625</v>
      </c>
      <c r="L26" s="2398">
        <v>7.7086447141346923E-2</v>
      </c>
      <c r="M26" s="2476">
        <f t="shared" si="21"/>
        <v>1.6807722418203201</v>
      </c>
      <c r="N26" s="2398">
        <v>3.1570160588391487</v>
      </c>
      <c r="O26" s="2398">
        <v>7.7086447141346923E-2</v>
      </c>
      <c r="P26" s="2476">
        <f t="shared" si="22"/>
        <v>1.8377277013145206</v>
      </c>
      <c r="Q26" s="2398">
        <v>2.6502355542848028</v>
      </c>
      <c r="R26" s="2398">
        <v>7.7086447141346923E-2</v>
      </c>
      <c r="S26" s="2476">
        <f t="shared" si="23"/>
        <v>1.5480267095320419</v>
      </c>
      <c r="T26" s="2321">
        <v>631017.00594800967</v>
      </c>
      <c r="U26" s="2321">
        <v>-773695.72300205124</v>
      </c>
      <c r="V26" s="2321">
        <v>-89117.337756286419</v>
      </c>
      <c r="W26" s="2321">
        <v>113244.17969673073</v>
      </c>
      <c r="Y26" s="2321">
        <v>19261540.551945843</v>
      </c>
      <c r="Z26" s="2347">
        <v>5.3389283748789539E-6</v>
      </c>
      <c r="AA26" s="2399">
        <v>0.58178454956394199</v>
      </c>
      <c r="AB26" s="2475">
        <f t="shared" si="24"/>
        <v>0.41821545043605801</v>
      </c>
      <c r="AC26" s="2399">
        <v>0.58178454956394199</v>
      </c>
      <c r="AD26" s="2475">
        <f t="shared" si="25"/>
        <v>0.41821545043605801</v>
      </c>
      <c r="AE26" s="2399">
        <v>0.58178454956394199</v>
      </c>
      <c r="AF26" s="2475">
        <f t="shared" si="26"/>
        <v>0.41821545043605801</v>
      </c>
      <c r="AG26" s="2398">
        <v>3.7032177686667818</v>
      </c>
      <c r="AH26" s="2398">
        <v>8.9253920628273684E-2</v>
      </c>
      <c r="AI26" s="2476">
        <f t="shared" si="27"/>
        <v>2.1918022500997276</v>
      </c>
      <c r="AJ26" s="2398">
        <v>4.0559651229351701</v>
      </c>
      <c r="AK26" s="2398">
        <v>8.9253920628273684E-2</v>
      </c>
      <c r="AL26" s="2476">
        <f t="shared" si="28"/>
        <v>2.3970252107126342</v>
      </c>
      <c r="AM26" s="2398">
        <v>3.3807372978833374</v>
      </c>
      <c r="AN26" s="2398">
        <v>8.9253920628273684E-2</v>
      </c>
      <c r="AO26" s="2476">
        <f t="shared" si="29"/>
        <v>2.0041880946618136</v>
      </c>
    </row>
    <row r="27" spans="1:41" ht="15" customHeight="1" x14ac:dyDescent="0.3">
      <c r="B27" s="2402" t="s">
        <v>3278</v>
      </c>
      <c r="C27" s="2463">
        <f>+C28+C29+C30</f>
        <v>5016453.3475190932</v>
      </c>
      <c r="D27" s="2474">
        <f>+(C28*D28+C29*D29+C30*D30)/C27</f>
        <v>7.3527660827958719E-3</v>
      </c>
      <c r="E27" s="2475">
        <f>+(E28*$C28+E29*$C29+E30*$C30)/$C27</f>
        <v>0.57164983494626898</v>
      </c>
      <c r="F27" s="2475">
        <f t="shared" si="18"/>
        <v>0.42835016505373102</v>
      </c>
      <c r="G27" s="2475">
        <f>+(G28*$C28+G29*$C29+G30*$C30)/$C27</f>
        <v>0.57164983494626898</v>
      </c>
      <c r="H27" s="2475">
        <f t="shared" si="19"/>
        <v>0.42835016505373102</v>
      </c>
      <c r="I27" s="2475">
        <f>+(I28*$C28+I29*$C29+I30*$C30)/$C27</f>
        <v>0.57164983494626898</v>
      </c>
      <c r="J27" s="2475">
        <f t="shared" si="20"/>
        <v>0.42835016505373102</v>
      </c>
      <c r="K27" s="2479">
        <f>+(K28*E28*$C28+K29*E29*$C29+K30*E30*$C30)/($C27*E27)</f>
        <v>2.8824503196415625</v>
      </c>
      <c r="L27" s="2479">
        <f>+(L28*F28*$C28+L29*F29*$C29+L30*F30*$C30)/($C27*F27)</f>
        <v>7.7086447141346964E-2</v>
      </c>
      <c r="M27" s="2476">
        <f t="shared" si="21"/>
        <v>1.680772241820321</v>
      </c>
      <c r="N27" s="2479">
        <f>+(N28*G28*$C28+N29*G29*$C29+N30*G30*$C30)/($C27*G27)</f>
        <v>3.1570160588391487</v>
      </c>
      <c r="O27" s="2479">
        <f>+(O28*H28*$C28+O29*H29*$C29+O30*H30*$C30)/($C27*H27)</f>
        <v>0</v>
      </c>
      <c r="P27" s="2476">
        <f t="shared" si="22"/>
        <v>1.80470770895812</v>
      </c>
      <c r="Q27" s="2479">
        <f>+(Q28*I28*$C28+Q29*I29*$C29+Q30*I30*$C30)/($C27*I27)</f>
        <v>2.6502355542848024</v>
      </c>
      <c r="R27" s="2479">
        <f>+(R28*J28*$C28+R29*J29*$C29+R30*J30*$C30)/($C27*J27)</f>
        <v>0</v>
      </c>
      <c r="S27" s="2476">
        <f t="shared" si="23"/>
        <v>1.5150067171756409</v>
      </c>
      <c r="T27" s="2463">
        <f>+T28+T29+T30</f>
        <v>157470.33252256477</v>
      </c>
      <c r="U27" s="2463">
        <f>+U28+U29+U30</f>
        <v>-193075.81511116552</v>
      </c>
      <c r="V27" s="2463">
        <f>+V28+V29+V30</f>
        <v>-22239.237100948067</v>
      </c>
      <c r="W27" s="2463">
        <f>+W28+W29+W30</f>
        <v>28260.091986425032</v>
      </c>
      <c r="Y27" s="2463">
        <f>+Y28+Y29+Y30</f>
        <v>5419340.3239746531</v>
      </c>
      <c r="Z27" s="2474">
        <f>+(Y28*Z28+Y29*Z29+Y30*Z30)/Y27</f>
        <v>5.338928374878953E-6</v>
      </c>
      <c r="AA27" s="2475">
        <f>+(AA28*$Y28+AA29*$Y29+AA30*$Y30)/$Y27</f>
        <v>0.58178454956394188</v>
      </c>
      <c r="AB27" s="2475">
        <f t="shared" si="24"/>
        <v>0.41821545043605812</v>
      </c>
      <c r="AC27" s="2475">
        <f>+(AC28*$Y28+AC29*$Y29+AC30*$Y30)/$Y27</f>
        <v>0.58178454956394188</v>
      </c>
      <c r="AD27" s="2475">
        <f t="shared" si="25"/>
        <v>0.41821545043605812</v>
      </c>
      <c r="AE27" s="2475">
        <f>+(AE28*$Y28+AE29*$Y29+AE30*$Y30)/$Y27</f>
        <v>0.58178454956394188</v>
      </c>
      <c r="AF27" s="2475">
        <f t="shared" si="26"/>
        <v>0.41821545043605812</v>
      </c>
      <c r="AG27" s="2479">
        <f>+(AG28*AA28*$Y28+AG29*AA29*$Y29+AG30*AA30*$Y30)/($Y27*AA27)</f>
        <v>3.7032177686667818</v>
      </c>
      <c r="AH27" s="2479">
        <f>+(AH28*AB28*$Y28+AH29*AB29*$Y29+AH30*AB30*$Y30)/($Y27*AB27)</f>
        <v>8.9253920628273614E-2</v>
      </c>
      <c r="AI27" s="2476">
        <f t="shared" si="27"/>
        <v>2.1918022500997272</v>
      </c>
      <c r="AJ27" s="2479">
        <f>+(AJ28*AC28*$Y28+AJ29*AC29*$Y29+AJ30*AC30*$Y30)/($Y27*AC27)</f>
        <v>4.0559651229351701</v>
      </c>
      <c r="AK27" s="2479">
        <f>+(AK28*AD28*$Y28+AK29*AD29*$Y29+AK30*AD30*$Y30)/($Y27*AD27)</f>
        <v>8.9253920628273614E-2</v>
      </c>
      <c r="AL27" s="2476">
        <f t="shared" si="28"/>
        <v>2.3970252107126337</v>
      </c>
      <c r="AM27" s="2479">
        <f>+(AM28*AE28*$Y28+AM29*AE29*$Y29+AM30*AE30*$Y30)/($Y27*AE27)</f>
        <v>3.3807372978833379</v>
      </c>
      <c r="AN27" s="2479">
        <f>+(AN28*AF28*$Y28+AN29*AF29*$Y29+AN30*AF30*$Y30)/($Y27*AF27)</f>
        <v>8.9253920628273614E-2</v>
      </c>
      <c r="AO27" s="2476">
        <f t="shared" si="29"/>
        <v>2.0041880946618131</v>
      </c>
    </row>
    <row r="28" spans="1:41" ht="15" customHeight="1" x14ac:dyDescent="0.3">
      <c r="B28" s="2355" t="s">
        <v>3365</v>
      </c>
      <c r="C28" s="2321">
        <v>0</v>
      </c>
      <c r="D28" s="2347"/>
      <c r="E28" s="2347"/>
      <c r="F28" s="2475">
        <f t="shared" si="18"/>
        <v>1</v>
      </c>
      <c r="G28" s="2347"/>
      <c r="H28" s="2475">
        <f t="shared" si="19"/>
        <v>1</v>
      </c>
      <c r="I28" s="2347"/>
      <c r="J28" s="2475">
        <f t="shared" si="20"/>
        <v>1</v>
      </c>
      <c r="K28" s="2398"/>
      <c r="L28" s="2398"/>
      <c r="M28" s="2476">
        <f t="shared" si="21"/>
        <v>0</v>
      </c>
      <c r="N28" s="2398"/>
      <c r="O28" s="2398"/>
      <c r="P28" s="2476">
        <f t="shared" si="22"/>
        <v>0</v>
      </c>
      <c r="Q28" s="2398"/>
      <c r="R28" s="2398"/>
      <c r="S28" s="2476">
        <f t="shared" si="23"/>
        <v>0</v>
      </c>
      <c r="T28" s="2321"/>
      <c r="U28" s="2321"/>
      <c r="V28" s="2321"/>
      <c r="W28" s="2321"/>
      <c r="Y28" s="2321"/>
      <c r="Z28" s="2347"/>
      <c r="AA28" s="2347"/>
      <c r="AB28" s="2475">
        <f t="shared" si="24"/>
        <v>1</v>
      </c>
      <c r="AC28" s="2347"/>
      <c r="AD28" s="2475">
        <f t="shared" si="25"/>
        <v>1</v>
      </c>
      <c r="AE28" s="2347"/>
      <c r="AF28" s="2475">
        <f t="shared" si="26"/>
        <v>1</v>
      </c>
      <c r="AG28" s="2398"/>
      <c r="AH28" s="2398"/>
      <c r="AI28" s="2476">
        <f t="shared" si="27"/>
        <v>0</v>
      </c>
      <c r="AJ28" s="2398"/>
      <c r="AK28" s="2398"/>
      <c r="AL28" s="2476">
        <f t="shared" si="28"/>
        <v>0</v>
      </c>
      <c r="AM28" s="2398"/>
      <c r="AN28" s="2398"/>
      <c r="AO28" s="2476">
        <f t="shared" si="29"/>
        <v>0</v>
      </c>
    </row>
    <row r="29" spans="1:41" ht="15" customHeight="1" x14ac:dyDescent="0.3">
      <c r="B29" s="2355" t="s">
        <v>3364</v>
      </c>
      <c r="C29" s="2321">
        <v>0</v>
      </c>
      <c r="D29" s="2347"/>
      <c r="E29" s="2399"/>
      <c r="F29" s="2475">
        <f t="shared" si="18"/>
        <v>1</v>
      </c>
      <c r="G29" s="2399"/>
      <c r="H29" s="2475">
        <f t="shared" si="19"/>
        <v>1</v>
      </c>
      <c r="I29" s="2399"/>
      <c r="J29" s="2475">
        <f t="shared" si="20"/>
        <v>1</v>
      </c>
      <c r="K29" s="2398"/>
      <c r="L29" s="2398"/>
      <c r="M29" s="2476">
        <f t="shared" si="21"/>
        <v>0</v>
      </c>
      <c r="N29" s="2398"/>
      <c r="O29" s="2398"/>
      <c r="P29" s="2476">
        <f t="shared" si="22"/>
        <v>0</v>
      </c>
      <c r="Q29" s="2398"/>
      <c r="R29" s="2398"/>
      <c r="S29" s="2476">
        <f t="shared" si="23"/>
        <v>0</v>
      </c>
      <c r="T29" s="2321"/>
      <c r="U29" s="2321"/>
      <c r="V29" s="2321"/>
      <c r="W29" s="2321"/>
      <c r="Y29" s="2321"/>
      <c r="Z29" s="2347"/>
      <c r="AA29" s="2399"/>
      <c r="AB29" s="2475">
        <f t="shared" si="24"/>
        <v>1</v>
      </c>
      <c r="AC29" s="2399"/>
      <c r="AD29" s="2475">
        <f t="shared" si="25"/>
        <v>1</v>
      </c>
      <c r="AE29" s="2399"/>
      <c r="AF29" s="2475">
        <f t="shared" si="26"/>
        <v>1</v>
      </c>
      <c r="AG29" s="2398"/>
      <c r="AH29" s="2398"/>
      <c r="AI29" s="2476">
        <f t="shared" si="27"/>
        <v>0</v>
      </c>
      <c r="AJ29" s="2398"/>
      <c r="AK29" s="2398"/>
      <c r="AL29" s="2476">
        <f t="shared" si="28"/>
        <v>0</v>
      </c>
      <c r="AM29" s="2398"/>
      <c r="AN29" s="2398"/>
      <c r="AO29" s="2476">
        <f t="shared" si="29"/>
        <v>0</v>
      </c>
    </row>
    <row r="30" spans="1:41" ht="15" customHeight="1" x14ac:dyDescent="0.3">
      <c r="B30" s="2355" t="s">
        <v>3362</v>
      </c>
      <c r="C30" s="2321">
        <v>5016453.3475190932</v>
      </c>
      <c r="D30" s="2347">
        <v>7.352766082795871E-3</v>
      </c>
      <c r="E30" s="2399">
        <v>0.57164983494626898</v>
      </c>
      <c r="F30" s="2475">
        <f t="shared" si="18"/>
        <v>0.42835016505373102</v>
      </c>
      <c r="G30" s="2399">
        <v>0.57164983494626898</v>
      </c>
      <c r="H30" s="2475">
        <f t="shared" si="19"/>
        <v>0.42835016505373102</v>
      </c>
      <c r="I30" s="2399">
        <v>0.57164983494626898</v>
      </c>
      <c r="J30" s="2475">
        <f t="shared" si="20"/>
        <v>0.42835016505373102</v>
      </c>
      <c r="K30" s="2398">
        <v>2.8824503196415625</v>
      </c>
      <c r="L30" s="2398">
        <v>7.7086447141346964E-2</v>
      </c>
      <c r="M30" s="2476">
        <f t="shared" si="21"/>
        <v>1.680772241820321</v>
      </c>
      <c r="N30" s="2398">
        <v>3.1570160588391487</v>
      </c>
      <c r="O30" s="2398">
        <v>0</v>
      </c>
      <c r="P30" s="2476">
        <f t="shared" si="22"/>
        <v>1.80470770895812</v>
      </c>
      <c r="Q30" s="2398">
        <v>2.6502355542848028</v>
      </c>
      <c r="R30" s="2398">
        <v>0</v>
      </c>
      <c r="S30" s="2476">
        <f t="shared" si="23"/>
        <v>1.5150067171756412</v>
      </c>
      <c r="T30" s="2321">
        <v>157470.33252256477</v>
      </c>
      <c r="U30" s="2321">
        <v>-193075.81511116552</v>
      </c>
      <c r="V30" s="2321">
        <v>-22239.237100948067</v>
      </c>
      <c r="W30" s="2321">
        <v>28260.091986425032</v>
      </c>
      <c r="Y30" s="2321">
        <v>5419340.3239746531</v>
      </c>
      <c r="Z30" s="2347">
        <v>5.338928374878953E-6</v>
      </c>
      <c r="AA30" s="2399">
        <v>0.58178454956394188</v>
      </c>
      <c r="AB30" s="2475">
        <f t="shared" si="24"/>
        <v>0.41821545043605812</v>
      </c>
      <c r="AC30" s="2399">
        <v>0.58178454956394188</v>
      </c>
      <c r="AD30" s="2475">
        <f t="shared" si="25"/>
        <v>0.41821545043605812</v>
      </c>
      <c r="AE30" s="2399">
        <v>0.58178454956394188</v>
      </c>
      <c r="AF30" s="2475">
        <f t="shared" si="26"/>
        <v>0.41821545043605812</v>
      </c>
      <c r="AG30" s="2398">
        <v>3.7032177686667818</v>
      </c>
      <c r="AH30" s="2398">
        <v>8.9253920628273614E-2</v>
      </c>
      <c r="AI30" s="2476">
        <f t="shared" si="27"/>
        <v>2.1918022500997272</v>
      </c>
      <c r="AJ30" s="2398">
        <v>4.0559651229351701</v>
      </c>
      <c r="AK30" s="2398">
        <v>8.9253920628273614E-2</v>
      </c>
      <c r="AL30" s="2476">
        <f t="shared" si="28"/>
        <v>2.3970252107126337</v>
      </c>
      <c r="AM30" s="2398">
        <v>3.3807372978833374</v>
      </c>
      <c r="AN30" s="2398">
        <v>8.9253920628273614E-2</v>
      </c>
      <c r="AO30" s="2476">
        <f t="shared" si="29"/>
        <v>2.0041880946618131</v>
      </c>
    </row>
    <row r="31" spans="1:41" ht="15" customHeight="1" x14ac:dyDescent="0.3">
      <c r="A31" s="2389"/>
      <c r="B31" s="2402" t="s">
        <v>3366</v>
      </c>
      <c r="C31" s="2463">
        <f>+C32+C33+C34</f>
        <v>8508316.483671857</v>
      </c>
      <c r="D31" s="2474">
        <f>+(C32*D32+C33*D33+C34*D34)/C31</f>
        <v>4.7242929178106258E-3</v>
      </c>
      <c r="E31" s="2475">
        <f>+(E32*$C32+E33*$C33+E34*$C34)/$C31</f>
        <v>0.30538772519890633</v>
      </c>
      <c r="F31" s="2475">
        <f t="shared" si="18"/>
        <v>0.69461227480109367</v>
      </c>
      <c r="G31" s="2475">
        <f>+(G32*$C32+G33*$C33+G34*$C34)/$C31</f>
        <v>0.30538772519890633</v>
      </c>
      <c r="H31" s="2475">
        <f t="shared" si="19"/>
        <v>0.69461227480109367</v>
      </c>
      <c r="I31" s="2475">
        <f>+(I32*$C32+I33*$C33+I34*$C34)/$C31</f>
        <v>0.30538772519890633</v>
      </c>
      <c r="J31" s="2475">
        <f t="shared" si="20"/>
        <v>0.69461227480109367</v>
      </c>
      <c r="K31" s="2479">
        <f>+(K32*E32*$C32+K33*E33*$C33+K34*E34*$C34)/($C31*E31)</f>
        <v>0.59144508072620661</v>
      </c>
      <c r="L31" s="2479">
        <f>+(L32*F32*$C32+L33*F33*$C33+L34*F34*$C34)/($C31*F31)</f>
        <v>4.5417715922736059E-2</v>
      </c>
      <c r="M31" s="2476">
        <f t="shared" si="21"/>
        <v>0.21216777075642129</v>
      </c>
      <c r="N31" s="2479">
        <f>+(N32*G32*$C32+N33*G33*$C33+N34*G34*$C34)/($C31*G31)</f>
        <v>0.6033102661474371</v>
      </c>
      <c r="O31" s="2479">
        <f>+(O32*H32*$C32+O33*H33*$C33+O34*H34*$C34)/($C31*H31)</f>
        <v>0</v>
      </c>
      <c r="P31" s="2476">
        <f t="shared" si="22"/>
        <v>0.18424354976791257</v>
      </c>
      <c r="Q31" s="2479">
        <f>+(Q32*I32*$C32+Q33*I33*$C33+Q34*I34*$C34)/($C31*I31)</f>
        <v>0.58016235648013981</v>
      </c>
      <c r="R31" s="2479">
        <f>+(R32*J32*$C32+R33*J33*$C33+R34*J34*$C34)/($C31*J31)</f>
        <v>0</v>
      </c>
      <c r="S31" s="2476">
        <f t="shared" si="23"/>
        <v>0.17717446229150688</v>
      </c>
      <c r="T31" s="2463">
        <f>+T32+T33+T34</f>
        <v>35481.016492437324</v>
      </c>
      <c r="U31" s="2463">
        <f>+U32+U33+U34</f>
        <v>-37361.942974273203</v>
      </c>
      <c r="V31" s="2463">
        <f>+V32+V33+V34</f>
        <v>-39646.565537503433</v>
      </c>
      <c r="W31" s="2463">
        <f>+W32+W33+W34</f>
        <v>53893.172140912786</v>
      </c>
      <c r="Y31" s="2463">
        <f>+Y32+Y33+Y34</f>
        <v>7907084.9822860602</v>
      </c>
      <c r="Z31" s="2474">
        <f>+(Y32*Z32+Y33*Z33+Y34*Z34)/Y31</f>
        <v>0</v>
      </c>
      <c r="AA31" s="2475">
        <f>+(AA32*$Y32+AA33*$Y33+AA34*$Y34)/$Y31</f>
        <v>0.32860851022113174</v>
      </c>
      <c r="AB31" s="2475">
        <f t="shared" si="24"/>
        <v>0.6713914897788682</v>
      </c>
      <c r="AC31" s="2475">
        <f>+(AC32*$Y32+AC33*$Y33+AC34*$Y34)/$Y31</f>
        <v>0.32860851022113174</v>
      </c>
      <c r="AD31" s="2475">
        <f t="shared" si="25"/>
        <v>0.6713914897788682</v>
      </c>
      <c r="AE31" s="2475">
        <f>+(AE32*$Y32+AE33*$Y33+AE34*$Y34)/$Y31</f>
        <v>0.32860851022113174</v>
      </c>
      <c r="AF31" s="2475">
        <f t="shared" si="26"/>
        <v>0.6713914897788682</v>
      </c>
      <c r="AG31" s="2479">
        <f>+(AG32*AA32*$Y32+AG33*AA33*$Y33+AG34*AA34*$Y34)/($Y31*AA31)</f>
        <v>0.6265656811807685</v>
      </c>
      <c r="AH31" s="2479">
        <f>+(AH32*AB32*$Y32+AH33*AB33*$Y33+AH34*AB34*$Y34)/($Y31*AB31)</f>
        <v>5.1460298353366032E-2</v>
      </c>
      <c r="AI31" s="2476">
        <f t="shared" si="27"/>
        <v>0.24044482142443241</v>
      </c>
      <c r="AJ31" s="2479">
        <f>+(AJ32*AC32*$Y32+AJ33*AC33*$Y33+AJ34*AC34*$Y34)/($Y31*AC31)</f>
        <v>0.63913543317982335</v>
      </c>
      <c r="AK31" s="2479">
        <f>+(AK32*AD32*$Y32+AK33*AD33*$Y33+AK34*AD34*$Y34)/($Y31*AD31)</f>
        <v>5.1460298353366032E-2</v>
      </c>
      <c r="AL31" s="2476">
        <f t="shared" si="28"/>
        <v>0.24457534890269089</v>
      </c>
      <c r="AM31" s="2479">
        <f>+(AM32*AE32*$Y32+AM33*AE33*$Y33+AM34*AE34*$Y34)/($Y31*AE31)</f>
        <v>0.61414391961814685</v>
      </c>
      <c r="AN31" s="2479">
        <f>+(AN32*AF32*$Y32+AN33*AF33*$Y33+AN34*AF34*$Y34)/($Y31*AF31)</f>
        <v>5.1460298353366032E-2</v>
      </c>
      <c r="AO31" s="2476">
        <f t="shared" si="29"/>
        <v>0.23636292486301719</v>
      </c>
    </row>
    <row r="32" spans="1:41" ht="15" customHeight="1" x14ac:dyDescent="0.3">
      <c r="B32" s="2355" t="s">
        <v>3365</v>
      </c>
      <c r="C32" s="2321">
        <v>0</v>
      </c>
      <c r="D32" s="2347"/>
      <c r="E32" s="2399"/>
      <c r="F32" s="2475">
        <f t="shared" si="18"/>
        <v>1</v>
      </c>
      <c r="G32" s="2399"/>
      <c r="H32" s="2475">
        <f t="shared" si="19"/>
        <v>1</v>
      </c>
      <c r="I32" s="2399"/>
      <c r="J32" s="2475">
        <f t="shared" si="20"/>
        <v>1</v>
      </c>
      <c r="K32" s="2398"/>
      <c r="L32" s="2398"/>
      <c r="M32" s="2476">
        <f t="shared" si="21"/>
        <v>0</v>
      </c>
      <c r="N32" s="2398"/>
      <c r="O32" s="2398"/>
      <c r="P32" s="2476">
        <f t="shared" si="22"/>
        <v>0</v>
      </c>
      <c r="Q32" s="2398"/>
      <c r="R32" s="2398"/>
      <c r="S32" s="2476">
        <f t="shared" si="23"/>
        <v>0</v>
      </c>
      <c r="T32" s="2321"/>
      <c r="U32" s="2321"/>
      <c r="V32" s="2321"/>
      <c r="W32" s="2321"/>
      <c r="Y32" s="2321"/>
      <c r="Z32" s="2347"/>
      <c r="AA32" s="2399"/>
      <c r="AB32" s="2475">
        <f t="shared" si="24"/>
        <v>1</v>
      </c>
      <c r="AC32" s="2399"/>
      <c r="AD32" s="2475">
        <f t="shared" si="25"/>
        <v>1</v>
      </c>
      <c r="AE32" s="2399"/>
      <c r="AF32" s="2475">
        <f t="shared" si="26"/>
        <v>1</v>
      </c>
      <c r="AG32" s="2398"/>
      <c r="AH32" s="2398"/>
      <c r="AI32" s="2476">
        <f t="shared" si="27"/>
        <v>0</v>
      </c>
      <c r="AJ32" s="2398"/>
      <c r="AK32" s="2398"/>
      <c r="AL32" s="2476">
        <f t="shared" si="28"/>
        <v>0</v>
      </c>
      <c r="AM32" s="2398"/>
      <c r="AN32" s="2398"/>
      <c r="AO32" s="2476">
        <f t="shared" si="29"/>
        <v>0</v>
      </c>
    </row>
    <row r="33" spans="2:41" ht="15" customHeight="1" x14ac:dyDescent="0.3">
      <c r="B33" s="2355" t="s">
        <v>3364</v>
      </c>
      <c r="C33" s="2321">
        <v>0</v>
      </c>
      <c r="D33" s="2347"/>
      <c r="E33" s="2399"/>
      <c r="F33" s="2475">
        <f t="shared" si="18"/>
        <v>1</v>
      </c>
      <c r="G33" s="2399"/>
      <c r="H33" s="2475">
        <f t="shared" si="19"/>
        <v>1</v>
      </c>
      <c r="I33" s="2399"/>
      <c r="J33" s="2475">
        <f t="shared" si="20"/>
        <v>1</v>
      </c>
      <c r="K33" s="2398"/>
      <c r="L33" s="2398"/>
      <c r="M33" s="2476">
        <f t="shared" si="21"/>
        <v>0</v>
      </c>
      <c r="N33" s="2398"/>
      <c r="O33" s="2398"/>
      <c r="P33" s="2476">
        <f t="shared" si="22"/>
        <v>0</v>
      </c>
      <c r="Q33" s="2398"/>
      <c r="R33" s="2398"/>
      <c r="S33" s="2476">
        <f t="shared" si="23"/>
        <v>0</v>
      </c>
      <c r="T33" s="2321"/>
      <c r="U33" s="2321"/>
      <c r="V33" s="2321"/>
      <c r="W33" s="2321"/>
      <c r="Y33" s="2321"/>
      <c r="Z33" s="2347"/>
      <c r="AA33" s="2399"/>
      <c r="AB33" s="2475">
        <f t="shared" si="24"/>
        <v>1</v>
      </c>
      <c r="AC33" s="2399"/>
      <c r="AD33" s="2475">
        <f t="shared" si="25"/>
        <v>1</v>
      </c>
      <c r="AE33" s="2399"/>
      <c r="AF33" s="2475">
        <f t="shared" si="26"/>
        <v>1</v>
      </c>
      <c r="AG33" s="2398"/>
      <c r="AH33" s="2398"/>
      <c r="AI33" s="2476">
        <f t="shared" si="27"/>
        <v>0</v>
      </c>
      <c r="AJ33" s="2398"/>
      <c r="AK33" s="2398"/>
      <c r="AL33" s="2476">
        <f t="shared" si="28"/>
        <v>0</v>
      </c>
      <c r="AM33" s="2398"/>
      <c r="AN33" s="2398"/>
      <c r="AO33" s="2476">
        <f t="shared" si="29"/>
        <v>0</v>
      </c>
    </row>
    <row r="34" spans="2:41" ht="15" customHeight="1" x14ac:dyDescent="0.3">
      <c r="B34" s="2355" t="s">
        <v>3362</v>
      </c>
      <c r="C34" s="2321">
        <v>8508316.483671857</v>
      </c>
      <c r="D34" s="2347">
        <v>4.7242929178106258E-3</v>
      </c>
      <c r="E34" s="2399">
        <v>0.30538772519890633</v>
      </c>
      <c r="F34" s="2475">
        <f t="shared" si="18"/>
        <v>0.69461227480109367</v>
      </c>
      <c r="G34" s="2399">
        <v>0.30538772519890633</v>
      </c>
      <c r="H34" s="2475">
        <f t="shared" si="19"/>
        <v>0.69461227480109367</v>
      </c>
      <c r="I34" s="2399">
        <v>0.30538772519890633</v>
      </c>
      <c r="J34" s="2475">
        <f t="shared" si="20"/>
        <v>0.69461227480109367</v>
      </c>
      <c r="K34" s="2398">
        <v>0.59144508072620661</v>
      </c>
      <c r="L34" s="2398">
        <v>4.5417715922736059E-2</v>
      </c>
      <c r="M34" s="2476">
        <f t="shared" si="21"/>
        <v>0.21216777075642129</v>
      </c>
      <c r="N34" s="2398">
        <v>0.6033102661474371</v>
      </c>
      <c r="O34" s="2398">
        <v>0</v>
      </c>
      <c r="P34" s="2476">
        <f t="shared" si="22"/>
        <v>0.18424354976791257</v>
      </c>
      <c r="Q34" s="2398">
        <v>0.58016235648013981</v>
      </c>
      <c r="R34" s="2398">
        <v>0</v>
      </c>
      <c r="S34" s="2476">
        <f t="shared" si="23"/>
        <v>0.17717446229150688</v>
      </c>
      <c r="T34" s="2321">
        <v>35481.016492437324</v>
      </c>
      <c r="U34" s="2321">
        <v>-37361.942974273203</v>
      </c>
      <c r="V34" s="2321">
        <v>-39646.565537503433</v>
      </c>
      <c r="W34" s="2321">
        <v>53893.172140912786</v>
      </c>
      <c r="Y34" s="2321">
        <v>7907084.9822860602</v>
      </c>
      <c r="Z34" s="2347">
        <v>0</v>
      </c>
      <c r="AA34" s="2399">
        <v>0.32860851022113174</v>
      </c>
      <c r="AB34" s="2475">
        <f t="shared" si="24"/>
        <v>0.6713914897788682</v>
      </c>
      <c r="AC34" s="2399">
        <v>0.32860851022113174</v>
      </c>
      <c r="AD34" s="2475">
        <f t="shared" si="25"/>
        <v>0.6713914897788682</v>
      </c>
      <c r="AE34" s="2399">
        <v>0.32860851022113174</v>
      </c>
      <c r="AF34" s="2475">
        <f t="shared" si="26"/>
        <v>0.6713914897788682</v>
      </c>
      <c r="AG34" s="2398">
        <v>0.6265656811807685</v>
      </c>
      <c r="AH34" s="2398">
        <v>5.1460298353366032E-2</v>
      </c>
      <c r="AI34" s="2476">
        <f t="shared" si="27"/>
        <v>0.24044482142443241</v>
      </c>
      <c r="AJ34" s="2398">
        <v>0.63913543317982335</v>
      </c>
      <c r="AK34" s="2398">
        <v>5.1460298353366032E-2</v>
      </c>
      <c r="AL34" s="2476">
        <f t="shared" si="28"/>
        <v>0.24457534890269089</v>
      </c>
      <c r="AM34" s="2398">
        <v>0.61414391961814685</v>
      </c>
      <c r="AN34" s="2398">
        <v>5.1460298353366032E-2</v>
      </c>
      <c r="AO34" s="2476">
        <f t="shared" si="29"/>
        <v>0.23636292486301719</v>
      </c>
    </row>
    <row r="35" spans="2:41" ht="15" customHeight="1" x14ac:dyDescent="0.3">
      <c r="B35" s="2402" t="s">
        <v>3275</v>
      </c>
      <c r="C35" s="2463">
        <f>+C36+C37</f>
        <v>481941.34571191145</v>
      </c>
      <c r="D35" s="2474">
        <f>+(C36*D36+C37*D37)/C35</f>
        <v>2.24926270595444E-3</v>
      </c>
      <c r="E35" s="2475">
        <f>+(E36*$C36+E37*$C37)/$C35</f>
        <v>0</v>
      </c>
      <c r="F35" s="2475">
        <f t="shared" si="18"/>
        <v>1</v>
      </c>
      <c r="G35" s="2475">
        <f>+(G36*$C36+G37*$C37)/$C35</f>
        <v>0</v>
      </c>
      <c r="H35" s="2475">
        <f t="shared" si="19"/>
        <v>1</v>
      </c>
      <c r="I35" s="2475">
        <f>+(I36*$C36+I37*$C37)/$C35</f>
        <v>0</v>
      </c>
      <c r="J35" s="2475">
        <f t="shared" si="20"/>
        <v>1</v>
      </c>
      <c r="K35" s="2479" t="e">
        <f>+(K36*$C36*E36+K37*$C37*E37)/($C35*E35)</f>
        <v>#DIV/0!</v>
      </c>
      <c r="L35" s="2479">
        <f>+(L36*$C36*F36+L37*$C37*F37)/($C35*F35)</f>
        <v>2.6621179451606527E-3</v>
      </c>
      <c r="M35" s="2476" t="e">
        <f t="shared" si="21"/>
        <v>#DIV/0!</v>
      </c>
      <c r="N35" s="2479" t="e">
        <f>+(N36*$C36*G36+N37*$C37*G37)/($C35*G35)</f>
        <v>#DIV/0!</v>
      </c>
      <c r="O35" s="2479">
        <f>+(O36*$C36*H36+O37*$C37*H37)/($C35*H35)</f>
        <v>2.6621179451606527E-3</v>
      </c>
      <c r="P35" s="2476" t="e">
        <f t="shared" si="22"/>
        <v>#DIV/0!</v>
      </c>
      <c r="Q35" s="2479" t="e">
        <f>+(Q36*$C36*I36+Q37*$C37*I37)/($C35*I35)</f>
        <v>#DIV/0!</v>
      </c>
      <c r="R35" s="2479">
        <f>+(R36*$C36*J36+R37*$C37*J37)/($C35*J35)</f>
        <v>2.6621179451606527E-3</v>
      </c>
      <c r="S35" s="2476" t="e">
        <f t="shared" si="23"/>
        <v>#DIV/0!</v>
      </c>
      <c r="T35" s="2463">
        <f>+T36+T37</f>
        <v>25.658826537169823</v>
      </c>
      <c r="U35" s="2463">
        <f>+U36+U37</f>
        <v>-26.168795664737527</v>
      </c>
      <c r="V35" s="2463">
        <f>+V36+V37</f>
        <v>-1327.2338548940932</v>
      </c>
      <c r="W35" s="2463">
        <f>+W36+W37</f>
        <v>1351.0334426873903</v>
      </c>
      <c r="Y35" s="2463">
        <f>+Y36+Y37</f>
        <v>677776.63194904278</v>
      </c>
      <c r="Z35" s="2474">
        <f>+(Y36*Z36+Y37*Z37)/Y35</f>
        <v>0</v>
      </c>
      <c r="AA35" s="2475">
        <f>+(AA36*$Y36+AA37*$Y37)/$Y35</f>
        <v>0</v>
      </c>
      <c r="AB35" s="2475">
        <f t="shared" si="24"/>
        <v>1</v>
      </c>
      <c r="AC35" s="2475">
        <f>+(AC36*$Y36+AC37*$Y37)/$Y35</f>
        <v>0</v>
      </c>
      <c r="AD35" s="2475">
        <f t="shared" si="25"/>
        <v>1</v>
      </c>
      <c r="AE35" s="2475">
        <f>+(AE36*$Y36+AE37*$Y37)/$Y35</f>
        <v>0</v>
      </c>
      <c r="AF35" s="2475">
        <f t="shared" si="26"/>
        <v>1</v>
      </c>
      <c r="AG35" s="2479" t="e">
        <f>+(AG36*$Y36*AA36+AG37*$Y37*AA37)/($Y35*AA35)</f>
        <v>#DIV/0!</v>
      </c>
      <c r="AH35" s="2479">
        <f>+(AH36*$Y36*AB36+AH37*$Y37*AB37)/($Y35*AB35)</f>
        <v>2.7286945507741505E-3</v>
      </c>
      <c r="AI35" s="2476" t="e">
        <f t="shared" si="27"/>
        <v>#DIV/0!</v>
      </c>
      <c r="AJ35" s="2479" t="e">
        <f>+(AJ36*$Y36*AC36+AJ37*$Y37*AC37)/($Y35*AC35)</f>
        <v>#DIV/0!</v>
      </c>
      <c r="AK35" s="2479">
        <f>+(AK36*$Y36*AD36+AK37*$Y37*AD37)/($Y35*AD35)</f>
        <v>2.7286945507741505E-3</v>
      </c>
      <c r="AL35" s="2476" t="e">
        <f t="shared" si="28"/>
        <v>#DIV/0!</v>
      </c>
      <c r="AM35" s="2479" t="e">
        <f>+(AM36*$Y36*AE36+AM37*$Y37*AE37)/($Y35*AE35)</f>
        <v>#DIV/0!</v>
      </c>
      <c r="AN35" s="2479">
        <f>+(AN36*$Y36*AF36+AN37*$Y37*AF37)/($Y35*AF35)</f>
        <v>2.7286945507741505E-3</v>
      </c>
      <c r="AO35" s="2476" t="e">
        <f t="shared" si="29"/>
        <v>#DIV/0!</v>
      </c>
    </row>
    <row r="36" spans="2:41" ht="15" customHeight="1" x14ac:dyDescent="0.3">
      <c r="B36" s="2355" t="s">
        <v>3363</v>
      </c>
      <c r="C36" s="2321">
        <v>0</v>
      </c>
      <c r="D36" s="2347"/>
      <c r="E36" s="2399"/>
      <c r="F36" s="2475">
        <f t="shared" si="18"/>
        <v>1</v>
      </c>
      <c r="G36" s="2399"/>
      <c r="H36" s="2475">
        <f t="shared" si="19"/>
        <v>1</v>
      </c>
      <c r="I36" s="2399"/>
      <c r="J36" s="2475">
        <f t="shared" si="20"/>
        <v>1</v>
      </c>
      <c r="K36" s="2398"/>
      <c r="L36" s="2398"/>
      <c r="M36" s="2476">
        <f t="shared" si="21"/>
        <v>0</v>
      </c>
      <c r="N36" s="2398"/>
      <c r="O36" s="2398"/>
      <c r="P36" s="2476">
        <f t="shared" si="22"/>
        <v>0</v>
      </c>
      <c r="Q36" s="2398"/>
      <c r="R36" s="2398"/>
      <c r="S36" s="2476">
        <f t="shared" si="23"/>
        <v>0</v>
      </c>
      <c r="T36" s="2321"/>
      <c r="U36" s="2321"/>
      <c r="V36" s="2321"/>
      <c r="W36" s="2321"/>
      <c r="Y36" s="2321"/>
      <c r="Z36" s="2347"/>
      <c r="AA36" s="2399"/>
      <c r="AB36" s="2475">
        <f t="shared" si="24"/>
        <v>1</v>
      </c>
      <c r="AC36" s="2399"/>
      <c r="AD36" s="2475">
        <f t="shared" si="25"/>
        <v>1</v>
      </c>
      <c r="AE36" s="2399"/>
      <c r="AF36" s="2475">
        <f t="shared" si="26"/>
        <v>1</v>
      </c>
      <c r="AG36" s="2398"/>
      <c r="AH36" s="2398"/>
      <c r="AI36" s="2476">
        <f t="shared" si="27"/>
        <v>0</v>
      </c>
      <c r="AJ36" s="2398"/>
      <c r="AK36" s="2398"/>
      <c r="AL36" s="2476">
        <f t="shared" si="28"/>
        <v>0</v>
      </c>
      <c r="AM36" s="2398"/>
      <c r="AN36" s="2398"/>
      <c r="AO36" s="2476">
        <f t="shared" si="29"/>
        <v>0</v>
      </c>
    </row>
    <row r="37" spans="2:41" ht="15" customHeight="1" x14ac:dyDescent="0.3">
      <c r="B37" s="2355" t="s">
        <v>3362</v>
      </c>
      <c r="C37" s="2321">
        <v>481941.34571191145</v>
      </c>
      <c r="D37" s="2347">
        <v>2.24926270595444E-3</v>
      </c>
      <c r="E37" s="2399">
        <v>0</v>
      </c>
      <c r="F37" s="2475">
        <f t="shared" si="18"/>
        <v>1</v>
      </c>
      <c r="G37" s="2399">
        <v>0</v>
      </c>
      <c r="H37" s="2475">
        <f t="shared" si="19"/>
        <v>1</v>
      </c>
      <c r="I37" s="2399">
        <v>0</v>
      </c>
      <c r="J37" s="2475">
        <f t="shared" si="20"/>
        <v>1</v>
      </c>
      <c r="K37" s="2398">
        <v>2.6621179451606527E-3</v>
      </c>
      <c r="L37" s="2398">
        <v>2.6621179451606527E-3</v>
      </c>
      <c r="M37" s="2476">
        <f t="shared" si="21"/>
        <v>2.6621179451606527E-3</v>
      </c>
      <c r="N37" s="2398">
        <v>2.6621179451606527E-3</v>
      </c>
      <c r="O37" s="2398">
        <v>2.6621179451606527E-3</v>
      </c>
      <c r="P37" s="2476">
        <f t="shared" si="22"/>
        <v>2.6621179451606527E-3</v>
      </c>
      <c r="Q37" s="2398">
        <v>2.6621179451606527E-3</v>
      </c>
      <c r="R37" s="2398">
        <v>2.6621179451606527E-3</v>
      </c>
      <c r="S37" s="2476">
        <f t="shared" si="23"/>
        <v>2.6621179451606527E-3</v>
      </c>
      <c r="T37" s="2321">
        <v>25.658826537169823</v>
      </c>
      <c r="U37" s="2321">
        <v>-26.168795664737527</v>
      </c>
      <c r="V37" s="2321">
        <v>-1327.2338548940932</v>
      </c>
      <c r="W37" s="2321">
        <v>1351.0334426873903</v>
      </c>
      <c r="Y37" s="2321">
        <v>677776.63194904278</v>
      </c>
      <c r="Z37" s="2347">
        <v>0</v>
      </c>
      <c r="AA37" s="2399">
        <v>0</v>
      </c>
      <c r="AB37" s="2475">
        <f t="shared" si="24"/>
        <v>1</v>
      </c>
      <c r="AC37" s="2399">
        <v>0</v>
      </c>
      <c r="AD37" s="2475">
        <f t="shared" si="25"/>
        <v>1</v>
      </c>
      <c r="AE37" s="2399">
        <v>0</v>
      </c>
      <c r="AF37" s="2475">
        <f t="shared" si="26"/>
        <v>1</v>
      </c>
      <c r="AG37" s="2398">
        <v>2.7286945507741505E-3</v>
      </c>
      <c r="AH37" s="2398">
        <v>2.7286945507741505E-3</v>
      </c>
      <c r="AI37" s="2476">
        <f t="shared" si="27"/>
        <v>2.7286945507741505E-3</v>
      </c>
      <c r="AJ37" s="2398">
        <v>2.7286945507741505E-3</v>
      </c>
      <c r="AK37" s="2398">
        <v>2.7286945507741505E-3</v>
      </c>
      <c r="AL37" s="2476">
        <f t="shared" si="28"/>
        <v>2.7286945507741505E-3</v>
      </c>
      <c r="AM37" s="2398">
        <v>2.7286945507741505E-3</v>
      </c>
      <c r="AN37" s="2398">
        <v>2.7286945507741505E-3</v>
      </c>
      <c r="AO37" s="2476">
        <f t="shared" si="29"/>
        <v>2.7286945507741505E-3</v>
      </c>
    </row>
    <row r="38" spans="2:41" ht="15" customHeight="1" x14ac:dyDescent="0.3">
      <c r="E38" s="2400"/>
      <c r="F38" s="2400"/>
      <c r="G38" s="2400"/>
      <c r="H38" s="2400"/>
      <c r="I38" s="2400"/>
      <c r="J38" s="2400"/>
      <c r="Z38" s="2401"/>
      <c r="AA38" s="2400"/>
      <c r="AB38" s="2400"/>
      <c r="AC38" s="2400"/>
      <c r="AD38" s="2400"/>
      <c r="AE38" s="2400"/>
      <c r="AF38" s="2400"/>
      <c r="AG38" s="2390"/>
      <c r="AH38" s="2390"/>
      <c r="AI38" s="2391"/>
      <c r="AJ38" s="2391"/>
      <c r="AK38" s="2390"/>
      <c r="AL38" s="2390"/>
      <c r="AM38" s="2390"/>
      <c r="AN38" s="2390"/>
      <c r="AO38" s="2390"/>
    </row>
    <row r="39" spans="2:41" x14ac:dyDescent="0.3">
      <c r="B39" s="2397" t="s">
        <v>3361</v>
      </c>
      <c r="C39" s="2477"/>
      <c r="D39" s="2477"/>
      <c r="E39" s="2480"/>
      <c r="F39" s="2480"/>
      <c r="G39" s="2480"/>
      <c r="H39" s="2480"/>
      <c r="I39" s="2480"/>
      <c r="J39" s="2480"/>
      <c r="K39" s="2477"/>
      <c r="L39" s="2477"/>
      <c r="M39" s="2477"/>
      <c r="N39" s="2477"/>
      <c r="O39" s="2477"/>
      <c r="P39" s="2477"/>
      <c r="Q39" s="2477"/>
      <c r="R39" s="2477"/>
      <c r="S39" s="2477"/>
      <c r="T39" s="2477"/>
      <c r="U39" s="2477"/>
      <c r="V39" s="2477"/>
      <c r="W39" s="2477"/>
      <c r="Y39" s="2477"/>
      <c r="Z39" s="2480"/>
      <c r="AA39" s="2480"/>
      <c r="AB39" s="2480"/>
      <c r="AC39" s="2480"/>
      <c r="AD39" s="2480"/>
      <c r="AE39" s="2480"/>
      <c r="AF39" s="2480"/>
      <c r="AG39" s="2477"/>
      <c r="AH39" s="2477"/>
      <c r="AI39" s="2477"/>
      <c r="AJ39" s="2477"/>
      <c r="AK39" s="2477"/>
      <c r="AL39" s="2477"/>
      <c r="AM39" s="2477"/>
      <c r="AN39" s="2477"/>
      <c r="AO39" s="2477"/>
    </row>
    <row r="40" spans="2:41" x14ac:dyDescent="0.3">
      <c r="B40" s="2355" t="s">
        <v>3360</v>
      </c>
      <c r="C40" s="2463">
        <f>+C19</f>
        <v>0</v>
      </c>
      <c r="D40" s="2474">
        <f>+D19</f>
        <v>0</v>
      </c>
      <c r="E40" s="2399"/>
      <c r="F40" s="2475">
        <f>100%-E40</f>
        <v>1</v>
      </c>
      <c r="G40" s="2399"/>
      <c r="H40" s="2475">
        <f>100%-G40</f>
        <v>1</v>
      </c>
      <c r="I40" s="2399"/>
      <c r="J40" s="2475">
        <f>100%-I40</f>
        <v>1</v>
      </c>
      <c r="K40" s="2398"/>
      <c r="L40" s="2398"/>
      <c r="M40" s="2476">
        <f>+E40*K40+F40*L40</f>
        <v>0</v>
      </c>
      <c r="N40" s="2398"/>
      <c r="O40" s="2398"/>
      <c r="P40" s="2476">
        <f>+G40*N40+H40*O40</f>
        <v>0</v>
      </c>
      <c r="Q40" s="2398"/>
      <c r="R40" s="2398"/>
      <c r="S40" s="2476">
        <f>+I40*Q40+J40*R40</f>
        <v>0</v>
      </c>
      <c r="T40" s="2321"/>
      <c r="U40" s="2321"/>
      <c r="V40" s="2321"/>
      <c r="W40" s="2321"/>
      <c r="Y40" s="2463">
        <f>+Y19</f>
        <v>0</v>
      </c>
      <c r="Z40" s="2474">
        <f>+Z19</f>
        <v>0</v>
      </c>
      <c r="AA40" s="2399"/>
      <c r="AB40" s="2475">
        <f>100%-AA40</f>
        <v>1</v>
      </c>
      <c r="AC40" s="2399"/>
      <c r="AD40" s="2475">
        <f>100%-AC40</f>
        <v>1</v>
      </c>
      <c r="AE40" s="2399"/>
      <c r="AF40" s="2475">
        <f>100%-AE40</f>
        <v>1</v>
      </c>
      <c r="AG40" s="2398"/>
      <c r="AH40" s="2398"/>
      <c r="AI40" s="2476">
        <f>+AA40*AG40+AB40*AH40</f>
        <v>0</v>
      </c>
      <c r="AJ40" s="2398"/>
      <c r="AK40" s="2398"/>
      <c r="AL40" s="2476">
        <f>+AC40*AJ40+AD40*AK40</f>
        <v>0</v>
      </c>
      <c r="AM40" s="2398"/>
      <c r="AN40" s="2398"/>
      <c r="AO40" s="2476">
        <f>+AE40*AM40+AF40*AN40</f>
        <v>0</v>
      </c>
    </row>
    <row r="41" spans="2:41" ht="15" customHeight="1" x14ac:dyDescent="0.3"/>
    <row r="42" spans="2:41" ht="15" customHeight="1" x14ac:dyDescent="0.3"/>
    <row r="43" spans="2:41" ht="15" customHeight="1" x14ac:dyDescent="0.3">
      <c r="C43" s="3330" t="s">
        <v>3359</v>
      </c>
      <c r="D43" s="3330"/>
      <c r="E43" s="3330"/>
      <c r="F43" s="3330" t="s">
        <v>3358</v>
      </c>
      <c r="G43" s="3330"/>
      <c r="H43" s="3330"/>
    </row>
    <row r="44" spans="2:41" ht="15" customHeight="1" x14ac:dyDescent="0.3">
      <c r="C44" s="3323" t="s">
        <v>3357</v>
      </c>
      <c r="D44" s="3324"/>
      <c r="E44" s="3327" t="s">
        <v>3356</v>
      </c>
      <c r="F44" s="3323" t="s">
        <v>3357</v>
      </c>
      <c r="G44" s="3324"/>
      <c r="H44" s="3327" t="s">
        <v>3356</v>
      </c>
    </row>
    <row r="45" spans="2:41" ht="15" customHeight="1" x14ac:dyDescent="0.3">
      <c r="B45" s="2397" t="s">
        <v>3355</v>
      </c>
      <c r="C45" s="3325"/>
      <c r="D45" s="3326"/>
      <c r="E45" s="3328"/>
      <c r="F45" s="3325"/>
      <c r="G45" s="3326"/>
      <c r="H45" s="3328"/>
    </row>
    <row r="46" spans="2:41" ht="30.75" customHeight="1" x14ac:dyDescent="0.3">
      <c r="B46" s="2396"/>
      <c r="C46" s="2395" t="s">
        <v>3354</v>
      </c>
      <c r="D46" s="2395" t="s">
        <v>3353</v>
      </c>
      <c r="E46" s="3329"/>
      <c r="F46" s="2395" t="s">
        <v>3354</v>
      </c>
      <c r="G46" s="2395" t="s">
        <v>3353</v>
      </c>
      <c r="H46" s="3329"/>
    </row>
    <row r="47" spans="2:41" ht="15" customHeight="1" x14ac:dyDescent="0.3">
      <c r="B47" s="2394" t="s">
        <v>3352</v>
      </c>
      <c r="C47" s="2552" t="s">
        <v>3600</v>
      </c>
      <c r="D47" s="2552" t="s">
        <v>3603</v>
      </c>
      <c r="E47" s="2552" t="s">
        <v>3604</v>
      </c>
      <c r="F47" s="2552" t="s">
        <v>3600</v>
      </c>
      <c r="G47" s="2552" t="s">
        <v>3603</v>
      </c>
      <c r="H47" s="2552" t="s">
        <v>3604</v>
      </c>
    </row>
    <row r="48" spans="2:41" ht="15" customHeight="1" x14ac:dyDescent="0.3">
      <c r="B48" s="2394" t="s">
        <v>3351</v>
      </c>
      <c r="C48" s="2552" t="s">
        <v>3600</v>
      </c>
      <c r="D48" s="2552" t="s">
        <v>3603</v>
      </c>
      <c r="E48" s="2552" t="s">
        <v>3604</v>
      </c>
      <c r="F48" s="2552" t="s">
        <v>3600</v>
      </c>
      <c r="G48" s="2552" t="s">
        <v>3603</v>
      </c>
      <c r="H48" s="2552" t="s">
        <v>3604</v>
      </c>
    </row>
    <row r="49" spans="2:8" ht="15" customHeight="1" x14ac:dyDescent="0.3">
      <c r="B49" s="2394" t="s">
        <v>3350</v>
      </c>
      <c r="C49" s="2552" t="s">
        <v>3600</v>
      </c>
      <c r="D49" s="2552" t="s">
        <v>3603</v>
      </c>
      <c r="E49" s="2552" t="s">
        <v>3604</v>
      </c>
      <c r="F49" s="2552" t="s">
        <v>3600</v>
      </c>
      <c r="G49" s="2552" t="s">
        <v>3603</v>
      </c>
      <c r="H49" s="2552" t="s">
        <v>3604</v>
      </c>
    </row>
    <row r="50" spans="2:8" ht="15" customHeight="1" x14ac:dyDescent="0.3">
      <c r="B50" s="2394" t="s">
        <v>3349</v>
      </c>
      <c r="C50" s="2552" t="s">
        <v>3600</v>
      </c>
      <c r="D50" s="2552" t="s">
        <v>3603</v>
      </c>
      <c r="E50" s="2552" t="s">
        <v>3604</v>
      </c>
      <c r="F50" s="2552" t="s">
        <v>3600</v>
      </c>
      <c r="G50" s="2552" t="s">
        <v>3603</v>
      </c>
      <c r="H50" s="2552" t="s">
        <v>3604</v>
      </c>
    </row>
    <row r="51" spans="2:8" ht="15" customHeight="1" x14ac:dyDescent="0.3"/>
    <row r="53" spans="2:8" x14ac:dyDescent="0.3">
      <c r="C53" s="2393"/>
      <c r="D53" s="2393"/>
      <c r="E53" s="2392"/>
      <c r="F53" s="2393"/>
      <c r="G53" s="2393"/>
      <c r="H53" s="2392"/>
    </row>
    <row r="54" spans="2:8" x14ac:dyDescent="0.3">
      <c r="E54" s="2388"/>
    </row>
  </sheetData>
  <sheetProtection algorithmName="SHA-512" hashValue="ZaGFy2KWo1mp+69as5wa6crwQlGmVgM71C1YHUU9SRdq/t3+eCImnvKzH+g3wjIrb99Ex3E2tIziaEZ54BFFMA==" saltValue="XdcwsaVr06gyl7vHLwY+QQ==" spinCount="100000" sheet="1" objects="1" scenarios="1"/>
  <mergeCells count="26">
    <mergeCell ref="C44:D45"/>
    <mergeCell ref="E44:E46"/>
    <mergeCell ref="F44:G45"/>
    <mergeCell ref="H44:H46"/>
    <mergeCell ref="AE3:AF3"/>
    <mergeCell ref="C43:E43"/>
    <mergeCell ref="F43:H43"/>
    <mergeCell ref="T3:U3"/>
    <mergeCell ref="V3:W3"/>
    <mergeCell ref="Y3:Y4"/>
    <mergeCell ref="C2:W2"/>
    <mergeCell ref="Y2:AO2"/>
    <mergeCell ref="C3:C4"/>
    <mergeCell ref="D3:D4"/>
    <mergeCell ref="E3:F3"/>
    <mergeCell ref="G3:H3"/>
    <mergeCell ref="I3:J3"/>
    <mergeCell ref="K3:M3"/>
    <mergeCell ref="N3:P3"/>
    <mergeCell ref="Q3:S3"/>
    <mergeCell ref="AG3:AI3"/>
    <mergeCell ref="AJ3:AL3"/>
    <mergeCell ref="AM3:AO3"/>
    <mergeCell ref="Z3:Z4"/>
    <mergeCell ref="AA3:AB3"/>
    <mergeCell ref="AC3:AD3"/>
  </mergeCells>
  <conditionalFormatting sqref="I8:I9 E8:E9 G8:G9 P8 S8 AE8:AE9 AA8:AA9 AC8:AC9 AL8 AO8 I12:I13 E12:E13 G12:G13 P12 S12 AE12:AE13 AA12:AA13 AC12:AC13 AL12 AO12 AA16:AA17 AO16 I16:I17 E16:E17 G16:G17 P16 S16 AE16:AE17 AC16:AC17 AL16 I25:I26 G25:G26 P25 S25 AC25:AC26 AL25 AO25 E25:E26 AE25:AE26 AA25:AA26 I29:I30 G29:G30 AE29:AE30 P29 S29 E29:E30 AC29:AC30 AL29 AO29 AA29:AA30 AE33:AE34 AC33:AC34 AL33 I33:I34 AO33 G33:G34 P33 S33 E33:E34 AA33:AA34">
    <cfRule type="cellIs" dxfId="796" priority="620" stopIfTrue="1" operator="lessThan">
      <formula>0</formula>
    </cfRule>
  </conditionalFormatting>
  <conditionalFormatting sqref="L29">
    <cfRule type="cellIs" dxfId="795" priority="520" stopIfTrue="1" operator="lessThan">
      <formula>0</formula>
    </cfRule>
  </conditionalFormatting>
  <conditionalFormatting sqref="E27 K27:M27">
    <cfRule type="cellIs" dxfId="794" priority="521" stopIfTrue="1" operator="lessThan">
      <formula>0</formula>
    </cfRule>
  </conditionalFormatting>
  <conditionalFormatting sqref="N27:O27">
    <cfRule type="cellIs" dxfId="793" priority="514" stopIfTrue="1" operator="lessThan">
      <formula>0</formula>
    </cfRule>
  </conditionalFormatting>
  <conditionalFormatting sqref="I27">
    <cfRule type="cellIs" dxfId="792" priority="515" stopIfTrue="1" operator="lessThan">
      <formula>0</formula>
    </cfRule>
  </conditionalFormatting>
  <conditionalFormatting sqref="Z31">
    <cfRule type="cellIs" dxfId="791" priority="344" stopIfTrue="1" operator="lessThan">
      <formula>0</formula>
    </cfRule>
  </conditionalFormatting>
  <conditionalFormatting sqref="AC23">
    <cfRule type="cellIs" dxfId="790" priority="378" stopIfTrue="1" operator="lessThan">
      <formula>0</formula>
    </cfRule>
  </conditionalFormatting>
  <conditionalFormatting sqref="AN13">
    <cfRule type="cellIs" dxfId="789" priority="424" stopIfTrue="1" operator="lessThan">
      <formula>0</formula>
    </cfRule>
  </conditionalFormatting>
  <conditionalFormatting sqref="AO13">
    <cfRule type="cellIs" dxfId="788" priority="423" stopIfTrue="1" operator="lessThan">
      <formula>0</formula>
    </cfRule>
  </conditionalFormatting>
  <conditionalFormatting sqref="AH33">
    <cfRule type="cellIs" dxfId="787" priority="346" stopIfTrue="1" operator="lessThan">
      <formula>0</formula>
    </cfRule>
  </conditionalFormatting>
  <conditionalFormatting sqref="AO10">
    <cfRule type="cellIs" dxfId="786" priority="422" stopIfTrue="1" operator="lessThan">
      <formula>0</formula>
    </cfRule>
  </conditionalFormatting>
  <conditionalFormatting sqref="I6">
    <cfRule type="cellIs" dxfId="785" priority="609" stopIfTrue="1" operator="lessThan">
      <formula>0</formula>
    </cfRule>
  </conditionalFormatting>
  <conditionalFormatting sqref="K9">
    <cfRule type="cellIs" dxfId="784" priority="614" stopIfTrue="1" operator="lessThan">
      <formula>0</formula>
    </cfRule>
  </conditionalFormatting>
  <conditionalFormatting sqref="L30">
    <cfRule type="cellIs" dxfId="783" priority="519" stopIfTrue="1" operator="lessThan">
      <formula>0</formula>
    </cfRule>
  </conditionalFormatting>
  <conditionalFormatting sqref="G27">
    <cfRule type="cellIs" dxfId="782" priority="516" stopIfTrue="1" operator="lessThan">
      <formula>0</formula>
    </cfRule>
  </conditionalFormatting>
  <conditionalFormatting sqref="M29">
    <cfRule type="cellIs" dxfId="781" priority="517" stopIfTrue="1" operator="lessThan">
      <formula>0</formula>
    </cfRule>
  </conditionalFormatting>
  <conditionalFormatting sqref="M30">
    <cfRule type="cellIs" dxfId="780" priority="518" stopIfTrue="1" operator="lessThan">
      <formula>0</formula>
    </cfRule>
  </conditionalFormatting>
  <conditionalFormatting sqref="AJ31:AK31">
    <cfRule type="cellIs" dxfId="779" priority="338" stopIfTrue="1" operator="lessThan">
      <formula>0</formula>
    </cfRule>
  </conditionalFormatting>
  <conditionalFormatting sqref="AK34">
    <cfRule type="cellIs" dxfId="778" priority="336" stopIfTrue="1" operator="lessThan">
      <formula>0</formula>
    </cfRule>
  </conditionalFormatting>
  <conditionalFormatting sqref="AL34">
    <cfRule type="cellIs" dxfId="777" priority="335" stopIfTrue="1" operator="lessThan">
      <formula>0</formula>
    </cfRule>
  </conditionalFormatting>
  <conditionalFormatting sqref="AK33">
    <cfRule type="cellIs" dxfId="776" priority="337" stopIfTrue="1" operator="lessThan">
      <formula>0</formula>
    </cfRule>
  </conditionalFormatting>
  <conditionalFormatting sqref="AL31">
    <cfRule type="cellIs" dxfId="775" priority="334" stopIfTrue="1" operator="lessThan">
      <formula>0</formula>
    </cfRule>
  </conditionalFormatting>
  <conditionalFormatting sqref="O29">
    <cfRule type="cellIs" dxfId="774" priority="513" stopIfTrue="1" operator="lessThan">
      <formula>0</formula>
    </cfRule>
  </conditionalFormatting>
  <conditionalFormatting sqref="AI33">
    <cfRule type="cellIs" dxfId="773" priority="341" stopIfTrue="1" operator="lessThan">
      <formula>0</formula>
    </cfRule>
  </conditionalFormatting>
  <conditionalFormatting sqref="Y14">
    <cfRule type="cellIs" dxfId="772" priority="419" stopIfTrue="1" operator="lessThan">
      <formula>0</formula>
    </cfRule>
  </conditionalFormatting>
  <conditionalFormatting sqref="Z18">
    <cfRule type="cellIs" dxfId="771" priority="397" stopIfTrue="1" operator="lessThan">
      <formula>0</formula>
    </cfRule>
  </conditionalFormatting>
  <conditionalFormatting sqref="E6 K6:M7">
    <cfRule type="cellIs" dxfId="770" priority="619" stopIfTrue="1" operator="lessThan">
      <formula>0</formula>
    </cfRule>
  </conditionalFormatting>
  <conditionalFormatting sqref="AI20">
    <cfRule type="cellIs" dxfId="769" priority="396" stopIfTrue="1" operator="lessThan">
      <formula>0</formula>
    </cfRule>
  </conditionalFormatting>
  <conditionalFormatting sqref="Y27">
    <cfRule type="cellIs" dxfId="768" priority="364" stopIfTrue="1" operator="lessThan">
      <formula>0</formula>
    </cfRule>
  </conditionalFormatting>
  <conditionalFormatting sqref="AH30">
    <cfRule type="cellIs" dxfId="767" priority="362" stopIfTrue="1" operator="lessThan">
      <formula>0</formula>
    </cfRule>
  </conditionalFormatting>
  <conditionalFormatting sqref="K8">
    <cfRule type="cellIs" dxfId="766" priority="618" stopIfTrue="1" operator="lessThan">
      <formula>0</formula>
    </cfRule>
  </conditionalFormatting>
  <conditionalFormatting sqref="Z27">
    <cfRule type="cellIs" dxfId="765" priority="363" stopIfTrue="1" operator="lessThan">
      <formula>0</formula>
    </cfRule>
  </conditionalFormatting>
  <conditionalFormatting sqref="Y5">
    <cfRule type="cellIs" dxfId="764" priority="388" stopIfTrue="1" operator="lessThan">
      <formula>0</formula>
    </cfRule>
  </conditionalFormatting>
  <conditionalFormatting sqref="AA18:AA19 AG18:AI19">
    <cfRule type="cellIs" dxfId="763" priority="399" stopIfTrue="1" operator="lessThan">
      <formula>0</formula>
    </cfRule>
  </conditionalFormatting>
  <conditionalFormatting sqref="Y18">
    <cfRule type="cellIs" dxfId="762" priority="398" stopIfTrue="1" operator="lessThan">
      <formula>0</formula>
    </cfRule>
  </conditionalFormatting>
  <conditionalFormatting sqref="AI30">
    <cfRule type="cellIs" dxfId="761" priority="361" stopIfTrue="1" operator="lessThan">
      <formula>0</formula>
    </cfRule>
  </conditionalFormatting>
  <conditionalFormatting sqref="AK16">
    <cfRule type="cellIs" dxfId="760" priority="410" stopIfTrue="1" operator="lessThan">
      <formula>0</formula>
    </cfRule>
  </conditionalFormatting>
  <conditionalFormatting sqref="AJ17">
    <cfRule type="cellIs" dxfId="759" priority="409" stopIfTrue="1" operator="lessThan">
      <formula>0</formula>
    </cfRule>
  </conditionalFormatting>
  <conditionalFormatting sqref="L8">
    <cfRule type="cellIs" dxfId="758" priority="617" stopIfTrue="1" operator="lessThan">
      <formula>0</formula>
    </cfRule>
  </conditionalFormatting>
  <conditionalFormatting sqref="C6">
    <cfRule type="cellIs" dxfId="757" priority="616" stopIfTrue="1" operator="lessThan">
      <formula>0</formula>
    </cfRule>
  </conditionalFormatting>
  <conditionalFormatting sqref="G6">
    <cfRule type="cellIs" dxfId="756" priority="610" stopIfTrue="1" operator="lessThan">
      <formula>0</formula>
    </cfRule>
  </conditionalFormatting>
  <conditionalFormatting sqref="AN16">
    <cfRule type="cellIs" dxfId="755" priority="404" stopIfTrue="1" operator="lessThan">
      <formula>0</formula>
    </cfRule>
  </conditionalFormatting>
  <conditionalFormatting sqref="AM17">
    <cfRule type="cellIs" dxfId="754" priority="403" stopIfTrue="1" operator="lessThan">
      <formula>0</formula>
    </cfRule>
  </conditionalFormatting>
  <conditionalFormatting sqref="AO14">
    <cfRule type="cellIs" dxfId="753" priority="400" stopIfTrue="1" operator="lessThan">
      <formula>0</formula>
    </cfRule>
  </conditionalFormatting>
  <conditionalFormatting sqref="AG9">
    <cfRule type="cellIs" dxfId="752" priority="461" stopIfTrue="1" operator="lessThan">
      <formula>0</formula>
    </cfRule>
  </conditionalFormatting>
  <conditionalFormatting sqref="P6">
    <cfRule type="cellIs" dxfId="751" priority="603" stopIfTrue="1" operator="lessThan">
      <formula>0</formula>
    </cfRule>
  </conditionalFormatting>
  <conditionalFormatting sqref="D6">
    <cfRule type="cellIs" dxfId="750" priority="615" stopIfTrue="1" operator="lessThan">
      <formula>0</formula>
    </cfRule>
  </conditionalFormatting>
  <conditionalFormatting sqref="P9">
    <cfRule type="cellIs" dxfId="749" priority="604" stopIfTrue="1" operator="lessThan">
      <formula>0</formula>
    </cfRule>
  </conditionalFormatting>
  <conditionalFormatting sqref="S6">
    <cfRule type="cellIs" dxfId="748" priority="597" stopIfTrue="1" operator="lessThan">
      <formula>0</formula>
    </cfRule>
  </conditionalFormatting>
  <conditionalFormatting sqref="L9">
    <cfRule type="cellIs" dxfId="747" priority="613" stopIfTrue="1" operator="lessThan">
      <formula>0</formula>
    </cfRule>
  </conditionalFormatting>
  <conditionalFormatting sqref="M9">
    <cfRule type="cellIs" dxfId="746" priority="612" stopIfTrue="1" operator="lessThan">
      <formula>0</formula>
    </cfRule>
  </conditionalFormatting>
  <conditionalFormatting sqref="M8">
    <cfRule type="cellIs" dxfId="745" priority="611" stopIfTrue="1" operator="lessThan">
      <formula>0</formula>
    </cfRule>
  </conditionalFormatting>
  <conditionalFormatting sqref="E10 K10:M10">
    <cfRule type="cellIs" dxfId="744" priority="596" stopIfTrue="1" operator="lessThan">
      <formula>0</formula>
    </cfRule>
  </conditionalFormatting>
  <conditionalFormatting sqref="L12">
    <cfRule type="cellIs" dxfId="743" priority="595" stopIfTrue="1" operator="lessThan">
      <formula>0</formula>
    </cfRule>
  </conditionalFormatting>
  <conditionalFormatting sqref="N6:O6">
    <cfRule type="cellIs" dxfId="742" priority="608" stopIfTrue="1" operator="lessThan">
      <formula>0</formula>
    </cfRule>
  </conditionalFormatting>
  <conditionalFormatting sqref="N14:O14">
    <cfRule type="cellIs" dxfId="741" priority="564" stopIfTrue="1" operator="lessThan">
      <formula>0</formula>
    </cfRule>
  </conditionalFormatting>
  <conditionalFormatting sqref="O8">
    <cfRule type="cellIs" dxfId="740" priority="607" stopIfTrue="1" operator="lessThan">
      <formula>0</formula>
    </cfRule>
  </conditionalFormatting>
  <conditionalFormatting sqref="N9">
    <cfRule type="cellIs" dxfId="739" priority="606" stopIfTrue="1" operator="lessThan">
      <formula>0</formula>
    </cfRule>
  </conditionalFormatting>
  <conditionalFormatting sqref="O9">
    <cfRule type="cellIs" dxfId="738" priority="605" stopIfTrue="1" operator="lessThan">
      <formula>0</formula>
    </cfRule>
  </conditionalFormatting>
  <conditionalFormatting sqref="Q6:R6">
    <cfRule type="cellIs" dxfId="737" priority="602" stopIfTrue="1" operator="lessThan">
      <formula>0</formula>
    </cfRule>
  </conditionalFormatting>
  <conditionalFormatting sqref="P14">
    <cfRule type="cellIs" dxfId="736" priority="559" stopIfTrue="1" operator="lessThan">
      <formula>0</formula>
    </cfRule>
  </conditionalFormatting>
  <conditionalFormatting sqref="R8">
    <cfRule type="cellIs" dxfId="735" priority="601" stopIfTrue="1" operator="lessThan">
      <formula>0</formula>
    </cfRule>
  </conditionalFormatting>
  <conditionalFormatting sqref="Q9">
    <cfRule type="cellIs" dxfId="734" priority="600" stopIfTrue="1" operator="lessThan">
      <formula>0</formula>
    </cfRule>
  </conditionalFormatting>
  <conditionalFormatting sqref="R9">
    <cfRule type="cellIs" dxfId="733" priority="599" stopIfTrue="1" operator="lessThan">
      <formula>0</formula>
    </cfRule>
  </conditionalFormatting>
  <conditionalFormatting sqref="S9">
    <cfRule type="cellIs" dxfId="732" priority="598" stopIfTrue="1" operator="lessThan">
      <formula>0</formula>
    </cfRule>
  </conditionalFormatting>
  <conditionalFormatting sqref="Q10:R10">
    <cfRule type="cellIs" dxfId="731" priority="580" stopIfTrue="1" operator="lessThan">
      <formula>0</formula>
    </cfRule>
  </conditionalFormatting>
  <conditionalFormatting sqref="R16">
    <cfRule type="cellIs" dxfId="730" priority="557" stopIfTrue="1" operator="lessThan">
      <formula>0</formula>
    </cfRule>
  </conditionalFormatting>
  <conditionalFormatting sqref="C10">
    <cfRule type="cellIs" dxfId="729" priority="594" stopIfTrue="1" operator="lessThan">
      <formula>0</formula>
    </cfRule>
  </conditionalFormatting>
  <conditionalFormatting sqref="D10">
    <cfRule type="cellIs" dxfId="728" priority="593" stopIfTrue="1" operator="lessThan">
      <formula>0</formula>
    </cfRule>
  </conditionalFormatting>
  <conditionalFormatting sqref="G10">
    <cfRule type="cellIs" dxfId="727" priority="588" stopIfTrue="1" operator="lessThan">
      <formula>0</formula>
    </cfRule>
  </conditionalFormatting>
  <conditionalFormatting sqref="O12">
    <cfRule type="cellIs" dxfId="726" priority="585" stopIfTrue="1" operator="lessThan">
      <formula>0</formula>
    </cfRule>
  </conditionalFormatting>
  <conditionalFormatting sqref="L13">
    <cfRule type="cellIs" dxfId="725" priority="591" stopIfTrue="1" operator="lessThan">
      <formula>0</formula>
    </cfRule>
  </conditionalFormatting>
  <conditionalFormatting sqref="O13">
    <cfRule type="cellIs" dxfId="724" priority="583" stopIfTrue="1" operator="lessThan">
      <formula>0</formula>
    </cfRule>
  </conditionalFormatting>
  <conditionalFormatting sqref="K13">
    <cfRule type="cellIs" dxfId="723" priority="592" stopIfTrue="1" operator="lessThan">
      <formula>0</formula>
    </cfRule>
  </conditionalFormatting>
  <conditionalFormatting sqref="L34">
    <cfRule type="cellIs" dxfId="722" priority="502" stopIfTrue="1" operator="lessThan">
      <formula>0</formula>
    </cfRule>
  </conditionalFormatting>
  <conditionalFormatting sqref="M13">
    <cfRule type="cellIs" dxfId="721" priority="590" stopIfTrue="1" operator="lessThan">
      <formula>0</formula>
    </cfRule>
  </conditionalFormatting>
  <conditionalFormatting sqref="M12">
    <cfRule type="cellIs" dxfId="720" priority="589" stopIfTrue="1" operator="lessThan">
      <formula>0</formula>
    </cfRule>
  </conditionalFormatting>
  <conditionalFormatting sqref="S10">
    <cfRule type="cellIs" dxfId="719" priority="575" stopIfTrue="1" operator="lessThan">
      <formula>0</formula>
    </cfRule>
  </conditionalFormatting>
  <conditionalFormatting sqref="I10">
    <cfRule type="cellIs" dxfId="718" priority="587" stopIfTrue="1" operator="lessThan">
      <formula>0</formula>
    </cfRule>
  </conditionalFormatting>
  <conditionalFormatting sqref="N10:O10">
    <cfRule type="cellIs" dxfId="717" priority="586" stopIfTrue="1" operator="lessThan">
      <formula>0</formula>
    </cfRule>
  </conditionalFormatting>
  <conditionalFormatting sqref="N18:O19">
    <cfRule type="cellIs" dxfId="716" priority="546" stopIfTrue="1" operator="lessThan">
      <formula>0</formula>
    </cfRule>
  </conditionalFormatting>
  <conditionalFormatting sqref="N13">
    <cfRule type="cellIs" dxfId="715" priority="584" stopIfTrue="1" operator="lessThan">
      <formula>0</formula>
    </cfRule>
  </conditionalFormatting>
  <conditionalFormatting sqref="P13">
    <cfRule type="cellIs" dxfId="714" priority="582" stopIfTrue="1" operator="lessThan">
      <formula>0</formula>
    </cfRule>
  </conditionalFormatting>
  <conditionalFormatting sqref="P10">
    <cfRule type="cellIs" dxfId="713" priority="581" stopIfTrue="1" operator="lessThan">
      <formula>0</formula>
    </cfRule>
  </conditionalFormatting>
  <conditionalFormatting sqref="S27">
    <cfRule type="cellIs" dxfId="712" priority="505" stopIfTrue="1" operator="lessThan">
      <formula>0</formula>
    </cfRule>
  </conditionalFormatting>
  <conditionalFormatting sqref="D5">
    <cfRule type="cellIs" dxfId="711" priority="540" stopIfTrue="1" operator="lessThan">
      <formula>0</formula>
    </cfRule>
  </conditionalFormatting>
  <conditionalFormatting sqref="R12">
    <cfRule type="cellIs" dxfId="710" priority="579" stopIfTrue="1" operator="lessThan">
      <formula>0</formula>
    </cfRule>
  </conditionalFormatting>
  <conditionalFormatting sqref="Q13">
    <cfRule type="cellIs" dxfId="709" priority="578" stopIfTrue="1" operator="lessThan">
      <formula>0</formula>
    </cfRule>
  </conditionalFormatting>
  <conditionalFormatting sqref="R13">
    <cfRule type="cellIs" dxfId="708" priority="577" stopIfTrue="1" operator="lessThan">
      <formula>0</formula>
    </cfRule>
  </conditionalFormatting>
  <conditionalFormatting sqref="S13">
    <cfRule type="cellIs" dxfId="707" priority="576" stopIfTrue="1" operator="lessThan">
      <formula>0</formula>
    </cfRule>
  </conditionalFormatting>
  <conditionalFormatting sqref="E14 K14:M14">
    <cfRule type="cellIs" dxfId="706" priority="574" stopIfTrue="1" operator="lessThan">
      <formula>0</formula>
    </cfRule>
  </conditionalFormatting>
  <conditionalFormatting sqref="M26">
    <cfRule type="cellIs" dxfId="705" priority="535" stopIfTrue="1" operator="lessThan">
      <formula>0</formula>
    </cfRule>
  </conditionalFormatting>
  <conditionalFormatting sqref="L16">
    <cfRule type="cellIs" dxfId="704" priority="573" stopIfTrue="1" operator="lessThan">
      <formula>0</formula>
    </cfRule>
  </conditionalFormatting>
  <conditionalFormatting sqref="C14">
    <cfRule type="cellIs" dxfId="703" priority="572" stopIfTrue="1" operator="lessThan">
      <formula>0</formula>
    </cfRule>
  </conditionalFormatting>
  <conditionalFormatting sqref="G14">
    <cfRule type="cellIs" dxfId="702" priority="566" stopIfTrue="1" operator="lessThan">
      <formula>0</formula>
    </cfRule>
  </conditionalFormatting>
  <conditionalFormatting sqref="D14">
    <cfRule type="cellIs" dxfId="701" priority="571" stopIfTrue="1" operator="lessThan">
      <formula>0</formula>
    </cfRule>
  </conditionalFormatting>
  <conditionalFormatting sqref="K17">
    <cfRule type="cellIs" dxfId="700" priority="570" stopIfTrue="1" operator="lessThan">
      <formula>0</formula>
    </cfRule>
  </conditionalFormatting>
  <conditionalFormatting sqref="L17">
    <cfRule type="cellIs" dxfId="699" priority="569" stopIfTrue="1" operator="lessThan">
      <formula>0</formula>
    </cfRule>
  </conditionalFormatting>
  <conditionalFormatting sqref="M17">
    <cfRule type="cellIs" dxfId="698" priority="568" stopIfTrue="1" operator="lessThan">
      <formula>0</formula>
    </cfRule>
  </conditionalFormatting>
  <conditionalFormatting sqref="M16">
    <cfRule type="cellIs" dxfId="697" priority="567" stopIfTrue="1" operator="lessThan">
      <formula>0</formula>
    </cfRule>
  </conditionalFormatting>
  <conditionalFormatting sqref="S14">
    <cfRule type="cellIs" dxfId="696" priority="553" stopIfTrue="1" operator="lessThan">
      <formula>0</formula>
    </cfRule>
  </conditionalFormatting>
  <conditionalFormatting sqref="I14">
    <cfRule type="cellIs" dxfId="695" priority="565" stopIfTrue="1" operator="lessThan">
      <formula>0</formula>
    </cfRule>
  </conditionalFormatting>
  <conditionalFormatting sqref="S26">
    <cfRule type="cellIs" dxfId="694" priority="523" stopIfTrue="1" operator="lessThan">
      <formula>0</formula>
    </cfRule>
  </conditionalFormatting>
  <conditionalFormatting sqref="O16">
    <cfRule type="cellIs" dxfId="693" priority="563" stopIfTrue="1" operator="lessThan">
      <formula>0</formula>
    </cfRule>
  </conditionalFormatting>
  <conditionalFormatting sqref="N17">
    <cfRule type="cellIs" dxfId="692" priority="562" stopIfTrue="1" operator="lessThan">
      <formula>0</formula>
    </cfRule>
  </conditionalFormatting>
  <conditionalFormatting sqref="O17">
    <cfRule type="cellIs" dxfId="691" priority="561" stopIfTrue="1" operator="lessThan">
      <formula>0</formula>
    </cfRule>
  </conditionalFormatting>
  <conditionalFormatting sqref="P17">
    <cfRule type="cellIs" dxfId="690" priority="560" stopIfTrue="1" operator="lessThan">
      <formula>0</formula>
    </cfRule>
  </conditionalFormatting>
  <conditionalFormatting sqref="Q14:R14">
    <cfRule type="cellIs" dxfId="689" priority="558" stopIfTrue="1" operator="lessThan">
      <formula>0</formula>
    </cfRule>
  </conditionalFormatting>
  <conditionalFormatting sqref="S31">
    <cfRule type="cellIs" dxfId="688" priority="488" stopIfTrue="1" operator="lessThan">
      <formula>0</formula>
    </cfRule>
  </conditionalFormatting>
  <conditionalFormatting sqref="Q17">
    <cfRule type="cellIs" dxfId="687" priority="556" stopIfTrue="1" operator="lessThan">
      <formula>0</formula>
    </cfRule>
  </conditionalFormatting>
  <conditionalFormatting sqref="R17">
    <cfRule type="cellIs" dxfId="686" priority="555" stopIfTrue="1" operator="lessThan">
      <formula>0</formula>
    </cfRule>
  </conditionalFormatting>
  <conditionalFormatting sqref="S17">
    <cfRule type="cellIs" dxfId="685" priority="554" stopIfTrue="1" operator="lessThan">
      <formula>0</formula>
    </cfRule>
  </conditionalFormatting>
  <conditionalFormatting sqref="AI5">
    <cfRule type="cellIs" dxfId="684" priority="311" stopIfTrue="1" operator="lessThan">
      <formula>0</formula>
    </cfRule>
  </conditionalFormatting>
  <conditionalFormatting sqref="AL22">
    <cfRule type="cellIs" dxfId="683" priority="310" stopIfTrue="1" operator="lessThan">
      <formula>0</formula>
    </cfRule>
  </conditionalFormatting>
  <conditionalFormatting sqref="AI22">
    <cfRule type="cellIs" dxfId="682" priority="309" stopIfTrue="1" operator="lessThan">
      <formula>0</formula>
    </cfRule>
  </conditionalFormatting>
  <conditionalFormatting sqref="E18:E19 K18:M19">
    <cfRule type="cellIs" dxfId="681" priority="552" stopIfTrue="1" operator="lessThan">
      <formula>0</formula>
    </cfRule>
  </conditionalFormatting>
  <conditionalFormatting sqref="C18">
    <cfRule type="cellIs" dxfId="680" priority="551" stopIfTrue="1" operator="lessThan">
      <formula>0</formula>
    </cfRule>
  </conditionalFormatting>
  <conditionalFormatting sqref="G18:G19">
    <cfRule type="cellIs" dxfId="679" priority="548" stopIfTrue="1" operator="lessThan">
      <formula>0</formula>
    </cfRule>
  </conditionalFormatting>
  <conditionalFormatting sqref="D18">
    <cfRule type="cellIs" dxfId="678" priority="550" stopIfTrue="1" operator="lessThan">
      <formula>0</formula>
    </cfRule>
  </conditionalFormatting>
  <conditionalFormatting sqref="AH17">
    <cfRule type="cellIs" dxfId="677" priority="416" stopIfTrue="1" operator="lessThan">
      <formula>0</formula>
    </cfRule>
  </conditionalFormatting>
  <conditionalFormatting sqref="M20">
    <cfRule type="cellIs" dxfId="676" priority="549" stopIfTrue="1" operator="lessThan">
      <formula>0</formula>
    </cfRule>
  </conditionalFormatting>
  <conditionalFormatting sqref="S18">
    <cfRule type="cellIs" dxfId="675" priority="542" stopIfTrue="1" operator="lessThan">
      <formula>0</formula>
    </cfRule>
  </conditionalFormatting>
  <conditionalFormatting sqref="I18:I19">
    <cfRule type="cellIs" dxfId="674" priority="547" stopIfTrue="1" operator="lessThan">
      <formula>0</formula>
    </cfRule>
  </conditionalFormatting>
  <conditionalFormatting sqref="E31 K31:M31">
    <cfRule type="cellIs" dxfId="673" priority="504" stopIfTrue="1" operator="lessThan">
      <formula>0</formula>
    </cfRule>
  </conditionalFormatting>
  <conditionalFormatting sqref="P18:P20">
    <cfRule type="cellIs" dxfId="672" priority="545" stopIfTrue="1" operator="lessThan">
      <formula>0</formula>
    </cfRule>
  </conditionalFormatting>
  <conditionalFormatting sqref="Q18:R19">
    <cfRule type="cellIs" dxfId="671" priority="544" stopIfTrue="1" operator="lessThan">
      <formula>0</formula>
    </cfRule>
  </conditionalFormatting>
  <conditionalFormatting sqref="S19:S20">
    <cfRule type="cellIs" dxfId="670" priority="543" stopIfTrue="1" operator="lessThan">
      <formula>0</formula>
    </cfRule>
  </conditionalFormatting>
  <conditionalFormatting sqref="C5">
    <cfRule type="cellIs" dxfId="669" priority="541" stopIfTrue="1" operator="lessThan">
      <formula>0</formula>
    </cfRule>
  </conditionalFormatting>
  <conditionalFormatting sqref="S5">
    <cfRule type="cellIs" dxfId="668" priority="539" stopIfTrue="1" operator="lessThan">
      <formula>0</formula>
    </cfRule>
  </conditionalFormatting>
  <conditionalFormatting sqref="E23 K23:M23 M24">
    <cfRule type="cellIs" dxfId="667" priority="538" stopIfTrue="1" operator="lessThan">
      <formula>0</formula>
    </cfRule>
  </conditionalFormatting>
  <conditionalFormatting sqref="AN17">
    <cfRule type="cellIs" dxfId="666" priority="402" stopIfTrue="1" operator="lessThan">
      <formula>0</formula>
    </cfRule>
  </conditionalFormatting>
  <conditionalFormatting sqref="L25">
    <cfRule type="cellIs" dxfId="665" priority="537" stopIfTrue="1" operator="lessThan">
      <formula>0</formula>
    </cfRule>
  </conditionalFormatting>
  <conditionalFormatting sqref="S30">
    <cfRule type="cellIs" dxfId="664" priority="506" stopIfTrue="1" operator="lessThan">
      <formula>0</formula>
    </cfRule>
  </conditionalFormatting>
  <conditionalFormatting sqref="G23">
    <cfRule type="cellIs" dxfId="663" priority="533" stopIfTrue="1" operator="lessThan">
      <formula>0</formula>
    </cfRule>
  </conditionalFormatting>
  <conditionalFormatting sqref="Z23">
    <cfRule type="cellIs" dxfId="662" priority="382" stopIfTrue="1" operator="lessThan">
      <formula>0</formula>
    </cfRule>
  </conditionalFormatting>
  <conditionalFormatting sqref="AI26">
    <cfRule type="cellIs" dxfId="661" priority="380" stopIfTrue="1" operator="lessThan">
      <formula>0</formula>
    </cfRule>
  </conditionalFormatting>
  <conditionalFormatting sqref="AI25">
    <cfRule type="cellIs" dxfId="660" priority="379" stopIfTrue="1" operator="lessThan">
      <formula>0</formula>
    </cfRule>
  </conditionalFormatting>
  <conditionalFormatting sqref="L26">
    <cfRule type="cellIs" dxfId="659" priority="536" stopIfTrue="1" operator="lessThan">
      <formula>0</formula>
    </cfRule>
  </conditionalFormatting>
  <conditionalFormatting sqref="M25">
    <cfRule type="cellIs" dxfId="658" priority="534" stopIfTrue="1" operator="lessThan">
      <formula>0</formula>
    </cfRule>
  </conditionalFormatting>
  <conditionalFormatting sqref="P34">
    <cfRule type="cellIs" dxfId="657" priority="494" stopIfTrue="1" operator="lessThan">
      <formula>0</formula>
    </cfRule>
  </conditionalFormatting>
  <conditionalFormatting sqref="S23">
    <cfRule type="cellIs" dxfId="656" priority="522" stopIfTrue="1" operator="lessThan">
      <formula>0</formula>
    </cfRule>
  </conditionalFormatting>
  <conditionalFormatting sqref="I23">
    <cfRule type="cellIs" dxfId="655" priority="532" stopIfTrue="1" operator="lessThan">
      <formula>0</formula>
    </cfRule>
  </conditionalFormatting>
  <conditionalFormatting sqref="N23:O23">
    <cfRule type="cellIs" dxfId="654" priority="531" stopIfTrue="1" operator="lessThan">
      <formula>0</formula>
    </cfRule>
  </conditionalFormatting>
  <conditionalFormatting sqref="AI9">
    <cfRule type="cellIs" dxfId="653" priority="459" stopIfTrue="1" operator="lessThan">
      <formula>0</formula>
    </cfRule>
  </conditionalFormatting>
  <conditionalFormatting sqref="O25">
    <cfRule type="cellIs" dxfId="652" priority="530" stopIfTrue="1" operator="lessThan">
      <formula>0</formula>
    </cfRule>
  </conditionalFormatting>
  <conditionalFormatting sqref="Q31:R31">
    <cfRule type="cellIs" dxfId="651" priority="492" stopIfTrue="1" operator="lessThan">
      <formula>0</formula>
    </cfRule>
  </conditionalFormatting>
  <conditionalFormatting sqref="O26">
    <cfRule type="cellIs" dxfId="650" priority="529" stopIfTrue="1" operator="lessThan">
      <formula>0</formula>
    </cfRule>
  </conditionalFormatting>
  <conditionalFormatting sqref="P26">
    <cfRule type="cellIs" dxfId="649" priority="528" stopIfTrue="1" operator="lessThan">
      <formula>0</formula>
    </cfRule>
  </conditionalFormatting>
  <conditionalFormatting sqref="P23">
    <cfRule type="cellIs" dxfId="648" priority="527" stopIfTrue="1" operator="lessThan">
      <formula>0</formula>
    </cfRule>
  </conditionalFormatting>
  <conditionalFormatting sqref="Q23:R23">
    <cfRule type="cellIs" dxfId="647" priority="526" stopIfTrue="1" operator="lessThan">
      <formula>0</formula>
    </cfRule>
  </conditionalFormatting>
  <conditionalFormatting sqref="AA23 AG23:AI23">
    <cfRule type="cellIs" dxfId="646" priority="385" stopIfTrue="1" operator="lessThan">
      <formula>0</formula>
    </cfRule>
  </conditionalFormatting>
  <conditionalFormatting sqref="R25">
    <cfRule type="cellIs" dxfId="645" priority="525" stopIfTrue="1" operator="lessThan">
      <formula>0</formula>
    </cfRule>
  </conditionalFormatting>
  <conditionalFormatting sqref="R26">
    <cfRule type="cellIs" dxfId="644" priority="524" stopIfTrue="1" operator="lessThan">
      <formula>0</formula>
    </cfRule>
  </conditionalFormatting>
  <conditionalFormatting sqref="N35:O36">
    <cfRule type="cellIs" dxfId="643" priority="480" stopIfTrue="1" operator="lessThan">
      <formula>0</formula>
    </cfRule>
  </conditionalFormatting>
  <conditionalFormatting sqref="C22">
    <cfRule type="cellIs" dxfId="642" priority="475" stopIfTrue="1" operator="lessThan">
      <formula>0</formula>
    </cfRule>
  </conditionalFormatting>
  <conditionalFormatting sqref="AJ27:AK27">
    <cfRule type="cellIs" dxfId="641" priority="357" stopIfTrue="1" operator="lessThan">
      <formula>0</formula>
    </cfRule>
  </conditionalFormatting>
  <conditionalFormatting sqref="AK30">
    <cfRule type="cellIs" dxfId="640" priority="355" stopIfTrue="1" operator="lessThan">
      <formula>0</formula>
    </cfRule>
  </conditionalFormatting>
  <conditionalFormatting sqref="AL23">
    <cfRule type="cellIs" dxfId="639" priority="372" stopIfTrue="1" operator="lessThan">
      <formula>0</formula>
    </cfRule>
  </conditionalFormatting>
  <conditionalFormatting sqref="AH29">
    <cfRule type="cellIs" dxfId="638" priority="365" stopIfTrue="1" operator="lessThan">
      <formula>0</formula>
    </cfRule>
  </conditionalFormatting>
  <conditionalFormatting sqref="O30">
    <cfRule type="cellIs" dxfId="637" priority="512" stopIfTrue="1" operator="lessThan">
      <formula>0</formula>
    </cfRule>
  </conditionalFormatting>
  <conditionalFormatting sqref="P30">
    <cfRule type="cellIs" dxfId="636" priority="511" stopIfTrue="1" operator="lessThan">
      <formula>0</formula>
    </cfRule>
  </conditionalFormatting>
  <conditionalFormatting sqref="AJ23:AK23">
    <cfRule type="cellIs" dxfId="635" priority="376" stopIfTrue="1" operator="lessThan">
      <formula>0</formula>
    </cfRule>
  </conditionalFormatting>
  <conditionalFormatting sqref="P27">
    <cfRule type="cellIs" dxfId="634" priority="510" stopIfTrue="1" operator="lessThan">
      <formula>0</formula>
    </cfRule>
  </conditionalFormatting>
  <conditionalFormatting sqref="Q27:R27">
    <cfRule type="cellIs" dxfId="633" priority="509" stopIfTrue="1" operator="lessThan">
      <formula>0</formula>
    </cfRule>
  </conditionalFormatting>
  <conditionalFormatting sqref="R29">
    <cfRule type="cellIs" dxfId="632" priority="508" stopIfTrue="1" operator="lessThan">
      <formula>0</formula>
    </cfRule>
  </conditionalFormatting>
  <conditionalFormatting sqref="R30">
    <cfRule type="cellIs" dxfId="631" priority="507" stopIfTrue="1" operator="lessThan">
      <formula>0</formula>
    </cfRule>
  </conditionalFormatting>
  <conditionalFormatting sqref="L33">
    <cfRule type="cellIs" dxfId="630" priority="503" stopIfTrue="1" operator="lessThan">
      <formula>0</formula>
    </cfRule>
  </conditionalFormatting>
  <conditionalFormatting sqref="S22">
    <cfRule type="cellIs" dxfId="629" priority="473" stopIfTrue="1" operator="lessThan">
      <formula>0</formula>
    </cfRule>
  </conditionalFormatting>
  <conditionalFormatting sqref="G31">
    <cfRule type="cellIs" dxfId="628" priority="499" stopIfTrue="1" operator="lessThan">
      <formula>0</formula>
    </cfRule>
  </conditionalFormatting>
  <conditionalFormatting sqref="AO34">
    <cfRule type="cellIs" dxfId="627" priority="330" stopIfTrue="1" operator="lessThan">
      <formula>0</formula>
    </cfRule>
  </conditionalFormatting>
  <conditionalFormatting sqref="AA35:AA36 AG35:AI36">
    <cfRule type="cellIs" dxfId="626" priority="328" stopIfTrue="1" operator="lessThan">
      <formula>0</formula>
    </cfRule>
  </conditionalFormatting>
  <conditionalFormatting sqref="Y35">
    <cfRule type="cellIs" dxfId="625" priority="327" stopIfTrue="1" operator="lessThan">
      <formula>0</formula>
    </cfRule>
  </conditionalFormatting>
  <conditionalFormatting sqref="AK29">
    <cfRule type="cellIs" dxfId="624" priority="356" stopIfTrue="1" operator="lessThan">
      <formula>0</formula>
    </cfRule>
  </conditionalFormatting>
  <conditionalFormatting sqref="M34">
    <cfRule type="cellIs" dxfId="623" priority="501" stopIfTrue="1" operator="lessThan">
      <formula>0</formula>
    </cfRule>
  </conditionalFormatting>
  <conditionalFormatting sqref="M33">
    <cfRule type="cellIs" dxfId="622" priority="500" stopIfTrue="1" operator="lessThan">
      <formula>0</formula>
    </cfRule>
  </conditionalFormatting>
  <conditionalFormatting sqref="I31">
    <cfRule type="cellIs" dxfId="621" priority="498" stopIfTrue="1" operator="lessThan">
      <formula>0</formula>
    </cfRule>
  </conditionalFormatting>
  <conditionalFormatting sqref="N31:O31">
    <cfRule type="cellIs" dxfId="620" priority="497" stopIfTrue="1" operator="lessThan">
      <formula>0</formula>
    </cfRule>
  </conditionalFormatting>
  <conditionalFormatting sqref="Y31">
    <cfRule type="cellIs" dxfId="619" priority="345" stopIfTrue="1" operator="lessThan">
      <formula>0</formula>
    </cfRule>
  </conditionalFormatting>
  <conditionalFormatting sqref="O33">
    <cfRule type="cellIs" dxfId="618" priority="496" stopIfTrue="1" operator="lessThan">
      <formula>0</formula>
    </cfRule>
  </conditionalFormatting>
  <conditionalFormatting sqref="O34">
    <cfRule type="cellIs" dxfId="617" priority="495" stopIfTrue="1" operator="lessThan">
      <formula>0</formula>
    </cfRule>
  </conditionalFormatting>
  <conditionalFormatting sqref="AN30">
    <cfRule type="cellIs" dxfId="616" priority="350" stopIfTrue="1" operator="lessThan">
      <formula>0</formula>
    </cfRule>
  </conditionalFormatting>
  <conditionalFormatting sqref="P31">
    <cfRule type="cellIs" dxfId="615" priority="493" stopIfTrue="1" operator="lessThan">
      <formula>0</formula>
    </cfRule>
  </conditionalFormatting>
  <conditionalFormatting sqref="R33">
    <cfRule type="cellIs" dxfId="614" priority="491" stopIfTrue="1" operator="lessThan">
      <formula>0</formula>
    </cfRule>
  </conditionalFormatting>
  <conditionalFormatting sqref="R34">
    <cfRule type="cellIs" dxfId="613" priority="490" stopIfTrue="1" operator="lessThan">
      <formula>0</formula>
    </cfRule>
  </conditionalFormatting>
  <conditionalFormatting sqref="S34">
    <cfRule type="cellIs" dxfId="612" priority="489" stopIfTrue="1" operator="lessThan">
      <formula>0</formula>
    </cfRule>
  </conditionalFormatting>
  <conditionalFormatting sqref="E35:E36 K35:M36">
    <cfRule type="cellIs" dxfId="611" priority="487" stopIfTrue="1" operator="lessThan">
      <formula>0</formula>
    </cfRule>
  </conditionalFormatting>
  <conditionalFormatting sqref="AA6 AG6:AI6">
    <cfRule type="cellIs" dxfId="610" priority="465" stopIfTrue="1" operator="lessThan">
      <formula>0</formula>
    </cfRule>
  </conditionalFormatting>
  <conditionalFormatting sqref="G35:G36">
    <cfRule type="cellIs" dxfId="609" priority="484" stopIfTrue="1" operator="lessThan">
      <formula>0</formula>
    </cfRule>
  </conditionalFormatting>
  <conditionalFormatting sqref="I37">
    <cfRule type="cellIs" dxfId="608" priority="481" stopIfTrue="1" operator="lessThan">
      <formula>0</formula>
    </cfRule>
  </conditionalFormatting>
  <conditionalFormatting sqref="AK7">
    <cfRule type="cellIs" dxfId="607" priority="299" stopIfTrue="1" operator="lessThan">
      <formula>0</formula>
    </cfRule>
  </conditionalFormatting>
  <conditionalFormatting sqref="E37">
    <cfRule type="cellIs" dxfId="606" priority="486" stopIfTrue="1" operator="lessThan">
      <formula>0</formula>
    </cfRule>
  </conditionalFormatting>
  <conditionalFormatting sqref="Y6">
    <cfRule type="cellIs" dxfId="605" priority="463" stopIfTrue="1" operator="lessThan">
      <formula>0</formula>
    </cfRule>
  </conditionalFormatting>
  <conditionalFormatting sqref="AH24">
    <cfRule type="cellIs" dxfId="604" priority="278" stopIfTrue="1" operator="lessThan">
      <formula>0</formula>
    </cfRule>
  </conditionalFormatting>
  <conditionalFormatting sqref="M37">
    <cfRule type="cellIs" dxfId="603" priority="485" stopIfTrue="1" operator="lessThan">
      <formula>0</formula>
    </cfRule>
  </conditionalFormatting>
  <conditionalFormatting sqref="S35">
    <cfRule type="cellIs" dxfId="602" priority="476" stopIfTrue="1" operator="lessThan">
      <formula>0</formula>
    </cfRule>
  </conditionalFormatting>
  <conditionalFormatting sqref="G37">
    <cfRule type="cellIs" dxfId="601" priority="483" stopIfTrue="1" operator="lessThan">
      <formula>0</formula>
    </cfRule>
  </conditionalFormatting>
  <conditionalFormatting sqref="I35:I36">
    <cfRule type="cellIs" dxfId="600" priority="482" stopIfTrue="1" operator="lessThan">
      <formula>0</formula>
    </cfRule>
  </conditionalFormatting>
  <conditionalFormatting sqref="P35:P37">
    <cfRule type="cellIs" dxfId="599" priority="479" stopIfTrue="1" operator="lessThan">
      <formula>0</formula>
    </cfRule>
  </conditionalFormatting>
  <conditionalFormatting sqref="Q35:R36">
    <cfRule type="cellIs" dxfId="598" priority="478" stopIfTrue="1" operator="lessThan">
      <formula>0</formula>
    </cfRule>
  </conditionalFormatting>
  <conditionalFormatting sqref="S36:S37">
    <cfRule type="cellIs" dxfId="597" priority="477" stopIfTrue="1" operator="lessThan">
      <formula>0</formula>
    </cfRule>
  </conditionalFormatting>
  <conditionalFormatting sqref="D22">
    <cfRule type="cellIs" dxfId="596" priority="474" stopIfTrue="1" operator="lessThan">
      <formula>0</formula>
    </cfRule>
  </conditionalFormatting>
  <conditionalFormatting sqref="AM6:AN6">
    <cfRule type="cellIs" dxfId="595" priority="449" stopIfTrue="1" operator="lessThan">
      <formula>0</formula>
    </cfRule>
  </conditionalFormatting>
  <conditionalFormatting sqref="AN8">
    <cfRule type="cellIs" dxfId="594" priority="448" stopIfTrue="1" operator="lessThan">
      <formula>0</formula>
    </cfRule>
  </conditionalFormatting>
  <conditionalFormatting sqref="K25">
    <cfRule type="cellIs" dxfId="593" priority="472" stopIfTrue="1" operator="lessThan">
      <formula>0</formula>
    </cfRule>
  </conditionalFormatting>
  <conditionalFormatting sqref="K26">
    <cfRule type="cellIs" dxfId="592" priority="471" stopIfTrue="1" operator="lessThan">
      <formula>0</formula>
    </cfRule>
  </conditionalFormatting>
  <conditionalFormatting sqref="AI12">
    <cfRule type="cellIs" dxfId="591" priority="436" stopIfTrue="1" operator="lessThan">
      <formula>0</formula>
    </cfRule>
  </conditionalFormatting>
  <conditionalFormatting sqref="AJ6:AK6">
    <cfRule type="cellIs" dxfId="590" priority="455" stopIfTrue="1" operator="lessThan">
      <formula>0</formula>
    </cfRule>
  </conditionalFormatting>
  <conditionalFormatting sqref="AG13">
    <cfRule type="cellIs" dxfId="589" priority="439" stopIfTrue="1" operator="lessThan">
      <formula>0</formula>
    </cfRule>
  </conditionalFormatting>
  <conditionalFormatting sqref="AJ10:AK10">
    <cfRule type="cellIs" dxfId="588" priority="433" stopIfTrue="1" operator="lessThan">
      <formula>0</formula>
    </cfRule>
  </conditionalFormatting>
  <conditionalFormatting sqref="AE6">
    <cfRule type="cellIs" dxfId="587" priority="456" stopIfTrue="1" operator="lessThan">
      <formula>0</formula>
    </cfRule>
  </conditionalFormatting>
  <conditionalFormatting sqref="AO18">
    <cfRule type="cellIs" dxfId="586" priority="389" stopIfTrue="1" operator="lessThan">
      <formula>0</formula>
    </cfRule>
  </conditionalFormatting>
  <conditionalFormatting sqref="AH9">
    <cfRule type="cellIs" dxfId="585" priority="460" stopIfTrue="1" operator="lessThan">
      <formula>0</formula>
    </cfRule>
  </conditionalFormatting>
  <conditionalFormatting sqref="AJ13">
    <cfRule type="cellIs" dxfId="584" priority="431" stopIfTrue="1" operator="lessThan">
      <formula>0</formula>
    </cfRule>
  </conditionalFormatting>
  <conditionalFormatting sqref="AI16">
    <cfRule type="cellIs" dxfId="583" priority="414" stopIfTrue="1" operator="lessThan">
      <formula>0</formula>
    </cfRule>
  </conditionalFormatting>
  <conditionalFormatting sqref="AN12">
    <cfRule type="cellIs" dxfId="582" priority="426" stopIfTrue="1" operator="lessThan">
      <formula>0</formula>
    </cfRule>
  </conditionalFormatting>
  <conditionalFormatting sqref="AJ9">
    <cfRule type="cellIs" dxfId="581" priority="453" stopIfTrue="1" operator="lessThan">
      <formula>0</formula>
    </cfRule>
  </conditionalFormatting>
  <conditionalFormatting sqref="K37">
    <cfRule type="cellIs" dxfId="580" priority="470" stopIfTrue="1" operator="lessThan">
      <formula>0</formula>
    </cfRule>
  </conditionalFormatting>
  <conditionalFormatting sqref="P5">
    <cfRule type="cellIs" dxfId="579" priority="469" stopIfTrue="1" operator="lessThan">
      <formula>0</formula>
    </cfRule>
  </conditionalFormatting>
  <conditionalFormatting sqref="M5">
    <cfRule type="cellIs" dxfId="578" priority="468" stopIfTrue="1" operator="lessThan">
      <formula>0</formula>
    </cfRule>
  </conditionalFormatting>
  <conditionalFormatting sqref="P22">
    <cfRule type="cellIs" dxfId="577" priority="467" stopIfTrue="1" operator="lessThan">
      <formula>0</formula>
    </cfRule>
  </conditionalFormatting>
  <conditionalFormatting sqref="M22">
    <cfRule type="cellIs" dxfId="576" priority="466" stopIfTrue="1" operator="lessThan">
      <formula>0</formula>
    </cfRule>
  </conditionalFormatting>
  <conditionalFormatting sqref="AH8">
    <cfRule type="cellIs" dxfId="575" priority="464" stopIfTrue="1" operator="lessThan">
      <formula>0</formula>
    </cfRule>
  </conditionalFormatting>
  <conditionalFormatting sqref="AC6">
    <cfRule type="cellIs" dxfId="574" priority="457" stopIfTrue="1" operator="lessThan">
      <formula>0</formula>
    </cfRule>
  </conditionalFormatting>
  <conditionalFormatting sqref="AH16">
    <cfRule type="cellIs" dxfId="573" priority="420" stopIfTrue="1" operator="lessThan">
      <formula>0</formula>
    </cfRule>
  </conditionalFormatting>
  <conditionalFormatting sqref="Z6">
    <cfRule type="cellIs" dxfId="572" priority="462" stopIfTrue="1" operator="lessThan">
      <formula>0</formula>
    </cfRule>
  </conditionalFormatting>
  <conditionalFormatting sqref="AI8">
    <cfRule type="cellIs" dxfId="571" priority="458" stopIfTrue="1" operator="lessThan">
      <formula>0</formula>
    </cfRule>
  </conditionalFormatting>
  <conditionalFormatting sqref="AO6">
    <cfRule type="cellIs" dxfId="570" priority="444" stopIfTrue="1" operator="lessThan">
      <formula>0</formula>
    </cfRule>
  </conditionalFormatting>
  <conditionalFormatting sqref="AC14">
    <cfRule type="cellIs" dxfId="569" priority="413" stopIfTrue="1" operator="lessThan">
      <formula>0</formula>
    </cfRule>
  </conditionalFormatting>
  <conditionalFormatting sqref="AI29">
    <cfRule type="cellIs" dxfId="568" priority="360" stopIfTrue="1" operator="lessThan">
      <formula>0</formula>
    </cfRule>
  </conditionalFormatting>
  <conditionalFormatting sqref="AK8">
    <cfRule type="cellIs" dxfId="567" priority="454" stopIfTrue="1" operator="lessThan">
      <formula>0</formula>
    </cfRule>
  </conditionalFormatting>
  <conditionalFormatting sqref="AJ14:AK14">
    <cfRule type="cellIs" dxfId="566" priority="411" stopIfTrue="1" operator="lessThan">
      <formula>0</formula>
    </cfRule>
  </conditionalFormatting>
  <conditionalFormatting sqref="AK9">
    <cfRule type="cellIs" dxfId="565" priority="452" stopIfTrue="1" operator="lessThan">
      <formula>0</formula>
    </cfRule>
  </conditionalFormatting>
  <conditionalFormatting sqref="AL9">
    <cfRule type="cellIs" dxfId="564" priority="451" stopIfTrue="1" operator="lessThan">
      <formula>0</formula>
    </cfRule>
  </conditionalFormatting>
  <conditionalFormatting sqref="AL6">
    <cfRule type="cellIs" dxfId="563" priority="450" stopIfTrue="1" operator="lessThan">
      <formula>0</formula>
    </cfRule>
  </conditionalFormatting>
  <conditionalFormatting sqref="AM9">
    <cfRule type="cellIs" dxfId="562" priority="447" stopIfTrue="1" operator="lessThan">
      <formula>0</formula>
    </cfRule>
  </conditionalFormatting>
  <conditionalFormatting sqref="AN9">
    <cfRule type="cellIs" dxfId="561" priority="446" stopIfTrue="1" operator="lessThan">
      <formula>0</formula>
    </cfRule>
  </conditionalFormatting>
  <conditionalFormatting sqref="AO9">
    <cfRule type="cellIs" dxfId="560" priority="445" stopIfTrue="1" operator="lessThan">
      <formula>0</formula>
    </cfRule>
  </conditionalFormatting>
  <conditionalFormatting sqref="AA10 AG10:AI10">
    <cfRule type="cellIs" dxfId="559" priority="443" stopIfTrue="1" operator="lessThan">
      <formula>0</formula>
    </cfRule>
  </conditionalFormatting>
  <conditionalFormatting sqref="AN29">
    <cfRule type="cellIs" dxfId="558" priority="351" stopIfTrue="1" operator="lessThan">
      <formula>0</formula>
    </cfRule>
  </conditionalFormatting>
  <conditionalFormatting sqref="AH12">
    <cfRule type="cellIs" dxfId="557" priority="442" stopIfTrue="1" operator="lessThan">
      <formula>0</formula>
    </cfRule>
  </conditionalFormatting>
  <conditionalFormatting sqref="Y10">
    <cfRule type="cellIs" dxfId="556" priority="441" stopIfTrue="1" operator="lessThan">
      <formula>0</formula>
    </cfRule>
  </conditionalFormatting>
  <conditionalFormatting sqref="AC10">
    <cfRule type="cellIs" dxfId="555" priority="435" stopIfTrue="1" operator="lessThan">
      <formula>0</formula>
    </cfRule>
  </conditionalFormatting>
  <conditionalFormatting sqref="Z10">
    <cfRule type="cellIs" dxfId="554" priority="440" stopIfTrue="1" operator="lessThan">
      <formula>0</formula>
    </cfRule>
  </conditionalFormatting>
  <conditionalFormatting sqref="AC18:AC19">
    <cfRule type="cellIs" dxfId="553" priority="395" stopIfTrue="1" operator="lessThan">
      <formula>0</formula>
    </cfRule>
  </conditionalFormatting>
  <conditionalFormatting sqref="AH13">
    <cfRule type="cellIs" dxfId="552" priority="438" stopIfTrue="1" operator="lessThan">
      <formula>0</formula>
    </cfRule>
  </conditionalFormatting>
  <conditionalFormatting sqref="AI13">
    <cfRule type="cellIs" dxfId="551" priority="437" stopIfTrue="1" operator="lessThan">
      <formula>0</formula>
    </cfRule>
  </conditionalFormatting>
  <conditionalFormatting sqref="AJ18:AK19">
    <cfRule type="cellIs" dxfId="550" priority="393" stopIfTrue="1" operator="lessThan">
      <formula>0</formula>
    </cfRule>
  </conditionalFormatting>
  <conditionalFormatting sqref="AE10">
    <cfRule type="cellIs" dxfId="549" priority="434" stopIfTrue="1" operator="lessThan">
      <formula>0</formula>
    </cfRule>
  </conditionalFormatting>
  <conditionalFormatting sqref="AH25">
    <cfRule type="cellIs" dxfId="548" priority="384" stopIfTrue="1" operator="lessThan">
      <formula>0</formula>
    </cfRule>
  </conditionalFormatting>
  <conditionalFormatting sqref="AK12">
    <cfRule type="cellIs" dxfId="547" priority="432" stopIfTrue="1" operator="lessThan">
      <formula>0</formula>
    </cfRule>
  </conditionalFormatting>
  <conditionalFormatting sqref="AK13">
    <cfRule type="cellIs" dxfId="546" priority="430" stopIfTrue="1" operator="lessThan">
      <formula>0</formula>
    </cfRule>
  </conditionalFormatting>
  <conditionalFormatting sqref="AL13">
    <cfRule type="cellIs" dxfId="545" priority="429" stopIfTrue="1" operator="lessThan">
      <formula>0</formula>
    </cfRule>
  </conditionalFormatting>
  <conditionalFormatting sqref="AL10">
    <cfRule type="cellIs" dxfId="544" priority="428" stopIfTrue="1" operator="lessThan">
      <formula>0</formula>
    </cfRule>
  </conditionalFormatting>
  <conditionalFormatting sqref="AM10:AN10">
    <cfRule type="cellIs" dxfId="543" priority="427" stopIfTrue="1" operator="lessThan">
      <formula>0</formula>
    </cfRule>
  </conditionalFormatting>
  <conditionalFormatting sqref="AH26">
    <cfRule type="cellIs" dxfId="542" priority="381" stopIfTrue="1" operator="lessThan">
      <formula>0</formula>
    </cfRule>
  </conditionalFormatting>
  <conditionalFormatting sqref="AM13">
    <cfRule type="cellIs" dxfId="541" priority="425" stopIfTrue="1" operator="lessThan">
      <formula>0</formula>
    </cfRule>
  </conditionalFormatting>
  <conditionalFormatting sqref="AA14 AG14:AI14">
    <cfRule type="cellIs" dxfId="540" priority="421" stopIfTrue="1" operator="lessThan">
      <formula>0</formula>
    </cfRule>
  </conditionalFormatting>
  <conditionalFormatting sqref="Z14">
    <cfRule type="cellIs" dxfId="539" priority="418" stopIfTrue="1" operator="lessThan">
      <formula>0</formula>
    </cfRule>
  </conditionalFormatting>
  <conditionalFormatting sqref="AG17">
    <cfRule type="cellIs" dxfId="538" priority="417" stopIfTrue="1" operator="lessThan">
      <formula>0</formula>
    </cfRule>
  </conditionalFormatting>
  <conditionalFormatting sqref="AI17">
    <cfRule type="cellIs" dxfId="537" priority="415" stopIfTrue="1" operator="lessThan">
      <formula>0</formula>
    </cfRule>
  </conditionalFormatting>
  <conditionalFormatting sqref="AE14">
    <cfRule type="cellIs" dxfId="536" priority="412" stopIfTrue="1" operator="lessThan">
      <formula>0</formula>
    </cfRule>
  </conditionalFormatting>
  <conditionalFormatting sqref="AO23">
    <cfRule type="cellIs" dxfId="535" priority="367" stopIfTrue="1" operator="lessThan">
      <formula>0</formula>
    </cfRule>
  </conditionalFormatting>
  <conditionalFormatting sqref="AK17">
    <cfRule type="cellIs" dxfId="534" priority="408" stopIfTrue="1" operator="lessThan">
      <formula>0</formula>
    </cfRule>
  </conditionalFormatting>
  <conditionalFormatting sqref="AL17">
    <cfRule type="cellIs" dxfId="533" priority="407" stopIfTrue="1" operator="lessThan">
      <formula>0</formula>
    </cfRule>
  </conditionalFormatting>
  <conditionalFormatting sqref="AL14">
    <cfRule type="cellIs" dxfId="532" priority="406" stopIfTrue="1" operator="lessThan">
      <formula>0</formula>
    </cfRule>
  </conditionalFormatting>
  <conditionalFormatting sqref="AM14:AN14">
    <cfRule type="cellIs" dxfId="531" priority="405" stopIfTrue="1" operator="lessThan">
      <formula>0</formula>
    </cfRule>
  </conditionalFormatting>
  <conditionalFormatting sqref="AO17">
    <cfRule type="cellIs" dxfId="530" priority="401" stopIfTrue="1" operator="lessThan">
      <formula>0</formula>
    </cfRule>
  </conditionalFormatting>
  <conditionalFormatting sqref="AE18:AE19">
    <cfRule type="cellIs" dxfId="529" priority="394" stopIfTrue="1" operator="lessThan">
      <formula>0</formula>
    </cfRule>
  </conditionalFormatting>
  <conditionalFormatting sqref="AL18:AL20">
    <cfRule type="cellIs" dxfId="528" priority="392" stopIfTrue="1" operator="lessThan">
      <formula>0</formula>
    </cfRule>
  </conditionalFormatting>
  <conditionalFormatting sqref="AM18:AN19">
    <cfRule type="cellIs" dxfId="527" priority="391" stopIfTrue="1" operator="lessThan">
      <formula>0</formula>
    </cfRule>
  </conditionalFormatting>
  <conditionalFormatting sqref="AO19:AO20">
    <cfRule type="cellIs" dxfId="526" priority="390" stopIfTrue="1" operator="lessThan">
      <formula>0</formula>
    </cfRule>
  </conditionalFormatting>
  <conditionalFormatting sqref="S7">
    <cfRule type="cellIs" dxfId="525" priority="287" stopIfTrue="1" operator="lessThan">
      <formula>0</formula>
    </cfRule>
  </conditionalFormatting>
  <conditionalFormatting sqref="Z5">
    <cfRule type="cellIs" dxfId="524" priority="387" stopIfTrue="1" operator="lessThan">
      <formula>0</formula>
    </cfRule>
  </conditionalFormatting>
  <conditionalFormatting sqref="AO5">
    <cfRule type="cellIs" dxfId="523" priority="386" stopIfTrue="1" operator="lessThan">
      <formula>0</formula>
    </cfRule>
  </conditionalFormatting>
  <conditionalFormatting sqref="Y23">
    <cfRule type="cellIs" dxfId="522" priority="383" stopIfTrue="1" operator="lessThan">
      <formula>0</formula>
    </cfRule>
  </conditionalFormatting>
  <conditionalFormatting sqref="AA27 AG27:AI27">
    <cfRule type="cellIs" dxfId="521" priority="366" stopIfTrue="1" operator="lessThan">
      <formula>0</formula>
    </cfRule>
  </conditionalFormatting>
  <conditionalFormatting sqref="AE23">
    <cfRule type="cellIs" dxfId="520" priority="377" stopIfTrue="1" operator="lessThan">
      <formula>0</formula>
    </cfRule>
  </conditionalFormatting>
  <conditionalFormatting sqref="AK25">
    <cfRule type="cellIs" dxfId="519" priority="375" stopIfTrue="1" operator="lessThan">
      <formula>0</formula>
    </cfRule>
  </conditionalFormatting>
  <conditionalFormatting sqref="AK26">
    <cfRule type="cellIs" dxfId="518" priority="374" stopIfTrue="1" operator="lessThan">
      <formula>0</formula>
    </cfRule>
  </conditionalFormatting>
  <conditionalFormatting sqref="AL26">
    <cfRule type="cellIs" dxfId="517" priority="373" stopIfTrue="1" operator="lessThan">
      <formula>0</formula>
    </cfRule>
  </conditionalFormatting>
  <conditionalFormatting sqref="AM23:AN23">
    <cfRule type="cellIs" dxfId="516" priority="371" stopIfTrue="1" operator="lessThan">
      <formula>0</formula>
    </cfRule>
  </conditionalFormatting>
  <conditionalFormatting sqref="AN25">
    <cfRule type="cellIs" dxfId="515" priority="370" stopIfTrue="1" operator="lessThan">
      <formula>0</formula>
    </cfRule>
  </conditionalFormatting>
  <conditionalFormatting sqref="AN26">
    <cfRule type="cellIs" dxfId="514" priority="369" stopIfTrue="1" operator="lessThan">
      <formula>0</formula>
    </cfRule>
  </conditionalFormatting>
  <conditionalFormatting sqref="AO26">
    <cfRule type="cellIs" dxfId="513" priority="368" stopIfTrue="1" operator="lessThan">
      <formula>0</formula>
    </cfRule>
  </conditionalFormatting>
  <conditionalFormatting sqref="AO22">
    <cfRule type="cellIs" dxfId="512" priority="313" stopIfTrue="1" operator="lessThan">
      <formula>0</formula>
    </cfRule>
  </conditionalFormatting>
  <conditionalFormatting sqref="AC27">
    <cfRule type="cellIs" dxfId="511" priority="359" stopIfTrue="1" operator="lessThan">
      <formula>0</formula>
    </cfRule>
  </conditionalFormatting>
  <conditionalFormatting sqref="AO27">
    <cfRule type="cellIs" dxfId="510" priority="348" stopIfTrue="1" operator="lessThan">
      <formula>0</formula>
    </cfRule>
  </conditionalFormatting>
  <conditionalFormatting sqref="AE27">
    <cfRule type="cellIs" dxfId="509" priority="358" stopIfTrue="1" operator="lessThan">
      <formula>0</formula>
    </cfRule>
  </conditionalFormatting>
  <conditionalFormatting sqref="AL30">
    <cfRule type="cellIs" dxfId="508" priority="354" stopIfTrue="1" operator="lessThan">
      <formula>0</formula>
    </cfRule>
  </conditionalFormatting>
  <conditionalFormatting sqref="AL27">
    <cfRule type="cellIs" dxfId="507" priority="353" stopIfTrue="1" operator="lessThan">
      <formula>0</formula>
    </cfRule>
  </conditionalFormatting>
  <conditionalFormatting sqref="AM27:AN27">
    <cfRule type="cellIs" dxfId="506" priority="352" stopIfTrue="1" operator="lessThan">
      <formula>0</formula>
    </cfRule>
  </conditionalFormatting>
  <conditionalFormatting sqref="AO30">
    <cfRule type="cellIs" dxfId="505" priority="349" stopIfTrue="1" operator="lessThan">
      <formula>0</formula>
    </cfRule>
  </conditionalFormatting>
  <conditionalFormatting sqref="AA31 AG31:AI31">
    <cfRule type="cellIs" dxfId="504" priority="347" stopIfTrue="1" operator="lessThan">
      <formula>0</formula>
    </cfRule>
  </conditionalFormatting>
  <conditionalFormatting sqref="AC31">
    <cfRule type="cellIs" dxfId="503" priority="340" stopIfTrue="1" operator="lessThan">
      <formula>0</formula>
    </cfRule>
  </conditionalFormatting>
  <conditionalFormatting sqref="AH34">
    <cfRule type="cellIs" dxfId="502" priority="343" stopIfTrue="1" operator="lessThan">
      <formula>0</formula>
    </cfRule>
  </conditionalFormatting>
  <conditionalFormatting sqref="AI34">
    <cfRule type="cellIs" dxfId="501" priority="342" stopIfTrue="1" operator="lessThan">
      <formula>0</formula>
    </cfRule>
  </conditionalFormatting>
  <conditionalFormatting sqref="AO31">
    <cfRule type="cellIs" dxfId="500" priority="329" stopIfTrue="1" operator="lessThan">
      <formula>0</formula>
    </cfRule>
  </conditionalFormatting>
  <conditionalFormatting sqref="AE31">
    <cfRule type="cellIs" dxfId="499" priority="339" stopIfTrue="1" operator="lessThan">
      <formula>0</formula>
    </cfRule>
  </conditionalFormatting>
  <conditionalFormatting sqref="AM31:AN31">
    <cfRule type="cellIs" dxfId="498" priority="333" stopIfTrue="1" operator="lessThan">
      <formula>0</formula>
    </cfRule>
  </conditionalFormatting>
  <conditionalFormatting sqref="AN33">
    <cfRule type="cellIs" dxfId="497" priority="332" stopIfTrue="1" operator="lessThan">
      <formula>0</formula>
    </cfRule>
  </conditionalFormatting>
  <conditionalFormatting sqref="AN34">
    <cfRule type="cellIs" dxfId="496" priority="331" stopIfTrue="1" operator="lessThan">
      <formula>0</formula>
    </cfRule>
  </conditionalFormatting>
  <conditionalFormatting sqref="AC35:AC36">
    <cfRule type="cellIs" dxfId="495" priority="324" stopIfTrue="1" operator="lessThan">
      <formula>0</formula>
    </cfRule>
  </conditionalFormatting>
  <conditionalFormatting sqref="AE37">
    <cfRule type="cellIs" dxfId="494" priority="321" stopIfTrue="1" operator="lessThan">
      <formula>0</formula>
    </cfRule>
  </conditionalFormatting>
  <conditionalFormatting sqref="Z35">
    <cfRule type="cellIs" dxfId="493" priority="326" stopIfTrue="1" operator="lessThan">
      <formula>0</formula>
    </cfRule>
  </conditionalFormatting>
  <conditionalFormatting sqref="AI37">
    <cfRule type="cellIs" dxfId="492" priority="325" stopIfTrue="1" operator="lessThan">
      <formula>0</formula>
    </cfRule>
  </conditionalFormatting>
  <conditionalFormatting sqref="AO35">
    <cfRule type="cellIs" dxfId="491" priority="316" stopIfTrue="1" operator="lessThan">
      <formula>0</formula>
    </cfRule>
  </conditionalFormatting>
  <conditionalFormatting sqref="AC37">
    <cfRule type="cellIs" dxfId="490" priority="323" stopIfTrue="1" operator="lessThan">
      <formula>0</formula>
    </cfRule>
  </conditionalFormatting>
  <conditionalFormatting sqref="AE35:AE36">
    <cfRule type="cellIs" dxfId="489" priority="322" stopIfTrue="1" operator="lessThan">
      <formula>0</formula>
    </cfRule>
  </conditionalFormatting>
  <conditionalFormatting sqref="AJ35:AK36">
    <cfRule type="cellIs" dxfId="488" priority="320" stopIfTrue="1" operator="lessThan">
      <formula>0</formula>
    </cfRule>
  </conditionalFormatting>
  <conditionalFormatting sqref="AL35:AL37">
    <cfRule type="cellIs" dxfId="487" priority="319" stopIfTrue="1" operator="lessThan">
      <formula>0</formula>
    </cfRule>
  </conditionalFormatting>
  <conditionalFormatting sqref="AM35:AN36">
    <cfRule type="cellIs" dxfId="486" priority="318" stopIfTrue="1" operator="lessThan">
      <formula>0</formula>
    </cfRule>
  </conditionalFormatting>
  <conditionalFormatting sqref="AO36:AO37">
    <cfRule type="cellIs" dxfId="485" priority="317" stopIfTrue="1" operator="lessThan">
      <formula>0</formula>
    </cfRule>
  </conditionalFormatting>
  <conditionalFormatting sqref="Y22">
    <cfRule type="cellIs" dxfId="484" priority="315" stopIfTrue="1" operator="lessThan">
      <formula>0</formula>
    </cfRule>
  </conditionalFormatting>
  <conditionalFormatting sqref="Z22">
    <cfRule type="cellIs" dxfId="483" priority="314" stopIfTrue="1" operator="lessThan">
      <formula>0</formula>
    </cfRule>
  </conditionalFormatting>
  <conditionalFormatting sqref="AC24">
    <cfRule type="cellIs" dxfId="482" priority="280" stopIfTrue="1" operator="lessThan">
      <formula>0</formula>
    </cfRule>
  </conditionalFormatting>
  <conditionalFormatting sqref="AN7">
    <cfRule type="cellIs" dxfId="481" priority="298" stopIfTrue="1" operator="lessThan">
      <formula>0</formula>
    </cfRule>
  </conditionalFormatting>
  <conditionalFormatting sqref="AG24">
    <cfRule type="cellIs" dxfId="480" priority="277" stopIfTrue="1" operator="lessThan">
      <formula>0</formula>
    </cfRule>
  </conditionalFormatting>
  <conditionalFormatting sqref="AC7">
    <cfRule type="cellIs" dxfId="479" priority="301" stopIfTrue="1" operator="lessThan">
      <formula>0</formula>
    </cfRule>
  </conditionalFormatting>
  <conditionalFormatting sqref="AL24">
    <cfRule type="cellIs" dxfId="478" priority="272" stopIfTrue="1" operator="lessThan">
      <formula>0</formula>
    </cfRule>
  </conditionalFormatting>
  <conditionalFormatting sqref="AO11">
    <cfRule type="cellIs" dxfId="477" priority="253" stopIfTrue="1" operator="lessThan">
      <formula>0</formula>
    </cfRule>
  </conditionalFormatting>
  <conditionalFormatting sqref="E11">
    <cfRule type="cellIs" dxfId="476" priority="269" stopIfTrue="1" operator="lessThan">
      <formula>0</formula>
    </cfRule>
  </conditionalFormatting>
  <conditionalFormatting sqref="I24">
    <cfRule type="cellIs" dxfId="475" priority="295" stopIfTrue="1" operator="lessThan">
      <formula>0</formula>
    </cfRule>
  </conditionalFormatting>
  <conditionalFormatting sqref="AM24">
    <cfRule type="cellIs" dxfId="474" priority="273" stopIfTrue="1" operator="lessThan">
      <formula>0</formula>
    </cfRule>
  </conditionalFormatting>
  <conditionalFormatting sqref="I7">
    <cfRule type="cellIs" dxfId="473" priority="306" stopIfTrue="1" operator="lessThan">
      <formula>0</formula>
    </cfRule>
  </conditionalFormatting>
  <conditionalFormatting sqref="P11">
    <cfRule type="cellIs" dxfId="472" priority="263" stopIfTrue="1" operator="lessThan">
      <formula>0</formula>
    </cfRule>
  </conditionalFormatting>
  <conditionalFormatting sqref="AE7">
    <cfRule type="cellIs" dxfId="471" priority="300" stopIfTrue="1" operator="lessThan">
      <formula>0</formula>
    </cfRule>
  </conditionalFormatting>
  <conditionalFormatting sqref="R11">
    <cfRule type="cellIs" dxfId="470" priority="265" stopIfTrue="1" operator="lessThan">
      <formula>0</formula>
    </cfRule>
  </conditionalFormatting>
  <conditionalFormatting sqref="AL5">
    <cfRule type="cellIs" dxfId="469" priority="312" stopIfTrue="1" operator="lessThan">
      <formula>0</formula>
    </cfRule>
  </conditionalFormatting>
  <conditionalFormatting sqref="AO7">
    <cfRule type="cellIs" dxfId="468" priority="285" stopIfTrue="1" operator="lessThan">
      <formula>0</formula>
    </cfRule>
  </conditionalFormatting>
  <conditionalFormatting sqref="P7">
    <cfRule type="cellIs" dxfId="467" priority="288" stopIfTrue="1" operator="lessThan">
      <formula>0</formula>
    </cfRule>
  </conditionalFormatting>
  <conditionalFormatting sqref="E7">
    <cfRule type="cellIs" dxfId="466" priority="308" stopIfTrue="1" operator="lessThan">
      <formula>0</formula>
    </cfRule>
  </conditionalFormatting>
  <conditionalFormatting sqref="G7">
    <cfRule type="cellIs" dxfId="465" priority="307" stopIfTrue="1" operator="lessThan">
      <formula>0</formula>
    </cfRule>
  </conditionalFormatting>
  <conditionalFormatting sqref="O7">
    <cfRule type="cellIs" dxfId="464" priority="305" stopIfTrue="1" operator="lessThan">
      <formula>0</formula>
    </cfRule>
  </conditionalFormatting>
  <conditionalFormatting sqref="R7">
    <cfRule type="cellIs" dxfId="463" priority="304" stopIfTrue="1" operator="lessThan">
      <formula>0</formula>
    </cfRule>
  </conditionalFormatting>
  <conditionalFormatting sqref="AH7:AI7">
    <cfRule type="cellIs" dxfId="462" priority="303" stopIfTrue="1" operator="lessThan">
      <formula>0</formula>
    </cfRule>
  </conditionalFormatting>
  <conditionalFormatting sqref="AA7">
    <cfRule type="cellIs" dxfId="461" priority="302" stopIfTrue="1" operator="lessThan">
      <formula>0</formula>
    </cfRule>
  </conditionalFormatting>
  <conditionalFormatting sqref="AC11">
    <cfRule type="cellIs" dxfId="460" priority="259" stopIfTrue="1" operator="lessThan">
      <formula>0</formula>
    </cfRule>
  </conditionalFormatting>
  <conditionalFormatting sqref="AK11">
    <cfRule type="cellIs" dxfId="459" priority="257" stopIfTrue="1" operator="lessThan">
      <formula>0</formula>
    </cfRule>
  </conditionalFormatting>
  <conditionalFormatting sqref="O24">
    <cfRule type="cellIs" dxfId="458" priority="292" stopIfTrue="1" operator="lessThan">
      <formula>0</formula>
    </cfRule>
  </conditionalFormatting>
  <conditionalFormatting sqref="P28">
    <cfRule type="cellIs" dxfId="457" priority="245" stopIfTrue="1" operator="lessThan">
      <formula>0</formula>
    </cfRule>
  </conditionalFormatting>
  <conditionalFormatting sqref="S28">
    <cfRule type="cellIs" dxfId="456" priority="244" stopIfTrue="1" operator="lessThan">
      <formula>0</formula>
    </cfRule>
  </conditionalFormatting>
  <conditionalFormatting sqref="E24">
    <cfRule type="cellIs" dxfId="455" priority="297" stopIfTrue="1" operator="lessThan">
      <formula>0</formula>
    </cfRule>
  </conditionalFormatting>
  <conditionalFormatting sqref="G24">
    <cfRule type="cellIs" dxfId="454" priority="296" stopIfTrue="1" operator="lessThan">
      <formula>0</formula>
    </cfRule>
  </conditionalFormatting>
  <conditionalFormatting sqref="L24">
    <cfRule type="cellIs" dxfId="453" priority="294" stopIfTrue="1" operator="lessThan">
      <formula>0</formula>
    </cfRule>
  </conditionalFormatting>
  <conditionalFormatting sqref="E28">
    <cfRule type="cellIs" dxfId="452" priority="251" stopIfTrue="1" operator="lessThan">
      <formula>0</formula>
    </cfRule>
  </conditionalFormatting>
  <conditionalFormatting sqref="K24">
    <cfRule type="cellIs" dxfId="451" priority="293" stopIfTrue="1" operator="lessThan">
      <formula>0</formula>
    </cfRule>
  </conditionalFormatting>
  <conditionalFormatting sqref="N28:O28">
    <cfRule type="cellIs" dxfId="450" priority="248" stopIfTrue="1" operator="lessThan">
      <formula>0</formula>
    </cfRule>
  </conditionalFormatting>
  <conditionalFormatting sqref="N24">
    <cfRule type="cellIs" dxfId="449" priority="291" stopIfTrue="1" operator="lessThan">
      <formula>0</formula>
    </cfRule>
  </conditionalFormatting>
  <conditionalFormatting sqref="AJ28:AK28">
    <cfRule type="cellIs" dxfId="448" priority="239" stopIfTrue="1" operator="lessThan">
      <formula>0</formula>
    </cfRule>
  </conditionalFormatting>
  <conditionalFormatting sqref="R24">
    <cfRule type="cellIs" dxfId="447" priority="290" stopIfTrue="1" operator="lessThan">
      <formula>0</formula>
    </cfRule>
  </conditionalFormatting>
  <conditionalFormatting sqref="Q24">
    <cfRule type="cellIs" dxfId="446" priority="289" stopIfTrue="1" operator="lessThan">
      <formula>0</formula>
    </cfRule>
  </conditionalFormatting>
  <conditionalFormatting sqref="AA11">
    <cfRule type="cellIs" dxfId="445" priority="260" stopIfTrue="1" operator="lessThan">
      <formula>0</formula>
    </cfRule>
  </conditionalFormatting>
  <conditionalFormatting sqref="AL7">
    <cfRule type="cellIs" dxfId="444" priority="286" stopIfTrue="1" operator="lessThan">
      <formula>0</formula>
    </cfRule>
  </conditionalFormatting>
  <conditionalFormatting sqref="AI28">
    <cfRule type="cellIs" dxfId="443" priority="237" stopIfTrue="1" operator="lessThan">
      <formula>0</formula>
    </cfRule>
  </conditionalFormatting>
  <conditionalFormatting sqref="P24">
    <cfRule type="cellIs" dxfId="442" priority="284" stopIfTrue="1" operator="lessThan">
      <formula>0</formula>
    </cfRule>
  </conditionalFormatting>
  <conditionalFormatting sqref="AA24">
    <cfRule type="cellIs" dxfId="441" priority="281" stopIfTrue="1" operator="lessThan">
      <formula>0</formula>
    </cfRule>
  </conditionalFormatting>
  <conditionalFormatting sqref="AE24">
    <cfRule type="cellIs" dxfId="440" priority="279" stopIfTrue="1" operator="lessThan">
      <formula>0</formula>
    </cfRule>
  </conditionalFormatting>
  <conditionalFormatting sqref="S24">
    <cfRule type="cellIs" dxfId="439" priority="283" stopIfTrue="1" operator="lessThan">
      <formula>0</formula>
    </cfRule>
  </conditionalFormatting>
  <conditionalFormatting sqref="AI24">
    <cfRule type="cellIs" dxfId="438" priority="282" stopIfTrue="1" operator="lessThan">
      <formula>0</formula>
    </cfRule>
  </conditionalFormatting>
  <conditionalFormatting sqref="AK24">
    <cfRule type="cellIs" dxfId="437" priority="276" stopIfTrue="1" operator="lessThan">
      <formula>0</formula>
    </cfRule>
  </conditionalFormatting>
  <conditionalFormatting sqref="AJ24">
    <cfRule type="cellIs" dxfId="436" priority="275" stopIfTrue="1" operator="lessThan">
      <formula>0</formula>
    </cfRule>
  </conditionalFormatting>
  <conditionalFormatting sqref="AN24">
    <cfRule type="cellIs" dxfId="435" priority="274" stopIfTrue="1" operator="lessThan">
      <formula>0</formula>
    </cfRule>
  </conditionalFormatting>
  <conditionalFormatting sqref="AG28:AH28">
    <cfRule type="cellIs" dxfId="434" priority="243" stopIfTrue="1" operator="lessThan">
      <formula>0</formula>
    </cfRule>
  </conditionalFormatting>
  <conditionalFormatting sqref="AA28">
    <cfRule type="cellIs" dxfId="433" priority="242" stopIfTrue="1" operator="lessThan">
      <formula>0</formula>
    </cfRule>
  </conditionalFormatting>
  <conditionalFormatting sqref="I40">
    <cfRule type="cellIs" dxfId="432" priority="194" stopIfTrue="1" operator="lessThan">
      <formula>0</formula>
    </cfRule>
  </conditionalFormatting>
  <conditionalFormatting sqref="AM28:AN28">
    <cfRule type="cellIs" dxfId="431" priority="238" stopIfTrue="1" operator="lessThan">
      <formula>0</formula>
    </cfRule>
  </conditionalFormatting>
  <conditionalFormatting sqref="AO24">
    <cfRule type="cellIs" dxfId="430" priority="271" stopIfTrue="1" operator="lessThan">
      <formula>0</formula>
    </cfRule>
  </conditionalFormatting>
  <conditionalFormatting sqref="L11">
    <cfRule type="cellIs" dxfId="429" priority="270" stopIfTrue="1" operator="lessThan">
      <formula>0</formula>
    </cfRule>
  </conditionalFormatting>
  <conditionalFormatting sqref="M11">
    <cfRule type="cellIs" dxfId="428" priority="264" stopIfTrue="1" operator="lessThan">
      <formula>0</formula>
    </cfRule>
  </conditionalFormatting>
  <conditionalFormatting sqref="G11">
    <cfRule type="cellIs" dxfId="427" priority="268" stopIfTrue="1" operator="lessThan">
      <formula>0</formula>
    </cfRule>
  </conditionalFormatting>
  <conditionalFormatting sqref="I11">
    <cfRule type="cellIs" dxfId="426" priority="267" stopIfTrue="1" operator="lessThan">
      <formula>0</formula>
    </cfRule>
  </conditionalFormatting>
  <conditionalFormatting sqref="O11">
    <cfRule type="cellIs" dxfId="425" priority="266" stopIfTrue="1" operator="lessThan">
      <formula>0</formula>
    </cfRule>
  </conditionalFormatting>
  <conditionalFormatting sqref="G15">
    <cfRule type="cellIs" dxfId="424" priority="233" stopIfTrue="1" operator="lessThan">
      <formula>0</formula>
    </cfRule>
  </conditionalFormatting>
  <conditionalFormatting sqref="M28">
    <cfRule type="cellIs" dxfId="423" priority="246" stopIfTrue="1" operator="lessThan">
      <formula>0</formula>
    </cfRule>
  </conditionalFormatting>
  <conditionalFormatting sqref="AC28">
    <cfRule type="cellIs" dxfId="422" priority="241" stopIfTrue="1" operator="lessThan">
      <formula>0</formula>
    </cfRule>
  </conditionalFormatting>
  <conditionalFormatting sqref="AL28">
    <cfRule type="cellIs" dxfId="421" priority="236" stopIfTrue="1" operator="lessThan">
      <formula>0</formula>
    </cfRule>
  </conditionalFormatting>
  <conditionalFormatting sqref="AO28">
    <cfRule type="cellIs" dxfId="420" priority="235" stopIfTrue="1" operator="lessThan">
      <formula>0</formula>
    </cfRule>
  </conditionalFormatting>
  <conditionalFormatting sqref="S11">
    <cfRule type="cellIs" dxfId="419" priority="262" stopIfTrue="1" operator="lessThan">
      <formula>0</formula>
    </cfRule>
  </conditionalFormatting>
  <conditionalFormatting sqref="AH11">
    <cfRule type="cellIs" dxfId="418" priority="261" stopIfTrue="1" operator="lessThan">
      <formula>0</formula>
    </cfRule>
  </conditionalFormatting>
  <conditionalFormatting sqref="AE11">
    <cfRule type="cellIs" dxfId="417" priority="258" stopIfTrue="1" operator="lessThan">
      <formula>0</formula>
    </cfRule>
  </conditionalFormatting>
  <conditionalFormatting sqref="AN11">
    <cfRule type="cellIs" dxfId="416" priority="256" stopIfTrue="1" operator="lessThan">
      <formula>0</formula>
    </cfRule>
  </conditionalFormatting>
  <conditionalFormatting sqref="AI11">
    <cfRule type="cellIs" dxfId="415" priority="255" stopIfTrue="1" operator="lessThan">
      <formula>0</formula>
    </cfRule>
  </conditionalFormatting>
  <conditionalFormatting sqref="AL11">
    <cfRule type="cellIs" dxfId="414" priority="254" stopIfTrue="1" operator="lessThan">
      <formula>0</formula>
    </cfRule>
  </conditionalFormatting>
  <conditionalFormatting sqref="K28:L28">
    <cfRule type="cellIs" dxfId="413" priority="252" stopIfTrue="1" operator="lessThan">
      <formula>0</formula>
    </cfRule>
  </conditionalFormatting>
  <conditionalFormatting sqref="G28">
    <cfRule type="cellIs" dxfId="412" priority="250" stopIfTrue="1" operator="lessThan">
      <formula>0</formula>
    </cfRule>
  </conditionalFormatting>
  <conditionalFormatting sqref="I28">
    <cfRule type="cellIs" dxfId="411" priority="249" stopIfTrue="1" operator="lessThan">
      <formula>0</formula>
    </cfRule>
  </conditionalFormatting>
  <conditionalFormatting sqref="Q28:R28">
    <cfRule type="cellIs" dxfId="410" priority="247" stopIfTrue="1" operator="lessThan">
      <formula>0</formula>
    </cfRule>
  </conditionalFormatting>
  <conditionalFormatting sqref="AE28">
    <cfRule type="cellIs" dxfId="409" priority="240" stopIfTrue="1" operator="lessThan">
      <formula>0</formula>
    </cfRule>
  </conditionalFormatting>
  <conditionalFormatting sqref="AO15">
    <cfRule type="cellIs" dxfId="408" priority="219" stopIfTrue="1" operator="lessThan">
      <formula>0</formula>
    </cfRule>
  </conditionalFormatting>
  <conditionalFormatting sqref="S32">
    <cfRule type="cellIs" dxfId="407" priority="200" stopIfTrue="1" operator="lessThan">
      <formula>0</formula>
    </cfRule>
  </conditionalFormatting>
  <conditionalFormatting sqref="L15 E15">
    <cfRule type="cellIs" dxfId="406" priority="234" stopIfTrue="1" operator="lessThan">
      <formula>0</formula>
    </cfRule>
  </conditionalFormatting>
  <conditionalFormatting sqref="AH15 AA15">
    <cfRule type="cellIs" dxfId="405" priority="229" stopIfTrue="1" operator="lessThan">
      <formula>0</formula>
    </cfRule>
  </conditionalFormatting>
  <conditionalFormatting sqref="I15">
    <cfRule type="cellIs" dxfId="404" priority="232" stopIfTrue="1" operator="lessThan">
      <formula>0</formula>
    </cfRule>
  </conditionalFormatting>
  <conditionalFormatting sqref="O15">
    <cfRule type="cellIs" dxfId="403" priority="231" stopIfTrue="1" operator="lessThan">
      <formula>0</formula>
    </cfRule>
  </conditionalFormatting>
  <conditionalFormatting sqref="R15">
    <cfRule type="cellIs" dxfId="402" priority="230" stopIfTrue="1" operator="lessThan">
      <formula>0</formula>
    </cfRule>
  </conditionalFormatting>
  <conditionalFormatting sqref="AC15">
    <cfRule type="cellIs" dxfId="401" priority="228" stopIfTrue="1" operator="lessThan">
      <formula>0</formula>
    </cfRule>
  </conditionalFormatting>
  <conditionalFormatting sqref="AE15">
    <cfRule type="cellIs" dxfId="400" priority="227" stopIfTrue="1" operator="lessThan">
      <formula>0</formula>
    </cfRule>
  </conditionalFormatting>
  <conditionalFormatting sqref="AK15">
    <cfRule type="cellIs" dxfId="399" priority="226" stopIfTrue="1" operator="lessThan">
      <formula>0</formula>
    </cfRule>
  </conditionalFormatting>
  <conditionalFormatting sqref="P32">
    <cfRule type="cellIs" dxfId="398" priority="201" stopIfTrue="1" operator="lessThan">
      <formula>0</formula>
    </cfRule>
  </conditionalFormatting>
  <conditionalFormatting sqref="AN15">
    <cfRule type="cellIs" dxfId="397" priority="225" stopIfTrue="1" operator="lessThan">
      <formula>0</formula>
    </cfRule>
  </conditionalFormatting>
  <conditionalFormatting sqref="M15">
    <cfRule type="cellIs" dxfId="396" priority="224" stopIfTrue="1" operator="lessThan">
      <formula>0</formula>
    </cfRule>
  </conditionalFormatting>
  <conditionalFormatting sqref="P15">
    <cfRule type="cellIs" dxfId="395" priority="223" stopIfTrue="1" operator="lessThan">
      <formula>0</formula>
    </cfRule>
  </conditionalFormatting>
  <conditionalFormatting sqref="S15">
    <cfRule type="cellIs" dxfId="394" priority="222" stopIfTrue="1" operator="lessThan">
      <formula>0</formula>
    </cfRule>
  </conditionalFormatting>
  <conditionalFormatting sqref="AI15">
    <cfRule type="cellIs" dxfId="393" priority="221" stopIfTrue="1" operator="lessThan">
      <formula>0</formula>
    </cfRule>
  </conditionalFormatting>
  <conditionalFormatting sqref="AL15">
    <cfRule type="cellIs" dxfId="392" priority="220" stopIfTrue="1" operator="lessThan">
      <formula>0</formula>
    </cfRule>
  </conditionalFormatting>
  <conditionalFormatting sqref="AO32">
    <cfRule type="cellIs" dxfId="391" priority="197" stopIfTrue="1" operator="lessThan">
      <formula>0</formula>
    </cfRule>
  </conditionalFormatting>
  <conditionalFormatting sqref="AO40">
    <cfRule type="cellIs" dxfId="390" priority="186" stopIfTrue="1" operator="lessThan">
      <formula>0</formula>
    </cfRule>
  </conditionalFormatting>
  <conditionalFormatting sqref="AK32">
    <cfRule type="cellIs" dxfId="389" priority="207" stopIfTrue="1" operator="lessThan">
      <formula>0</formula>
    </cfRule>
  </conditionalFormatting>
  <conditionalFormatting sqref="L32 E32">
    <cfRule type="cellIs" dxfId="388" priority="218" stopIfTrue="1" operator="lessThan">
      <formula>0</formula>
    </cfRule>
  </conditionalFormatting>
  <conditionalFormatting sqref="G32">
    <cfRule type="cellIs" dxfId="387" priority="217" stopIfTrue="1" operator="lessThan">
      <formula>0</formula>
    </cfRule>
  </conditionalFormatting>
  <conditionalFormatting sqref="AI32">
    <cfRule type="cellIs" dxfId="386" priority="199" stopIfTrue="1" operator="lessThan">
      <formula>0</formula>
    </cfRule>
  </conditionalFormatting>
  <conditionalFormatting sqref="I32">
    <cfRule type="cellIs" dxfId="385" priority="216" stopIfTrue="1" operator="lessThan">
      <formula>0</formula>
    </cfRule>
  </conditionalFormatting>
  <conditionalFormatting sqref="O32">
    <cfRule type="cellIs" dxfId="384" priority="215" stopIfTrue="1" operator="lessThan">
      <formula>0</formula>
    </cfRule>
  </conditionalFormatting>
  <conditionalFormatting sqref="AH32 AA32">
    <cfRule type="cellIs" dxfId="383" priority="210" stopIfTrue="1" operator="lessThan">
      <formula>0</formula>
    </cfRule>
  </conditionalFormatting>
  <conditionalFormatting sqref="R32">
    <cfRule type="cellIs" dxfId="382" priority="214" stopIfTrue="1" operator="lessThan">
      <formula>0</formula>
    </cfRule>
  </conditionalFormatting>
  <conditionalFormatting sqref="AC32">
    <cfRule type="cellIs" dxfId="381" priority="209" stopIfTrue="1" operator="lessThan">
      <formula>0</formula>
    </cfRule>
  </conditionalFormatting>
  <conditionalFormatting sqref="Q32">
    <cfRule type="cellIs" dxfId="380" priority="213" stopIfTrue="1" operator="lessThan">
      <formula>0</formula>
    </cfRule>
  </conditionalFormatting>
  <conditionalFormatting sqref="N32">
    <cfRule type="cellIs" dxfId="379" priority="212" stopIfTrue="1" operator="lessThan">
      <formula>0</formula>
    </cfRule>
  </conditionalFormatting>
  <conditionalFormatting sqref="K32">
    <cfRule type="cellIs" dxfId="378" priority="211" stopIfTrue="1" operator="lessThan">
      <formula>0</formula>
    </cfRule>
  </conditionalFormatting>
  <conditionalFormatting sqref="AJ32">
    <cfRule type="cellIs" dxfId="377" priority="204" stopIfTrue="1" operator="lessThan">
      <formula>0</formula>
    </cfRule>
  </conditionalFormatting>
  <conditionalFormatting sqref="AG32">
    <cfRule type="cellIs" dxfId="376" priority="203" stopIfTrue="1" operator="lessThan">
      <formula>0</formula>
    </cfRule>
  </conditionalFormatting>
  <conditionalFormatting sqref="AE32">
    <cfRule type="cellIs" dxfId="375" priority="208" stopIfTrue="1" operator="lessThan">
      <formula>0</formula>
    </cfRule>
  </conditionalFormatting>
  <conditionalFormatting sqref="AN32">
    <cfRule type="cellIs" dxfId="374" priority="206" stopIfTrue="1" operator="lessThan">
      <formula>0</formula>
    </cfRule>
  </conditionalFormatting>
  <conditionalFormatting sqref="Z40">
    <cfRule type="cellIs" dxfId="373" priority="182" stopIfTrue="1" operator="lessThan">
      <formula>0</formula>
    </cfRule>
  </conditionalFormatting>
  <conditionalFormatting sqref="AM32">
    <cfRule type="cellIs" dxfId="372" priority="205" stopIfTrue="1" operator="lessThan">
      <formula>0</formula>
    </cfRule>
  </conditionalFormatting>
  <conditionalFormatting sqref="D40">
    <cfRule type="cellIs" dxfId="371" priority="185" stopIfTrue="1" operator="lessThan">
      <formula>0</formula>
    </cfRule>
  </conditionalFormatting>
  <conditionalFormatting sqref="M32">
    <cfRule type="cellIs" dxfId="370" priority="202" stopIfTrue="1" operator="lessThan">
      <formula>0</formula>
    </cfRule>
  </conditionalFormatting>
  <conditionalFormatting sqref="AL32">
    <cfRule type="cellIs" dxfId="369" priority="198" stopIfTrue="1" operator="lessThan">
      <formula>0</formula>
    </cfRule>
  </conditionalFormatting>
  <conditionalFormatting sqref="Y40">
    <cfRule type="cellIs" dxfId="368" priority="183" stopIfTrue="1" operator="lessThan">
      <formula>0</formula>
    </cfRule>
  </conditionalFormatting>
  <conditionalFormatting sqref="AI40">
    <cfRule type="cellIs" dxfId="367" priority="190" stopIfTrue="1" operator="lessThan">
      <formula>0</formula>
    </cfRule>
  </conditionalFormatting>
  <conditionalFormatting sqref="M40">
    <cfRule type="cellIs" dxfId="366" priority="196" stopIfTrue="1" operator="lessThan">
      <formula>0</formula>
    </cfRule>
  </conditionalFormatting>
  <conditionalFormatting sqref="G40">
    <cfRule type="cellIs" dxfId="365" priority="195" stopIfTrue="1" operator="lessThan">
      <formula>0</formula>
    </cfRule>
  </conditionalFormatting>
  <conditionalFormatting sqref="P40">
    <cfRule type="cellIs" dxfId="364" priority="193" stopIfTrue="1" operator="lessThan">
      <formula>0</formula>
    </cfRule>
  </conditionalFormatting>
  <conditionalFormatting sqref="S40">
    <cfRule type="cellIs" dxfId="363" priority="192" stopIfTrue="1" operator="lessThan">
      <formula>0</formula>
    </cfRule>
  </conditionalFormatting>
  <conditionalFormatting sqref="C40">
    <cfRule type="cellIs" dxfId="362" priority="191" stopIfTrue="1" operator="lessThan">
      <formula>0</formula>
    </cfRule>
  </conditionalFormatting>
  <conditionalFormatting sqref="AC40">
    <cfRule type="cellIs" dxfId="361" priority="189" stopIfTrue="1" operator="lessThan">
      <formula>0</formula>
    </cfRule>
  </conditionalFormatting>
  <conditionalFormatting sqref="AE40">
    <cfRule type="cellIs" dxfId="360" priority="188" stopIfTrue="1" operator="lessThan">
      <formula>0</formula>
    </cfRule>
  </conditionalFormatting>
  <conditionalFormatting sqref="AL40">
    <cfRule type="cellIs" dxfId="359" priority="187" stopIfTrue="1" operator="lessThan">
      <formula>0</formula>
    </cfRule>
  </conditionalFormatting>
  <conditionalFormatting sqref="K34">
    <cfRule type="cellIs" dxfId="358" priority="138" stopIfTrue="1" operator="lessThan">
      <formula>0</formula>
    </cfRule>
  </conditionalFormatting>
  <conditionalFormatting sqref="K40">
    <cfRule type="cellIs" dxfId="357" priority="184" stopIfTrue="1" operator="lessThan">
      <formula>0</formula>
    </cfRule>
  </conditionalFormatting>
  <conditionalFormatting sqref="AG29">
    <cfRule type="cellIs" dxfId="356" priority="147" stopIfTrue="1" operator="lessThan">
      <formula>0</formula>
    </cfRule>
  </conditionalFormatting>
  <conditionalFormatting sqref="N33">
    <cfRule type="cellIs" dxfId="355" priority="137" stopIfTrue="1" operator="lessThan">
      <formula>0</formula>
    </cfRule>
  </conditionalFormatting>
  <conditionalFormatting sqref="AM34">
    <cfRule type="cellIs" dxfId="354" priority="128" stopIfTrue="1" operator="lessThan">
      <formula>0</formula>
    </cfRule>
  </conditionalFormatting>
  <conditionalFormatting sqref="Q30">
    <cfRule type="cellIs" dxfId="353" priority="144" stopIfTrue="1" operator="lessThan">
      <formula>0</formula>
    </cfRule>
  </conditionalFormatting>
  <conditionalFormatting sqref="AG30">
    <cfRule type="cellIs" dxfId="352" priority="146" stopIfTrue="1" operator="lessThan">
      <formula>0</formula>
    </cfRule>
  </conditionalFormatting>
  <conditionalFormatting sqref="AM30">
    <cfRule type="cellIs" dxfId="351" priority="150" stopIfTrue="1" operator="lessThan">
      <formula>0</formula>
    </cfRule>
  </conditionalFormatting>
  <conditionalFormatting sqref="AM7">
    <cfRule type="cellIs" dxfId="350" priority="123" stopIfTrue="1" operator="lessThan">
      <formula>0</formula>
    </cfRule>
  </conditionalFormatting>
  <conditionalFormatting sqref="AJ30">
    <cfRule type="cellIs" dxfId="349" priority="148" stopIfTrue="1" operator="lessThan">
      <formula>0</formula>
    </cfRule>
  </conditionalFormatting>
  <conditionalFormatting sqref="AM11">
    <cfRule type="cellIs" dxfId="348" priority="122" stopIfTrue="1" operator="lessThan">
      <formula>0</formula>
    </cfRule>
  </conditionalFormatting>
  <conditionalFormatting sqref="N29">
    <cfRule type="cellIs" dxfId="347" priority="143" stopIfTrue="1" operator="lessThan">
      <formula>0</formula>
    </cfRule>
  </conditionalFormatting>
  <conditionalFormatting sqref="Q29">
    <cfRule type="cellIs" dxfId="346" priority="145" stopIfTrue="1" operator="lessThan">
      <formula>0</formula>
    </cfRule>
  </conditionalFormatting>
  <conditionalFormatting sqref="AM26">
    <cfRule type="cellIs" dxfId="345" priority="152" stopIfTrue="1" operator="lessThan">
      <formula>0</formula>
    </cfRule>
  </conditionalFormatting>
  <conditionalFormatting sqref="N30">
    <cfRule type="cellIs" dxfId="344" priority="142" stopIfTrue="1" operator="lessThan">
      <formula>0</formula>
    </cfRule>
  </conditionalFormatting>
  <conditionalFormatting sqref="Q33">
    <cfRule type="cellIs" dxfId="343" priority="135" stopIfTrue="1" operator="lessThan">
      <formula>0</formula>
    </cfRule>
  </conditionalFormatting>
  <conditionalFormatting sqref="AM16">
    <cfRule type="cellIs" dxfId="342" priority="162" stopIfTrue="1" operator="lessThan">
      <formula>0</formula>
    </cfRule>
  </conditionalFormatting>
  <conditionalFormatting sqref="AJ34">
    <cfRule type="cellIs" dxfId="341" priority="130" stopIfTrue="1" operator="lessThan">
      <formula>0</formula>
    </cfRule>
  </conditionalFormatting>
  <conditionalFormatting sqref="AG25">
    <cfRule type="cellIs" dxfId="340" priority="157" stopIfTrue="1" operator="lessThan">
      <formula>0</formula>
    </cfRule>
  </conditionalFormatting>
  <conditionalFormatting sqref="AJ11">
    <cfRule type="cellIs" dxfId="339" priority="121" stopIfTrue="1" operator="lessThan">
      <formula>0</formula>
    </cfRule>
  </conditionalFormatting>
  <conditionalFormatting sqref="N11">
    <cfRule type="cellIs" dxfId="338" priority="118" stopIfTrue="1" operator="lessThan">
      <formula>0</formula>
    </cfRule>
  </conditionalFormatting>
  <conditionalFormatting sqref="AA40">
    <cfRule type="cellIs" dxfId="337" priority="181" stopIfTrue="1" operator="lessThan">
      <formula>0</formula>
    </cfRule>
  </conditionalFormatting>
  <conditionalFormatting sqref="AA37">
    <cfRule type="cellIs" dxfId="336" priority="180" stopIfTrue="1" operator="lessThan">
      <formula>0</formula>
    </cfRule>
  </conditionalFormatting>
  <conditionalFormatting sqref="E40">
    <cfRule type="cellIs" dxfId="335" priority="179" stopIfTrue="1" operator="lessThan">
      <formula>0</formula>
    </cfRule>
  </conditionalFormatting>
  <conditionalFormatting sqref="AG11">
    <cfRule type="cellIs" dxfId="334" priority="120" stopIfTrue="1" operator="lessThan">
      <formula>0</formula>
    </cfRule>
  </conditionalFormatting>
  <conditionalFormatting sqref="K30">
    <cfRule type="cellIs" dxfId="333" priority="140" stopIfTrue="1" operator="lessThan">
      <formula>0</formula>
    </cfRule>
  </conditionalFormatting>
  <conditionalFormatting sqref="AJ26">
    <cfRule type="cellIs" dxfId="332" priority="154" stopIfTrue="1" operator="lessThan">
      <formula>0</formula>
    </cfRule>
  </conditionalFormatting>
  <conditionalFormatting sqref="AM15">
    <cfRule type="cellIs" dxfId="331" priority="111" stopIfTrue="1" operator="lessThan">
      <formula>0</formula>
    </cfRule>
  </conditionalFormatting>
  <conditionalFormatting sqref="N34">
    <cfRule type="cellIs" dxfId="330" priority="136" stopIfTrue="1" operator="lessThan">
      <formula>0</formula>
    </cfRule>
  </conditionalFormatting>
  <conditionalFormatting sqref="K15">
    <cfRule type="cellIs" dxfId="329" priority="116" stopIfTrue="1" operator="lessThan">
      <formula>0</formula>
    </cfRule>
  </conditionalFormatting>
  <conditionalFormatting sqref="AJ33">
    <cfRule type="cellIs" dxfId="328" priority="131" stopIfTrue="1" operator="lessThan">
      <formula>0</formula>
    </cfRule>
  </conditionalFormatting>
  <conditionalFormatting sqref="K33">
    <cfRule type="cellIs" dxfId="327" priority="139" stopIfTrue="1" operator="lessThan">
      <formula>0</formula>
    </cfRule>
  </conditionalFormatting>
  <conditionalFormatting sqref="AG34">
    <cfRule type="cellIs" dxfId="326" priority="132" stopIfTrue="1" operator="lessThan">
      <formula>0</formula>
    </cfRule>
  </conditionalFormatting>
  <conditionalFormatting sqref="AG33">
    <cfRule type="cellIs" dxfId="325" priority="133" stopIfTrue="1" operator="lessThan">
      <formula>0</formula>
    </cfRule>
  </conditionalFormatting>
  <conditionalFormatting sqref="Q34">
    <cfRule type="cellIs" dxfId="324" priority="134" stopIfTrue="1" operator="lessThan">
      <formula>0</formula>
    </cfRule>
  </conditionalFormatting>
  <conditionalFormatting sqref="AJ29">
    <cfRule type="cellIs" dxfId="323" priority="149" stopIfTrue="1" operator="lessThan">
      <formula>0</formula>
    </cfRule>
  </conditionalFormatting>
  <conditionalFormatting sqref="N8">
    <cfRule type="cellIs" dxfId="322" priority="178" stopIfTrue="1" operator="lessThan">
      <formula>0</formula>
    </cfRule>
  </conditionalFormatting>
  <conditionalFormatting sqref="Q8">
    <cfRule type="cellIs" dxfId="321" priority="177" stopIfTrue="1" operator="lessThan">
      <formula>0</formula>
    </cfRule>
  </conditionalFormatting>
  <conditionalFormatting sqref="AG8">
    <cfRule type="cellIs" dxfId="320" priority="176" stopIfTrue="1" operator="lessThan">
      <formula>0</formula>
    </cfRule>
  </conditionalFormatting>
  <conditionalFormatting sqref="AJ8">
    <cfRule type="cellIs" dxfId="319" priority="175" stopIfTrue="1" operator="lessThan">
      <formula>0</formula>
    </cfRule>
  </conditionalFormatting>
  <conditionalFormatting sqref="AM8">
    <cfRule type="cellIs" dxfId="318" priority="174" stopIfTrue="1" operator="lessThan">
      <formula>0</formula>
    </cfRule>
  </conditionalFormatting>
  <conditionalFormatting sqref="AM12">
    <cfRule type="cellIs" dxfId="317" priority="173" stopIfTrue="1" operator="lessThan">
      <formula>0</formula>
    </cfRule>
  </conditionalFormatting>
  <conditionalFormatting sqref="AJ12">
    <cfRule type="cellIs" dxfId="316" priority="172" stopIfTrue="1" operator="lessThan">
      <formula>0</formula>
    </cfRule>
  </conditionalFormatting>
  <conditionalFormatting sqref="AG12">
    <cfRule type="cellIs" dxfId="315" priority="171" stopIfTrue="1" operator="lessThan">
      <formula>0</formula>
    </cfRule>
  </conditionalFormatting>
  <conditionalFormatting sqref="Q12">
    <cfRule type="cellIs" dxfId="314" priority="170" stopIfTrue="1" operator="lessThan">
      <formula>0</formula>
    </cfRule>
  </conditionalFormatting>
  <conditionalFormatting sqref="N12">
    <cfRule type="cellIs" dxfId="313" priority="169" stopIfTrue="1" operator="lessThan">
      <formula>0</formula>
    </cfRule>
  </conditionalFormatting>
  <conditionalFormatting sqref="K12">
    <cfRule type="cellIs" dxfId="312" priority="168" stopIfTrue="1" operator="lessThan">
      <formula>0</formula>
    </cfRule>
  </conditionalFormatting>
  <conditionalFormatting sqref="K16">
    <cfRule type="cellIs" dxfId="311" priority="167" stopIfTrue="1" operator="lessThan">
      <formula>0</formula>
    </cfRule>
  </conditionalFormatting>
  <conditionalFormatting sqref="N16">
    <cfRule type="cellIs" dxfId="310" priority="166" stopIfTrue="1" operator="lessThan">
      <formula>0</formula>
    </cfRule>
  </conditionalFormatting>
  <conditionalFormatting sqref="Q16">
    <cfRule type="cellIs" dxfId="309" priority="165" stopIfTrue="1" operator="lessThan">
      <formula>0</formula>
    </cfRule>
  </conditionalFormatting>
  <conditionalFormatting sqref="AG16">
    <cfRule type="cellIs" dxfId="308" priority="164" stopIfTrue="1" operator="lessThan">
      <formula>0</formula>
    </cfRule>
  </conditionalFormatting>
  <conditionalFormatting sqref="AJ16">
    <cfRule type="cellIs" dxfId="307" priority="163" stopIfTrue="1" operator="lessThan">
      <formula>0</formula>
    </cfRule>
  </conditionalFormatting>
  <conditionalFormatting sqref="N25">
    <cfRule type="cellIs" dxfId="306" priority="161" stopIfTrue="1" operator="lessThan">
      <formula>0</formula>
    </cfRule>
  </conditionalFormatting>
  <conditionalFormatting sqref="N26">
    <cfRule type="cellIs" dxfId="305" priority="160" stopIfTrue="1" operator="lessThan">
      <formula>0</formula>
    </cfRule>
  </conditionalFormatting>
  <conditionalFormatting sqref="Q25">
    <cfRule type="cellIs" dxfId="304" priority="159" stopIfTrue="1" operator="lessThan">
      <formula>0</formula>
    </cfRule>
  </conditionalFormatting>
  <conditionalFormatting sqref="Q26">
    <cfRule type="cellIs" dxfId="303" priority="158" stopIfTrue="1" operator="lessThan">
      <formula>0</formula>
    </cfRule>
  </conditionalFormatting>
  <conditionalFormatting sqref="AG26">
    <cfRule type="cellIs" dxfId="302" priority="156" stopIfTrue="1" operator="lessThan">
      <formula>0</formula>
    </cfRule>
  </conditionalFormatting>
  <conditionalFormatting sqref="AJ25">
    <cfRule type="cellIs" dxfId="301" priority="155" stopIfTrue="1" operator="lessThan">
      <formula>0</formula>
    </cfRule>
  </conditionalFormatting>
  <conditionalFormatting sqref="AM25">
    <cfRule type="cellIs" dxfId="300" priority="153" stopIfTrue="1" operator="lessThan">
      <formula>0</formula>
    </cfRule>
  </conditionalFormatting>
  <conditionalFormatting sqref="AM29">
    <cfRule type="cellIs" dxfId="299" priority="151" stopIfTrue="1" operator="lessThan">
      <formula>0</formula>
    </cfRule>
  </conditionalFormatting>
  <conditionalFormatting sqref="K29">
    <cfRule type="cellIs" dxfId="298" priority="141" stopIfTrue="1" operator="lessThan">
      <formula>0</formula>
    </cfRule>
  </conditionalFormatting>
  <conditionalFormatting sqref="AM33">
    <cfRule type="cellIs" dxfId="297" priority="129" stopIfTrue="1" operator="lessThan">
      <formula>0</formula>
    </cfRule>
  </conditionalFormatting>
  <conditionalFormatting sqref="N7">
    <cfRule type="cellIs" dxfId="296" priority="127" stopIfTrue="1" operator="lessThan">
      <formula>0</formula>
    </cfRule>
  </conditionalFormatting>
  <conditionalFormatting sqref="Q7">
    <cfRule type="cellIs" dxfId="295" priority="126" stopIfTrue="1" operator="lessThan">
      <formula>0</formula>
    </cfRule>
  </conditionalFormatting>
  <conditionalFormatting sqref="AG7">
    <cfRule type="cellIs" dxfId="294" priority="125" stopIfTrue="1" operator="lessThan">
      <formula>0</formula>
    </cfRule>
  </conditionalFormatting>
  <conditionalFormatting sqref="AJ7">
    <cfRule type="cellIs" dxfId="293" priority="124" stopIfTrue="1" operator="lessThan">
      <formula>0</formula>
    </cfRule>
  </conditionalFormatting>
  <conditionalFormatting sqref="Q11">
    <cfRule type="cellIs" dxfId="292" priority="119" stopIfTrue="1" operator="lessThan">
      <formula>0</formula>
    </cfRule>
  </conditionalFormatting>
  <conditionalFormatting sqref="K11">
    <cfRule type="cellIs" dxfId="291" priority="117" stopIfTrue="1" operator="lessThan">
      <formula>0</formula>
    </cfRule>
  </conditionalFormatting>
  <conditionalFormatting sqref="N15">
    <cfRule type="cellIs" dxfId="290" priority="115" stopIfTrue="1" operator="lessThan">
      <formula>0</formula>
    </cfRule>
  </conditionalFormatting>
  <conditionalFormatting sqref="Q15">
    <cfRule type="cellIs" dxfId="289" priority="114" stopIfTrue="1" operator="lessThan">
      <formula>0</formula>
    </cfRule>
  </conditionalFormatting>
  <conditionalFormatting sqref="AG15">
    <cfRule type="cellIs" dxfId="288" priority="113" stopIfTrue="1" operator="lessThan">
      <formula>0</formula>
    </cfRule>
  </conditionalFormatting>
  <conditionalFormatting sqref="AJ15">
    <cfRule type="cellIs" dxfId="287" priority="112" stopIfTrue="1" operator="lessThan">
      <formula>0</formula>
    </cfRule>
  </conditionalFormatting>
  <conditionalFormatting sqref="C25 C23">
    <cfRule type="cellIs" dxfId="286" priority="110" stopIfTrue="1" operator="lessThan">
      <formula>0</formula>
    </cfRule>
  </conditionalFormatting>
  <conditionalFormatting sqref="C26">
    <cfRule type="cellIs" dxfId="285" priority="109" stopIfTrue="1" operator="lessThan">
      <formula>0</formula>
    </cfRule>
  </conditionalFormatting>
  <conditionalFormatting sqref="D25 D23">
    <cfRule type="cellIs" dxfId="284" priority="108" stopIfTrue="1" operator="lessThan">
      <formula>0</formula>
    </cfRule>
  </conditionalFormatting>
  <conditionalFormatting sqref="D26">
    <cfRule type="cellIs" dxfId="283" priority="107" stopIfTrue="1" operator="lessThan">
      <formula>0</formula>
    </cfRule>
  </conditionalFormatting>
  <conditionalFormatting sqref="C29 C27">
    <cfRule type="cellIs" dxfId="282" priority="106" stopIfTrue="1" operator="lessThan">
      <formula>0</formula>
    </cfRule>
  </conditionalFormatting>
  <conditionalFormatting sqref="D29 D27">
    <cfRule type="cellIs" dxfId="281" priority="104" stopIfTrue="1" operator="lessThan">
      <formula>0</formula>
    </cfRule>
  </conditionalFormatting>
  <conditionalFormatting sqref="C30">
    <cfRule type="cellIs" dxfId="280" priority="105" stopIfTrue="1" operator="lessThan">
      <formula>0</formula>
    </cfRule>
  </conditionalFormatting>
  <conditionalFormatting sqref="D30">
    <cfRule type="cellIs" dxfId="279" priority="103" stopIfTrue="1" operator="lessThan">
      <formula>0</formula>
    </cfRule>
  </conditionalFormatting>
  <conditionalFormatting sqref="C33 C31">
    <cfRule type="cellIs" dxfId="278" priority="102" stopIfTrue="1" operator="lessThan">
      <formula>0</formula>
    </cfRule>
  </conditionalFormatting>
  <conditionalFormatting sqref="C34">
    <cfRule type="cellIs" dxfId="277" priority="101" stopIfTrue="1" operator="lessThan">
      <formula>0</formula>
    </cfRule>
  </conditionalFormatting>
  <conditionalFormatting sqref="D33 D31">
    <cfRule type="cellIs" dxfId="276" priority="100" stopIfTrue="1" operator="lessThan">
      <formula>0</formula>
    </cfRule>
  </conditionalFormatting>
  <conditionalFormatting sqref="D34">
    <cfRule type="cellIs" dxfId="275" priority="99" stopIfTrue="1" operator="lessThan">
      <formula>0</formula>
    </cfRule>
  </conditionalFormatting>
  <conditionalFormatting sqref="C35:C36">
    <cfRule type="cellIs" dxfId="274" priority="98" stopIfTrue="1" operator="lessThan">
      <formula>0</formula>
    </cfRule>
  </conditionalFormatting>
  <conditionalFormatting sqref="D35:D36">
    <cfRule type="cellIs" dxfId="273" priority="97" stopIfTrue="1" operator="lessThan">
      <formula>0</formula>
    </cfRule>
  </conditionalFormatting>
  <conditionalFormatting sqref="D28">
    <cfRule type="cellIs" dxfId="272" priority="93" stopIfTrue="1" operator="lessThan">
      <formula>0</formula>
    </cfRule>
  </conditionalFormatting>
  <conditionalFormatting sqref="C24">
    <cfRule type="cellIs" dxfId="271" priority="96" stopIfTrue="1" operator="lessThan">
      <formula>0</formula>
    </cfRule>
  </conditionalFormatting>
  <conditionalFormatting sqref="D24">
    <cfRule type="cellIs" dxfId="270" priority="95" stopIfTrue="1" operator="lessThan">
      <formula>0</formula>
    </cfRule>
  </conditionalFormatting>
  <conditionalFormatting sqref="C28">
    <cfRule type="cellIs" dxfId="269" priority="94" stopIfTrue="1" operator="lessThan">
      <formula>0</formula>
    </cfRule>
  </conditionalFormatting>
  <conditionalFormatting sqref="C32">
    <cfRule type="cellIs" dxfId="268" priority="92" stopIfTrue="1" operator="lessThan">
      <formula>0</formula>
    </cfRule>
  </conditionalFormatting>
  <conditionalFormatting sqref="D32">
    <cfRule type="cellIs" dxfId="267" priority="91" stopIfTrue="1" operator="lessThan">
      <formula>0</formula>
    </cfRule>
  </conditionalFormatting>
  <conditionalFormatting sqref="C37">
    <cfRule type="cellIs" dxfId="266" priority="90" stopIfTrue="1" operator="lessThan">
      <formula>0</formula>
    </cfRule>
  </conditionalFormatting>
  <conditionalFormatting sqref="D37">
    <cfRule type="cellIs" dxfId="265" priority="89" stopIfTrue="1" operator="lessThan">
      <formula>0</formula>
    </cfRule>
  </conditionalFormatting>
  <conditionalFormatting sqref="D20">
    <cfRule type="cellIs" dxfId="264" priority="76" stopIfTrue="1" operator="lessThan">
      <formula>0</formula>
    </cfRule>
  </conditionalFormatting>
  <conditionalFormatting sqref="C7:C9">
    <cfRule type="cellIs" dxfId="263" priority="88" stopIfTrue="1" operator="lessThan">
      <formula>0</formula>
    </cfRule>
  </conditionalFormatting>
  <conditionalFormatting sqref="D7">
    <cfRule type="cellIs" dxfId="262" priority="87" stopIfTrue="1" operator="lessThan">
      <formula>0</formula>
    </cfRule>
  </conditionalFormatting>
  <conditionalFormatting sqref="D8:D9">
    <cfRule type="cellIs" dxfId="261" priority="86" stopIfTrue="1" operator="lessThan">
      <formula>0</formula>
    </cfRule>
  </conditionalFormatting>
  <conditionalFormatting sqref="C11:C13">
    <cfRule type="cellIs" dxfId="260" priority="85" stopIfTrue="1" operator="lessThan">
      <formula>0</formula>
    </cfRule>
  </conditionalFormatting>
  <conditionalFormatting sqref="D11">
    <cfRule type="cellIs" dxfId="259" priority="84" stopIfTrue="1" operator="lessThan">
      <formula>0</formula>
    </cfRule>
  </conditionalFormatting>
  <conditionalFormatting sqref="D12:D13">
    <cfRule type="cellIs" dxfId="258" priority="83" stopIfTrue="1" operator="lessThan">
      <formula>0</formula>
    </cfRule>
  </conditionalFormatting>
  <conditionalFormatting sqref="C15:C17">
    <cfRule type="cellIs" dxfId="257" priority="82" stopIfTrue="1" operator="lessThan">
      <formula>0</formula>
    </cfRule>
  </conditionalFormatting>
  <conditionalFormatting sqref="D15">
    <cfRule type="cellIs" dxfId="256" priority="81" stopIfTrue="1" operator="lessThan">
      <formula>0</formula>
    </cfRule>
  </conditionalFormatting>
  <conditionalFormatting sqref="D16:D17">
    <cfRule type="cellIs" dxfId="255" priority="80" stopIfTrue="1" operator="lessThan">
      <formula>0</formula>
    </cfRule>
  </conditionalFormatting>
  <conditionalFormatting sqref="C19">
    <cfRule type="cellIs" dxfId="254" priority="79" stopIfTrue="1" operator="lessThan">
      <formula>0</formula>
    </cfRule>
  </conditionalFormatting>
  <conditionalFormatting sqref="D19">
    <cfRule type="cellIs" dxfId="253" priority="78" stopIfTrue="1" operator="lessThan">
      <formula>0</formula>
    </cfRule>
  </conditionalFormatting>
  <conditionalFormatting sqref="C20">
    <cfRule type="cellIs" dxfId="252" priority="77" stopIfTrue="1" operator="lessThan">
      <formula>0</formula>
    </cfRule>
  </conditionalFormatting>
  <conditionalFormatting sqref="Y25">
    <cfRule type="cellIs" dxfId="251" priority="75" stopIfTrue="1" operator="lessThan">
      <formula>0</formula>
    </cfRule>
  </conditionalFormatting>
  <conditionalFormatting sqref="Y26">
    <cfRule type="cellIs" dxfId="250" priority="74" stopIfTrue="1" operator="lessThan">
      <formula>0</formula>
    </cfRule>
  </conditionalFormatting>
  <conditionalFormatting sqref="Z25">
    <cfRule type="cellIs" dxfId="249" priority="73" stopIfTrue="1" operator="lessThan">
      <formula>0</formula>
    </cfRule>
  </conditionalFormatting>
  <conditionalFormatting sqref="Z26">
    <cfRule type="cellIs" dxfId="248" priority="72" stopIfTrue="1" operator="lessThan">
      <formula>0</formula>
    </cfRule>
  </conditionalFormatting>
  <conditionalFormatting sqref="Y24">
    <cfRule type="cellIs" dxfId="247" priority="71" stopIfTrue="1" operator="lessThan">
      <formula>0</formula>
    </cfRule>
  </conditionalFormatting>
  <conditionalFormatting sqref="Z24">
    <cfRule type="cellIs" dxfId="246" priority="70" stopIfTrue="1" operator="lessThan">
      <formula>0</formula>
    </cfRule>
  </conditionalFormatting>
  <conditionalFormatting sqref="Y29">
    <cfRule type="cellIs" dxfId="245" priority="69" stopIfTrue="1" operator="lessThan">
      <formula>0</formula>
    </cfRule>
  </conditionalFormatting>
  <conditionalFormatting sqref="Z29">
    <cfRule type="cellIs" dxfId="244" priority="67" stopIfTrue="1" operator="lessThan">
      <formula>0</formula>
    </cfRule>
  </conditionalFormatting>
  <conditionalFormatting sqref="Y30">
    <cfRule type="cellIs" dxfId="243" priority="68" stopIfTrue="1" operator="lessThan">
      <formula>0</formula>
    </cfRule>
  </conditionalFormatting>
  <conditionalFormatting sqref="Z30">
    <cfRule type="cellIs" dxfId="242" priority="66" stopIfTrue="1" operator="lessThan">
      <formula>0</formula>
    </cfRule>
  </conditionalFormatting>
  <conditionalFormatting sqref="Z28">
    <cfRule type="cellIs" dxfId="241" priority="64" stopIfTrue="1" operator="lessThan">
      <formula>0</formula>
    </cfRule>
  </conditionalFormatting>
  <conditionalFormatting sqref="Y28">
    <cfRule type="cellIs" dxfId="240" priority="65" stopIfTrue="1" operator="lessThan">
      <formula>0</formula>
    </cfRule>
  </conditionalFormatting>
  <conditionalFormatting sqref="Y33">
    <cfRule type="cellIs" dxfId="239" priority="63" stopIfTrue="1" operator="lessThan">
      <formula>0</formula>
    </cfRule>
  </conditionalFormatting>
  <conditionalFormatting sqref="Y34">
    <cfRule type="cellIs" dxfId="238" priority="62" stopIfTrue="1" operator="lessThan">
      <formula>0</formula>
    </cfRule>
  </conditionalFormatting>
  <conditionalFormatting sqref="Z33">
    <cfRule type="cellIs" dxfId="237" priority="61" stopIfTrue="1" operator="lessThan">
      <formula>0</formula>
    </cfRule>
  </conditionalFormatting>
  <conditionalFormatting sqref="Z34">
    <cfRule type="cellIs" dxfId="236" priority="60" stopIfTrue="1" operator="lessThan">
      <formula>0</formula>
    </cfRule>
  </conditionalFormatting>
  <conditionalFormatting sqref="Y32">
    <cfRule type="cellIs" dxfId="235" priority="59" stopIfTrue="1" operator="lessThan">
      <formula>0</formula>
    </cfRule>
  </conditionalFormatting>
  <conditionalFormatting sqref="Z32">
    <cfRule type="cellIs" dxfId="234" priority="58" stopIfTrue="1" operator="lessThan">
      <formula>0</formula>
    </cfRule>
  </conditionalFormatting>
  <conditionalFormatting sqref="Y36">
    <cfRule type="cellIs" dxfId="233" priority="57" stopIfTrue="1" operator="lessThan">
      <formula>0</formula>
    </cfRule>
  </conditionalFormatting>
  <conditionalFormatting sqref="Z36">
    <cfRule type="cellIs" dxfId="232" priority="56" stopIfTrue="1" operator="lessThan">
      <formula>0</formula>
    </cfRule>
  </conditionalFormatting>
  <conditionalFormatting sqref="Y37">
    <cfRule type="cellIs" dxfId="231" priority="55" stopIfTrue="1" operator="lessThan">
      <formula>0</formula>
    </cfRule>
  </conditionalFormatting>
  <conditionalFormatting sqref="Z37">
    <cfRule type="cellIs" dxfId="230" priority="54" stopIfTrue="1" operator="lessThan">
      <formula>0</formula>
    </cfRule>
  </conditionalFormatting>
  <conditionalFormatting sqref="Y7:Y9">
    <cfRule type="cellIs" dxfId="229" priority="53" stopIfTrue="1" operator="lessThan">
      <formula>0</formula>
    </cfRule>
  </conditionalFormatting>
  <conditionalFormatting sqref="Z7">
    <cfRule type="cellIs" dxfId="228" priority="52" stopIfTrue="1" operator="lessThan">
      <formula>0</formula>
    </cfRule>
  </conditionalFormatting>
  <conditionalFormatting sqref="Z8:Z9">
    <cfRule type="cellIs" dxfId="227" priority="51" stopIfTrue="1" operator="lessThan">
      <formula>0</formula>
    </cfRule>
  </conditionalFormatting>
  <conditionalFormatting sqref="Y11:Y13">
    <cfRule type="cellIs" dxfId="226" priority="50" stopIfTrue="1" operator="lessThan">
      <formula>0</formula>
    </cfRule>
  </conditionalFormatting>
  <conditionalFormatting sqref="Z11">
    <cfRule type="cellIs" dxfId="225" priority="49" stopIfTrue="1" operator="lessThan">
      <formula>0</formula>
    </cfRule>
  </conditionalFormatting>
  <conditionalFormatting sqref="Z12:Z13">
    <cfRule type="cellIs" dxfId="224" priority="48" stopIfTrue="1" operator="lessThan">
      <formula>0</formula>
    </cfRule>
  </conditionalFormatting>
  <conditionalFormatting sqref="Y15:Y17">
    <cfRule type="cellIs" dxfId="223" priority="47" stopIfTrue="1" operator="lessThan">
      <formula>0</formula>
    </cfRule>
  </conditionalFormatting>
  <conditionalFormatting sqref="Z15">
    <cfRule type="cellIs" dxfId="222" priority="46" stopIfTrue="1" operator="lessThan">
      <formula>0</formula>
    </cfRule>
  </conditionalFormatting>
  <conditionalFormatting sqref="Z16:Z17">
    <cfRule type="cellIs" dxfId="221" priority="45" stopIfTrue="1" operator="lessThan">
      <formula>0</formula>
    </cfRule>
  </conditionalFormatting>
  <conditionalFormatting sqref="Z20">
    <cfRule type="cellIs" dxfId="220" priority="41" stopIfTrue="1" operator="lessThan">
      <formula>0</formula>
    </cfRule>
  </conditionalFormatting>
  <conditionalFormatting sqref="Y19">
    <cfRule type="cellIs" dxfId="219" priority="44" stopIfTrue="1" operator="lessThan">
      <formula>0</formula>
    </cfRule>
  </conditionalFormatting>
  <conditionalFormatting sqref="Z19">
    <cfRule type="cellIs" dxfId="218" priority="43" stopIfTrue="1" operator="lessThan">
      <formula>0</formula>
    </cfRule>
  </conditionalFormatting>
  <conditionalFormatting sqref="Y20">
    <cfRule type="cellIs" dxfId="217" priority="42" stopIfTrue="1" operator="lessThan">
      <formula>0</formula>
    </cfRule>
  </conditionalFormatting>
  <conditionalFormatting sqref="C47:E50">
    <cfRule type="cellIs" dxfId="216" priority="39" stopIfTrue="1" operator="lessThan">
      <formula>0</formula>
    </cfRule>
  </conditionalFormatting>
  <conditionalFormatting sqref="C48:E48">
    <cfRule type="cellIs" dxfId="215" priority="40" stopIfTrue="1" operator="lessThan">
      <formula>0</formula>
    </cfRule>
  </conditionalFormatting>
  <conditionalFormatting sqref="E20">
    <cfRule type="cellIs" dxfId="214" priority="36" stopIfTrue="1" operator="lessThan">
      <formula>0</formula>
    </cfRule>
  </conditionalFormatting>
  <conditionalFormatting sqref="G20">
    <cfRule type="cellIs" dxfId="213" priority="35" stopIfTrue="1" operator="lessThan">
      <formula>0</formula>
    </cfRule>
  </conditionalFormatting>
  <conditionalFormatting sqref="I20">
    <cfRule type="cellIs" dxfId="212" priority="34" stopIfTrue="1" operator="lessThan">
      <formula>0</formula>
    </cfRule>
  </conditionalFormatting>
  <conditionalFormatting sqref="K20:L20">
    <cfRule type="cellIs" dxfId="211" priority="33" stopIfTrue="1" operator="lessThan">
      <formula>0</formula>
    </cfRule>
  </conditionalFormatting>
  <conditionalFormatting sqref="N20:O20">
    <cfRule type="cellIs" dxfId="210" priority="32" stopIfTrue="1" operator="lessThan">
      <formula>0</formula>
    </cfRule>
  </conditionalFormatting>
  <conditionalFormatting sqref="Q20:R20">
    <cfRule type="cellIs" dxfId="209" priority="31" stopIfTrue="1" operator="lessThan">
      <formula>0</formula>
    </cfRule>
  </conditionalFormatting>
  <conditionalFormatting sqref="AA20">
    <cfRule type="cellIs" dxfId="208" priority="30" stopIfTrue="1" operator="lessThan">
      <formula>0</formula>
    </cfRule>
  </conditionalFormatting>
  <conditionalFormatting sqref="AC20">
    <cfRule type="cellIs" dxfId="207" priority="29" stopIfTrue="1" operator="lessThan">
      <formula>0</formula>
    </cfRule>
  </conditionalFormatting>
  <conditionalFormatting sqref="AE20">
    <cfRule type="cellIs" dxfId="206" priority="28" stopIfTrue="1" operator="lessThan">
      <formula>0</formula>
    </cfRule>
  </conditionalFormatting>
  <conditionalFormatting sqref="AG20:AH20">
    <cfRule type="cellIs" dxfId="205" priority="27" stopIfTrue="1" operator="lessThan">
      <formula>0</formula>
    </cfRule>
  </conditionalFormatting>
  <conditionalFormatting sqref="AJ20:AK20">
    <cfRule type="cellIs" dxfId="204" priority="26" stopIfTrue="1" operator="lessThan">
      <formula>0</formula>
    </cfRule>
  </conditionalFormatting>
  <conditionalFormatting sqref="AM20:AN20">
    <cfRule type="cellIs" dxfId="203" priority="25" stopIfTrue="1" operator="lessThan">
      <formula>0</formula>
    </cfRule>
  </conditionalFormatting>
  <conditionalFormatting sqref="L37">
    <cfRule type="cellIs" dxfId="202" priority="24" stopIfTrue="1" operator="lessThan">
      <formula>0</formula>
    </cfRule>
  </conditionalFormatting>
  <conditionalFormatting sqref="N37">
    <cfRule type="cellIs" dxfId="201" priority="23" stopIfTrue="1" operator="lessThan">
      <formula>0</formula>
    </cfRule>
  </conditionalFormatting>
  <conditionalFormatting sqref="O37">
    <cfRule type="cellIs" dxfId="200" priority="22" stopIfTrue="1" operator="lessThan">
      <formula>0</formula>
    </cfRule>
  </conditionalFormatting>
  <conditionalFormatting sqref="Q37">
    <cfRule type="cellIs" dxfId="199" priority="21" stopIfTrue="1" operator="lessThan">
      <formula>0</formula>
    </cfRule>
  </conditionalFormatting>
  <conditionalFormatting sqref="R37">
    <cfRule type="cellIs" dxfId="198" priority="20" stopIfTrue="1" operator="lessThan">
      <formula>0</formula>
    </cfRule>
  </conditionalFormatting>
  <conditionalFormatting sqref="AG37:AH37">
    <cfRule type="cellIs" dxfId="197" priority="19" stopIfTrue="1" operator="lessThan">
      <formula>0</formula>
    </cfRule>
  </conditionalFormatting>
  <conditionalFormatting sqref="AJ37:AK37">
    <cfRule type="cellIs" dxfId="196" priority="18" stopIfTrue="1" operator="lessThan">
      <formula>0</formula>
    </cfRule>
  </conditionalFormatting>
  <conditionalFormatting sqref="AM37:AN37">
    <cfRule type="cellIs" dxfId="195" priority="17" stopIfTrue="1" operator="lessThan">
      <formula>0</formula>
    </cfRule>
  </conditionalFormatting>
  <conditionalFormatting sqref="L40">
    <cfRule type="cellIs" dxfId="194" priority="16" stopIfTrue="1" operator="lessThan">
      <formula>0</formula>
    </cfRule>
  </conditionalFormatting>
  <conditionalFormatting sqref="N40">
    <cfRule type="cellIs" dxfId="193" priority="15" stopIfTrue="1" operator="lessThan">
      <formula>0</formula>
    </cfRule>
  </conditionalFormatting>
  <conditionalFormatting sqref="O40">
    <cfRule type="cellIs" dxfId="192" priority="14" stopIfTrue="1" operator="lessThan">
      <formula>0</formula>
    </cfRule>
  </conditionalFormatting>
  <conditionalFormatting sqref="Q40">
    <cfRule type="cellIs" dxfId="191" priority="13" stopIfTrue="1" operator="lessThan">
      <formula>0</formula>
    </cfRule>
  </conditionalFormatting>
  <conditionalFormatting sqref="R40">
    <cfRule type="cellIs" dxfId="190" priority="12" stopIfTrue="1" operator="lessThan">
      <formula>0</formula>
    </cfRule>
  </conditionalFormatting>
  <conditionalFormatting sqref="AG40">
    <cfRule type="cellIs" dxfId="189" priority="11" stopIfTrue="1" operator="lessThan">
      <formula>0</formula>
    </cfRule>
  </conditionalFormatting>
  <conditionalFormatting sqref="AH40">
    <cfRule type="cellIs" dxfId="188" priority="10" stopIfTrue="1" operator="lessThan">
      <formula>0</formula>
    </cfRule>
  </conditionalFormatting>
  <conditionalFormatting sqref="AJ40">
    <cfRule type="cellIs" dxfId="187" priority="9" stopIfTrue="1" operator="lessThan">
      <formula>0</formula>
    </cfRule>
  </conditionalFormatting>
  <conditionalFormatting sqref="AK40">
    <cfRule type="cellIs" dxfId="186" priority="8" stopIfTrue="1" operator="lessThan">
      <formula>0</formula>
    </cfRule>
  </conditionalFormatting>
  <conditionalFormatting sqref="AM40">
    <cfRule type="cellIs" dxfId="185" priority="7" stopIfTrue="1" operator="lessThan">
      <formula>0</formula>
    </cfRule>
  </conditionalFormatting>
  <conditionalFormatting sqref="AN40">
    <cfRule type="cellIs" dxfId="184" priority="6" stopIfTrue="1" operator="lessThan">
      <formula>0</formula>
    </cfRule>
  </conditionalFormatting>
  <conditionalFormatting sqref="E49">
    <cfRule type="cellIs" dxfId="183" priority="5" stopIfTrue="1" operator="lessThan">
      <formula>0</formula>
    </cfRule>
  </conditionalFormatting>
  <conditionalFormatting sqref="E50">
    <cfRule type="cellIs" dxfId="182" priority="4" stopIfTrue="1" operator="lessThan">
      <formula>0</formula>
    </cfRule>
  </conditionalFormatting>
  <conditionalFormatting sqref="F47:G50">
    <cfRule type="cellIs" dxfId="181" priority="2" stopIfTrue="1" operator="lessThan">
      <formula>0</formula>
    </cfRule>
  </conditionalFormatting>
  <conditionalFormatting sqref="H47:H50">
    <cfRule type="cellIs" dxfId="180" priority="1" stopIfTrue="1" operator="lessThan">
      <formula>0</formula>
    </cfRule>
  </conditionalFormatting>
  <pageMargins left="0.7" right="0.7" top="0.75" bottom="0.75" header="0.3" footer="0.3"/>
  <pageSetup paperSize="9" orientation="portrait" r:id="rId1"/>
  <headerFooter>
    <oddHeader>&amp;L&amp;"Calibri"&amp;12&amp;K000000 EBA Regular Use&amp;1#_x000D_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7"/>
  <sheetViews>
    <sheetView showGridLines="0" zoomScale="70" zoomScaleNormal="70" workbookViewId="0">
      <selection activeCell="B24" sqref="B24:B27"/>
    </sheetView>
  </sheetViews>
  <sheetFormatPr defaultColWidth="10.88671875" defaultRowHeight="14.4" x14ac:dyDescent="0.3"/>
  <cols>
    <col min="1" max="1" width="93.33203125" style="2388" customWidth="1"/>
    <col min="2" max="2" width="16.88671875" style="2388" customWidth="1"/>
    <col min="3" max="16384" width="10.88671875" style="2388"/>
  </cols>
  <sheetData>
    <row r="1" spans="1:4" x14ac:dyDescent="0.3">
      <c r="A1" s="2393" t="s">
        <v>3394</v>
      </c>
    </row>
    <row r="2" spans="1:4" x14ac:dyDescent="0.3">
      <c r="A2" s="2388" t="s">
        <v>3393</v>
      </c>
    </row>
    <row r="4" spans="1:4" x14ac:dyDescent="0.3">
      <c r="A4" s="2339"/>
      <c r="B4" s="2415" t="s">
        <v>3378</v>
      </c>
    </row>
    <row r="5" spans="1:4" x14ac:dyDescent="0.3">
      <c r="A5" s="2412" t="s">
        <v>3392</v>
      </c>
      <c r="B5" s="2481">
        <f>+B6+B17</f>
        <v>25118445.393390801</v>
      </c>
      <c r="C5" s="2414"/>
    </row>
    <row r="6" spans="1:4" ht="25.5" customHeight="1" x14ac:dyDescent="0.3">
      <c r="A6" s="2412" t="s">
        <v>3391</v>
      </c>
      <c r="B6" s="2481">
        <f>+B7+B12</f>
        <v>18554350.012736369</v>
      </c>
    </row>
    <row r="7" spans="1:4" x14ac:dyDescent="0.3">
      <c r="A7" s="2402" t="s">
        <v>3279</v>
      </c>
      <c r="B7" s="2481">
        <f>SUM(B8:B11)</f>
        <v>14848824.858822072</v>
      </c>
      <c r="D7" s="2413"/>
    </row>
    <row r="8" spans="1:4" x14ac:dyDescent="0.3">
      <c r="A8" s="2411" t="s">
        <v>3390</v>
      </c>
      <c r="B8" s="2345">
        <v>1576678.0591517012</v>
      </c>
    </row>
    <row r="9" spans="1:4" x14ac:dyDescent="0.3">
      <c r="A9" s="2411" t="s">
        <v>3389</v>
      </c>
      <c r="B9" s="2345">
        <v>1581188.9686731496</v>
      </c>
    </row>
    <row r="10" spans="1:4" x14ac:dyDescent="0.3">
      <c r="A10" s="2411" t="s">
        <v>3388</v>
      </c>
      <c r="B10" s="2345">
        <v>1780107.7965811861</v>
      </c>
    </row>
    <row r="11" spans="1:4" x14ac:dyDescent="0.3">
      <c r="A11" s="2411" t="s">
        <v>3387</v>
      </c>
      <c r="B11" s="2345">
        <v>9910850.0344160348</v>
      </c>
    </row>
    <row r="12" spans="1:4" x14ac:dyDescent="0.3">
      <c r="A12" s="2402" t="s">
        <v>3278</v>
      </c>
      <c r="B12" s="2481">
        <f>SUM(B13:B16)</f>
        <v>3705525.1539142961</v>
      </c>
    </row>
    <row r="13" spans="1:4" x14ac:dyDescent="0.3">
      <c r="A13" s="2411" t="s">
        <v>3390</v>
      </c>
      <c r="B13" s="2345">
        <v>393460.10632890376</v>
      </c>
    </row>
    <row r="14" spans="1:4" x14ac:dyDescent="0.3">
      <c r="A14" s="2411" t="s">
        <v>3389</v>
      </c>
      <c r="B14" s="2345">
        <v>394585.80407654919</v>
      </c>
    </row>
    <row r="15" spans="1:4" x14ac:dyDescent="0.3">
      <c r="A15" s="2411" t="s">
        <v>3388</v>
      </c>
      <c r="B15" s="2345">
        <v>444226.00977689784</v>
      </c>
    </row>
    <row r="16" spans="1:4" x14ac:dyDescent="0.3">
      <c r="A16" s="2411" t="s">
        <v>3387</v>
      </c>
      <c r="B16" s="2345">
        <v>2473253.233731945</v>
      </c>
    </row>
    <row r="17" spans="1:2" ht="23.4" customHeight="1" x14ac:dyDescent="0.3">
      <c r="A17" s="2412" t="s">
        <v>3386</v>
      </c>
      <c r="B17" s="2481">
        <f>+B18+B23</f>
        <v>6564095.3806544319</v>
      </c>
    </row>
    <row r="18" spans="1:2" x14ac:dyDescent="0.3">
      <c r="A18" s="2402" t="s">
        <v>3279</v>
      </c>
      <c r="B18" s="2481">
        <f>SUM(B19:B22)</f>
        <v>5253167.1870496348</v>
      </c>
    </row>
    <row r="19" spans="1:2" x14ac:dyDescent="0.3">
      <c r="A19" s="2411" t="s">
        <v>3385</v>
      </c>
      <c r="B19" s="2345">
        <v>1549941.111004536</v>
      </c>
    </row>
    <row r="20" spans="1:2" x14ac:dyDescent="0.3">
      <c r="A20" s="2411" t="s">
        <v>3384</v>
      </c>
      <c r="B20" s="2345">
        <v>1031413.4857786306</v>
      </c>
    </row>
    <row r="21" spans="1:2" x14ac:dyDescent="0.3">
      <c r="A21" s="2411" t="s">
        <v>3383</v>
      </c>
      <c r="B21" s="2345">
        <v>707888.24712544412</v>
      </c>
    </row>
    <row r="22" spans="1:2" x14ac:dyDescent="0.3">
      <c r="A22" s="2411" t="s">
        <v>3382</v>
      </c>
      <c r="B22" s="2345">
        <v>1963924.3431410238</v>
      </c>
    </row>
    <row r="23" spans="1:2" x14ac:dyDescent="0.3">
      <c r="A23" s="2402" t="s">
        <v>3278</v>
      </c>
      <c r="B23" s="2481">
        <f>SUM(B24:B27)</f>
        <v>1310928.1936047969</v>
      </c>
    </row>
    <row r="24" spans="1:2" x14ac:dyDescent="0.3">
      <c r="A24" s="2411" t="s">
        <v>3385</v>
      </c>
      <c r="B24" s="2345">
        <v>386787.89927951148</v>
      </c>
    </row>
    <row r="25" spans="1:2" x14ac:dyDescent="0.3">
      <c r="A25" s="2411" t="s">
        <v>3384</v>
      </c>
      <c r="B25" s="2345">
        <v>257389.29861297633</v>
      </c>
    </row>
    <row r="26" spans="1:2" x14ac:dyDescent="0.3">
      <c r="A26" s="2411" t="s">
        <v>3383</v>
      </c>
      <c r="B26" s="2345">
        <v>176653.55547144069</v>
      </c>
    </row>
    <row r="27" spans="1:2" x14ac:dyDescent="0.3">
      <c r="A27" s="2411" t="s">
        <v>3382</v>
      </c>
      <c r="B27" s="2345">
        <v>490097.44024086854</v>
      </c>
    </row>
  </sheetData>
  <sheetProtection algorithmName="SHA-512" hashValue="GMgeAlryhyZOwdHjMDJCH2bEmU1VD4iP4jbIP4NRLmToev4MLKMYUqDIo0rHCFI4HQ3XWMVJidWi8TGZPOkGUg==" saltValue="RFxVD5S5jjRrk+n6cM56Kg==" spinCount="100000" sheet="1" objects="1" scenarios="1"/>
  <conditionalFormatting sqref="B8:B11">
    <cfRule type="cellIs" dxfId="179" priority="4" stopIfTrue="1" operator="lessThan">
      <formula>0</formula>
    </cfRule>
  </conditionalFormatting>
  <conditionalFormatting sqref="B13:B16">
    <cfRule type="cellIs" dxfId="178" priority="3" stopIfTrue="1" operator="lessThan">
      <formula>0</formula>
    </cfRule>
  </conditionalFormatting>
  <conditionalFormatting sqref="B19:B22">
    <cfRule type="cellIs" dxfId="177" priority="2" stopIfTrue="1" operator="lessThan">
      <formula>0</formula>
    </cfRule>
  </conditionalFormatting>
  <conditionalFormatting sqref="B24:B27">
    <cfRule type="cellIs" dxfId="176" priority="1" stopIfTrue="1" operator="lessThan">
      <formula>0</formula>
    </cfRule>
  </conditionalFormatting>
  <pageMargins left="0.7" right="0.7" top="0.75" bottom="0.75" header="0.3" footer="0.3"/>
  <pageSetup paperSize="9" orientation="portrait" r:id="rId1"/>
  <headerFooter>
    <oddHeader>&amp;L&amp;"Calibri"&amp;12&amp;K000000 EBA Regular Use&amp;1#_x000D_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155"/>
  <sheetViews>
    <sheetView showGridLines="0" zoomScaleNormal="100" workbookViewId="0">
      <selection activeCell="G18" sqref="G18"/>
    </sheetView>
  </sheetViews>
  <sheetFormatPr defaultColWidth="10.88671875" defaultRowHeight="14.4" x14ac:dyDescent="0.3"/>
  <cols>
    <col min="1" max="1" width="57.5546875" style="2388" customWidth="1"/>
    <col min="2" max="8" width="12.6640625" style="2388" customWidth="1"/>
    <col min="9" max="9" width="12.109375" style="2388" customWidth="1"/>
    <col min="10" max="10" width="12.5546875" style="2388" customWidth="1"/>
    <col min="11" max="16384" width="10.88671875" style="2388"/>
  </cols>
  <sheetData>
    <row r="1" spans="1:11" ht="23.25" customHeight="1" x14ac:dyDescent="0.3">
      <c r="A1" s="2410" t="s">
        <v>3412</v>
      </c>
    </row>
    <row r="2" spans="1:11" ht="27" customHeight="1" x14ac:dyDescent="0.3">
      <c r="A2" s="2388" t="s">
        <v>3359</v>
      </c>
    </row>
    <row r="3" spans="1:11" ht="55.2" x14ac:dyDescent="0.3">
      <c r="A3" s="2396"/>
      <c r="B3" s="2395" t="s">
        <v>3411</v>
      </c>
      <c r="C3" s="2395" t="s">
        <v>3410</v>
      </c>
      <c r="D3" s="2395" t="s">
        <v>3409</v>
      </c>
      <c r="E3" s="2395" t="s">
        <v>3408</v>
      </c>
      <c r="F3" s="2395" t="s">
        <v>3407</v>
      </c>
      <c r="G3" s="2395" t="s">
        <v>3406</v>
      </c>
      <c r="H3" s="2395" t="s">
        <v>3405</v>
      </c>
      <c r="I3" s="2428" t="s">
        <v>3404</v>
      </c>
      <c r="J3" s="2428" t="s">
        <v>3403</v>
      </c>
      <c r="K3" s="2428" t="s">
        <v>3402</v>
      </c>
    </row>
    <row r="4" spans="1:11" ht="15" customHeight="1" x14ac:dyDescent="0.3">
      <c r="A4" s="3331" t="s">
        <v>3401</v>
      </c>
      <c r="B4" s="3332"/>
      <c r="C4" s="3332"/>
      <c r="D4" s="3332"/>
      <c r="E4" s="3332"/>
      <c r="F4" s="3332"/>
      <c r="G4" s="3332"/>
      <c r="H4" s="3332"/>
      <c r="I4" s="3332"/>
      <c r="J4" s="3332"/>
      <c r="K4" s="3333"/>
    </row>
    <row r="5" spans="1:11" ht="15" customHeight="1" x14ac:dyDescent="0.3">
      <c r="A5" s="2418" t="s">
        <v>3398</v>
      </c>
      <c r="B5" s="2464"/>
      <c r="C5" s="2464"/>
      <c r="D5" s="2464"/>
      <c r="E5" s="2464"/>
      <c r="F5" s="2464"/>
      <c r="G5" s="2464"/>
      <c r="H5" s="2464"/>
      <c r="I5" s="2553" t="s">
        <v>3600</v>
      </c>
      <c r="J5" s="2553" t="s">
        <v>3602</v>
      </c>
      <c r="K5" s="2553" t="s">
        <v>3601</v>
      </c>
    </row>
    <row r="6" spans="1:11" ht="15" customHeight="1" x14ac:dyDescent="0.3">
      <c r="A6" s="2418" t="s">
        <v>465</v>
      </c>
      <c r="B6" s="2321">
        <v>11416412.23087509</v>
      </c>
      <c r="C6" s="2347">
        <v>0.79513623593804583</v>
      </c>
      <c r="D6" s="2463">
        <f>+B6*C6</f>
        <v>9077603.0491750874</v>
      </c>
      <c r="E6" s="2464"/>
      <c r="F6" s="2464"/>
      <c r="G6" s="2464"/>
      <c r="H6" s="2464"/>
      <c r="I6" s="2464"/>
      <c r="J6" s="2464"/>
      <c r="K6" s="2464"/>
    </row>
    <row r="7" spans="1:11" ht="15" customHeight="1" x14ac:dyDescent="0.3">
      <c r="A7" s="2418" t="s">
        <v>3397</v>
      </c>
      <c r="B7" s="2464"/>
      <c r="C7" s="2464"/>
      <c r="D7" s="2464"/>
      <c r="E7" s="2419">
        <v>7.7034064434066147</v>
      </c>
      <c r="F7" s="2419">
        <v>4.7884550368712526</v>
      </c>
      <c r="G7" s="2419">
        <v>4.7884550368712526</v>
      </c>
      <c r="H7" s="2419">
        <v>4.7884550368712526</v>
      </c>
      <c r="I7" s="2464"/>
      <c r="J7" s="2464"/>
      <c r="K7" s="2464"/>
    </row>
    <row r="8" spans="1:11" ht="15" customHeight="1" x14ac:dyDescent="0.3">
      <c r="A8" s="2418" t="s">
        <v>3400</v>
      </c>
      <c r="B8" s="2464"/>
      <c r="C8" s="2464"/>
      <c r="D8" s="2464"/>
      <c r="E8" s="2464"/>
      <c r="F8" s="2347">
        <v>5.3920660558659537E-2</v>
      </c>
      <c r="G8" s="2347">
        <v>5.3920660558659537E-2</v>
      </c>
      <c r="H8" s="2347">
        <v>5.3920660558659537E-2</v>
      </c>
      <c r="I8" s="2464"/>
      <c r="J8" s="2464"/>
      <c r="K8" s="2464"/>
    </row>
    <row r="9" spans="1:11" s="2421" customFormat="1" ht="15" customHeight="1" x14ac:dyDescent="0.3">
      <c r="A9" s="2417" t="s">
        <v>3395</v>
      </c>
      <c r="B9" s="2464"/>
      <c r="C9" s="2464"/>
      <c r="D9" s="2464"/>
      <c r="E9" s="2464"/>
      <c r="F9" s="2464"/>
      <c r="G9" s="2347">
        <v>1</v>
      </c>
      <c r="H9" s="2347">
        <v>1</v>
      </c>
      <c r="I9" s="2464"/>
      <c r="J9" s="2464"/>
      <c r="K9" s="2464"/>
    </row>
    <row r="10" spans="1:11" s="2421" customFormat="1" ht="15" customHeight="1" x14ac:dyDescent="0.3">
      <c r="A10" s="2427"/>
      <c r="B10" s="2426"/>
      <c r="C10" s="2425"/>
      <c r="D10" s="2424"/>
      <c r="E10" s="2423"/>
      <c r="F10" s="2422"/>
      <c r="G10" s="2422"/>
      <c r="H10" s="2422"/>
    </row>
    <row r="11" spans="1:11" ht="15" customHeight="1" x14ac:dyDescent="0.3">
      <c r="A11" s="3331" t="s">
        <v>3399</v>
      </c>
      <c r="B11" s="3332"/>
      <c r="C11" s="3332"/>
      <c r="D11" s="3332"/>
      <c r="E11" s="3332"/>
      <c r="F11" s="3332"/>
      <c r="G11" s="3332"/>
      <c r="H11" s="3332"/>
      <c r="I11" s="3332"/>
      <c r="J11" s="3332"/>
      <c r="K11" s="3333"/>
    </row>
    <row r="12" spans="1:11" ht="15" customHeight="1" x14ac:dyDescent="0.3">
      <c r="A12" s="2418" t="s">
        <v>3398</v>
      </c>
      <c r="B12" s="2464"/>
      <c r="C12" s="2464"/>
      <c r="D12" s="2464"/>
      <c r="E12" s="2464"/>
      <c r="F12" s="2464"/>
      <c r="G12" s="2464"/>
      <c r="H12" s="2464"/>
      <c r="I12" s="2420"/>
      <c r="J12" s="2420"/>
      <c r="K12" s="2420"/>
    </row>
    <row r="13" spans="1:11" ht="15" customHeight="1" x14ac:dyDescent="0.3">
      <c r="A13" s="2418" t="s">
        <v>465</v>
      </c>
      <c r="B13" s="2321">
        <v>745634.02425000013</v>
      </c>
      <c r="C13" s="2347">
        <v>0</v>
      </c>
      <c r="D13" s="2463">
        <f>+B13*C13</f>
        <v>0</v>
      </c>
      <c r="E13" s="2464"/>
      <c r="F13" s="2464"/>
      <c r="G13" s="2464"/>
      <c r="H13" s="2464"/>
      <c r="I13" s="2464"/>
      <c r="J13" s="2464"/>
      <c r="K13" s="2464"/>
    </row>
    <row r="14" spans="1:11" ht="15" customHeight="1" x14ac:dyDescent="0.3">
      <c r="A14" s="2418" t="s">
        <v>3397</v>
      </c>
      <c r="B14" s="2464"/>
      <c r="C14" s="2464"/>
      <c r="D14" s="2464"/>
      <c r="E14" s="2419">
        <v>0.65494038449175618</v>
      </c>
      <c r="F14" s="2419"/>
      <c r="G14" s="2419"/>
      <c r="H14" s="2419"/>
      <c r="I14" s="2464"/>
      <c r="J14" s="2464"/>
      <c r="K14" s="2464"/>
    </row>
    <row r="15" spans="1:11" ht="15" customHeight="1" x14ac:dyDescent="0.3">
      <c r="A15" s="2418" t="s">
        <v>3396</v>
      </c>
      <c r="B15" s="2464"/>
      <c r="C15" s="2464"/>
      <c r="D15" s="2464"/>
      <c r="E15" s="2464"/>
      <c r="F15" s="2347"/>
      <c r="G15" s="2347"/>
      <c r="H15" s="2347"/>
      <c r="I15" s="2464"/>
      <c r="J15" s="2464"/>
      <c r="K15" s="2464"/>
    </row>
    <row r="16" spans="1:11" ht="15" customHeight="1" x14ac:dyDescent="0.3">
      <c r="A16" s="2417" t="s">
        <v>3395</v>
      </c>
      <c r="B16" s="2464"/>
      <c r="C16" s="2464"/>
      <c r="D16" s="2464"/>
      <c r="E16" s="2464"/>
      <c r="F16" s="2464"/>
      <c r="G16" s="2347">
        <v>1</v>
      </c>
      <c r="H16" s="2347">
        <v>1</v>
      </c>
      <c r="I16" s="2464"/>
      <c r="J16" s="2464"/>
      <c r="K16" s="2464"/>
    </row>
    <row r="17" spans="3:3" ht="15" customHeight="1" x14ac:dyDescent="0.3"/>
    <row r="18" spans="3:3" ht="15" customHeight="1" x14ac:dyDescent="0.3"/>
    <row r="19" spans="3:3" ht="15" customHeight="1" x14ac:dyDescent="0.3"/>
    <row r="20" spans="3:3" ht="15" customHeight="1" x14ac:dyDescent="0.3">
      <c r="C20" s="2416"/>
    </row>
    <row r="21" spans="3:3" ht="15" customHeight="1" x14ac:dyDescent="0.3"/>
    <row r="22" spans="3:3" ht="15" customHeight="1" x14ac:dyDescent="0.3"/>
    <row r="23" spans="3:3" ht="15" customHeight="1" x14ac:dyDescent="0.3"/>
    <row r="24" spans="3:3" ht="15" customHeight="1" x14ac:dyDescent="0.3"/>
    <row r="25" spans="3:3" ht="15" customHeight="1" x14ac:dyDescent="0.3"/>
    <row r="26" spans="3:3" ht="15" customHeight="1" x14ac:dyDescent="0.3"/>
    <row r="27" spans="3:3" ht="15" customHeight="1" x14ac:dyDescent="0.3"/>
    <row r="28" spans="3:3" ht="15" customHeight="1" x14ac:dyDescent="0.3"/>
    <row r="29" spans="3:3" ht="15" customHeight="1" x14ac:dyDescent="0.3"/>
    <row r="30" spans="3:3" ht="15" customHeight="1" x14ac:dyDescent="0.3"/>
    <row r="31" spans="3:3" ht="15" customHeight="1" x14ac:dyDescent="0.3"/>
    <row r="32" spans="3:3"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sheetData>
  <sheetProtection algorithmName="SHA-512" hashValue="crI/WhdQ57EVxgcOA+4Ln8Th5DoR6+nBhYynDipTYMtuj9I2sP4rd2QrhJjR3WqEfI0ReGtN4dHL0jqZ8qSwMg==" saltValue="Aar8F1PBxzXio0sieBBOJQ==" spinCount="100000" sheet="1" objects="1" scenarios="1"/>
  <mergeCells count="2">
    <mergeCell ref="A4:K4"/>
    <mergeCell ref="A11:K11"/>
  </mergeCells>
  <conditionalFormatting sqref="A8">
    <cfRule type="cellIs" dxfId="175" priority="23" stopIfTrue="1" operator="lessThan">
      <formula>0</formula>
    </cfRule>
  </conditionalFormatting>
  <conditionalFormatting sqref="A6">
    <cfRule type="cellIs" dxfId="174" priority="22" stopIfTrue="1" operator="lessThan">
      <formula>0</formula>
    </cfRule>
  </conditionalFormatting>
  <conditionalFormatting sqref="A7">
    <cfRule type="cellIs" dxfId="173" priority="21" stopIfTrue="1" operator="lessThan">
      <formula>0</formula>
    </cfRule>
  </conditionalFormatting>
  <conditionalFormatting sqref="A9">
    <cfRule type="cellIs" dxfId="172" priority="20" stopIfTrue="1" operator="lessThan">
      <formula>0</formula>
    </cfRule>
  </conditionalFormatting>
  <conditionalFormatting sqref="A5">
    <cfRule type="cellIs" dxfId="171" priority="19" stopIfTrue="1" operator="lessThan">
      <formula>0</formula>
    </cfRule>
  </conditionalFormatting>
  <conditionalFormatting sqref="A15">
    <cfRule type="cellIs" dxfId="170" priority="18" stopIfTrue="1" operator="lessThan">
      <formula>0</formula>
    </cfRule>
  </conditionalFormatting>
  <conditionalFormatting sqref="A14">
    <cfRule type="cellIs" dxfId="169" priority="17" stopIfTrue="1" operator="lessThan">
      <formula>0</formula>
    </cfRule>
  </conditionalFormatting>
  <conditionalFormatting sqref="A16">
    <cfRule type="cellIs" dxfId="168" priority="16" stopIfTrue="1" operator="lessThan">
      <formula>0</formula>
    </cfRule>
  </conditionalFormatting>
  <conditionalFormatting sqref="A12">
    <cfRule type="cellIs" dxfId="167" priority="15" stopIfTrue="1" operator="lessThan">
      <formula>0</formula>
    </cfRule>
  </conditionalFormatting>
  <conditionalFormatting sqref="A13">
    <cfRule type="cellIs" dxfId="166" priority="14" stopIfTrue="1" operator="lessThan">
      <formula>0</formula>
    </cfRule>
  </conditionalFormatting>
  <conditionalFormatting sqref="E7:H7">
    <cfRule type="cellIs" dxfId="165" priority="13" stopIfTrue="1" operator="lessThan">
      <formula>0</formula>
    </cfRule>
  </conditionalFormatting>
  <conditionalFormatting sqref="F8:H8">
    <cfRule type="cellIs" dxfId="164" priority="12" stopIfTrue="1" operator="lessThan">
      <formula>0</formula>
    </cfRule>
  </conditionalFormatting>
  <conditionalFormatting sqref="G9:H9">
    <cfRule type="cellIs" dxfId="163" priority="11" stopIfTrue="1" operator="lessThan">
      <formula>0</formula>
    </cfRule>
  </conditionalFormatting>
  <conditionalFormatting sqref="I12:K12">
    <cfRule type="cellIs" dxfId="162" priority="10" stopIfTrue="1" operator="lessThan">
      <formula>0</formula>
    </cfRule>
  </conditionalFormatting>
  <conditionalFormatting sqref="G14:H14">
    <cfRule type="cellIs" dxfId="161" priority="9" stopIfTrue="1" operator="lessThan">
      <formula>0</formula>
    </cfRule>
  </conditionalFormatting>
  <conditionalFormatting sqref="F14:F15">
    <cfRule type="cellIs" dxfId="160" priority="8" stopIfTrue="1" operator="lessThan">
      <formula>0</formula>
    </cfRule>
  </conditionalFormatting>
  <conditionalFormatting sqref="E14">
    <cfRule type="cellIs" dxfId="159" priority="7" stopIfTrue="1" operator="lessThan">
      <formula>0</formula>
    </cfRule>
  </conditionalFormatting>
  <conditionalFormatting sqref="B13:C13">
    <cfRule type="cellIs" dxfId="158" priority="6" stopIfTrue="1" operator="lessThan">
      <formula>0</formula>
    </cfRule>
  </conditionalFormatting>
  <conditionalFormatting sqref="B6:C6">
    <cfRule type="cellIs" dxfId="157" priority="5" stopIfTrue="1" operator="lessThan">
      <formula>0</formula>
    </cfRule>
  </conditionalFormatting>
  <conditionalFormatting sqref="I5:K5">
    <cfRule type="cellIs" dxfId="156" priority="4" stopIfTrue="1" operator="lessThan">
      <formula>0</formula>
    </cfRule>
  </conditionalFormatting>
  <conditionalFormatting sqref="G15:H15">
    <cfRule type="cellIs" dxfId="155" priority="2" stopIfTrue="1" operator="lessThan">
      <formula>0</formula>
    </cfRule>
  </conditionalFormatting>
  <conditionalFormatting sqref="G16:H16">
    <cfRule type="cellIs" dxfId="154" priority="1" stopIfTrue="1" operator="lessThan">
      <formula>0</formula>
    </cfRule>
  </conditionalFormatting>
  <pageMargins left="0.7" right="0.7" top="0.75" bottom="0.75" header="0.3" footer="0.3"/>
  <pageSetup paperSize="9" orientation="portrait" r:id="rId1"/>
  <headerFooter>
    <oddHeader>&amp;L&amp;"Calibri"&amp;12&amp;K000000 EBA Regular Use&amp;1#_x000D_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24"/>
  <sheetViews>
    <sheetView showGridLines="0" topLeftCell="B4" zoomScaleNormal="100" workbookViewId="0">
      <selection activeCell="N22" sqref="N22"/>
    </sheetView>
  </sheetViews>
  <sheetFormatPr defaultColWidth="10.88671875" defaultRowHeight="14.4" x14ac:dyDescent="0.3"/>
  <cols>
    <col min="1" max="2" width="10.88671875" style="2388"/>
    <col min="3" max="3" width="21.109375" style="2388" customWidth="1"/>
    <col min="4" max="4" width="29.88671875" style="2388" customWidth="1"/>
    <col min="5" max="5" width="10.88671875" style="2388"/>
    <col min="6" max="6" width="14.88671875" style="2388" customWidth="1"/>
    <col min="7" max="7" width="21" style="2388" customWidth="1"/>
    <col min="8" max="8" width="15.88671875" style="2388" customWidth="1"/>
    <col min="9" max="14" width="12" style="2388" customWidth="1"/>
    <col min="15" max="16384" width="10.88671875" style="2388"/>
  </cols>
  <sheetData>
    <row r="1" spans="1:14" x14ac:dyDescent="0.3">
      <c r="A1" s="2393" t="s">
        <v>3432</v>
      </c>
    </row>
    <row r="2" spans="1:14" ht="61.5" customHeight="1" x14ac:dyDescent="0.3">
      <c r="H2" s="2431" t="s">
        <v>3431</v>
      </c>
      <c r="I2" s="3341" t="s">
        <v>3430</v>
      </c>
      <c r="J2" s="3342"/>
      <c r="K2" s="3342"/>
      <c r="L2" s="3343" t="s">
        <v>3429</v>
      </c>
      <c r="M2" s="3343"/>
      <c r="N2" s="3343"/>
    </row>
    <row r="3" spans="1:14" ht="51.75" customHeight="1" x14ac:dyDescent="0.3">
      <c r="F3" s="3278" t="s">
        <v>3428</v>
      </c>
      <c r="G3" s="3278"/>
      <c r="H3" s="3344" t="s">
        <v>3427</v>
      </c>
      <c r="I3" s="3344" t="s">
        <v>3427</v>
      </c>
      <c r="J3" s="3346" t="s">
        <v>3426</v>
      </c>
      <c r="K3" s="3346"/>
      <c r="L3" s="3344" t="s">
        <v>3427</v>
      </c>
      <c r="M3" s="3346" t="s">
        <v>3426</v>
      </c>
      <c r="N3" s="3346"/>
    </row>
    <row r="4" spans="1:14" ht="104.25" customHeight="1" x14ac:dyDescent="0.3">
      <c r="B4" s="2434" t="s">
        <v>1383</v>
      </c>
      <c r="C4" s="2433" t="s">
        <v>3425</v>
      </c>
      <c r="D4" s="3336" t="s">
        <v>3424</v>
      </c>
      <c r="E4" s="3336"/>
      <c r="F4" s="2431" t="s">
        <v>3422</v>
      </c>
      <c r="G4" s="2432" t="s">
        <v>3423</v>
      </c>
      <c r="H4" s="3345"/>
      <c r="I4" s="3345"/>
      <c r="J4" s="2431" t="s">
        <v>3422</v>
      </c>
      <c r="K4" s="2431" t="s">
        <v>3421</v>
      </c>
      <c r="L4" s="3345"/>
      <c r="M4" s="2431" t="s">
        <v>3422</v>
      </c>
      <c r="N4" s="2431" t="s">
        <v>3421</v>
      </c>
    </row>
    <row r="5" spans="1:14" ht="24.75" customHeight="1" x14ac:dyDescent="0.3">
      <c r="B5" s="3337" t="s">
        <v>3323</v>
      </c>
      <c r="C5" s="3338"/>
      <c r="D5" s="3338"/>
      <c r="E5" s="3338"/>
      <c r="F5" s="3338"/>
      <c r="G5" s="3338"/>
      <c r="H5" s="3338"/>
      <c r="I5" s="3338"/>
      <c r="J5" s="3338"/>
      <c r="K5" s="3338"/>
      <c r="L5" s="3338"/>
      <c r="M5" s="3338"/>
      <c r="N5" s="3338"/>
    </row>
    <row r="6" spans="1:14" x14ac:dyDescent="0.3">
      <c r="B6" s="3339" t="s">
        <v>1505</v>
      </c>
      <c r="C6" s="3339" t="s">
        <v>3420</v>
      </c>
      <c r="D6" s="3340" t="s">
        <v>3418</v>
      </c>
      <c r="E6" s="2430" t="s">
        <v>3417</v>
      </c>
      <c r="F6" s="2429">
        <v>7707355.9162782142</v>
      </c>
      <c r="G6" s="2429">
        <v>3421539.4797999943</v>
      </c>
      <c r="H6" s="2429">
        <v>0</v>
      </c>
      <c r="I6" s="2429">
        <v>20</v>
      </c>
      <c r="J6" s="2429">
        <v>15414.71183255643</v>
      </c>
      <c r="K6" s="2429">
        <v>6843.0789595999895</v>
      </c>
      <c r="L6" s="2429">
        <v>20</v>
      </c>
      <c r="M6" s="2429">
        <v>15414.71183255643</v>
      </c>
      <c r="N6" s="2429">
        <v>6843.0789595999895</v>
      </c>
    </row>
    <row r="7" spans="1:14" x14ac:dyDescent="0.3">
      <c r="B7" s="3339"/>
      <c r="C7" s="3339"/>
      <c r="D7" s="3334"/>
      <c r="E7" s="2430" t="s">
        <v>3416</v>
      </c>
      <c r="F7" s="2429">
        <v>9996006.0500997938</v>
      </c>
      <c r="G7" s="2429">
        <v>749759.79684989527</v>
      </c>
      <c r="H7" s="2429">
        <v>29.744523999999984</v>
      </c>
      <c r="I7" s="2429">
        <v>20</v>
      </c>
      <c r="J7" s="2429">
        <v>19992.012100199587</v>
      </c>
      <c r="K7" s="2429">
        <v>1499.5195936997904</v>
      </c>
      <c r="L7" s="2429">
        <v>20</v>
      </c>
      <c r="M7" s="2429">
        <v>19992.012100199587</v>
      </c>
      <c r="N7" s="2429">
        <v>1499.5195936997904</v>
      </c>
    </row>
    <row r="8" spans="1:14" x14ac:dyDescent="0.3">
      <c r="B8" s="3339"/>
      <c r="C8" s="3339"/>
      <c r="D8" s="3334"/>
      <c r="E8" s="2430" t="s">
        <v>3415</v>
      </c>
      <c r="F8" s="2429">
        <v>1154316.3777770004</v>
      </c>
      <c r="G8" s="2429">
        <v>309813.88255456759</v>
      </c>
      <c r="H8" s="2429">
        <v>73.863832999999985</v>
      </c>
      <c r="I8" s="2429">
        <v>20</v>
      </c>
      <c r="J8" s="2429">
        <v>2308.6327555540011</v>
      </c>
      <c r="K8" s="2429">
        <v>619.62776510913523</v>
      </c>
      <c r="L8" s="2429">
        <v>20</v>
      </c>
      <c r="M8" s="2429">
        <v>2308.6327555540011</v>
      </c>
      <c r="N8" s="2429">
        <v>619.62776510913523</v>
      </c>
    </row>
    <row r="9" spans="1:14" x14ac:dyDescent="0.3">
      <c r="B9" s="3339"/>
      <c r="C9" s="3339"/>
      <c r="D9" s="3334"/>
      <c r="E9" s="2430" t="s">
        <v>3414</v>
      </c>
      <c r="F9" s="2429">
        <v>1084918.3053000001</v>
      </c>
      <c r="G9" s="2429">
        <v>202691.4573371757</v>
      </c>
      <c r="H9" s="2429">
        <v>122.01083</v>
      </c>
      <c r="I9" s="2429">
        <v>20</v>
      </c>
      <c r="J9" s="2429">
        <v>2169.8366106000003</v>
      </c>
      <c r="K9" s="2429">
        <v>405.38291467435141</v>
      </c>
      <c r="L9" s="2429">
        <v>20</v>
      </c>
      <c r="M9" s="2429">
        <v>2169.8366106000003</v>
      </c>
      <c r="N9" s="2429">
        <v>405.38291467435141</v>
      </c>
    </row>
    <row r="10" spans="1:14" x14ac:dyDescent="0.3">
      <c r="B10" s="3339"/>
      <c r="C10" s="3339"/>
      <c r="D10" s="3334" t="s">
        <v>3413</v>
      </c>
      <c r="E10" s="3335"/>
      <c r="F10" s="2429">
        <v>25479.928</v>
      </c>
      <c r="G10" s="2429">
        <v>0</v>
      </c>
      <c r="H10" s="2429">
        <v>8.6090629999999955</v>
      </c>
      <c r="I10" s="2429">
        <v>50</v>
      </c>
      <c r="J10" s="2429">
        <v>127.39964000000001</v>
      </c>
      <c r="K10" s="2429">
        <v>0</v>
      </c>
      <c r="L10" s="2429">
        <v>50</v>
      </c>
      <c r="M10" s="2429">
        <v>127.39964000000001</v>
      </c>
      <c r="N10" s="2429">
        <v>0</v>
      </c>
    </row>
    <row r="11" spans="1:14" x14ac:dyDescent="0.3">
      <c r="B11" s="3339"/>
      <c r="C11" s="3339"/>
      <c r="D11" s="3334" t="s">
        <v>1760</v>
      </c>
      <c r="E11" s="3335"/>
      <c r="F11" s="2429">
        <v>0</v>
      </c>
      <c r="G11" s="2429">
        <v>0</v>
      </c>
      <c r="H11" s="2429">
        <v>0</v>
      </c>
      <c r="I11" s="2429">
        <v>0</v>
      </c>
      <c r="J11" s="2429">
        <v>0</v>
      </c>
      <c r="K11" s="2429">
        <v>0</v>
      </c>
      <c r="L11" s="2429">
        <v>0</v>
      </c>
      <c r="M11" s="2429">
        <v>0</v>
      </c>
      <c r="N11" s="2429">
        <v>0</v>
      </c>
    </row>
    <row r="12" spans="1:14" x14ac:dyDescent="0.3">
      <c r="B12" s="3339"/>
      <c r="C12" s="3339" t="s">
        <v>3419</v>
      </c>
      <c r="D12" s="3340" t="s">
        <v>3418</v>
      </c>
      <c r="E12" s="2430" t="s">
        <v>3417</v>
      </c>
      <c r="F12" s="2429">
        <v>13573913.282140385</v>
      </c>
      <c r="G12" s="2429">
        <v>2674247.464924973</v>
      </c>
      <c r="H12" s="2429">
        <v>0</v>
      </c>
      <c r="I12" s="2429">
        <v>20</v>
      </c>
      <c r="J12" s="2429">
        <v>27147.826564280767</v>
      </c>
      <c r="K12" s="2429">
        <v>5348.4949298499459</v>
      </c>
      <c r="L12" s="2429">
        <v>20</v>
      </c>
      <c r="M12" s="2429">
        <v>27147.826564280767</v>
      </c>
      <c r="N12" s="2429">
        <v>5348.4949298499459</v>
      </c>
    </row>
    <row r="13" spans="1:14" x14ac:dyDescent="0.3">
      <c r="B13" s="3339"/>
      <c r="C13" s="3339"/>
      <c r="D13" s="3334"/>
      <c r="E13" s="2430" t="s">
        <v>3416</v>
      </c>
      <c r="F13" s="2429">
        <v>1051765.8501200001</v>
      </c>
      <c r="G13" s="2429">
        <v>1207792.8258890677</v>
      </c>
      <c r="H13" s="2429">
        <v>29.744523999999984</v>
      </c>
      <c r="I13" s="2429">
        <v>20</v>
      </c>
      <c r="J13" s="2429">
        <v>2103.5317002400002</v>
      </c>
      <c r="K13" s="2429">
        <v>2415.5856517781353</v>
      </c>
      <c r="L13" s="2429">
        <v>20</v>
      </c>
      <c r="M13" s="2429">
        <v>2103.5317002400002</v>
      </c>
      <c r="N13" s="2429">
        <v>2415.5856517781353</v>
      </c>
    </row>
    <row r="14" spans="1:14" x14ac:dyDescent="0.3">
      <c r="B14" s="3339"/>
      <c r="C14" s="3339"/>
      <c r="D14" s="3334"/>
      <c r="E14" s="2430" t="s">
        <v>3415</v>
      </c>
      <c r="F14" s="2429">
        <v>0</v>
      </c>
      <c r="G14" s="2429">
        <v>1492786.6959560995</v>
      </c>
      <c r="H14" s="2429">
        <v>73.863832999999985</v>
      </c>
      <c r="I14" s="2429">
        <v>20</v>
      </c>
      <c r="J14" s="2429">
        <v>0</v>
      </c>
      <c r="K14" s="2429">
        <v>2985.573391912199</v>
      </c>
      <c r="L14" s="2429">
        <v>20</v>
      </c>
      <c r="M14" s="2429">
        <v>0</v>
      </c>
      <c r="N14" s="2429">
        <v>2985.573391912199</v>
      </c>
    </row>
    <row r="15" spans="1:14" x14ac:dyDescent="0.3">
      <c r="B15" s="3339"/>
      <c r="C15" s="3339"/>
      <c r="D15" s="3334"/>
      <c r="E15" s="2430" t="s">
        <v>3414</v>
      </c>
      <c r="F15" s="2429">
        <v>0</v>
      </c>
      <c r="G15" s="2429">
        <v>562234.50795297697</v>
      </c>
      <c r="H15" s="2429">
        <v>122.01083</v>
      </c>
      <c r="I15" s="2429">
        <v>20</v>
      </c>
      <c r="J15" s="2429">
        <v>0</v>
      </c>
      <c r="K15" s="2429">
        <v>1124.4690159059539</v>
      </c>
      <c r="L15" s="2429">
        <v>20</v>
      </c>
      <c r="M15" s="2429">
        <v>0</v>
      </c>
      <c r="N15" s="2429">
        <v>1124.4690159059539</v>
      </c>
    </row>
    <row r="16" spans="1:14" x14ac:dyDescent="0.3">
      <c r="B16" s="3339"/>
      <c r="C16" s="3339"/>
      <c r="D16" s="3334" t="s">
        <v>3413</v>
      </c>
      <c r="E16" s="3335"/>
      <c r="F16" s="2429">
        <v>5690000</v>
      </c>
      <c r="G16" s="2429">
        <v>0</v>
      </c>
      <c r="H16" s="2429">
        <v>8.6090629999999955</v>
      </c>
      <c r="I16" s="2429">
        <v>50</v>
      </c>
      <c r="J16" s="2429">
        <v>28450</v>
      </c>
      <c r="K16" s="2429">
        <v>0</v>
      </c>
      <c r="L16" s="2429">
        <v>50</v>
      </c>
      <c r="M16" s="2429">
        <v>28450</v>
      </c>
      <c r="N16" s="2429">
        <v>0</v>
      </c>
    </row>
    <row r="17" spans="2:14" x14ac:dyDescent="0.3">
      <c r="B17" s="3339"/>
      <c r="C17" s="3339"/>
      <c r="D17" s="3334" t="s">
        <v>1760</v>
      </c>
      <c r="E17" s="3335"/>
      <c r="F17" s="2429">
        <v>0</v>
      </c>
      <c r="G17" s="2429">
        <v>0</v>
      </c>
      <c r="H17" s="2429">
        <v>0</v>
      </c>
      <c r="I17" s="2429">
        <v>0</v>
      </c>
      <c r="J17" s="2429">
        <v>0</v>
      </c>
      <c r="K17" s="2429">
        <v>0</v>
      </c>
      <c r="L17" s="2429">
        <v>0</v>
      </c>
      <c r="M17" s="2429">
        <v>0</v>
      </c>
      <c r="N17" s="2429">
        <v>0</v>
      </c>
    </row>
    <row r="18" spans="2:14" ht="24.75" customHeight="1" x14ac:dyDescent="0.3"/>
    <row r="24" spans="2:14" x14ac:dyDescent="0.3">
      <c r="G24" s="2462"/>
    </row>
  </sheetData>
  <sheetProtection algorithmName="SHA-512" hashValue="vAxIzU3VVwlROQynUO3ASdYxeZ5VbEbEsjS/vw1k7Grtwq994fWfHmL3R8agmsjJcKLieUUxZYItjCFDoFOqjA==" saltValue="4VCx+Q7ArMq8plH0dSW8Pg==" spinCount="100000" sheet="1" objects="1" scenarios="1"/>
  <mergeCells count="19">
    <mergeCell ref="I2:K2"/>
    <mergeCell ref="L2:N2"/>
    <mergeCell ref="F3:G3"/>
    <mergeCell ref="H3:H4"/>
    <mergeCell ref="I3:I4"/>
    <mergeCell ref="J3:K3"/>
    <mergeCell ref="L3:L4"/>
    <mergeCell ref="M3:N3"/>
    <mergeCell ref="D17:E17"/>
    <mergeCell ref="D4:E4"/>
    <mergeCell ref="B5:N5"/>
    <mergeCell ref="B6:B17"/>
    <mergeCell ref="C6:C11"/>
    <mergeCell ref="D6:D9"/>
    <mergeCell ref="D10:E10"/>
    <mergeCell ref="D11:E11"/>
    <mergeCell ref="C12:C17"/>
    <mergeCell ref="D12:D15"/>
    <mergeCell ref="D16:E16"/>
  </mergeCells>
  <conditionalFormatting sqref="J6:J17">
    <cfRule type="cellIs" dxfId="153" priority="8" stopIfTrue="1" operator="lessThan">
      <formula>0</formula>
    </cfRule>
  </conditionalFormatting>
  <conditionalFormatting sqref="M6:M17">
    <cfRule type="cellIs" dxfId="152" priority="7" stopIfTrue="1" operator="lessThan">
      <formula>0</formula>
    </cfRule>
  </conditionalFormatting>
  <conditionalFormatting sqref="F6:G17">
    <cfRule type="cellIs" dxfId="151" priority="6" stopIfTrue="1" operator="lessThan">
      <formula>0</formula>
    </cfRule>
  </conditionalFormatting>
  <conditionalFormatting sqref="H6:H17">
    <cfRule type="cellIs" dxfId="150" priority="5" stopIfTrue="1" operator="lessThan">
      <formula>0</formula>
    </cfRule>
  </conditionalFormatting>
  <conditionalFormatting sqref="I6:I17">
    <cfRule type="cellIs" dxfId="149" priority="4" stopIfTrue="1" operator="lessThan">
      <formula>0</formula>
    </cfRule>
  </conditionalFormatting>
  <conditionalFormatting sqref="K6:K17">
    <cfRule type="cellIs" dxfId="148" priority="3" stopIfTrue="1" operator="lessThan">
      <formula>0</formula>
    </cfRule>
  </conditionalFormatting>
  <conditionalFormatting sqref="L6:L17">
    <cfRule type="cellIs" dxfId="147" priority="2" stopIfTrue="1" operator="lessThan">
      <formula>0</formula>
    </cfRule>
  </conditionalFormatting>
  <conditionalFormatting sqref="N6:N17">
    <cfRule type="cellIs" dxfId="146" priority="1" stopIfTrue="1" operator="lessThan">
      <formula>0</formula>
    </cfRule>
  </conditionalFormatting>
  <pageMargins left="0.7" right="0.7" top="0.75" bottom="0.75" header="0.3" footer="0.3"/>
  <pageSetup paperSize="9" orientation="portrait" r:id="rId1"/>
  <headerFooter>
    <oddHeader>&amp;L&amp;"Calibri"&amp;12&amp;K000000 EBA Regular Use&amp;1#_x000D_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58"/>
  <sheetViews>
    <sheetView showGridLines="0" topLeftCell="A25" zoomScale="70" zoomScaleNormal="70" workbookViewId="0">
      <selection activeCell="P18" sqref="P18"/>
    </sheetView>
  </sheetViews>
  <sheetFormatPr defaultColWidth="10.88671875" defaultRowHeight="14.4" x14ac:dyDescent="0.3"/>
  <cols>
    <col min="1" max="2" width="10.88671875" style="2388"/>
    <col min="3" max="3" width="18.44140625" style="2388" customWidth="1"/>
    <col min="4" max="4" width="10.88671875" style="2388"/>
    <col min="5" max="5" width="16.33203125" style="2388" customWidth="1"/>
    <col min="6" max="6" width="22.88671875" style="2388" customWidth="1"/>
    <col min="7" max="23" width="16.33203125" style="2388" customWidth="1"/>
    <col min="24" max="16384" width="10.88671875" style="2388"/>
  </cols>
  <sheetData>
    <row r="1" spans="1:14" ht="55.5" customHeight="1" x14ac:dyDescent="0.3">
      <c r="A1" s="2410" t="s">
        <v>3462</v>
      </c>
    </row>
    <row r="2" spans="1:14" ht="18" customHeight="1" x14ac:dyDescent="0.3">
      <c r="B2" s="2393" t="s">
        <v>3461</v>
      </c>
    </row>
    <row r="3" spans="1:14" ht="45" customHeight="1" x14ac:dyDescent="0.3">
      <c r="B3" s="3362"/>
      <c r="C3" s="3364" t="s">
        <v>3451</v>
      </c>
      <c r="D3" s="3365"/>
      <c r="E3" s="3366"/>
      <c r="F3" s="3373" t="s">
        <v>3460</v>
      </c>
      <c r="G3" s="3376" t="s">
        <v>3459</v>
      </c>
      <c r="H3" s="3377"/>
      <c r="I3" s="3377"/>
      <c r="J3" s="3378"/>
      <c r="K3" s="3376" t="s">
        <v>3458</v>
      </c>
      <c r="L3" s="3377"/>
      <c r="M3" s="3377"/>
      <c r="N3" s="3378"/>
    </row>
    <row r="4" spans="1:14" ht="51.75" customHeight="1" x14ac:dyDescent="0.3">
      <c r="B4" s="3363"/>
      <c r="C4" s="3367"/>
      <c r="D4" s="3368"/>
      <c r="E4" s="3369"/>
      <c r="F4" s="3374"/>
      <c r="G4" s="3354" t="s">
        <v>3457</v>
      </c>
      <c r="H4" s="3354" t="s">
        <v>3456</v>
      </c>
      <c r="I4" s="3354" t="s">
        <v>3455</v>
      </c>
      <c r="J4" s="3354" t="s">
        <v>3454</v>
      </c>
      <c r="K4" s="3354" t="s">
        <v>3457</v>
      </c>
      <c r="L4" s="3354" t="s">
        <v>3456</v>
      </c>
      <c r="M4" s="3354" t="s">
        <v>3455</v>
      </c>
      <c r="N4" s="3354" t="s">
        <v>3454</v>
      </c>
    </row>
    <row r="5" spans="1:14" ht="54" customHeight="1" x14ac:dyDescent="0.3">
      <c r="B5" s="3363"/>
      <c r="C5" s="3370"/>
      <c r="D5" s="3371"/>
      <c r="E5" s="3372"/>
      <c r="F5" s="3375"/>
      <c r="G5" s="3355"/>
      <c r="H5" s="3355"/>
      <c r="I5" s="3355"/>
      <c r="J5" s="3355"/>
      <c r="K5" s="3355"/>
      <c r="L5" s="3355"/>
      <c r="M5" s="3355"/>
      <c r="N5" s="3355"/>
    </row>
    <row r="6" spans="1:14" ht="15" x14ac:dyDescent="0.3">
      <c r="B6" s="3356" t="s">
        <v>3420</v>
      </c>
      <c r="C6" s="3359" t="s">
        <v>3281</v>
      </c>
      <c r="D6" s="3360"/>
      <c r="E6" s="3361"/>
      <c r="F6" s="2444" t="s">
        <v>3570</v>
      </c>
      <c r="G6" s="2437">
        <v>0</v>
      </c>
      <c r="H6" s="2437">
        <v>0</v>
      </c>
      <c r="I6" s="2437">
        <v>0</v>
      </c>
      <c r="J6" s="2437">
        <v>0</v>
      </c>
      <c r="K6" s="2437">
        <v>0</v>
      </c>
      <c r="L6" s="2437">
        <v>0</v>
      </c>
      <c r="M6" s="2437">
        <v>0</v>
      </c>
      <c r="N6" s="2437">
        <v>0</v>
      </c>
    </row>
    <row r="7" spans="1:14" ht="15" x14ac:dyDescent="0.3">
      <c r="B7" s="3357"/>
      <c r="C7" s="3359" t="s">
        <v>3286</v>
      </c>
      <c r="D7" s="3360"/>
      <c r="E7" s="3361"/>
      <c r="F7" s="2442" t="s">
        <v>3570</v>
      </c>
      <c r="G7" s="2435">
        <v>0</v>
      </c>
      <c r="H7" s="2435">
        <v>0</v>
      </c>
      <c r="I7" s="2435">
        <v>0</v>
      </c>
      <c r="J7" s="2435">
        <v>0</v>
      </c>
      <c r="K7" s="2435">
        <v>0</v>
      </c>
      <c r="L7" s="2435">
        <v>0</v>
      </c>
      <c r="M7" s="2435">
        <v>0</v>
      </c>
      <c r="N7" s="2435">
        <v>0</v>
      </c>
    </row>
    <row r="8" spans="1:14" ht="15" x14ac:dyDescent="0.3">
      <c r="B8" s="3357"/>
      <c r="C8" s="3348" t="s">
        <v>3443</v>
      </c>
      <c r="D8" s="3349"/>
      <c r="E8" s="3349"/>
      <c r="F8" s="2443" t="s">
        <v>3570</v>
      </c>
      <c r="G8" s="2438">
        <v>0</v>
      </c>
      <c r="H8" s="2438">
        <v>0</v>
      </c>
      <c r="I8" s="2438">
        <v>0</v>
      </c>
      <c r="J8" s="2438">
        <v>0</v>
      </c>
      <c r="K8" s="2438">
        <v>0</v>
      </c>
      <c r="L8" s="2438">
        <v>0</v>
      </c>
      <c r="M8" s="2438">
        <v>0</v>
      </c>
      <c r="N8" s="2438">
        <v>0</v>
      </c>
    </row>
    <row r="9" spans="1:14" ht="15" x14ac:dyDescent="0.3">
      <c r="B9" s="3357"/>
      <c r="C9" s="3348" t="s">
        <v>3442</v>
      </c>
      <c r="D9" s="3349"/>
      <c r="E9" s="3349"/>
      <c r="F9" s="2442" t="s">
        <v>3570</v>
      </c>
      <c r="G9" s="2435">
        <v>0</v>
      </c>
      <c r="H9" s="2435">
        <v>0</v>
      </c>
      <c r="I9" s="2435">
        <v>0</v>
      </c>
      <c r="J9" s="2435">
        <v>0</v>
      </c>
      <c r="K9" s="2435">
        <v>0</v>
      </c>
      <c r="L9" s="2435">
        <v>0</v>
      </c>
      <c r="M9" s="2435">
        <v>0</v>
      </c>
      <c r="N9" s="2435">
        <v>0</v>
      </c>
    </row>
    <row r="10" spans="1:14" ht="15" x14ac:dyDescent="0.3">
      <c r="B10" s="3357"/>
      <c r="C10" s="3352" t="s">
        <v>3285</v>
      </c>
      <c r="D10" s="3353"/>
      <c r="E10" s="3353"/>
      <c r="F10" s="2442" t="s">
        <v>18</v>
      </c>
      <c r="G10" s="2435">
        <v>7044897.374835927</v>
      </c>
      <c r="H10" s="2435">
        <v>7044897.374835927</v>
      </c>
      <c r="I10" s="2435">
        <v>0</v>
      </c>
      <c r="J10" s="2435">
        <v>7044897.374835927</v>
      </c>
      <c r="K10" s="2435">
        <v>7935881.5910065202</v>
      </c>
      <c r="L10" s="2435">
        <v>7935881.5910065202</v>
      </c>
      <c r="M10" s="2435">
        <v>0</v>
      </c>
      <c r="N10" s="2435">
        <v>7935881.5910065202</v>
      </c>
    </row>
    <row r="11" spans="1:14" ht="15" x14ac:dyDescent="0.3">
      <c r="B11" s="3357"/>
      <c r="C11" s="3348" t="s">
        <v>3441</v>
      </c>
      <c r="D11" s="3349"/>
      <c r="E11" s="3349"/>
      <c r="F11" s="2442" t="s">
        <v>18</v>
      </c>
      <c r="G11" s="2435">
        <v>5003952.3720232528</v>
      </c>
      <c r="H11" s="2435">
        <v>5003952.3720232528</v>
      </c>
      <c r="I11" s="2435">
        <v>0</v>
      </c>
      <c r="J11" s="2435">
        <v>5003952.3720232528</v>
      </c>
      <c r="K11" s="2435">
        <v>7072381.5910065202</v>
      </c>
      <c r="L11" s="2435">
        <v>7072381.5910065202</v>
      </c>
      <c r="M11" s="2435">
        <v>0</v>
      </c>
      <c r="N11" s="2435">
        <v>7072381.5910065202</v>
      </c>
    </row>
    <row r="12" spans="1:14" ht="15" x14ac:dyDescent="0.3">
      <c r="B12" s="3357"/>
      <c r="C12" s="3348" t="s">
        <v>3440</v>
      </c>
      <c r="D12" s="3349"/>
      <c r="E12" s="3349"/>
      <c r="F12" s="2442" t="s">
        <v>18</v>
      </c>
      <c r="G12" s="2435">
        <v>1253300</v>
      </c>
      <c r="H12" s="2435">
        <v>1253300</v>
      </c>
      <c r="I12" s="2435">
        <v>0</v>
      </c>
      <c r="J12" s="2435">
        <v>1253300</v>
      </c>
      <c r="K12" s="2435">
        <v>863500.00000000012</v>
      </c>
      <c r="L12" s="2435">
        <v>863500.00000000012</v>
      </c>
      <c r="M12" s="2435">
        <v>0</v>
      </c>
      <c r="N12" s="2435">
        <v>863500.00000000012</v>
      </c>
    </row>
    <row r="13" spans="1:14" ht="15" x14ac:dyDescent="0.3">
      <c r="B13" s="3357"/>
      <c r="C13" s="3348" t="s">
        <v>3439</v>
      </c>
      <c r="D13" s="3349"/>
      <c r="E13" s="3349"/>
      <c r="F13" s="2442" t="s">
        <v>18</v>
      </c>
      <c r="G13" s="2435">
        <v>787645.00281267567</v>
      </c>
      <c r="H13" s="2435">
        <v>787645.00281267567</v>
      </c>
      <c r="I13" s="2435">
        <v>0</v>
      </c>
      <c r="J13" s="2435">
        <v>787645.00281267567</v>
      </c>
      <c r="K13" s="2435">
        <v>0</v>
      </c>
      <c r="L13" s="2435">
        <v>0</v>
      </c>
      <c r="M13" s="2435">
        <v>0</v>
      </c>
      <c r="N13" s="2435">
        <v>0</v>
      </c>
    </row>
    <row r="14" spans="1:14" ht="15" x14ac:dyDescent="0.3">
      <c r="B14" s="3357"/>
      <c r="C14" s="3350" t="s">
        <v>1447</v>
      </c>
      <c r="D14" s="3350"/>
      <c r="E14" s="3351"/>
      <c r="F14" s="2442" t="s">
        <v>18</v>
      </c>
      <c r="G14" s="2435">
        <v>0</v>
      </c>
      <c r="H14" s="2435">
        <v>0</v>
      </c>
      <c r="I14" s="2435">
        <v>0</v>
      </c>
      <c r="J14" s="2435">
        <v>0</v>
      </c>
      <c r="K14" s="2435">
        <v>0</v>
      </c>
      <c r="L14" s="2435">
        <v>0</v>
      </c>
      <c r="M14" s="2435">
        <v>0</v>
      </c>
      <c r="N14" s="2435">
        <v>0</v>
      </c>
    </row>
    <row r="15" spans="1:14" ht="15" x14ac:dyDescent="0.3">
      <c r="B15" s="3357"/>
      <c r="C15" s="3352" t="s">
        <v>561</v>
      </c>
      <c r="D15" s="3353"/>
      <c r="E15" s="3353"/>
      <c r="F15" s="2442" t="s">
        <v>18</v>
      </c>
      <c r="G15" s="2435">
        <v>3057.6833490459999</v>
      </c>
      <c r="H15" s="2435">
        <v>3057.6833490459999</v>
      </c>
      <c r="I15" s="2435">
        <v>0</v>
      </c>
      <c r="J15" s="2435">
        <v>3057.6833490459999</v>
      </c>
      <c r="K15" s="2435">
        <v>601598.06700547994</v>
      </c>
      <c r="L15" s="2435">
        <v>601598.06700547994</v>
      </c>
      <c r="M15" s="2435">
        <v>0</v>
      </c>
      <c r="N15" s="2435">
        <v>601598.06700547994</v>
      </c>
    </row>
    <row r="16" spans="1:14" ht="15" x14ac:dyDescent="0.3">
      <c r="B16" s="3357"/>
      <c r="C16" s="3352" t="s">
        <v>468</v>
      </c>
      <c r="D16" s="3353"/>
      <c r="E16" s="3353"/>
      <c r="F16" s="2442" t="s">
        <v>3570</v>
      </c>
      <c r="G16" s="2435">
        <v>0</v>
      </c>
      <c r="H16" s="2435">
        <v>0</v>
      </c>
      <c r="I16" s="2435">
        <v>0</v>
      </c>
      <c r="J16" s="2435">
        <v>0</v>
      </c>
      <c r="K16" s="2482"/>
      <c r="L16" s="2482"/>
      <c r="M16" s="2482"/>
      <c r="N16" s="2482"/>
    </row>
    <row r="17" spans="2:14" ht="15" x14ac:dyDescent="0.3">
      <c r="B17" s="3357"/>
      <c r="C17" s="3347" t="s">
        <v>3438</v>
      </c>
      <c r="D17" s="3347"/>
      <c r="E17" s="3348"/>
      <c r="F17" s="2442" t="s">
        <v>3570</v>
      </c>
      <c r="G17" s="2435">
        <v>0</v>
      </c>
      <c r="H17" s="2435">
        <v>0</v>
      </c>
      <c r="I17" s="2435">
        <v>0</v>
      </c>
      <c r="J17" s="2435">
        <v>0</v>
      </c>
      <c r="K17" s="2482"/>
      <c r="L17" s="2482"/>
      <c r="M17" s="2482"/>
      <c r="N17" s="2482"/>
    </row>
    <row r="18" spans="2:14" ht="15" x14ac:dyDescent="0.3">
      <c r="B18" s="3358"/>
      <c r="C18" s="3379" t="s">
        <v>203</v>
      </c>
      <c r="D18" s="3380"/>
      <c r="E18" s="3380"/>
      <c r="F18" s="2442" t="s">
        <v>3570</v>
      </c>
      <c r="G18" s="2435">
        <v>0</v>
      </c>
      <c r="H18" s="2435">
        <v>0</v>
      </c>
      <c r="I18" s="2435">
        <v>0</v>
      </c>
      <c r="J18" s="2435">
        <v>0</v>
      </c>
      <c r="K18" s="2435">
        <v>0</v>
      </c>
      <c r="L18" s="2435">
        <v>0</v>
      </c>
      <c r="M18" s="2435">
        <v>0</v>
      </c>
      <c r="N18" s="2435">
        <v>0</v>
      </c>
    </row>
    <row r="19" spans="2:14" ht="15" x14ac:dyDescent="0.3">
      <c r="B19" s="3381" t="s">
        <v>3437</v>
      </c>
      <c r="C19" s="3382"/>
      <c r="D19" s="3382"/>
      <c r="E19" s="3382"/>
      <c r="F19" s="2483"/>
      <c r="G19" s="2484">
        <f>+G6+G7+G10+G14+G15+G16+G18</f>
        <v>7047955.058184973</v>
      </c>
      <c r="H19" s="2484">
        <f>+H6+H7+H10+H14+H15+H16+H18</f>
        <v>7047955.058184973</v>
      </c>
      <c r="I19" s="2484">
        <f>+I6+I7+I10+I14+I15+I16+I18</f>
        <v>0</v>
      </c>
      <c r="J19" s="2484">
        <f>+J6+J7+J10+J14+J15+J16+J18</f>
        <v>7047955.058184973</v>
      </c>
      <c r="K19" s="2484">
        <f>+K6+K7+K10+K14+K15+K18</f>
        <v>8537479.6580120008</v>
      </c>
      <c r="L19" s="2484">
        <f>+L6+L7+L10+L14+L15+L18</f>
        <v>8537479.6580120008</v>
      </c>
      <c r="M19" s="2484">
        <f>+M6+M7+M10+M14+M15+M18</f>
        <v>0</v>
      </c>
      <c r="N19" s="2484">
        <f>+N6+N7+N10+N14+N15+N18</f>
        <v>8537479.6580120008</v>
      </c>
    </row>
    <row r="20" spans="2:14" ht="15" x14ac:dyDescent="0.3">
      <c r="B20" s="3383" t="s">
        <v>3419</v>
      </c>
      <c r="C20" s="3350" t="s">
        <v>3281</v>
      </c>
      <c r="D20" s="3350"/>
      <c r="E20" s="3351"/>
      <c r="F20" s="2442" t="s">
        <v>3570</v>
      </c>
      <c r="G20" s="2435">
        <v>0</v>
      </c>
      <c r="H20" s="2435">
        <v>0</v>
      </c>
      <c r="I20" s="2435">
        <v>0</v>
      </c>
      <c r="J20" s="2435">
        <v>0</v>
      </c>
      <c r="K20" s="2435">
        <v>0</v>
      </c>
      <c r="L20" s="2435">
        <v>0</v>
      </c>
      <c r="M20" s="2435">
        <v>0</v>
      </c>
      <c r="N20" s="2435">
        <v>0</v>
      </c>
    </row>
    <row r="21" spans="2:14" ht="15" x14ac:dyDescent="0.3">
      <c r="B21" s="3384"/>
      <c r="C21" s="3350" t="s">
        <v>3436</v>
      </c>
      <c r="D21" s="3350"/>
      <c r="E21" s="3351"/>
      <c r="F21" s="2442" t="s">
        <v>3570</v>
      </c>
      <c r="G21" s="2435">
        <v>0</v>
      </c>
      <c r="H21" s="2435">
        <v>0</v>
      </c>
      <c r="I21" s="2435">
        <v>0</v>
      </c>
      <c r="J21" s="2435">
        <v>0</v>
      </c>
      <c r="K21" s="2435">
        <v>0</v>
      </c>
      <c r="L21" s="2435">
        <v>0</v>
      </c>
      <c r="M21" s="2435">
        <v>0</v>
      </c>
      <c r="N21" s="2435">
        <v>0</v>
      </c>
    </row>
    <row r="22" spans="2:14" ht="15" x14ac:dyDescent="0.3">
      <c r="B22" s="3384"/>
      <c r="C22" s="3352" t="s">
        <v>3285</v>
      </c>
      <c r="D22" s="3353"/>
      <c r="E22" s="3353"/>
      <c r="F22" s="2442" t="s">
        <v>3570</v>
      </c>
      <c r="G22" s="2435">
        <v>0</v>
      </c>
      <c r="H22" s="2435">
        <v>0</v>
      </c>
      <c r="I22" s="2435">
        <v>0</v>
      </c>
      <c r="J22" s="2435">
        <v>0</v>
      </c>
      <c r="K22" s="2435">
        <v>0</v>
      </c>
      <c r="L22" s="2435">
        <v>0</v>
      </c>
      <c r="M22" s="2435">
        <v>0</v>
      </c>
      <c r="N22" s="2435">
        <v>0</v>
      </c>
    </row>
    <row r="23" spans="2:14" ht="15" x14ac:dyDescent="0.3">
      <c r="B23" s="3384"/>
      <c r="C23" s="3350" t="s">
        <v>1447</v>
      </c>
      <c r="D23" s="3350"/>
      <c r="E23" s="3351"/>
      <c r="F23" s="2442" t="s">
        <v>3570</v>
      </c>
      <c r="G23" s="2435">
        <v>0</v>
      </c>
      <c r="H23" s="2435">
        <v>0</v>
      </c>
      <c r="I23" s="2435">
        <v>0</v>
      </c>
      <c r="J23" s="2435">
        <v>0</v>
      </c>
      <c r="K23" s="2435">
        <v>0</v>
      </c>
      <c r="L23" s="2435">
        <v>0</v>
      </c>
      <c r="M23" s="2435">
        <v>0</v>
      </c>
      <c r="N23" s="2435">
        <v>0</v>
      </c>
    </row>
    <row r="24" spans="2:14" ht="14.25" customHeight="1" x14ac:dyDescent="0.3">
      <c r="B24" s="3384"/>
      <c r="C24" s="3352" t="s">
        <v>561</v>
      </c>
      <c r="D24" s="3353"/>
      <c r="E24" s="3353"/>
      <c r="F24" s="2442" t="s">
        <v>3570</v>
      </c>
      <c r="G24" s="2435">
        <v>0</v>
      </c>
      <c r="H24" s="2435">
        <v>0</v>
      </c>
      <c r="I24" s="2435">
        <v>0</v>
      </c>
      <c r="J24" s="2435">
        <v>0</v>
      </c>
      <c r="K24" s="2435">
        <v>0</v>
      </c>
      <c r="L24" s="2435">
        <v>0</v>
      </c>
      <c r="M24" s="2435">
        <v>0</v>
      </c>
      <c r="N24" s="2435">
        <v>0</v>
      </c>
    </row>
    <row r="25" spans="2:14" ht="15" x14ac:dyDescent="0.3">
      <c r="B25" s="3384"/>
      <c r="C25" s="3352" t="s">
        <v>468</v>
      </c>
      <c r="D25" s="3353"/>
      <c r="E25" s="3353"/>
      <c r="F25" s="2442" t="s">
        <v>3570</v>
      </c>
      <c r="G25" s="2435">
        <v>0</v>
      </c>
      <c r="H25" s="2435">
        <v>0</v>
      </c>
      <c r="I25" s="2435">
        <v>0</v>
      </c>
      <c r="J25" s="2435">
        <v>0</v>
      </c>
      <c r="K25" s="2482"/>
      <c r="L25" s="2482"/>
      <c r="M25" s="2482"/>
      <c r="N25" s="2482"/>
    </row>
    <row r="26" spans="2:14" ht="15" x14ac:dyDescent="0.3">
      <c r="B26" s="3384"/>
      <c r="C26" s="3347" t="s">
        <v>3438</v>
      </c>
      <c r="D26" s="3347"/>
      <c r="E26" s="3348"/>
      <c r="F26" s="2442" t="s">
        <v>3570</v>
      </c>
      <c r="G26" s="2435">
        <v>0</v>
      </c>
      <c r="H26" s="2435">
        <v>0</v>
      </c>
      <c r="I26" s="2435">
        <v>0</v>
      </c>
      <c r="J26" s="2435">
        <v>0</v>
      </c>
      <c r="K26" s="2482"/>
      <c r="L26" s="2482"/>
      <c r="M26" s="2482"/>
      <c r="N26" s="2482"/>
    </row>
    <row r="27" spans="2:14" ht="15" x14ac:dyDescent="0.3">
      <c r="B27" s="3385"/>
      <c r="C27" s="3352" t="s">
        <v>3434</v>
      </c>
      <c r="D27" s="3353"/>
      <c r="E27" s="3353"/>
      <c r="F27" s="2442" t="s">
        <v>3570</v>
      </c>
      <c r="G27" s="2435">
        <v>0</v>
      </c>
      <c r="H27" s="2435">
        <v>0</v>
      </c>
      <c r="I27" s="2435">
        <v>0</v>
      </c>
      <c r="J27" s="2435">
        <v>0</v>
      </c>
      <c r="K27" s="2435">
        <v>0</v>
      </c>
      <c r="L27" s="2435">
        <v>0</v>
      </c>
      <c r="M27" s="2435">
        <v>0</v>
      </c>
      <c r="N27" s="2435">
        <v>0</v>
      </c>
    </row>
    <row r="28" spans="2:14" ht="15" x14ac:dyDescent="0.3">
      <c r="B28" s="3386" t="s">
        <v>3433</v>
      </c>
      <c r="C28" s="3382"/>
      <c r="D28" s="3382"/>
      <c r="E28" s="3382"/>
      <c r="F28" s="2483"/>
      <c r="G28" s="2484">
        <f>+G20+G21+G22+G23+G24+G25+G27</f>
        <v>0</v>
      </c>
      <c r="H28" s="2484">
        <f>+H20+H21+H22+H23+H24+H25+H27</f>
        <v>0</v>
      </c>
      <c r="I28" s="2484">
        <f>+I20+I21+I22+I23+I24+I25+I27</f>
        <v>0</v>
      </c>
      <c r="J28" s="2484">
        <f>+J20+J21+J22+J23+J24+J25+J27</f>
        <v>0</v>
      </c>
      <c r="K28" s="2484">
        <f>+K20+K21+K22+K23+K24+K27</f>
        <v>0</v>
      </c>
      <c r="L28" s="2484">
        <f>+L20+L21+L22+L23+L24+L27</f>
        <v>0</v>
      </c>
      <c r="M28" s="2484">
        <f>+M20+M21+M22+M23+M24+M27</f>
        <v>0</v>
      </c>
      <c r="N28" s="2484">
        <f>+N20+N21+N22+N23+N24+N27</f>
        <v>0</v>
      </c>
    </row>
    <row r="31" spans="2:14" x14ac:dyDescent="0.3">
      <c r="B31" s="2393" t="s">
        <v>3453</v>
      </c>
    </row>
    <row r="32" spans="2:14" x14ac:dyDescent="0.3">
      <c r="B32" s="3387" t="s">
        <v>3452</v>
      </c>
      <c r="C32" s="3388"/>
      <c r="D32" s="3388"/>
      <c r="E32" s="3388"/>
      <c r="F32" s="3388"/>
      <c r="G32" s="3388"/>
      <c r="H32" s="3388"/>
      <c r="I32" s="3388"/>
      <c r="J32" s="3388"/>
      <c r="K32" s="3388"/>
      <c r="L32" s="3388"/>
      <c r="M32" s="3388"/>
      <c r="N32" s="3389"/>
    </row>
    <row r="33" spans="2:14" ht="27" customHeight="1" x14ac:dyDescent="0.3">
      <c r="B33" s="3390"/>
      <c r="C33" s="3391" t="s">
        <v>3451</v>
      </c>
      <c r="D33" s="3391"/>
      <c r="E33" s="3391"/>
      <c r="F33" s="2522" t="s">
        <v>3450</v>
      </c>
      <c r="G33" s="3392" t="s">
        <v>3449</v>
      </c>
      <c r="H33" s="3392"/>
      <c r="I33" s="3392"/>
      <c r="J33" s="3392"/>
      <c r="K33" s="3393" t="s">
        <v>3448</v>
      </c>
      <c r="L33" s="3394"/>
      <c r="M33" s="3394"/>
      <c r="N33" s="3395"/>
    </row>
    <row r="34" spans="2:14" ht="15" customHeight="1" x14ac:dyDescent="0.3">
      <c r="B34" s="3390"/>
      <c r="C34" s="3391"/>
      <c r="D34" s="3391"/>
      <c r="E34" s="3391"/>
      <c r="F34" s="3354" t="s">
        <v>3446</v>
      </c>
      <c r="G34" s="3354" t="s">
        <v>3446</v>
      </c>
      <c r="H34" s="3354" t="s">
        <v>3445</v>
      </c>
      <c r="I34" s="3354" t="s">
        <v>3426</v>
      </c>
      <c r="J34" s="3354" t="s">
        <v>3447</v>
      </c>
      <c r="K34" s="3354" t="s">
        <v>3446</v>
      </c>
      <c r="L34" s="3354" t="s">
        <v>3445</v>
      </c>
      <c r="M34" s="3354" t="s">
        <v>3426</v>
      </c>
      <c r="N34" s="3354" t="s">
        <v>3444</v>
      </c>
    </row>
    <row r="35" spans="2:14" ht="30" customHeight="1" x14ac:dyDescent="0.3">
      <c r="B35" s="3362"/>
      <c r="C35" s="3391"/>
      <c r="D35" s="3391"/>
      <c r="E35" s="3391"/>
      <c r="F35" s="3355"/>
      <c r="G35" s="3355"/>
      <c r="H35" s="3355"/>
      <c r="I35" s="3355"/>
      <c r="J35" s="3355"/>
      <c r="K35" s="3355"/>
      <c r="L35" s="3355"/>
      <c r="M35" s="3355"/>
      <c r="N35" s="3355"/>
    </row>
    <row r="36" spans="2:14" ht="15" x14ac:dyDescent="0.3">
      <c r="B36" s="3356" t="s">
        <v>3420</v>
      </c>
      <c r="C36" s="3350" t="s">
        <v>3281</v>
      </c>
      <c r="D36" s="3350"/>
      <c r="E36" s="3351"/>
      <c r="F36" s="2440">
        <v>0</v>
      </c>
      <c r="G36" s="2437">
        <v>0</v>
      </c>
      <c r="H36" s="2437">
        <v>0</v>
      </c>
      <c r="I36" s="2437">
        <v>0</v>
      </c>
      <c r="J36" s="2437">
        <v>0</v>
      </c>
      <c r="K36" s="2437">
        <v>0</v>
      </c>
      <c r="L36" s="2437">
        <v>0</v>
      </c>
      <c r="M36" s="2437">
        <v>0</v>
      </c>
      <c r="N36" s="2437">
        <v>0</v>
      </c>
    </row>
    <row r="37" spans="2:14" ht="15" x14ac:dyDescent="0.3">
      <c r="B37" s="3357"/>
      <c r="C37" s="3351" t="s">
        <v>3286</v>
      </c>
      <c r="D37" s="3397"/>
      <c r="E37" s="3398"/>
      <c r="F37" s="2436">
        <v>0</v>
      </c>
      <c r="G37" s="2435">
        <v>0</v>
      </c>
      <c r="H37" s="2435">
        <v>0</v>
      </c>
      <c r="I37" s="2435">
        <v>0</v>
      </c>
      <c r="J37" s="2435">
        <v>0</v>
      </c>
      <c r="K37" s="2435">
        <v>0</v>
      </c>
      <c r="L37" s="2435">
        <v>0</v>
      </c>
      <c r="M37" s="2435">
        <v>0</v>
      </c>
      <c r="N37" s="2435">
        <v>0</v>
      </c>
    </row>
    <row r="38" spans="2:14" ht="15" x14ac:dyDescent="0.3">
      <c r="B38" s="3357"/>
      <c r="C38" s="3348" t="s">
        <v>3443</v>
      </c>
      <c r="D38" s="3349"/>
      <c r="E38" s="3349"/>
      <c r="F38" s="2441">
        <v>0</v>
      </c>
      <c r="G38" s="2438">
        <v>0</v>
      </c>
      <c r="H38" s="2438">
        <v>0</v>
      </c>
      <c r="I38" s="2438">
        <v>0</v>
      </c>
      <c r="J38" s="2438">
        <v>0</v>
      </c>
      <c r="K38" s="2438">
        <v>0</v>
      </c>
      <c r="L38" s="2438">
        <v>0</v>
      </c>
      <c r="M38" s="2438">
        <v>0</v>
      </c>
      <c r="N38" s="2438">
        <v>0</v>
      </c>
    </row>
    <row r="39" spans="2:14" ht="15" x14ac:dyDescent="0.3">
      <c r="B39" s="3357"/>
      <c r="C39" s="3348" t="s">
        <v>3442</v>
      </c>
      <c r="D39" s="3349"/>
      <c r="E39" s="3349"/>
      <c r="F39" s="2440">
        <v>0</v>
      </c>
      <c r="G39" s="2437">
        <v>0</v>
      </c>
      <c r="H39" s="2437">
        <v>0</v>
      </c>
      <c r="I39" s="2437">
        <v>0</v>
      </c>
      <c r="J39" s="2437">
        <v>0</v>
      </c>
      <c r="K39" s="2437">
        <v>0</v>
      </c>
      <c r="L39" s="2437">
        <v>0</v>
      </c>
      <c r="M39" s="2437">
        <v>0</v>
      </c>
      <c r="N39" s="2437">
        <v>0</v>
      </c>
    </row>
    <row r="40" spans="2:14" ht="15" x14ac:dyDescent="0.3">
      <c r="B40" s="3357"/>
      <c r="C40" s="3352" t="s">
        <v>3285</v>
      </c>
      <c r="D40" s="3353"/>
      <c r="E40" s="3399"/>
      <c r="F40" s="2436">
        <v>45.027676729813599</v>
      </c>
      <c r="G40" s="2435">
        <v>104.74443769595214</v>
      </c>
      <c r="H40" s="2435">
        <v>300452.02970943681</v>
      </c>
      <c r="I40" s="2435">
        <v>0</v>
      </c>
      <c r="J40" s="2435">
        <v>0</v>
      </c>
      <c r="K40" s="2435">
        <v>0</v>
      </c>
      <c r="L40" s="2435">
        <v>0</v>
      </c>
      <c r="M40" s="2435">
        <v>0</v>
      </c>
      <c r="N40" s="2435">
        <v>0</v>
      </c>
    </row>
    <row r="41" spans="2:14" ht="15" x14ac:dyDescent="0.3">
      <c r="B41" s="3357"/>
      <c r="C41" s="3348" t="s">
        <v>3441</v>
      </c>
      <c r="D41" s="3349"/>
      <c r="E41" s="3349"/>
      <c r="F41" s="2441">
        <v>39.6394031894203</v>
      </c>
      <c r="G41" s="2438">
        <v>106.37194180882898</v>
      </c>
      <c r="H41" s="2438">
        <v>263101.93426006398</v>
      </c>
      <c r="I41" s="2438">
        <v>0</v>
      </c>
      <c r="J41" s="2438">
        <v>0</v>
      </c>
      <c r="K41" s="2438">
        <v>0</v>
      </c>
      <c r="L41" s="2438">
        <v>0</v>
      </c>
      <c r="M41" s="2438">
        <v>0</v>
      </c>
      <c r="N41" s="2438">
        <v>0</v>
      </c>
    </row>
    <row r="42" spans="2:14" ht="15" x14ac:dyDescent="0.3">
      <c r="B42" s="3357"/>
      <c r="C42" s="3348" t="s">
        <v>3440</v>
      </c>
      <c r="D42" s="3349"/>
      <c r="E42" s="3349"/>
      <c r="F42" s="2436">
        <v>76.608445531756999</v>
      </c>
      <c r="G42" s="2435">
        <v>115.62960902939537</v>
      </c>
      <c r="H42" s="2435">
        <v>29912.954667234346</v>
      </c>
      <c r="I42" s="2435">
        <v>0</v>
      </c>
      <c r="J42" s="2435">
        <v>0</v>
      </c>
      <c r="K42" s="2435">
        <v>0</v>
      </c>
      <c r="L42" s="2435">
        <v>0</v>
      </c>
      <c r="M42" s="2435">
        <v>0</v>
      </c>
      <c r="N42" s="2435">
        <v>0</v>
      </c>
    </row>
    <row r="43" spans="2:14" ht="15" x14ac:dyDescent="0.3">
      <c r="B43" s="3357"/>
      <c r="C43" s="3348" t="s">
        <v>3439</v>
      </c>
      <c r="D43" s="3349"/>
      <c r="E43" s="3349"/>
      <c r="F43" s="2436">
        <v>41.7919062958266</v>
      </c>
      <c r="G43" s="2435">
        <v>67.406578083023078</v>
      </c>
      <c r="H43" s="2435">
        <v>7437.1407821384728</v>
      </c>
      <c r="I43" s="2435">
        <v>0</v>
      </c>
      <c r="J43" s="2435">
        <v>0</v>
      </c>
      <c r="K43" s="2435">
        <v>0</v>
      </c>
      <c r="L43" s="2435">
        <v>0</v>
      </c>
      <c r="M43" s="2435">
        <v>0</v>
      </c>
      <c r="N43" s="2435">
        <v>0</v>
      </c>
    </row>
    <row r="44" spans="2:14" ht="15" x14ac:dyDescent="0.3">
      <c r="B44" s="3357"/>
      <c r="C44" s="3350" t="s">
        <v>1447</v>
      </c>
      <c r="D44" s="3350"/>
      <c r="E44" s="3351"/>
      <c r="F44" s="2436">
        <v>0</v>
      </c>
      <c r="G44" s="2435">
        <v>0</v>
      </c>
      <c r="H44" s="2435">
        <v>0</v>
      </c>
      <c r="I44" s="2435">
        <v>0</v>
      </c>
      <c r="J44" s="2435">
        <v>0</v>
      </c>
      <c r="K44" s="2435">
        <v>0</v>
      </c>
      <c r="L44" s="2435">
        <v>0</v>
      </c>
      <c r="M44" s="2435">
        <v>0</v>
      </c>
      <c r="N44" s="2435">
        <v>0</v>
      </c>
    </row>
    <row r="45" spans="2:14" ht="15" x14ac:dyDescent="0.3">
      <c r="B45" s="3357"/>
      <c r="C45" s="3352" t="s">
        <v>561</v>
      </c>
      <c r="D45" s="3353"/>
      <c r="E45" s="3353"/>
      <c r="F45" s="2436">
        <v>49.607495672594801</v>
      </c>
      <c r="G45" s="2435">
        <v>85.334207722449349</v>
      </c>
      <c r="H45" s="2435">
        <v>1644.2372616559082</v>
      </c>
      <c r="I45" s="2435">
        <v>0</v>
      </c>
      <c r="J45" s="2435">
        <v>0</v>
      </c>
      <c r="K45" s="2435">
        <v>0</v>
      </c>
      <c r="L45" s="2435">
        <v>0</v>
      </c>
      <c r="M45" s="2435">
        <v>0</v>
      </c>
      <c r="N45" s="2435">
        <v>0</v>
      </c>
    </row>
    <row r="46" spans="2:14" ht="15" x14ac:dyDescent="0.3">
      <c r="B46" s="3357"/>
      <c r="C46" s="3352" t="s">
        <v>468</v>
      </c>
      <c r="D46" s="3353"/>
      <c r="E46" s="3353"/>
      <c r="F46" s="2436">
        <v>0</v>
      </c>
      <c r="G46" s="2435">
        <v>0</v>
      </c>
      <c r="H46" s="2435">
        <v>0</v>
      </c>
      <c r="I46" s="2435">
        <v>0</v>
      </c>
      <c r="J46" s="2435">
        <v>0</v>
      </c>
      <c r="K46" s="2435">
        <v>0</v>
      </c>
      <c r="L46" s="2435">
        <v>0</v>
      </c>
      <c r="M46" s="2435">
        <v>0</v>
      </c>
      <c r="N46" s="2435">
        <v>0</v>
      </c>
    </row>
    <row r="47" spans="2:14" ht="15" x14ac:dyDescent="0.3">
      <c r="B47" s="3357"/>
      <c r="C47" s="3347" t="s">
        <v>3438</v>
      </c>
      <c r="D47" s="3347"/>
      <c r="E47" s="3348"/>
      <c r="F47" s="2436">
        <v>0</v>
      </c>
      <c r="G47" s="2435">
        <v>0</v>
      </c>
      <c r="H47" s="2435">
        <v>0</v>
      </c>
      <c r="I47" s="2435">
        <v>0</v>
      </c>
      <c r="J47" s="2435">
        <v>0</v>
      </c>
      <c r="K47" s="2435">
        <v>0</v>
      </c>
      <c r="L47" s="2435">
        <v>0</v>
      </c>
      <c r="M47" s="2435">
        <v>0</v>
      </c>
      <c r="N47" s="2435">
        <v>0</v>
      </c>
    </row>
    <row r="48" spans="2:14" ht="15" x14ac:dyDescent="0.3">
      <c r="B48" s="3358"/>
      <c r="C48" s="3352" t="s">
        <v>203</v>
      </c>
      <c r="D48" s="3353"/>
      <c r="E48" s="3353"/>
      <c r="F48" s="2440">
        <v>0</v>
      </c>
      <c r="G48" s="2437">
        <v>0</v>
      </c>
      <c r="H48" s="2435">
        <v>0</v>
      </c>
      <c r="I48" s="2435">
        <v>0</v>
      </c>
      <c r="J48" s="2435">
        <v>0</v>
      </c>
      <c r="K48" s="2437">
        <v>0</v>
      </c>
      <c r="L48" s="2435">
        <v>0</v>
      </c>
      <c r="M48" s="2435">
        <v>0</v>
      </c>
      <c r="N48" s="2435">
        <v>0</v>
      </c>
    </row>
    <row r="49" spans="2:14" ht="15" customHeight="1" x14ac:dyDescent="0.3">
      <c r="B49" s="3381" t="s">
        <v>3437</v>
      </c>
      <c r="C49" s="3382"/>
      <c r="D49" s="3382"/>
      <c r="E49" s="3396"/>
      <c r="F49" s="2440">
        <v>45.22</v>
      </c>
      <c r="G49" s="2437">
        <v>104.93676096613855</v>
      </c>
      <c r="H49" s="2485">
        <f>+H36+H37+H40+H44+H45+H46+H48</f>
        <v>302096.26697109273</v>
      </c>
      <c r="I49" s="2484">
        <f>+I36+I37+I40+I44+I45+I46+I48</f>
        <v>0</v>
      </c>
      <c r="J49" s="2486">
        <f>+J36+J37+J40+J44+J45+J46+J48</f>
        <v>0</v>
      </c>
      <c r="K49" s="2435">
        <v>0</v>
      </c>
      <c r="L49" s="2486">
        <f>+L36+L37+L40+L44+L45+L46+L48</f>
        <v>0</v>
      </c>
      <c r="M49" s="2486">
        <f>+M36+M37+M40+M44+M45+M46+M48</f>
        <v>0</v>
      </c>
      <c r="N49" s="2486">
        <f>+N36+N37+N40+N44+N45+N46+N48</f>
        <v>0</v>
      </c>
    </row>
    <row r="50" spans="2:14" ht="15" customHeight="1" x14ac:dyDescent="0.3">
      <c r="B50" s="2439"/>
      <c r="C50" s="3352" t="s">
        <v>3281</v>
      </c>
      <c r="D50" s="3353"/>
      <c r="E50" s="3353"/>
      <c r="F50" s="2436">
        <v>0</v>
      </c>
      <c r="G50" s="2435">
        <v>0</v>
      </c>
      <c r="H50" s="2435">
        <v>0</v>
      </c>
      <c r="I50" s="2435">
        <v>0</v>
      </c>
      <c r="J50" s="2435">
        <v>0</v>
      </c>
      <c r="K50" s="2438">
        <v>0</v>
      </c>
      <c r="L50" s="2435">
        <v>0</v>
      </c>
      <c r="M50" s="2435">
        <v>0</v>
      </c>
      <c r="N50" s="2435">
        <v>0</v>
      </c>
    </row>
    <row r="51" spans="2:14" ht="15" customHeight="1" x14ac:dyDescent="0.3">
      <c r="B51" s="3384" t="s">
        <v>3419</v>
      </c>
      <c r="C51" s="3350" t="s">
        <v>3436</v>
      </c>
      <c r="D51" s="3350"/>
      <c r="E51" s="3351"/>
      <c r="F51" s="2436">
        <v>0</v>
      </c>
      <c r="G51" s="2435">
        <v>0</v>
      </c>
      <c r="H51" s="2435">
        <v>0</v>
      </c>
      <c r="I51" s="2435">
        <v>0</v>
      </c>
      <c r="J51" s="2435">
        <v>0</v>
      </c>
      <c r="K51" s="2435">
        <v>0</v>
      </c>
      <c r="L51" s="2435">
        <v>0</v>
      </c>
      <c r="M51" s="2435">
        <v>0</v>
      </c>
      <c r="N51" s="2435">
        <v>0</v>
      </c>
    </row>
    <row r="52" spans="2:14" ht="15" x14ac:dyDescent="0.3">
      <c r="B52" s="3384"/>
      <c r="C52" s="3352" t="s">
        <v>3285</v>
      </c>
      <c r="D52" s="3353"/>
      <c r="E52" s="3353"/>
      <c r="F52" s="2436">
        <v>0</v>
      </c>
      <c r="G52" s="2435">
        <v>0</v>
      </c>
      <c r="H52" s="2435">
        <v>0</v>
      </c>
      <c r="I52" s="2435">
        <v>0</v>
      </c>
      <c r="J52" s="2435">
        <v>0</v>
      </c>
      <c r="K52" s="2435">
        <v>0</v>
      </c>
      <c r="L52" s="2435">
        <v>0</v>
      </c>
      <c r="M52" s="2435">
        <v>0</v>
      </c>
      <c r="N52" s="2435">
        <v>0</v>
      </c>
    </row>
    <row r="53" spans="2:14" ht="15" x14ac:dyDescent="0.3">
      <c r="B53" s="3384"/>
      <c r="C53" s="3350" t="s">
        <v>1447</v>
      </c>
      <c r="D53" s="3350"/>
      <c r="E53" s="3351"/>
      <c r="F53" s="2436">
        <v>0</v>
      </c>
      <c r="G53" s="2435">
        <v>0</v>
      </c>
      <c r="H53" s="2435">
        <v>0</v>
      </c>
      <c r="I53" s="2435">
        <v>0</v>
      </c>
      <c r="J53" s="2435">
        <v>0</v>
      </c>
      <c r="K53" s="2435">
        <v>0</v>
      </c>
      <c r="L53" s="2435">
        <v>0</v>
      </c>
      <c r="M53" s="2435">
        <v>0</v>
      </c>
      <c r="N53" s="2435">
        <v>0</v>
      </c>
    </row>
    <row r="54" spans="2:14" ht="15" x14ac:dyDescent="0.3">
      <c r="B54" s="3384"/>
      <c r="C54" s="3352" t="s">
        <v>561</v>
      </c>
      <c r="D54" s="3353"/>
      <c r="E54" s="3353"/>
      <c r="F54" s="2436">
        <v>0</v>
      </c>
      <c r="G54" s="2435">
        <v>0</v>
      </c>
      <c r="H54" s="2435">
        <v>0</v>
      </c>
      <c r="I54" s="2435">
        <v>0</v>
      </c>
      <c r="J54" s="2435">
        <v>0</v>
      </c>
      <c r="K54" s="2435">
        <v>0</v>
      </c>
      <c r="L54" s="2435">
        <v>0</v>
      </c>
      <c r="M54" s="2435">
        <v>0</v>
      </c>
      <c r="N54" s="2435">
        <v>0</v>
      </c>
    </row>
    <row r="55" spans="2:14" ht="15" x14ac:dyDescent="0.3">
      <c r="B55" s="3384"/>
      <c r="C55" s="3352" t="s">
        <v>468</v>
      </c>
      <c r="D55" s="3353"/>
      <c r="E55" s="3353"/>
      <c r="F55" s="2436">
        <v>0</v>
      </c>
      <c r="G55" s="2435">
        <v>0</v>
      </c>
      <c r="H55" s="2435">
        <v>0</v>
      </c>
      <c r="I55" s="2435">
        <v>0</v>
      </c>
      <c r="J55" s="2435">
        <v>0</v>
      </c>
      <c r="K55" s="2435">
        <v>0</v>
      </c>
      <c r="L55" s="2435">
        <v>0</v>
      </c>
      <c r="M55" s="2435">
        <v>0</v>
      </c>
      <c r="N55" s="2435">
        <v>0</v>
      </c>
    </row>
    <row r="56" spans="2:14" ht="15" x14ac:dyDescent="0.3">
      <c r="B56" s="3384"/>
      <c r="C56" s="3347" t="s">
        <v>3435</v>
      </c>
      <c r="D56" s="3347"/>
      <c r="E56" s="3348"/>
      <c r="F56" s="2436">
        <v>0</v>
      </c>
      <c r="G56" s="2435">
        <v>0</v>
      </c>
      <c r="H56" s="2435">
        <v>0</v>
      </c>
      <c r="I56" s="2435">
        <v>0</v>
      </c>
      <c r="J56" s="2435">
        <v>0</v>
      </c>
      <c r="K56" s="2435">
        <v>0</v>
      </c>
      <c r="L56" s="2435">
        <v>0</v>
      </c>
      <c r="M56" s="2435">
        <v>0</v>
      </c>
      <c r="N56" s="2435">
        <v>0</v>
      </c>
    </row>
    <row r="57" spans="2:14" ht="15" x14ac:dyDescent="0.3">
      <c r="B57" s="3385"/>
      <c r="C57" s="3352" t="s">
        <v>3434</v>
      </c>
      <c r="D57" s="3353"/>
      <c r="E57" s="3353"/>
      <c r="F57" s="2436">
        <v>0</v>
      </c>
      <c r="G57" s="2435">
        <v>0</v>
      </c>
      <c r="H57" s="2435">
        <v>0</v>
      </c>
      <c r="I57" s="2435">
        <v>0</v>
      </c>
      <c r="J57" s="2435">
        <v>0</v>
      </c>
      <c r="K57" s="2437">
        <v>0</v>
      </c>
      <c r="L57" s="2435">
        <v>0</v>
      </c>
      <c r="M57" s="2435">
        <v>0</v>
      </c>
      <c r="N57" s="2435">
        <v>0</v>
      </c>
    </row>
    <row r="58" spans="2:14" ht="15" customHeight="1" x14ac:dyDescent="0.3">
      <c r="B58" s="3386" t="s">
        <v>3433</v>
      </c>
      <c r="C58" s="3382"/>
      <c r="D58" s="3382"/>
      <c r="E58" s="3396"/>
      <c r="F58" s="2436">
        <v>0</v>
      </c>
      <c r="G58" s="2435">
        <v>0</v>
      </c>
      <c r="H58" s="2484">
        <f>+H50+H51+H52+H53+H54+H55+H57</f>
        <v>0</v>
      </c>
      <c r="I58" s="2484">
        <f>+I50+I51+I52+I53+I54+I55+I57</f>
        <v>0</v>
      </c>
      <c r="J58" s="2486">
        <f>+J50+J51+J52+J53+J54+J55+J57</f>
        <v>0</v>
      </c>
      <c r="K58" s="2435">
        <v>0</v>
      </c>
      <c r="L58" s="2485">
        <f>+L50+L51+L52+L53+L54+L55+L57</f>
        <v>0</v>
      </c>
      <c r="M58" s="2484">
        <f>+M50+M51+M52+M53+M54+M55+M57</f>
        <v>0</v>
      </c>
      <c r="N58" s="2484">
        <f>+N50+N51+N52+N53+N54+N55+N57</f>
        <v>0</v>
      </c>
    </row>
  </sheetData>
  <sheetProtection algorithmName="SHA-512" hashValue="LLhrUkcJcS0uRisnniDlvHTwY/BHNenBmkFq7r8mVPrUtTymXPD/s8HJgSwtk/v1qn/zoffXBFHuJHi+2Dxnhw==" saltValue="YhLzthgAKw9uifvq2j8Jeg==" spinCount="100000" sheet="1" objects="1" scenarios="1"/>
  <mergeCells count="77">
    <mergeCell ref="B58:E58"/>
    <mergeCell ref="B51:B57"/>
    <mergeCell ref="C51:E51"/>
    <mergeCell ref="C52:E52"/>
    <mergeCell ref="C53:E53"/>
    <mergeCell ref="C54:E54"/>
    <mergeCell ref="C55:E55"/>
    <mergeCell ref="C56:E56"/>
    <mergeCell ref="C57:E57"/>
    <mergeCell ref="B49:E49"/>
    <mergeCell ref="C50:E50"/>
    <mergeCell ref="B36:B48"/>
    <mergeCell ref="C36:E36"/>
    <mergeCell ref="C37:E37"/>
    <mergeCell ref="C38:E38"/>
    <mergeCell ref="C39:E39"/>
    <mergeCell ref="C40:E40"/>
    <mergeCell ref="C41:E41"/>
    <mergeCell ref="C42:E42"/>
    <mergeCell ref="C43:E43"/>
    <mergeCell ref="C44:E44"/>
    <mergeCell ref="C45:E45"/>
    <mergeCell ref="C46:E46"/>
    <mergeCell ref="C47:E47"/>
    <mergeCell ref="C48:E48"/>
    <mergeCell ref="M34:M35"/>
    <mergeCell ref="N34:N35"/>
    <mergeCell ref="C27:E27"/>
    <mergeCell ref="B28:E28"/>
    <mergeCell ref="B32:N32"/>
    <mergeCell ref="B33:B35"/>
    <mergeCell ref="C33:E35"/>
    <mergeCell ref="G33:J33"/>
    <mergeCell ref="K33:N33"/>
    <mergeCell ref="F34:F35"/>
    <mergeCell ref="G34:G35"/>
    <mergeCell ref="H34:H35"/>
    <mergeCell ref="I34:I35"/>
    <mergeCell ref="J34:J35"/>
    <mergeCell ref="K34:K35"/>
    <mergeCell ref="L34:L35"/>
    <mergeCell ref="C18:E18"/>
    <mergeCell ref="B19:E19"/>
    <mergeCell ref="B20:B27"/>
    <mergeCell ref="C20:E20"/>
    <mergeCell ref="C21:E21"/>
    <mergeCell ref="C22:E22"/>
    <mergeCell ref="C23:E23"/>
    <mergeCell ref="C24:E24"/>
    <mergeCell ref="C25:E25"/>
    <mergeCell ref="C26:E26"/>
    <mergeCell ref="B3:B5"/>
    <mergeCell ref="C3:E5"/>
    <mergeCell ref="F3:F5"/>
    <mergeCell ref="G3:J3"/>
    <mergeCell ref="K3:N3"/>
    <mergeCell ref="C12:E12"/>
    <mergeCell ref="L4:L5"/>
    <mergeCell ref="M4:M5"/>
    <mergeCell ref="N4:N5"/>
    <mergeCell ref="B6:B18"/>
    <mergeCell ref="C6:E6"/>
    <mergeCell ref="C7:E7"/>
    <mergeCell ref="C8:E8"/>
    <mergeCell ref="C9:E9"/>
    <mergeCell ref="C10:E10"/>
    <mergeCell ref="C11:E11"/>
    <mergeCell ref="G4:G5"/>
    <mergeCell ref="H4:H5"/>
    <mergeCell ref="I4:I5"/>
    <mergeCell ref="J4:J5"/>
    <mergeCell ref="K4:K5"/>
    <mergeCell ref="C17:E17"/>
    <mergeCell ref="C13:E13"/>
    <mergeCell ref="C14:E14"/>
    <mergeCell ref="C15:E15"/>
    <mergeCell ref="C16:E16"/>
  </mergeCells>
  <conditionalFormatting sqref="G4 F41:N48 F51:N56 G11:N18 G21:N27 F19:N19 H57:N57">
    <cfRule type="cellIs" dxfId="145" priority="133" stopIfTrue="1" operator="lessThan">
      <formula>0</formula>
    </cfRule>
  </conditionalFormatting>
  <conditionalFormatting sqref="G8:G9">
    <cfRule type="cellIs" dxfId="144" priority="135" stopIfTrue="1" operator="lessThan">
      <formula>0</formula>
    </cfRule>
  </conditionalFormatting>
  <conditionalFormatting sqref="G8:G9">
    <cfRule type="cellIs" dxfId="143" priority="134" stopIfTrue="1" operator="lessThan">
      <formula>0</formula>
    </cfRule>
  </conditionalFormatting>
  <conditionalFormatting sqref="F33">
    <cfRule type="cellIs" dxfId="142" priority="132" stopIfTrue="1" operator="lessThan">
      <formula>0</formula>
    </cfRule>
  </conditionalFormatting>
  <conditionalFormatting sqref="K8:K9">
    <cfRule type="cellIs" dxfId="141" priority="115" stopIfTrue="1" operator="lessThan">
      <formula>0</formula>
    </cfRule>
  </conditionalFormatting>
  <conditionalFormatting sqref="F34">
    <cfRule type="cellIs" dxfId="140" priority="130" stopIfTrue="1" operator="lessThan">
      <formula>0</formula>
    </cfRule>
  </conditionalFormatting>
  <conditionalFormatting sqref="F33">
    <cfRule type="cellIs" dxfId="139" priority="131" stopIfTrue="1" operator="lessThan">
      <formula>0</formula>
    </cfRule>
  </conditionalFormatting>
  <conditionalFormatting sqref="G33">
    <cfRule type="cellIs" dxfId="138" priority="129" stopIfTrue="1" operator="lessThan">
      <formula>0</formula>
    </cfRule>
  </conditionalFormatting>
  <conditionalFormatting sqref="H4">
    <cfRule type="cellIs" dxfId="137" priority="119" stopIfTrue="1" operator="lessThan">
      <formula>0</formula>
    </cfRule>
  </conditionalFormatting>
  <conditionalFormatting sqref="I34">
    <cfRule type="cellIs" dxfId="136" priority="125" stopIfTrue="1" operator="lessThan">
      <formula>0</formula>
    </cfRule>
  </conditionalFormatting>
  <conditionalFormatting sqref="H34">
    <cfRule type="cellIs" dxfId="135" priority="126" stopIfTrue="1" operator="lessThan">
      <formula>0</formula>
    </cfRule>
  </conditionalFormatting>
  <conditionalFormatting sqref="G34">
    <cfRule type="cellIs" dxfId="134" priority="127" stopIfTrue="1" operator="lessThan">
      <formula>0</formula>
    </cfRule>
  </conditionalFormatting>
  <conditionalFormatting sqref="I8:I9">
    <cfRule type="cellIs" dxfId="133" priority="118" stopIfTrue="1" operator="lessThan">
      <formula>0</formula>
    </cfRule>
  </conditionalFormatting>
  <conditionalFormatting sqref="G33">
    <cfRule type="cellIs" dxfId="132" priority="128" stopIfTrue="1" operator="lessThan">
      <formula>0</formula>
    </cfRule>
  </conditionalFormatting>
  <conditionalFormatting sqref="K8:K9">
    <cfRule type="cellIs" dxfId="131" priority="114" stopIfTrue="1" operator="lessThan">
      <formula>0</formula>
    </cfRule>
  </conditionalFormatting>
  <conditionalFormatting sqref="K33">
    <cfRule type="cellIs" dxfId="130" priority="124" stopIfTrue="1" operator="lessThan">
      <formula>0</formula>
    </cfRule>
  </conditionalFormatting>
  <conditionalFormatting sqref="K4">
    <cfRule type="cellIs" dxfId="129" priority="113" stopIfTrue="1" operator="lessThan">
      <formula>0</formula>
    </cfRule>
  </conditionalFormatting>
  <conditionalFormatting sqref="K34">
    <cfRule type="cellIs" dxfId="128" priority="122" stopIfTrue="1" operator="lessThan">
      <formula>0</formula>
    </cfRule>
  </conditionalFormatting>
  <conditionalFormatting sqref="K33">
    <cfRule type="cellIs" dxfId="127" priority="123" stopIfTrue="1" operator="lessThan">
      <formula>0</formula>
    </cfRule>
  </conditionalFormatting>
  <conditionalFormatting sqref="H8:H9">
    <cfRule type="cellIs" dxfId="126" priority="120" stopIfTrue="1" operator="lessThan">
      <formula>0</formula>
    </cfRule>
  </conditionalFormatting>
  <conditionalFormatting sqref="H8:H9">
    <cfRule type="cellIs" dxfId="125" priority="121" stopIfTrue="1" operator="lessThan">
      <formula>0</formula>
    </cfRule>
  </conditionalFormatting>
  <conditionalFormatting sqref="I4">
    <cfRule type="cellIs" dxfId="124" priority="116" stopIfTrue="1" operator="lessThan">
      <formula>0</formula>
    </cfRule>
  </conditionalFormatting>
  <conditionalFormatting sqref="I8:I9">
    <cfRule type="cellIs" dxfId="123" priority="117" stopIfTrue="1" operator="lessThan">
      <formula>0</formula>
    </cfRule>
  </conditionalFormatting>
  <conditionalFormatting sqref="N34">
    <cfRule type="cellIs" dxfId="122" priority="109" stopIfTrue="1" operator="lessThan">
      <formula>0</formula>
    </cfRule>
  </conditionalFormatting>
  <conditionalFormatting sqref="J34">
    <cfRule type="cellIs" dxfId="121" priority="112" stopIfTrue="1" operator="lessThan">
      <formula>0</formula>
    </cfRule>
  </conditionalFormatting>
  <conditionalFormatting sqref="M34">
    <cfRule type="cellIs" dxfId="120" priority="110" stopIfTrue="1" operator="lessThan">
      <formula>0</formula>
    </cfRule>
  </conditionalFormatting>
  <conditionalFormatting sqref="L34">
    <cfRule type="cellIs" dxfId="119" priority="111" stopIfTrue="1" operator="lessThan">
      <formula>0</formula>
    </cfRule>
  </conditionalFormatting>
  <conditionalFormatting sqref="G28">
    <cfRule type="cellIs" dxfId="118" priority="108" stopIfTrue="1" operator="lessThan">
      <formula>0</formula>
    </cfRule>
  </conditionalFormatting>
  <conditionalFormatting sqref="G28">
    <cfRule type="cellIs" dxfId="117" priority="107" stopIfTrue="1" operator="lessThan">
      <formula>0</formula>
    </cfRule>
  </conditionalFormatting>
  <conditionalFormatting sqref="F28">
    <cfRule type="cellIs" dxfId="116" priority="103" stopIfTrue="1" operator="lessThan">
      <formula>0</formula>
    </cfRule>
  </conditionalFormatting>
  <conditionalFormatting sqref="F28">
    <cfRule type="cellIs" dxfId="115" priority="104" stopIfTrue="1" operator="lessThan">
      <formula>0</formula>
    </cfRule>
  </conditionalFormatting>
  <conditionalFormatting sqref="K28">
    <cfRule type="cellIs" dxfId="114" priority="105" stopIfTrue="1" operator="lessThan">
      <formula>0</formula>
    </cfRule>
  </conditionalFormatting>
  <conditionalFormatting sqref="K28">
    <cfRule type="cellIs" dxfId="113" priority="106" stopIfTrue="1" operator="lessThan">
      <formula>0</formula>
    </cfRule>
  </conditionalFormatting>
  <conditionalFormatting sqref="L8:L9">
    <cfRule type="cellIs" dxfId="112" priority="89" stopIfTrue="1" operator="lessThan">
      <formula>0</formula>
    </cfRule>
  </conditionalFormatting>
  <conditionalFormatting sqref="L8:L9">
    <cfRule type="cellIs" dxfId="111" priority="85" stopIfTrue="1" operator="lessThan">
      <formula>0</formula>
    </cfRule>
  </conditionalFormatting>
  <conditionalFormatting sqref="L8:L9">
    <cfRule type="cellIs" dxfId="110" priority="99" stopIfTrue="1" operator="lessThan">
      <formula>0</formula>
    </cfRule>
  </conditionalFormatting>
  <conditionalFormatting sqref="H58">
    <cfRule type="cellIs" dxfId="109" priority="101" stopIfTrue="1" operator="lessThan">
      <formula>0</formula>
    </cfRule>
  </conditionalFormatting>
  <conditionalFormatting sqref="H58">
    <cfRule type="cellIs" dxfId="108" priority="102" stopIfTrue="1" operator="lessThan">
      <formula>0</formula>
    </cfRule>
  </conditionalFormatting>
  <conditionalFormatting sqref="J8:J9">
    <cfRule type="cellIs" dxfId="107" priority="79" stopIfTrue="1" operator="lessThan">
      <formula>0</formula>
    </cfRule>
  </conditionalFormatting>
  <conditionalFormatting sqref="J8:J9">
    <cfRule type="cellIs" dxfId="106" priority="78" stopIfTrue="1" operator="lessThan">
      <formula>0</formula>
    </cfRule>
  </conditionalFormatting>
  <conditionalFormatting sqref="L8:L9">
    <cfRule type="cellIs" dxfId="105" priority="100" stopIfTrue="1" operator="lessThan">
      <formula>0</formula>
    </cfRule>
  </conditionalFormatting>
  <conditionalFormatting sqref="J8:J9">
    <cfRule type="cellIs" dxfId="104" priority="76" stopIfTrue="1" operator="lessThan">
      <formula>0</formula>
    </cfRule>
  </conditionalFormatting>
  <conditionalFormatting sqref="I38">
    <cfRule type="cellIs" dxfId="103" priority="68" stopIfTrue="1" operator="lessThan">
      <formula>0</formula>
    </cfRule>
  </conditionalFormatting>
  <conditionalFormatting sqref="J8:J9">
    <cfRule type="cellIs" dxfId="102" priority="75" stopIfTrue="1" operator="lessThan">
      <formula>0</formula>
    </cfRule>
  </conditionalFormatting>
  <conditionalFormatting sqref="J4">
    <cfRule type="cellIs" dxfId="101" priority="74" stopIfTrue="1" operator="lessThan">
      <formula>0</formula>
    </cfRule>
  </conditionalFormatting>
  <conditionalFormatting sqref="J4">
    <cfRule type="cellIs" dxfId="100" priority="77" stopIfTrue="1" operator="lessThan">
      <formula>0</formula>
    </cfRule>
  </conditionalFormatting>
  <conditionalFormatting sqref="I8:I9">
    <cfRule type="cellIs" dxfId="99" priority="95" stopIfTrue="1" operator="lessThan">
      <formula>0</formula>
    </cfRule>
  </conditionalFormatting>
  <conditionalFormatting sqref="G38:G39">
    <cfRule type="cellIs" dxfId="98" priority="73" stopIfTrue="1" operator="lessThan">
      <formula>0</formula>
    </cfRule>
  </conditionalFormatting>
  <conditionalFormatting sqref="H8:H9">
    <cfRule type="cellIs" dxfId="97" priority="98" stopIfTrue="1" operator="lessThan">
      <formula>0</formula>
    </cfRule>
  </conditionalFormatting>
  <conditionalFormatting sqref="I4">
    <cfRule type="cellIs" dxfId="96" priority="93" stopIfTrue="1" operator="lessThan">
      <formula>0</formula>
    </cfRule>
  </conditionalFormatting>
  <conditionalFormatting sqref="H4">
    <cfRule type="cellIs" dxfId="95" priority="94" stopIfTrue="1" operator="lessThan">
      <formula>0</formula>
    </cfRule>
  </conditionalFormatting>
  <conditionalFormatting sqref="K8:K9">
    <cfRule type="cellIs" dxfId="94" priority="91" stopIfTrue="1" operator="lessThan">
      <formula>0</formula>
    </cfRule>
  </conditionalFormatting>
  <conditionalFormatting sqref="I38:I39">
    <cfRule type="cellIs" dxfId="93" priority="69" stopIfTrue="1" operator="lessThan">
      <formula>0</formula>
    </cfRule>
  </conditionalFormatting>
  <conditionalFormatting sqref="F38:F39">
    <cfRule type="cellIs" dxfId="92" priority="64" stopIfTrue="1" operator="lessThan">
      <formula>0</formula>
    </cfRule>
  </conditionalFormatting>
  <conditionalFormatting sqref="K4">
    <cfRule type="cellIs" dxfId="91" priority="90" stopIfTrue="1" operator="lessThan">
      <formula>0</formula>
    </cfRule>
  </conditionalFormatting>
  <conditionalFormatting sqref="H8:H9">
    <cfRule type="cellIs" dxfId="90" priority="97" stopIfTrue="1" operator="lessThan">
      <formula>0</formula>
    </cfRule>
  </conditionalFormatting>
  <conditionalFormatting sqref="I8:I9">
    <cfRule type="cellIs" dxfId="89" priority="96" stopIfTrue="1" operator="lessThan">
      <formula>0</formula>
    </cfRule>
  </conditionalFormatting>
  <conditionalFormatting sqref="K8:K9">
    <cfRule type="cellIs" dxfId="88" priority="92" stopIfTrue="1" operator="lessThan">
      <formula>0</formula>
    </cfRule>
  </conditionalFormatting>
  <conditionalFormatting sqref="L8:L9">
    <cfRule type="cellIs" dxfId="87" priority="88" stopIfTrue="1" operator="lessThan">
      <formula>0</formula>
    </cfRule>
  </conditionalFormatting>
  <conditionalFormatting sqref="K28">
    <cfRule type="cellIs" dxfId="86" priority="87" stopIfTrue="1" operator="lessThan">
      <formula>0</formula>
    </cfRule>
  </conditionalFormatting>
  <conditionalFormatting sqref="K28">
    <cfRule type="cellIs" dxfId="85" priority="86" stopIfTrue="1" operator="lessThan">
      <formula>0</formula>
    </cfRule>
  </conditionalFormatting>
  <conditionalFormatting sqref="K38:K39">
    <cfRule type="cellIs" dxfId="84" priority="67" stopIfTrue="1" operator="lessThan">
      <formula>0</formula>
    </cfRule>
  </conditionalFormatting>
  <conditionalFormatting sqref="H38:H39">
    <cfRule type="cellIs" dxfId="83" priority="60" stopIfTrue="1" operator="lessThan">
      <formula>0</formula>
    </cfRule>
  </conditionalFormatting>
  <conditionalFormatting sqref="I38:I39">
    <cfRule type="cellIs" dxfId="82" priority="58" stopIfTrue="1" operator="lessThan">
      <formula>0</formula>
    </cfRule>
  </conditionalFormatting>
  <conditionalFormatting sqref="I38:I39">
    <cfRule type="cellIs" dxfId="81" priority="59" stopIfTrue="1" operator="lessThan">
      <formula>0</formula>
    </cfRule>
  </conditionalFormatting>
  <conditionalFormatting sqref="M8:M9">
    <cfRule type="cellIs" dxfId="80" priority="82" stopIfTrue="1" operator="lessThan">
      <formula>0</formula>
    </cfRule>
  </conditionalFormatting>
  <conditionalFormatting sqref="M8:M9">
    <cfRule type="cellIs" dxfId="79" priority="83" stopIfTrue="1" operator="lessThan">
      <formula>0</formula>
    </cfRule>
  </conditionalFormatting>
  <conditionalFormatting sqref="N38:N39">
    <cfRule type="cellIs" dxfId="78" priority="48" stopIfTrue="1" operator="lessThan">
      <formula>0</formula>
    </cfRule>
  </conditionalFormatting>
  <conditionalFormatting sqref="N38:N39">
    <cfRule type="cellIs" dxfId="77" priority="49" stopIfTrue="1" operator="lessThan">
      <formula>0</formula>
    </cfRule>
  </conditionalFormatting>
  <conditionalFormatting sqref="L8:L9">
    <cfRule type="cellIs" dxfId="76" priority="84" stopIfTrue="1" operator="lessThan">
      <formula>0</formula>
    </cfRule>
  </conditionalFormatting>
  <conditionalFormatting sqref="N8:N9">
    <cfRule type="cellIs" dxfId="75" priority="80" stopIfTrue="1" operator="lessThan">
      <formula>0</formula>
    </cfRule>
  </conditionalFormatting>
  <conditionalFormatting sqref="N8:N9">
    <cfRule type="cellIs" dxfId="74" priority="81" stopIfTrue="1" operator="lessThan">
      <formula>0</formula>
    </cfRule>
  </conditionalFormatting>
  <conditionalFormatting sqref="G38">
    <cfRule type="cellIs" dxfId="73" priority="72" stopIfTrue="1" operator="lessThan">
      <formula>0</formula>
    </cfRule>
  </conditionalFormatting>
  <conditionalFormatting sqref="F38:F39">
    <cfRule type="cellIs" dxfId="72" priority="65" stopIfTrue="1" operator="lessThan">
      <formula>0</formula>
    </cfRule>
  </conditionalFormatting>
  <conditionalFormatting sqref="H38:H39">
    <cfRule type="cellIs" dxfId="71" priority="71" stopIfTrue="1" operator="lessThan">
      <formula>0</formula>
    </cfRule>
  </conditionalFormatting>
  <conditionalFormatting sqref="H38:H39">
    <cfRule type="cellIs" dxfId="70" priority="70" stopIfTrue="1" operator="lessThan">
      <formula>0</formula>
    </cfRule>
  </conditionalFormatting>
  <conditionalFormatting sqref="K38:K39">
    <cfRule type="cellIs" dxfId="69" priority="66" stopIfTrue="1" operator="lessThan">
      <formula>0</formula>
    </cfRule>
  </conditionalFormatting>
  <conditionalFormatting sqref="L38:L39">
    <cfRule type="cellIs" dxfId="68" priority="63" stopIfTrue="1" operator="lessThan">
      <formula>0</formula>
    </cfRule>
  </conditionalFormatting>
  <conditionalFormatting sqref="L38:L39">
    <cfRule type="cellIs" dxfId="67" priority="62" stopIfTrue="1" operator="lessThan">
      <formula>0</formula>
    </cfRule>
  </conditionalFormatting>
  <conditionalFormatting sqref="K38">
    <cfRule type="cellIs" dxfId="66" priority="56" stopIfTrue="1" operator="lessThan">
      <formula>0</formula>
    </cfRule>
  </conditionalFormatting>
  <conditionalFormatting sqref="H38:H39">
    <cfRule type="cellIs" dxfId="65" priority="61" stopIfTrue="1" operator="lessThan">
      <formula>0</formula>
    </cfRule>
  </conditionalFormatting>
  <conditionalFormatting sqref="K38:K39">
    <cfRule type="cellIs" dxfId="64" priority="57" stopIfTrue="1" operator="lessThan">
      <formula>0</formula>
    </cfRule>
  </conditionalFormatting>
  <conditionalFormatting sqref="L38:L39">
    <cfRule type="cellIs" dxfId="63" priority="54" stopIfTrue="1" operator="lessThan">
      <formula>0</formula>
    </cfRule>
  </conditionalFormatting>
  <conditionalFormatting sqref="L38:L39">
    <cfRule type="cellIs" dxfId="62" priority="55" stopIfTrue="1" operator="lessThan">
      <formula>0</formula>
    </cfRule>
  </conditionalFormatting>
  <conditionalFormatting sqref="L38:L39">
    <cfRule type="cellIs" dxfId="61" priority="52" stopIfTrue="1" operator="lessThan">
      <formula>0</formula>
    </cfRule>
  </conditionalFormatting>
  <conditionalFormatting sqref="L38:L39">
    <cfRule type="cellIs" dxfId="60" priority="53" stopIfTrue="1" operator="lessThan">
      <formula>0</formula>
    </cfRule>
  </conditionalFormatting>
  <conditionalFormatting sqref="M38:M39">
    <cfRule type="cellIs" dxfId="59" priority="50" stopIfTrue="1" operator="lessThan">
      <formula>0</formula>
    </cfRule>
  </conditionalFormatting>
  <conditionalFormatting sqref="M38:M39">
    <cfRule type="cellIs" dxfId="58" priority="51" stopIfTrue="1" operator="lessThan">
      <formula>0</formula>
    </cfRule>
  </conditionalFormatting>
  <conditionalFormatting sqref="J38:J39">
    <cfRule type="cellIs" dxfId="57" priority="47" stopIfTrue="1" operator="lessThan">
      <formula>0</formula>
    </cfRule>
  </conditionalFormatting>
  <conditionalFormatting sqref="J38">
    <cfRule type="cellIs" dxfId="56" priority="46" stopIfTrue="1" operator="lessThan">
      <formula>0</formula>
    </cfRule>
  </conditionalFormatting>
  <conditionalFormatting sqref="J38:J39">
    <cfRule type="cellIs" dxfId="55" priority="44" stopIfTrue="1" operator="lessThan">
      <formula>0</formula>
    </cfRule>
  </conditionalFormatting>
  <conditionalFormatting sqref="J38:J39">
    <cfRule type="cellIs" dxfId="54" priority="45" stopIfTrue="1" operator="lessThan">
      <formula>0</formula>
    </cfRule>
  </conditionalFormatting>
  <conditionalFormatting sqref="G41 G43 G45">
    <cfRule type="cellIs" dxfId="53" priority="43" stopIfTrue="1" operator="lessThan">
      <formula>0</formula>
    </cfRule>
  </conditionalFormatting>
  <conditionalFormatting sqref="I41 I43 I45">
    <cfRule type="cellIs" dxfId="52" priority="42" stopIfTrue="1" operator="lessThan">
      <formula>0</formula>
    </cfRule>
  </conditionalFormatting>
  <conditionalFormatting sqref="K41 K43 K45">
    <cfRule type="cellIs" dxfId="51" priority="41" stopIfTrue="1" operator="lessThan">
      <formula>0</formula>
    </cfRule>
  </conditionalFormatting>
  <conditionalFormatting sqref="J41 J43 J45">
    <cfRule type="cellIs" dxfId="50" priority="40" stopIfTrue="1" operator="lessThan">
      <formula>0</formula>
    </cfRule>
  </conditionalFormatting>
  <conditionalFormatting sqref="G6:N6">
    <cfRule type="cellIs" dxfId="49" priority="39" stopIfTrue="1" operator="lessThan">
      <formula>0</formula>
    </cfRule>
  </conditionalFormatting>
  <conditionalFormatting sqref="G20:N20">
    <cfRule type="cellIs" dxfId="48" priority="38" stopIfTrue="1" operator="lessThan">
      <formula>0</formula>
    </cfRule>
  </conditionalFormatting>
  <conditionalFormatting sqref="H28:J28">
    <cfRule type="cellIs" dxfId="47" priority="37" stopIfTrue="1" operator="lessThan">
      <formula>0</formula>
    </cfRule>
  </conditionalFormatting>
  <conditionalFormatting sqref="H28:J28">
    <cfRule type="cellIs" dxfId="46" priority="36" stopIfTrue="1" operator="lessThan">
      <formula>0</formula>
    </cfRule>
  </conditionalFormatting>
  <conditionalFormatting sqref="L28:N28">
    <cfRule type="cellIs" dxfId="45" priority="34" stopIfTrue="1" operator="lessThan">
      <formula>0</formula>
    </cfRule>
  </conditionalFormatting>
  <conditionalFormatting sqref="L28:N28">
    <cfRule type="cellIs" dxfId="44" priority="35" stopIfTrue="1" operator="lessThan">
      <formula>0</formula>
    </cfRule>
  </conditionalFormatting>
  <conditionalFormatting sqref="L28:N28">
    <cfRule type="cellIs" dxfId="43" priority="33" stopIfTrue="1" operator="lessThan">
      <formula>0</formula>
    </cfRule>
  </conditionalFormatting>
  <conditionalFormatting sqref="L28:N28">
    <cfRule type="cellIs" dxfId="42" priority="32" stopIfTrue="1" operator="lessThan">
      <formula>0</formula>
    </cfRule>
  </conditionalFormatting>
  <conditionalFormatting sqref="F36:N36">
    <cfRule type="cellIs" dxfId="41" priority="31" stopIfTrue="1" operator="lessThan">
      <formula>0</formula>
    </cfRule>
  </conditionalFormatting>
  <conditionalFormatting sqref="H49">
    <cfRule type="cellIs" dxfId="40" priority="30" stopIfTrue="1" operator="lessThan">
      <formula>0</formula>
    </cfRule>
  </conditionalFormatting>
  <conditionalFormatting sqref="H49">
    <cfRule type="cellIs" dxfId="39" priority="29" stopIfTrue="1" operator="lessThan">
      <formula>0</formula>
    </cfRule>
  </conditionalFormatting>
  <conditionalFormatting sqref="H50:N50">
    <cfRule type="cellIs" dxfId="38" priority="28" stopIfTrue="1" operator="lessThan">
      <formula>0</formula>
    </cfRule>
  </conditionalFormatting>
  <conditionalFormatting sqref="I49:J49">
    <cfRule type="cellIs" dxfId="37" priority="27" stopIfTrue="1" operator="lessThan">
      <formula>0</formula>
    </cfRule>
  </conditionalFormatting>
  <conditionalFormatting sqref="I49:J49">
    <cfRule type="cellIs" dxfId="36" priority="26" stopIfTrue="1" operator="lessThan">
      <formula>0</formula>
    </cfRule>
  </conditionalFormatting>
  <conditionalFormatting sqref="I58:J58">
    <cfRule type="cellIs" dxfId="35" priority="24" stopIfTrue="1" operator="lessThan">
      <formula>0</formula>
    </cfRule>
  </conditionalFormatting>
  <conditionalFormatting sqref="I58:J58">
    <cfRule type="cellIs" dxfId="34" priority="25" stopIfTrue="1" operator="lessThan">
      <formula>0</formula>
    </cfRule>
  </conditionalFormatting>
  <conditionalFormatting sqref="L58:N58">
    <cfRule type="cellIs" dxfId="33" priority="22" stopIfTrue="1" operator="lessThan">
      <formula>0</formula>
    </cfRule>
  </conditionalFormatting>
  <conditionalFormatting sqref="L58:N58">
    <cfRule type="cellIs" dxfId="32" priority="23" stopIfTrue="1" operator="lessThan">
      <formula>0</formula>
    </cfRule>
  </conditionalFormatting>
  <conditionalFormatting sqref="N4">
    <cfRule type="cellIs" dxfId="31" priority="18" stopIfTrue="1" operator="lessThan">
      <formula>0</formula>
    </cfRule>
  </conditionalFormatting>
  <conditionalFormatting sqref="N4">
    <cfRule type="cellIs" dxfId="30" priority="19" stopIfTrue="1" operator="lessThan">
      <formula>0</formula>
    </cfRule>
  </conditionalFormatting>
  <conditionalFormatting sqref="M4">
    <cfRule type="cellIs" dxfId="29" priority="21" stopIfTrue="1" operator="lessThan">
      <formula>0</formula>
    </cfRule>
  </conditionalFormatting>
  <conditionalFormatting sqref="M4">
    <cfRule type="cellIs" dxfId="28" priority="20" stopIfTrue="1" operator="lessThan">
      <formula>0</formula>
    </cfRule>
  </conditionalFormatting>
  <conditionalFormatting sqref="L4">
    <cfRule type="cellIs" dxfId="27" priority="17" stopIfTrue="1" operator="lessThan">
      <formula>0</formula>
    </cfRule>
  </conditionalFormatting>
  <conditionalFormatting sqref="L4">
    <cfRule type="cellIs" dxfId="26" priority="16" stopIfTrue="1" operator="lessThan">
      <formula>0</formula>
    </cfRule>
  </conditionalFormatting>
  <conditionalFormatting sqref="G7:N7">
    <cfRule type="cellIs" dxfId="25" priority="15" stopIfTrue="1" operator="lessThan">
      <formula>0</formula>
    </cfRule>
  </conditionalFormatting>
  <conditionalFormatting sqref="G10:N10">
    <cfRule type="cellIs" dxfId="24" priority="14" stopIfTrue="1" operator="lessThan">
      <formula>0</formula>
    </cfRule>
  </conditionalFormatting>
  <conditionalFormatting sqref="F37:N37">
    <cfRule type="cellIs" dxfId="23" priority="13" stopIfTrue="1" operator="lessThan">
      <formula>0</formula>
    </cfRule>
  </conditionalFormatting>
  <conditionalFormatting sqref="F40:N40">
    <cfRule type="cellIs" dxfId="22" priority="12" stopIfTrue="1" operator="lessThan">
      <formula>0</formula>
    </cfRule>
  </conditionalFormatting>
  <conditionalFormatting sqref="K49">
    <cfRule type="cellIs" dxfId="21" priority="11" stopIfTrue="1" operator="lessThan">
      <formula>0</formula>
    </cfRule>
  </conditionalFormatting>
  <conditionalFormatting sqref="F57:G58">
    <cfRule type="cellIs" dxfId="20" priority="10" stopIfTrue="1" operator="lessThan">
      <formula>0</formula>
    </cfRule>
  </conditionalFormatting>
  <conditionalFormatting sqref="K58">
    <cfRule type="cellIs" dxfId="19" priority="9" stopIfTrue="1" operator="lessThan">
      <formula>0</formula>
    </cfRule>
  </conditionalFormatting>
  <conditionalFormatting sqref="F49:G49">
    <cfRule type="cellIs" dxfId="18" priority="8" stopIfTrue="1" operator="lessThan">
      <formula>0</formula>
    </cfRule>
  </conditionalFormatting>
  <conditionalFormatting sqref="F50:G50">
    <cfRule type="cellIs" dxfId="17" priority="7" stopIfTrue="1" operator="lessThan">
      <formula>0</formula>
    </cfRule>
  </conditionalFormatting>
  <conditionalFormatting sqref="L49">
    <cfRule type="cellIs" dxfId="16" priority="6" stopIfTrue="1" operator="lessThan">
      <formula>0</formula>
    </cfRule>
  </conditionalFormatting>
  <conditionalFormatting sqref="L49">
    <cfRule type="cellIs" dxfId="15" priority="5" stopIfTrue="1" operator="lessThan">
      <formula>0</formula>
    </cfRule>
  </conditionalFormatting>
  <conditionalFormatting sqref="M49">
    <cfRule type="cellIs" dxfId="14" priority="4" stopIfTrue="1" operator="lessThan">
      <formula>0</formula>
    </cfRule>
  </conditionalFormatting>
  <conditionalFormatting sqref="M49">
    <cfRule type="cellIs" dxfId="13" priority="3" stopIfTrue="1" operator="lessThan">
      <formula>0</formula>
    </cfRule>
  </conditionalFormatting>
  <conditionalFormatting sqref="N49">
    <cfRule type="cellIs" dxfId="12" priority="2" stopIfTrue="1" operator="lessThan">
      <formula>0</formula>
    </cfRule>
  </conditionalFormatting>
  <conditionalFormatting sqref="N49">
    <cfRule type="cellIs" dxfId="11" priority="1" stopIfTrue="1" operator="lessThan">
      <formula>0</formula>
    </cfRule>
  </conditionalFormatting>
  <dataValidations count="1">
    <dataValidation type="list" allowBlank="1" showInputMessage="1" showErrorMessage="1" sqref="F20:F27 F6:F18">
      <formula1>"Yes, No , Partially"</formula1>
    </dataValidation>
  </dataValidations>
  <pageMargins left="0.7" right="0.7" top="0.75" bottom="0.75" header="0.3" footer="0.3"/>
  <pageSetup paperSize="9" orientation="portrait" r:id="rId1"/>
  <headerFooter>
    <oddHeader>&amp;L&amp;"Calibri"&amp;12&amp;K000000 EBA Regular Use&amp;1#_x000D_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34"/>
  <sheetViews>
    <sheetView showGridLines="0" topLeftCell="C10" zoomScale="70" zoomScaleNormal="70" workbookViewId="0">
      <selection activeCell="J28" sqref="J28"/>
    </sheetView>
  </sheetViews>
  <sheetFormatPr defaultColWidth="11.44140625" defaultRowHeight="14.4" x14ac:dyDescent="0.3"/>
  <cols>
    <col min="1" max="1" width="11.44140625" style="2388"/>
    <col min="2" max="2" width="62.6640625" style="2388" customWidth="1"/>
    <col min="3" max="3" width="63.33203125" style="2388" customWidth="1"/>
    <col min="4" max="4" width="19.5546875" style="2388" customWidth="1"/>
    <col min="5" max="5" width="24.44140625" style="2388" customWidth="1"/>
    <col min="6" max="6" width="20.33203125" style="2388" customWidth="1"/>
    <col min="7" max="7" width="19.6640625" style="2388" customWidth="1"/>
    <col min="8" max="8" width="17.33203125" style="2388" customWidth="1"/>
    <col min="9" max="9" width="18.44140625" style="2388" customWidth="1"/>
    <col min="10" max="11" width="22.33203125" style="2388" customWidth="1"/>
    <col min="12" max="12" width="3.44140625" style="2388" customWidth="1"/>
    <col min="13" max="14" width="34.33203125" style="2388" customWidth="1"/>
    <col min="15" max="16384" width="11.44140625" style="2388"/>
  </cols>
  <sheetData>
    <row r="1" spans="1:14" x14ac:dyDescent="0.3">
      <c r="A1" s="2393" t="s">
        <v>3487</v>
      </c>
      <c r="B1" s="2393"/>
    </row>
    <row r="2" spans="1:14" x14ac:dyDescent="0.3">
      <c r="A2" s="2393"/>
      <c r="B2" s="2393"/>
      <c r="C2" s="2393" t="s">
        <v>3486</v>
      </c>
    </row>
    <row r="3" spans="1:14" x14ac:dyDescent="0.3">
      <c r="A3" s="2393"/>
      <c r="B3" s="2393"/>
      <c r="C3" s="2393"/>
    </row>
    <row r="4" spans="1:14" x14ac:dyDescent="0.3">
      <c r="A4" s="2393"/>
      <c r="B4" s="2393"/>
      <c r="C4" s="2393"/>
    </row>
    <row r="5" spans="1:14" x14ac:dyDescent="0.3">
      <c r="A5" s="2393"/>
      <c r="B5" s="2393"/>
      <c r="C5" s="2393"/>
    </row>
    <row r="6" spans="1:14" x14ac:dyDescent="0.3">
      <c r="A6" s="2393"/>
      <c r="B6" s="2393"/>
      <c r="C6" s="2393" t="s">
        <v>3485</v>
      </c>
    </row>
    <row r="7" spans="1:14" ht="37.5" customHeight="1" x14ac:dyDescent="0.3">
      <c r="C7" s="3344"/>
      <c r="D7" s="3346" t="s">
        <v>3484</v>
      </c>
      <c r="E7" s="3346"/>
      <c r="F7" s="3403" t="s">
        <v>3483</v>
      </c>
      <c r="G7" s="3404"/>
      <c r="H7" s="3404"/>
      <c r="I7" s="3404"/>
      <c r="J7" s="3404"/>
      <c r="K7" s="3405"/>
      <c r="L7" s="2448"/>
      <c r="M7" s="3409" t="s">
        <v>3482</v>
      </c>
      <c r="N7" s="3410"/>
    </row>
    <row r="8" spans="1:14" ht="24.75" customHeight="1" x14ac:dyDescent="0.3">
      <c r="C8" s="3413"/>
      <c r="D8" s="3346"/>
      <c r="E8" s="3346"/>
      <c r="F8" s="3406"/>
      <c r="G8" s="3407"/>
      <c r="H8" s="3407"/>
      <c r="I8" s="3407"/>
      <c r="J8" s="3407"/>
      <c r="K8" s="3408"/>
      <c r="L8" s="2448"/>
      <c r="M8" s="3411"/>
      <c r="N8" s="3412"/>
    </row>
    <row r="9" spans="1:14" ht="73.5" customHeight="1" x14ac:dyDescent="0.3">
      <c r="C9" s="3413"/>
      <c r="D9" s="3414">
        <v>2021</v>
      </c>
      <c r="E9" s="3414">
        <v>2022</v>
      </c>
      <c r="F9" s="3341" t="s">
        <v>3481</v>
      </c>
      <c r="G9" s="3402"/>
      <c r="H9" s="3341" t="s">
        <v>3480</v>
      </c>
      <c r="I9" s="3402"/>
      <c r="J9" s="3341" t="s">
        <v>3479</v>
      </c>
      <c r="K9" s="3378"/>
      <c r="M9" s="3400" t="s">
        <v>3478</v>
      </c>
      <c r="N9" s="3400" t="s">
        <v>3294</v>
      </c>
    </row>
    <row r="10" spans="1:14" ht="44.25" customHeight="1" x14ac:dyDescent="0.3">
      <c r="C10" s="3345"/>
      <c r="D10" s="3415"/>
      <c r="E10" s="3415"/>
      <c r="F10" s="2447" t="s">
        <v>3238</v>
      </c>
      <c r="G10" s="2447" t="s">
        <v>3477</v>
      </c>
      <c r="H10" s="2447" t="s">
        <v>3238</v>
      </c>
      <c r="I10" s="2447" t="s">
        <v>3477</v>
      </c>
      <c r="J10" s="2447" t="s">
        <v>3238</v>
      </c>
      <c r="K10" s="2447" t="s">
        <v>3477</v>
      </c>
      <c r="M10" s="3401"/>
      <c r="N10" s="3401"/>
    </row>
    <row r="11" spans="1:14" x14ac:dyDescent="0.3">
      <c r="C11" s="2487" t="s">
        <v>3476</v>
      </c>
      <c r="D11" s="2488">
        <f t="shared" ref="D11:K11" si="0">SUM(D12:D13)</f>
        <v>-43811.855640000002</v>
      </c>
      <c r="E11" s="2488">
        <f t="shared" si="0"/>
        <v>7203.5308199999999</v>
      </c>
      <c r="F11" s="2489">
        <f t="shared" si="0"/>
        <v>179718.37219695662</v>
      </c>
      <c r="G11" s="2489">
        <f t="shared" si="0"/>
        <v>236899.02960436969</v>
      </c>
      <c r="H11" s="2489">
        <f t="shared" si="0"/>
        <v>162206.89930615359</v>
      </c>
      <c r="I11" s="2489">
        <f t="shared" si="0"/>
        <v>202257.03516877862</v>
      </c>
      <c r="J11" s="2489">
        <f t="shared" si="0"/>
        <v>162206.89930615359</v>
      </c>
      <c r="K11" s="2489">
        <f t="shared" si="0"/>
        <v>202257.03516877862</v>
      </c>
      <c r="M11" s="2464"/>
      <c r="N11" s="2490"/>
    </row>
    <row r="12" spans="1:14" x14ac:dyDescent="0.3">
      <c r="C12" s="2323" t="s">
        <v>3473</v>
      </c>
      <c r="D12" s="2494">
        <v>-43811.855640000002</v>
      </c>
      <c r="E12" s="2494">
        <v>7192.8308200000001</v>
      </c>
      <c r="F12" s="2494">
        <v>179718.37219695662</v>
      </c>
      <c r="G12" s="2494">
        <v>236899.02960436969</v>
      </c>
      <c r="H12" s="2494">
        <v>97141.633082528439</v>
      </c>
      <c r="I12" s="2494">
        <v>126714.75712283194</v>
      </c>
      <c r="J12" s="2489">
        <f>H12</f>
        <v>97141.633082528439</v>
      </c>
      <c r="K12" s="2489">
        <f>I12</f>
        <v>126714.75712283194</v>
      </c>
      <c r="M12" s="2464"/>
      <c r="N12" s="2490"/>
    </row>
    <row r="13" spans="1:14" ht="33.75" customHeight="1" x14ac:dyDescent="0.3">
      <c r="C13" s="2323" t="s">
        <v>3475</v>
      </c>
      <c r="D13" s="2494">
        <v>0</v>
      </c>
      <c r="E13" s="2494">
        <v>10.7</v>
      </c>
      <c r="F13" s="2494">
        <v>0</v>
      </c>
      <c r="G13" s="2494">
        <v>0</v>
      </c>
      <c r="H13" s="2494">
        <v>65065.266223625142</v>
      </c>
      <c r="I13" s="2494">
        <v>75542.278045946674</v>
      </c>
      <c r="J13" s="2489">
        <f>H13</f>
        <v>65065.266223625142</v>
      </c>
      <c r="K13" s="2489">
        <f>I13</f>
        <v>75542.278045946674</v>
      </c>
      <c r="M13" s="2495">
        <v>0.94037879267362812</v>
      </c>
      <c r="N13" s="2496">
        <v>2.1546581023809207E-2</v>
      </c>
    </row>
    <row r="14" spans="1:14" x14ac:dyDescent="0.3">
      <c r="C14" s="2487" t="s">
        <v>3474</v>
      </c>
      <c r="D14" s="2488">
        <f t="shared" ref="D14:K14" si="1">SUM(D15:D16)</f>
        <v>-79973.460764266943</v>
      </c>
      <c r="E14" s="2488">
        <f t="shared" si="1"/>
        <v>-38214.463655796593</v>
      </c>
      <c r="F14" s="2488">
        <f t="shared" si="1"/>
        <v>89609.407822667679</v>
      </c>
      <c r="G14" s="2488">
        <f t="shared" si="1"/>
        <v>120760.82425913608</v>
      </c>
      <c r="H14" s="2488">
        <f t="shared" si="1"/>
        <v>168093.29310516443</v>
      </c>
      <c r="I14" s="2488">
        <f t="shared" si="1"/>
        <v>221382.75532626896</v>
      </c>
      <c r="J14" s="2488">
        <f t="shared" si="1"/>
        <v>156211.62390095985</v>
      </c>
      <c r="K14" s="2488">
        <f t="shared" si="1"/>
        <v>208369.95723429319</v>
      </c>
      <c r="M14" s="2464"/>
      <c r="N14" s="2490"/>
    </row>
    <row r="15" spans="1:14" x14ac:dyDescent="0.3">
      <c r="C15" s="2323" t="s">
        <v>3473</v>
      </c>
      <c r="D15" s="2494">
        <v>-80126.527789999993</v>
      </c>
      <c r="E15" s="2494">
        <v>-38224.636259999999</v>
      </c>
      <c r="F15" s="2494">
        <v>89429.27947215781</v>
      </c>
      <c r="G15" s="2494">
        <v>120536.84742208321</v>
      </c>
      <c r="H15" s="2494">
        <v>168093.29310516443</v>
      </c>
      <c r="I15" s="2494">
        <v>221382.75532626896</v>
      </c>
      <c r="J15" s="2494">
        <v>156211.62390095985</v>
      </c>
      <c r="K15" s="2494">
        <v>208369.95723429319</v>
      </c>
      <c r="M15" s="2464"/>
      <c r="N15" s="2490"/>
    </row>
    <row r="16" spans="1:14" ht="29.25" customHeight="1" x14ac:dyDescent="0.3">
      <c r="C16" s="2323" t="s">
        <v>3472</v>
      </c>
      <c r="D16" s="2494">
        <v>153.06702573304571</v>
      </c>
      <c r="E16" s="2494">
        <v>10.172604203405532</v>
      </c>
      <c r="F16" s="2494">
        <v>180.12835050986752</v>
      </c>
      <c r="G16" s="2494">
        <v>223.97683705286187</v>
      </c>
      <c r="H16" s="2494">
        <v>0</v>
      </c>
      <c r="I16" s="2494">
        <v>0</v>
      </c>
      <c r="J16" s="2489">
        <f>H16</f>
        <v>0</v>
      </c>
      <c r="K16" s="2489">
        <f>I16</f>
        <v>0</v>
      </c>
      <c r="M16" s="2495">
        <v>1.3091827419205266</v>
      </c>
      <c r="N16" s="2496">
        <v>1.2199999999999999E-3</v>
      </c>
    </row>
    <row r="17" spans="3:11" x14ac:dyDescent="0.3">
      <c r="C17" s="2323" t="s">
        <v>3471</v>
      </c>
      <c r="D17" s="2494">
        <v>489630</v>
      </c>
      <c r="E17" s="2494">
        <v>654453</v>
      </c>
      <c r="F17" s="2464"/>
      <c r="G17" s="2464"/>
      <c r="H17" s="2464"/>
      <c r="I17" s="2464"/>
      <c r="J17" s="2464"/>
      <c r="K17" s="2464"/>
    </row>
    <row r="22" spans="3:11" ht="40.5" customHeight="1" x14ac:dyDescent="0.3"/>
    <row r="26" spans="3:11" x14ac:dyDescent="0.3">
      <c r="C26" s="2393" t="s">
        <v>3470</v>
      </c>
    </row>
    <row r="28" spans="3:11" x14ac:dyDescent="0.3">
      <c r="D28" s="2447" t="s">
        <v>3428</v>
      </c>
      <c r="E28" s="2447" t="s">
        <v>3469</v>
      </c>
    </row>
    <row r="29" spans="3:11" x14ac:dyDescent="0.3">
      <c r="C29" s="2445" t="s">
        <v>3468</v>
      </c>
      <c r="D29" s="2497">
        <v>57020516.969997555</v>
      </c>
      <c r="E29" s="2497">
        <v>51928794.651870005</v>
      </c>
    </row>
    <row r="30" spans="3:11" x14ac:dyDescent="0.3">
      <c r="C30" s="2446" t="s">
        <v>3467</v>
      </c>
      <c r="D30" s="2497">
        <v>6801969.71172</v>
      </c>
      <c r="E30" s="2497">
        <v>1090238.858</v>
      </c>
    </row>
    <row r="31" spans="3:11" ht="27.6" x14ac:dyDescent="0.3">
      <c r="C31" s="2445" t="s">
        <v>3466</v>
      </c>
      <c r="D31" s="2497">
        <v>71703.422319999998</v>
      </c>
      <c r="E31" s="2464"/>
    </row>
    <row r="32" spans="3:11" ht="27.6" x14ac:dyDescent="0.3">
      <c r="C32" s="2445" t="s">
        <v>3465</v>
      </c>
      <c r="D32" s="2497">
        <v>68293915.85044457</v>
      </c>
      <c r="E32" s="2497">
        <v>49604193.21811001</v>
      </c>
    </row>
    <row r="33" spans="3:5" x14ac:dyDescent="0.3">
      <c r="C33" s="2446" t="s">
        <v>3464</v>
      </c>
      <c r="D33" s="2497">
        <v>16310640.213749999</v>
      </c>
      <c r="E33" s="2497">
        <v>874058.84600000002</v>
      </c>
    </row>
    <row r="34" spans="3:5" ht="30.75" customHeight="1" x14ac:dyDescent="0.3">
      <c r="C34" s="2445" t="s">
        <v>3463</v>
      </c>
      <c r="D34" s="2497">
        <v>71703.422320000012</v>
      </c>
      <c r="E34" s="2464"/>
    </row>
  </sheetData>
  <sheetProtection algorithmName="SHA-512" hashValue="uzCJGpwYq0vNYXJnRoHQ8qQpUUaQ8oBh7efkF3QE9vsv5XHkCEwbZHNWn6qXFZL3R1Ac2I0bsLtfoRhl3kna6w==" saltValue="KlRdQE9Yq/iiqzDuZZ2KTw==" spinCount="100000" sheet="1" objects="1" scenarios="1"/>
  <mergeCells count="11">
    <mergeCell ref="C7:C10"/>
    <mergeCell ref="D9:D10"/>
    <mergeCell ref="E9:E10"/>
    <mergeCell ref="M9:M10"/>
    <mergeCell ref="D7:E8"/>
    <mergeCell ref="N9:N10"/>
    <mergeCell ref="J9:K9"/>
    <mergeCell ref="H9:I9"/>
    <mergeCell ref="F7:K8"/>
    <mergeCell ref="M7:N8"/>
    <mergeCell ref="F9:G9"/>
  </mergeCells>
  <pageMargins left="0.7" right="0.7" top="0.75" bottom="0.75" header="0.3" footer="0.3"/>
  <pageSetup paperSize="9" orientation="portrait" r:id="rId1"/>
  <headerFooter>
    <oddHeader>&amp;L&amp;"Calibri"&amp;12&amp;K000000 EBA Regular Use&amp;1#_x000D_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90"/>
  <sheetViews>
    <sheetView showGridLines="0" zoomScale="90" zoomScaleNormal="90" workbookViewId="0">
      <pane xSplit="2" ySplit="5" topLeftCell="E47" activePane="bottomRight" state="frozen"/>
      <selection sqref="A1:C1"/>
      <selection pane="topRight" sqref="A1:C1"/>
      <selection pane="bottomLeft" sqref="A1:C1"/>
      <selection pane="bottomRight" activeCell="I47" sqref="I47"/>
    </sheetView>
  </sheetViews>
  <sheetFormatPr defaultColWidth="9.109375" defaultRowHeight="14.4" x14ac:dyDescent="0.35"/>
  <cols>
    <col min="1" max="1" width="7.6640625" style="2448" customWidth="1"/>
    <col min="2" max="2" width="33.33203125" style="2450" customWidth="1"/>
    <col min="3" max="7" width="41.6640625" style="2451" customWidth="1"/>
    <col min="8" max="8" width="36.33203125" style="2403" customWidth="1"/>
    <col min="9" max="9" width="18.44140625" style="2450" customWidth="1"/>
    <col min="10" max="10" width="23.33203125" style="2449" customWidth="1"/>
    <col min="11" max="16384" width="9.109375" style="2448"/>
  </cols>
  <sheetData>
    <row r="1" spans="1:20" s="2457" customFormat="1" ht="30" customHeight="1" x14ac:dyDescent="0.5">
      <c r="A1" s="2461" t="s">
        <v>3556</v>
      </c>
      <c r="B1" s="2460"/>
      <c r="C1" s="2460"/>
      <c r="D1" s="2460"/>
      <c r="E1" s="2460"/>
      <c r="F1" s="2460"/>
      <c r="G1" s="2460"/>
      <c r="H1" s="2460"/>
      <c r="I1" s="2460"/>
      <c r="J1" s="2459"/>
      <c r="K1" s="2458"/>
      <c r="L1" s="2458"/>
      <c r="M1" s="2458"/>
      <c r="N1" s="2458"/>
      <c r="O1" s="2458"/>
      <c r="P1" s="2458"/>
      <c r="Q1" s="2458"/>
      <c r="R1" s="2458"/>
      <c r="S1" s="2458"/>
      <c r="T1" s="2458"/>
    </row>
    <row r="2" spans="1:20" ht="15" customHeight="1" x14ac:dyDescent="0.35">
      <c r="A2" s="2453"/>
      <c r="H2" s="2450"/>
      <c r="J2" s="2450"/>
    </row>
    <row r="3" spans="1:20" ht="15" customHeight="1" x14ac:dyDescent="0.35">
      <c r="A3" s="2453"/>
      <c r="H3" s="2450"/>
      <c r="J3" s="2450"/>
    </row>
    <row r="4" spans="1:20" ht="62.25" customHeight="1" x14ac:dyDescent="0.35">
      <c r="A4" s="2453"/>
      <c r="B4" s="2512" t="s">
        <v>1075</v>
      </c>
      <c r="C4" s="3421" t="s">
        <v>1026</v>
      </c>
      <c r="D4" s="3421"/>
      <c r="E4" s="3421"/>
      <c r="F4" s="3421"/>
      <c r="G4" s="3421"/>
      <c r="H4" s="3421" t="s">
        <v>3555</v>
      </c>
      <c r="I4" s="3421"/>
      <c r="J4" s="3421"/>
    </row>
    <row r="5" spans="1:20" ht="62.25" customHeight="1" x14ac:dyDescent="0.35">
      <c r="A5" s="2453"/>
      <c r="B5" s="3422" t="s">
        <v>3554</v>
      </c>
      <c r="C5" s="3423"/>
      <c r="D5" s="3423"/>
      <c r="E5" s="3423"/>
      <c r="F5" s="3423"/>
      <c r="G5" s="3423"/>
      <c r="H5" s="3423"/>
      <c r="I5" s="3423"/>
      <c r="J5" s="3424"/>
    </row>
    <row r="6" spans="1:20" ht="62.25" customHeight="1" x14ac:dyDescent="0.35">
      <c r="A6" s="2523"/>
      <c r="B6" s="2524">
        <v>1</v>
      </c>
      <c r="C6" s="3425" t="s">
        <v>3553</v>
      </c>
      <c r="D6" s="3426"/>
      <c r="E6" s="3426"/>
      <c r="F6" s="3426"/>
      <c r="G6" s="3426"/>
      <c r="H6" s="2442" t="s">
        <v>3571</v>
      </c>
      <c r="I6" s="2492"/>
      <c r="J6" s="2491"/>
    </row>
    <row r="7" spans="1:20" ht="62.25" customHeight="1" x14ac:dyDescent="0.35">
      <c r="A7" s="2523"/>
      <c r="B7" s="2524">
        <f t="shared" ref="B7:B14" si="0">B6+1</f>
        <v>2</v>
      </c>
      <c r="C7" s="3416" t="s">
        <v>3552</v>
      </c>
      <c r="D7" s="3416"/>
      <c r="E7" s="3416"/>
      <c r="F7" s="3416"/>
      <c r="G7" s="3416"/>
      <c r="H7" s="2442" t="s">
        <v>7</v>
      </c>
      <c r="I7" s="2442"/>
      <c r="J7" s="2491"/>
    </row>
    <row r="8" spans="1:20" ht="62.25" customHeight="1" x14ac:dyDescent="0.35">
      <c r="A8" s="2523"/>
      <c r="B8" s="2524">
        <f t="shared" si="0"/>
        <v>3</v>
      </c>
      <c r="C8" s="3420" t="s">
        <v>3551</v>
      </c>
      <c r="D8" s="3420"/>
      <c r="E8" s="3420"/>
      <c r="F8" s="3420"/>
      <c r="G8" s="3420"/>
      <c r="H8" s="2442" t="s">
        <v>18</v>
      </c>
      <c r="I8" s="2442" t="s">
        <v>3370</v>
      </c>
      <c r="J8" s="2455" t="s">
        <v>3572</v>
      </c>
    </row>
    <row r="9" spans="1:20" ht="62.25" customHeight="1" x14ac:dyDescent="0.35">
      <c r="A9" s="2523"/>
      <c r="B9" s="2524">
        <f t="shared" si="0"/>
        <v>4</v>
      </c>
      <c r="C9" s="3420" t="s">
        <v>3550</v>
      </c>
      <c r="D9" s="3420"/>
      <c r="E9" s="3420"/>
      <c r="F9" s="3420"/>
      <c r="G9" s="3420"/>
      <c r="H9" s="2442" t="s">
        <v>18</v>
      </c>
      <c r="I9" s="2454"/>
      <c r="J9" s="2455"/>
    </row>
    <row r="10" spans="1:20" ht="62.25" customHeight="1" x14ac:dyDescent="0.35">
      <c r="A10" s="2523"/>
      <c r="B10" s="2524">
        <f t="shared" si="0"/>
        <v>5</v>
      </c>
      <c r="C10" s="3425" t="s">
        <v>3549</v>
      </c>
      <c r="D10" s="3425"/>
      <c r="E10" s="3425"/>
      <c r="F10" s="3425"/>
      <c r="G10" s="3425"/>
      <c r="H10" s="2442" t="s">
        <v>7</v>
      </c>
      <c r="I10" s="2492"/>
      <c r="J10" s="2491"/>
    </row>
    <row r="11" spans="1:20" ht="62.25" customHeight="1" x14ac:dyDescent="0.35">
      <c r="A11" s="2523"/>
      <c r="B11" s="2524">
        <f t="shared" si="0"/>
        <v>6</v>
      </c>
      <c r="C11" s="3416" t="s">
        <v>3548</v>
      </c>
      <c r="D11" s="3416"/>
      <c r="E11" s="3416"/>
      <c r="F11" s="3416"/>
      <c r="G11" s="3416"/>
      <c r="H11" s="2456" t="s">
        <v>3573</v>
      </c>
      <c r="I11" s="2455"/>
      <c r="J11" s="2491"/>
    </row>
    <row r="12" spans="1:20" ht="62.25" customHeight="1" x14ac:dyDescent="0.35">
      <c r="A12" s="2523"/>
      <c r="B12" s="2524">
        <f t="shared" si="0"/>
        <v>7</v>
      </c>
      <c r="C12" s="3416" t="s">
        <v>3547</v>
      </c>
      <c r="D12" s="3416"/>
      <c r="E12" s="3416"/>
      <c r="F12" s="3416"/>
      <c r="G12" s="3416"/>
      <c r="H12" s="2455" t="s">
        <v>7</v>
      </c>
      <c r="I12" s="2454"/>
      <c r="J12" s="2455"/>
    </row>
    <row r="13" spans="1:20" ht="62.25" customHeight="1" x14ac:dyDescent="0.35">
      <c r="A13" s="2523"/>
      <c r="B13" s="2524">
        <f t="shared" si="0"/>
        <v>8</v>
      </c>
      <c r="C13" s="3416" t="s">
        <v>3546</v>
      </c>
      <c r="D13" s="3416"/>
      <c r="E13" s="3416"/>
      <c r="F13" s="3416"/>
      <c r="G13" s="3416"/>
      <c r="H13" s="2492"/>
      <c r="I13" s="2442" t="s">
        <v>3574</v>
      </c>
      <c r="J13" s="2491"/>
    </row>
    <row r="14" spans="1:20" ht="62.25" customHeight="1" x14ac:dyDescent="0.35">
      <c r="A14" s="2523"/>
      <c r="B14" s="2524">
        <f t="shared" si="0"/>
        <v>9</v>
      </c>
      <c r="C14" s="3416" t="s">
        <v>3545</v>
      </c>
      <c r="D14" s="3416"/>
      <c r="E14" s="3416"/>
      <c r="F14" s="3416"/>
      <c r="G14" s="3416"/>
      <c r="H14" s="2442" t="s">
        <v>3575</v>
      </c>
      <c r="I14" s="2442" t="s">
        <v>3576</v>
      </c>
      <c r="J14" s="2491"/>
    </row>
    <row r="15" spans="1:20" ht="62.25" customHeight="1" x14ac:dyDescent="0.35">
      <c r="A15" s="2453"/>
      <c r="B15" s="3422" t="s">
        <v>3544</v>
      </c>
      <c r="C15" s="3423"/>
      <c r="D15" s="3423"/>
      <c r="E15" s="3423"/>
      <c r="F15" s="3423"/>
      <c r="G15" s="3423"/>
      <c r="H15" s="3423"/>
      <c r="I15" s="3423"/>
      <c r="J15" s="3424"/>
    </row>
    <row r="16" spans="1:20" ht="62.25" customHeight="1" x14ac:dyDescent="0.35">
      <c r="A16" s="2523"/>
      <c r="B16" s="2524">
        <f>+B14+1</f>
        <v>10</v>
      </c>
      <c r="C16" s="3416" t="s">
        <v>3543</v>
      </c>
      <c r="D16" s="3416"/>
      <c r="E16" s="3416"/>
      <c r="F16" s="3416"/>
      <c r="G16" s="3416"/>
      <c r="H16" s="2442" t="s">
        <v>7</v>
      </c>
      <c r="I16" s="2442"/>
      <c r="J16" s="2491"/>
    </row>
    <row r="17" spans="1:10" ht="62.25" customHeight="1" x14ac:dyDescent="0.35">
      <c r="A17" s="2523"/>
      <c r="B17" s="2524">
        <f>+B16+1</f>
        <v>11</v>
      </c>
      <c r="C17" s="3416" t="s">
        <v>3542</v>
      </c>
      <c r="D17" s="3416"/>
      <c r="E17" s="3416"/>
      <c r="F17" s="3416"/>
      <c r="G17" s="3416"/>
      <c r="H17" s="2442" t="s">
        <v>7</v>
      </c>
      <c r="I17" s="2442" t="s">
        <v>3577</v>
      </c>
      <c r="J17" s="2491"/>
    </row>
    <row r="18" spans="1:10" ht="62.25" customHeight="1" x14ac:dyDescent="0.35">
      <c r="A18" s="2523"/>
      <c r="B18" s="2524">
        <f>+B17+1</f>
        <v>12</v>
      </c>
      <c r="C18" s="3416" t="s">
        <v>3541</v>
      </c>
      <c r="D18" s="3416"/>
      <c r="E18" s="3416"/>
      <c r="F18" s="3416"/>
      <c r="G18" s="3416"/>
      <c r="H18" s="2442" t="s">
        <v>18</v>
      </c>
      <c r="I18" s="2491"/>
      <c r="J18" s="2491"/>
    </row>
    <row r="19" spans="1:10" s="2452" customFormat="1" ht="62.25" customHeight="1" x14ac:dyDescent="0.35">
      <c r="A19" s="2523"/>
      <c r="B19" s="2524">
        <f>+B18+1</f>
        <v>13</v>
      </c>
      <c r="C19" s="3425" t="s">
        <v>3540</v>
      </c>
      <c r="D19" s="3416"/>
      <c r="E19" s="3416"/>
      <c r="F19" s="3416"/>
      <c r="G19" s="3416"/>
      <c r="H19" s="2442" t="s">
        <v>7</v>
      </c>
      <c r="I19" s="2442" t="s">
        <v>3578</v>
      </c>
      <c r="J19" s="2491"/>
    </row>
    <row r="20" spans="1:10" s="2452" customFormat="1" ht="62.25" customHeight="1" x14ac:dyDescent="0.35">
      <c r="A20" s="2523"/>
      <c r="B20" s="2524">
        <f>+B19+1</f>
        <v>14</v>
      </c>
      <c r="C20" s="3416" t="s">
        <v>3539</v>
      </c>
      <c r="D20" s="3416"/>
      <c r="E20" s="3416"/>
      <c r="F20" s="3416"/>
      <c r="G20" s="3416"/>
      <c r="H20" s="2442" t="s">
        <v>7</v>
      </c>
      <c r="I20" s="2442"/>
      <c r="J20" s="2491"/>
    </row>
    <row r="21" spans="1:10" s="2452" customFormat="1" ht="62.25" customHeight="1" x14ac:dyDescent="0.35">
      <c r="A21" s="2523"/>
      <c r="B21" s="2524">
        <f>+B20+1</f>
        <v>15</v>
      </c>
      <c r="C21" s="3416" t="s">
        <v>3538</v>
      </c>
      <c r="D21" s="3416"/>
      <c r="E21" s="3416"/>
      <c r="F21" s="3416"/>
      <c r="G21" s="3416"/>
      <c r="H21" s="2442" t="s">
        <v>7</v>
      </c>
      <c r="I21" s="2442"/>
      <c r="J21" s="2491"/>
    </row>
    <row r="22" spans="1:10" s="2452" customFormat="1" ht="62.25" customHeight="1" x14ac:dyDescent="0.35">
      <c r="A22" s="2453"/>
      <c r="B22" s="3422" t="s">
        <v>3537</v>
      </c>
      <c r="C22" s="3423"/>
      <c r="D22" s="3423"/>
      <c r="E22" s="3423"/>
      <c r="F22" s="3423"/>
      <c r="G22" s="3423"/>
      <c r="H22" s="3423"/>
      <c r="I22" s="3423"/>
      <c r="J22" s="3424"/>
    </row>
    <row r="23" spans="1:10" s="2452" customFormat="1" ht="62.25" customHeight="1" x14ac:dyDescent="0.35">
      <c r="A23" s="2523"/>
      <c r="B23" s="2524">
        <f>B21+1</f>
        <v>16</v>
      </c>
      <c r="C23" s="3416" t="s">
        <v>3536</v>
      </c>
      <c r="D23" s="3416"/>
      <c r="E23" s="3416"/>
      <c r="F23" s="3416"/>
      <c r="G23" s="3416"/>
      <c r="H23" s="2442" t="s">
        <v>18</v>
      </c>
      <c r="I23" s="2491"/>
      <c r="J23" s="2491"/>
    </row>
    <row r="24" spans="1:10" s="2452" customFormat="1" ht="62.25" customHeight="1" x14ac:dyDescent="0.35">
      <c r="A24" s="2523"/>
      <c r="B24" s="2524">
        <f>B23+1</f>
        <v>17</v>
      </c>
      <c r="C24" s="3416" t="s">
        <v>3535</v>
      </c>
      <c r="D24" s="3416"/>
      <c r="E24" s="3416"/>
      <c r="F24" s="3416"/>
      <c r="G24" s="3416"/>
      <c r="H24" s="2442" t="s">
        <v>18</v>
      </c>
      <c r="I24" s="2491"/>
      <c r="J24" s="2491"/>
    </row>
    <row r="25" spans="1:10" s="2452" customFormat="1" ht="62.25" customHeight="1" x14ac:dyDescent="0.35">
      <c r="A25" s="2523"/>
      <c r="B25" s="2524">
        <f>B24+1</f>
        <v>18</v>
      </c>
      <c r="C25" s="3416" t="s">
        <v>3534</v>
      </c>
      <c r="D25" s="3416"/>
      <c r="E25" s="3416"/>
      <c r="F25" s="3416"/>
      <c r="G25" s="3416"/>
      <c r="H25" s="2442" t="s">
        <v>3579</v>
      </c>
      <c r="I25" s="2491"/>
      <c r="J25" s="2491"/>
    </row>
    <row r="26" spans="1:10" s="2452" customFormat="1" ht="62.25" customHeight="1" x14ac:dyDescent="0.35">
      <c r="A26" s="2523"/>
      <c r="B26" s="2524">
        <f>B25+1</f>
        <v>19</v>
      </c>
      <c r="C26" s="3416" t="s">
        <v>3533</v>
      </c>
      <c r="D26" s="3416"/>
      <c r="E26" s="3416"/>
      <c r="F26" s="3416"/>
      <c r="G26" s="3416"/>
      <c r="H26" s="2454" t="s">
        <v>3580</v>
      </c>
      <c r="I26" s="2491"/>
      <c r="J26" s="2491"/>
    </row>
    <row r="27" spans="1:10" s="2452" customFormat="1" ht="62.25" customHeight="1" x14ac:dyDescent="0.35">
      <c r="A27" s="2523"/>
      <c r="B27" s="2524">
        <f>+B26+1</f>
        <v>20</v>
      </c>
      <c r="C27" s="3427" t="s">
        <v>3532</v>
      </c>
      <c r="D27" s="3427"/>
      <c r="E27" s="3427"/>
      <c r="F27" s="3427"/>
      <c r="G27" s="3427"/>
      <c r="H27" s="2491"/>
      <c r="I27" s="2442" t="s">
        <v>3581</v>
      </c>
      <c r="J27" s="2491"/>
    </row>
    <row r="28" spans="1:10" s="2452" customFormat="1" ht="62.25" customHeight="1" x14ac:dyDescent="0.35">
      <c r="A28" s="2523"/>
      <c r="B28" s="2524">
        <f>B27+1</f>
        <v>21</v>
      </c>
      <c r="C28" s="3416" t="s">
        <v>3531</v>
      </c>
      <c r="D28" s="3416"/>
      <c r="E28" s="3416"/>
      <c r="F28" s="3416"/>
      <c r="G28" s="3416"/>
      <c r="H28" s="2442" t="s">
        <v>18</v>
      </c>
      <c r="I28" s="2442" t="s">
        <v>3582</v>
      </c>
      <c r="J28" s="2491"/>
    </row>
    <row r="29" spans="1:10" s="2452" customFormat="1" ht="62.25" customHeight="1" x14ac:dyDescent="0.35">
      <c r="A29" s="2453"/>
      <c r="B29" s="3422" t="s">
        <v>3530</v>
      </c>
      <c r="C29" s="3423"/>
      <c r="D29" s="3423"/>
      <c r="E29" s="3423"/>
      <c r="F29" s="3423"/>
      <c r="G29" s="3423"/>
      <c r="H29" s="3423"/>
      <c r="I29" s="3423"/>
      <c r="J29" s="3424"/>
    </row>
    <row r="30" spans="1:10" s="2452" customFormat="1" ht="62.25" customHeight="1" x14ac:dyDescent="0.35">
      <c r="A30" s="2523"/>
      <c r="B30" s="2524">
        <f>+B28+1</f>
        <v>22</v>
      </c>
      <c r="C30" s="3416" t="s">
        <v>3529</v>
      </c>
      <c r="D30" s="3416"/>
      <c r="E30" s="3416"/>
      <c r="F30" s="3416"/>
      <c r="G30" s="3416"/>
      <c r="H30" s="2442" t="s">
        <v>18</v>
      </c>
      <c r="I30" s="2491"/>
      <c r="J30" s="2491"/>
    </row>
    <row r="31" spans="1:10" s="2452" customFormat="1" ht="62.25" customHeight="1" x14ac:dyDescent="0.35">
      <c r="A31" s="2523"/>
      <c r="B31" s="2524">
        <f>B30+1</f>
        <v>23</v>
      </c>
      <c r="C31" s="3425" t="s">
        <v>3528</v>
      </c>
      <c r="D31" s="3416"/>
      <c r="E31" s="3416"/>
      <c r="F31" s="3416"/>
      <c r="G31" s="3416"/>
      <c r="H31" s="2442" t="s">
        <v>18</v>
      </c>
      <c r="I31" s="2442" t="s">
        <v>3583</v>
      </c>
      <c r="J31" s="2491"/>
    </row>
    <row r="32" spans="1:10" s="2452" customFormat="1" ht="62.25" customHeight="1" x14ac:dyDescent="0.35">
      <c r="A32" s="2523"/>
      <c r="B32" s="2524">
        <f>B31+1</f>
        <v>24</v>
      </c>
      <c r="C32" s="3427" t="s">
        <v>3527</v>
      </c>
      <c r="D32" s="3428"/>
      <c r="E32" s="3428"/>
      <c r="F32" s="3428"/>
      <c r="G32" s="3428"/>
      <c r="H32" s="2491"/>
      <c r="I32" s="2442" t="s">
        <v>3584</v>
      </c>
      <c r="J32" s="2491"/>
    </row>
    <row r="33" spans="1:10" s="2452" customFormat="1" ht="62.25" customHeight="1" x14ac:dyDescent="0.35">
      <c r="A33" s="2523"/>
      <c r="B33" s="2524">
        <f>B32+1</f>
        <v>25</v>
      </c>
      <c r="C33" s="3416" t="s">
        <v>3526</v>
      </c>
      <c r="D33" s="3416"/>
      <c r="E33" s="3416"/>
      <c r="F33" s="3416"/>
      <c r="G33" s="3416"/>
      <c r="H33" s="2442" t="s">
        <v>3585</v>
      </c>
      <c r="I33" s="2491"/>
      <c r="J33" s="2491"/>
    </row>
    <row r="34" spans="1:10" s="2452" customFormat="1" ht="62.25" customHeight="1" x14ac:dyDescent="0.35">
      <c r="A34" s="2523"/>
      <c r="B34" s="2524">
        <f>B33+1</f>
        <v>26</v>
      </c>
      <c r="C34" s="3427" t="s">
        <v>3525</v>
      </c>
      <c r="D34" s="3427"/>
      <c r="E34" s="3427"/>
      <c r="F34" s="3427"/>
      <c r="G34" s="3427"/>
      <c r="H34" s="2442" t="s">
        <v>7</v>
      </c>
      <c r="I34" s="2442"/>
      <c r="J34" s="2491"/>
    </row>
    <row r="35" spans="1:10" s="2452" customFormat="1" ht="62.25" customHeight="1" x14ac:dyDescent="0.35">
      <c r="A35" s="2453"/>
      <c r="B35" s="3422" t="s">
        <v>3524</v>
      </c>
      <c r="C35" s="3423"/>
      <c r="D35" s="3423"/>
      <c r="E35" s="3423"/>
      <c r="F35" s="3423"/>
      <c r="G35" s="3423"/>
      <c r="H35" s="3423"/>
      <c r="I35" s="3423"/>
      <c r="J35" s="3424"/>
    </row>
    <row r="36" spans="1:10" s="2452" customFormat="1" ht="62.25" customHeight="1" x14ac:dyDescent="0.35">
      <c r="A36" s="2523"/>
      <c r="B36" s="2524">
        <f>B34+1</f>
        <v>27</v>
      </c>
      <c r="C36" s="3416" t="s">
        <v>3523</v>
      </c>
      <c r="D36" s="3416"/>
      <c r="E36" s="3416"/>
      <c r="F36" s="3416"/>
      <c r="G36" s="3416"/>
      <c r="H36" s="2442" t="s">
        <v>3586</v>
      </c>
      <c r="I36" s="2442" t="s">
        <v>3587</v>
      </c>
      <c r="J36" s="2491"/>
    </row>
    <row r="37" spans="1:10" s="2452" customFormat="1" ht="62.25" customHeight="1" x14ac:dyDescent="0.35">
      <c r="A37" s="2523"/>
      <c r="B37" s="2524">
        <f>+B36+1</f>
        <v>28</v>
      </c>
      <c r="C37" s="3416" t="s">
        <v>3522</v>
      </c>
      <c r="D37" s="3416"/>
      <c r="E37" s="3416"/>
      <c r="F37" s="3416"/>
      <c r="G37" s="3416"/>
      <c r="H37" s="2442" t="s">
        <v>3586</v>
      </c>
      <c r="I37" s="2442" t="s">
        <v>3588</v>
      </c>
      <c r="J37" s="2491"/>
    </row>
    <row r="38" spans="1:10" s="2452" customFormat="1" ht="62.25" customHeight="1" x14ac:dyDescent="0.35">
      <c r="A38" s="2453"/>
      <c r="B38" s="3417" t="s">
        <v>3521</v>
      </c>
      <c r="C38" s="3418"/>
      <c r="D38" s="3418"/>
      <c r="E38" s="3418"/>
      <c r="F38" s="3418"/>
      <c r="G38" s="3418"/>
      <c r="H38" s="3418"/>
      <c r="I38" s="3418"/>
      <c r="J38" s="3419"/>
    </row>
    <row r="39" spans="1:10" s="2452" customFormat="1" ht="62.25" customHeight="1" x14ac:dyDescent="0.35">
      <c r="A39" s="2523"/>
      <c r="B39" s="2524">
        <f>+B37+1</f>
        <v>29</v>
      </c>
      <c r="C39" s="3416" t="s">
        <v>3520</v>
      </c>
      <c r="D39" s="3416"/>
      <c r="E39" s="3416"/>
      <c r="F39" s="3416"/>
      <c r="G39" s="3416"/>
      <c r="H39" s="2491"/>
      <c r="I39" s="2491"/>
      <c r="J39" s="2491"/>
    </row>
    <row r="40" spans="1:10" s="2452" customFormat="1" ht="62.25" customHeight="1" x14ac:dyDescent="0.35">
      <c r="A40" s="2523"/>
      <c r="B40" s="2524"/>
      <c r="C40" s="3416" t="s">
        <v>3519</v>
      </c>
      <c r="D40" s="3416"/>
      <c r="E40" s="3416"/>
      <c r="F40" s="3416"/>
      <c r="G40" s="3416"/>
      <c r="H40" s="2454" t="s">
        <v>3589</v>
      </c>
      <c r="I40" s="2442"/>
      <c r="J40" s="2491"/>
    </row>
    <row r="41" spans="1:10" s="2452" customFormat="1" ht="62.25" customHeight="1" x14ac:dyDescent="0.35">
      <c r="A41" s="2523"/>
      <c r="B41" s="2524"/>
      <c r="C41" s="3416" t="s">
        <v>3518</v>
      </c>
      <c r="D41" s="3416"/>
      <c r="E41" s="3416"/>
      <c r="F41" s="3416"/>
      <c r="G41" s="3416"/>
      <c r="H41" s="2454" t="s">
        <v>3589</v>
      </c>
      <c r="I41" s="2442"/>
      <c r="J41" s="2491"/>
    </row>
    <row r="42" spans="1:10" s="2452" customFormat="1" ht="62.25" customHeight="1" x14ac:dyDescent="0.35">
      <c r="A42" s="2523"/>
      <c r="B42" s="2524"/>
      <c r="C42" s="3416" t="s">
        <v>3517</v>
      </c>
      <c r="D42" s="3416"/>
      <c r="E42" s="3416"/>
      <c r="F42" s="3416"/>
      <c r="G42" s="3416"/>
      <c r="H42" s="2454" t="s">
        <v>3590</v>
      </c>
      <c r="I42" s="2442"/>
      <c r="J42" s="2491"/>
    </row>
    <row r="43" spans="1:10" s="2452" customFormat="1" ht="62.25" customHeight="1" x14ac:dyDescent="0.35">
      <c r="A43" s="2523"/>
      <c r="B43" s="2524"/>
      <c r="C43" s="3416" t="s">
        <v>3516</v>
      </c>
      <c r="D43" s="3416"/>
      <c r="E43" s="3416"/>
      <c r="F43" s="3416"/>
      <c r="G43" s="3416"/>
      <c r="H43" s="2454" t="s">
        <v>3590</v>
      </c>
      <c r="I43" s="2442"/>
      <c r="J43" s="2491"/>
    </row>
    <row r="44" spans="1:10" s="2452" customFormat="1" ht="62.25" customHeight="1" x14ac:dyDescent="0.35">
      <c r="A44" s="2523"/>
      <c r="B44" s="2524"/>
      <c r="C44" s="3416" t="s">
        <v>3515</v>
      </c>
      <c r="D44" s="3416"/>
      <c r="E44" s="3416"/>
      <c r="F44" s="3416"/>
      <c r="G44" s="3416"/>
      <c r="H44" s="2454" t="s">
        <v>3589</v>
      </c>
      <c r="I44" s="2442"/>
      <c r="J44" s="2491"/>
    </row>
    <row r="45" spans="1:10" s="2452" customFormat="1" ht="62.25" customHeight="1" x14ac:dyDescent="0.35">
      <c r="A45" s="2453"/>
      <c r="B45" s="3417" t="s">
        <v>3514</v>
      </c>
      <c r="C45" s="3418"/>
      <c r="D45" s="3418"/>
      <c r="E45" s="3418"/>
      <c r="F45" s="3418"/>
      <c r="G45" s="3418"/>
      <c r="H45" s="3418"/>
      <c r="I45" s="3418"/>
      <c r="J45" s="3419"/>
    </row>
    <row r="46" spans="1:10" s="2452" customFormat="1" ht="62.25" customHeight="1" x14ac:dyDescent="0.35">
      <c r="A46" s="2523"/>
      <c r="B46" s="2524">
        <f>+B39+1</f>
        <v>30</v>
      </c>
      <c r="C46" s="3416" t="s">
        <v>3513</v>
      </c>
      <c r="D46" s="3416"/>
      <c r="E46" s="3416"/>
      <c r="F46" s="3416"/>
      <c r="G46" s="3416"/>
      <c r="H46" s="2442" t="s">
        <v>3591</v>
      </c>
      <c r="I46" s="2493"/>
      <c r="J46" s="2491"/>
    </row>
    <row r="47" spans="1:10" s="2452" customFormat="1" ht="62.25" customHeight="1" x14ac:dyDescent="0.35">
      <c r="A47" s="2523"/>
      <c r="B47" s="2524">
        <f>+B46+1</f>
        <v>31</v>
      </c>
      <c r="C47" s="3416" t="s">
        <v>3512</v>
      </c>
      <c r="D47" s="3416"/>
      <c r="E47" s="3416"/>
      <c r="F47" s="3416"/>
      <c r="G47" s="3416"/>
      <c r="H47" s="2442" t="s">
        <v>3592</v>
      </c>
      <c r="I47" s="2454" t="s">
        <v>3607</v>
      </c>
      <c r="J47" s="2491"/>
    </row>
    <row r="48" spans="1:10" s="2452" customFormat="1" ht="62.25" customHeight="1" x14ac:dyDescent="0.35">
      <c r="A48" s="2523"/>
      <c r="B48" s="2524">
        <f>+B47+1</f>
        <v>32</v>
      </c>
      <c r="C48" s="3416" t="s">
        <v>3511</v>
      </c>
      <c r="D48" s="3416"/>
      <c r="E48" s="3416"/>
      <c r="F48" s="3416"/>
      <c r="G48" s="3416"/>
      <c r="H48" s="2442" t="s">
        <v>18</v>
      </c>
      <c r="I48" s="2493"/>
      <c r="J48" s="2491"/>
    </row>
    <row r="49" spans="1:10" s="2452" customFormat="1" ht="62.25" customHeight="1" x14ac:dyDescent="0.35">
      <c r="A49" s="2453"/>
      <c r="B49" s="3417" t="s">
        <v>3510</v>
      </c>
      <c r="C49" s="3418"/>
      <c r="D49" s="3418"/>
      <c r="E49" s="3418"/>
      <c r="F49" s="3418"/>
      <c r="G49" s="3418"/>
      <c r="H49" s="3418"/>
      <c r="I49" s="3418"/>
      <c r="J49" s="3419"/>
    </row>
    <row r="50" spans="1:10" s="2452" customFormat="1" ht="62.25" customHeight="1" x14ac:dyDescent="0.35">
      <c r="A50" s="2523"/>
      <c r="B50" s="2524">
        <f>B48+1</f>
        <v>33</v>
      </c>
      <c r="C50" s="3416" t="s">
        <v>3509</v>
      </c>
      <c r="D50" s="3416"/>
      <c r="E50" s="3416"/>
      <c r="F50" s="3416"/>
      <c r="G50" s="3416"/>
      <c r="H50" s="2442" t="s">
        <v>7</v>
      </c>
      <c r="I50" s="2442"/>
      <c r="J50" s="2491"/>
    </row>
    <row r="51" spans="1:10" s="2452" customFormat="1" ht="62.25" customHeight="1" x14ac:dyDescent="0.35">
      <c r="A51" s="2453"/>
      <c r="B51" s="3417" t="s">
        <v>3508</v>
      </c>
      <c r="C51" s="3418"/>
      <c r="D51" s="3418"/>
      <c r="E51" s="3418"/>
      <c r="F51" s="3418"/>
      <c r="G51" s="3418"/>
      <c r="H51" s="3418"/>
      <c r="I51" s="3418"/>
      <c r="J51" s="3419"/>
    </row>
    <row r="52" spans="1:10" s="2452" customFormat="1" ht="62.25" customHeight="1" x14ac:dyDescent="0.35">
      <c r="A52" s="2523"/>
      <c r="B52" s="2524">
        <f>B50+1</f>
        <v>34</v>
      </c>
      <c r="C52" s="3416" t="s">
        <v>3507</v>
      </c>
      <c r="D52" s="3416"/>
      <c r="E52" s="3416"/>
      <c r="F52" s="3416"/>
      <c r="G52" s="3416"/>
      <c r="H52" s="2442" t="s">
        <v>3593</v>
      </c>
      <c r="I52" s="2491"/>
      <c r="J52" s="2491"/>
    </row>
    <row r="53" spans="1:10" s="2452" customFormat="1" ht="62.25" customHeight="1" x14ac:dyDescent="0.35">
      <c r="A53" s="2453"/>
      <c r="B53" s="3417" t="s">
        <v>3506</v>
      </c>
      <c r="C53" s="3418"/>
      <c r="D53" s="3418"/>
      <c r="E53" s="3418"/>
      <c r="F53" s="3418"/>
      <c r="G53" s="3418"/>
      <c r="H53" s="3418"/>
      <c r="I53" s="3418"/>
      <c r="J53" s="3419"/>
    </row>
    <row r="54" spans="1:10" s="2452" customFormat="1" ht="62.25" customHeight="1" x14ac:dyDescent="0.35">
      <c r="A54" s="2523"/>
      <c r="B54" s="2524">
        <f>B52+1</f>
        <v>35</v>
      </c>
      <c r="C54" s="3416" t="s">
        <v>3505</v>
      </c>
      <c r="D54" s="3416"/>
      <c r="E54" s="3416"/>
      <c r="F54" s="3416"/>
      <c r="G54" s="3416"/>
      <c r="H54" s="2442" t="s">
        <v>7</v>
      </c>
      <c r="I54" s="2493"/>
      <c r="J54" s="2491"/>
    </row>
    <row r="55" spans="1:10" s="2452" customFormat="1" ht="62.25" customHeight="1" x14ac:dyDescent="0.35">
      <c r="A55" s="2523"/>
      <c r="B55" s="2524">
        <f t="shared" ref="B55:B61" si="1">B54+1</f>
        <v>36</v>
      </c>
      <c r="C55" s="3416" t="s">
        <v>3504</v>
      </c>
      <c r="D55" s="3416"/>
      <c r="E55" s="3416"/>
      <c r="F55" s="3416"/>
      <c r="G55" s="3416"/>
      <c r="H55" s="2442" t="s">
        <v>7</v>
      </c>
      <c r="I55" s="2493"/>
      <c r="J55" s="2491"/>
    </row>
    <row r="56" spans="1:10" s="2452" customFormat="1" ht="62.25" customHeight="1" x14ac:dyDescent="0.35">
      <c r="A56" s="2523"/>
      <c r="B56" s="2524">
        <f t="shared" si="1"/>
        <v>37</v>
      </c>
      <c r="C56" s="3416" t="s">
        <v>3503</v>
      </c>
      <c r="D56" s="3416"/>
      <c r="E56" s="3416"/>
      <c r="F56" s="3416"/>
      <c r="G56" s="3416"/>
      <c r="H56" s="2442"/>
      <c r="I56" s="2442"/>
      <c r="J56" s="2491"/>
    </row>
    <row r="57" spans="1:10" s="2452" customFormat="1" ht="62.25" customHeight="1" x14ac:dyDescent="0.35">
      <c r="A57" s="2523"/>
      <c r="B57" s="2524">
        <f t="shared" si="1"/>
        <v>38</v>
      </c>
      <c r="C57" s="3427" t="s">
        <v>3502</v>
      </c>
      <c r="D57" s="3427"/>
      <c r="E57" s="3427"/>
      <c r="F57" s="3427"/>
      <c r="G57" s="3427"/>
      <c r="H57" s="2442"/>
      <c r="I57" s="2442"/>
      <c r="J57" s="2491"/>
    </row>
    <row r="58" spans="1:10" s="2452" customFormat="1" ht="62.25" customHeight="1" x14ac:dyDescent="0.35">
      <c r="A58" s="2523"/>
      <c r="B58" s="2524">
        <f t="shared" si="1"/>
        <v>39</v>
      </c>
      <c r="C58" s="3416" t="s">
        <v>3501</v>
      </c>
      <c r="D58" s="3416"/>
      <c r="E58" s="3416"/>
      <c r="F58" s="3416"/>
      <c r="G58" s="3416"/>
      <c r="H58" s="2442"/>
      <c r="I58" s="2442"/>
      <c r="J58" s="2491"/>
    </row>
    <row r="59" spans="1:10" s="2452" customFormat="1" ht="62.25" customHeight="1" x14ac:dyDescent="0.35">
      <c r="A59" s="2523"/>
      <c r="B59" s="2524">
        <f t="shared" si="1"/>
        <v>40</v>
      </c>
      <c r="C59" s="3416" t="s">
        <v>3500</v>
      </c>
      <c r="D59" s="3416"/>
      <c r="E59" s="3416"/>
      <c r="F59" s="3416"/>
      <c r="G59" s="3416"/>
      <c r="H59" s="2442"/>
      <c r="I59" s="2442"/>
      <c r="J59" s="2491"/>
    </row>
    <row r="60" spans="1:10" s="2452" customFormat="1" ht="62.25" customHeight="1" x14ac:dyDescent="0.35">
      <c r="A60" s="2523"/>
      <c r="B60" s="2524">
        <f t="shared" si="1"/>
        <v>41</v>
      </c>
      <c r="C60" s="3416" t="s">
        <v>3499</v>
      </c>
      <c r="D60" s="3416"/>
      <c r="E60" s="3416"/>
      <c r="F60" s="3416"/>
      <c r="G60" s="3416"/>
      <c r="H60" s="2442"/>
      <c r="I60" s="2442"/>
      <c r="J60" s="2491"/>
    </row>
    <row r="61" spans="1:10" s="2452" customFormat="1" ht="62.25" customHeight="1" x14ac:dyDescent="0.35">
      <c r="A61" s="2523"/>
      <c r="B61" s="2524">
        <f t="shared" si="1"/>
        <v>42</v>
      </c>
      <c r="C61" s="3416" t="s">
        <v>3498</v>
      </c>
      <c r="D61" s="3416"/>
      <c r="E61" s="3416"/>
      <c r="F61" s="3416"/>
      <c r="G61" s="3416"/>
      <c r="H61" s="2442"/>
      <c r="I61" s="2442"/>
      <c r="J61" s="2491"/>
    </row>
    <row r="62" spans="1:10" s="2452" customFormat="1" ht="62.25" customHeight="1" x14ac:dyDescent="0.35">
      <c r="A62" s="2453"/>
      <c r="B62" s="3417" t="s">
        <v>3497</v>
      </c>
      <c r="C62" s="3418"/>
      <c r="D62" s="3418"/>
      <c r="E62" s="3418"/>
      <c r="F62" s="3418"/>
      <c r="G62" s="3418"/>
      <c r="H62" s="3418"/>
      <c r="I62" s="3418"/>
      <c r="J62" s="3419"/>
    </row>
    <row r="63" spans="1:10" s="2452" customFormat="1" ht="62.25" customHeight="1" x14ac:dyDescent="0.35">
      <c r="A63" s="2523"/>
      <c r="B63" s="2524">
        <f>B61+1</f>
        <v>43</v>
      </c>
      <c r="C63" s="3429" t="s">
        <v>3496</v>
      </c>
      <c r="D63" s="3430"/>
      <c r="E63" s="3430"/>
      <c r="F63" s="3430"/>
      <c r="G63" s="3430"/>
      <c r="H63" s="2442" t="s">
        <v>3594</v>
      </c>
      <c r="I63" s="2442" t="s">
        <v>18</v>
      </c>
      <c r="J63" s="2442" t="s">
        <v>3596</v>
      </c>
    </row>
    <row r="64" spans="1:10" s="2452" customFormat="1" ht="62.25" customHeight="1" x14ac:dyDescent="0.35">
      <c r="A64" s="2523"/>
      <c r="B64" s="2524">
        <f t="shared" ref="B64:B69" si="2">B63+1</f>
        <v>44</v>
      </c>
      <c r="C64" s="3416" t="s">
        <v>3495</v>
      </c>
      <c r="D64" s="3416"/>
      <c r="E64" s="3416"/>
      <c r="F64" s="3416"/>
      <c r="G64" s="3416"/>
      <c r="H64" s="2442" t="s">
        <v>7</v>
      </c>
      <c r="I64" s="2442"/>
      <c r="J64" s="2491"/>
    </row>
    <row r="65" spans="1:10" s="2452" customFormat="1" ht="62.25" customHeight="1" x14ac:dyDescent="0.35">
      <c r="A65" s="2523"/>
      <c r="B65" s="2524">
        <f t="shared" si="2"/>
        <v>45</v>
      </c>
      <c r="C65" s="3416" t="s">
        <v>3494</v>
      </c>
      <c r="D65" s="3416"/>
      <c r="E65" s="3416"/>
      <c r="F65" s="3416"/>
      <c r="G65" s="3416"/>
      <c r="H65" s="2442" t="s">
        <v>3595</v>
      </c>
      <c r="I65" s="2493"/>
      <c r="J65" s="2491"/>
    </row>
    <row r="66" spans="1:10" s="2452" customFormat="1" ht="62.25" customHeight="1" x14ac:dyDescent="0.35">
      <c r="A66" s="2523"/>
      <c r="B66" s="2524">
        <f t="shared" si="2"/>
        <v>46</v>
      </c>
      <c r="C66" s="3429" t="s">
        <v>3493</v>
      </c>
      <c r="D66" s="3429"/>
      <c r="E66" s="3429"/>
      <c r="F66" s="3429"/>
      <c r="G66" s="3429"/>
      <c r="H66" s="2491"/>
      <c r="I66" s="2442" t="s">
        <v>3597</v>
      </c>
      <c r="J66" s="2491"/>
    </row>
    <row r="67" spans="1:10" s="2452" customFormat="1" ht="62.25" customHeight="1" x14ac:dyDescent="0.35">
      <c r="A67" s="2523"/>
      <c r="B67" s="2524">
        <f t="shared" si="2"/>
        <v>47</v>
      </c>
      <c r="C67" s="3429" t="s">
        <v>3492</v>
      </c>
      <c r="D67" s="3429"/>
      <c r="E67" s="3429"/>
      <c r="F67" s="3429"/>
      <c r="G67" s="3429"/>
      <c r="H67" s="2491"/>
      <c r="I67" s="2442" t="s">
        <v>3598</v>
      </c>
      <c r="J67" s="2491"/>
    </row>
    <row r="68" spans="1:10" s="2452" customFormat="1" ht="62.25" customHeight="1" x14ac:dyDescent="0.35">
      <c r="A68" s="2523"/>
      <c r="B68" s="2524">
        <f t="shared" si="2"/>
        <v>48</v>
      </c>
      <c r="C68" s="3416" t="s">
        <v>3491</v>
      </c>
      <c r="D68" s="3416"/>
      <c r="E68" s="3416"/>
      <c r="F68" s="3416"/>
      <c r="G68" s="3416"/>
      <c r="H68" s="2442" t="s">
        <v>18</v>
      </c>
      <c r="I68" s="2442" t="s">
        <v>3599</v>
      </c>
      <c r="J68" s="2491"/>
    </row>
    <row r="69" spans="1:10" s="2452" customFormat="1" ht="62.25" customHeight="1" x14ac:dyDescent="0.35">
      <c r="A69" s="2523"/>
      <c r="B69" s="2524">
        <f t="shared" si="2"/>
        <v>49</v>
      </c>
      <c r="C69" s="3416" t="s">
        <v>3490</v>
      </c>
      <c r="D69" s="3416"/>
      <c r="E69" s="3416"/>
      <c r="F69" s="3416"/>
      <c r="G69" s="3416"/>
      <c r="H69" s="2442" t="s">
        <v>18</v>
      </c>
      <c r="I69" s="2454" t="s">
        <v>3605</v>
      </c>
      <c r="J69" s="2491"/>
    </row>
    <row r="70" spans="1:10" s="2452" customFormat="1" ht="47.1" customHeight="1" x14ac:dyDescent="0.35">
      <c r="A70" s="2448"/>
      <c r="B70" s="3417" t="s">
        <v>3489</v>
      </c>
      <c r="C70" s="3418"/>
      <c r="D70" s="3418"/>
      <c r="E70" s="3418"/>
      <c r="F70" s="3418"/>
      <c r="G70" s="3418"/>
      <c r="H70" s="3418"/>
      <c r="I70" s="3418"/>
      <c r="J70" s="3419"/>
    </row>
    <row r="71" spans="1:10" s="2452" customFormat="1" ht="62.25" customHeight="1" x14ac:dyDescent="0.35">
      <c r="A71" s="2523"/>
      <c r="B71" s="2524">
        <f>+B69+1</f>
        <v>50</v>
      </c>
      <c r="C71" s="3416" t="s">
        <v>3488</v>
      </c>
      <c r="D71" s="3416"/>
      <c r="E71" s="3416"/>
      <c r="F71" s="3416"/>
      <c r="G71" s="3416"/>
      <c r="H71" s="2442" t="s">
        <v>18</v>
      </c>
      <c r="I71" s="2442" t="s">
        <v>3606</v>
      </c>
      <c r="J71" s="2442" t="s">
        <v>7</v>
      </c>
    </row>
    <row r="72" spans="1:10" s="2452" customFormat="1" x14ac:dyDescent="0.35">
      <c r="A72" s="2448"/>
      <c r="B72" s="2450"/>
      <c r="C72" s="2451"/>
      <c r="D72" s="2451"/>
      <c r="E72" s="2451"/>
      <c r="F72" s="2451"/>
      <c r="G72" s="2451"/>
      <c r="H72" s="2403"/>
      <c r="I72" s="2450"/>
      <c r="J72" s="2449"/>
    </row>
    <row r="73" spans="1:10" s="2452" customFormat="1" x14ac:dyDescent="0.35">
      <c r="A73" s="2448"/>
      <c r="B73" s="2450"/>
      <c r="C73" s="2451"/>
      <c r="D73" s="2451"/>
      <c r="E73" s="2451"/>
      <c r="F73" s="2451"/>
      <c r="G73" s="2451"/>
      <c r="H73" s="2403"/>
      <c r="I73" s="2450"/>
      <c r="J73" s="2449"/>
    </row>
    <row r="74" spans="1:10" s="2452" customFormat="1" x14ac:dyDescent="0.35">
      <c r="A74" s="2448"/>
      <c r="B74" s="2450"/>
      <c r="C74" s="2451"/>
      <c r="D74" s="2451"/>
      <c r="E74" s="2451"/>
      <c r="F74" s="2451"/>
      <c r="G74" s="2451"/>
      <c r="H74" s="2403"/>
      <c r="I74" s="2450"/>
      <c r="J74" s="2449"/>
    </row>
    <row r="75" spans="1:10" s="2452" customFormat="1" x14ac:dyDescent="0.35">
      <c r="A75" s="2448"/>
      <c r="B75" s="2450"/>
      <c r="C75" s="2451"/>
      <c r="D75" s="2451"/>
      <c r="E75" s="2451"/>
      <c r="F75" s="2451"/>
      <c r="G75" s="2451"/>
      <c r="H75" s="2403"/>
      <c r="I75" s="2450"/>
      <c r="J75" s="2449"/>
    </row>
    <row r="76" spans="1:10" s="2452" customFormat="1" x14ac:dyDescent="0.35">
      <c r="A76" s="2448"/>
      <c r="B76" s="2450"/>
      <c r="C76" s="2451"/>
      <c r="D76" s="2451"/>
      <c r="E76" s="2451"/>
      <c r="F76" s="2451"/>
      <c r="G76" s="2451"/>
      <c r="H76" s="2403"/>
      <c r="I76" s="2450"/>
      <c r="J76" s="2449"/>
    </row>
    <row r="77" spans="1:10" s="2452" customFormat="1" x14ac:dyDescent="0.35">
      <c r="A77" s="2448"/>
      <c r="B77" s="2450"/>
      <c r="C77" s="2451"/>
      <c r="D77" s="2451"/>
      <c r="E77" s="2451"/>
      <c r="F77" s="2451"/>
      <c r="G77" s="2451"/>
      <c r="H77" s="2403"/>
      <c r="I77" s="2450"/>
      <c r="J77" s="2449"/>
    </row>
    <row r="78" spans="1:10" s="2452" customFormat="1" x14ac:dyDescent="0.35">
      <c r="A78" s="2448"/>
      <c r="B78" s="2450"/>
      <c r="C78" s="2451"/>
      <c r="D78" s="2451"/>
      <c r="E78" s="2451"/>
      <c r="F78" s="2451"/>
      <c r="G78" s="2451"/>
      <c r="H78" s="2403"/>
      <c r="I78" s="2450"/>
      <c r="J78" s="2449"/>
    </row>
    <row r="79" spans="1:10" s="2452" customFormat="1" x14ac:dyDescent="0.35">
      <c r="A79" s="2448"/>
      <c r="B79" s="2450"/>
      <c r="C79" s="2451"/>
      <c r="D79" s="2451"/>
      <c r="E79" s="2451"/>
      <c r="F79" s="2451"/>
      <c r="G79" s="2451"/>
      <c r="H79" s="2403"/>
      <c r="I79" s="2450"/>
      <c r="J79" s="2449"/>
    </row>
    <row r="80" spans="1:10" s="2452" customFormat="1" x14ac:dyDescent="0.35">
      <c r="A80" s="2448"/>
      <c r="B80" s="2450"/>
      <c r="C80" s="2451"/>
      <c r="D80" s="2451"/>
      <c r="E80" s="2451"/>
      <c r="F80" s="2451"/>
      <c r="G80" s="2451"/>
      <c r="H80" s="2403"/>
      <c r="I80" s="2450"/>
      <c r="J80" s="2449"/>
    </row>
    <row r="81" spans="1:10" s="2452" customFormat="1" x14ac:dyDescent="0.35">
      <c r="A81" s="2448"/>
      <c r="B81" s="2450"/>
      <c r="C81" s="2451"/>
      <c r="D81" s="2451"/>
      <c r="E81" s="2451"/>
      <c r="F81" s="2451"/>
      <c r="G81" s="2451"/>
      <c r="H81" s="2403"/>
      <c r="I81" s="2450"/>
      <c r="J81" s="2449"/>
    </row>
    <row r="82" spans="1:10" s="2452" customFormat="1" x14ac:dyDescent="0.35">
      <c r="A82" s="2448"/>
      <c r="B82" s="2450"/>
      <c r="C82" s="2451"/>
      <c r="D82" s="2451"/>
      <c r="E82" s="2451"/>
      <c r="F82" s="2451"/>
      <c r="G82" s="2451"/>
      <c r="H82" s="2403"/>
      <c r="I82" s="2450"/>
      <c r="J82" s="2449"/>
    </row>
    <row r="83" spans="1:10" s="2452" customFormat="1" x14ac:dyDescent="0.35">
      <c r="A83" s="2448"/>
      <c r="B83" s="2450"/>
      <c r="C83" s="2451"/>
      <c r="D83" s="2451"/>
      <c r="E83" s="2451"/>
      <c r="F83" s="2451"/>
      <c r="G83" s="2451"/>
      <c r="H83" s="2403"/>
      <c r="I83" s="2450"/>
      <c r="J83" s="2449"/>
    </row>
    <row r="84" spans="1:10" s="2452" customFormat="1" x14ac:dyDescent="0.35">
      <c r="A84" s="2448"/>
      <c r="B84" s="2450"/>
      <c r="C84" s="2451"/>
      <c r="D84" s="2451"/>
      <c r="E84" s="2451"/>
      <c r="F84" s="2451"/>
      <c r="G84" s="2451"/>
      <c r="H84" s="2403"/>
      <c r="I84" s="2450"/>
      <c r="J84" s="2449"/>
    </row>
    <row r="85" spans="1:10" s="2452" customFormat="1" x14ac:dyDescent="0.35">
      <c r="A85" s="2448"/>
      <c r="B85" s="2450"/>
      <c r="C85" s="2451"/>
      <c r="D85" s="2451"/>
      <c r="E85" s="2451"/>
      <c r="F85" s="2451"/>
      <c r="G85" s="2451"/>
      <c r="H85" s="2403"/>
      <c r="I85" s="2450"/>
      <c r="J85" s="2449"/>
    </row>
    <row r="86" spans="1:10" s="2452" customFormat="1" x14ac:dyDescent="0.35">
      <c r="A86" s="2448"/>
      <c r="B86" s="2450"/>
      <c r="C86" s="2451"/>
      <c r="D86" s="2451"/>
      <c r="E86" s="2451"/>
      <c r="F86" s="2451"/>
      <c r="G86" s="2451"/>
      <c r="H86" s="2403"/>
      <c r="I86" s="2450"/>
      <c r="J86" s="2449"/>
    </row>
    <row r="87" spans="1:10" s="2452" customFormat="1" x14ac:dyDescent="0.35">
      <c r="A87" s="2448"/>
      <c r="B87" s="2450"/>
      <c r="C87" s="2451"/>
      <c r="D87" s="2451"/>
      <c r="E87" s="2451"/>
      <c r="F87" s="2451"/>
      <c r="G87" s="2451"/>
      <c r="H87" s="2403"/>
      <c r="I87" s="2450"/>
      <c r="J87" s="2449"/>
    </row>
    <row r="88" spans="1:10" s="2452" customFormat="1" x14ac:dyDescent="0.35">
      <c r="A88" s="2448"/>
      <c r="B88" s="2450"/>
      <c r="C88" s="2451"/>
      <c r="D88" s="2451"/>
      <c r="E88" s="2451"/>
      <c r="F88" s="2451"/>
      <c r="G88" s="2451"/>
      <c r="H88" s="2403"/>
      <c r="I88" s="2450"/>
      <c r="J88" s="2449"/>
    </row>
    <row r="89" spans="1:10" s="2452" customFormat="1" x14ac:dyDescent="0.35">
      <c r="A89" s="2448"/>
      <c r="B89" s="2450"/>
      <c r="C89" s="2451"/>
      <c r="D89" s="2451"/>
      <c r="E89" s="2451"/>
      <c r="F89" s="2451"/>
      <c r="G89" s="2451"/>
      <c r="H89" s="2403"/>
      <c r="I89" s="2450"/>
      <c r="J89" s="2449"/>
    </row>
    <row r="90" spans="1:10" s="2452" customFormat="1" x14ac:dyDescent="0.35">
      <c r="A90" s="2448"/>
      <c r="B90" s="2450"/>
      <c r="C90" s="2451"/>
      <c r="D90" s="2451"/>
      <c r="E90" s="2451"/>
      <c r="F90" s="2451"/>
      <c r="G90" s="2451"/>
      <c r="H90" s="2403"/>
      <c r="I90" s="2450"/>
      <c r="J90" s="2449"/>
    </row>
  </sheetData>
  <sheetProtection algorithmName="SHA-512" hashValue="IwUMyQe0RS6edD4w8dgVIsr0OkIF8y7A2u0J/MHJGbTu/9QpNE80lADOnf0ut3jMs/uAJa9ySPvw3TW7LVNRCw==" saltValue="P0F6+pWyJRCxxVQ9HnAFMQ==" spinCount="100000" sheet="1" objects="1" scenarios="1"/>
  <mergeCells count="69">
    <mergeCell ref="C68:G68"/>
    <mergeCell ref="C57:G57"/>
    <mergeCell ref="C9:G9"/>
    <mergeCell ref="C69:G69"/>
    <mergeCell ref="C58:G58"/>
    <mergeCell ref="C59:G59"/>
    <mergeCell ref="C60:G60"/>
    <mergeCell ref="C61:G61"/>
    <mergeCell ref="B62:J62"/>
    <mergeCell ref="C63:G63"/>
    <mergeCell ref="C64:G64"/>
    <mergeCell ref="B38:J38"/>
    <mergeCell ref="B53:J53"/>
    <mergeCell ref="C54:G54"/>
    <mergeCell ref="C55:G55"/>
    <mergeCell ref="C65:G65"/>
    <mergeCell ref="C66:G66"/>
    <mergeCell ref="C67:G67"/>
    <mergeCell ref="C56:G56"/>
    <mergeCell ref="B45:J45"/>
    <mergeCell ref="C48:G48"/>
    <mergeCell ref="B49:J49"/>
    <mergeCell ref="C50:G50"/>
    <mergeCell ref="B51:J51"/>
    <mergeCell ref="C46:G46"/>
    <mergeCell ref="C47:G47"/>
    <mergeCell ref="C52:G52"/>
    <mergeCell ref="C32:G32"/>
    <mergeCell ref="C39:G39"/>
    <mergeCell ref="C40:G40"/>
    <mergeCell ref="C41:G41"/>
    <mergeCell ref="C42:G42"/>
    <mergeCell ref="C17:G17"/>
    <mergeCell ref="C18:G18"/>
    <mergeCell ref="C19:G19"/>
    <mergeCell ref="C20:G20"/>
    <mergeCell ref="C26:G26"/>
    <mergeCell ref="C44:G44"/>
    <mergeCell ref="C33:G33"/>
    <mergeCell ref="B22:J22"/>
    <mergeCell ref="C23:G23"/>
    <mergeCell ref="C24:G24"/>
    <mergeCell ref="C25:G25"/>
    <mergeCell ref="C31:G31"/>
    <mergeCell ref="C27:G27"/>
    <mergeCell ref="C28:G28"/>
    <mergeCell ref="B29:J29"/>
    <mergeCell ref="C30:G30"/>
    <mergeCell ref="C43:G43"/>
    <mergeCell ref="C34:G34"/>
    <mergeCell ref="B35:J35"/>
    <mergeCell ref="C36:G36"/>
    <mergeCell ref="C37:G37"/>
    <mergeCell ref="C16:G16"/>
    <mergeCell ref="B70:J70"/>
    <mergeCell ref="C71:G71"/>
    <mergeCell ref="C8:G8"/>
    <mergeCell ref="C4:G4"/>
    <mergeCell ref="H4:J4"/>
    <mergeCell ref="B5:J5"/>
    <mergeCell ref="C6:G6"/>
    <mergeCell ref="C7:G7"/>
    <mergeCell ref="C21:G21"/>
    <mergeCell ref="C10:G10"/>
    <mergeCell ref="C11:G11"/>
    <mergeCell ref="C12:G12"/>
    <mergeCell ref="C13:G13"/>
    <mergeCell ref="C14:G14"/>
    <mergeCell ref="B15:J15"/>
  </mergeCells>
  <conditionalFormatting sqref="H65">
    <cfRule type="cellIs" dxfId="10" priority="4" stopIfTrue="1" operator="lessThan">
      <formula>0</formula>
    </cfRule>
  </conditionalFormatting>
  <conditionalFormatting sqref="H65">
    <cfRule type="cellIs" dxfId="9" priority="3" stopIfTrue="1" operator="lessThan">
      <formula>0</formula>
    </cfRule>
  </conditionalFormatting>
  <conditionalFormatting sqref="H63">
    <cfRule type="cellIs" dxfId="8" priority="2" stopIfTrue="1" operator="lessThan">
      <formula>0</formula>
    </cfRule>
  </conditionalFormatting>
  <conditionalFormatting sqref="H63">
    <cfRule type="cellIs" dxfId="7" priority="1" stopIfTrue="1" operator="lessThan">
      <formula>0</formula>
    </cfRule>
  </conditionalFormatting>
  <dataValidations count="20">
    <dataValidation type="list" allowBlank="1" showInputMessage="1" showErrorMessage="1" sqref="H40:H44">
      <formula1>"Surpassed relevant materiality threshold,Yes [Modelled even not surpassing materility threshold],No [Not modeled and not surpassed materiality threshold]"</formula1>
    </dataValidation>
    <dataValidation type="list" allowBlank="1" showInputMessage="1" showErrorMessage="1" sqref="H11">
      <formula1>"Yes, No (the account size is not considered as a factor to identify core balances)"</formula1>
    </dataValidation>
    <dataValidation type="list" allowBlank="1" showInputMessage="1" showErrorMessage="1" sqref="H9">
      <formula1>"Yes, No (short historical period)"</formula1>
    </dataValidation>
    <dataValidation type="list" allowBlank="1" showInputMessage="1" showErrorMessage="1" sqref="I9">
      <formula1>"Yes (conservative adjustement applied), No"</formula1>
    </dataValidation>
    <dataValidation type="list" allowBlank="1" showInputMessage="1" showErrorMessage="1" sqref="I12">
      <formula1>"Internet Only or normal account, Type of remuneration,  Level of Transactional account"</formula1>
    </dataValidation>
    <dataValidation type="list" allowBlank="1" showInputMessage="1" showErrorMessage="1" sqref="H14">
      <formula1>"Bullet, Widespread"</formula1>
    </dataValidation>
    <dataValidation type="list" allowBlank="1" showInputMessage="1" showErrorMessage="1" sqref="H16:H21 H23:H24 H28 H30:H31 H7:H8 H10 H12">
      <formula1>"Yes, No"</formula1>
    </dataValidation>
    <dataValidation type="list" allowBlank="1" showInputMessage="1" showErrorMessage="1" sqref="H6">
      <formula1>"Time series (Basel/EBA), Replication Portfolio, Economical model,Expert Judgement, Other "</formula1>
    </dataValidation>
    <dataValidation type="list" allowBlank="1" showInputMessage="1" showErrorMessage="1" sqref="H26">
      <formula1>"Only calculation of empirical prepayment rates, a model for the estimate the rate of prepayments"</formula1>
    </dataValidation>
    <dataValidation type="list" allowBlank="1" showInputMessage="1" showErrorMessage="1" sqref="H25">
      <formula1>"Treatment as Automatic IR Option, Treatment as a Behavioral Option"</formula1>
    </dataValidation>
    <dataValidation type="list" allowBlank="1" showInputMessage="1" showErrorMessage="1" sqref="H33">
      <formula1>"Only NII, Both NII and EVE, NII,EVE and FV instruments"</formula1>
    </dataValidation>
    <dataValidation type="list" allowBlank="1" showInputMessage="1" showErrorMessage="1" sqref="H46">
      <formula1>"Reduced Duration Gap , Increased Duration Gap ,not material change in the Duration Gap"</formula1>
    </dataValidation>
    <dataValidation type="list" allowBlank="1" showInputMessage="1" showErrorMessage="1" sqref="H47">
      <formula1>"Reduce Duration Gap , Increase Duration Gap ,no future change intended in the Duration Gap"</formula1>
    </dataValidation>
    <dataValidation type="list" allowBlank="1" showInputMessage="1" showErrorMessage="1" sqref="H63">
      <formula1>"Yes , No , Partially"</formula1>
    </dataValidation>
    <dataValidation type="list" allowBlank="1" showInputMessage="1" showErrorMessage="1" sqref="H48">
      <formula1>"Yes, No, Not applicable"</formula1>
    </dataValidation>
    <dataValidation type="list" allowBlank="1" showInputMessage="1" showErrorMessage="1" sqref="H65">
      <formula1>"Only MV changes, Only MV changes and NII, MV changes, NII and EVE"</formula1>
    </dataValidation>
    <dataValidation type="list" allowBlank="1" showInputMessage="1" showErrorMessage="1" sqref="I8">
      <formula1>"Core,Non-Core"</formula1>
    </dataValidation>
    <dataValidation type="list" allowBlank="1" showInputMessage="1" showErrorMessage="1" sqref="I16">
      <formula1>"Non core volumes, Non core average repricing, Both,Other"</formula1>
    </dataValidation>
    <dataValidation type="list" allowBlank="1" showInputMessage="1" showErrorMessage="1" sqref="H34 H68:H69 H50 H54:H61 I63 H64 I40:I44 H71 J71">
      <formula1>"Yes,No"</formula1>
    </dataValidation>
    <dataValidation type="list" allowBlank="1" showInputMessage="1" showErrorMessage="1" sqref="H36:H37">
      <formula1>"Interbank secured, interbank unsecured overnight, interbank unsecured term, government yield curve, product specific curve,other"</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28191"/>
  </sheetPr>
  <dimension ref="A1:J832"/>
  <sheetViews>
    <sheetView zoomScale="75" zoomScaleNormal="75" workbookViewId="0">
      <pane ySplit="1" topLeftCell="A2" activePane="bottomLeft" state="frozen"/>
      <selection pane="bottomLeft"/>
    </sheetView>
  </sheetViews>
  <sheetFormatPr defaultColWidth="0" defaultRowHeight="0" customHeight="1" zeroHeight="1" x14ac:dyDescent="0.35"/>
  <cols>
    <col min="1" max="1" width="1.6640625" style="259" customWidth="1"/>
    <col min="2" max="2" width="60.6640625" style="85" customWidth="1"/>
    <col min="3" max="8" width="18.6640625" style="85" customWidth="1"/>
    <col min="9" max="9" width="40.6640625" style="85" customWidth="1"/>
    <col min="10" max="10" width="1.6640625" style="279" customWidth="1"/>
    <col min="11" max="16384" width="11.44140625" hidden="1"/>
  </cols>
  <sheetData>
    <row r="1" spans="1:10" ht="30" customHeight="1" x14ac:dyDescent="0.65">
      <c r="A1" s="913" t="s">
        <v>1836</v>
      </c>
      <c r="B1" s="882"/>
      <c r="C1" s="882"/>
      <c r="D1" s="882"/>
      <c r="E1" s="882"/>
      <c r="F1" s="882"/>
      <c r="G1" s="882"/>
      <c r="H1" s="882"/>
      <c r="I1" s="882"/>
      <c r="J1" s="1269"/>
    </row>
    <row r="2" spans="1:10" ht="30" customHeight="1" x14ac:dyDescent="0.45">
      <c r="A2" s="1270" t="s">
        <v>1837</v>
      </c>
    </row>
    <row r="3" spans="1:10" ht="15" customHeight="1" x14ac:dyDescent="0.35"/>
    <row r="4" spans="1:10" ht="15" customHeight="1" x14ac:dyDescent="0.35">
      <c r="B4" s="683" t="s">
        <v>1838</v>
      </c>
      <c r="C4" s="1271">
        <v>4</v>
      </c>
      <c r="D4" s="1271">
        <v>6</v>
      </c>
      <c r="E4" s="1709">
        <v>1</v>
      </c>
      <c r="F4" s="1710">
        <v>0</v>
      </c>
      <c r="J4" s="1272"/>
    </row>
    <row r="5" spans="1:10" ht="15" customHeight="1" x14ac:dyDescent="0.35"/>
    <row r="6" spans="1:10" ht="45" customHeight="1" x14ac:dyDescent="0.45">
      <c r="A6" s="536" t="s">
        <v>1839</v>
      </c>
      <c r="B6" s="1273"/>
      <c r="C6" s="887"/>
      <c r="D6" s="887"/>
      <c r="E6" s="887"/>
      <c r="F6" s="887"/>
      <c r="G6" s="887"/>
      <c r="H6" s="887"/>
      <c r="I6" s="887"/>
      <c r="J6" s="1274"/>
    </row>
    <row r="7" spans="1:10" ht="45" customHeight="1" x14ac:dyDescent="0.35">
      <c r="A7" s="269" t="s">
        <v>1840</v>
      </c>
      <c r="B7" s="106"/>
      <c r="C7" s="106"/>
      <c r="D7" s="59"/>
      <c r="E7" s="59"/>
      <c r="F7" s="107"/>
    </row>
    <row r="8" spans="1:10" ht="15" customHeight="1" x14ac:dyDescent="0.35">
      <c r="B8" s="480" t="s">
        <v>1841</v>
      </c>
      <c r="C8" s="464"/>
      <c r="D8" s="464"/>
      <c r="E8" s="464"/>
      <c r="F8" s="478" t="s">
        <v>18</v>
      </c>
    </row>
    <row r="9" spans="1:10" ht="15" customHeight="1" x14ac:dyDescent="0.35">
      <c r="B9" s="1140" t="s">
        <v>1842</v>
      </c>
      <c r="C9" s="101"/>
      <c r="D9" s="101"/>
      <c r="E9" s="101"/>
      <c r="F9" s="479" t="s">
        <v>18</v>
      </c>
    </row>
    <row r="10" spans="1:10" ht="45" customHeight="1" x14ac:dyDescent="0.35">
      <c r="A10" s="269" t="s">
        <v>1843</v>
      </c>
      <c r="B10" s="665"/>
      <c r="C10" s="1275"/>
      <c r="D10" s="1276"/>
      <c r="E10" s="1276"/>
      <c r="F10" s="1277"/>
    </row>
    <row r="11" spans="1:10" ht="30" customHeight="1" x14ac:dyDescent="0.35">
      <c r="B11" s="3124" t="s">
        <v>1844</v>
      </c>
      <c r="C11" s="3124"/>
      <c r="D11" s="3124"/>
      <c r="E11" s="3431"/>
      <c r="F11" s="478" t="s">
        <v>18</v>
      </c>
    </row>
    <row r="12" spans="1:10" ht="30" customHeight="1" x14ac:dyDescent="0.35">
      <c r="B12" s="2556" t="s">
        <v>1845</v>
      </c>
      <c r="C12" s="2556"/>
      <c r="D12" s="2556"/>
      <c r="E12" s="3432"/>
      <c r="F12" s="1711" t="s">
        <v>18</v>
      </c>
    </row>
    <row r="13" spans="1:10" ht="30" customHeight="1" x14ac:dyDescent="0.35">
      <c r="B13" s="218" t="s">
        <v>1846</v>
      </c>
      <c r="C13" s="101"/>
      <c r="D13" s="101"/>
      <c r="E13" s="101"/>
      <c r="F13" s="479" t="s">
        <v>1847</v>
      </c>
    </row>
    <row r="14" spans="1:10" ht="15" customHeight="1" x14ac:dyDescent="0.45">
      <c r="A14" s="1278"/>
      <c r="B14" s="1279"/>
      <c r="C14" s="1280"/>
      <c r="D14" s="1280"/>
      <c r="E14" s="1280"/>
      <c r="F14" s="1280"/>
      <c r="G14" s="368"/>
      <c r="H14" s="368"/>
      <c r="I14" s="368"/>
      <c r="J14" s="875"/>
    </row>
    <row r="15" spans="1:10" ht="45" customHeight="1" x14ac:dyDescent="0.45">
      <c r="A15" s="264" t="s">
        <v>1848</v>
      </c>
      <c r="B15" s="261"/>
      <c r="C15" s="262"/>
      <c r="D15" s="262"/>
      <c r="E15" s="262"/>
      <c r="F15" s="262"/>
      <c r="G15" s="262"/>
      <c r="H15" s="262"/>
      <c r="I15" s="262"/>
      <c r="J15" s="1281"/>
    </row>
    <row r="16" spans="1:10" ht="45" customHeight="1" x14ac:dyDescent="0.35">
      <c r="A16" s="269" t="s">
        <v>1849</v>
      </c>
      <c r="B16" s="106"/>
      <c r="C16" s="106"/>
      <c r="D16" s="59"/>
      <c r="E16" s="59"/>
      <c r="F16" s="1558"/>
    </row>
    <row r="17" spans="1:9" ht="15" customHeight="1" x14ac:dyDescent="0.35">
      <c r="B17" s="3440"/>
      <c r="C17" s="3440"/>
      <c r="D17" s="3440"/>
      <c r="E17" s="3440"/>
      <c r="F17" s="2636" t="s">
        <v>640</v>
      </c>
      <c r="G17" s="2636"/>
      <c r="H17" s="2636"/>
      <c r="I17" s="1559"/>
    </row>
    <row r="18" spans="1:9" ht="30" customHeight="1" x14ac:dyDescent="0.35">
      <c r="B18" s="3119"/>
      <c r="C18" s="3119"/>
      <c r="D18" s="3119"/>
      <c r="E18" s="3119"/>
      <c r="F18" s="466" t="s">
        <v>595</v>
      </c>
      <c r="G18" s="928" t="s">
        <v>596</v>
      </c>
      <c r="H18" s="923" t="s">
        <v>598</v>
      </c>
      <c r="I18" s="1492"/>
    </row>
    <row r="19" spans="1:9" ht="15" customHeight="1" x14ac:dyDescent="0.35">
      <c r="B19" s="1700" t="str">
        <f>NSFR!B53</f>
        <v>RSF from central bank assets; of which:</v>
      </c>
      <c r="C19" s="1222"/>
      <c r="D19" s="1222"/>
      <c r="E19" s="1222"/>
      <c r="F19" s="469"/>
      <c r="G19" s="470"/>
      <c r="H19" s="471"/>
      <c r="I19" s="1492"/>
    </row>
    <row r="20" spans="1:9" ht="15" customHeight="1" x14ac:dyDescent="0.35">
      <c r="A20" s="264"/>
      <c r="B20" s="113" t="str">
        <f>NSFR!B54</f>
        <v>Coins and banknotes</v>
      </c>
      <c r="C20" s="37"/>
      <c r="D20" s="37"/>
      <c r="E20" s="37"/>
      <c r="F20" s="472">
        <v>0</v>
      </c>
      <c r="G20" s="14"/>
      <c r="H20" s="26"/>
      <c r="I20" s="262"/>
    </row>
    <row r="21" spans="1:9" ht="15" customHeight="1" x14ac:dyDescent="0.35">
      <c r="A21" s="264"/>
      <c r="B21" s="113" t="str">
        <f>NSFR!B55</f>
        <v>Total central bank reserves</v>
      </c>
      <c r="C21" s="390"/>
      <c r="D21" s="390"/>
      <c r="E21" s="390"/>
      <c r="F21" s="472">
        <v>0</v>
      </c>
      <c r="G21" s="472">
        <v>0</v>
      </c>
      <c r="H21" s="467">
        <v>0</v>
      </c>
      <c r="I21" s="262"/>
    </row>
    <row r="22" spans="1:9" ht="15" customHeight="1" x14ac:dyDescent="0.35">
      <c r="A22" s="264"/>
      <c r="B22" s="112" t="str">
        <f>NSFR!B56</f>
        <v xml:space="preserve">Of which are required central bank reserves </v>
      </c>
      <c r="C22" s="390"/>
      <c r="D22" s="390"/>
      <c r="E22" s="390"/>
      <c r="F22" s="472">
        <v>0</v>
      </c>
      <c r="G22" s="472">
        <v>0</v>
      </c>
      <c r="H22" s="467">
        <v>0</v>
      </c>
      <c r="I22" s="262"/>
    </row>
    <row r="23" spans="1:9" ht="15" hidden="1" customHeight="1" x14ac:dyDescent="0.35">
      <c r="A23" s="264"/>
      <c r="B23" s="74"/>
      <c r="C23" s="74"/>
      <c r="D23" s="74"/>
      <c r="E23" s="74"/>
      <c r="F23" s="25"/>
      <c r="G23" s="14"/>
      <c r="H23" s="26"/>
      <c r="I23" s="262"/>
    </row>
    <row r="24" spans="1:9" ht="15" hidden="1" customHeight="1" x14ac:dyDescent="0.35">
      <c r="A24" s="264"/>
      <c r="B24" s="74"/>
      <c r="C24" s="74"/>
      <c r="D24" s="74"/>
      <c r="E24" s="74"/>
      <c r="F24" s="25"/>
      <c r="G24" s="14"/>
      <c r="H24" s="26"/>
      <c r="I24" s="262"/>
    </row>
    <row r="25" spans="1:9" ht="45" customHeight="1" x14ac:dyDescent="0.35">
      <c r="A25" s="264"/>
      <c r="B25" s="3079" t="str">
        <f>NSFR!B59</f>
        <v>Securities held where the institution has an offsetting reverse repurchase transaction when the security on each transaction has the same unique identifier (eg ISIN number or CUSIP) and such securities are reported on the balance sheet of the reporting institutions; of which:</v>
      </c>
      <c r="C25" s="3079"/>
      <c r="D25" s="3079"/>
      <c r="E25" s="3079"/>
      <c r="F25" s="25"/>
      <c r="G25" s="14"/>
      <c r="H25" s="26"/>
      <c r="I25" s="262"/>
    </row>
    <row r="26" spans="1:9" ht="15" customHeight="1" x14ac:dyDescent="0.35">
      <c r="A26" s="264"/>
      <c r="B26" s="113" t="str">
        <f>NSFR!B60</f>
        <v>Unencumbered</v>
      </c>
      <c r="C26" s="390"/>
      <c r="D26" s="390"/>
      <c r="E26" s="390"/>
      <c r="F26" s="472">
        <v>0</v>
      </c>
      <c r="G26" s="472">
        <v>0</v>
      </c>
      <c r="H26" s="467">
        <v>0</v>
      </c>
      <c r="I26" s="262"/>
    </row>
    <row r="27" spans="1:9" ht="15" customHeight="1" x14ac:dyDescent="0.35">
      <c r="A27" s="264"/>
      <c r="B27" s="113" t="str">
        <f>NSFR!B61</f>
        <v>Remaining period of encumbrance &lt; 6 months</v>
      </c>
      <c r="C27" s="390"/>
      <c r="D27" s="390"/>
      <c r="E27" s="390"/>
      <c r="F27" s="472">
        <v>0</v>
      </c>
      <c r="G27" s="472">
        <v>0</v>
      </c>
      <c r="H27" s="467">
        <v>0</v>
      </c>
      <c r="I27" s="262"/>
    </row>
    <row r="28" spans="1:9" ht="15" customHeight="1" x14ac:dyDescent="0.35">
      <c r="A28" s="264"/>
      <c r="B28" s="113" t="str">
        <f>NSFR!B62</f>
        <v>Remaining period of encumbrance ≥ 6 months to &lt; 1 year</v>
      </c>
      <c r="C28" s="390"/>
      <c r="D28" s="390"/>
      <c r="E28" s="390"/>
      <c r="F28" s="472">
        <v>0</v>
      </c>
      <c r="G28" s="472">
        <v>0</v>
      </c>
      <c r="H28" s="467">
        <v>0</v>
      </c>
      <c r="I28" s="262"/>
    </row>
    <row r="29" spans="1:9" ht="15" customHeight="1" x14ac:dyDescent="0.35">
      <c r="A29" s="264"/>
      <c r="B29" s="113" t="str">
        <f>NSFR!B63</f>
        <v>Remaining period of encumbrance ≥ 1 year</v>
      </c>
      <c r="C29" s="390"/>
      <c r="D29" s="390"/>
      <c r="E29" s="390"/>
      <c r="F29" s="472">
        <v>0</v>
      </c>
      <c r="G29" s="472">
        <v>0</v>
      </c>
      <c r="H29" s="467">
        <v>0</v>
      </c>
      <c r="I29" s="262"/>
    </row>
    <row r="30" spans="1:9" ht="15" customHeight="1" x14ac:dyDescent="0.35">
      <c r="A30" s="264"/>
      <c r="B30" s="1565" t="str">
        <f>NSFR!B64</f>
        <v>Encumbered for exceptional CB liquidity operations, ≥ 6 months to &lt; 1 year</v>
      </c>
      <c r="C30" s="390"/>
      <c r="D30" s="390"/>
      <c r="E30" s="390"/>
      <c r="F30" s="472"/>
      <c r="G30" s="472"/>
      <c r="H30" s="467"/>
      <c r="I30" s="262"/>
    </row>
    <row r="31" spans="1:9" ht="15" customHeight="1" x14ac:dyDescent="0.35">
      <c r="A31" s="264"/>
      <c r="B31" s="1565" t="str">
        <f>NSFR!B65</f>
        <v>Encumbered for exceptional CB liquidity operations, ≥ 1 year</v>
      </c>
      <c r="C31" s="390"/>
      <c r="D31" s="390"/>
      <c r="E31" s="390"/>
      <c r="F31" s="472"/>
      <c r="G31" s="472"/>
      <c r="H31" s="467"/>
      <c r="I31" s="262"/>
    </row>
    <row r="32" spans="1:9" ht="15" hidden="1" customHeight="1" x14ac:dyDescent="0.35">
      <c r="A32" s="264"/>
      <c r="B32" s="74"/>
      <c r="C32" s="74"/>
      <c r="D32" s="74"/>
      <c r="E32" s="74"/>
      <c r="F32" s="25"/>
      <c r="G32" s="14"/>
      <c r="H32" s="26"/>
      <c r="I32" s="262"/>
    </row>
    <row r="33" spans="1:9" ht="15" hidden="1" customHeight="1" x14ac:dyDescent="0.35">
      <c r="A33" s="264"/>
      <c r="B33" s="74"/>
      <c r="C33" s="74"/>
      <c r="D33" s="74"/>
      <c r="E33" s="74"/>
      <c r="F33" s="25"/>
      <c r="G33" s="14"/>
      <c r="H33" s="26"/>
      <c r="I33" s="262"/>
    </row>
    <row r="34" spans="1:9" ht="30" customHeight="1" x14ac:dyDescent="0.35">
      <c r="A34" s="264"/>
      <c r="B34" s="3079" t="str">
        <f>NSFR!B68</f>
        <v>Deposits held at other banks which are members of the same cooperative network of banks and which are subject to national discretion according to NSF30.14FN7</v>
      </c>
      <c r="C34" s="3079"/>
      <c r="D34" s="3079"/>
      <c r="E34" s="3079"/>
      <c r="F34" s="472"/>
      <c r="G34" s="472"/>
      <c r="H34" s="467">
        <v>1</v>
      </c>
      <c r="I34" s="262"/>
    </row>
    <row r="35" spans="1:9" ht="15" hidden="1" customHeight="1" x14ac:dyDescent="0.35">
      <c r="A35" s="264"/>
      <c r="B35" s="14"/>
      <c r="C35" s="74"/>
      <c r="D35" s="74"/>
      <c r="E35" s="74"/>
      <c r="F35" s="25"/>
      <c r="G35" s="14"/>
      <c r="H35" s="26"/>
      <c r="I35" s="262"/>
    </row>
    <row r="36" spans="1:9" ht="15" customHeight="1" x14ac:dyDescent="0.35">
      <c r="A36" s="264"/>
      <c r="B36" s="1714" t="str">
        <f>NSFR!B69</f>
        <v>Other deposits at other banks which are members of the same cooperative network of banks; of which:</v>
      </c>
      <c r="C36" s="390"/>
      <c r="D36" s="390"/>
      <c r="E36" s="390"/>
      <c r="F36" s="25"/>
      <c r="G36" s="14"/>
      <c r="H36" s="26"/>
      <c r="I36" s="262"/>
    </row>
    <row r="37" spans="1:9" ht="15" customHeight="1" x14ac:dyDescent="0.35">
      <c r="A37" s="264"/>
      <c r="B37" s="113" t="str">
        <f>NSFR!B70</f>
        <v>Unencumbered</v>
      </c>
      <c r="C37" s="390"/>
      <c r="D37" s="390"/>
      <c r="E37" s="390"/>
      <c r="F37" s="472">
        <v>0.15</v>
      </c>
      <c r="G37" s="472">
        <v>0.5</v>
      </c>
      <c r="H37" s="467">
        <v>1</v>
      </c>
      <c r="I37" s="262"/>
    </row>
    <row r="38" spans="1:9" ht="15" customHeight="1" x14ac:dyDescent="0.35">
      <c r="A38" s="264"/>
      <c r="B38" s="112" t="str">
        <f>NSFR!B71</f>
        <v>Remaining period of encumbrance &lt; 6 months</v>
      </c>
      <c r="C38" s="390"/>
      <c r="D38" s="390"/>
      <c r="E38" s="390"/>
      <c r="F38" s="472">
        <v>0.15</v>
      </c>
      <c r="G38" s="472">
        <v>0.5</v>
      </c>
      <c r="H38" s="467">
        <v>1</v>
      </c>
      <c r="I38" s="262"/>
    </row>
    <row r="39" spans="1:9" ht="15" customHeight="1" x14ac:dyDescent="0.35">
      <c r="A39" s="264"/>
      <c r="B39" s="112" t="str">
        <f>NSFR!B72</f>
        <v>Remaining period of encumbrance ≥ 6 months to &lt; 1 year</v>
      </c>
      <c r="C39" s="390"/>
      <c r="D39" s="390"/>
      <c r="E39" s="390"/>
      <c r="F39" s="472">
        <v>0.5</v>
      </c>
      <c r="G39" s="472">
        <v>0.5</v>
      </c>
      <c r="H39" s="467">
        <v>1</v>
      </c>
      <c r="I39" s="262"/>
    </row>
    <row r="40" spans="1:9" ht="15" customHeight="1" x14ac:dyDescent="0.35">
      <c r="A40" s="264"/>
      <c r="B40" s="112" t="str">
        <f>NSFR!B73</f>
        <v>Remaining period of encumbrance ≥ 1 year</v>
      </c>
      <c r="C40" s="390"/>
      <c r="D40" s="390"/>
      <c r="E40" s="390"/>
      <c r="F40" s="472">
        <v>1</v>
      </c>
      <c r="G40" s="472">
        <v>1</v>
      </c>
      <c r="H40" s="467">
        <v>1</v>
      </c>
      <c r="I40" s="262"/>
    </row>
    <row r="41" spans="1:9" ht="15" hidden="1" customHeight="1" x14ac:dyDescent="0.35">
      <c r="A41" s="264"/>
      <c r="B41" s="74"/>
      <c r="C41" s="74"/>
      <c r="D41" s="74"/>
      <c r="E41" s="74"/>
      <c r="F41" s="25"/>
      <c r="G41" s="14"/>
      <c r="H41" s="26"/>
      <c r="I41" s="262"/>
    </row>
    <row r="42" spans="1:9" ht="15" hidden="1" customHeight="1" x14ac:dyDescent="0.35">
      <c r="A42" s="264"/>
      <c r="B42" s="74"/>
      <c r="C42" s="74"/>
      <c r="D42" s="74"/>
      <c r="E42" s="74"/>
      <c r="F42" s="25"/>
      <c r="G42" s="14"/>
      <c r="H42" s="26"/>
      <c r="I42" s="262"/>
    </row>
    <row r="43" spans="1:9" ht="15" customHeight="1" x14ac:dyDescent="0.35">
      <c r="A43" s="264"/>
      <c r="B43" s="47" t="str">
        <f>NSFR!B76</f>
        <v>Loans to financial institutions, of which:</v>
      </c>
      <c r="C43" s="390"/>
      <c r="D43" s="390"/>
      <c r="E43" s="390"/>
      <c r="F43" s="25"/>
      <c r="G43" s="14"/>
      <c r="H43" s="26"/>
      <c r="I43" s="262"/>
    </row>
    <row r="44" spans="1:9" ht="15" customHeight="1" x14ac:dyDescent="0.35">
      <c r="A44" s="264"/>
      <c r="B44" s="2651" t="str">
        <f>NSFR!B77</f>
        <v>Loans to financial institutions secured by Level 1 collateral and where the bank has the ability to freely rehypothecate the received collateral for the life of the loan; of which:</v>
      </c>
      <c r="C44" s="2651"/>
      <c r="D44" s="2651"/>
      <c r="E44" s="2652"/>
      <c r="F44" s="25"/>
      <c r="G44" s="14"/>
      <c r="H44" s="26"/>
      <c r="I44" s="262"/>
    </row>
    <row r="45" spans="1:9" ht="15" customHeight="1" x14ac:dyDescent="0.35">
      <c r="A45" s="264"/>
      <c r="B45" s="112" t="str">
        <f>NSFR!B78</f>
        <v>Unencumbered</v>
      </c>
      <c r="C45" s="390"/>
      <c r="D45" s="390"/>
      <c r="E45" s="390"/>
      <c r="F45" s="472">
        <v>0.1</v>
      </c>
      <c r="G45" s="472">
        <v>0.5</v>
      </c>
      <c r="H45" s="467">
        <v>1</v>
      </c>
      <c r="I45" s="262"/>
    </row>
    <row r="46" spans="1:9" ht="15" customHeight="1" x14ac:dyDescent="0.35">
      <c r="A46" s="264"/>
      <c r="B46" s="112" t="str">
        <f>NSFR!B79</f>
        <v>Remaining period of encumbrance &lt; 6 months</v>
      </c>
      <c r="C46" s="390"/>
      <c r="D46" s="390"/>
      <c r="E46" s="390"/>
      <c r="F46" s="472">
        <v>0.1</v>
      </c>
      <c r="G46" s="472">
        <v>0.5</v>
      </c>
      <c r="H46" s="467">
        <v>1</v>
      </c>
      <c r="I46" s="262"/>
    </row>
    <row r="47" spans="1:9" ht="15" customHeight="1" x14ac:dyDescent="0.35">
      <c r="A47" s="264"/>
      <c r="B47" s="112" t="str">
        <f>NSFR!B80</f>
        <v>Remaining period of encumbrance ≥ 6 months to &lt; 1 year</v>
      </c>
      <c r="C47" s="390"/>
      <c r="D47" s="390"/>
      <c r="E47" s="390"/>
      <c r="F47" s="472">
        <v>0.5</v>
      </c>
      <c r="G47" s="472">
        <v>0.5</v>
      </c>
      <c r="H47" s="467">
        <v>1</v>
      </c>
      <c r="I47" s="262"/>
    </row>
    <row r="48" spans="1:9" ht="15" customHeight="1" x14ac:dyDescent="0.35">
      <c r="A48" s="264"/>
      <c r="B48" s="112" t="str">
        <f>NSFR!B81</f>
        <v>Remaining period of encumbrance ≥ 1 year</v>
      </c>
      <c r="C48" s="390"/>
      <c r="D48" s="390"/>
      <c r="E48" s="390"/>
      <c r="F48" s="472">
        <v>1</v>
      </c>
      <c r="G48" s="472">
        <v>1</v>
      </c>
      <c r="H48" s="467">
        <v>1</v>
      </c>
      <c r="I48" s="262"/>
    </row>
    <row r="49" spans="1:9" ht="15" customHeight="1" x14ac:dyDescent="0.35">
      <c r="A49" s="264"/>
      <c r="B49" s="1713" t="str">
        <f>NSFR!B82</f>
        <v>Encumbered for exceptional CB liquidity operations, ≥ 6 months to &lt; 1 year</v>
      </c>
      <c r="C49" s="390"/>
      <c r="D49" s="390"/>
      <c r="E49" s="390"/>
      <c r="F49" s="472"/>
      <c r="G49" s="472"/>
      <c r="H49" s="467"/>
      <c r="I49" s="262"/>
    </row>
    <row r="50" spans="1:9" ht="15" customHeight="1" x14ac:dyDescent="0.35">
      <c r="A50" s="264"/>
      <c r="B50" s="1713" t="str">
        <f>NSFR!B83</f>
        <v>Encumbered for exceptional CB liquidity operations, ≥ 1 year</v>
      </c>
      <c r="C50" s="390"/>
      <c r="D50" s="390"/>
      <c r="E50" s="390"/>
      <c r="F50" s="472"/>
      <c r="G50" s="472"/>
      <c r="H50" s="467"/>
      <c r="I50" s="262"/>
    </row>
    <row r="51" spans="1:9" ht="15" hidden="1" customHeight="1" x14ac:dyDescent="0.35">
      <c r="A51" s="264"/>
      <c r="B51" s="74"/>
      <c r="C51" s="74"/>
      <c r="D51" s="74"/>
      <c r="E51" s="74"/>
      <c r="F51" s="25"/>
      <c r="G51" s="14"/>
      <c r="H51" s="26"/>
      <c r="I51" s="262"/>
    </row>
    <row r="52" spans="1:9" ht="15" hidden="1" customHeight="1" x14ac:dyDescent="0.35">
      <c r="A52" s="264"/>
      <c r="B52" s="74"/>
      <c r="C52" s="74"/>
      <c r="D52" s="74"/>
      <c r="E52" s="74"/>
      <c r="F52" s="25"/>
      <c r="G52" s="14"/>
      <c r="H52" s="26"/>
      <c r="I52" s="262"/>
    </row>
    <row r="53" spans="1:9" ht="15" customHeight="1" x14ac:dyDescent="0.35">
      <c r="A53" s="264"/>
      <c r="B53" s="2651" t="str">
        <f>NSFR!B86</f>
        <v>All other secured loans to financial institutions, of which:</v>
      </c>
      <c r="C53" s="2651"/>
      <c r="D53" s="2651"/>
      <c r="E53" s="2652"/>
      <c r="F53" s="25"/>
      <c r="G53" s="14"/>
      <c r="H53" s="26"/>
      <c r="I53" s="262"/>
    </row>
    <row r="54" spans="1:9" ht="15" customHeight="1" x14ac:dyDescent="0.35">
      <c r="A54" s="264"/>
      <c r="B54" s="112" t="str">
        <f>NSFR!B87</f>
        <v>Unencumbered</v>
      </c>
      <c r="C54" s="390"/>
      <c r="D54" s="390"/>
      <c r="E54" s="390"/>
      <c r="F54" s="472">
        <v>0.15</v>
      </c>
      <c r="G54" s="472">
        <v>0.5</v>
      </c>
      <c r="H54" s="467">
        <v>1</v>
      </c>
      <c r="I54" s="262"/>
    </row>
    <row r="55" spans="1:9" ht="15" customHeight="1" x14ac:dyDescent="0.35">
      <c r="A55" s="264"/>
      <c r="B55" s="112" t="str">
        <f>NSFR!B88</f>
        <v>Remaining period of encumbrance &lt; 6 months</v>
      </c>
      <c r="C55" s="390"/>
      <c r="D55" s="390"/>
      <c r="E55" s="390"/>
      <c r="F55" s="472">
        <v>0.15</v>
      </c>
      <c r="G55" s="472">
        <v>0.5</v>
      </c>
      <c r="H55" s="467">
        <v>1</v>
      </c>
      <c r="I55" s="262"/>
    </row>
    <row r="56" spans="1:9" ht="15" customHeight="1" x14ac:dyDescent="0.35">
      <c r="A56" s="264"/>
      <c r="B56" s="112" t="str">
        <f>NSFR!B89</f>
        <v>Remaining period of encumbrance ≥ 6 months to &lt; 1 year</v>
      </c>
      <c r="C56" s="390"/>
      <c r="D56" s="390"/>
      <c r="E56" s="390"/>
      <c r="F56" s="472">
        <v>0.5</v>
      </c>
      <c r="G56" s="472">
        <v>0.5</v>
      </c>
      <c r="H56" s="467">
        <v>1</v>
      </c>
      <c r="I56" s="262"/>
    </row>
    <row r="57" spans="1:9" ht="15" customHeight="1" x14ac:dyDescent="0.35">
      <c r="A57" s="264"/>
      <c r="B57" s="112" t="str">
        <f>NSFR!B90</f>
        <v>Remaining period of encumbrance ≥ 1 year</v>
      </c>
      <c r="C57" s="390"/>
      <c r="D57" s="390"/>
      <c r="E57" s="390"/>
      <c r="F57" s="472">
        <v>1</v>
      </c>
      <c r="G57" s="472">
        <v>1</v>
      </c>
      <c r="H57" s="467">
        <v>1</v>
      </c>
      <c r="I57" s="262"/>
    </row>
    <row r="58" spans="1:9" ht="15" customHeight="1" x14ac:dyDescent="0.35">
      <c r="A58" s="264"/>
      <c r="B58" s="1713" t="str">
        <f>NSFR!B91</f>
        <v>Encumbered for exceptional CB liquidity operations, ≥ 6 months to &lt; 1 year</v>
      </c>
      <c r="C58" s="390"/>
      <c r="D58" s="390"/>
      <c r="E58" s="390"/>
      <c r="F58" s="472"/>
      <c r="G58" s="472"/>
      <c r="H58" s="467"/>
      <c r="I58" s="262"/>
    </row>
    <row r="59" spans="1:9" ht="15" customHeight="1" x14ac:dyDescent="0.35">
      <c r="A59" s="264"/>
      <c r="B59" s="1713" t="str">
        <f>NSFR!B92</f>
        <v>Encumbered for exceptional CB liquidity operations, ≥ 1 year</v>
      </c>
      <c r="C59" s="390"/>
      <c r="D59" s="390"/>
      <c r="E59" s="390"/>
      <c r="F59" s="472"/>
      <c r="G59" s="472"/>
      <c r="H59" s="467"/>
      <c r="I59" s="262"/>
    </row>
    <row r="60" spans="1:9" ht="15" hidden="1" customHeight="1" x14ac:dyDescent="0.35">
      <c r="A60" s="264"/>
      <c r="B60" s="74"/>
      <c r="C60" s="74"/>
      <c r="D60" s="74"/>
      <c r="E60" s="74"/>
      <c r="F60" s="25"/>
      <c r="G60" s="14"/>
      <c r="H60" s="26"/>
      <c r="I60" s="262"/>
    </row>
    <row r="61" spans="1:9" ht="15" hidden="1" customHeight="1" x14ac:dyDescent="0.35">
      <c r="A61" s="264"/>
      <c r="B61" s="74"/>
      <c r="C61" s="74"/>
      <c r="D61" s="74"/>
      <c r="E61" s="74"/>
      <c r="F61" s="25"/>
      <c r="G61" s="14"/>
      <c r="H61" s="26"/>
      <c r="I61" s="262"/>
    </row>
    <row r="62" spans="1:9" ht="15" customHeight="1" x14ac:dyDescent="0.35">
      <c r="A62" s="264"/>
      <c r="B62" s="2651" t="str">
        <f>NSFR!B95</f>
        <v>Unsecured loans to financial institutions, of which:</v>
      </c>
      <c r="C62" s="2651"/>
      <c r="D62" s="2651"/>
      <c r="E62" s="2652"/>
      <c r="F62" s="25"/>
      <c r="G62" s="14"/>
      <c r="H62" s="26"/>
      <c r="I62" s="262"/>
    </row>
    <row r="63" spans="1:9" ht="15" customHeight="1" x14ac:dyDescent="0.35">
      <c r="A63" s="264"/>
      <c r="B63" s="112" t="str">
        <f>NSFR!B96</f>
        <v>Unencumbered</v>
      </c>
      <c r="C63" s="390"/>
      <c r="D63" s="390"/>
      <c r="E63" s="390"/>
      <c r="F63" s="472">
        <v>0.15</v>
      </c>
      <c r="G63" s="472">
        <v>0.5</v>
      </c>
      <c r="H63" s="467">
        <v>1</v>
      </c>
      <c r="I63" s="262"/>
    </row>
    <row r="64" spans="1:9" ht="15" customHeight="1" x14ac:dyDescent="0.35">
      <c r="A64" s="264"/>
      <c r="B64" s="112" t="str">
        <f>NSFR!B97</f>
        <v>Remaining period of encumbrance &lt; 6 months</v>
      </c>
      <c r="C64" s="390"/>
      <c r="D64" s="390"/>
      <c r="E64" s="390"/>
      <c r="F64" s="472">
        <v>0.15</v>
      </c>
      <c r="G64" s="472">
        <v>0.5</v>
      </c>
      <c r="H64" s="467">
        <v>1</v>
      </c>
      <c r="I64" s="262"/>
    </row>
    <row r="65" spans="1:9" ht="15" customHeight="1" x14ac:dyDescent="0.35">
      <c r="A65" s="264"/>
      <c r="B65" s="112" t="str">
        <f>NSFR!B98</f>
        <v>Remaining period of encumbrance ≥ 6 months to &lt; 1 year</v>
      </c>
      <c r="C65" s="390"/>
      <c r="D65" s="390"/>
      <c r="E65" s="390"/>
      <c r="F65" s="472">
        <v>0.5</v>
      </c>
      <c r="G65" s="472">
        <v>0.5</v>
      </c>
      <c r="H65" s="467">
        <v>1</v>
      </c>
      <c r="I65" s="262"/>
    </row>
    <row r="66" spans="1:9" ht="15" customHeight="1" x14ac:dyDescent="0.35">
      <c r="A66" s="264"/>
      <c r="B66" s="112" t="str">
        <f>NSFR!B99</f>
        <v>Remaining period of encumbrance ≥ 1 year</v>
      </c>
      <c r="C66" s="390"/>
      <c r="D66" s="390"/>
      <c r="E66" s="390"/>
      <c r="F66" s="472">
        <v>1</v>
      </c>
      <c r="G66" s="472">
        <v>1</v>
      </c>
      <c r="H66" s="467">
        <v>1</v>
      </c>
      <c r="I66" s="262"/>
    </row>
    <row r="67" spans="1:9" ht="15" customHeight="1" x14ac:dyDescent="0.35">
      <c r="A67" s="264"/>
      <c r="B67" s="1713" t="str">
        <f>NSFR!B100</f>
        <v>Encumbered for exceptional CB liquidity operations, ≥ 6 months to &lt; 1 year</v>
      </c>
      <c r="C67" s="390"/>
      <c r="D67" s="390"/>
      <c r="E67" s="390"/>
      <c r="F67" s="472"/>
      <c r="G67" s="472"/>
      <c r="H67" s="467"/>
      <c r="I67" s="262"/>
    </row>
    <row r="68" spans="1:9" ht="15" customHeight="1" x14ac:dyDescent="0.35">
      <c r="A68" s="264"/>
      <c r="B68" s="1713" t="str">
        <f>NSFR!B101</f>
        <v>Encumbered for exceptional CB liquidity operations, ≥ 1 year</v>
      </c>
      <c r="C68" s="390"/>
      <c r="D68" s="390"/>
      <c r="E68" s="390"/>
      <c r="F68" s="472"/>
      <c r="G68" s="472"/>
      <c r="H68" s="467"/>
      <c r="I68" s="262"/>
    </row>
    <row r="69" spans="1:9" ht="15" hidden="1" customHeight="1" x14ac:dyDescent="0.35">
      <c r="A69" s="264"/>
      <c r="B69" s="74"/>
      <c r="C69" s="74"/>
      <c r="D69" s="74"/>
      <c r="E69" s="74"/>
      <c r="F69" s="25"/>
      <c r="G69" s="14"/>
      <c r="H69" s="26"/>
      <c r="I69" s="262"/>
    </row>
    <row r="70" spans="1:9" ht="15" hidden="1" customHeight="1" x14ac:dyDescent="0.35">
      <c r="A70" s="264"/>
      <c r="B70" s="74"/>
      <c r="C70" s="74"/>
      <c r="D70" s="74"/>
      <c r="E70" s="74"/>
      <c r="F70" s="25"/>
      <c r="G70" s="14"/>
      <c r="H70" s="26"/>
      <c r="I70" s="262"/>
    </row>
    <row r="71" spans="1:9" ht="15" hidden="1" customHeight="1" x14ac:dyDescent="0.35">
      <c r="A71" s="264"/>
      <c r="B71" s="74"/>
      <c r="C71" s="74"/>
      <c r="D71" s="74"/>
      <c r="E71" s="74"/>
      <c r="F71" s="25"/>
      <c r="G71" s="14"/>
      <c r="H71" s="26"/>
      <c r="I71" s="262"/>
    </row>
    <row r="72" spans="1:9" ht="15" hidden="1" customHeight="1" x14ac:dyDescent="0.35">
      <c r="A72" s="264"/>
      <c r="B72" s="74"/>
      <c r="C72" s="74"/>
      <c r="D72" s="74"/>
      <c r="E72" s="74"/>
      <c r="F72" s="25"/>
      <c r="G72" s="14"/>
      <c r="H72" s="26"/>
      <c r="I72" s="262"/>
    </row>
    <row r="73" spans="1:9" ht="15" hidden="1" customHeight="1" x14ac:dyDescent="0.35">
      <c r="A73" s="264"/>
      <c r="B73" s="74"/>
      <c r="C73" s="74"/>
      <c r="D73" s="74"/>
      <c r="E73" s="74"/>
      <c r="F73" s="25"/>
      <c r="G73" s="14"/>
      <c r="H73" s="26"/>
      <c r="I73" s="262"/>
    </row>
    <row r="74" spans="1:9" ht="15" hidden="1" customHeight="1" x14ac:dyDescent="0.35">
      <c r="A74" s="264"/>
      <c r="B74" s="74"/>
      <c r="C74" s="74"/>
      <c r="D74" s="74"/>
      <c r="E74" s="74"/>
      <c r="F74" s="25"/>
      <c r="G74" s="14"/>
      <c r="H74" s="26"/>
      <c r="I74" s="262"/>
    </row>
    <row r="75" spans="1:9" ht="15" hidden="1" customHeight="1" x14ac:dyDescent="0.35">
      <c r="A75" s="264"/>
      <c r="B75" s="74"/>
      <c r="C75" s="74"/>
      <c r="D75" s="74"/>
      <c r="E75" s="74"/>
      <c r="F75" s="25"/>
      <c r="G75" s="14"/>
      <c r="H75" s="26"/>
      <c r="I75" s="262"/>
    </row>
    <row r="76" spans="1:9" ht="15" hidden="1" customHeight="1" x14ac:dyDescent="0.35">
      <c r="A76" s="264"/>
      <c r="B76" s="74"/>
      <c r="C76" s="74"/>
      <c r="D76" s="74"/>
      <c r="E76" s="74"/>
      <c r="F76" s="25"/>
      <c r="G76" s="14"/>
      <c r="H76" s="26"/>
      <c r="I76" s="262"/>
    </row>
    <row r="77" spans="1:9" ht="15" hidden="1" customHeight="1" x14ac:dyDescent="0.35">
      <c r="A77" s="264"/>
      <c r="B77" s="74"/>
      <c r="C77" s="74"/>
      <c r="D77" s="74"/>
      <c r="E77" s="74"/>
      <c r="F77" s="25"/>
      <c r="G77" s="14"/>
      <c r="H77" s="26"/>
      <c r="I77" s="262"/>
    </row>
    <row r="78" spans="1:9" ht="15" hidden="1" customHeight="1" x14ac:dyDescent="0.35">
      <c r="A78" s="264"/>
      <c r="B78" s="74"/>
      <c r="C78" s="74"/>
      <c r="D78" s="74"/>
      <c r="E78" s="74"/>
      <c r="F78" s="25"/>
      <c r="G78" s="14"/>
      <c r="H78" s="26"/>
      <c r="I78" s="262"/>
    </row>
    <row r="79" spans="1:9" ht="15" hidden="1" customHeight="1" x14ac:dyDescent="0.35">
      <c r="A79" s="264"/>
      <c r="B79" s="74"/>
      <c r="C79" s="74"/>
      <c r="D79" s="74"/>
      <c r="E79" s="74"/>
      <c r="F79" s="25"/>
      <c r="G79" s="14"/>
      <c r="H79" s="26"/>
      <c r="I79" s="262"/>
    </row>
    <row r="80" spans="1:9" ht="15" customHeight="1" x14ac:dyDescent="0.35">
      <c r="A80" s="264"/>
      <c r="B80" s="47" t="str">
        <f>NSFR!B113</f>
        <v>Securities eligible as HQLA; of which:</v>
      </c>
      <c r="C80" s="390"/>
      <c r="D80" s="390"/>
      <c r="E80" s="390"/>
      <c r="F80" s="25"/>
      <c r="G80" s="14"/>
      <c r="H80" s="26"/>
      <c r="I80" s="262"/>
    </row>
    <row r="81" spans="1:9" ht="15" customHeight="1" x14ac:dyDescent="0.35">
      <c r="A81" s="264"/>
      <c r="B81" s="113" t="str">
        <f>NSFR!B114</f>
        <v>Securities eligible as Level 1 HQLA for the LCR, of which:</v>
      </c>
      <c r="C81" s="390"/>
      <c r="D81" s="390"/>
      <c r="E81" s="390"/>
      <c r="F81" s="25"/>
      <c r="G81" s="14"/>
      <c r="H81" s="26"/>
      <c r="I81" s="262"/>
    </row>
    <row r="82" spans="1:9" ht="15" customHeight="1" x14ac:dyDescent="0.35">
      <c r="A82" s="264"/>
      <c r="B82" s="112" t="str">
        <f>NSFR!B115</f>
        <v>Unencumbered</v>
      </c>
      <c r="C82" s="390"/>
      <c r="D82" s="390"/>
      <c r="E82" s="390"/>
      <c r="F82" s="472">
        <v>0.05</v>
      </c>
      <c r="G82" s="472">
        <v>0.05</v>
      </c>
      <c r="H82" s="467">
        <v>0.05</v>
      </c>
      <c r="I82" s="262"/>
    </row>
    <row r="83" spans="1:9" ht="15" customHeight="1" x14ac:dyDescent="0.35">
      <c r="A83" s="264"/>
      <c r="B83" s="112" t="str">
        <f>NSFR!B116</f>
        <v>Remaining period of encumbrance &lt; 6 months</v>
      </c>
      <c r="C83" s="390"/>
      <c r="D83" s="390"/>
      <c r="E83" s="390"/>
      <c r="F83" s="472">
        <v>0.05</v>
      </c>
      <c r="G83" s="472">
        <v>0.05</v>
      </c>
      <c r="H83" s="467">
        <v>0.05</v>
      </c>
      <c r="I83" s="262"/>
    </row>
    <row r="84" spans="1:9" ht="15" customHeight="1" x14ac:dyDescent="0.35">
      <c r="A84" s="264"/>
      <c r="B84" s="112" t="str">
        <f>NSFR!B117</f>
        <v>Remaining period of encumbrance ≥ 6 months to &lt; 1 year</v>
      </c>
      <c r="C84" s="390"/>
      <c r="D84" s="390"/>
      <c r="E84" s="390"/>
      <c r="F84" s="472">
        <v>0.5</v>
      </c>
      <c r="G84" s="472">
        <v>0.5</v>
      </c>
      <c r="H84" s="467">
        <v>0.5</v>
      </c>
      <c r="I84" s="262"/>
    </row>
    <row r="85" spans="1:9" ht="15" customHeight="1" x14ac:dyDescent="0.35">
      <c r="A85" s="264"/>
      <c r="B85" s="112" t="str">
        <f>NSFR!B118</f>
        <v>Remaining period of encumbrance ≥ 1 year</v>
      </c>
      <c r="C85" s="390"/>
      <c r="D85" s="390"/>
      <c r="E85" s="390"/>
      <c r="F85" s="472">
        <v>1</v>
      </c>
      <c r="G85" s="472">
        <v>1</v>
      </c>
      <c r="H85" s="467">
        <v>1</v>
      </c>
      <c r="I85" s="262"/>
    </row>
    <row r="86" spans="1:9" ht="15" customHeight="1" x14ac:dyDescent="0.35">
      <c r="A86" s="264"/>
      <c r="B86" s="1713" t="str">
        <f>NSFR!B119</f>
        <v>Encumbered for exceptional CB liquidity operations, ≥ 6 months to &lt; 1 year</v>
      </c>
      <c r="C86" s="390"/>
      <c r="D86" s="390"/>
      <c r="E86" s="390"/>
      <c r="F86" s="472"/>
      <c r="G86" s="472"/>
      <c r="H86" s="467"/>
      <c r="I86" s="262"/>
    </row>
    <row r="87" spans="1:9" ht="15" customHeight="1" x14ac:dyDescent="0.35">
      <c r="A87" s="264"/>
      <c r="B87" s="1713" t="str">
        <f>NSFR!B120</f>
        <v>Encumbered for exceptional CB liquidity operations, ≥ 1 year</v>
      </c>
      <c r="C87" s="390"/>
      <c r="D87" s="390"/>
      <c r="E87" s="390"/>
      <c r="F87" s="472"/>
      <c r="G87" s="472"/>
      <c r="H87" s="467"/>
      <c r="I87" s="262"/>
    </row>
    <row r="88" spans="1:9" ht="15" hidden="1" customHeight="1" x14ac:dyDescent="0.35">
      <c r="A88" s="264"/>
      <c r="B88" s="74"/>
      <c r="C88" s="74"/>
      <c r="D88" s="74"/>
      <c r="E88" s="74"/>
      <c r="F88" s="25"/>
      <c r="G88" s="14"/>
      <c r="H88" s="26"/>
      <c r="I88" s="262"/>
    </row>
    <row r="89" spans="1:9" ht="15" hidden="1" customHeight="1" x14ac:dyDescent="0.35">
      <c r="A89" s="264"/>
      <c r="B89" s="74"/>
      <c r="C89" s="74"/>
      <c r="D89" s="74"/>
      <c r="E89" s="74"/>
      <c r="F89" s="25"/>
      <c r="G89" s="14"/>
      <c r="H89" s="26"/>
      <c r="I89" s="262"/>
    </row>
    <row r="90" spans="1:9" ht="15" customHeight="1" x14ac:dyDescent="0.35">
      <c r="A90" s="264"/>
      <c r="B90" s="113" t="str">
        <f>NSFR!B123</f>
        <v>Securities eligible for Level 2A HQLA for the LCR, of which:</v>
      </c>
      <c r="C90" s="390"/>
      <c r="D90" s="390"/>
      <c r="E90" s="390"/>
      <c r="F90" s="25"/>
      <c r="G90" s="14"/>
      <c r="H90" s="26"/>
      <c r="I90" s="262"/>
    </row>
    <row r="91" spans="1:9" ht="15" customHeight="1" x14ac:dyDescent="0.35">
      <c r="A91" s="264"/>
      <c r="B91" s="112" t="str">
        <f>NSFR!B124</f>
        <v>Unencumbered</v>
      </c>
      <c r="C91" s="390"/>
      <c r="D91" s="390"/>
      <c r="E91" s="390"/>
      <c r="F91" s="472">
        <v>0.15</v>
      </c>
      <c r="G91" s="472">
        <v>0.15</v>
      </c>
      <c r="H91" s="467">
        <v>0.15</v>
      </c>
      <c r="I91" s="262"/>
    </row>
    <row r="92" spans="1:9" ht="15" customHeight="1" x14ac:dyDescent="0.35">
      <c r="A92" s="264"/>
      <c r="B92" s="112" t="str">
        <f>NSFR!B125</f>
        <v>Remaining period of encumbrance &lt; 6 months</v>
      </c>
      <c r="C92" s="390"/>
      <c r="D92" s="390"/>
      <c r="E92" s="390"/>
      <c r="F92" s="472">
        <v>0.15</v>
      </c>
      <c r="G92" s="472">
        <v>0.15</v>
      </c>
      <c r="H92" s="467">
        <v>0.15</v>
      </c>
      <c r="I92" s="262"/>
    </row>
    <row r="93" spans="1:9" ht="15" customHeight="1" x14ac:dyDescent="0.35">
      <c r="A93" s="264"/>
      <c r="B93" s="112" t="str">
        <f>NSFR!B126</f>
        <v>Remaining period of encumbrance ≥ 6 months to &lt; 1 year</v>
      </c>
      <c r="C93" s="390"/>
      <c r="D93" s="390"/>
      <c r="E93" s="390"/>
      <c r="F93" s="472">
        <v>0.5</v>
      </c>
      <c r="G93" s="472">
        <v>0.5</v>
      </c>
      <c r="H93" s="467">
        <v>0.5</v>
      </c>
      <c r="I93" s="262"/>
    </row>
    <row r="94" spans="1:9" ht="15" customHeight="1" x14ac:dyDescent="0.35">
      <c r="A94" s="264"/>
      <c r="B94" s="1713" t="str">
        <f>NSFR!B127</f>
        <v>Remaining period of encumbrance ≥ 1 year</v>
      </c>
      <c r="C94" s="390"/>
      <c r="D94" s="390"/>
      <c r="E94" s="390"/>
      <c r="F94" s="472">
        <v>1</v>
      </c>
      <c r="G94" s="472">
        <v>1</v>
      </c>
      <c r="H94" s="467">
        <v>1</v>
      </c>
      <c r="I94" s="262"/>
    </row>
    <row r="95" spans="1:9" ht="15" customHeight="1" x14ac:dyDescent="0.35">
      <c r="A95" s="264"/>
      <c r="B95" s="1713" t="str">
        <f>NSFR!B128</f>
        <v>Encumbered for exceptional CB liquidity operations, ≥ 6 months to &lt; 1 year</v>
      </c>
      <c r="C95" s="390"/>
      <c r="D95" s="390"/>
      <c r="E95" s="390"/>
      <c r="F95" s="472"/>
      <c r="G95" s="472"/>
      <c r="H95" s="467"/>
      <c r="I95" s="262"/>
    </row>
    <row r="96" spans="1:9" ht="15" customHeight="1" x14ac:dyDescent="0.35">
      <c r="A96" s="264"/>
      <c r="B96" s="1713" t="str">
        <f>NSFR!B129</f>
        <v>Encumbered for exceptional CB liquidity operations, ≥ 1 year</v>
      </c>
      <c r="C96" s="390"/>
      <c r="D96" s="390"/>
      <c r="E96" s="390"/>
      <c r="F96" s="472"/>
      <c r="G96" s="472"/>
      <c r="H96" s="467"/>
      <c r="I96" s="262"/>
    </row>
    <row r="97" spans="1:9" ht="15" hidden="1" customHeight="1" x14ac:dyDescent="0.35">
      <c r="A97" s="264"/>
      <c r="B97" s="74"/>
      <c r="C97" s="74"/>
      <c r="D97" s="74"/>
      <c r="E97" s="74"/>
      <c r="F97" s="25"/>
      <c r="G97" s="14"/>
      <c r="H97" s="26"/>
      <c r="I97" s="262"/>
    </row>
    <row r="98" spans="1:9" ht="15" hidden="1" customHeight="1" x14ac:dyDescent="0.35">
      <c r="A98" s="264"/>
      <c r="B98" s="74"/>
      <c r="C98" s="74"/>
      <c r="D98" s="74"/>
      <c r="E98" s="74"/>
      <c r="F98" s="25"/>
      <c r="G98" s="14"/>
      <c r="H98" s="26"/>
      <c r="I98" s="262"/>
    </row>
    <row r="99" spans="1:9" ht="15" customHeight="1" x14ac:dyDescent="0.35">
      <c r="A99" s="264"/>
      <c r="B99" s="113" t="str">
        <f>NSFR!B132</f>
        <v xml:space="preserve">Securities eligible for Level 2B HQLA for the LCR, of which: </v>
      </c>
      <c r="C99" s="390"/>
      <c r="D99" s="390"/>
      <c r="E99" s="390"/>
      <c r="F99" s="25"/>
      <c r="G99" s="14"/>
      <c r="H99" s="26"/>
      <c r="I99" s="262"/>
    </row>
    <row r="100" spans="1:9" ht="15" customHeight="1" x14ac:dyDescent="0.35">
      <c r="A100" s="264"/>
      <c r="B100" s="112" t="str">
        <f>NSFR!B133</f>
        <v>Unencumbered</v>
      </c>
      <c r="C100" s="390"/>
      <c r="D100" s="390"/>
      <c r="E100" s="390"/>
      <c r="F100" s="472">
        <v>0.5</v>
      </c>
      <c r="G100" s="472">
        <v>0.5</v>
      </c>
      <c r="H100" s="467">
        <v>0.5</v>
      </c>
      <c r="I100" s="262"/>
    </row>
    <row r="101" spans="1:9" ht="15" customHeight="1" x14ac:dyDescent="0.35">
      <c r="A101" s="264"/>
      <c r="B101" s="112" t="str">
        <f>NSFR!B134</f>
        <v>Remaining period of encumbrance &lt; 6 months</v>
      </c>
      <c r="C101" s="390"/>
      <c r="D101" s="390"/>
      <c r="E101" s="390"/>
      <c r="F101" s="472">
        <v>0.5</v>
      </c>
      <c r="G101" s="472">
        <v>0.5</v>
      </c>
      <c r="H101" s="467">
        <v>0.5</v>
      </c>
      <c r="I101" s="262"/>
    </row>
    <row r="102" spans="1:9" ht="15" customHeight="1" x14ac:dyDescent="0.35">
      <c r="A102" s="264"/>
      <c r="B102" s="112" t="str">
        <f>NSFR!B135</f>
        <v>Remaining period of encumbrance ≥ 6 months to &lt; 1 year</v>
      </c>
      <c r="C102" s="390"/>
      <c r="D102" s="390"/>
      <c r="E102" s="390"/>
      <c r="F102" s="472">
        <v>0.5</v>
      </c>
      <c r="G102" s="472">
        <v>0.5</v>
      </c>
      <c r="H102" s="467">
        <v>0.5</v>
      </c>
      <c r="I102" s="262"/>
    </row>
    <row r="103" spans="1:9" ht="15" customHeight="1" x14ac:dyDescent="0.35">
      <c r="A103" s="264"/>
      <c r="B103" s="112" t="str">
        <f>NSFR!B136</f>
        <v>Remaining period of encumbrance ≥ 1 year</v>
      </c>
      <c r="C103" s="390"/>
      <c r="D103" s="390"/>
      <c r="E103" s="390"/>
      <c r="F103" s="472">
        <v>1</v>
      </c>
      <c r="G103" s="472">
        <v>1</v>
      </c>
      <c r="H103" s="467">
        <v>1</v>
      </c>
      <c r="I103" s="262"/>
    </row>
    <row r="104" spans="1:9" ht="15" customHeight="1" x14ac:dyDescent="0.35">
      <c r="A104" s="264"/>
      <c r="B104" s="1713" t="str">
        <f>NSFR!B137</f>
        <v>Encumbered for exceptional CB liquidity operations, ≥ 6 months to &lt; 1 year</v>
      </c>
      <c r="C104" s="390"/>
      <c r="D104" s="390"/>
      <c r="E104" s="390"/>
      <c r="F104" s="472"/>
      <c r="G104" s="472"/>
      <c r="H104" s="467"/>
      <c r="I104" s="262"/>
    </row>
    <row r="105" spans="1:9" ht="15" customHeight="1" x14ac:dyDescent="0.35">
      <c r="A105" s="264"/>
      <c r="B105" s="1713" t="str">
        <f>NSFR!B138</f>
        <v>Encumbered for exceptional CB liquidity operations, ≥ 1 year</v>
      </c>
      <c r="C105" s="390"/>
      <c r="D105" s="390"/>
      <c r="E105" s="390"/>
      <c r="F105" s="472"/>
      <c r="G105" s="472"/>
      <c r="H105" s="467"/>
      <c r="I105" s="262"/>
    </row>
    <row r="106" spans="1:9" ht="15" hidden="1" customHeight="1" x14ac:dyDescent="0.35">
      <c r="A106" s="264"/>
      <c r="B106" s="74"/>
      <c r="C106" s="74"/>
      <c r="D106" s="74"/>
      <c r="E106" s="74"/>
      <c r="F106" s="25"/>
      <c r="G106" s="14"/>
      <c r="H106" s="26"/>
      <c r="I106" s="262"/>
    </row>
    <row r="107" spans="1:9" ht="15" hidden="1" customHeight="1" x14ac:dyDescent="0.35">
      <c r="A107" s="264"/>
      <c r="B107" s="74"/>
      <c r="C107" s="74"/>
      <c r="D107" s="74"/>
      <c r="E107" s="74"/>
      <c r="F107" s="25"/>
      <c r="G107" s="14"/>
      <c r="H107" s="26"/>
      <c r="I107" s="262"/>
    </row>
    <row r="108" spans="1:9" ht="15" hidden="1" customHeight="1" x14ac:dyDescent="0.35">
      <c r="A108" s="264"/>
      <c r="B108" s="74"/>
      <c r="C108" s="74"/>
      <c r="D108" s="74"/>
      <c r="E108" s="74"/>
      <c r="F108" s="25"/>
      <c r="G108" s="14"/>
      <c r="H108" s="26"/>
      <c r="I108" s="262"/>
    </row>
    <row r="109" spans="1:9" ht="15" hidden="1" customHeight="1" x14ac:dyDescent="0.35">
      <c r="A109" s="264"/>
      <c r="B109" s="74"/>
      <c r="C109" s="74"/>
      <c r="D109" s="74"/>
      <c r="E109" s="74"/>
      <c r="F109" s="25"/>
      <c r="G109" s="14"/>
      <c r="H109" s="26"/>
      <c r="I109" s="262"/>
    </row>
    <row r="110" spans="1:9" ht="15" hidden="1" customHeight="1" x14ac:dyDescent="0.35">
      <c r="A110" s="264"/>
      <c r="B110" s="74"/>
      <c r="C110" s="74"/>
      <c r="D110" s="74"/>
      <c r="E110" s="74"/>
      <c r="F110" s="25"/>
      <c r="G110" s="14"/>
      <c r="H110" s="26"/>
      <c r="I110" s="262"/>
    </row>
    <row r="111" spans="1:9" ht="15" hidden="1" customHeight="1" x14ac:dyDescent="0.35">
      <c r="A111" s="264"/>
      <c r="B111" s="74"/>
      <c r="C111" s="74"/>
      <c r="D111" s="74"/>
      <c r="E111" s="74"/>
      <c r="F111" s="25"/>
      <c r="G111" s="14"/>
      <c r="H111" s="26"/>
      <c r="I111" s="262"/>
    </row>
    <row r="112" spans="1:9" ht="15" hidden="1" customHeight="1" x14ac:dyDescent="0.35">
      <c r="A112" s="264"/>
      <c r="B112" s="74"/>
      <c r="C112" s="74"/>
      <c r="D112" s="74"/>
      <c r="E112" s="74"/>
      <c r="F112" s="25"/>
      <c r="G112" s="14"/>
      <c r="H112" s="26"/>
      <c r="I112" s="262"/>
    </row>
    <row r="113" spans="1:9" ht="15" hidden="1" customHeight="1" x14ac:dyDescent="0.35">
      <c r="A113" s="264"/>
      <c r="B113" s="74"/>
      <c r="C113" s="74"/>
      <c r="D113" s="74"/>
      <c r="E113" s="74"/>
      <c r="F113" s="25"/>
      <c r="G113" s="14"/>
      <c r="H113" s="26"/>
      <c r="I113" s="262"/>
    </row>
    <row r="114" spans="1:9" ht="15" hidden="1" customHeight="1" x14ac:dyDescent="0.35">
      <c r="A114" s="264"/>
      <c r="B114" s="74"/>
      <c r="C114" s="74"/>
      <c r="D114" s="74"/>
      <c r="E114" s="74"/>
      <c r="F114" s="25"/>
      <c r="G114" s="14"/>
      <c r="H114" s="26"/>
      <c r="I114" s="262"/>
    </row>
    <row r="115" spans="1:9" ht="15" hidden="1" customHeight="1" x14ac:dyDescent="0.35">
      <c r="A115" s="264"/>
      <c r="B115" s="74"/>
      <c r="C115" s="74"/>
      <c r="D115" s="74"/>
      <c r="E115" s="74"/>
      <c r="F115" s="25"/>
      <c r="G115" s="14"/>
      <c r="H115" s="26"/>
      <c r="I115" s="262"/>
    </row>
    <row r="116" spans="1:9" ht="15" hidden="1" customHeight="1" x14ac:dyDescent="0.35">
      <c r="A116" s="264"/>
      <c r="B116" s="74"/>
      <c r="C116" s="74"/>
      <c r="D116" s="74"/>
      <c r="E116" s="74"/>
      <c r="F116" s="25"/>
      <c r="G116" s="14"/>
      <c r="H116" s="26"/>
      <c r="I116" s="262"/>
    </row>
    <row r="117" spans="1:9" ht="15" customHeight="1" x14ac:dyDescent="0.35">
      <c r="A117" s="264"/>
      <c r="B117" s="3436" t="str">
        <f>NSFR!B150</f>
        <v>Deposits held at financial institutions for operational purposes; of which:</v>
      </c>
      <c r="C117" s="3436"/>
      <c r="D117" s="3436"/>
      <c r="E117" s="3437"/>
      <c r="F117" s="25"/>
      <c r="G117" s="14"/>
      <c r="H117" s="26"/>
      <c r="I117" s="262"/>
    </row>
    <row r="118" spans="1:9" ht="15" customHeight="1" x14ac:dyDescent="0.35">
      <c r="A118" s="264"/>
      <c r="B118" s="113" t="str">
        <f>NSFR!B151</f>
        <v>Unencumbered</v>
      </c>
      <c r="C118" s="339"/>
      <c r="D118" s="339"/>
      <c r="E118" s="339"/>
      <c r="F118" s="472">
        <v>0.5</v>
      </c>
      <c r="G118" s="472">
        <v>0.5</v>
      </c>
      <c r="H118" s="467">
        <v>1</v>
      </c>
      <c r="I118" s="262"/>
    </row>
    <row r="119" spans="1:9" ht="15" customHeight="1" x14ac:dyDescent="0.35">
      <c r="A119" s="264"/>
      <c r="B119" s="113" t="str">
        <f>NSFR!B152</f>
        <v>Remaining period of encumbrance &lt; 6 months</v>
      </c>
      <c r="C119" s="390"/>
      <c r="D119" s="390"/>
      <c r="E119" s="390"/>
      <c r="F119" s="472">
        <v>0.5</v>
      </c>
      <c r="G119" s="472">
        <v>0.5</v>
      </c>
      <c r="H119" s="467">
        <v>1</v>
      </c>
      <c r="I119" s="262"/>
    </row>
    <row r="120" spans="1:9" ht="15" customHeight="1" x14ac:dyDescent="0.35">
      <c r="A120" s="264"/>
      <c r="B120" s="113" t="str">
        <f>NSFR!B153</f>
        <v>Remaining period of encumbrance ≥ 6 months to &lt; 1 year</v>
      </c>
      <c r="C120" s="390"/>
      <c r="D120" s="390"/>
      <c r="E120" s="390"/>
      <c r="F120" s="472">
        <v>0.5</v>
      </c>
      <c r="G120" s="472">
        <v>0.5</v>
      </c>
      <c r="H120" s="467">
        <v>1</v>
      </c>
      <c r="I120" s="262"/>
    </row>
    <row r="121" spans="1:9" ht="15" customHeight="1" x14ac:dyDescent="0.35">
      <c r="A121" s="264"/>
      <c r="B121" s="113" t="str">
        <f>NSFR!B154</f>
        <v>Remaining period of encumbrance ≥ 1 year</v>
      </c>
      <c r="C121" s="390"/>
      <c r="D121" s="390"/>
      <c r="E121" s="390"/>
      <c r="F121" s="472">
        <v>1</v>
      </c>
      <c r="G121" s="472">
        <v>1</v>
      </c>
      <c r="H121" s="467">
        <v>1</v>
      </c>
      <c r="I121" s="262"/>
    </row>
    <row r="122" spans="1:9" ht="15" customHeight="1" x14ac:dyDescent="0.35">
      <c r="A122" s="264"/>
      <c r="B122" s="1565" t="str">
        <f>NSFR!B155</f>
        <v>Encumbered for exceptional CB liquidity operations, ≥ 6 months to &lt; 1 year</v>
      </c>
      <c r="C122" s="390"/>
      <c r="D122" s="390"/>
      <c r="E122" s="390"/>
      <c r="F122" s="472"/>
      <c r="G122" s="472"/>
      <c r="H122" s="467"/>
      <c r="I122" s="262"/>
    </row>
    <row r="123" spans="1:9" ht="15" customHeight="1" x14ac:dyDescent="0.35">
      <c r="A123" s="264"/>
      <c r="B123" s="1565" t="str">
        <f>NSFR!B156</f>
        <v>Encumbered for exceptional CB liquidity operations, ≥ 1 year</v>
      </c>
      <c r="C123" s="390"/>
      <c r="D123" s="390"/>
      <c r="E123" s="390"/>
      <c r="F123" s="472"/>
      <c r="G123" s="472"/>
      <c r="H123" s="467"/>
      <c r="I123" s="262"/>
    </row>
    <row r="124" spans="1:9" ht="15" hidden="1" customHeight="1" x14ac:dyDescent="0.35">
      <c r="A124" s="264"/>
      <c r="B124" s="74"/>
      <c r="C124" s="74"/>
      <c r="D124" s="74"/>
      <c r="E124" s="74"/>
      <c r="F124" s="25"/>
      <c r="G124" s="14"/>
      <c r="H124" s="26"/>
      <c r="I124" s="262"/>
    </row>
    <row r="125" spans="1:9" ht="15" hidden="1" customHeight="1" x14ac:dyDescent="0.35">
      <c r="A125" s="264"/>
      <c r="B125" s="74"/>
      <c r="C125" s="74"/>
      <c r="D125" s="74"/>
      <c r="E125" s="74"/>
      <c r="F125" s="25"/>
      <c r="G125" s="14"/>
      <c r="H125" s="26"/>
      <c r="I125" s="262"/>
    </row>
    <row r="126" spans="1:9" ht="15" customHeight="1" x14ac:dyDescent="0.35">
      <c r="A126" s="264"/>
      <c r="B126" s="3079" t="str">
        <f>NSFR!B159</f>
        <v>Loans, of which:</v>
      </c>
      <c r="C126" s="3079"/>
      <c r="D126" s="3079"/>
      <c r="E126" s="3443"/>
      <c r="F126" s="25"/>
      <c r="G126" s="14"/>
      <c r="H126" s="26"/>
      <c r="I126" s="262"/>
    </row>
    <row r="127" spans="1:9" ht="15" customHeight="1" x14ac:dyDescent="0.35">
      <c r="A127" s="264"/>
      <c r="B127" s="2651" t="str">
        <f>NSFR!B160</f>
        <v>Loans to non-financial corporate clients; of which:</v>
      </c>
      <c r="C127" s="2651"/>
      <c r="D127" s="2651"/>
      <c r="E127" s="2652"/>
      <c r="F127" s="25"/>
      <c r="G127" s="14"/>
      <c r="H127" s="26"/>
      <c r="I127" s="262"/>
    </row>
    <row r="128" spans="1:9" ht="15" customHeight="1" x14ac:dyDescent="0.35">
      <c r="A128" s="264"/>
      <c r="B128" s="112" t="str">
        <f>NSFR!B161</f>
        <v>Unencumbered</v>
      </c>
      <c r="C128" s="390"/>
      <c r="D128" s="390"/>
      <c r="E128" s="390"/>
      <c r="F128" s="472">
        <v>0.5</v>
      </c>
      <c r="G128" s="472">
        <v>0.5</v>
      </c>
      <c r="H128" s="467"/>
      <c r="I128" s="262"/>
    </row>
    <row r="129" spans="1:9" ht="15" customHeight="1" x14ac:dyDescent="0.35">
      <c r="A129" s="264"/>
      <c r="B129" s="112" t="str">
        <f>NSFR!B162</f>
        <v>Remaining period of encumbrance &lt; 6 months</v>
      </c>
      <c r="C129" s="390"/>
      <c r="D129" s="390"/>
      <c r="E129" s="390"/>
      <c r="F129" s="472">
        <v>0.5</v>
      </c>
      <c r="G129" s="472">
        <v>0.5</v>
      </c>
      <c r="H129" s="467"/>
      <c r="I129" s="262"/>
    </row>
    <row r="130" spans="1:9" ht="15" customHeight="1" x14ac:dyDescent="0.35">
      <c r="A130" s="264"/>
      <c r="B130" s="112" t="str">
        <f>NSFR!B163</f>
        <v>Remaining period of encumbrance ≥ 6 months to &lt; 1 year</v>
      </c>
      <c r="C130" s="390"/>
      <c r="D130" s="390"/>
      <c r="E130" s="390"/>
      <c r="F130" s="472">
        <v>0.5</v>
      </c>
      <c r="G130" s="472">
        <v>0.5</v>
      </c>
      <c r="H130" s="467"/>
      <c r="I130" s="262"/>
    </row>
    <row r="131" spans="1:9" ht="15" customHeight="1" x14ac:dyDescent="0.35">
      <c r="A131" s="264"/>
      <c r="B131" s="112" t="str">
        <f>NSFR!B164</f>
        <v>Remaining period of encumbrance ≥ 1 year</v>
      </c>
      <c r="C131" s="390"/>
      <c r="D131" s="390"/>
      <c r="E131" s="390"/>
      <c r="F131" s="472">
        <v>1</v>
      </c>
      <c r="G131" s="472">
        <v>1</v>
      </c>
      <c r="H131" s="467"/>
      <c r="I131" s="262"/>
    </row>
    <row r="132" spans="1:9" ht="15" customHeight="1" x14ac:dyDescent="0.35">
      <c r="A132" s="264"/>
      <c r="B132" s="1713" t="str">
        <f>NSFR!B165</f>
        <v>Encumbered for exceptional CB liquidity operations, ≥ 6 months to &lt; 1 year</v>
      </c>
      <c r="C132" s="390"/>
      <c r="D132" s="390"/>
      <c r="E132" s="390"/>
      <c r="F132" s="472"/>
      <c r="G132" s="472"/>
      <c r="H132" s="467"/>
      <c r="I132" s="262"/>
    </row>
    <row r="133" spans="1:9" ht="15" customHeight="1" x14ac:dyDescent="0.35">
      <c r="A133" s="264"/>
      <c r="B133" s="1713" t="str">
        <f>NSFR!B166</f>
        <v>Encumbered for exceptional CB liquidity operations, ≥ 1 year</v>
      </c>
      <c r="C133" s="390"/>
      <c r="D133" s="390"/>
      <c r="E133" s="390"/>
      <c r="F133" s="472"/>
      <c r="G133" s="472"/>
      <c r="H133" s="467"/>
      <c r="I133" s="262"/>
    </row>
    <row r="134" spans="1:9" ht="15" hidden="1" customHeight="1" x14ac:dyDescent="0.35">
      <c r="A134" s="264"/>
      <c r="B134" s="74"/>
      <c r="C134" s="74"/>
      <c r="D134" s="74"/>
      <c r="E134" s="74"/>
      <c r="F134" s="25"/>
      <c r="G134" s="14"/>
      <c r="H134" s="26"/>
      <c r="I134" s="262"/>
    </row>
    <row r="135" spans="1:9" ht="15" hidden="1" customHeight="1" x14ac:dyDescent="0.35">
      <c r="A135" s="264"/>
      <c r="B135" s="74"/>
      <c r="C135" s="74"/>
      <c r="D135" s="74"/>
      <c r="E135" s="74"/>
      <c r="F135" s="25"/>
      <c r="G135" s="14"/>
      <c r="H135" s="26"/>
      <c r="I135" s="262"/>
    </row>
    <row r="136" spans="1:9" ht="15" customHeight="1" x14ac:dyDescent="0.35">
      <c r="A136" s="264"/>
      <c r="B136" s="2651" t="str">
        <f>NSFR!B169</f>
        <v>Loans to central banks with a residual maturity of less than one year; of which:</v>
      </c>
      <c r="C136" s="2651"/>
      <c r="D136" s="2651"/>
      <c r="E136" s="2652"/>
      <c r="F136" s="25"/>
      <c r="G136" s="14"/>
      <c r="H136" s="26"/>
      <c r="I136" s="262"/>
    </row>
    <row r="137" spans="1:9" ht="15" customHeight="1" x14ac:dyDescent="0.35">
      <c r="A137" s="264"/>
      <c r="B137" s="112" t="str">
        <f>NSFR!B170</f>
        <v>Unencumbered</v>
      </c>
      <c r="C137" s="390"/>
      <c r="D137" s="390"/>
      <c r="E137" s="390"/>
      <c r="F137" s="472">
        <v>0</v>
      </c>
      <c r="G137" s="472">
        <v>0.5</v>
      </c>
      <c r="H137" s="26"/>
      <c r="I137" s="262"/>
    </row>
    <row r="138" spans="1:9" ht="15" customHeight="1" x14ac:dyDescent="0.35">
      <c r="A138" s="264"/>
      <c r="B138" s="112" t="str">
        <f>NSFR!B171</f>
        <v>Remaining period of encumbrance &lt; 6 months</v>
      </c>
      <c r="C138" s="390"/>
      <c r="D138" s="390"/>
      <c r="E138" s="390"/>
      <c r="F138" s="472">
        <v>0</v>
      </c>
      <c r="G138" s="472">
        <v>0.5</v>
      </c>
      <c r="H138" s="26"/>
      <c r="I138" s="262"/>
    </row>
    <row r="139" spans="1:9" ht="15" customHeight="1" x14ac:dyDescent="0.35">
      <c r="A139" s="264"/>
      <c r="B139" s="112" t="str">
        <f>NSFR!B172</f>
        <v>Remaining period of encumbrance ≥ 6 months to &lt; 1 year</v>
      </c>
      <c r="C139" s="390"/>
      <c r="D139" s="390"/>
      <c r="E139" s="390"/>
      <c r="F139" s="472">
        <v>0.5</v>
      </c>
      <c r="G139" s="472">
        <v>0.5</v>
      </c>
      <c r="H139" s="26"/>
      <c r="I139" s="262"/>
    </row>
    <row r="140" spans="1:9" ht="15" customHeight="1" x14ac:dyDescent="0.35">
      <c r="A140" s="264"/>
      <c r="B140" s="112" t="str">
        <f>NSFR!B173</f>
        <v>Remaining period of encumbrance ≥ 1 year</v>
      </c>
      <c r="C140" s="390"/>
      <c r="D140" s="390"/>
      <c r="E140" s="390"/>
      <c r="F140" s="472">
        <v>1</v>
      </c>
      <c r="G140" s="472">
        <v>1</v>
      </c>
      <c r="H140" s="26"/>
      <c r="I140" s="262"/>
    </row>
    <row r="141" spans="1:9" ht="15" customHeight="1" x14ac:dyDescent="0.35">
      <c r="A141" s="264"/>
      <c r="B141" s="1713" t="str">
        <f>NSFR!B174</f>
        <v>Encumbered for exceptional CB liquidity operations, ≥ 6 months to &lt; 1 year</v>
      </c>
      <c r="C141" s="390"/>
      <c r="D141" s="390"/>
      <c r="E141" s="390"/>
      <c r="F141" s="472"/>
      <c r="G141" s="472"/>
      <c r="H141" s="26"/>
      <c r="I141" s="262"/>
    </row>
    <row r="142" spans="1:9" ht="15" customHeight="1" x14ac:dyDescent="0.35">
      <c r="A142" s="264"/>
      <c r="B142" s="1713" t="str">
        <f>NSFR!B175</f>
        <v>Encumbered for exceptional CB liquidity operations, ≥ 1 year</v>
      </c>
      <c r="C142" s="390"/>
      <c r="D142" s="390"/>
      <c r="E142" s="390"/>
      <c r="F142" s="472"/>
      <c r="G142" s="472"/>
      <c r="H142" s="26"/>
      <c r="I142" s="262"/>
    </row>
    <row r="143" spans="1:9" ht="15" hidden="1" customHeight="1" x14ac:dyDescent="0.35">
      <c r="A143" s="264"/>
      <c r="B143" s="74"/>
      <c r="C143" s="74"/>
      <c r="D143" s="74"/>
      <c r="E143" s="74"/>
      <c r="F143" s="25"/>
      <c r="G143" s="14"/>
      <c r="H143" s="26"/>
      <c r="I143" s="262"/>
    </row>
    <row r="144" spans="1:9" ht="15" hidden="1" customHeight="1" x14ac:dyDescent="0.35">
      <c r="A144" s="264"/>
      <c r="B144" s="74"/>
      <c r="C144" s="74"/>
      <c r="D144" s="74"/>
      <c r="E144" s="74"/>
      <c r="F144" s="25"/>
      <c r="G144" s="14"/>
      <c r="H144" s="26"/>
      <c r="I144" s="262"/>
    </row>
    <row r="145" spans="1:9" ht="15" customHeight="1" x14ac:dyDescent="0.35">
      <c r="A145" s="264"/>
      <c r="B145" s="2651" t="str">
        <f>NSFR!B178</f>
        <v>Loans to sovereigns, PSEs, MDBs and NDBs with a residual maturity of less than one year; of which:</v>
      </c>
      <c r="C145" s="2651"/>
      <c r="D145" s="2651"/>
      <c r="E145" s="2652"/>
      <c r="F145" s="25"/>
      <c r="G145" s="14"/>
      <c r="H145" s="26"/>
      <c r="I145" s="262"/>
    </row>
    <row r="146" spans="1:9" ht="15" customHeight="1" x14ac:dyDescent="0.35">
      <c r="A146" s="264"/>
      <c r="B146" s="112" t="str">
        <f>NSFR!B179</f>
        <v>Unencumbered</v>
      </c>
      <c r="C146" s="390"/>
      <c r="D146" s="390"/>
      <c r="E146" s="390"/>
      <c r="F146" s="472">
        <v>0.5</v>
      </c>
      <c r="G146" s="472">
        <v>0.5</v>
      </c>
      <c r="H146" s="26"/>
      <c r="I146" s="262"/>
    </row>
    <row r="147" spans="1:9" ht="15" customHeight="1" x14ac:dyDescent="0.35">
      <c r="A147" s="264"/>
      <c r="B147" s="112" t="str">
        <f>NSFR!B180</f>
        <v>Remaining period of encumbrance &lt; 6 months</v>
      </c>
      <c r="C147" s="390"/>
      <c r="D147" s="390"/>
      <c r="E147" s="390"/>
      <c r="F147" s="472">
        <v>0.5</v>
      </c>
      <c r="G147" s="472">
        <v>0.5</v>
      </c>
      <c r="H147" s="26"/>
      <c r="I147" s="262"/>
    </row>
    <row r="148" spans="1:9" ht="15" customHeight="1" x14ac:dyDescent="0.35">
      <c r="A148" s="264"/>
      <c r="B148" s="112" t="str">
        <f>NSFR!B181</f>
        <v>Remaining period of encumbrance ≥ 6 months to &lt; 1 year</v>
      </c>
      <c r="C148" s="390"/>
      <c r="D148" s="390"/>
      <c r="E148" s="390"/>
      <c r="F148" s="472">
        <v>0.5</v>
      </c>
      <c r="G148" s="472">
        <v>0.5</v>
      </c>
      <c r="H148" s="26"/>
      <c r="I148" s="262"/>
    </row>
    <row r="149" spans="1:9" ht="15" customHeight="1" x14ac:dyDescent="0.35">
      <c r="A149" s="264"/>
      <c r="B149" s="112" t="str">
        <f>NSFR!B182</f>
        <v>Remaining period of encumbrance ≥ 1 year</v>
      </c>
      <c r="C149" s="390"/>
      <c r="D149" s="390"/>
      <c r="E149" s="390"/>
      <c r="F149" s="472">
        <v>1</v>
      </c>
      <c r="G149" s="472">
        <v>1</v>
      </c>
      <c r="H149" s="26"/>
      <c r="I149" s="262"/>
    </row>
    <row r="150" spans="1:9" ht="15" customHeight="1" x14ac:dyDescent="0.35">
      <c r="A150" s="264"/>
      <c r="B150" s="1713" t="str">
        <f>NSFR!B183</f>
        <v>Encumbered for exceptional CB liquidity operations, ≥ 6 months to &lt; 1 year</v>
      </c>
      <c r="C150" s="390"/>
      <c r="D150" s="390"/>
      <c r="E150" s="390"/>
      <c r="F150" s="472"/>
      <c r="G150" s="472"/>
      <c r="H150" s="26"/>
      <c r="I150" s="262"/>
    </row>
    <row r="151" spans="1:9" ht="15" customHeight="1" x14ac:dyDescent="0.35">
      <c r="A151" s="264"/>
      <c r="B151" s="1713" t="str">
        <f>NSFR!B184</f>
        <v>Encumbered for exceptional CB liquidity operations, ≥ 1 year</v>
      </c>
      <c r="C151" s="390"/>
      <c r="D151" s="390"/>
      <c r="E151" s="390"/>
      <c r="F151" s="472"/>
      <c r="G151" s="472"/>
      <c r="H151" s="26"/>
      <c r="I151" s="262"/>
    </row>
    <row r="152" spans="1:9" ht="15" hidden="1" customHeight="1" x14ac:dyDescent="0.35">
      <c r="A152" s="264"/>
      <c r="B152" s="74"/>
      <c r="C152" s="74"/>
      <c r="D152" s="74"/>
      <c r="E152" s="74"/>
      <c r="F152" s="25"/>
      <c r="G152" s="14"/>
      <c r="H152" s="26"/>
      <c r="I152" s="262"/>
    </row>
    <row r="153" spans="1:9" ht="15" hidden="1" customHeight="1" x14ac:dyDescent="0.35">
      <c r="A153" s="264"/>
      <c r="B153" s="74"/>
      <c r="C153" s="74"/>
      <c r="D153" s="74"/>
      <c r="E153" s="74"/>
      <c r="F153" s="25"/>
      <c r="G153" s="14"/>
      <c r="H153" s="26"/>
      <c r="I153" s="262"/>
    </row>
    <row r="154" spans="1:9" ht="30" customHeight="1" x14ac:dyDescent="0.35">
      <c r="A154" s="264"/>
      <c r="B154" s="3441" t="str">
        <f>NSFR!B187</f>
        <v>Residential mortgages of any maturity that would qualify for the 35% or lower risk weight under the Basel II standardised approach for credit risk; of which:</v>
      </c>
      <c r="C154" s="3441"/>
      <c r="D154" s="3441"/>
      <c r="E154" s="3442"/>
      <c r="F154" s="25"/>
      <c r="G154" s="14"/>
      <c r="H154" s="26"/>
      <c r="I154" s="262"/>
    </row>
    <row r="155" spans="1:9" ht="15" customHeight="1" x14ac:dyDescent="0.35">
      <c r="A155" s="264"/>
      <c r="B155" s="112" t="str">
        <f>NSFR!B188</f>
        <v>Unencumbered</v>
      </c>
      <c r="C155" s="390"/>
      <c r="D155" s="390"/>
      <c r="E155" s="390"/>
      <c r="F155" s="472">
        <v>0.5</v>
      </c>
      <c r="G155" s="472">
        <v>0.5</v>
      </c>
      <c r="H155" s="467">
        <v>0.65</v>
      </c>
      <c r="I155" s="262"/>
    </row>
    <row r="156" spans="1:9" ht="15" customHeight="1" x14ac:dyDescent="0.35">
      <c r="A156" s="264"/>
      <c r="B156" s="112" t="str">
        <f>NSFR!B189</f>
        <v>Remaining period of encumbrance &lt; 6 months</v>
      </c>
      <c r="C156" s="390"/>
      <c r="D156" s="390"/>
      <c r="E156" s="390"/>
      <c r="F156" s="472">
        <v>0.5</v>
      </c>
      <c r="G156" s="472">
        <v>0.5</v>
      </c>
      <c r="H156" s="467">
        <v>0.65</v>
      </c>
      <c r="I156" s="262"/>
    </row>
    <row r="157" spans="1:9" ht="15" customHeight="1" x14ac:dyDescent="0.35">
      <c r="A157" s="264"/>
      <c r="B157" s="112" t="str">
        <f>NSFR!B190</f>
        <v>Remaining period of encumbrance ≥ 6 months to &lt; 1 year</v>
      </c>
      <c r="C157" s="390"/>
      <c r="D157" s="390"/>
      <c r="E157" s="390"/>
      <c r="F157" s="472">
        <v>0.5</v>
      </c>
      <c r="G157" s="472">
        <v>0.5</v>
      </c>
      <c r="H157" s="467">
        <v>0.65</v>
      </c>
      <c r="I157" s="262"/>
    </row>
    <row r="158" spans="1:9" ht="15" customHeight="1" x14ac:dyDescent="0.35">
      <c r="A158" s="264"/>
      <c r="B158" s="112" t="str">
        <f>NSFR!B191</f>
        <v>Remaining period of encumbrance ≥ 1 year</v>
      </c>
      <c r="C158" s="390"/>
      <c r="D158" s="390"/>
      <c r="E158" s="390"/>
      <c r="F158" s="472">
        <v>1</v>
      </c>
      <c r="G158" s="472">
        <v>1</v>
      </c>
      <c r="H158" s="467">
        <v>1</v>
      </c>
      <c r="I158" s="262"/>
    </row>
    <row r="159" spans="1:9" ht="15" customHeight="1" x14ac:dyDescent="0.35">
      <c r="A159" s="264"/>
      <c r="B159" s="1713" t="str">
        <f>NSFR!B192</f>
        <v>Encumbered for exceptional CB liquidity operations, ≥ 6 months to &lt; 1 year</v>
      </c>
      <c r="C159" s="390"/>
      <c r="D159" s="390"/>
      <c r="E159" s="390"/>
      <c r="F159" s="472"/>
      <c r="G159" s="472"/>
      <c r="H159" s="472"/>
      <c r="I159" s="262"/>
    </row>
    <row r="160" spans="1:9" ht="15" customHeight="1" x14ac:dyDescent="0.35">
      <c r="A160" s="264"/>
      <c r="B160" s="1713" t="str">
        <f>NSFR!B193</f>
        <v>Encumbered for exceptional CB liquidity operations, ≥ 1 year</v>
      </c>
      <c r="C160" s="390"/>
      <c r="D160" s="390"/>
      <c r="E160" s="390"/>
      <c r="F160" s="472"/>
      <c r="G160" s="472"/>
      <c r="H160" s="472"/>
      <c r="I160" s="262"/>
    </row>
    <row r="161" spans="1:9" ht="15" hidden="1" customHeight="1" x14ac:dyDescent="0.35">
      <c r="A161" s="264"/>
      <c r="B161" s="74"/>
      <c r="C161" s="74"/>
      <c r="D161" s="74"/>
      <c r="E161" s="74"/>
      <c r="F161" s="25"/>
      <c r="G161" s="14"/>
      <c r="H161" s="26"/>
      <c r="I161" s="262"/>
    </row>
    <row r="162" spans="1:9" ht="15" hidden="1" customHeight="1" x14ac:dyDescent="0.35">
      <c r="A162" s="264"/>
      <c r="B162" s="74"/>
      <c r="C162" s="74"/>
      <c r="D162" s="74"/>
      <c r="E162" s="74"/>
      <c r="F162" s="25"/>
      <c r="G162" s="14"/>
      <c r="H162" s="26"/>
      <c r="I162" s="262"/>
    </row>
    <row r="163" spans="1:9" ht="30" customHeight="1" x14ac:dyDescent="0.35">
      <c r="A163" s="264"/>
      <c r="B163" s="2651" t="str">
        <f>NSFR!B196</f>
        <v>Other loans, excluding loans to financial institutions, with a residual maturity of one year or greater that would qualify for the 35% or lower risk weight under the standardised approach for credit risk; of which:</v>
      </c>
      <c r="C163" s="2651"/>
      <c r="D163" s="2651"/>
      <c r="E163" s="2652"/>
      <c r="F163" s="25"/>
      <c r="G163" s="14"/>
      <c r="H163" s="26"/>
      <c r="I163" s="262"/>
    </row>
    <row r="164" spans="1:9" ht="15" customHeight="1" x14ac:dyDescent="0.35">
      <c r="A164" s="264"/>
      <c r="B164" s="112" t="str">
        <f>NSFR!B197</f>
        <v>Unencumbered</v>
      </c>
      <c r="C164" s="390"/>
      <c r="D164" s="390"/>
      <c r="E164" s="390"/>
      <c r="F164" s="467">
        <v>0</v>
      </c>
      <c r="G164" s="467">
        <v>0</v>
      </c>
      <c r="H164" s="467">
        <v>0.65</v>
      </c>
      <c r="I164" s="262"/>
    </row>
    <row r="165" spans="1:9" ht="15" customHeight="1" x14ac:dyDescent="0.35">
      <c r="A165" s="264"/>
      <c r="B165" s="112" t="str">
        <f>NSFR!B198</f>
        <v>Remaining period of encumbrance &lt; 6 months</v>
      </c>
      <c r="C165" s="390"/>
      <c r="D165" s="390"/>
      <c r="E165" s="390"/>
      <c r="F165" s="467">
        <v>0</v>
      </c>
      <c r="G165" s="467">
        <v>0</v>
      </c>
      <c r="H165" s="467">
        <v>0.65</v>
      </c>
      <c r="I165" s="262"/>
    </row>
    <row r="166" spans="1:9" ht="15" customHeight="1" x14ac:dyDescent="0.35">
      <c r="A166" s="264"/>
      <c r="B166" s="112" t="str">
        <f>NSFR!B199</f>
        <v>Remaining period of encumbrance ≥ 6 months to &lt; 1 year</v>
      </c>
      <c r="C166" s="390"/>
      <c r="D166" s="390"/>
      <c r="E166" s="390"/>
      <c r="F166" s="467">
        <v>0</v>
      </c>
      <c r="G166" s="467">
        <v>0</v>
      </c>
      <c r="H166" s="467">
        <v>0.65</v>
      </c>
      <c r="I166" s="262"/>
    </row>
    <row r="167" spans="1:9" ht="15" customHeight="1" x14ac:dyDescent="0.35">
      <c r="A167" s="264"/>
      <c r="B167" s="112" t="str">
        <f>NSFR!B200</f>
        <v>Remaining period of encumbrance ≥ 1 year</v>
      </c>
      <c r="C167" s="390"/>
      <c r="D167" s="390"/>
      <c r="E167" s="390"/>
      <c r="F167" s="467">
        <v>0</v>
      </c>
      <c r="G167" s="467">
        <v>0</v>
      </c>
      <c r="H167" s="467">
        <v>1</v>
      </c>
      <c r="I167" s="262"/>
    </row>
    <row r="168" spans="1:9" ht="15" customHeight="1" x14ac:dyDescent="0.35">
      <c r="A168" s="264"/>
      <c r="B168" s="1713" t="str">
        <f>NSFR!B201</f>
        <v>Encumbered for exceptional CB liquidity operations, ≥ 6 months to &lt; 1 year</v>
      </c>
      <c r="C168" s="390"/>
      <c r="D168" s="390"/>
      <c r="E168" s="390"/>
      <c r="F168" s="472"/>
      <c r="G168" s="472"/>
      <c r="H168" s="472"/>
      <c r="I168" s="262"/>
    </row>
    <row r="169" spans="1:9" ht="15" customHeight="1" x14ac:dyDescent="0.35">
      <c r="A169" s="264"/>
      <c r="B169" s="1713" t="str">
        <f>NSFR!B202</f>
        <v>Encumbered for exceptional CB liquidity operations, ≥ 1 year</v>
      </c>
      <c r="C169" s="390"/>
      <c r="D169" s="390"/>
      <c r="E169" s="390"/>
      <c r="F169" s="472"/>
      <c r="G169" s="472"/>
      <c r="H169" s="472"/>
      <c r="I169" s="262"/>
    </row>
    <row r="170" spans="1:9" ht="15" hidden="1" customHeight="1" x14ac:dyDescent="0.35">
      <c r="A170" s="264"/>
      <c r="B170" s="74"/>
      <c r="C170" s="74"/>
      <c r="D170" s="74"/>
      <c r="E170" s="74"/>
      <c r="F170" s="25"/>
      <c r="G170" s="14"/>
      <c r="H170" s="26"/>
      <c r="I170" s="262"/>
    </row>
    <row r="171" spans="1:9" ht="15" hidden="1" customHeight="1" x14ac:dyDescent="0.35">
      <c r="A171" s="264"/>
      <c r="B171" s="74"/>
      <c r="C171" s="74"/>
      <c r="D171" s="74"/>
      <c r="E171" s="74"/>
      <c r="F171" s="25"/>
      <c r="G171" s="14"/>
      <c r="H171" s="26"/>
      <c r="I171" s="262"/>
    </row>
    <row r="172" spans="1:9" ht="15" hidden="1" customHeight="1" x14ac:dyDescent="0.35">
      <c r="A172" s="264"/>
      <c r="B172" s="74"/>
      <c r="C172" s="74"/>
      <c r="D172" s="74"/>
      <c r="E172" s="74"/>
      <c r="F172" s="25"/>
      <c r="G172" s="14"/>
      <c r="H172" s="26"/>
      <c r="I172" s="262"/>
    </row>
    <row r="173" spans="1:9" ht="15" hidden="1" customHeight="1" x14ac:dyDescent="0.35">
      <c r="A173" s="264"/>
      <c r="B173" s="74"/>
      <c r="C173" s="74"/>
      <c r="D173" s="74"/>
      <c r="E173" s="74"/>
      <c r="F173" s="25"/>
      <c r="G173" s="14"/>
      <c r="H173" s="26"/>
      <c r="I173" s="262"/>
    </row>
    <row r="174" spans="1:9" ht="15" hidden="1" customHeight="1" x14ac:dyDescent="0.35">
      <c r="A174" s="264"/>
      <c r="B174" s="74"/>
      <c r="C174" s="74"/>
      <c r="D174" s="74"/>
      <c r="E174" s="74"/>
      <c r="F174" s="25"/>
      <c r="G174" s="14"/>
      <c r="H174" s="26"/>
      <c r="I174" s="262"/>
    </row>
    <row r="175" spans="1:9" ht="15" hidden="1" customHeight="1" x14ac:dyDescent="0.35">
      <c r="A175" s="264"/>
      <c r="B175" s="74"/>
      <c r="C175" s="74"/>
      <c r="D175" s="74"/>
      <c r="E175" s="74"/>
      <c r="F175" s="25"/>
      <c r="G175" s="14"/>
      <c r="H175" s="26"/>
      <c r="I175" s="262"/>
    </row>
    <row r="176" spans="1:9" ht="15" hidden="1" customHeight="1" x14ac:dyDescent="0.35">
      <c r="A176" s="264"/>
      <c r="B176" s="74"/>
      <c r="C176" s="74"/>
      <c r="D176" s="74"/>
      <c r="E176" s="74"/>
      <c r="F176" s="25"/>
      <c r="G176" s="14"/>
      <c r="H176" s="26"/>
      <c r="I176" s="262"/>
    </row>
    <row r="177" spans="1:9" ht="15" hidden="1" customHeight="1" x14ac:dyDescent="0.35">
      <c r="A177" s="264"/>
      <c r="B177" s="74"/>
      <c r="C177" s="74"/>
      <c r="D177" s="74"/>
      <c r="E177" s="74"/>
      <c r="F177" s="25"/>
      <c r="G177" s="14"/>
      <c r="H177" s="26"/>
      <c r="I177" s="262"/>
    </row>
    <row r="178" spans="1:9" ht="15" hidden="1" customHeight="1" x14ac:dyDescent="0.35">
      <c r="A178" s="264"/>
      <c r="B178" s="74"/>
      <c r="C178" s="74"/>
      <c r="D178" s="74"/>
      <c r="E178" s="74"/>
      <c r="F178" s="25"/>
      <c r="G178" s="14"/>
      <c r="H178" s="26"/>
      <c r="I178" s="262"/>
    </row>
    <row r="179" spans="1:9" ht="15" hidden="1" customHeight="1" x14ac:dyDescent="0.35">
      <c r="A179" s="264"/>
      <c r="B179" s="74"/>
      <c r="C179" s="74"/>
      <c r="D179" s="74"/>
      <c r="E179" s="74"/>
      <c r="F179" s="25"/>
      <c r="G179" s="14"/>
      <c r="H179" s="26"/>
      <c r="I179" s="262"/>
    </row>
    <row r="180" spans="1:9" ht="15" hidden="1" customHeight="1" x14ac:dyDescent="0.35">
      <c r="A180" s="264"/>
      <c r="B180" s="74"/>
      <c r="C180" s="74"/>
      <c r="D180" s="74"/>
      <c r="E180" s="74"/>
      <c r="F180" s="25"/>
      <c r="G180" s="14"/>
      <c r="H180" s="26"/>
      <c r="I180" s="262"/>
    </row>
    <row r="181" spans="1:9" ht="30" customHeight="1" x14ac:dyDescent="0.35">
      <c r="A181" s="264"/>
      <c r="B181" s="3441" t="str">
        <f>NSFR!B214</f>
        <v>Loans to retail and small business customers (excluding residential mortgages reported above) with a residual maturity of less than one year; of which:</v>
      </c>
      <c r="C181" s="3441"/>
      <c r="D181" s="3441"/>
      <c r="E181" s="3442"/>
      <c r="F181" s="25"/>
      <c r="G181" s="14"/>
      <c r="H181" s="26"/>
      <c r="I181" s="262"/>
    </row>
    <row r="182" spans="1:9" ht="15" customHeight="1" x14ac:dyDescent="0.35">
      <c r="A182" s="264"/>
      <c r="B182" s="112" t="str">
        <f>NSFR!B215</f>
        <v>Unencumbered</v>
      </c>
      <c r="C182" s="390"/>
      <c r="D182" s="390"/>
      <c r="E182" s="390"/>
      <c r="F182" s="472">
        <v>0.5</v>
      </c>
      <c r="G182" s="472">
        <v>0.5</v>
      </c>
      <c r="H182" s="26"/>
      <c r="I182" s="262"/>
    </row>
    <row r="183" spans="1:9" ht="15" customHeight="1" x14ac:dyDescent="0.35">
      <c r="A183" s="264"/>
      <c r="B183" s="112" t="str">
        <f>NSFR!B216</f>
        <v>Remaining period of encumbrance &lt; 6 months</v>
      </c>
      <c r="C183" s="390"/>
      <c r="D183" s="390"/>
      <c r="E183" s="390"/>
      <c r="F183" s="472">
        <v>0.5</v>
      </c>
      <c r="G183" s="472">
        <v>0.5</v>
      </c>
      <c r="H183" s="26"/>
      <c r="I183" s="262"/>
    </row>
    <row r="184" spans="1:9" ht="15" customHeight="1" x14ac:dyDescent="0.35">
      <c r="A184" s="264"/>
      <c r="B184" s="112" t="str">
        <f>NSFR!B217</f>
        <v>Remaining period of encumbrance ≥ 6 months to &lt; 1 year</v>
      </c>
      <c r="C184" s="390"/>
      <c r="D184" s="390"/>
      <c r="E184" s="390"/>
      <c r="F184" s="472">
        <v>0.5</v>
      </c>
      <c r="G184" s="472">
        <v>0.5</v>
      </c>
      <c r="H184" s="26"/>
      <c r="I184" s="262"/>
    </row>
    <row r="185" spans="1:9" ht="15" customHeight="1" x14ac:dyDescent="0.35">
      <c r="A185" s="264"/>
      <c r="B185" s="112" t="str">
        <f>NSFR!B218</f>
        <v>Remaining period of encumbrance ≥ 1 year</v>
      </c>
      <c r="C185" s="390"/>
      <c r="D185" s="390"/>
      <c r="E185" s="390"/>
      <c r="F185" s="472">
        <v>1</v>
      </c>
      <c r="G185" s="472">
        <v>1</v>
      </c>
      <c r="H185" s="26"/>
      <c r="I185" s="262"/>
    </row>
    <row r="186" spans="1:9" ht="15" customHeight="1" x14ac:dyDescent="0.35">
      <c r="A186" s="264"/>
      <c r="B186" s="1713" t="str">
        <f>NSFR!B219</f>
        <v>Encumbered for exceptional CB liquidity operations, ≥ 6 months to &lt; 1 year</v>
      </c>
      <c r="C186" s="390"/>
      <c r="D186" s="390"/>
      <c r="E186" s="390"/>
      <c r="F186" s="472"/>
      <c r="G186" s="472"/>
      <c r="H186" s="26"/>
      <c r="I186" s="262"/>
    </row>
    <row r="187" spans="1:9" ht="15" customHeight="1" x14ac:dyDescent="0.35">
      <c r="A187" s="264"/>
      <c r="B187" s="1713" t="str">
        <f>NSFR!B220</f>
        <v>Encumbered for exceptional CB liquidity operations, ≥ 1 year</v>
      </c>
      <c r="C187" s="390"/>
      <c r="D187" s="390"/>
      <c r="E187" s="390"/>
      <c r="F187" s="472"/>
      <c r="G187" s="472"/>
      <c r="H187" s="26"/>
      <c r="I187" s="262"/>
    </row>
    <row r="188" spans="1:9" ht="15" hidden="1" customHeight="1" x14ac:dyDescent="0.35">
      <c r="A188" s="264"/>
      <c r="B188" s="74"/>
      <c r="C188" s="74"/>
      <c r="D188" s="74"/>
      <c r="E188" s="74"/>
      <c r="F188" s="25"/>
      <c r="G188" s="14"/>
      <c r="H188" s="26"/>
      <c r="I188" s="262"/>
    </row>
    <row r="189" spans="1:9" ht="15" hidden="1" customHeight="1" x14ac:dyDescent="0.35">
      <c r="A189" s="264"/>
      <c r="B189" s="74"/>
      <c r="C189" s="74"/>
      <c r="D189" s="74"/>
      <c r="E189" s="74"/>
      <c r="F189" s="25"/>
      <c r="G189" s="14"/>
      <c r="H189" s="26"/>
      <c r="I189" s="262"/>
    </row>
    <row r="190" spans="1:9" ht="15" customHeight="1" x14ac:dyDescent="0.35">
      <c r="A190" s="264"/>
      <c r="B190" s="3441" t="str">
        <f>NSFR!B223</f>
        <v>Performing loans (except loans to financial institutions and loans reported in above categories) with risk weights greater than 35% under the standardised approach for credit risk; of which:</v>
      </c>
      <c r="C190" s="3441"/>
      <c r="D190" s="3441"/>
      <c r="E190" s="3442"/>
      <c r="F190" s="25"/>
      <c r="G190" s="14"/>
      <c r="H190" s="26"/>
      <c r="I190" s="262"/>
    </row>
    <row r="191" spans="1:9" ht="15" customHeight="1" x14ac:dyDescent="0.35">
      <c r="A191" s="264"/>
      <c r="B191" s="112" t="str">
        <f>NSFR!B224</f>
        <v>Unencumbered</v>
      </c>
      <c r="C191" s="390"/>
      <c r="D191" s="390"/>
      <c r="E191" s="390"/>
      <c r="F191" s="472">
        <v>0.5</v>
      </c>
      <c r="G191" s="472">
        <v>0.5</v>
      </c>
      <c r="H191" s="467">
        <v>0.85</v>
      </c>
      <c r="I191" s="262"/>
    </row>
    <row r="192" spans="1:9" ht="15" customHeight="1" x14ac:dyDescent="0.35">
      <c r="A192" s="264"/>
      <c r="B192" s="112" t="str">
        <f>NSFR!B225</f>
        <v>Remaining period of encumbrance &lt; 6 months</v>
      </c>
      <c r="C192" s="390"/>
      <c r="D192" s="390"/>
      <c r="E192" s="390"/>
      <c r="F192" s="472">
        <v>0.5</v>
      </c>
      <c r="G192" s="472">
        <v>0.5</v>
      </c>
      <c r="H192" s="467">
        <v>0.85</v>
      </c>
      <c r="I192" s="262"/>
    </row>
    <row r="193" spans="1:9" ht="15" customHeight="1" x14ac:dyDescent="0.35">
      <c r="A193" s="264"/>
      <c r="B193" s="112" t="str">
        <f>NSFR!B226</f>
        <v>Remaining period of encumbrance ≥ 6 months to &lt; 1 year</v>
      </c>
      <c r="C193" s="390"/>
      <c r="D193" s="390"/>
      <c r="E193" s="390"/>
      <c r="F193" s="472">
        <v>0.5</v>
      </c>
      <c r="G193" s="472">
        <v>0.5</v>
      </c>
      <c r="H193" s="467">
        <v>0.85</v>
      </c>
      <c r="I193" s="262"/>
    </row>
    <row r="194" spans="1:9" ht="15" customHeight="1" x14ac:dyDescent="0.35">
      <c r="A194" s="264"/>
      <c r="B194" s="112" t="str">
        <f>NSFR!B227</f>
        <v>Remaining period of encumbrance ≥ 1 year</v>
      </c>
      <c r="C194" s="390"/>
      <c r="D194" s="390"/>
      <c r="E194" s="390"/>
      <c r="F194" s="472">
        <v>1</v>
      </c>
      <c r="G194" s="472">
        <v>1</v>
      </c>
      <c r="H194" s="467">
        <v>1</v>
      </c>
      <c r="I194" s="262"/>
    </row>
    <row r="195" spans="1:9" ht="15" customHeight="1" x14ac:dyDescent="0.35">
      <c r="A195" s="264"/>
      <c r="B195" s="1713" t="str">
        <f>NSFR!B228</f>
        <v>Encumbered for exceptional CB liquidity operations, ≥ 6 months to &lt; 1 year</v>
      </c>
      <c r="C195" s="390"/>
      <c r="D195" s="390"/>
      <c r="E195" s="390"/>
      <c r="F195" s="472"/>
      <c r="G195" s="472"/>
      <c r="H195" s="472"/>
      <c r="I195" s="262"/>
    </row>
    <row r="196" spans="1:9" ht="15" customHeight="1" x14ac:dyDescent="0.35">
      <c r="A196" s="264"/>
      <c r="B196" s="1713" t="str">
        <f>NSFR!B229</f>
        <v>Encumbered for exceptional CB liquidity operations, ≥ 1 year</v>
      </c>
      <c r="C196" s="390"/>
      <c r="D196" s="390"/>
      <c r="E196" s="390"/>
      <c r="F196" s="472"/>
      <c r="G196" s="472"/>
      <c r="H196" s="472"/>
      <c r="I196" s="262"/>
    </row>
    <row r="197" spans="1:9" ht="15" hidden="1" customHeight="1" x14ac:dyDescent="0.35">
      <c r="A197" s="264"/>
      <c r="B197" s="74"/>
      <c r="C197" s="74"/>
      <c r="D197" s="74"/>
      <c r="E197" s="74"/>
      <c r="F197" s="25"/>
      <c r="G197" s="14"/>
      <c r="H197" s="26"/>
      <c r="I197" s="262"/>
    </row>
    <row r="198" spans="1:9" ht="15" hidden="1" customHeight="1" x14ac:dyDescent="0.35">
      <c r="A198" s="264"/>
      <c r="B198" s="74"/>
      <c r="C198" s="74"/>
      <c r="D198" s="74"/>
      <c r="E198" s="74"/>
      <c r="F198" s="25"/>
      <c r="G198" s="14"/>
      <c r="H198" s="26"/>
      <c r="I198" s="262"/>
    </row>
    <row r="199" spans="1:9" ht="15" hidden="1" customHeight="1" x14ac:dyDescent="0.35">
      <c r="A199" s="264"/>
      <c r="B199" s="74"/>
      <c r="C199" s="74"/>
      <c r="D199" s="74"/>
      <c r="E199" s="74"/>
      <c r="F199" s="25"/>
      <c r="G199" s="14"/>
      <c r="H199" s="26"/>
      <c r="I199" s="262"/>
    </row>
    <row r="200" spans="1:9" ht="15" hidden="1" customHeight="1" x14ac:dyDescent="0.35">
      <c r="A200" s="264"/>
      <c r="B200" s="74"/>
      <c r="C200" s="74"/>
      <c r="D200" s="74"/>
      <c r="E200" s="74"/>
      <c r="F200" s="25"/>
      <c r="G200" s="14"/>
      <c r="H200" s="26"/>
      <c r="I200" s="262"/>
    </row>
    <row r="201" spans="1:9" ht="15" hidden="1" customHeight="1" x14ac:dyDescent="0.35">
      <c r="A201" s="264"/>
      <c r="B201" s="74"/>
      <c r="C201" s="74"/>
      <c r="D201" s="74"/>
      <c r="E201" s="74"/>
      <c r="F201" s="25"/>
      <c r="G201" s="14"/>
      <c r="H201" s="26"/>
      <c r="I201" s="262"/>
    </row>
    <row r="202" spans="1:9" ht="15" hidden="1" customHeight="1" x14ac:dyDescent="0.35">
      <c r="A202" s="264"/>
      <c r="B202" s="74"/>
      <c r="C202" s="74"/>
      <c r="D202" s="74"/>
      <c r="E202" s="74"/>
      <c r="F202" s="25"/>
      <c r="G202" s="14"/>
      <c r="H202" s="26"/>
      <c r="I202" s="262"/>
    </row>
    <row r="203" spans="1:9" ht="15" hidden="1" customHeight="1" x14ac:dyDescent="0.35">
      <c r="A203" s="264"/>
      <c r="B203" s="74"/>
      <c r="C203" s="74"/>
      <c r="D203" s="74"/>
      <c r="E203" s="74"/>
      <c r="F203" s="25"/>
      <c r="G203" s="14"/>
      <c r="H203" s="26"/>
      <c r="I203" s="262"/>
    </row>
    <row r="204" spans="1:9" ht="15" hidden="1" customHeight="1" x14ac:dyDescent="0.35">
      <c r="A204" s="264"/>
      <c r="B204" s="74"/>
      <c r="C204" s="74"/>
      <c r="D204" s="74"/>
      <c r="E204" s="74"/>
      <c r="F204" s="25"/>
      <c r="G204" s="14"/>
      <c r="H204" s="26"/>
      <c r="I204" s="262"/>
    </row>
    <row r="205" spans="1:9" ht="15" hidden="1" customHeight="1" x14ac:dyDescent="0.35">
      <c r="A205" s="264"/>
      <c r="B205" s="74"/>
      <c r="C205" s="74"/>
      <c r="D205" s="74"/>
      <c r="E205" s="74"/>
      <c r="F205" s="25"/>
      <c r="G205" s="14"/>
      <c r="H205" s="26"/>
      <c r="I205" s="262"/>
    </row>
    <row r="206" spans="1:9" ht="15" hidden="1" customHeight="1" x14ac:dyDescent="0.35">
      <c r="A206" s="264"/>
      <c r="B206" s="74"/>
      <c r="C206" s="74"/>
      <c r="D206" s="74"/>
      <c r="E206" s="74"/>
      <c r="F206" s="25"/>
      <c r="G206" s="14"/>
      <c r="H206" s="26"/>
      <c r="I206" s="262"/>
    </row>
    <row r="207" spans="1:9" ht="15" hidden="1" customHeight="1" x14ac:dyDescent="0.35">
      <c r="A207" s="264"/>
      <c r="B207" s="74"/>
      <c r="C207" s="74"/>
      <c r="D207" s="74"/>
      <c r="E207" s="74"/>
      <c r="F207" s="25"/>
      <c r="G207" s="14"/>
      <c r="H207" s="26"/>
      <c r="I207" s="262"/>
    </row>
    <row r="208" spans="1:9" ht="15" customHeight="1" x14ac:dyDescent="0.35">
      <c r="A208" s="264"/>
      <c r="B208" s="47" t="str">
        <f>NSFR!B241</f>
        <v>Non-HQLA exchange traded equities; of which:</v>
      </c>
      <c r="C208" s="390"/>
      <c r="D208" s="390"/>
      <c r="E208" s="390"/>
      <c r="F208" s="25"/>
      <c r="G208" s="14"/>
      <c r="H208" s="26"/>
      <c r="I208" s="262"/>
    </row>
    <row r="209" spans="1:9" ht="15" customHeight="1" x14ac:dyDescent="0.35">
      <c r="A209" s="264"/>
      <c r="B209" s="113" t="str">
        <f>NSFR!B242</f>
        <v>Unencumbered</v>
      </c>
      <c r="C209" s="390"/>
      <c r="D209" s="390"/>
      <c r="E209" s="390"/>
      <c r="F209" s="472"/>
      <c r="G209" s="472"/>
      <c r="H209" s="467">
        <v>0.85</v>
      </c>
      <c r="I209" s="262"/>
    </row>
    <row r="210" spans="1:9" ht="15" customHeight="1" x14ac:dyDescent="0.35">
      <c r="A210" s="264"/>
      <c r="B210" s="113" t="str">
        <f>NSFR!B243</f>
        <v>Remaining period of encumbrance &lt; 6 months</v>
      </c>
      <c r="C210" s="390"/>
      <c r="D210" s="390"/>
      <c r="E210" s="390"/>
      <c r="F210" s="467">
        <v>0</v>
      </c>
      <c r="G210" s="467">
        <v>0</v>
      </c>
      <c r="H210" s="467">
        <v>0.85</v>
      </c>
      <c r="I210" s="262"/>
    </row>
    <row r="211" spans="1:9" ht="15" customHeight="1" x14ac:dyDescent="0.35">
      <c r="A211" s="264"/>
      <c r="B211" s="113" t="str">
        <f>NSFR!B244</f>
        <v>Remaining period of encumbrance ≥ 6 months to &lt; 1 year</v>
      </c>
      <c r="C211" s="390"/>
      <c r="D211" s="390"/>
      <c r="E211" s="390"/>
      <c r="F211" s="467">
        <v>0</v>
      </c>
      <c r="G211" s="467">
        <v>0</v>
      </c>
      <c r="H211" s="467">
        <v>0.85</v>
      </c>
      <c r="I211" s="262"/>
    </row>
    <row r="212" spans="1:9" ht="15" customHeight="1" x14ac:dyDescent="0.35">
      <c r="A212" s="264"/>
      <c r="B212" s="113" t="str">
        <f>NSFR!B245</f>
        <v>Remaining period of encumbrance ≥ 1 year</v>
      </c>
      <c r="C212" s="390"/>
      <c r="D212" s="390"/>
      <c r="E212" s="390"/>
      <c r="F212" s="467">
        <v>0</v>
      </c>
      <c r="G212" s="467">
        <v>0</v>
      </c>
      <c r="H212" s="467">
        <v>1</v>
      </c>
      <c r="I212" s="262"/>
    </row>
    <row r="213" spans="1:9" ht="15" customHeight="1" x14ac:dyDescent="0.35">
      <c r="A213" s="264"/>
      <c r="B213" s="1565" t="str">
        <f>NSFR!B246</f>
        <v>Encumbered for exceptional CB liquidity operations, ≥ 6 months to &lt; 1 year</v>
      </c>
      <c r="C213" s="390"/>
      <c r="D213" s="390"/>
      <c r="E213" s="390"/>
      <c r="F213" s="472"/>
      <c r="G213" s="472"/>
      <c r="H213" s="472"/>
      <c r="I213" s="262"/>
    </row>
    <row r="214" spans="1:9" ht="15" customHeight="1" x14ac:dyDescent="0.35">
      <c r="A214" s="264"/>
      <c r="B214" s="1565" t="str">
        <f>NSFR!B247</f>
        <v>Encumbered for exceptional CB liquidity operations, ≥ 1 year</v>
      </c>
      <c r="C214" s="390"/>
      <c r="D214" s="390"/>
      <c r="E214" s="390"/>
      <c r="F214" s="472"/>
      <c r="G214" s="472"/>
      <c r="H214" s="472"/>
      <c r="I214" s="262"/>
    </row>
    <row r="215" spans="1:9" ht="15" hidden="1" customHeight="1" x14ac:dyDescent="0.35">
      <c r="A215" s="264"/>
      <c r="B215" s="74"/>
      <c r="C215" s="74"/>
      <c r="D215" s="74"/>
      <c r="E215" s="74"/>
      <c r="F215" s="25"/>
      <c r="G215" s="14"/>
      <c r="H215" s="26"/>
      <c r="I215" s="262"/>
    </row>
    <row r="216" spans="1:9" ht="15" hidden="1" customHeight="1" x14ac:dyDescent="0.35">
      <c r="A216" s="264"/>
      <c r="B216" s="74"/>
      <c r="C216" s="74"/>
      <c r="D216" s="74"/>
      <c r="E216" s="74"/>
      <c r="F216" s="25"/>
      <c r="G216" s="14"/>
      <c r="H216" s="26"/>
      <c r="I216" s="262"/>
    </row>
    <row r="217" spans="1:9" ht="15" customHeight="1" x14ac:dyDescent="0.35">
      <c r="A217" s="264"/>
      <c r="B217" s="47" t="str">
        <f>NSFR!B250</f>
        <v>Non-HQLA securities not in default; of which:</v>
      </c>
      <c r="C217" s="390"/>
      <c r="D217" s="390"/>
      <c r="E217" s="390"/>
      <c r="F217" s="25"/>
      <c r="G217" s="14"/>
      <c r="H217" s="26"/>
      <c r="I217" s="262"/>
    </row>
    <row r="218" spans="1:9" ht="15" customHeight="1" x14ac:dyDescent="0.35">
      <c r="A218" s="264"/>
      <c r="B218" s="113" t="str">
        <f>NSFR!B251</f>
        <v>Unencumbered</v>
      </c>
      <c r="C218" s="390"/>
      <c r="D218" s="390"/>
      <c r="E218" s="390"/>
      <c r="F218" s="472">
        <v>0.5</v>
      </c>
      <c r="G218" s="472">
        <v>0.5</v>
      </c>
      <c r="H218" s="467">
        <v>0.85</v>
      </c>
      <c r="I218" s="262"/>
    </row>
    <row r="219" spans="1:9" ht="15" customHeight="1" x14ac:dyDescent="0.35">
      <c r="A219" s="264"/>
      <c r="B219" s="113" t="str">
        <f>NSFR!B252</f>
        <v>Remaining period of encumbrance &lt; 6 months</v>
      </c>
      <c r="C219" s="390"/>
      <c r="D219" s="390"/>
      <c r="E219" s="390"/>
      <c r="F219" s="472">
        <v>0.5</v>
      </c>
      <c r="G219" s="472">
        <v>0.5</v>
      </c>
      <c r="H219" s="467">
        <v>0.85</v>
      </c>
      <c r="I219" s="262"/>
    </row>
    <row r="220" spans="1:9" ht="15" customHeight="1" x14ac:dyDescent="0.35">
      <c r="A220" s="264"/>
      <c r="B220" s="113" t="str">
        <f>NSFR!B253</f>
        <v>Remaining period of encumbrance ≥ 6 months to &lt; 1 year</v>
      </c>
      <c r="C220" s="390"/>
      <c r="D220" s="390"/>
      <c r="E220" s="390"/>
      <c r="F220" s="472">
        <v>0.5</v>
      </c>
      <c r="G220" s="472">
        <v>0.5</v>
      </c>
      <c r="H220" s="467">
        <v>0.85</v>
      </c>
      <c r="I220" s="262"/>
    </row>
    <row r="221" spans="1:9" ht="15" customHeight="1" x14ac:dyDescent="0.35">
      <c r="A221" s="264"/>
      <c r="B221" s="113" t="str">
        <f>NSFR!B254</f>
        <v>Remaining period of encumbrance ≥ 1 year</v>
      </c>
      <c r="C221" s="390"/>
      <c r="D221" s="390"/>
      <c r="E221" s="390"/>
      <c r="F221" s="472">
        <v>1</v>
      </c>
      <c r="G221" s="472">
        <v>1</v>
      </c>
      <c r="H221" s="467">
        <v>1</v>
      </c>
      <c r="I221" s="262"/>
    </row>
    <row r="222" spans="1:9" ht="15" customHeight="1" x14ac:dyDescent="0.35">
      <c r="A222" s="264"/>
      <c r="B222" s="1565" t="str">
        <f>NSFR!B255</f>
        <v>Encumbered for exceptional CB liquidity operations, ≥ 6 months to &lt; 1 year</v>
      </c>
      <c r="C222" s="390"/>
      <c r="D222" s="390"/>
      <c r="E222" s="390"/>
      <c r="F222" s="472"/>
      <c r="G222" s="472"/>
      <c r="H222" s="472"/>
      <c r="I222" s="262"/>
    </row>
    <row r="223" spans="1:9" ht="15" customHeight="1" x14ac:dyDescent="0.35">
      <c r="A223" s="264"/>
      <c r="B223" s="1565" t="str">
        <f>NSFR!B256</f>
        <v>Encumbered for exceptional CB liquidity operations, ≥ 1 year</v>
      </c>
      <c r="C223" s="390"/>
      <c r="D223" s="390"/>
      <c r="E223" s="390"/>
      <c r="F223" s="472"/>
      <c r="G223" s="472"/>
      <c r="H223" s="472"/>
      <c r="I223" s="262"/>
    </row>
    <row r="224" spans="1:9" ht="15" hidden="1" customHeight="1" x14ac:dyDescent="0.35">
      <c r="A224" s="264"/>
      <c r="B224" s="74"/>
      <c r="C224" s="74"/>
      <c r="D224" s="74"/>
      <c r="E224" s="74"/>
      <c r="F224" s="25"/>
      <c r="G224" s="14"/>
      <c r="H224" s="26"/>
      <c r="I224" s="262"/>
    </row>
    <row r="225" spans="1:9" ht="15" hidden="1" customHeight="1" x14ac:dyDescent="0.35">
      <c r="A225" s="264"/>
      <c r="B225" s="74"/>
      <c r="C225" s="74"/>
      <c r="D225" s="74"/>
      <c r="E225" s="74"/>
      <c r="F225" s="25"/>
      <c r="G225" s="14"/>
      <c r="H225" s="26"/>
      <c r="I225" s="262"/>
    </row>
    <row r="226" spans="1:9" ht="15" customHeight="1" x14ac:dyDescent="0.35">
      <c r="A226" s="264"/>
      <c r="B226" s="47" t="str">
        <f>NSFR!B259</f>
        <v>Physical traded commodities including gold; of which:</v>
      </c>
      <c r="C226" s="390"/>
      <c r="D226" s="390"/>
      <c r="E226" s="390"/>
      <c r="F226" s="25"/>
      <c r="G226" s="14"/>
      <c r="H226" s="26"/>
      <c r="I226" s="262"/>
    </row>
    <row r="227" spans="1:9" ht="15" customHeight="1" x14ac:dyDescent="0.35">
      <c r="A227" s="264"/>
      <c r="B227" s="113" t="str">
        <f>NSFR!B260</f>
        <v>Unencumbered</v>
      </c>
      <c r="C227" s="390"/>
      <c r="D227" s="390"/>
      <c r="E227" s="390"/>
      <c r="F227" s="25"/>
      <c r="G227" s="14"/>
      <c r="H227" s="467">
        <v>0.85</v>
      </c>
      <c r="I227" s="262"/>
    </row>
    <row r="228" spans="1:9" ht="15" customHeight="1" x14ac:dyDescent="0.35">
      <c r="A228" s="264"/>
      <c r="B228" s="113" t="str">
        <f>NSFR!B261</f>
        <v>Remaining period of encumbrance &lt; 6 months</v>
      </c>
      <c r="C228" s="390"/>
      <c r="D228" s="390"/>
      <c r="E228" s="390"/>
      <c r="F228" s="25"/>
      <c r="G228" s="14"/>
      <c r="H228" s="467">
        <v>0.85</v>
      </c>
      <c r="I228" s="262"/>
    </row>
    <row r="229" spans="1:9" ht="15" customHeight="1" x14ac:dyDescent="0.35">
      <c r="A229" s="264"/>
      <c r="B229" s="113" t="str">
        <f>NSFR!B262</f>
        <v>Remaining period of encumbrance ≥ 6 months to &lt; 1 year</v>
      </c>
      <c r="C229" s="390"/>
      <c r="D229" s="390"/>
      <c r="E229" s="390"/>
      <c r="F229" s="25"/>
      <c r="G229" s="14"/>
      <c r="H229" s="467">
        <v>0.85</v>
      </c>
      <c r="I229" s="262"/>
    </row>
    <row r="230" spans="1:9" ht="15" customHeight="1" x14ac:dyDescent="0.35">
      <c r="A230" s="264"/>
      <c r="B230" s="113" t="str">
        <f>NSFR!B263</f>
        <v>Remaining period of encumbrance ≥ 1 year</v>
      </c>
      <c r="C230" s="390"/>
      <c r="D230" s="390"/>
      <c r="E230" s="390"/>
      <c r="F230" s="25"/>
      <c r="G230" s="14"/>
      <c r="H230" s="467">
        <v>1</v>
      </c>
      <c r="I230" s="262"/>
    </row>
    <row r="231" spans="1:9" ht="15" customHeight="1" x14ac:dyDescent="0.35">
      <c r="A231" s="264"/>
      <c r="B231" s="1565" t="str">
        <f>NSFR!B264</f>
        <v>Encumbered for exceptional CB liquidity operations, ≥ 6 months to &lt; 1 year</v>
      </c>
      <c r="C231" s="390"/>
      <c r="D231" s="390"/>
      <c r="E231" s="390"/>
      <c r="F231" s="25"/>
      <c r="G231" s="14"/>
      <c r="H231" s="472"/>
      <c r="I231" s="262"/>
    </row>
    <row r="232" spans="1:9" ht="15" customHeight="1" x14ac:dyDescent="0.35">
      <c r="A232" s="264"/>
      <c r="B232" s="1565" t="str">
        <f>NSFR!B265</f>
        <v>Encumbered for exceptional CB liquidity operations, ≥ 1 year</v>
      </c>
      <c r="C232" s="390"/>
      <c r="D232" s="390"/>
      <c r="E232" s="390"/>
      <c r="F232" s="25"/>
      <c r="G232" s="14"/>
      <c r="H232" s="472"/>
      <c r="I232" s="262"/>
    </row>
    <row r="233" spans="1:9" ht="15" hidden="1" customHeight="1" x14ac:dyDescent="0.35">
      <c r="A233" s="264"/>
      <c r="B233" s="74"/>
      <c r="C233" s="74"/>
      <c r="D233" s="74"/>
      <c r="E233" s="74"/>
      <c r="F233" s="25"/>
      <c r="G233" s="14"/>
      <c r="H233" s="26"/>
      <c r="I233" s="262"/>
    </row>
    <row r="234" spans="1:9" ht="15" hidden="1" customHeight="1" x14ac:dyDescent="0.35">
      <c r="A234" s="264"/>
      <c r="B234" s="74"/>
      <c r="C234" s="74"/>
      <c r="D234" s="74"/>
      <c r="E234" s="74"/>
      <c r="F234" s="25"/>
      <c r="G234" s="14"/>
      <c r="H234" s="26"/>
      <c r="I234" s="262"/>
    </row>
    <row r="235" spans="1:9" ht="15" customHeight="1" x14ac:dyDescent="0.35">
      <c r="A235" s="264"/>
      <c r="B235" s="3079" t="str">
        <f>NSFR!B268</f>
        <v xml:space="preserve">Other short-term unsecured instruments and transactions with a residual maturity of less than one year, of which: </v>
      </c>
      <c r="C235" s="3079"/>
      <c r="D235" s="3079"/>
      <c r="E235" s="3443"/>
      <c r="F235" s="25"/>
      <c r="G235" s="14"/>
      <c r="H235" s="26"/>
      <c r="I235" s="262"/>
    </row>
    <row r="236" spans="1:9" ht="15" customHeight="1" x14ac:dyDescent="0.35">
      <c r="A236" s="264"/>
      <c r="B236" s="113" t="str">
        <f>NSFR!B269</f>
        <v>Unencumbered</v>
      </c>
      <c r="C236" s="390"/>
      <c r="D236" s="390"/>
      <c r="E236" s="390"/>
      <c r="F236" s="472">
        <v>0.5</v>
      </c>
      <c r="G236" s="472">
        <v>0.5</v>
      </c>
      <c r="H236" s="26"/>
      <c r="I236" s="262"/>
    </row>
    <row r="237" spans="1:9" ht="15" customHeight="1" x14ac:dyDescent="0.35">
      <c r="A237" s="264"/>
      <c r="B237" s="113" t="str">
        <f>NSFR!B270</f>
        <v>Remaining period of encumbrance &lt; 6 months</v>
      </c>
      <c r="C237" s="390"/>
      <c r="D237" s="390"/>
      <c r="E237" s="390"/>
      <c r="F237" s="472">
        <v>0.5</v>
      </c>
      <c r="G237" s="472">
        <v>0.5</v>
      </c>
      <c r="H237" s="26"/>
      <c r="I237" s="262"/>
    </row>
    <row r="238" spans="1:9" ht="15" customHeight="1" x14ac:dyDescent="0.35">
      <c r="A238" s="264"/>
      <c r="B238" s="113" t="str">
        <f>NSFR!B271</f>
        <v>Remaining period of encumbrance ≥ 6 months to &lt; 1 year</v>
      </c>
      <c r="C238" s="390"/>
      <c r="D238" s="390"/>
      <c r="E238" s="390"/>
      <c r="F238" s="472">
        <v>0.5</v>
      </c>
      <c r="G238" s="472">
        <v>0.5</v>
      </c>
      <c r="H238" s="26"/>
      <c r="I238" s="262"/>
    </row>
    <row r="239" spans="1:9" ht="15" customHeight="1" x14ac:dyDescent="0.35">
      <c r="A239" s="264"/>
      <c r="B239" s="113" t="str">
        <f>NSFR!B272</f>
        <v>Remaining period of encumbrance ≥ 1 year</v>
      </c>
      <c r="C239" s="390"/>
      <c r="D239" s="390"/>
      <c r="E239" s="390"/>
      <c r="F239" s="472">
        <v>1</v>
      </c>
      <c r="G239" s="472">
        <v>1</v>
      </c>
      <c r="H239" s="26"/>
      <c r="I239" s="262"/>
    </row>
    <row r="240" spans="1:9" ht="15" customHeight="1" x14ac:dyDescent="0.35">
      <c r="A240" s="264"/>
      <c r="B240" s="1565" t="str">
        <f>NSFR!B273</f>
        <v>Encumbered for exceptional CB liquidity operations, ≥ 6 months to &lt; 1 year</v>
      </c>
      <c r="C240" s="390"/>
      <c r="D240" s="390"/>
      <c r="E240" s="390"/>
      <c r="F240" s="472"/>
      <c r="G240" s="472"/>
      <c r="H240" s="26"/>
      <c r="I240" s="262"/>
    </row>
    <row r="241" spans="1:9" ht="15" customHeight="1" x14ac:dyDescent="0.35">
      <c r="A241" s="264"/>
      <c r="B241" s="1565" t="str">
        <f>NSFR!B274</f>
        <v>Encumbered for exceptional CB liquidity operations, ≥ 1 year</v>
      </c>
      <c r="C241" s="390"/>
      <c r="D241" s="390"/>
      <c r="E241" s="390"/>
      <c r="F241" s="472"/>
      <c r="G241" s="472"/>
      <c r="H241" s="26"/>
      <c r="I241" s="262"/>
    </row>
    <row r="242" spans="1:9" ht="15" hidden="1" customHeight="1" x14ac:dyDescent="0.35">
      <c r="A242" s="264"/>
      <c r="B242" s="74"/>
      <c r="C242" s="74"/>
      <c r="D242" s="74"/>
      <c r="E242" s="74"/>
      <c r="F242" s="25"/>
      <c r="G242" s="14"/>
      <c r="H242" s="26"/>
      <c r="I242" s="262"/>
    </row>
    <row r="243" spans="1:9" ht="15" hidden="1" customHeight="1" x14ac:dyDescent="0.35">
      <c r="A243" s="264"/>
      <c r="B243" s="74"/>
      <c r="C243" s="74"/>
      <c r="D243" s="74"/>
      <c r="E243" s="74"/>
      <c r="F243" s="25"/>
      <c r="G243" s="14"/>
      <c r="H243" s="26"/>
      <c r="I243" s="262"/>
    </row>
    <row r="244" spans="1:9" ht="15" customHeight="1" x14ac:dyDescent="0.35">
      <c r="A244" s="264"/>
      <c r="B244" s="1567" t="str">
        <f>NSFR!B277</f>
        <v>Defaulted securities and non-performing loans</v>
      </c>
      <c r="C244" s="390"/>
      <c r="D244" s="390"/>
      <c r="E244" s="390"/>
      <c r="F244" s="472">
        <v>1</v>
      </c>
      <c r="G244" s="472">
        <v>1</v>
      </c>
      <c r="H244" s="467">
        <v>1</v>
      </c>
      <c r="I244" s="262"/>
    </row>
    <row r="245" spans="1:9" ht="15" customHeight="1" x14ac:dyDescent="0.35">
      <c r="A245" s="264"/>
      <c r="B245" s="3436" t="str">
        <f>NSFR!B278</f>
        <v>NSFR derivative assets (derivative assets less cash collateral received as variation margin on derivative assets)</v>
      </c>
      <c r="C245" s="3436"/>
      <c r="D245" s="3436"/>
      <c r="E245" s="3437"/>
      <c r="F245" s="25"/>
      <c r="G245" s="14"/>
      <c r="H245" s="467">
        <v>1</v>
      </c>
      <c r="I245" s="262"/>
    </row>
    <row r="246" spans="1:9" ht="15" customHeight="1" x14ac:dyDescent="0.35">
      <c r="A246" s="264"/>
      <c r="B246" s="1567" t="str">
        <f>NSFR!B279</f>
        <v>Required stable funding associated with derivative liabilities</v>
      </c>
      <c r="C246" s="390"/>
      <c r="D246" s="390"/>
      <c r="E246" s="390"/>
      <c r="F246" s="25"/>
      <c r="G246" s="14"/>
      <c r="H246" s="467">
        <v>0.2</v>
      </c>
      <c r="I246" s="262"/>
    </row>
    <row r="247" spans="1:9" ht="15" customHeight="1" x14ac:dyDescent="0.35">
      <c r="A247" s="264"/>
      <c r="B247" s="3436" t="str">
        <f>NSFR!B280</f>
        <v>Required stable funding associated with initial margin posted and cash or other assets provided to contribute to the default fund of a CCP</v>
      </c>
      <c r="C247" s="3436"/>
      <c r="D247" s="3436"/>
      <c r="E247" s="3437"/>
      <c r="F247" s="472"/>
      <c r="G247" s="472"/>
      <c r="H247" s="467">
        <v>0.85</v>
      </c>
      <c r="I247" s="262"/>
    </row>
    <row r="248" spans="1:9" ht="15" customHeight="1" x14ac:dyDescent="0.35">
      <c r="A248" s="264"/>
      <c r="B248" s="1567" t="str">
        <f>NSFR!B281</f>
        <v>Items deducted from regulatory capital</v>
      </c>
      <c r="C248" s="390"/>
      <c r="D248" s="390"/>
      <c r="E248" s="390"/>
      <c r="F248" s="472">
        <v>1</v>
      </c>
      <c r="G248" s="472">
        <v>1</v>
      </c>
      <c r="H248" s="467">
        <v>1</v>
      </c>
      <c r="I248" s="262"/>
    </row>
    <row r="249" spans="1:9" ht="15" customHeight="1" x14ac:dyDescent="0.35">
      <c r="A249" s="264"/>
      <c r="B249" s="1567" t="str">
        <f>NSFR!B282</f>
        <v>Trade date receivables</v>
      </c>
      <c r="C249" s="390"/>
      <c r="D249" s="390"/>
      <c r="E249" s="390"/>
      <c r="F249" s="14"/>
      <c r="G249" s="14"/>
      <c r="H249" s="472">
        <v>0</v>
      </c>
      <c r="I249" s="262"/>
    </row>
    <row r="250" spans="1:9" ht="15" customHeight="1" x14ac:dyDescent="0.35">
      <c r="A250" s="264"/>
      <c r="B250" s="1567" t="str">
        <f>NSFR!B283</f>
        <v>Interdependent assets</v>
      </c>
      <c r="C250" s="390"/>
      <c r="D250" s="390"/>
      <c r="E250" s="390"/>
      <c r="F250" s="472">
        <v>0</v>
      </c>
      <c r="G250" s="472">
        <v>0</v>
      </c>
      <c r="H250" s="467">
        <v>0</v>
      </c>
      <c r="I250" s="262"/>
    </row>
    <row r="251" spans="1:9" ht="15" hidden="1" customHeight="1" x14ac:dyDescent="0.35">
      <c r="A251" s="264"/>
      <c r="B251" s="465"/>
      <c r="C251" s="1562"/>
      <c r="D251" s="1562"/>
      <c r="E251" s="1562"/>
      <c r="F251" s="879"/>
      <c r="G251" s="880"/>
      <c r="H251" s="880"/>
      <c r="I251" s="262"/>
    </row>
    <row r="252" spans="1:9" ht="15" customHeight="1" x14ac:dyDescent="0.35">
      <c r="A252" s="264"/>
      <c r="B252" s="3438" t="str">
        <f>NSFR!B285</f>
        <v>All other assets not included in above categories that qualify for 100% treatment</v>
      </c>
      <c r="C252" s="3438"/>
      <c r="D252" s="3438"/>
      <c r="E252" s="3439"/>
      <c r="F252" s="473">
        <v>1</v>
      </c>
      <c r="G252" s="473">
        <v>1</v>
      </c>
      <c r="H252" s="468">
        <v>1</v>
      </c>
      <c r="I252" s="262"/>
    </row>
    <row r="253" spans="1:9" ht="45" customHeight="1" x14ac:dyDescent="0.35">
      <c r="A253" s="269" t="s">
        <v>1850</v>
      </c>
      <c r="B253" s="106"/>
      <c r="C253" s="106"/>
      <c r="D253" s="59"/>
      <c r="E253" s="59"/>
      <c r="F253" s="1558"/>
    </row>
    <row r="254" spans="1:9" ht="15" customHeight="1" x14ac:dyDescent="0.35">
      <c r="B254" s="3435"/>
      <c r="C254" s="3435"/>
      <c r="D254" s="3435"/>
      <c r="E254" s="3435"/>
      <c r="F254" s="848" t="s">
        <v>640</v>
      </c>
    </row>
    <row r="255" spans="1:9" ht="15" customHeight="1" x14ac:dyDescent="0.35">
      <c r="A255" s="264"/>
      <c r="B255" s="1289" t="str">
        <f>NSFR!B291</f>
        <v>Irrevocable or conditionally revocable liquidity facilities</v>
      </c>
      <c r="C255" s="1563"/>
      <c r="D255" s="1563"/>
      <c r="E255" s="1563"/>
      <c r="F255" s="1568">
        <v>0.05</v>
      </c>
      <c r="G255" s="262"/>
      <c r="H255" s="262"/>
      <c r="I255" s="262"/>
    </row>
    <row r="256" spans="1:9" ht="15" customHeight="1" x14ac:dyDescent="0.35">
      <c r="A256" s="264"/>
      <c r="B256" s="37" t="str">
        <f>NSFR!B292</f>
        <v>Irrevocable or conditionally revocable credit facilities</v>
      </c>
      <c r="C256" s="1564"/>
      <c r="D256" s="1564"/>
      <c r="E256" s="1564"/>
      <c r="F256" s="467">
        <v>0.05</v>
      </c>
      <c r="G256" s="262"/>
      <c r="H256" s="262"/>
      <c r="I256" s="262"/>
    </row>
    <row r="257" spans="1:10" ht="15" customHeight="1" x14ac:dyDescent="0.35">
      <c r="A257" s="264"/>
      <c r="B257" s="37" t="str">
        <f>NSFR!B293</f>
        <v>Unconditionally revocable liquidity facilities</v>
      </c>
      <c r="C257" s="1564"/>
      <c r="D257" s="1564"/>
      <c r="E257" s="1564"/>
      <c r="F257" s="467">
        <v>0</v>
      </c>
      <c r="G257" s="262"/>
      <c r="H257" s="262"/>
      <c r="I257" s="262"/>
    </row>
    <row r="258" spans="1:10" ht="15" customHeight="1" x14ac:dyDescent="0.35">
      <c r="A258" s="264"/>
      <c r="B258" s="37" t="str">
        <f>NSFR!B294</f>
        <v>Unconditionally revocable credit facilities</v>
      </c>
      <c r="C258" s="1564"/>
      <c r="D258" s="1564"/>
      <c r="E258" s="1564"/>
      <c r="F258" s="467">
        <v>0</v>
      </c>
      <c r="G258" s="262"/>
      <c r="H258" s="262"/>
      <c r="I258" s="262"/>
    </row>
    <row r="259" spans="1:10" ht="15" customHeight="1" x14ac:dyDescent="0.35">
      <c r="A259" s="264"/>
      <c r="B259" s="37" t="str">
        <f>NSFR!B295</f>
        <v>Trade finance-related obligations (including guarantees and letters of credit)</v>
      </c>
      <c r="C259" s="1564"/>
      <c r="D259" s="1564"/>
      <c r="E259" s="1564"/>
      <c r="F259" s="467">
        <v>0</v>
      </c>
      <c r="G259" s="262"/>
      <c r="H259" s="262"/>
      <c r="I259" s="262"/>
    </row>
    <row r="260" spans="1:10" ht="15" customHeight="1" x14ac:dyDescent="0.35">
      <c r="A260" s="264"/>
      <c r="B260" s="37" t="str">
        <f>NSFR!B296</f>
        <v>Guarantees and letters of credit unrelated to trade finance obligations</v>
      </c>
      <c r="C260" s="1564"/>
      <c r="D260" s="1564"/>
      <c r="E260" s="1564"/>
      <c r="F260" s="467">
        <v>0</v>
      </c>
      <c r="G260" s="262"/>
      <c r="H260" s="262"/>
      <c r="I260" s="262"/>
    </row>
    <row r="261" spans="1:10" ht="15" customHeight="1" x14ac:dyDescent="0.35">
      <c r="A261" s="264"/>
      <c r="B261" s="37" t="str">
        <f>NSFR!B297</f>
        <v xml:space="preserve">Non-contractual obligations, such as: </v>
      </c>
      <c r="C261" s="1564"/>
      <c r="D261" s="1564"/>
      <c r="E261" s="1564"/>
      <c r="F261" s="1569"/>
      <c r="G261" s="262"/>
      <c r="H261" s="262"/>
      <c r="I261" s="262"/>
    </row>
    <row r="262" spans="1:10" ht="15" customHeight="1" x14ac:dyDescent="0.35">
      <c r="A262" s="264"/>
      <c r="B262" s="1565" t="str">
        <f>NSFR!B298</f>
        <v>Debt-buy back requests (incl related conduits)</v>
      </c>
      <c r="C262" s="1564"/>
      <c r="D262" s="1564"/>
      <c r="E262" s="1564"/>
      <c r="F262" s="467">
        <v>0</v>
      </c>
      <c r="G262" s="262"/>
      <c r="H262" s="262"/>
      <c r="I262" s="262"/>
    </row>
    <row r="263" spans="1:10" ht="15" customHeight="1" x14ac:dyDescent="0.35">
      <c r="A263" s="264"/>
      <c r="B263" s="1565" t="str">
        <f>NSFR!B299</f>
        <v>Structured products</v>
      </c>
      <c r="C263" s="1564"/>
      <c r="D263" s="1564"/>
      <c r="E263" s="1564"/>
      <c r="F263" s="467">
        <v>0</v>
      </c>
      <c r="G263" s="262"/>
      <c r="H263" s="262"/>
      <c r="I263" s="262"/>
    </row>
    <row r="264" spans="1:10" ht="15" customHeight="1" x14ac:dyDescent="0.35">
      <c r="A264" s="264"/>
      <c r="B264" s="1565" t="str">
        <f>NSFR!B300</f>
        <v>Managed funds</v>
      </c>
      <c r="C264" s="1564"/>
      <c r="D264" s="1564"/>
      <c r="E264" s="1564"/>
      <c r="F264" s="467">
        <v>0</v>
      </c>
      <c r="G264" s="262"/>
      <c r="H264" s="262"/>
      <c r="I264" s="262"/>
    </row>
    <row r="265" spans="1:10" ht="15" customHeight="1" x14ac:dyDescent="0.35">
      <c r="A265" s="264"/>
      <c r="B265" s="1565" t="str">
        <f>NSFR!B301</f>
        <v>Other non-contractual obligations</v>
      </c>
      <c r="C265" s="1564"/>
      <c r="D265" s="1564"/>
      <c r="E265" s="1564"/>
      <c r="F265" s="467">
        <v>0</v>
      </c>
      <c r="G265" s="262"/>
      <c r="H265" s="262"/>
      <c r="I265" s="262"/>
    </row>
    <row r="266" spans="1:10" ht="15" customHeight="1" x14ac:dyDescent="0.35">
      <c r="A266" s="264"/>
      <c r="B266" s="608" t="str">
        <f>NSFR!B302</f>
        <v>All other off balance-sheet obligations not included in the above categories</v>
      </c>
      <c r="C266" s="1566"/>
      <c r="D266" s="1566"/>
      <c r="E266" s="1566"/>
      <c r="F266" s="468">
        <v>0</v>
      </c>
      <c r="G266" s="262"/>
      <c r="H266" s="262"/>
      <c r="I266" s="262"/>
    </row>
    <row r="267" spans="1:10" ht="15" customHeight="1" x14ac:dyDescent="0.45">
      <c r="A267" s="1278"/>
      <c r="B267" s="1279"/>
      <c r="C267" s="1280"/>
      <c r="D267" s="1280"/>
      <c r="E267" s="1280"/>
      <c r="F267" s="1280"/>
      <c r="G267" s="368"/>
      <c r="H267" s="368"/>
      <c r="I267" s="368"/>
      <c r="J267" s="875"/>
    </row>
    <row r="268" spans="1:10" ht="45" customHeight="1" x14ac:dyDescent="0.35">
      <c r="A268" s="665" t="s">
        <v>1851</v>
      </c>
      <c r="B268" s="1275"/>
      <c r="C268" s="1275"/>
      <c r="D268" s="1276"/>
      <c r="E268" s="1276"/>
      <c r="F268" s="1277"/>
      <c r="G268" s="846"/>
      <c r="H268" s="846"/>
    </row>
    <row r="269" spans="1:10" ht="15" customHeight="1" x14ac:dyDescent="0.35">
      <c r="A269" s="263"/>
      <c r="B269" s="858" t="s">
        <v>1852</v>
      </c>
      <c r="C269" s="464"/>
      <c r="D269" s="464"/>
      <c r="E269" s="464"/>
      <c r="F269" s="478" t="s">
        <v>18</v>
      </c>
    </row>
    <row r="270" spans="1:10" ht="15" customHeight="1" x14ac:dyDescent="0.35">
      <c r="A270" s="263"/>
      <c r="B270" s="218" t="s">
        <v>1853</v>
      </c>
      <c r="C270" s="101"/>
      <c r="D270" s="101"/>
      <c r="E270" s="101"/>
      <c r="F270" s="479" t="s">
        <v>18</v>
      </c>
    </row>
    <row r="271" spans="1:10" ht="15" customHeight="1" x14ac:dyDescent="0.35">
      <c r="A271" s="269"/>
      <c r="B271" s="1275"/>
      <c r="C271" s="1275"/>
      <c r="D271" s="1276"/>
      <c r="E271" s="1276"/>
      <c r="F271" s="1277"/>
    </row>
    <row r="272" spans="1:10" ht="30" customHeight="1" x14ac:dyDescent="0.35">
      <c r="A272" s="269"/>
      <c r="B272" s="1275"/>
      <c r="C272" s="1282"/>
      <c r="D272" s="972"/>
      <c r="E272" s="972"/>
      <c r="F272" s="475" t="s">
        <v>1854</v>
      </c>
      <c r="G272" s="918" t="s">
        <v>1855</v>
      </c>
    </row>
    <row r="273" spans="2:7" ht="15" customHeight="1" x14ac:dyDescent="0.35">
      <c r="B273" s="474" t="s">
        <v>757</v>
      </c>
      <c r="C273" s="474"/>
      <c r="D273" s="474"/>
      <c r="E273" s="474"/>
      <c r="F273" s="476"/>
      <c r="G273" s="338"/>
    </row>
    <row r="274" spans="2:7" ht="15" customHeight="1" x14ac:dyDescent="0.35">
      <c r="B274" s="164" t="s">
        <v>1856</v>
      </c>
      <c r="C274" s="339"/>
      <c r="D274" s="339"/>
      <c r="E274" s="339"/>
      <c r="F274" s="211"/>
      <c r="G274" s="340"/>
    </row>
    <row r="275" spans="2:7" ht="15" customHeight="1" x14ac:dyDescent="0.35">
      <c r="B275" s="164" t="s">
        <v>1857</v>
      </c>
      <c r="C275" s="339"/>
      <c r="D275" s="339"/>
      <c r="E275" s="339"/>
      <c r="F275" s="211"/>
      <c r="G275" s="340"/>
    </row>
    <row r="276" spans="2:7" ht="15" customHeight="1" x14ac:dyDescent="0.35">
      <c r="B276" s="270" t="s">
        <v>1858</v>
      </c>
      <c r="C276" s="341"/>
      <c r="D276" s="341"/>
      <c r="E276" s="341"/>
      <c r="F276" s="211"/>
      <c r="G276" s="340"/>
    </row>
    <row r="277" spans="2:7" ht="15" customHeight="1" x14ac:dyDescent="0.35">
      <c r="B277" s="270" t="s">
        <v>1859</v>
      </c>
      <c r="C277" s="341"/>
      <c r="D277" s="341"/>
      <c r="E277" s="341"/>
      <c r="F277" s="211"/>
      <c r="G277" s="340"/>
    </row>
    <row r="278" spans="2:7" ht="15" customHeight="1" x14ac:dyDescent="0.35">
      <c r="B278" s="185" t="s">
        <v>761</v>
      </c>
      <c r="C278" s="185"/>
      <c r="D278" s="185"/>
      <c r="E278" s="185"/>
      <c r="F278" s="211"/>
      <c r="G278" s="340"/>
    </row>
    <row r="279" spans="2:7" ht="15" customHeight="1" x14ac:dyDescent="0.35">
      <c r="B279" s="164" t="s">
        <v>762</v>
      </c>
      <c r="C279" s="185"/>
      <c r="D279" s="185"/>
      <c r="E279" s="185"/>
      <c r="F279" s="211"/>
      <c r="G279" s="340"/>
    </row>
    <row r="280" spans="2:7" ht="15" customHeight="1" x14ac:dyDescent="0.35">
      <c r="B280" s="164" t="s">
        <v>763</v>
      </c>
      <c r="C280" s="342"/>
      <c r="D280" s="342"/>
      <c r="E280" s="342"/>
      <c r="F280" s="477"/>
      <c r="G280" s="343"/>
    </row>
    <row r="281" spans="2:7" ht="15" customHeight="1" x14ac:dyDescent="0.35">
      <c r="B281" s="165" t="s">
        <v>764</v>
      </c>
      <c r="C281" s="213"/>
      <c r="D281" s="213"/>
      <c r="E281" s="213"/>
      <c r="F281" s="211"/>
      <c r="G281" s="340"/>
    </row>
    <row r="282" spans="2:7" ht="15" customHeight="1" x14ac:dyDescent="0.35">
      <c r="B282" s="408" t="s">
        <v>765</v>
      </c>
      <c r="C282" s="242"/>
      <c r="D282" s="242"/>
      <c r="E282" s="242"/>
      <c r="F282" s="1712">
        <v>0.2</v>
      </c>
      <c r="G282" s="343"/>
    </row>
    <row r="283" spans="2:7" ht="15" customHeight="1" x14ac:dyDescent="0.35">
      <c r="B283" s="408" t="s">
        <v>766</v>
      </c>
      <c r="C283" s="242"/>
      <c r="D283" s="242"/>
      <c r="E283" s="242"/>
      <c r="F283" s="1712">
        <v>0.3</v>
      </c>
      <c r="G283" s="340"/>
    </row>
    <row r="284" spans="2:7" ht="15" customHeight="1" x14ac:dyDescent="0.35">
      <c r="B284" s="408" t="s">
        <v>767</v>
      </c>
      <c r="C284" s="242"/>
      <c r="D284" s="242"/>
      <c r="E284" s="242"/>
      <c r="F284" s="1712">
        <v>0.5</v>
      </c>
      <c r="G284" s="343"/>
    </row>
    <row r="285" spans="2:7" ht="15" customHeight="1" x14ac:dyDescent="0.35">
      <c r="B285" s="408" t="s">
        <v>768</v>
      </c>
      <c r="C285" s="242"/>
      <c r="D285" s="242"/>
      <c r="E285" s="242"/>
      <c r="F285" s="1712">
        <v>1</v>
      </c>
      <c r="G285" s="340"/>
    </row>
    <row r="286" spans="2:7" ht="15" customHeight="1" x14ac:dyDescent="0.35">
      <c r="B286" s="408" t="s">
        <v>769</v>
      </c>
      <c r="C286" s="242"/>
      <c r="D286" s="242"/>
      <c r="E286" s="242"/>
      <c r="F286" s="1712">
        <v>1.5</v>
      </c>
      <c r="G286" s="343"/>
    </row>
    <row r="287" spans="2:7" ht="15" customHeight="1" x14ac:dyDescent="0.35">
      <c r="B287" s="165" t="s">
        <v>770</v>
      </c>
      <c r="C287" s="213"/>
      <c r="D287" s="213"/>
      <c r="E287" s="213"/>
      <c r="F287" s="211"/>
      <c r="G287" s="343"/>
    </row>
    <row r="288" spans="2:7" ht="15" customHeight="1" x14ac:dyDescent="0.35">
      <c r="B288" s="408" t="s">
        <v>765</v>
      </c>
      <c r="C288" s="242"/>
      <c r="D288" s="242"/>
      <c r="E288" s="242"/>
      <c r="F288" s="1712">
        <v>0.2</v>
      </c>
      <c r="G288" s="340"/>
    </row>
    <row r="289" spans="2:7" ht="15" customHeight="1" x14ac:dyDescent="0.35">
      <c r="B289" s="408" t="s">
        <v>766</v>
      </c>
      <c r="C289" s="242"/>
      <c r="D289" s="242"/>
      <c r="E289" s="242"/>
      <c r="F289" s="1712">
        <v>0.2</v>
      </c>
      <c r="G289" s="343"/>
    </row>
    <row r="290" spans="2:7" ht="15" customHeight="1" x14ac:dyDescent="0.35">
      <c r="B290" s="408" t="s">
        <v>767</v>
      </c>
      <c r="C290" s="242"/>
      <c r="D290" s="242"/>
      <c r="E290" s="242"/>
      <c r="F290" s="1712">
        <v>0.2</v>
      </c>
      <c r="G290" s="340"/>
    </row>
    <row r="291" spans="2:7" ht="15" customHeight="1" x14ac:dyDescent="0.35">
      <c r="B291" s="408" t="s">
        <v>768</v>
      </c>
      <c r="C291" s="242"/>
      <c r="D291" s="242"/>
      <c r="E291" s="242"/>
      <c r="F291" s="1712">
        <v>0.5</v>
      </c>
      <c r="G291" s="343"/>
    </row>
    <row r="292" spans="2:7" ht="15" customHeight="1" x14ac:dyDescent="0.35">
      <c r="B292" s="408" t="s">
        <v>769</v>
      </c>
      <c r="C292" s="242"/>
      <c r="D292" s="242"/>
      <c r="E292" s="242"/>
      <c r="F292" s="1712">
        <v>1.5</v>
      </c>
      <c r="G292" s="340"/>
    </row>
    <row r="293" spans="2:7" ht="15" customHeight="1" x14ac:dyDescent="0.35">
      <c r="B293" s="164" t="s">
        <v>771</v>
      </c>
      <c r="C293" s="342"/>
      <c r="D293" s="342"/>
      <c r="E293" s="342"/>
      <c r="F293" s="477"/>
      <c r="G293" s="340"/>
    </row>
    <row r="294" spans="2:7" ht="15" customHeight="1" x14ac:dyDescent="0.35">
      <c r="B294" s="165" t="s">
        <v>1860</v>
      </c>
      <c r="C294" s="213"/>
      <c r="D294" s="213"/>
      <c r="E294" s="213"/>
      <c r="F294" s="211"/>
      <c r="G294" s="343"/>
    </row>
    <row r="295" spans="2:7" ht="15" customHeight="1" x14ac:dyDescent="0.35">
      <c r="B295" s="408" t="s">
        <v>773</v>
      </c>
      <c r="C295" s="242"/>
      <c r="D295" s="242"/>
      <c r="E295" s="242"/>
      <c r="F295" s="1712">
        <v>0.3</v>
      </c>
      <c r="G295" s="340"/>
    </row>
    <row r="296" spans="2:7" ht="15" customHeight="1" x14ac:dyDescent="0.35">
      <c r="B296" s="408" t="s">
        <v>774</v>
      </c>
      <c r="C296" s="242"/>
      <c r="D296" s="242"/>
      <c r="E296" s="242"/>
      <c r="F296" s="1712">
        <v>0.4</v>
      </c>
      <c r="G296" s="343"/>
    </row>
    <row r="297" spans="2:7" ht="15" customHeight="1" x14ac:dyDescent="0.35">
      <c r="B297" s="408" t="s">
        <v>775</v>
      </c>
      <c r="C297" s="242"/>
      <c r="D297" s="242"/>
      <c r="E297" s="242"/>
      <c r="F297" s="1712">
        <v>0.75</v>
      </c>
      <c r="G297" s="340"/>
    </row>
    <row r="298" spans="2:7" ht="15" customHeight="1" x14ac:dyDescent="0.35">
      <c r="B298" s="408" t="s">
        <v>776</v>
      </c>
      <c r="C298" s="242"/>
      <c r="D298" s="242"/>
      <c r="E298" s="242"/>
      <c r="F298" s="1712">
        <v>1.5</v>
      </c>
      <c r="G298" s="343"/>
    </row>
    <row r="299" spans="2:7" ht="15" customHeight="1" x14ac:dyDescent="0.35">
      <c r="B299" s="165" t="s">
        <v>1861</v>
      </c>
      <c r="C299" s="213"/>
      <c r="D299" s="213"/>
      <c r="E299" s="213"/>
      <c r="F299" s="211"/>
      <c r="G299" s="340"/>
    </row>
    <row r="300" spans="2:7" ht="15" customHeight="1" x14ac:dyDescent="0.35">
      <c r="B300" s="408" t="s">
        <v>779</v>
      </c>
      <c r="C300" s="242"/>
      <c r="D300" s="242"/>
      <c r="E300" s="242"/>
      <c r="F300" s="1712">
        <v>0.2</v>
      </c>
      <c r="G300" s="343"/>
    </row>
    <row r="301" spans="2:7" ht="15" customHeight="1" x14ac:dyDescent="0.35">
      <c r="B301" s="408" t="s">
        <v>775</v>
      </c>
      <c r="C301" s="242"/>
      <c r="D301" s="242"/>
      <c r="E301" s="242"/>
      <c r="F301" s="1712">
        <v>0.5</v>
      </c>
      <c r="G301" s="340"/>
    </row>
    <row r="302" spans="2:7" ht="15" customHeight="1" x14ac:dyDescent="0.35">
      <c r="B302" s="408" t="s">
        <v>776</v>
      </c>
      <c r="C302" s="242"/>
      <c r="D302" s="242"/>
      <c r="E302" s="242"/>
      <c r="F302" s="1712">
        <v>1.5</v>
      </c>
      <c r="G302" s="343"/>
    </row>
    <row r="303" spans="2:7" ht="15" customHeight="1" x14ac:dyDescent="0.35">
      <c r="B303" s="185" t="s">
        <v>780</v>
      </c>
      <c r="C303" s="342"/>
      <c r="D303" s="342"/>
      <c r="E303" s="342"/>
      <c r="F303" s="477"/>
      <c r="G303" s="340"/>
    </row>
    <row r="304" spans="2:7" ht="15" customHeight="1" x14ac:dyDescent="0.35">
      <c r="B304" s="164" t="s">
        <v>1862</v>
      </c>
      <c r="C304" s="213"/>
      <c r="D304" s="213"/>
      <c r="E304" s="213"/>
      <c r="F304" s="211"/>
      <c r="G304" s="343"/>
    </row>
    <row r="305" spans="2:7" ht="15" customHeight="1" x14ac:dyDescent="0.35">
      <c r="B305" s="407" t="s">
        <v>765</v>
      </c>
      <c r="C305" s="242"/>
      <c r="D305" s="242"/>
      <c r="E305" s="242"/>
      <c r="F305" s="1712">
        <v>0.1</v>
      </c>
      <c r="G305" s="340"/>
    </row>
    <row r="306" spans="2:7" ht="15" customHeight="1" x14ac:dyDescent="0.35">
      <c r="B306" s="407" t="s">
        <v>766</v>
      </c>
      <c r="C306" s="242"/>
      <c r="D306" s="242"/>
      <c r="E306" s="242"/>
      <c r="F306" s="1712">
        <v>0.2</v>
      </c>
      <c r="G306" s="343"/>
    </row>
    <row r="307" spans="2:7" ht="15" customHeight="1" x14ac:dyDescent="0.35">
      <c r="B307" s="407" t="s">
        <v>767</v>
      </c>
      <c r="C307" s="242"/>
      <c r="D307" s="242"/>
      <c r="E307" s="242"/>
      <c r="F307" s="1712">
        <v>0.2</v>
      </c>
      <c r="G307" s="340"/>
    </row>
    <row r="308" spans="2:7" ht="15" customHeight="1" x14ac:dyDescent="0.35">
      <c r="B308" s="407" t="s">
        <v>768</v>
      </c>
      <c r="C308" s="242"/>
      <c r="D308" s="242"/>
      <c r="E308" s="242"/>
      <c r="F308" s="1712">
        <v>0.5</v>
      </c>
      <c r="G308" s="343"/>
    </row>
    <row r="309" spans="2:7" ht="15" customHeight="1" x14ac:dyDescent="0.35">
      <c r="B309" s="407" t="s">
        <v>769</v>
      </c>
      <c r="C309" s="242"/>
      <c r="D309" s="242"/>
      <c r="E309" s="242"/>
      <c r="F309" s="1712">
        <v>1</v>
      </c>
      <c r="G309" s="340"/>
    </row>
    <row r="310" spans="2:7" ht="15" customHeight="1" x14ac:dyDescent="0.35">
      <c r="B310" s="164" t="s">
        <v>782</v>
      </c>
      <c r="C310" s="213"/>
      <c r="D310" s="213"/>
      <c r="E310" s="213"/>
      <c r="F310" s="211"/>
      <c r="G310" s="343"/>
    </row>
    <row r="311" spans="2:7" ht="15" customHeight="1" x14ac:dyDescent="0.35">
      <c r="B311" s="407" t="s">
        <v>783</v>
      </c>
      <c r="C311" s="242"/>
      <c r="D311" s="242"/>
      <c r="E311" s="242"/>
      <c r="F311" s="1712">
        <v>0.1</v>
      </c>
      <c r="G311" s="340"/>
    </row>
    <row r="312" spans="2:7" ht="15" customHeight="1" x14ac:dyDescent="0.35">
      <c r="B312" s="407" t="s">
        <v>784</v>
      </c>
      <c r="C312" s="242"/>
      <c r="D312" s="242"/>
      <c r="E312" s="242"/>
      <c r="F312" s="1712">
        <v>0.15</v>
      </c>
      <c r="G312" s="343"/>
    </row>
    <row r="313" spans="2:7" ht="15" customHeight="1" x14ac:dyDescent="0.35">
      <c r="B313" s="407" t="s">
        <v>785</v>
      </c>
      <c r="C313" s="242"/>
      <c r="D313" s="242"/>
      <c r="E313" s="242"/>
      <c r="F313" s="1712">
        <v>0.2</v>
      </c>
      <c r="G313" s="340"/>
    </row>
    <row r="314" spans="2:7" ht="15" customHeight="1" x14ac:dyDescent="0.35">
      <c r="B314" s="407" t="s">
        <v>786</v>
      </c>
      <c r="C314" s="242"/>
      <c r="D314" s="242"/>
      <c r="E314" s="242"/>
      <c r="F314" s="1712">
        <v>0.25</v>
      </c>
      <c r="G314" s="343"/>
    </row>
    <row r="315" spans="2:7" ht="15" customHeight="1" x14ac:dyDescent="0.35">
      <c r="B315" s="407" t="s">
        <v>787</v>
      </c>
      <c r="C315" s="242"/>
      <c r="D315" s="242"/>
      <c r="E315" s="242"/>
      <c r="F315" s="1712">
        <v>0.35</v>
      </c>
      <c r="G315" s="340"/>
    </row>
    <row r="316" spans="2:7" ht="15" customHeight="1" x14ac:dyDescent="0.35">
      <c r="B316" s="407" t="s">
        <v>788</v>
      </c>
      <c r="C316" s="242"/>
      <c r="D316" s="242"/>
      <c r="E316" s="242"/>
      <c r="F316" s="1712">
        <v>0.5</v>
      </c>
      <c r="G316" s="343"/>
    </row>
    <row r="317" spans="2:7" ht="15" customHeight="1" x14ac:dyDescent="0.35">
      <c r="B317" s="407" t="s">
        <v>789</v>
      </c>
      <c r="C317" s="242"/>
      <c r="D317" s="242"/>
      <c r="E317" s="242"/>
      <c r="F317" s="1712">
        <v>1</v>
      </c>
      <c r="G317" s="340"/>
    </row>
    <row r="318" spans="2:7" ht="15" customHeight="1" x14ac:dyDescent="0.35">
      <c r="B318" s="185" t="s">
        <v>1863</v>
      </c>
      <c r="C318" s="185"/>
      <c r="D318" s="185"/>
      <c r="E318" s="185"/>
      <c r="F318" s="211"/>
      <c r="G318" s="343"/>
    </row>
    <row r="319" spans="2:7" ht="15" customHeight="1" x14ac:dyDescent="0.35">
      <c r="B319" s="345" t="s">
        <v>1864</v>
      </c>
      <c r="C319" s="342"/>
      <c r="D319" s="342"/>
      <c r="E319" s="342"/>
      <c r="F319" s="211"/>
      <c r="G319" s="340"/>
    </row>
    <row r="320" spans="2:7" ht="15" customHeight="1" x14ac:dyDescent="0.35">
      <c r="B320" s="165" t="s">
        <v>792</v>
      </c>
      <c r="C320" s="339"/>
      <c r="D320" s="339"/>
      <c r="E320" s="339"/>
      <c r="F320" s="211"/>
      <c r="G320" s="343"/>
    </row>
    <row r="321" spans="2:7" ht="15" customHeight="1" x14ac:dyDescent="0.35">
      <c r="B321" s="408" t="s">
        <v>765</v>
      </c>
      <c r="C321" s="242"/>
      <c r="D321" s="242"/>
      <c r="E321" s="242"/>
      <c r="F321" s="1712">
        <v>0.2</v>
      </c>
      <c r="G321" s="340"/>
    </row>
    <row r="322" spans="2:7" ht="15" customHeight="1" x14ac:dyDescent="0.35">
      <c r="B322" s="408" t="s">
        <v>766</v>
      </c>
      <c r="C322" s="242"/>
      <c r="D322" s="242"/>
      <c r="E322" s="242"/>
      <c r="F322" s="1712">
        <v>0.5</v>
      </c>
      <c r="G322" s="343"/>
    </row>
    <row r="323" spans="2:7" ht="15" customHeight="1" x14ac:dyDescent="0.35">
      <c r="B323" s="408" t="s">
        <v>767</v>
      </c>
      <c r="C323" s="242"/>
      <c r="D323" s="242"/>
      <c r="E323" s="242"/>
      <c r="F323" s="1712">
        <v>0.75</v>
      </c>
      <c r="G323" s="340"/>
    </row>
    <row r="324" spans="2:7" ht="15" customHeight="1" x14ac:dyDescent="0.35">
      <c r="B324" s="408" t="s">
        <v>793</v>
      </c>
      <c r="C324" s="242"/>
      <c r="D324" s="242"/>
      <c r="E324" s="242"/>
      <c r="F324" s="1712">
        <v>1</v>
      </c>
      <c r="G324" s="343"/>
    </row>
    <row r="325" spans="2:7" ht="15" customHeight="1" x14ac:dyDescent="0.35">
      <c r="B325" s="408" t="s">
        <v>794</v>
      </c>
      <c r="C325" s="242"/>
      <c r="D325" s="242"/>
      <c r="E325" s="242"/>
      <c r="F325" s="1712">
        <v>1.5</v>
      </c>
      <c r="G325" s="340"/>
    </row>
    <row r="326" spans="2:7" ht="15" customHeight="1" x14ac:dyDescent="0.35">
      <c r="B326" s="165" t="s">
        <v>795</v>
      </c>
      <c r="C326" s="339"/>
      <c r="D326" s="339"/>
      <c r="E326" s="339"/>
      <c r="F326" s="1712">
        <v>1</v>
      </c>
      <c r="G326" s="343"/>
    </row>
    <row r="327" spans="2:7" ht="15" customHeight="1" x14ac:dyDescent="0.35">
      <c r="B327" s="345" t="s">
        <v>1865</v>
      </c>
      <c r="C327" s="342"/>
      <c r="D327" s="342"/>
      <c r="E327" s="342"/>
      <c r="F327" s="211"/>
      <c r="G327" s="340"/>
    </row>
    <row r="328" spans="2:7" ht="15" customHeight="1" x14ac:dyDescent="0.35">
      <c r="B328" s="407" t="s">
        <v>797</v>
      </c>
      <c r="C328" s="242"/>
      <c r="D328" s="242"/>
      <c r="E328" s="242"/>
      <c r="F328" s="1712">
        <v>0.65</v>
      </c>
      <c r="G328" s="343"/>
    </row>
    <row r="329" spans="2:7" ht="15" customHeight="1" x14ac:dyDescent="0.35">
      <c r="B329" s="407" t="s">
        <v>798</v>
      </c>
      <c r="C329" s="242"/>
      <c r="D329" s="242"/>
      <c r="E329" s="242"/>
      <c r="F329" s="1712">
        <v>1</v>
      </c>
      <c r="G329" s="340"/>
    </row>
    <row r="330" spans="2:7" ht="15" customHeight="1" x14ac:dyDescent="0.35">
      <c r="B330" s="185" t="s">
        <v>799</v>
      </c>
      <c r="C330" s="185"/>
      <c r="D330" s="185"/>
      <c r="E330" s="185"/>
      <c r="F330" s="1712">
        <v>0.85</v>
      </c>
      <c r="G330" s="343"/>
    </row>
    <row r="331" spans="2:7" ht="15" customHeight="1" x14ac:dyDescent="0.35">
      <c r="B331" s="185" t="s">
        <v>800</v>
      </c>
      <c r="C331" s="185"/>
      <c r="D331" s="185"/>
      <c r="E331" s="185"/>
      <c r="F331" s="211"/>
      <c r="G331" s="340"/>
    </row>
    <row r="332" spans="2:7" ht="15" customHeight="1" x14ac:dyDescent="0.35">
      <c r="B332" s="303" t="s">
        <v>1866</v>
      </c>
      <c r="C332" s="185"/>
      <c r="D332" s="185"/>
      <c r="E332" s="185"/>
      <c r="F332" s="211"/>
      <c r="G332" s="340"/>
    </row>
    <row r="333" spans="2:7" ht="15" customHeight="1" x14ac:dyDescent="0.35">
      <c r="B333" s="164" t="s">
        <v>802</v>
      </c>
      <c r="C333" s="339"/>
      <c r="D333" s="339"/>
      <c r="E333" s="339"/>
      <c r="F333" s="211"/>
      <c r="G333" s="343"/>
    </row>
    <row r="334" spans="2:7" ht="15" customHeight="1" x14ac:dyDescent="0.35">
      <c r="B334" s="409" t="s">
        <v>803</v>
      </c>
      <c r="C334" s="242"/>
      <c r="D334" s="242"/>
      <c r="E334" s="242"/>
      <c r="F334" s="1712">
        <v>1.3</v>
      </c>
      <c r="G334" s="340"/>
    </row>
    <row r="335" spans="2:7" ht="15" customHeight="1" x14ac:dyDescent="0.35">
      <c r="B335" s="409" t="s">
        <v>804</v>
      </c>
      <c r="C335" s="242"/>
      <c r="D335" s="242"/>
      <c r="E335" s="242"/>
      <c r="F335" s="1712">
        <v>1</v>
      </c>
      <c r="G335" s="343"/>
    </row>
    <row r="336" spans="2:7" ht="15" customHeight="1" x14ac:dyDescent="0.35">
      <c r="B336" s="407" t="s">
        <v>805</v>
      </c>
      <c r="C336" s="242"/>
      <c r="D336" s="242"/>
      <c r="E336" s="242"/>
      <c r="F336" s="1712">
        <v>0.8</v>
      </c>
      <c r="G336" s="340"/>
    </row>
    <row r="337" spans="2:7" ht="15" customHeight="1" x14ac:dyDescent="0.35">
      <c r="B337" s="270" t="s">
        <v>806</v>
      </c>
      <c r="C337" s="341"/>
      <c r="D337" s="341"/>
      <c r="E337" s="341"/>
      <c r="F337" s="1712">
        <v>1</v>
      </c>
      <c r="G337" s="343"/>
    </row>
    <row r="338" spans="2:7" ht="15" customHeight="1" x14ac:dyDescent="0.35">
      <c r="B338" s="270" t="s">
        <v>807</v>
      </c>
      <c r="C338" s="341"/>
      <c r="D338" s="341"/>
      <c r="E338" s="341"/>
      <c r="F338" s="1712">
        <v>1</v>
      </c>
      <c r="G338" s="340"/>
    </row>
    <row r="339" spans="2:7" ht="15" customHeight="1" x14ac:dyDescent="0.35">
      <c r="B339" s="332" t="s">
        <v>808</v>
      </c>
      <c r="C339" s="332"/>
      <c r="D339" s="332"/>
      <c r="E339" s="332"/>
      <c r="F339" s="211"/>
      <c r="G339" s="343"/>
    </row>
    <row r="340" spans="2:7" ht="15" customHeight="1" x14ac:dyDescent="0.35">
      <c r="B340" s="219" t="s">
        <v>809</v>
      </c>
      <c r="C340" s="219"/>
      <c r="D340" s="219"/>
      <c r="E340" s="219"/>
      <c r="F340" s="1712">
        <v>4</v>
      </c>
      <c r="G340" s="340"/>
    </row>
    <row r="341" spans="2:7" ht="15" customHeight="1" x14ac:dyDescent="0.35">
      <c r="B341" s="219" t="s">
        <v>810</v>
      </c>
      <c r="C341" s="219"/>
      <c r="D341" s="219"/>
      <c r="E341" s="219"/>
      <c r="F341" s="1712">
        <v>1</v>
      </c>
      <c r="G341" s="343"/>
    </row>
    <row r="342" spans="2:7" ht="15" customHeight="1" x14ac:dyDescent="0.35">
      <c r="B342" s="219" t="s">
        <v>811</v>
      </c>
      <c r="C342" s="219"/>
      <c r="D342" s="219"/>
      <c r="E342" s="219"/>
      <c r="F342" s="1712">
        <v>2.5</v>
      </c>
      <c r="G342" s="340"/>
    </row>
    <row r="343" spans="2:7" ht="15" customHeight="1" x14ac:dyDescent="0.35">
      <c r="B343" s="3044" t="s">
        <v>1867</v>
      </c>
      <c r="C343" s="3044"/>
      <c r="D343" s="3044"/>
      <c r="E343" s="3044"/>
      <c r="F343" s="211"/>
      <c r="G343" s="343"/>
    </row>
    <row r="344" spans="2:7" ht="15" customHeight="1" x14ac:dyDescent="0.35">
      <c r="B344" s="332" t="s">
        <v>813</v>
      </c>
      <c r="C344" s="332"/>
      <c r="D344" s="332"/>
      <c r="E344" s="332"/>
      <c r="F344" s="211"/>
      <c r="G344" s="340"/>
    </row>
    <row r="345" spans="2:7" ht="15" customHeight="1" x14ac:dyDescent="0.35">
      <c r="B345" s="219" t="s">
        <v>1868</v>
      </c>
      <c r="C345" s="219"/>
      <c r="D345" s="219"/>
      <c r="E345" s="219"/>
      <c r="F345" s="211"/>
      <c r="G345" s="340"/>
    </row>
    <row r="346" spans="2:7" ht="15" customHeight="1" x14ac:dyDescent="0.35">
      <c r="B346" s="219" t="s">
        <v>815</v>
      </c>
      <c r="C346" s="219"/>
      <c r="D346" s="219"/>
      <c r="E346" s="219"/>
      <c r="F346" s="211"/>
      <c r="G346" s="343"/>
    </row>
    <row r="347" spans="2:7" ht="15" customHeight="1" x14ac:dyDescent="0.35">
      <c r="B347" s="185" t="s">
        <v>550</v>
      </c>
      <c r="C347" s="185"/>
      <c r="D347" s="185"/>
      <c r="E347" s="185"/>
      <c r="F347" s="211"/>
      <c r="G347" s="340"/>
    </row>
    <row r="348" spans="2:7" ht="15" customHeight="1" x14ac:dyDescent="0.35">
      <c r="B348" s="164" t="s">
        <v>894</v>
      </c>
      <c r="C348" s="339"/>
      <c r="D348" s="339"/>
      <c r="E348" s="339"/>
      <c r="F348" s="1712">
        <v>0.45</v>
      </c>
      <c r="G348" s="344">
        <f>MIN(F348*1.5,150%)</f>
        <v>0.67500000000000004</v>
      </c>
    </row>
    <row r="349" spans="2:7" ht="15" customHeight="1" x14ac:dyDescent="0.35">
      <c r="B349" s="164" t="s">
        <v>1869</v>
      </c>
      <c r="C349" s="164"/>
      <c r="D349" s="164"/>
      <c r="E349" s="164"/>
      <c r="F349" s="1712">
        <v>0.75</v>
      </c>
      <c r="G349" s="344">
        <f t="shared" ref="G349:G350" si="0">MIN(F349*1.5,150%)</f>
        <v>1.125</v>
      </c>
    </row>
    <row r="350" spans="2:7" ht="15" customHeight="1" x14ac:dyDescent="0.35">
      <c r="B350" s="164" t="s">
        <v>818</v>
      </c>
      <c r="C350" s="339"/>
      <c r="D350" s="339"/>
      <c r="E350" s="339"/>
      <c r="F350" s="1712">
        <v>1</v>
      </c>
      <c r="G350" s="344">
        <f t="shared" si="0"/>
        <v>1.5</v>
      </c>
    </row>
    <row r="351" spans="2:7" ht="15" customHeight="1" x14ac:dyDescent="0.35">
      <c r="B351" s="185" t="s">
        <v>819</v>
      </c>
      <c r="C351" s="185"/>
      <c r="D351" s="185"/>
      <c r="E351" s="185"/>
      <c r="F351" s="211"/>
      <c r="G351" s="340"/>
    </row>
    <row r="352" spans="2:7" ht="15" customHeight="1" x14ac:dyDescent="0.35">
      <c r="B352" s="345" t="s">
        <v>1870</v>
      </c>
      <c r="C352" s="345"/>
      <c r="D352" s="345"/>
      <c r="E352" s="345"/>
      <c r="F352" s="211"/>
      <c r="G352" s="340"/>
    </row>
    <row r="353" spans="2:7" ht="15" customHeight="1" x14ac:dyDescent="0.35">
      <c r="B353" s="407" t="s">
        <v>821</v>
      </c>
      <c r="C353" s="242"/>
      <c r="D353" s="242"/>
      <c r="E353" s="242"/>
      <c r="F353" s="211"/>
      <c r="G353" s="340"/>
    </row>
    <row r="354" spans="2:7" ht="15" customHeight="1" x14ac:dyDescent="0.35">
      <c r="B354" s="408" t="s">
        <v>822</v>
      </c>
      <c r="C354" s="609"/>
      <c r="D354" s="609"/>
      <c r="E354" s="609"/>
      <c r="F354" s="1712">
        <v>0.2</v>
      </c>
      <c r="G354" s="344">
        <f t="shared" ref="G354:G359" si="1">MIN(F354*1.5,150%)</f>
        <v>0.30000000000000004</v>
      </c>
    </row>
    <row r="355" spans="2:7" ht="15" customHeight="1" x14ac:dyDescent="0.35">
      <c r="B355" s="408" t="s">
        <v>823</v>
      </c>
      <c r="C355" s="609"/>
      <c r="D355" s="609"/>
      <c r="E355" s="609"/>
      <c r="F355" s="1712">
        <v>0.25</v>
      </c>
      <c r="G355" s="344">
        <f t="shared" si="1"/>
        <v>0.375</v>
      </c>
    </row>
    <row r="356" spans="2:7" ht="15" customHeight="1" x14ac:dyDescent="0.35">
      <c r="B356" s="408" t="s">
        <v>824</v>
      </c>
      <c r="C356" s="609"/>
      <c r="D356" s="609"/>
      <c r="E356" s="609"/>
      <c r="F356" s="1712">
        <v>0.3</v>
      </c>
      <c r="G356" s="344">
        <f t="shared" si="1"/>
        <v>0.44999999999999996</v>
      </c>
    </row>
    <row r="357" spans="2:7" ht="15" customHeight="1" x14ac:dyDescent="0.35">
      <c r="B357" s="408" t="s">
        <v>825</v>
      </c>
      <c r="C357" s="609"/>
      <c r="D357" s="609"/>
      <c r="E357" s="609"/>
      <c r="F357" s="1712">
        <v>0.4</v>
      </c>
      <c r="G357" s="344">
        <f t="shared" si="1"/>
        <v>0.60000000000000009</v>
      </c>
    </row>
    <row r="358" spans="2:7" ht="15" customHeight="1" x14ac:dyDescent="0.35">
      <c r="B358" s="408" t="s">
        <v>826</v>
      </c>
      <c r="C358" s="609"/>
      <c r="D358" s="609"/>
      <c r="E358" s="609"/>
      <c r="F358" s="1712">
        <v>0.5</v>
      </c>
      <c r="G358" s="344">
        <f t="shared" si="1"/>
        <v>0.75</v>
      </c>
    </row>
    <row r="359" spans="2:7" ht="15" customHeight="1" x14ac:dyDescent="0.35">
      <c r="B359" s="408" t="s">
        <v>827</v>
      </c>
      <c r="C359" s="609"/>
      <c r="D359" s="609"/>
      <c r="E359" s="609"/>
      <c r="F359" s="1712">
        <v>0.7</v>
      </c>
      <c r="G359" s="344">
        <f t="shared" si="1"/>
        <v>1.0499999999999998</v>
      </c>
    </row>
    <row r="360" spans="2:7" ht="15" customHeight="1" x14ac:dyDescent="0.35">
      <c r="B360" s="408" t="s">
        <v>828</v>
      </c>
      <c r="C360" s="609"/>
      <c r="D360" s="609"/>
      <c r="E360" s="609"/>
      <c r="F360" s="211"/>
      <c r="G360" s="340"/>
    </row>
    <row r="361" spans="2:7" ht="15" customHeight="1" x14ac:dyDescent="0.35">
      <c r="B361" s="407" t="s">
        <v>829</v>
      </c>
      <c r="C361" s="242"/>
      <c r="D361" s="242"/>
      <c r="E361" s="242"/>
      <c r="F361" s="211"/>
      <c r="G361" s="340"/>
    </row>
    <row r="362" spans="2:7" ht="15" customHeight="1" x14ac:dyDescent="0.35">
      <c r="B362" s="406" t="s">
        <v>830</v>
      </c>
      <c r="C362" s="609"/>
      <c r="D362" s="609"/>
      <c r="E362" s="609"/>
      <c r="F362" s="1712">
        <v>0.2</v>
      </c>
      <c r="G362" s="344">
        <f>MIN(F362*1.5,150%)</f>
        <v>0.30000000000000004</v>
      </c>
    </row>
    <row r="363" spans="2:7" ht="15" customHeight="1" x14ac:dyDescent="0.35">
      <c r="B363" s="406" t="s">
        <v>831</v>
      </c>
      <c r="C363" s="609"/>
      <c r="D363" s="609"/>
      <c r="E363" s="609"/>
      <c r="F363" s="211"/>
      <c r="G363" s="340"/>
    </row>
    <row r="364" spans="2:7" ht="15" customHeight="1" x14ac:dyDescent="0.35">
      <c r="B364" s="408" t="s">
        <v>828</v>
      </c>
      <c r="C364" s="609"/>
      <c r="D364" s="609"/>
      <c r="E364" s="609"/>
      <c r="F364" s="211"/>
      <c r="G364" s="340"/>
    </row>
    <row r="365" spans="2:7" ht="15" customHeight="1" x14ac:dyDescent="0.35">
      <c r="B365" s="345" t="s">
        <v>1871</v>
      </c>
      <c r="C365" s="345"/>
      <c r="D365" s="345"/>
      <c r="E365" s="345"/>
      <c r="F365" s="211"/>
      <c r="G365" s="340"/>
    </row>
    <row r="366" spans="2:7" ht="15" customHeight="1" x14ac:dyDescent="0.35">
      <c r="B366" s="407" t="s">
        <v>821</v>
      </c>
      <c r="C366" s="242"/>
      <c r="D366" s="242"/>
      <c r="E366" s="242"/>
      <c r="F366" s="211"/>
      <c r="G366" s="340"/>
    </row>
    <row r="367" spans="2:7" ht="15" customHeight="1" x14ac:dyDescent="0.35">
      <c r="B367" s="408" t="s">
        <v>1872</v>
      </c>
      <c r="C367" s="609"/>
      <c r="D367" s="609"/>
      <c r="E367" s="609"/>
      <c r="F367" s="211"/>
      <c r="G367" s="340"/>
    </row>
    <row r="368" spans="2:7" ht="15" customHeight="1" x14ac:dyDescent="0.35">
      <c r="B368" s="408" t="s">
        <v>834</v>
      </c>
      <c r="C368" s="609"/>
      <c r="D368" s="609"/>
      <c r="E368" s="609"/>
      <c r="F368" s="211"/>
      <c r="G368" s="340"/>
    </row>
    <row r="369" spans="2:7" ht="15" customHeight="1" x14ac:dyDescent="0.35">
      <c r="B369" s="408" t="s">
        <v>828</v>
      </c>
      <c r="C369" s="609"/>
      <c r="D369" s="609"/>
      <c r="E369" s="609"/>
      <c r="F369" s="211"/>
      <c r="G369" s="340"/>
    </row>
    <row r="370" spans="2:7" ht="15" customHeight="1" x14ac:dyDescent="0.35">
      <c r="B370" s="407" t="s">
        <v>829</v>
      </c>
      <c r="C370" s="242"/>
      <c r="D370" s="242"/>
      <c r="E370" s="242"/>
      <c r="F370" s="211"/>
      <c r="G370" s="340"/>
    </row>
    <row r="371" spans="2:7" ht="15" customHeight="1" x14ac:dyDescent="0.35">
      <c r="B371" s="406" t="s">
        <v>830</v>
      </c>
      <c r="C371" s="609"/>
      <c r="D371" s="609"/>
      <c r="E371" s="609"/>
      <c r="F371" s="211"/>
      <c r="G371" s="340"/>
    </row>
    <row r="372" spans="2:7" ht="15" customHeight="1" x14ac:dyDescent="0.35">
      <c r="B372" s="406" t="s">
        <v>831</v>
      </c>
      <c r="C372" s="609"/>
      <c r="D372" s="609"/>
      <c r="E372" s="609"/>
      <c r="F372" s="211"/>
      <c r="G372" s="340"/>
    </row>
    <row r="373" spans="2:7" ht="15" customHeight="1" x14ac:dyDescent="0.35">
      <c r="B373" s="408" t="s">
        <v>828</v>
      </c>
      <c r="C373" s="609"/>
      <c r="D373" s="609"/>
      <c r="E373" s="609"/>
      <c r="F373" s="211"/>
      <c r="G373" s="340"/>
    </row>
    <row r="374" spans="2:7" ht="15" customHeight="1" x14ac:dyDescent="0.35">
      <c r="B374" s="345" t="s">
        <v>1873</v>
      </c>
      <c r="C374" s="345"/>
      <c r="D374" s="345"/>
      <c r="E374" s="345"/>
      <c r="F374" s="211"/>
      <c r="G374" s="340"/>
    </row>
    <row r="375" spans="2:7" ht="15" customHeight="1" x14ac:dyDescent="0.35">
      <c r="B375" s="407" t="s">
        <v>822</v>
      </c>
      <c r="C375" s="609"/>
      <c r="D375" s="609"/>
      <c r="E375" s="609"/>
      <c r="F375" s="1712">
        <v>0.3</v>
      </c>
      <c r="G375" s="340"/>
    </row>
    <row r="376" spans="2:7" ht="15" customHeight="1" x14ac:dyDescent="0.35">
      <c r="B376" s="407" t="s">
        <v>823</v>
      </c>
      <c r="C376" s="609"/>
      <c r="D376" s="609"/>
      <c r="E376" s="609"/>
      <c r="F376" s="1712">
        <v>0.35</v>
      </c>
      <c r="G376" s="340"/>
    </row>
    <row r="377" spans="2:7" ht="15" customHeight="1" x14ac:dyDescent="0.35">
      <c r="B377" s="407" t="s">
        <v>824</v>
      </c>
      <c r="C377" s="609"/>
      <c r="D377" s="609"/>
      <c r="E377" s="609"/>
      <c r="F377" s="1712">
        <v>0.45</v>
      </c>
      <c r="G377" s="340"/>
    </row>
    <row r="378" spans="2:7" ht="15" customHeight="1" x14ac:dyDescent="0.35">
      <c r="B378" s="407" t="s">
        <v>825</v>
      </c>
      <c r="C378" s="609"/>
      <c r="D378" s="609"/>
      <c r="E378" s="609"/>
      <c r="F378" s="1712">
        <v>0.6</v>
      </c>
      <c r="G378" s="340"/>
    </row>
    <row r="379" spans="2:7" ht="15" customHeight="1" x14ac:dyDescent="0.35">
      <c r="B379" s="407" t="s">
        <v>826</v>
      </c>
      <c r="C379" s="609"/>
      <c r="D379" s="609"/>
      <c r="E379" s="609"/>
      <c r="F379" s="1712">
        <v>0.75</v>
      </c>
      <c r="G379" s="340"/>
    </row>
    <row r="380" spans="2:7" ht="15" customHeight="1" x14ac:dyDescent="0.35">
      <c r="B380" s="407" t="s">
        <v>827</v>
      </c>
      <c r="C380" s="609"/>
      <c r="D380" s="609"/>
      <c r="E380" s="609"/>
      <c r="F380" s="1712">
        <v>1.05</v>
      </c>
      <c r="G380" s="340"/>
    </row>
    <row r="381" spans="2:7" ht="15" customHeight="1" x14ac:dyDescent="0.35">
      <c r="B381" s="407" t="s">
        <v>828</v>
      </c>
      <c r="C381" s="609"/>
      <c r="D381" s="609"/>
      <c r="E381" s="609"/>
      <c r="F381" s="1712">
        <v>1.5</v>
      </c>
      <c r="G381" s="340"/>
    </row>
    <row r="382" spans="2:7" ht="15" customHeight="1" x14ac:dyDescent="0.35">
      <c r="B382" s="345" t="s">
        <v>1874</v>
      </c>
      <c r="C382" s="345"/>
      <c r="D382" s="345"/>
      <c r="E382" s="345"/>
      <c r="F382" s="211"/>
      <c r="G382" s="340"/>
    </row>
    <row r="383" spans="2:7" ht="15" customHeight="1" x14ac:dyDescent="0.35">
      <c r="B383" s="407" t="s">
        <v>837</v>
      </c>
      <c r="C383" s="609"/>
      <c r="D383" s="609"/>
      <c r="E383" s="609"/>
      <c r="F383" s="1712">
        <v>0.7</v>
      </c>
      <c r="G383" s="340"/>
    </row>
    <row r="384" spans="2:7" ht="15" customHeight="1" x14ac:dyDescent="0.35">
      <c r="B384" s="407" t="s">
        <v>838</v>
      </c>
      <c r="C384" s="609"/>
      <c r="D384" s="609"/>
      <c r="E384" s="609"/>
      <c r="F384" s="1712">
        <v>0.9</v>
      </c>
      <c r="G384" s="340"/>
    </row>
    <row r="385" spans="1:10" ht="15" customHeight="1" x14ac:dyDescent="0.35">
      <c r="B385" s="407" t="s">
        <v>839</v>
      </c>
      <c r="C385" s="609"/>
      <c r="D385" s="609"/>
      <c r="E385" s="609"/>
      <c r="F385" s="1712">
        <v>1.1000000000000001</v>
      </c>
      <c r="G385" s="340"/>
    </row>
    <row r="386" spans="1:10" ht="15" customHeight="1" x14ac:dyDescent="0.35">
      <c r="B386" s="407" t="s">
        <v>828</v>
      </c>
      <c r="C386" s="609"/>
      <c r="D386" s="609"/>
      <c r="E386" s="609"/>
      <c r="F386" s="1712">
        <v>1.5</v>
      </c>
      <c r="G386" s="340"/>
    </row>
    <row r="387" spans="1:10" ht="15" customHeight="1" x14ac:dyDescent="0.35">
      <c r="B387" s="345" t="s">
        <v>1875</v>
      </c>
      <c r="C387" s="345"/>
      <c r="D387" s="345"/>
      <c r="E387" s="345"/>
      <c r="F387" s="211"/>
      <c r="G387" s="340"/>
    </row>
    <row r="388" spans="1:10" ht="15" customHeight="1" x14ac:dyDescent="0.35">
      <c r="B388" s="407" t="s">
        <v>1876</v>
      </c>
      <c r="C388" s="609"/>
      <c r="D388" s="609"/>
      <c r="E388" s="609"/>
      <c r="F388" s="1712">
        <v>1.5</v>
      </c>
      <c r="G388" s="340"/>
    </row>
    <row r="389" spans="1:10" ht="15" customHeight="1" x14ac:dyDescent="0.35">
      <c r="B389" s="407" t="s">
        <v>1877</v>
      </c>
      <c r="C389" s="609"/>
      <c r="D389" s="609"/>
      <c r="E389" s="609"/>
      <c r="F389" s="1712">
        <v>1</v>
      </c>
      <c r="G389" s="340"/>
    </row>
    <row r="390" spans="1:10" ht="15" customHeight="1" x14ac:dyDescent="0.35">
      <c r="B390" s="185" t="s">
        <v>843</v>
      </c>
      <c r="C390" s="185"/>
      <c r="D390" s="185"/>
      <c r="E390" s="185"/>
      <c r="F390" s="211"/>
      <c r="G390" s="340"/>
    </row>
    <row r="391" spans="1:10" ht="15" customHeight="1" x14ac:dyDescent="0.35">
      <c r="B391" s="219" t="s">
        <v>844</v>
      </c>
      <c r="C391" s="346"/>
      <c r="D391" s="346"/>
      <c r="E391" s="346"/>
      <c r="F391" s="376"/>
      <c r="G391" s="340"/>
    </row>
    <row r="392" spans="1:10" ht="15" customHeight="1" x14ac:dyDescent="0.35">
      <c r="B392" s="185" t="s">
        <v>1878</v>
      </c>
      <c r="C392" s="347"/>
      <c r="D392" s="347"/>
      <c r="E392" s="347"/>
      <c r="F392" s="376"/>
      <c r="G392" s="340"/>
    </row>
    <row r="393" spans="1:10" ht="15" customHeight="1" x14ac:dyDescent="0.35">
      <c r="B393" s="273" t="s">
        <v>203</v>
      </c>
      <c r="C393" s="273"/>
      <c r="D393" s="273"/>
      <c r="E393" s="273"/>
      <c r="F393" s="243"/>
      <c r="G393" s="214"/>
    </row>
    <row r="394" spans="1:10" ht="15" customHeight="1" x14ac:dyDescent="0.45">
      <c r="A394" s="1278"/>
      <c r="B394" s="1279"/>
      <c r="C394" s="1280"/>
      <c r="D394" s="1280"/>
      <c r="E394" s="1280"/>
      <c r="F394" s="1280"/>
      <c r="G394" s="368"/>
      <c r="H394" s="368"/>
      <c r="I394" s="368"/>
      <c r="J394" s="875"/>
    </row>
    <row r="395" spans="1:10" ht="45" customHeight="1" x14ac:dyDescent="0.35">
      <c r="A395" s="665" t="s">
        <v>1879</v>
      </c>
      <c r="B395" s="464"/>
      <c r="C395" s="464"/>
      <c r="D395" s="464"/>
      <c r="E395" s="464"/>
      <c r="F395" s="846"/>
    </row>
    <row r="396" spans="1:10" ht="30" customHeight="1" x14ac:dyDescent="0.35">
      <c r="B396" s="3433" t="s">
        <v>1880</v>
      </c>
      <c r="C396" s="3433"/>
      <c r="D396" s="3433"/>
      <c r="E396" s="3434"/>
      <c r="F396" s="478" t="s">
        <v>7</v>
      </c>
    </row>
    <row r="397" spans="1:10" ht="15" customHeight="1" x14ac:dyDescent="0.45">
      <c r="A397" s="264"/>
      <c r="B397" s="1273"/>
      <c r="C397" s="887"/>
      <c r="D397" s="887"/>
      <c r="E397" s="887"/>
      <c r="F397" s="887"/>
      <c r="G397" s="368"/>
      <c r="H397" s="368"/>
      <c r="I397" s="368"/>
      <c r="J397" s="875"/>
    </row>
    <row r="398" spans="1:10" ht="45" customHeight="1" x14ac:dyDescent="0.35">
      <c r="A398" s="665" t="s">
        <v>1881</v>
      </c>
      <c r="B398" s="464"/>
      <c r="C398" s="464"/>
      <c r="D398" s="464"/>
      <c r="E398" s="464"/>
      <c r="F398" s="846"/>
    </row>
    <row r="399" spans="1:10" ht="15" customHeight="1" x14ac:dyDescent="0.35">
      <c r="B399" s="482" t="s">
        <v>1882</v>
      </c>
      <c r="C399" s="482"/>
      <c r="D399" s="482"/>
      <c r="E399" s="482"/>
      <c r="F399" s="478" t="s">
        <v>1883</v>
      </c>
    </row>
    <row r="400" spans="1:10" ht="15" customHeight="1" x14ac:dyDescent="0.35">
      <c r="B400" s="218" t="s">
        <v>1884</v>
      </c>
      <c r="C400" s="218"/>
      <c r="D400" s="218"/>
      <c r="E400" s="218"/>
      <c r="F400" s="479" t="s">
        <v>7</v>
      </c>
    </row>
    <row r="401" spans="1:10" ht="15" customHeight="1" x14ac:dyDescent="0.45">
      <c r="A401" s="264"/>
      <c r="B401" s="1273"/>
      <c r="C401" s="887"/>
      <c r="D401" s="887"/>
      <c r="E401" s="887"/>
      <c r="F401" s="887"/>
      <c r="G401" s="368"/>
      <c r="H401" s="368"/>
      <c r="I401" s="368"/>
      <c r="J401" s="875"/>
    </row>
    <row r="402" spans="1:10" ht="45" customHeight="1" x14ac:dyDescent="0.35">
      <c r="A402" s="665" t="s">
        <v>1885</v>
      </c>
      <c r="B402" s="464"/>
      <c r="C402" s="464"/>
      <c r="D402" s="464"/>
      <c r="E402" s="464"/>
      <c r="F402" s="846"/>
    </row>
    <row r="403" spans="1:10" ht="15" customHeight="1" x14ac:dyDescent="0.35">
      <c r="B403" s="757" t="s">
        <v>1886</v>
      </c>
      <c r="C403" s="464"/>
      <c r="D403" s="464"/>
      <c r="E403" s="464"/>
      <c r="F403" s="478" t="s">
        <v>18</v>
      </c>
    </row>
    <row r="404" spans="1:10" ht="15" customHeight="1" x14ac:dyDescent="0.45">
      <c r="A404" s="264"/>
      <c r="B404" s="1273"/>
      <c r="C404" s="887"/>
      <c r="D404" s="887"/>
      <c r="E404" s="887"/>
      <c r="F404" s="887"/>
      <c r="G404" s="368"/>
      <c r="H404" s="368"/>
      <c r="I404" s="262"/>
    </row>
    <row r="405" spans="1:10" ht="45" customHeight="1" x14ac:dyDescent="0.35">
      <c r="A405" s="665" t="s">
        <v>1887</v>
      </c>
      <c r="B405" s="1275"/>
      <c r="C405" s="1275"/>
      <c r="D405" s="1276"/>
      <c r="E405" s="1276"/>
      <c r="F405" s="1277"/>
      <c r="G405" s="846"/>
      <c r="H405" s="846"/>
      <c r="I405" s="846"/>
      <c r="J405" s="728"/>
    </row>
    <row r="406" spans="1:10" ht="15" customHeight="1" x14ac:dyDescent="0.35">
      <c r="A406" s="263"/>
      <c r="B406" s="739" t="s">
        <v>1888</v>
      </c>
      <c r="C406" s="1283">
        <v>0</v>
      </c>
      <c r="D406" s="758" t="s">
        <v>1889</v>
      </c>
      <c r="E406" s="893"/>
      <c r="F406" s="893"/>
      <c r="G406" s="893"/>
      <c r="H406" s="893"/>
      <c r="I406" s="893"/>
    </row>
    <row r="407" spans="1:10" ht="15" customHeight="1" x14ac:dyDescent="0.35">
      <c r="B407" s="1179" t="s">
        <v>165</v>
      </c>
      <c r="C407" s="575">
        <v>1</v>
      </c>
      <c r="D407" s="480" t="s">
        <v>18</v>
      </c>
      <c r="E407" s="480"/>
      <c r="F407" s="480"/>
      <c r="G407" s="480"/>
      <c r="H407" s="480"/>
      <c r="I407" s="480"/>
    </row>
    <row r="408" spans="1:10" ht="15" customHeight="1" x14ac:dyDescent="0.35">
      <c r="B408" s="278"/>
      <c r="C408" s="284">
        <v>2</v>
      </c>
      <c r="D408" s="1140" t="s">
        <v>7</v>
      </c>
      <c r="E408" s="1140"/>
      <c r="F408" s="1140"/>
      <c r="G408" s="1140"/>
      <c r="H408" s="1140"/>
      <c r="I408" s="1140"/>
    </row>
    <row r="409" spans="1:10" ht="15" customHeight="1" x14ac:dyDescent="0.35">
      <c r="B409" s="739" t="s">
        <v>1890</v>
      </c>
      <c r="C409" s="1283">
        <v>3</v>
      </c>
      <c r="D409" s="893"/>
      <c r="E409" s="893"/>
      <c r="F409" s="893"/>
      <c r="G409" s="893"/>
      <c r="H409" s="893"/>
      <c r="I409" s="893"/>
    </row>
    <row r="410" spans="1:10" ht="15" customHeight="1" x14ac:dyDescent="0.35">
      <c r="B410" s="1179" t="s">
        <v>12</v>
      </c>
      <c r="C410" s="575">
        <v>1</v>
      </c>
      <c r="D410" s="480">
        <v>1</v>
      </c>
      <c r="E410" s="480"/>
      <c r="F410" s="480"/>
      <c r="G410" s="480"/>
      <c r="H410" s="480"/>
      <c r="I410" s="480"/>
    </row>
    <row r="411" spans="1:10" ht="15" customHeight="1" x14ac:dyDescent="0.35">
      <c r="B411" s="278"/>
      <c r="C411" s="284">
        <v>2</v>
      </c>
      <c r="D411" s="1140">
        <v>2</v>
      </c>
      <c r="E411" s="102"/>
      <c r="F411" s="102"/>
      <c r="G411" s="102"/>
      <c r="H411" s="102"/>
      <c r="I411" s="102"/>
    </row>
    <row r="412" spans="1:10" ht="15" customHeight="1" x14ac:dyDescent="0.35">
      <c r="B412" s="71" t="s">
        <v>1891</v>
      </c>
      <c r="C412" s="575">
        <v>1</v>
      </c>
      <c r="D412" s="480">
        <v>1</v>
      </c>
      <c r="E412" s="1222">
        <v>1</v>
      </c>
      <c r="F412" s="480" t="s">
        <v>1892</v>
      </c>
      <c r="G412" s="480"/>
      <c r="H412" s="480"/>
      <c r="I412" s="480"/>
    </row>
    <row r="413" spans="1:10" ht="15" customHeight="1" x14ac:dyDescent="0.35">
      <c r="C413" s="104">
        <v>2</v>
      </c>
      <c r="D413" s="213">
        <v>1000</v>
      </c>
      <c r="E413" s="124">
        <v>1000</v>
      </c>
      <c r="F413" s="213" t="s">
        <v>1893</v>
      </c>
      <c r="G413" s="213"/>
      <c r="H413" s="213"/>
      <c r="I413" s="213"/>
    </row>
    <row r="414" spans="1:10" ht="15" customHeight="1" x14ac:dyDescent="0.35">
      <c r="C414" s="284">
        <v>3</v>
      </c>
      <c r="D414" s="1140">
        <v>1000000</v>
      </c>
      <c r="E414" s="1677">
        <v>1000000</v>
      </c>
      <c r="F414" s="1140" t="s">
        <v>1894</v>
      </c>
      <c r="G414" s="1140"/>
      <c r="H414" s="1140"/>
      <c r="I414" s="1140"/>
    </row>
    <row r="415" spans="1:10" ht="15" customHeight="1" x14ac:dyDescent="0.35">
      <c r="B415" s="1284" t="s">
        <v>1895</v>
      </c>
      <c r="C415" s="575">
        <v>1</v>
      </c>
      <c r="D415" s="480" t="s">
        <v>1896</v>
      </c>
      <c r="E415" s="99"/>
      <c r="F415" s="99"/>
      <c r="G415" s="99"/>
      <c r="H415" s="99"/>
      <c r="I415" s="99"/>
    </row>
    <row r="416" spans="1:10" ht="15" customHeight="1" x14ac:dyDescent="0.35">
      <c r="C416" s="104">
        <v>2</v>
      </c>
      <c r="D416" s="213" t="s">
        <v>1897</v>
      </c>
      <c r="E416" s="213"/>
      <c r="F416" s="213"/>
      <c r="G416" s="213"/>
      <c r="H416" s="213"/>
      <c r="I416" s="213"/>
    </row>
    <row r="417" spans="2:9" ht="15" customHeight="1" x14ac:dyDescent="0.35">
      <c r="C417" s="284">
        <v>3</v>
      </c>
      <c r="D417" s="1140" t="s">
        <v>994</v>
      </c>
      <c r="E417" s="1140"/>
      <c r="F417" s="1140"/>
      <c r="G417" s="1140"/>
      <c r="H417" s="1140"/>
      <c r="I417" s="1140"/>
    </row>
    <row r="418" spans="2:9" ht="15" customHeight="1" x14ac:dyDescent="0.35">
      <c r="B418" s="1179" t="s">
        <v>1898</v>
      </c>
      <c r="C418" s="575">
        <v>1</v>
      </c>
      <c r="D418" s="480" t="s">
        <v>1899</v>
      </c>
      <c r="E418" s="480"/>
      <c r="F418" s="480"/>
      <c r="G418" s="480"/>
      <c r="H418" s="480"/>
      <c r="I418" s="480"/>
    </row>
    <row r="419" spans="2:9" ht="15" customHeight="1" x14ac:dyDescent="0.35">
      <c r="C419" s="104">
        <v>2</v>
      </c>
      <c r="D419" s="213" t="s">
        <v>1900</v>
      </c>
      <c r="E419" s="213"/>
      <c r="F419" s="213"/>
      <c r="G419" s="213"/>
      <c r="H419" s="213"/>
      <c r="I419" s="213"/>
    </row>
    <row r="420" spans="2:9" ht="15" customHeight="1" x14ac:dyDescent="0.35">
      <c r="C420" s="104">
        <v>3</v>
      </c>
      <c r="D420" s="213" t="s">
        <v>1901</v>
      </c>
      <c r="E420" s="213"/>
      <c r="F420" s="213"/>
      <c r="G420" s="213"/>
      <c r="H420" s="213"/>
      <c r="I420" s="213"/>
    </row>
    <row r="421" spans="2:9" ht="15" customHeight="1" x14ac:dyDescent="0.35">
      <c r="B421" s="278"/>
      <c r="C421" s="284">
        <v>4</v>
      </c>
      <c r="D421" s="1140" t="s">
        <v>994</v>
      </c>
      <c r="E421" s="1140"/>
      <c r="F421" s="1140"/>
      <c r="G421" s="1140"/>
      <c r="H421" s="1140"/>
      <c r="I421" s="1140"/>
    </row>
    <row r="422" spans="2:9" ht="15" customHeight="1" x14ac:dyDescent="0.35">
      <c r="B422" s="1179" t="s">
        <v>234</v>
      </c>
      <c r="C422" s="575">
        <v>1</v>
      </c>
      <c r="D422" s="213" t="s">
        <v>1902</v>
      </c>
      <c r="E422" s="480"/>
      <c r="F422" s="480"/>
      <c r="G422" s="480"/>
      <c r="H422" s="480"/>
      <c r="I422" s="480"/>
    </row>
    <row r="423" spans="2:9" ht="15" customHeight="1" x14ac:dyDescent="0.35">
      <c r="B423" s="278"/>
      <c r="C423" s="105">
        <v>2</v>
      </c>
      <c r="D423" s="102" t="s">
        <v>1903</v>
      </c>
      <c r="E423" s="102"/>
      <c r="F423" s="102"/>
      <c r="G423" s="102"/>
      <c r="H423" s="102"/>
      <c r="I423" s="102"/>
    </row>
    <row r="424" spans="2:9" ht="15" customHeight="1" x14ac:dyDescent="0.35">
      <c r="B424" s="1179" t="s">
        <v>1904</v>
      </c>
      <c r="C424" s="575">
        <v>1</v>
      </c>
      <c r="D424" s="480" t="s">
        <v>1905</v>
      </c>
      <c r="E424" s="480"/>
      <c r="F424" s="480"/>
      <c r="G424" s="480"/>
      <c r="H424" s="480"/>
      <c r="I424" s="480"/>
    </row>
    <row r="425" spans="2:9" ht="15" customHeight="1" x14ac:dyDescent="0.35">
      <c r="B425" s="278"/>
      <c r="C425" s="284">
        <v>2</v>
      </c>
      <c r="D425" s="1140" t="s">
        <v>1906</v>
      </c>
      <c r="E425" s="1140"/>
      <c r="F425" s="1140"/>
      <c r="G425" s="1140"/>
      <c r="H425" s="1140"/>
      <c r="I425" s="1140"/>
    </row>
    <row r="426" spans="2:9" ht="15" customHeight="1" x14ac:dyDescent="0.35">
      <c r="B426" s="1179" t="s">
        <v>1907</v>
      </c>
      <c r="C426" s="575">
        <v>0</v>
      </c>
      <c r="D426" s="213" t="s">
        <v>1908</v>
      </c>
      <c r="E426" s="480"/>
      <c r="F426" s="480"/>
      <c r="G426" s="480"/>
      <c r="H426" s="480"/>
      <c r="I426" s="480"/>
    </row>
    <row r="427" spans="2:9" ht="15" customHeight="1" x14ac:dyDescent="0.35">
      <c r="B427" s="71"/>
      <c r="C427" s="104">
        <v>1</v>
      </c>
      <c r="D427" s="213" t="s">
        <v>1909</v>
      </c>
      <c r="E427" s="213"/>
      <c r="F427" s="213"/>
      <c r="G427" s="213"/>
      <c r="H427" s="213"/>
      <c r="I427" s="213"/>
    </row>
    <row r="428" spans="2:9" ht="15" customHeight="1" x14ac:dyDescent="0.35">
      <c r="C428" s="104">
        <v>2</v>
      </c>
      <c r="D428" s="213" t="s">
        <v>1910</v>
      </c>
      <c r="E428" s="213"/>
      <c r="F428" s="213"/>
      <c r="G428" s="213"/>
      <c r="H428" s="213"/>
      <c r="I428" s="213"/>
    </row>
    <row r="429" spans="2:9" ht="15" customHeight="1" x14ac:dyDescent="0.35">
      <c r="C429" s="105">
        <v>3</v>
      </c>
      <c r="D429" s="102" t="s">
        <v>1911</v>
      </c>
      <c r="E429" s="102"/>
      <c r="F429" s="102"/>
      <c r="G429" s="102"/>
      <c r="H429" s="102"/>
      <c r="I429" s="102"/>
    </row>
    <row r="430" spans="2:9" ht="15" customHeight="1" x14ac:dyDescent="0.35">
      <c r="B430" s="1179" t="s">
        <v>1912</v>
      </c>
      <c r="C430" s="575">
        <v>1</v>
      </c>
      <c r="D430" s="1285" t="s">
        <v>1883</v>
      </c>
      <c r="E430" s="480"/>
      <c r="F430" s="480"/>
      <c r="G430" s="480"/>
      <c r="H430" s="480"/>
      <c r="I430" s="480"/>
    </row>
    <row r="431" spans="2:9" ht="15" customHeight="1" x14ac:dyDescent="0.35">
      <c r="C431" s="247">
        <v>2</v>
      </c>
      <c r="D431" s="123" t="s">
        <v>1913</v>
      </c>
      <c r="E431" s="99"/>
      <c r="F431" s="99"/>
      <c r="G431" s="99"/>
      <c r="H431" s="99"/>
      <c r="I431" s="99"/>
    </row>
    <row r="432" spans="2:9" ht="15" customHeight="1" x14ac:dyDescent="0.35">
      <c r="B432" s="278"/>
      <c r="C432" s="369">
        <v>3</v>
      </c>
      <c r="D432" s="198" t="s">
        <v>1914</v>
      </c>
      <c r="E432" s="274"/>
      <c r="F432" s="274"/>
      <c r="G432" s="274"/>
      <c r="H432" s="274"/>
      <c r="I432" s="274"/>
    </row>
    <row r="433" spans="1:9" ht="15" customHeight="1" x14ac:dyDescent="0.35">
      <c r="B433" s="1179" t="s">
        <v>1915</v>
      </c>
      <c r="C433" s="575">
        <v>1</v>
      </c>
      <c r="D433" s="480" t="s">
        <v>1916</v>
      </c>
      <c r="E433" s="480"/>
      <c r="F433" s="480"/>
      <c r="G433" s="480"/>
      <c r="H433" s="480"/>
      <c r="I433" s="480"/>
    </row>
    <row r="434" spans="1:9" ht="15" customHeight="1" x14ac:dyDescent="0.35">
      <c r="B434" s="278"/>
      <c r="C434" s="284">
        <v>2</v>
      </c>
      <c r="D434" s="1140" t="s">
        <v>1917</v>
      </c>
      <c r="E434" s="1140"/>
      <c r="F434" s="1140"/>
      <c r="G434" s="1140"/>
      <c r="H434" s="1140"/>
      <c r="I434" s="1140"/>
    </row>
    <row r="435" spans="1:9" ht="15" customHeight="1" x14ac:dyDescent="0.35">
      <c r="B435" s="1179" t="s">
        <v>1918</v>
      </c>
      <c r="C435" s="575">
        <v>0</v>
      </c>
      <c r="D435" s="213" t="s">
        <v>1919</v>
      </c>
      <c r="E435" s="480"/>
      <c r="F435" s="480"/>
      <c r="G435" s="480"/>
      <c r="H435" s="480"/>
      <c r="I435" s="480"/>
    </row>
    <row r="436" spans="1:9" ht="15" customHeight="1" x14ac:dyDescent="0.35">
      <c r="B436" s="71"/>
      <c r="C436" s="104">
        <v>1</v>
      </c>
      <c r="D436" s="213" t="s">
        <v>1920</v>
      </c>
      <c r="E436" s="213"/>
      <c r="F436" s="213"/>
      <c r="G436" s="213"/>
      <c r="H436" s="213"/>
      <c r="I436" s="213"/>
    </row>
    <row r="437" spans="1:9" ht="15" customHeight="1" x14ac:dyDescent="0.35">
      <c r="C437" s="104">
        <v>2</v>
      </c>
      <c r="D437" s="1140" t="s">
        <v>1921</v>
      </c>
      <c r="E437" s="213"/>
      <c r="F437" s="213"/>
      <c r="G437" s="213"/>
      <c r="H437" s="213"/>
      <c r="I437" s="213"/>
    </row>
    <row r="438" spans="1:9" ht="15" customHeight="1" x14ac:dyDescent="0.35">
      <c r="B438" s="1284" t="s">
        <v>10</v>
      </c>
      <c r="C438" s="575">
        <v>1</v>
      </c>
      <c r="D438" s="480" t="s">
        <v>11</v>
      </c>
      <c r="E438" s="480"/>
      <c r="F438" s="480"/>
      <c r="G438" s="480"/>
      <c r="H438" s="480"/>
      <c r="I438" s="480"/>
    </row>
    <row r="439" spans="1:9" ht="15" customHeight="1" x14ac:dyDescent="0.35">
      <c r="C439" s="104">
        <v>2</v>
      </c>
      <c r="D439" s="213" t="s">
        <v>1922</v>
      </c>
      <c r="E439" s="213"/>
      <c r="F439" s="213"/>
      <c r="G439" s="213"/>
      <c r="H439" s="213"/>
      <c r="I439" s="213"/>
    </row>
    <row r="440" spans="1:9" ht="15" customHeight="1" x14ac:dyDescent="0.35">
      <c r="B440" s="278"/>
      <c r="C440" s="284">
        <v>3</v>
      </c>
      <c r="D440" s="1140" t="s">
        <v>1923</v>
      </c>
      <c r="E440" s="1140"/>
      <c r="F440" s="1140"/>
      <c r="G440" s="1140"/>
      <c r="H440" s="1140"/>
      <c r="I440" s="1140"/>
    </row>
    <row r="441" spans="1:9" ht="15" customHeight="1" x14ac:dyDescent="0.35">
      <c r="B441" s="71" t="s">
        <v>1924</v>
      </c>
      <c r="C441" s="575">
        <v>1</v>
      </c>
      <c r="D441" s="480"/>
      <c r="E441" s="480"/>
      <c r="F441" s="480"/>
      <c r="G441" s="480"/>
      <c r="H441" s="480"/>
      <c r="I441" s="480"/>
    </row>
    <row r="442" spans="1:9" ht="15" customHeight="1" x14ac:dyDescent="0.35">
      <c r="B442" s="71"/>
      <c r="C442" s="104">
        <v>2</v>
      </c>
      <c r="D442" s="213"/>
      <c r="E442" s="213"/>
      <c r="F442" s="213"/>
      <c r="G442" s="213"/>
      <c r="H442" s="213"/>
      <c r="I442" s="213"/>
    </row>
    <row r="443" spans="1:9" ht="15" customHeight="1" x14ac:dyDescent="0.35">
      <c r="A443" s="1744"/>
      <c r="B443" s="71"/>
      <c r="C443" s="104">
        <v>3</v>
      </c>
      <c r="D443" s="213"/>
      <c r="E443" s="213"/>
      <c r="F443" s="213"/>
      <c r="G443" s="213"/>
      <c r="H443" s="213"/>
      <c r="I443" s="213"/>
    </row>
    <row r="444" spans="1:9" ht="15" customHeight="1" x14ac:dyDescent="0.35">
      <c r="B444" s="71"/>
      <c r="C444" s="104">
        <v>4</v>
      </c>
      <c r="D444" s="213"/>
      <c r="E444" s="213"/>
      <c r="F444" s="213"/>
      <c r="G444" s="213"/>
      <c r="H444" s="213"/>
      <c r="I444" s="213"/>
    </row>
    <row r="445" spans="1:9" ht="15" customHeight="1" x14ac:dyDescent="0.35">
      <c r="B445" s="71"/>
      <c r="C445" s="104">
        <v>5</v>
      </c>
      <c r="D445" s="213"/>
      <c r="E445" s="213"/>
      <c r="F445" s="213"/>
      <c r="G445" s="213"/>
      <c r="H445" s="213"/>
      <c r="I445" s="213"/>
    </row>
    <row r="446" spans="1:9" ht="15" customHeight="1" x14ac:dyDescent="0.35">
      <c r="C446" s="104">
        <v>6</v>
      </c>
      <c r="D446" s="213"/>
      <c r="E446" s="213"/>
      <c r="F446" s="213"/>
      <c r="G446" s="213"/>
      <c r="H446" s="213"/>
      <c r="I446" s="213"/>
    </row>
    <row r="447" spans="1:9" ht="15" customHeight="1" x14ac:dyDescent="0.35">
      <c r="C447" s="104">
        <v>7</v>
      </c>
      <c r="D447" s="213"/>
      <c r="E447" s="213"/>
      <c r="F447" s="213"/>
      <c r="G447" s="213"/>
      <c r="H447" s="213"/>
      <c r="I447" s="213"/>
    </row>
    <row r="448" spans="1:9" ht="15" customHeight="1" x14ac:dyDescent="0.35">
      <c r="B448" s="278"/>
      <c r="C448" s="284">
        <v>8</v>
      </c>
      <c r="D448" s="1140"/>
      <c r="E448" s="1140"/>
      <c r="F448" s="1140"/>
      <c r="G448" s="1140"/>
      <c r="H448" s="1140"/>
      <c r="I448" s="1140"/>
    </row>
    <row r="449" spans="2:10" ht="15" customHeight="1" x14ac:dyDescent="0.35">
      <c r="B449" s="1179" t="s">
        <v>1925</v>
      </c>
      <c r="C449" s="575">
        <v>1</v>
      </c>
      <c r="D449" s="482" t="s">
        <v>1847</v>
      </c>
      <c r="E449" s="480"/>
      <c r="F449" s="480"/>
      <c r="G449" s="480"/>
      <c r="H449" s="480"/>
      <c r="I449" s="480"/>
    </row>
    <row r="450" spans="2:10" ht="15" customHeight="1" x14ac:dyDescent="0.35">
      <c r="B450" s="278"/>
      <c r="C450" s="284">
        <v>2</v>
      </c>
      <c r="D450" s="1140" t="s">
        <v>1926</v>
      </c>
      <c r="E450" s="1140"/>
      <c r="F450" s="1140"/>
      <c r="G450" s="1140"/>
      <c r="H450" s="1140"/>
      <c r="I450" s="1140"/>
    </row>
    <row r="451" spans="2:10" ht="15" customHeight="1" x14ac:dyDescent="0.35">
      <c r="B451" s="1179" t="s">
        <v>1927</v>
      </c>
      <c r="C451" s="1286">
        <v>1</v>
      </c>
      <c r="D451" s="998" t="s">
        <v>1928</v>
      </c>
      <c r="E451" s="464"/>
      <c r="F451" s="480"/>
      <c r="G451" s="480"/>
      <c r="H451" s="480"/>
      <c r="I451" s="480"/>
    </row>
    <row r="452" spans="2:10" ht="15" customHeight="1" x14ac:dyDescent="0.35">
      <c r="C452" s="125">
        <v>2</v>
      </c>
      <c r="D452" s="272" t="s">
        <v>1929</v>
      </c>
      <c r="E452" s="99"/>
      <c r="F452" s="99"/>
      <c r="G452" s="99"/>
      <c r="H452" s="99"/>
      <c r="I452" s="99"/>
    </row>
    <row r="453" spans="2:10" ht="15" customHeight="1" x14ac:dyDescent="0.35">
      <c r="C453" s="125">
        <v>3</v>
      </c>
      <c r="D453" s="272" t="s">
        <v>1930</v>
      </c>
      <c r="E453" s="99"/>
      <c r="F453" s="99"/>
      <c r="G453" s="99"/>
      <c r="H453" s="99"/>
      <c r="I453" s="99"/>
    </row>
    <row r="454" spans="2:10" ht="15" customHeight="1" x14ac:dyDescent="0.35">
      <c r="B454" s="278"/>
      <c r="C454" s="1287">
        <v>4</v>
      </c>
      <c r="D454" s="1288" t="s">
        <v>1931</v>
      </c>
      <c r="E454" s="274"/>
      <c r="F454" s="274"/>
      <c r="G454" s="274"/>
      <c r="H454" s="274"/>
      <c r="I454" s="274"/>
    </row>
    <row r="455" spans="2:10" ht="15" customHeight="1" x14ac:dyDescent="0.35">
      <c r="B455" s="1179" t="s">
        <v>1932</v>
      </c>
      <c r="C455" s="575">
        <v>1</v>
      </c>
      <c r="D455" s="1285" t="s">
        <v>1933</v>
      </c>
      <c r="E455" s="480"/>
      <c r="F455" s="1289"/>
      <c r="G455" s="1289"/>
      <c r="H455" s="1289"/>
      <c r="I455" s="1289"/>
      <c r="J455" s="1290"/>
    </row>
    <row r="456" spans="2:10" ht="15" customHeight="1" x14ac:dyDescent="0.35">
      <c r="C456" s="104">
        <v>2</v>
      </c>
      <c r="D456" s="123" t="s">
        <v>1934</v>
      </c>
      <c r="E456" s="213"/>
      <c r="F456" s="37"/>
      <c r="G456" s="37"/>
      <c r="H456" s="37"/>
      <c r="I456" s="37"/>
      <c r="J456" s="1290"/>
    </row>
    <row r="457" spans="2:10" ht="15" customHeight="1" x14ac:dyDescent="0.35">
      <c r="B457" s="2"/>
      <c r="C457" s="194">
        <v>3</v>
      </c>
      <c r="D457" s="195" t="s">
        <v>1935</v>
      </c>
      <c r="E457" s="196"/>
      <c r="F457" s="37"/>
      <c r="G457" s="37"/>
      <c r="H457" s="37"/>
      <c r="I457" s="37"/>
      <c r="J457" s="1290"/>
    </row>
    <row r="458" spans="2:10" ht="15" customHeight="1" x14ac:dyDescent="0.35">
      <c r="B458" s="2"/>
      <c r="C458" s="194">
        <v>4</v>
      </c>
      <c r="D458" s="195" t="s">
        <v>1936</v>
      </c>
      <c r="E458" s="196"/>
      <c r="F458" s="37"/>
      <c r="G458" s="37"/>
      <c r="H458" s="37"/>
      <c r="I458" s="37"/>
      <c r="J458" s="1290"/>
    </row>
    <row r="459" spans="2:10" ht="15" customHeight="1" x14ac:dyDescent="0.35">
      <c r="B459" s="2"/>
      <c r="C459" s="194">
        <v>5</v>
      </c>
      <c r="D459" s="195" t="s">
        <v>1937</v>
      </c>
      <c r="E459" s="196"/>
      <c r="F459" s="37"/>
      <c r="G459" s="37"/>
      <c r="H459" s="37"/>
      <c r="I459" s="37"/>
      <c r="J459" s="1290"/>
    </row>
    <row r="460" spans="2:10" ht="15" customHeight="1" x14ac:dyDescent="0.35">
      <c r="B460" s="2"/>
      <c r="C460" s="194">
        <v>6</v>
      </c>
      <c r="D460" s="195" t="s">
        <v>1938</v>
      </c>
      <c r="E460" s="196"/>
      <c r="F460" s="37"/>
      <c r="G460" s="37"/>
      <c r="H460" s="37"/>
      <c r="I460" s="37"/>
      <c r="J460" s="1290"/>
    </row>
    <row r="461" spans="2:10" ht="15" customHeight="1" x14ac:dyDescent="0.35">
      <c r="B461" s="2"/>
      <c r="C461" s="194">
        <v>7</v>
      </c>
      <c r="D461" s="195" t="s">
        <v>1939</v>
      </c>
      <c r="E461" s="196"/>
      <c r="F461" s="37"/>
      <c r="G461" s="37"/>
      <c r="H461" s="37"/>
      <c r="I461" s="37"/>
      <c r="J461" s="1290"/>
    </row>
    <row r="462" spans="2:10" ht="15" customHeight="1" x14ac:dyDescent="0.35">
      <c r="B462" s="2"/>
      <c r="C462" s="194">
        <v>8</v>
      </c>
      <c r="D462" s="195" t="s">
        <v>1940</v>
      </c>
      <c r="E462" s="196"/>
      <c r="F462" s="37"/>
      <c r="G462" s="37"/>
      <c r="H462" s="37"/>
      <c r="I462" s="37"/>
      <c r="J462" s="1290"/>
    </row>
    <row r="463" spans="2:10" ht="15" customHeight="1" x14ac:dyDescent="0.35">
      <c r="B463" s="2"/>
      <c r="C463" s="194">
        <v>9</v>
      </c>
      <c r="D463" s="195" t="s">
        <v>1941</v>
      </c>
      <c r="E463" s="196"/>
      <c r="F463" s="37"/>
      <c r="G463" s="37"/>
      <c r="H463" s="37"/>
      <c r="I463" s="37"/>
      <c r="J463" s="1290"/>
    </row>
    <row r="464" spans="2:10" ht="15" customHeight="1" x14ac:dyDescent="0.35">
      <c r="B464" s="2"/>
      <c r="C464" s="194">
        <v>10</v>
      </c>
      <c r="D464" s="195" t="s">
        <v>1942</v>
      </c>
      <c r="E464" s="196"/>
      <c r="F464" s="37"/>
      <c r="G464" s="37"/>
      <c r="H464" s="37"/>
      <c r="I464" s="37"/>
      <c r="J464" s="1290"/>
    </row>
    <row r="465" spans="2:10" ht="15" customHeight="1" x14ac:dyDescent="0.35">
      <c r="B465" s="2"/>
      <c r="C465" s="194">
        <v>11</v>
      </c>
      <c r="D465" s="195" t="s">
        <v>1943</v>
      </c>
      <c r="E465" s="196"/>
      <c r="F465" s="37"/>
      <c r="G465" s="37"/>
      <c r="H465" s="37"/>
      <c r="I465" s="37"/>
      <c r="J465" s="1290"/>
    </row>
    <row r="466" spans="2:10" ht="15" customHeight="1" x14ac:dyDescent="0.35">
      <c r="B466" s="2"/>
      <c r="C466" s="194">
        <v>12</v>
      </c>
      <c r="D466" s="195" t="s">
        <v>1944</v>
      </c>
      <c r="E466" s="196"/>
      <c r="F466" s="37"/>
      <c r="G466" s="37"/>
      <c r="H466" s="37"/>
      <c r="I466" s="37"/>
      <c r="J466" s="1290"/>
    </row>
    <row r="467" spans="2:10" ht="15" customHeight="1" x14ac:dyDescent="0.35">
      <c r="B467" s="2"/>
      <c r="C467" s="194">
        <v>13</v>
      </c>
      <c r="D467" s="195" t="s">
        <v>1945</v>
      </c>
      <c r="E467" s="196"/>
      <c r="F467" s="37"/>
      <c r="G467" s="37"/>
      <c r="H467" s="37"/>
      <c r="I467" s="37"/>
      <c r="J467" s="1290"/>
    </row>
    <row r="468" spans="2:10" ht="15" customHeight="1" x14ac:dyDescent="0.35">
      <c r="B468" s="2"/>
      <c r="C468" s="194">
        <v>14</v>
      </c>
      <c r="D468" s="195" t="s">
        <v>1946</v>
      </c>
      <c r="E468" s="196"/>
      <c r="F468" s="37"/>
      <c r="G468" s="37"/>
      <c r="H468" s="37"/>
      <c r="I468" s="37"/>
      <c r="J468" s="1290"/>
    </row>
    <row r="469" spans="2:10" ht="15" customHeight="1" x14ac:dyDescent="0.35">
      <c r="B469" s="2"/>
      <c r="C469" s="194">
        <v>15</v>
      </c>
      <c r="D469" s="195" t="s">
        <v>1947</v>
      </c>
      <c r="E469" s="196"/>
      <c r="F469" s="37"/>
      <c r="G469" s="37"/>
      <c r="H469" s="37"/>
      <c r="I469" s="37"/>
      <c r="J469" s="1290"/>
    </row>
    <row r="470" spans="2:10" ht="15" customHeight="1" x14ac:dyDescent="0.35">
      <c r="B470" s="2"/>
      <c r="C470" s="194">
        <v>16</v>
      </c>
      <c r="D470" s="195" t="s">
        <v>1948</v>
      </c>
      <c r="E470" s="196"/>
      <c r="F470" s="37"/>
      <c r="G470" s="37"/>
      <c r="H470" s="37"/>
      <c r="I470" s="37"/>
      <c r="J470" s="1290"/>
    </row>
    <row r="471" spans="2:10" ht="15" customHeight="1" x14ac:dyDescent="0.35">
      <c r="B471" s="2"/>
      <c r="C471" s="194">
        <v>17</v>
      </c>
      <c r="D471" s="195" t="s">
        <v>1949</v>
      </c>
      <c r="E471" s="196"/>
      <c r="F471" s="37"/>
      <c r="G471" s="37"/>
      <c r="H471" s="37"/>
      <c r="I471" s="37"/>
      <c r="J471" s="1290"/>
    </row>
    <row r="472" spans="2:10" ht="15" customHeight="1" x14ac:dyDescent="0.35">
      <c r="B472" s="2"/>
      <c r="C472" s="194">
        <v>18</v>
      </c>
      <c r="D472" s="195" t="s">
        <v>1950</v>
      </c>
      <c r="E472" s="196"/>
      <c r="F472" s="37"/>
      <c r="G472" s="37"/>
      <c r="H472" s="37"/>
      <c r="I472" s="37"/>
      <c r="J472" s="1290"/>
    </row>
    <row r="473" spans="2:10" ht="15" customHeight="1" x14ac:dyDescent="0.35">
      <c r="B473" s="2"/>
      <c r="C473" s="194">
        <v>19</v>
      </c>
      <c r="D473" s="195" t="s">
        <v>1951</v>
      </c>
      <c r="E473" s="196"/>
      <c r="F473" s="37"/>
      <c r="G473" s="37"/>
      <c r="H473" s="37"/>
      <c r="I473" s="37"/>
      <c r="J473" s="1290"/>
    </row>
    <row r="474" spans="2:10" ht="15" customHeight="1" x14ac:dyDescent="0.35">
      <c r="B474" s="2"/>
      <c r="C474" s="194">
        <v>20</v>
      </c>
      <c r="D474" s="195" t="s">
        <v>1952</v>
      </c>
      <c r="E474" s="196"/>
      <c r="F474" s="37"/>
      <c r="G474" s="37"/>
      <c r="H474" s="37"/>
      <c r="I474" s="37"/>
      <c r="J474" s="1290"/>
    </row>
    <row r="475" spans="2:10" ht="15" customHeight="1" x14ac:dyDescent="0.35">
      <c r="B475" s="2"/>
      <c r="C475" s="990">
        <v>21</v>
      </c>
      <c r="D475" s="991" t="s">
        <v>1953</v>
      </c>
      <c r="E475" s="992"/>
      <c r="F475" s="910"/>
      <c r="G475" s="910"/>
      <c r="H475" s="910"/>
      <c r="I475" s="910"/>
      <c r="J475" s="1290"/>
    </row>
    <row r="476" spans="2:10" ht="15" customHeight="1" x14ac:dyDescent="0.35">
      <c r="B476" s="1179" t="s">
        <v>1954</v>
      </c>
      <c r="C476" s="1291">
        <v>0</v>
      </c>
      <c r="D476" s="757"/>
      <c r="E476" s="858"/>
      <c r="F476" s="858"/>
      <c r="G476" s="858"/>
      <c r="H476" s="858"/>
      <c r="I476" s="858"/>
    </row>
    <row r="477" spans="2:10" ht="15" customHeight="1" x14ac:dyDescent="0.35">
      <c r="B477" s="71"/>
      <c r="C477" s="104">
        <v>1</v>
      </c>
      <c r="D477" s="213"/>
      <c r="E477" s="213"/>
      <c r="F477" s="213"/>
      <c r="G477" s="213"/>
      <c r="H477" s="213"/>
      <c r="I477" s="213"/>
    </row>
    <row r="478" spans="2:10" ht="15" customHeight="1" x14ac:dyDescent="0.35">
      <c r="B478" s="71"/>
      <c r="C478" s="104">
        <v>2</v>
      </c>
      <c r="D478" s="213"/>
      <c r="E478" s="213"/>
      <c r="F478" s="213"/>
      <c r="G478" s="213"/>
      <c r="H478" s="213"/>
      <c r="I478" s="213"/>
    </row>
    <row r="479" spans="2:10" ht="15" customHeight="1" x14ac:dyDescent="0.35">
      <c r="B479" s="71"/>
      <c r="C479" s="104">
        <v>3</v>
      </c>
      <c r="D479" s="213"/>
      <c r="E479" s="213"/>
      <c r="F479" s="213"/>
      <c r="G479" s="213"/>
      <c r="H479" s="213"/>
      <c r="I479" s="213"/>
    </row>
    <row r="480" spans="2:10" ht="15" customHeight="1" x14ac:dyDescent="0.35">
      <c r="B480" s="71"/>
      <c r="C480" s="104">
        <v>4</v>
      </c>
      <c r="D480" s="213"/>
      <c r="E480" s="213"/>
      <c r="F480" s="213"/>
      <c r="G480" s="213"/>
      <c r="H480" s="213"/>
      <c r="I480" s="213"/>
    </row>
    <row r="481" spans="2:9" ht="15" customHeight="1" x14ac:dyDescent="0.35">
      <c r="B481" s="71"/>
      <c r="C481" s="104">
        <v>5</v>
      </c>
      <c r="D481" s="213"/>
      <c r="E481" s="213"/>
      <c r="F481" s="213"/>
      <c r="G481" s="213"/>
      <c r="H481" s="213"/>
      <c r="I481" s="213"/>
    </row>
    <row r="482" spans="2:9" ht="15" customHeight="1" x14ac:dyDescent="0.35">
      <c r="B482" s="71"/>
      <c r="C482" s="104">
        <v>6</v>
      </c>
      <c r="D482" s="213"/>
      <c r="E482" s="213"/>
      <c r="F482" s="213"/>
      <c r="G482" s="213"/>
      <c r="H482" s="213"/>
      <c r="I482" s="213"/>
    </row>
    <row r="483" spans="2:9" ht="15" customHeight="1" x14ac:dyDescent="0.35">
      <c r="B483" s="71"/>
      <c r="C483" s="104">
        <v>7</v>
      </c>
      <c r="D483" s="213"/>
      <c r="E483" s="213"/>
      <c r="F483" s="213"/>
      <c r="G483" s="213"/>
      <c r="H483" s="213"/>
      <c r="I483" s="213"/>
    </row>
    <row r="484" spans="2:9" ht="15" customHeight="1" x14ac:dyDescent="0.35">
      <c r="B484" s="71"/>
      <c r="C484" s="104">
        <v>8</v>
      </c>
      <c r="D484" s="213"/>
      <c r="E484" s="213"/>
      <c r="F484" s="213"/>
      <c r="G484" s="213"/>
      <c r="H484" s="213"/>
      <c r="I484" s="213"/>
    </row>
    <row r="485" spans="2:9" ht="15" customHeight="1" x14ac:dyDescent="0.35">
      <c r="B485" s="71"/>
      <c r="C485" s="104">
        <v>9</v>
      </c>
      <c r="D485" s="213"/>
      <c r="E485" s="213"/>
      <c r="F485" s="213"/>
      <c r="G485" s="213"/>
      <c r="H485" s="213"/>
      <c r="I485" s="213"/>
    </row>
    <row r="486" spans="2:9" ht="15" customHeight="1" x14ac:dyDescent="0.35">
      <c r="B486" s="71"/>
      <c r="C486" s="104">
        <v>10</v>
      </c>
      <c r="D486" s="213"/>
      <c r="E486" s="213"/>
      <c r="F486" s="213"/>
      <c r="G486" s="213"/>
      <c r="H486" s="213"/>
      <c r="I486" s="213"/>
    </row>
    <row r="487" spans="2:9" ht="15" customHeight="1" x14ac:dyDescent="0.35">
      <c r="B487" s="71"/>
      <c r="C487" s="104">
        <v>11</v>
      </c>
      <c r="D487" s="213"/>
      <c r="E487" s="213"/>
      <c r="F487" s="213"/>
      <c r="G487" s="213"/>
      <c r="H487" s="213"/>
      <c r="I487" s="213"/>
    </row>
    <row r="488" spans="2:9" ht="15" customHeight="1" x14ac:dyDescent="0.35">
      <c r="B488" s="71"/>
      <c r="C488" s="104">
        <v>12</v>
      </c>
      <c r="D488" s="213"/>
      <c r="E488" s="213"/>
      <c r="F488" s="213"/>
      <c r="G488" s="213"/>
      <c r="H488" s="213"/>
      <c r="I488" s="213"/>
    </row>
    <row r="489" spans="2:9" ht="15" customHeight="1" x14ac:dyDescent="0.35">
      <c r="B489" s="71"/>
      <c r="C489" s="104">
        <v>13</v>
      </c>
      <c r="D489" s="213"/>
      <c r="E489" s="213"/>
      <c r="F489" s="213"/>
      <c r="G489" s="213"/>
      <c r="H489" s="213"/>
      <c r="I489" s="213"/>
    </row>
    <row r="490" spans="2:9" ht="15" customHeight="1" x14ac:dyDescent="0.35">
      <c r="B490" s="71"/>
      <c r="C490" s="104">
        <v>14</v>
      </c>
      <c r="D490" s="213"/>
      <c r="E490" s="213"/>
      <c r="F490" s="213"/>
      <c r="G490" s="213"/>
      <c r="H490" s="213"/>
      <c r="I490" s="213"/>
    </row>
    <row r="491" spans="2:9" ht="15" customHeight="1" x14ac:dyDescent="0.35">
      <c r="B491" s="71"/>
      <c r="C491" s="104">
        <v>15</v>
      </c>
      <c r="D491" s="213"/>
      <c r="E491" s="213"/>
      <c r="F491" s="213"/>
      <c r="G491" s="213"/>
      <c r="H491" s="213"/>
      <c r="I491" s="213"/>
    </row>
    <row r="492" spans="2:9" ht="15" customHeight="1" x14ac:dyDescent="0.35">
      <c r="B492" s="71"/>
      <c r="C492" s="104">
        <v>16</v>
      </c>
      <c r="D492" s="213"/>
      <c r="E492" s="213"/>
      <c r="F492" s="213"/>
      <c r="G492" s="213"/>
      <c r="H492" s="213"/>
      <c r="I492" s="213"/>
    </row>
    <row r="493" spans="2:9" ht="15" customHeight="1" x14ac:dyDescent="0.35">
      <c r="B493" s="71"/>
      <c r="C493" s="104">
        <v>17</v>
      </c>
      <c r="D493" s="213"/>
      <c r="E493" s="213"/>
      <c r="F493" s="213"/>
      <c r="G493" s="213"/>
      <c r="H493" s="213"/>
      <c r="I493" s="213"/>
    </row>
    <row r="494" spans="2:9" ht="15" customHeight="1" x14ac:dyDescent="0.35">
      <c r="B494" s="71"/>
      <c r="C494" s="104">
        <v>18</v>
      </c>
      <c r="D494" s="213"/>
      <c r="E494" s="213"/>
      <c r="F494" s="213"/>
      <c r="G494" s="213"/>
      <c r="H494" s="213"/>
      <c r="I494" s="213"/>
    </row>
    <row r="495" spans="2:9" ht="15" customHeight="1" x14ac:dyDescent="0.35">
      <c r="B495" s="71"/>
      <c r="C495" s="104">
        <v>19</v>
      </c>
      <c r="D495" s="213"/>
      <c r="E495" s="213"/>
      <c r="F495" s="213"/>
      <c r="G495" s="213"/>
      <c r="H495" s="213"/>
      <c r="I495" s="213"/>
    </row>
    <row r="496" spans="2:9" ht="15" customHeight="1" x14ac:dyDescent="0.35">
      <c r="B496" s="71"/>
      <c r="C496" s="104">
        <v>20</v>
      </c>
      <c r="D496" s="213"/>
      <c r="E496" s="213"/>
      <c r="F496" s="213"/>
      <c r="G496" s="213"/>
      <c r="H496" s="213"/>
      <c r="I496" s="213"/>
    </row>
    <row r="497" spans="2:9" ht="15" customHeight="1" x14ac:dyDescent="0.35">
      <c r="B497" s="71"/>
      <c r="C497" s="104">
        <v>21</v>
      </c>
      <c r="D497" s="213"/>
      <c r="E497" s="213"/>
      <c r="F497" s="213"/>
      <c r="G497" s="213"/>
      <c r="H497" s="213"/>
      <c r="I497" s="213"/>
    </row>
    <row r="498" spans="2:9" ht="15" customHeight="1" x14ac:dyDescent="0.35">
      <c r="B498" s="71"/>
      <c r="C498" s="104">
        <v>22</v>
      </c>
      <c r="D498" s="213"/>
      <c r="E498" s="213"/>
      <c r="F498" s="213"/>
      <c r="G498" s="213"/>
      <c r="H498" s="213"/>
      <c r="I498" s="213"/>
    </row>
    <row r="499" spans="2:9" ht="15" customHeight="1" x14ac:dyDescent="0.35">
      <c r="B499" s="71"/>
      <c r="C499" s="104">
        <v>23</v>
      </c>
      <c r="D499" s="213"/>
      <c r="E499" s="213"/>
      <c r="F499" s="213"/>
      <c r="G499" s="213"/>
      <c r="H499" s="213"/>
      <c r="I499" s="213"/>
    </row>
    <row r="500" spans="2:9" ht="15" customHeight="1" x14ac:dyDescent="0.35">
      <c r="B500" s="71"/>
      <c r="C500" s="104">
        <v>24</v>
      </c>
      <c r="D500" s="213"/>
      <c r="E500" s="213"/>
      <c r="F500" s="213"/>
      <c r="G500" s="213"/>
      <c r="H500" s="213"/>
      <c r="I500" s="213"/>
    </row>
    <row r="501" spans="2:9" ht="15" customHeight="1" x14ac:dyDescent="0.35">
      <c r="B501" s="71"/>
      <c r="C501" s="104">
        <v>25</v>
      </c>
      <c r="D501" s="213"/>
      <c r="E501" s="213"/>
      <c r="F501" s="213"/>
      <c r="G501" s="213"/>
      <c r="H501" s="213"/>
      <c r="I501" s="213"/>
    </row>
    <row r="502" spans="2:9" ht="15" customHeight="1" x14ac:dyDescent="0.35">
      <c r="B502" s="71"/>
      <c r="C502" s="104">
        <v>26</v>
      </c>
      <c r="D502" s="213"/>
      <c r="E502" s="213"/>
      <c r="F502" s="213"/>
      <c r="G502" s="213"/>
      <c r="H502" s="213"/>
      <c r="I502" s="213"/>
    </row>
    <row r="503" spans="2:9" ht="15" customHeight="1" x14ac:dyDescent="0.35">
      <c r="B503" s="71"/>
      <c r="C503" s="104">
        <v>27</v>
      </c>
      <c r="D503" s="213"/>
      <c r="E503" s="213"/>
      <c r="F503" s="213"/>
      <c r="G503" s="213"/>
      <c r="H503" s="213"/>
      <c r="I503" s="213"/>
    </row>
    <row r="504" spans="2:9" ht="15" customHeight="1" x14ac:dyDescent="0.35">
      <c r="B504" s="71"/>
      <c r="C504" s="104">
        <v>28</v>
      </c>
      <c r="D504" s="213"/>
      <c r="E504" s="213"/>
      <c r="F504" s="213"/>
      <c r="G504" s="213"/>
      <c r="H504" s="213"/>
      <c r="I504" s="213"/>
    </row>
    <row r="505" spans="2:9" ht="15" customHeight="1" x14ac:dyDescent="0.35">
      <c r="B505" s="71"/>
      <c r="C505" s="104">
        <v>29</v>
      </c>
      <c r="D505" s="213"/>
      <c r="E505" s="213"/>
      <c r="F505" s="213"/>
      <c r="G505" s="213"/>
      <c r="H505" s="213"/>
      <c r="I505" s="213"/>
    </row>
    <row r="506" spans="2:9" ht="15" customHeight="1" x14ac:dyDescent="0.35">
      <c r="B506" s="71"/>
      <c r="C506" s="104">
        <v>30</v>
      </c>
      <c r="D506" s="213"/>
      <c r="E506" s="213"/>
      <c r="F506" s="213"/>
      <c r="G506" s="213"/>
      <c r="H506" s="213"/>
      <c r="I506" s="213"/>
    </row>
    <row r="507" spans="2:9" ht="15" customHeight="1" x14ac:dyDescent="0.35">
      <c r="B507" s="71"/>
      <c r="C507" s="104">
        <v>31</v>
      </c>
      <c r="D507" s="213"/>
      <c r="E507" s="213"/>
      <c r="F507" s="213"/>
      <c r="G507" s="213"/>
      <c r="H507" s="213"/>
      <c r="I507" s="213"/>
    </row>
    <row r="508" spans="2:9" ht="15" customHeight="1" x14ac:dyDescent="0.35">
      <c r="B508" s="71"/>
      <c r="C508" s="104">
        <v>32</v>
      </c>
      <c r="D508" s="213"/>
      <c r="E508" s="213"/>
      <c r="F508" s="213"/>
      <c r="G508" s="213"/>
      <c r="H508" s="213"/>
      <c r="I508" s="213"/>
    </row>
    <row r="509" spans="2:9" ht="15" customHeight="1" x14ac:dyDescent="0.35">
      <c r="B509" s="71"/>
      <c r="C509" s="104">
        <v>33</v>
      </c>
      <c r="D509" s="213"/>
      <c r="E509" s="213"/>
      <c r="F509" s="213"/>
      <c r="G509" s="213"/>
      <c r="H509" s="213"/>
      <c r="I509" s="213"/>
    </row>
    <row r="510" spans="2:9" ht="15" customHeight="1" x14ac:dyDescent="0.35">
      <c r="B510" s="71"/>
      <c r="C510" s="104">
        <v>34</v>
      </c>
      <c r="D510" s="213"/>
      <c r="E510" s="213"/>
      <c r="F510" s="213"/>
      <c r="G510" s="213"/>
      <c r="H510" s="213"/>
      <c r="I510" s="213"/>
    </row>
    <row r="511" spans="2:9" ht="15" customHeight="1" x14ac:dyDescent="0.35">
      <c r="B511" s="71"/>
      <c r="C511" s="104">
        <v>35</v>
      </c>
      <c r="D511" s="213"/>
      <c r="E511" s="213"/>
      <c r="F511" s="213"/>
      <c r="G511" s="213"/>
      <c r="H511" s="213"/>
      <c r="I511" s="213"/>
    </row>
    <row r="512" spans="2:9" ht="15" customHeight="1" x14ac:dyDescent="0.35">
      <c r="B512" s="71"/>
      <c r="C512" s="104">
        <v>36</v>
      </c>
      <c r="D512" s="213"/>
      <c r="E512" s="213"/>
      <c r="F512" s="213"/>
      <c r="G512" s="213"/>
      <c r="H512" s="213"/>
      <c r="I512" s="213"/>
    </row>
    <row r="513" spans="2:9" ht="15" customHeight="1" x14ac:dyDescent="0.35">
      <c r="B513" s="71"/>
      <c r="C513" s="104">
        <v>37</v>
      </c>
      <c r="D513" s="213"/>
      <c r="E513" s="213"/>
      <c r="F513" s="213"/>
      <c r="G513" s="213"/>
      <c r="H513" s="213"/>
      <c r="I513" s="213"/>
    </row>
    <row r="514" spans="2:9" ht="15" customHeight="1" x14ac:dyDescent="0.35">
      <c r="B514" s="71"/>
      <c r="C514" s="104">
        <v>38</v>
      </c>
      <c r="D514" s="213"/>
      <c r="E514" s="213"/>
      <c r="F514" s="213"/>
      <c r="G514" s="213"/>
      <c r="H514" s="213"/>
      <c r="I514" s="213"/>
    </row>
    <row r="515" spans="2:9" ht="15" customHeight="1" x14ac:dyDescent="0.35">
      <c r="B515" s="71"/>
      <c r="C515" s="104">
        <v>39</v>
      </c>
      <c r="D515" s="213"/>
      <c r="E515" s="213"/>
      <c r="F515" s="213"/>
      <c r="G515" s="213"/>
      <c r="H515" s="213"/>
      <c r="I515" s="213"/>
    </row>
    <row r="516" spans="2:9" ht="15" customHeight="1" x14ac:dyDescent="0.35">
      <c r="B516" s="71"/>
      <c r="C516" s="104">
        <v>40</v>
      </c>
      <c r="D516" s="213"/>
      <c r="E516" s="213"/>
      <c r="F516" s="213"/>
      <c r="G516" s="213"/>
      <c r="H516" s="213"/>
      <c r="I516" s="213"/>
    </row>
    <row r="517" spans="2:9" ht="15" customHeight="1" x14ac:dyDescent="0.35">
      <c r="B517" s="71"/>
      <c r="C517" s="104">
        <v>41</v>
      </c>
      <c r="D517" s="213"/>
      <c r="E517" s="213"/>
      <c r="F517" s="213"/>
      <c r="G517" s="213"/>
      <c r="H517" s="213"/>
      <c r="I517" s="213"/>
    </row>
    <row r="518" spans="2:9" ht="15" customHeight="1" x14ac:dyDescent="0.35">
      <c r="B518" s="71"/>
      <c r="C518" s="104">
        <v>42</v>
      </c>
      <c r="D518" s="213"/>
      <c r="E518" s="213"/>
      <c r="F518" s="213"/>
      <c r="G518" s="213"/>
      <c r="H518" s="213"/>
      <c r="I518" s="213"/>
    </row>
    <row r="519" spans="2:9" ht="15" customHeight="1" x14ac:dyDescent="0.35">
      <c r="B519" s="71"/>
      <c r="C519" s="104">
        <v>43</v>
      </c>
      <c r="D519" s="213"/>
      <c r="E519" s="213"/>
      <c r="F519" s="213"/>
      <c r="G519" s="213"/>
      <c r="H519" s="213"/>
      <c r="I519" s="213"/>
    </row>
    <row r="520" spans="2:9" ht="15" customHeight="1" x14ac:dyDescent="0.35">
      <c r="B520" s="71"/>
      <c r="C520" s="104">
        <v>44</v>
      </c>
      <c r="D520" s="213"/>
      <c r="E520" s="213"/>
      <c r="F520" s="213"/>
      <c r="G520" s="213"/>
      <c r="H520" s="213"/>
      <c r="I520" s="213"/>
    </row>
    <row r="521" spans="2:9" ht="15" customHeight="1" x14ac:dyDescent="0.35">
      <c r="B521" s="71"/>
      <c r="C521" s="104">
        <v>45</v>
      </c>
      <c r="D521" s="213"/>
      <c r="E521" s="213"/>
      <c r="F521" s="213"/>
      <c r="G521" s="213"/>
      <c r="H521" s="213"/>
      <c r="I521" s="213"/>
    </row>
    <row r="522" spans="2:9" ht="15" customHeight="1" x14ac:dyDescent="0.35">
      <c r="B522" s="71"/>
      <c r="C522" s="104">
        <v>46</v>
      </c>
      <c r="D522" s="213"/>
      <c r="E522" s="213"/>
      <c r="F522" s="213"/>
      <c r="G522" s="213"/>
      <c r="H522" s="213"/>
      <c r="I522" s="213"/>
    </row>
    <row r="523" spans="2:9" ht="15" customHeight="1" x14ac:dyDescent="0.35">
      <c r="B523" s="71"/>
      <c r="C523" s="104">
        <v>47</v>
      </c>
      <c r="D523" s="213"/>
      <c r="E523" s="213"/>
      <c r="F523" s="213"/>
      <c r="G523" s="213"/>
      <c r="H523" s="213"/>
      <c r="I523" s="213"/>
    </row>
    <row r="524" spans="2:9" ht="15" customHeight="1" x14ac:dyDescent="0.35">
      <c r="B524" s="71"/>
      <c r="C524" s="104">
        <v>48</v>
      </c>
      <c r="D524" s="213"/>
      <c r="E524" s="213"/>
      <c r="F524" s="213"/>
      <c r="G524" s="213"/>
      <c r="H524" s="213"/>
      <c r="I524" s="213"/>
    </row>
    <row r="525" spans="2:9" ht="15" customHeight="1" x14ac:dyDescent="0.35">
      <c r="B525" s="71"/>
      <c r="C525" s="104">
        <v>49</v>
      </c>
      <c r="D525" s="213"/>
      <c r="E525" s="213"/>
      <c r="F525" s="213"/>
      <c r="G525" s="213"/>
      <c r="H525" s="213"/>
      <c r="I525" s="213"/>
    </row>
    <row r="526" spans="2:9" ht="15" customHeight="1" x14ac:dyDescent="0.35">
      <c r="B526" s="71"/>
      <c r="C526" s="104">
        <v>50</v>
      </c>
      <c r="D526" s="213"/>
      <c r="E526" s="213"/>
      <c r="F526" s="213"/>
      <c r="G526" s="213"/>
      <c r="H526" s="213"/>
      <c r="I526" s="213"/>
    </row>
    <row r="527" spans="2:9" ht="15" customHeight="1" x14ac:dyDescent="0.35">
      <c r="B527" s="71"/>
      <c r="C527" s="104">
        <v>51</v>
      </c>
      <c r="D527" s="213"/>
      <c r="E527" s="213"/>
      <c r="F527" s="213"/>
      <c r="G527" s="213"/>
      <c r="H527" s="213"/>
      <c r="I527" s="213"/>
    </row>
    <row r="528" spans="2:9" ht="15" customHeight="1" x14ac:dyDescent="0.35">
      <c r="B528" s="71"/>
      <c r="C528" s="104">
        <v>52</v>
      </c>
      <c r="D528" s="213"/>
      <c r="E528" s="213"/>
      <c r="F528" s="213"/>
      <c r="G528" s="213"/>
      <c r="H528" s="213"/>
      <c r="I528" s="213"/>
    </row>
    <row r="529" spans="2:9" ht="15" customHeight="1" x14ac:dyDescent="0.35">
      <c r="B529" s="71"/>
      <c r="C529" s="104">
        <v>53</v>
      </c>
      <c r="D529" s="213"/>
      <c r="E529" s="213"/>
      <c r="F529" s="213"/>
      <c r="G529" s="213"/>
      <c r="H529" s="213"/>
      <c r="I529" s="213"/>
    </row>
    <row r="530" spans="2:9" ht="15" customHeight="1" x14ac:dyDescent="0.35">
      <c r="B530" s="71"/>
      <c r="C530" s="104">
        <v>54</v>
      </c>
      <c r="D530" s="213"/>
      <c r="E530" s="213"/>
      <c r="F530" s="213"/>
      <c r="G530" s="213"/>
      <c r="H530" s="213"/>
      <c r="I530" s="213"/>
    </row>
    <row r="531" spans="2:9" ht="15" customHeight="1" x14ac:dyDescent="0.35">
      <c r="B531" s="71"/>
      <c r="C531" s="104">
        <v>55</v>
      </c>
      <c r="D531" s="213"/>
      <c r="E531" s="213"/>
      <c r="F531" s="213"/>
      <c r="G531" s="213"/>
      <c r="H531" s="213"/>
      <c r="I531" s="213"/>
    </row>
    <row r="532" spans="2:9" ht="15" customHeight="1" x14ac:dyDescent="0.35">
      <c r="B532" s="71"/>
      <c r="C532" s="104">
        <v>56</v>
      </c>
      <c r="D532" s="213"/>
      <c r="E532" s="213"/>
      <c r="F532" s="213"/>
      <c r="G532" s="213"/>
      <c r="H532" s="213"/>
      <c r="I532" s="213"/>
    </row>
    <row r="533" spans="2:9" ht="15" customHeight="1" x14ac:dyDescent="0.35">
      <c r="B533" s="71"/>
      <c r="C533" s="104">
        <v>57</v>
      </c>
      <c r="D533" s="213"/>
      <c r="E533" s="213"/>
      <c r="F533" s="213"/>
      <c r="G533" s="213"/>
      <c r="H533" s="213"/>
      <c r="I533" s="213"/>
    </row>
    <row r="534" spans="2:9" ht="15" customHeight="1" x14ac:dyDescent="0.35">
      <c r="B534" s="71"/>
      <c r="C534" s="104">
        <v>58</v>
      </c>
      <c r="D534" s="213"/>
      <c r="E534" s="213"/>
      <c r="F534" s="213"/>
      <c r="G534" s="213"/>
      <c r="H534" s="213"/>
      <c r="I534" s="213"/>
    </row>
    <row r="535" spans="2:9" ht="15" customHeight="1" x14ac:dyDescent="0.35">
      <c r="B535" s="71"/>
      <c r="C535" s="104">
        <v>59</v>
      </c>
      <c r="D535" s="213"/>
      <c r="E535" s="213"/>
      <c r="F535" s="213"/>
      <c r="G535" s="213"/>
      <c r="H535" s="213"/>
      <c r="I535" s="213"/>
    </row>
    <row r="536" spans="2:9" ht="15" customHeight="1" x14ac:dyDescent="0.35">
      <c r="B536" s="71"/>
      <c r="C536" s="104">
        <v>60</v>
      </c>
      <c r="D536" s="213"/>
      <c r="E536" s="213"/>
      <c r="F536" s="213"/>
      <c r="G536" s="213"/>
      <c r="H536" s="213"/>
      <c r="I536" s="213"/>
    </row>
    <row r="537" spans="2:9" ht="15" customHeight="1" x14ac:dyDescent="0.35">
      <c r="B537" s="71"/>
      <c r="C537" s="104">
        <v>61</v>
      </c>
      <c r="D537" s="213"/>
      <c r="E537" s="213"/>
      <c r="F537" s="213"/>
      <c r="G537" s="213"/>
      <c r="H537" s="213"/>
      <c r="I537" s="213"/>
    </row>
    <row r="538" spans="2:9" ht="15" customHeight="1" x14ac:dyDescent="0.35">
      <c r="B538" s="71"/>
      <c r="C538" s="104">
        <v>62</v>
      </c>
      <c r="D538" s="213"/>
      <c r="E538" s="213"/>
      <c r="F538" s="213"/>
      <c r="G538" s="213"/>
      <c r="H538" s="213"/>
      <c r="I538" s="213"/>
    </row>
    <row r="539" spans="2:9" ht="15" customHeight="1" x14ac:dyDescent="0.35">
      <c r="B539" s="71"/>
      <c r="C539" s="104">
        <v>63</v>
      </c>
      <c r="D539" s="213"/>
      <c r="E539" s="213"/>
      <c r="F539" s="213"/>
      <c r="G539" s="213"/>
      <c r="H539" s="213"/>
      <c r="I539" s="213"/>
    </row>
    <row r="540" spans="2:9" ht="15" customHeight="1" x14ac:dyDescent="0.35">
      <c r="B540" s="71"/>
      <c r="C540" s="104">
        <v>64</v>
      </c>
      <c r="D540" s="213"/>
      <c r="E540" s="213"/>
      <c r="F540" s="213"/>
      <c r="G540" s="213"/>
      <c r="H540" s="213"/>
      <c r="I540" s="213"/>
    </row>
    <row r="541" spans="2:9" ht="15" customHeight="1" x14ac:dyDescent="0.35">
      <c r="B541" s="71"/>
      <c r="C541" s="104">
        <v>65</v>
      </c>
      <c r="D541" s="213"/>
      <c r="E541" s="213"/>
      <c r="F541" s="213"/>
      <c r="G541" s="213"/>
      <c r="H541" s="213"/>
      <c r="I541" s="213"/>
    </row>
    <row r="542" spans="2:9" ht="15" customHeight="1" x14ac:dyDescent="0.35">
      <c r="B542" s="71"/>
      <c r="C542" s="104">
        <v>66</v>
      </c>
      <c r="D542" s="213"/>
      <c r="E542" s="213"/>
      <c r="F542" s="213"/>
      <c r="G542" s="213"/>
      <c r="H542" s="213"/>
      <c r="I542" s="213"/>
    </row>
    <row r="543" spans="2:9" ht="15" customHeight="1" x14ac:dyDescent="0.35">
      <c r="B543" s="71"/>
      <c r="C543" s="104">
        <v>67</v>
      </c>
      <c r="D543" s="213"/>
      <c r="E543" s="213"/>
      <c r="F543" s="213"/>
      <c r="G543" s="213"/>
      <c r="H543" s="213"/>
      <c r="I543" s="213"/>
    </row>
    <row r="544" spans="2:9" ht="15" customHeight="1" x14ac:dyDescent="0.35">
      <c r="B544" s="71"/>
      <c r="C544" s="104">
        <v>68</v>
      </c>
      <c r="D544" s="213"/>
      <c r="E544" s="213"/>
      <c r="F544" s="213"/>
      <c r="G544" s="213"/>
      <c r="H544" s="213"/>
      <c r="I544" s="213"/>
    </row>
    <row r="545" spans="2:9" ht="15" customHeight="1" x14ac:dyDescent="0.35">
      <c r="B545" s="71"/>
      <c r="C545" s="104">
        <v>69</v>
      </c>
      <c r="D545" s="213"/>
      <c r="E545" s="213"/>
      <c r="F545" s="213"/>
      <c r="G545" s="213"/>
      <c r="H545" s="213"/>
      <c r="I545" s="213"/>
    </row>
    <row r="546" spans="2:9" ht="15" customHeight="1" x14ac:dyDescent="0.35">
      <c r="B546" s="71"/>
      <c r="C546" s="104">
        <v>70</v>
      </c>
      <c r="D546" s="213"/>
      <c r="E546" s="213"/>
      <c r="F546" s="213"/>
      <c r="G546" s="213"/>
      <c r="H546" s="213"/>
      <c r="I546" s="213"/>
    </row>
    <row r="547" spans="2:9" ht="15" customHeight="1" x14ac:dyDescent="0.35">
      <c r="B547" s="71"/>
      <c r="C547" s="104">
        <v>71</v>
      </c>
      <c r="D547" s="213"/>
      <c r="E547" s="213"/>
      <c r="F547" s="213"/>
      <c r="G547" s="213"/>
      <c r="H547" s="213"/>
      <c r="I547" s="213"/>
    </row>
    <row r="548" spans="2:9" ht="15" customHeight="1" x14ac:dyDescent="0.35">
      <c r="B548" s="71"/>
      <c r="C548" s="104">
        <v>72</v>
      </c>
      <c r="D548" s="213"/>
      <c r="E548" s="213"/>
      <c r="F548" s="213"/>
      <c r="G548" s="213"/>
      <c r="H548" s="213"/>
      <c r="I548" s="213"/>
    </row>
    <row r="549" spans="2:9" ht="15" customHeight="1" x14ac:dyDescent="0.35">
      <c r="B549" s="71"/>
      <c r="C549" s="104">
        <v>73</v>
      </c>
      <c r="D549" s="213"/>
      <c r="E549" s="213"/>
      <c r="F549" s="213"/>
      <c r="G549" s="213"/>
      <c r="H549" s="213"/>
      <c r="I549" s="213"/>
    </row>
    <row r="550" spans="2:9" ht="15" customHeight="1" x14ac:dyDescent="0.35">
      <c r="B550" s="71"/>
      <c r="C550" s="104">
        <v>74</v>
      </c>
      <c r="D550" s="213"/>
      <c r="E550" s="213"/>
      <c r="F550" s="213"/>
      <c r="G550" s="213"/>
      <c r="H550" s="213"/>
      <c r="I550" s="213"/>
    </row>
    <row r="551" spans="2:9" ht="15" customHeight="1" x14ac:dyDescent="0.35">
      <c r="B551" s="71"/>
      <c r="C551" s="104">
        <v>75</v>
      </c>
      <c r="D551" s="213"/>
      <c r="E551" s="213"/>
      <c r="F551" s="213"/>
      <c r="G551" s="213"/>
      <c r="H551" s="213"/>
      <c r="I551" s="213"/>
    </row>
    <row r="552" spans="2:9" ht="15" customHeight="1" x14ac:dyDescent="0.35">
      <c r="B552" s="71"/>
      <c r="C552" s="104">
        <v>76</v>
      </c>
      <c r="D552" s="213"/>
      <c r="E552" s="213"/>
      <c r="F552" s="213"/>
      <c r="G552" s="213"/>
      <c r="H552" s="213"/>
      <c r="I552" s="213"/>
    </row>
    <row r="553" spans="2:9" ht="15" customHeight="1" x14ac:dyDescent="0.35">
      <c r="B553" s="71"/>
      <c r="C553" s="104">
        <v>77</v>
      </c>
      <c r="D553" s="213"/>
      <c r="E553" s="213"/>
      <c r="F553" s="213"/>
      <c r="G553" s="213"/>
      <c r="H553" s="213"/>
      <c r="I553" s="213"/>
    </row>
    <row r="554" spans="2:9" ht="15" customHeight="1" x14ac:dyDescent="0.35">
      <c r="B554" s="71"/>
      <c r="C554" s="104">
        <v>78</v>
      </c>
      <c r="D554" s="213"/>
      <c r="E554" s="213"/>
      <c r="F554" s="213"/>
      <c r="G554" s="213"/>
      <c r="H554" s="213"/>
      <c r="I554" s="213"/>
    </row>
    <row r="555" spans="2:9" ht="15" customHeight="1" x14ac:dyDescent="0.35">
      <c r="B555" s="71"/>
      <c r="C555" s="104">
        <v>79</v>
      </c>
      <c r="D555" s="213"/>
      <c r="E555" s="213"/>
      <c r="F555" s="213"/>
      <c r="G555" s="213"/>
      <c r="H555" s="213"/>
      <c r="I555" s="213"/>
    </row>
    <row r="556" spans="2:9" ht="15" customHeight="1" x14ac:dyDescent="0.35">
      <c r="B556" s="71"/>
      <c r="C556" s="104">
        <v>80</v>
      </c>
      <c r="D556" s="213"/>
      <c r="E556" s="213"/>
      <c r="F556" s="213"/>
      <c r="G556" s="213"/>
      <c r="H556" s="213"/>
      <c r="I556" s="213"/>
    </row>
    <row r="557" spans="2:9" ht="15" customHeight="1" x14ac:dyDescent="0.35">
      <c r="B557" s="71"/>
      <c r="C557" s="104">
        <v>81</v>
      </c>
      <c r="D557" s="213"/>
      <c r="E557" s="213"/>
      <c r="F557" s="213"/>
      <c r="G557" s="213"/>
      <c r="H557" s="213"/>
      <c r="I557" s="213"/>
    </row>
    <row r="558" spans="2:9" ht="15" customHeight="1" x14ac:dyDescent="0.35">
      <c r="C558" s="104">
        <v>82</v>
      </c>
      <c r="D558" s="213"/>
      <c r="E558" s="213"/>
      <c r="F558" s="213"/>
      <c r="G558" s="213"/>
      <c r="H558" s="213"/>
      <c r="I558" s="213"/>
    </row>
    <row r="559" spans="2:9" ht="15" customHeight="1" x14ac:dyDescent="0.35">
      <c r="C559" s="104">
        <v>83</v>
      </c>
      <c r="D559" s="213"/>
      <c r="E559" s="213"/>
      <c r="F559" s="213"/>
      <c r="G559" s="213"/>
      <c r="H559" s="213"/>
      <c r="I559" s="213"/>
    </row>
    <row r="560" spans="2:9" ht="15" customHeight="1" x14ac:dyDescent="0.35">
      <c r="C560" s="104">
        <v>84</v>
      </c>
      <c r="D560" s="213"/>
      <c r="E560" s="213"/>
      <c r="F560" s="213"/>
      <c r="G560" s="213"/>
      <c r="H560" s="213"/>
      <c r="I560" s="213"/>
    </row>
    <row r="561" spans="2:9" ht="15" customHeight="1" x14ac:dyDescent="0.35">
      <c r="C561" s="104">
        <v>85</v>
      </c>
      <c r="D561" s="213"/>
      <c r="E561" s="213"/>
      <c r="F561" s="213"/>
      <c r="G561" s="213"/>
      <c r="H561" s="213"/>
      <c r="I561" s="213"/>
    </row>
    <row r="562" spans="2:9" ht="15" customHeight="1" x14ac:dyDescent="0.35">
      <c r="C562" s="104">
        <v>86</v>
      </c>
      <c r="D562" s="213"/>
      <c r="E562" s="213"/>
      <c r="F562" s="213"/>
      <c r="G562" s="213"/>
      <c r="H562" s="213"/>
      <c r="I562" s="213"/>
    </row>
    <row r="563" spans="2:9" ht="15" customHeight="1" x14ac:dyDescent="0.35">
      <c r="C563" s="104">
        <v>87</v>
      </c>
      <c r="D563" s="213"/>
      <c r="E563" s="213"/>
      <c r="F563" s="213"/>
      <c r="G563" s="213"/>
      <c r="H563" s="213"/>
      <c r="I563" s="213"/>
    </row>
    <row r="564" spans="2:9" ht="15" customHeight="1" x14ac:dyDescent="0.35">
      <c r="C564" s="104">
        <v>88</v>
      </c>
      <c r="D564" s="213"/>
      <c r="E564" s="213"/>
      <c r="F564" s="213"/>
      <c r="G564" s="213"/>
      <c r="H564" s="213"/>
      <c r="I564" s="213"/>
    </row>
    <row r="565" spans="2:9" ht="15" customHeight="1" x14ac:dyDescent="0.35">
      <c r="C565" s="104">
        <v>89</v>
      </c>
      <c r="D565" s="213"/>
      <c r="E565" s="213"/>
      <c r="F565" s="213"/>
      <c r="G565" s="213"/>
      <c r="H565" s="213"/>
      <c r="I565" s="213"/>
    </row>
    <row r="566" spans="2:9" ht="15" customHeight="1" x14ac:dyDescent="0.35">
      <c r="C566" s="104">
        <v>90</v>
      </c>
      <c r="D566" s="213"/>
      <c r="E566" s="213"/>
      <c r="F566" s="213"/>
      <c r="G566" s="213"/>
      <c r="H566" s="213"/>
      <c r="I566" s="213"/>
    </row>
    <row r="567" spans="2:9" ht="15" customHeight="1" x14ac:dyDescent="0.35">
      <c r="C567" s="104">
        <v>91</v>
      </c>
      <c r="D567" s="213"/>
      <c r="E567" s="213"/>
      <c r="F567" s="213"/>
      <c r="G567" s="213"/>
      <c r="H567" s="213"/>
      <c r="I567" s="213"/>
    </row>
    <row r="568" spans="2:9" ht="15" customHeight="1" x14ac:dyDescent="0.35">
      <c r="C568" s="104">
        <v>92</v>
      </c>
      <c r="D568" s="213"/>
      <c r="E568" s="213"/>
      <c r="F568" s="213"/>
      <c r="G568" s="213"/>
      <c r="H568" s="213"/>
      <c r="I568" s="213"/>
    </row>
    <row r="569" spans="2:9" ht="15" customHeight="1" x14ac:dyDescent="0.35">
      <c r="C569" s="104">
        <v>93</v>
      </c>
      <c r="D569" s="213"/>
      <c r="E569" s="213"/>
      <c r="F569" s="213"/>
      <c r="G569" s="213"/>
      <c r="H569" s="213"/>
      <c r="I569" s="213"/>
    </row>
    <row r="570" spans="2:9" ht="15" customHeight="1" x14ac:dyDescent="0.35">
      <c r="C570" s="104">
        <v>94</v>
      </c>
      <c r="D570" s="213"/>
      <c r="E570" s="213"/>
      <c r="F570" s="213"/>
      <c r="G570" s="213"/>
      <c r="H570" s="213"/>
      <c r="I570" s="213"/>
    </row>
    <row r="571" spans="2:9" ht="15" customHeight="1" x14ac:dyDescent="0.35">
      <c r="C571" s="104">
        <v>95</v>
      </c>
      <c r="D571" s="213"/>
      <c r="E571" s="213"/>
      <c r="F571" s="213"/>
      <c r="G571" s="213"/>
      <c r="H571" s="213"/>
      <c r="I571" s="213"/>
    </row>
    <row r="572" spans="2:9" ht="15" customHeight="1" x14ac:dyDescent="0.35">
      <c r="C572" s="104">
        <v>96</v>
      </c>
      <c r="D572" s="213"/>
      <c r="E572" s="213"/>
      <c r="F572" s="213"/>
      <c r="G572" s="213"/>
      <c r="H572" s="213"/>
      <c r="I572" s="213"/>
    </row>
    <row r="573" spans="2:9" ht="15" customHeight="1" x14ac:dyDescent="0.35">
      <c r="C573" s="104">
        <v>97</v>
      </c>
      <c r="D573" s="213"/>
      <c r="E573" s="213"/>
      <c r="F573" s="213"/>
      <c r="G573" s="213"/>
      <c r="H573" s="213"/>
      <c r="I573" s="213"/>
    </row>
    <row r="574" spans="2:9" ht="15" customHeight="1" x14ac:dyDescent="0.35">
      <c r="C574" s="104">
        <v>98</v>
      </c>
      <c r="D574" s="213"/>
      <c r="E574" s="213"/>
      <c r="F574" s="213"/>
      <c r="G574" s="213"/>
      <c r="H574" s="213"/>
      <c r="I574" s="213"/>
    </row>
    <row r="575" spans="2:9" ht="15" customHeight="1" x14ac:dyDescent="0.35">
      <c r="C575" s="104">
        <v>99</v>
      </c>
      <c r="D575" s="213"/>
      <c r="E575" s="213"/>
      <c r="F575" s="213"/>
      <c r="G575" s="213"/>
      <c r="H575" s="213"/>
      <c r="I575" s="213"/>
    </row>
    <row r="576" spans="2:9" ht="15" customHeight="1" x14ac:dyDescent="0.35">
      <c r="B576" s="1292"/>
      <c r="C576" s="284">
        <v>100</v>
      </c>
      <c r="D576" s="1140"/>
      <c r="E576" s="1140"/>
      <c r="F576" s="1140"/>
      <c r="G576" s="1140"/>
      <c r="H576" s="1140"/>
      <c r="I576" s="1140"/>
    </row>
    <row r="577" spans="2:9" ht="15" hidden="1" customHeight="1" x14ac:dyDescent="0.35">
      <c r="B577" s="71" t="s">
        <v>1955</v>
      </c>
      <c r="C577" s="575">
        <v>1</v>
      </c>
      <c r="D577" s="480" t="s">
        <v>1956</v>
      </c>
      <c r="E577" s="99"/>
      <c r="F577" s="99"/>
      <c r="G577" s="99"/>
      <c r="H577" s="99"/>
      <c r="I577" s="99"/>
    </row>
    <row r="578" spans="2:9" ht="15" hidden="1" customHeight="1" x14ac:dyDescent="0.35">
      <c r="B578" s="71"/>
      <c r="C578" s="197">
        <v>2</v>
      </c>
      <c r="D578" s="84" t="s">
        <v>1957</v>
      </c>
      <c r="E578" s="84"/>
      <c r="F578" s="84"/>
      <c r="G578" s="84"/>
      <c r="H578" s="84"/>
      <c r="I578" s="84"/>
    </row>
    <row r="579" spans="2:9" ht="15" hidden="1" customHeight="1" x14ac:dyDescent="0.35">
      <c r="B579" s="278"/>
      <c r="C579" s="284">
        <v>3</v>
      </c>
      <c r="D579" s="1140" t="s">
        <v>1958</v>
      </c>
      <c r="E579" s="1140"/>
      <c r="F579" s="1140"/>
      <c r="G579" s="1140"/>
      <c r="H579" s="1140"/>
      <c r="I579" s="1140"/>
    </row>
    <row r="580" spans="2:9" ht="15" customHeight="1" x14ac:dyDescent="0.35">
      <c r="B580" s="71" t="s">
        <v>1959</v>
      </c>
      <c r="C580" s="104">
        <v>1</v>
      </c>
      <c r="D580" s="213" t="s">
        <v>1960</v>
      </c>
      <c r="E580" s="213"/>
      <c r="F580" s="213"/>
      <c r="G580" s="213"/>
      <c r="H580" s="213"/>
      <c r="I580" s="213"/>
    </row>
    <row r="581" spans="2:9" ht="15" customHeight="1" x14ac:dyDescent="0.35">
      <c r="B581" s="278"/>
      <c r="C581" s="284">
        <v>0</v>
      </c>
      <c r="D581" s="1140" t="s">
        <v>1961</v>
      </c>
      <c r="E581" s="1140"/>
      <c r="F581" s="1140"/>
      <c r="G581" s="1140"/>
      <c r="H581" s="1140"/>
      <c r="I581" s="1140"/>
    </row>
    <row r="582" spans="2:9" ht="15" customHeight="1" x14ac:dyDescent="0.35">
      <c r="B582" s="1179" t="s">
        <v>1962</v>
      </c>
      <c r="C582" s="575">
        <v>1</v>
      </c>
      <c r="D582" s="480" t="s">
        <v>1963</v>
      </c>
      <c r="E582" s="480"/>
      <c r="F582" s="480"/>
      <c r="G582" s="480"/>
      <c r="H582" s="480"/>
      <c r="I582" s="480"/>
    </row>
    <row r="583" spans="2:9" ht="15" customHeight="1" x14ac:dyDescent="0.35">
      <c r="B583" s="278"/>
      <c r="C583" s="284">
        <v>2</v>
      </c>
      <c r="D583" s="1140" t="s">
        <v>1964</v>
      </c>
      <c r="E583" s="1140"/>
      <c r="F583" s="1140"/>
      <c r="G583" s="1140"/>
      <c r="H583" s="1140"/>
      <c r="I583" s="1140"/>
    </row>
    <row r="584" spans="2:9" ht="15" customHeight="1" x14ac:dyDescent="0.35">
      <c r="B584" s="1179" t="s">
        <v>1965</v>
      </c>
      <c r="C584" s="575">
        <v>1</v>
      </c>
      <c r="D584" s="1285" t="s">
        <v>1966</v>
      </c>
      <c r="E584" s="480"/>
      <c r="F584" s="480"/>
      <c r="G584" s="480"/>
      <c r="H584" s="480"/>
      <c r="I584" s="480"/>
    </row>
    <row r="585" spans="2:9" ht="15" customHeight="1" x14ac:dyDescent="0.35">
      <c r="C585" s="104">
        <v>2</v>
      </c>
      <c r="D585" s="123" t="s">
        <v>1967</v>
      </c>
      <c r="E585" s="213"/>
      <c r="F585" s="213"/>
      <c r="G585" s="213"/>
      <c r="H585" s="213"/>
      <c r="I585" s="213"/>
    </row>
    <row r="586" spans="2:9" ht="15" customHeight="1" x14ac:dyDescent="0.35">
      <c r="C586" s="104">
        <v>3</v>
      </c>
      <c r="D586" s="123" t="s">
        <v>1901</v>
      </c>
      <c r="E586" s="213"/>
      <c r="F586" s="213"/>
      <c r="G586" s="213"/>
      <c r="H586" s="213"/>
      <c r="I586" s="213"/>
    </row>
    <row r="587" spans="2:9" ht="15" customHeight="1" x14ac:dyDescent="0.35">
      <c r="B587" s="278"/>
      <c r="C587" s="284">
        <v>4</v>
      </c>
      <c r="D587" s="198" t="s">
        <v>994</v>
      </c>
      <c r="E587" s="1140"/>
      <c r="F587" s="1140"/>
      <c r="G587" s="1140"/>
      <c r="H587" s="1140"/>
      <c r="I587" s="1140"/>
    </row>
    <row r="588" spans="2:9" ht="15" customHeight="1" x14ac:dyDescent="0.35">
      <c r="B588" s="1179" t="s">
        <v>1968</v>
      </c>
      <c r="C588" s="575">
        <v>1</v>
      </c>
      <c r="D588" s="1285" t="s">
        <v>99</v>
      </c>
      <c r="E588" s="480"/>
      <c r="F588" s="480"/>
      <c r="G588" s="480"/>
      <c r="H588" s="480"/>
      <c r="I588" s="480"/>
    </row>
    <row r="589" spans="2:9" ht="15" customHeight="1" x14ac:dyDescent="0.35">
      <c r="C589" s="104">
        <v>2</v>
      </c>
      <c r="D589" s="123" t="s">
        <v>1896</v>
      </c>
      <c r="E589" s="213"/>
      <c r="F589" s="213"/>
      <c r="G589" s="213"/>
      <c r="H589" s="213"/>
      <c r="I589" s="213"/>
    </row>
    <row r="590" spans="2:9" ht="15" customHeight="1" x14ac:dyDescent="0.35">
      <c r="C590" s="104">
        <v>3</v>
      </c>
      <c r="D590" s="123" t="s">
        <v>994</v>
      </c>
      <c r="E590" s="213"/>
      <c r="F590" s="213"/>
      <c r="G590" s="213"/>
      <c r="H590" s="213"/>
      <c r="I590" s="213"/>
    </row>
    <row r="591" spans="2:9" ht="15" customHeight="1" x14ac:dyDescent="0.35">
      <c r="B591" s="278"/>
      <c r="C591" s="284">
        <v>4</v>
      </c>
      <c r="D591" s="198" t="s">
        <v>1760</v>
      </c>
      <c r="E591" s="1140"/>
      <c r="F591" s="1140"/>
      <c r="G591" s="1140"/>
      <c r="H591" s="1140"/>
      <c r="I591" s="1140"/>
    </row>
    <row r="592" spans="2:9" ht="15" customHeight="1" x14ac:dyDescent="0.35">
      <c r="B592" s="1179" t="s">
        <v>1969</v>
      </c>
      <c r="C592" s="575">
        <v>1</v>
      </c>
      <c r="D592" s="1285" t="s">
        <v>1970</v>
      </c>
      <c r="E592" s="480"/>
      <c r="F592" s="480"/>
      <c r="G592" s="480"/>
      <c r="H592" s="480"/>
      <c r="I592" s="480"/>
    </row>
    <row r="593" spans="2:9" ht="15" customHeight="1" x14ac:dyDescent="0.35">
      <c r="C593" s="104">
        <v>2</v>
      </c>
      <c r="D593" s="123" t="s">
        <v>1971</v>
      </c>
      <c r="E593" s="213"/>
      <c r="F593" s="213"/>
      <c r="G593" s="213"/>
      <c r="H593" s="213"/>
      <c r="I593" s="213"/>
    </row>
    <row r="594" spans="2:9" ht="15" customHeight="1" x14ac:dyDescent="0.35">
      <c r="C594" s="104">
        <v>3</v>
      </c>
      <c r="D594" s="123" t="s">
        <v>1972</v>
      </c>
      <c r="E594" s="213"/>
      <c r="F594" s="213"/>
      <c r="G594" s="213"/>
      <c r="H594" s="213"/>
      <c r="I594" s="213"/>
    </row>
    <row r="595" spans="2:9" ht="15" customHeight="1" x14ac:dyDescent="0.35">
      <c r="B595" s="278"/>
      <c r="C595" s="284">
        <v>4</v>
      </c>
      <c r="D595" s="198" t="s">
        <v>1973</v>
      </c>
      <c r="E595" s="1140"/>
      <c r="F595" s="1140"/>
      <c r="G595" s="1140"/>
      <c r="H595" s="1140"/>
      <c r="I595" s="1140"/>
    </row>
    <row r="596" spans="2:9" ht="15" customHeight="1" x14ac:dyDescent="0.35">
      <c r="B596" s="1179" t="s">
        <v>1855</v>
      </c>
      <c r="C596" s="575">
        <v>1</v>
      </c>
      <c r="D596" s="480" t="s">
        <v>1974</v>
      </c>
      <c r="E596" s="480"/>
      <c r="F596" s="480"/>
      <c r="G596" s="480"/>
      <c r="H596" s="480"/>
      <c r="I596" s="480"/>
    </row>
    <row r="597" spans="2:9" ht="15" customHeight="1" x14ac:dyDescent="0.35">
      <c r="B597" s="278"/>
      <c r="C597" s="369">
        <v>2</v>
      </c>
      <c r="D597" s="274" t="s">
        <v>1975</v>
      </c>
      <c r="E597" s="274"/>
      <c r="F597" s="274"/>
      <c r="G597" s="274"/>
      <c r="H597" s="274"/>
      <c r="I597" s="274"/>
    </row>
    <row r="598" spans="2:9" ht="15" customHeight="1" x14ac:dyDescent="0.35">
      <c r="B598" s="1179" t="s">
        <v>1976</v>
      </c>
      <c r="C598" s="575">
        <v>1</v>
      </c>
      <c r="D598" s="480" t="s">
        <v>1977</v>
      </c>
      <c r="E598" s="480"/>
      <c r="F598" s="480"/>
      <c r="G598" s="480"/>
      <c r="H598" s="480"/>
      <c r="I598" s="480"/>
    </row>
    <row r="599" spans="2:9" ht="15" customHeight="1" x14ac:dyDescent="0.35">
      <c r="B599" s="278"/>
      <c r="C599" s="369">
        <v>2</v>
      </c>
      <c r="D599" s="274" t="s">
        <v>1978</v>
      </c>
      <c r="E599" s="274"/>
      <c r="F599" s="274"/>
      <c r="G599" s="274"/>
      <c r="H599" s="274"/>
      <c r="I599" s="274"/>
    </row>
    <row r="600" spans="2:9" ht="15" customHeight="1" x14ac:dyDescent="0.35">
      <c r="B600" s="1179" t="s">
        <v>1979</v>
      </c>
      <c r="C600" s="575">
        <v>1</v>
      </c>
      <c r="D600" s="998" t="s">
        <v>1980</v>
      </c>
      <c r="E600" s="480"/>
      <c r="F600" s="480"/>
      <c r="G600" s="480"/>
      <c r="H600" s="480"/>
      <c r="I600" s="480"/>
    </row>
    <row r="601" spans="2:9" ht="15" customHeight="1" x14ac:dyDescent="0.35">
      <c r="B601" s="98"/>
      <c r="C601" s="104">
        <v>2</v>
      </c>
      <c r="D601" s="217" t="s">
        <v>1981</v>
      </c>
      <c r="E601" s="213"/>
      <c r="F601" s="213"/>
      <c r="G601" s="213"/>
      <c r="H601" s="213"/>
      <c r="I601" s="213"/>
    </row>
    <row r="602" spans="2:9" ht="15" customHeight="1" x14ac:dyDescent="0.35">
      <c r="C602" s="104">
        <v>3</v>
      </c>
      <c r="D602" s="1336" t="s">
        <v>1982</v>
      </c>
      <c r="E602" s="213"/>
      <c r="F602" s="213"/>
      <c r="G602" s="213"/>
      <c r="H602" s="213"/>
      <c r="I602" s="213"/>
    </row>
    <row r="603" spans="2:9" ht="15" customHeight="1" x14ac:dyDescent="0.35">
      <c r="C603" s="105">
        <v>4</v>
      </c>
      <c r="D603" s="244" t="s">
        <v>1983</v>
      </c>
      <c r="E603" s="102"/>
      <c r="F603" s="102"/>
      <c r="G603" s="102"/>
      <c r="H603" s="102"/>
      <c r="I603" s="102"/>
    </row>
    <row r="604" spans="2:9" ht="15" customHeight="1" x14ac:dyDescent="0.35">
      <c r="B604" s="1179" t="s">
        <v>1984</v>
      </c>
      <c r="C604" s="575">
        <v>1</v>
      </c>
      <c r="D604" s="998" t="s">
        <v>1897</v>
      </c>
      <c r="E604" s="480"/>
      <c r="F604" s="480"/>
      <c r="G604" s="480"/>
      <c r="H604" s="480"/>
      <c r="I604" s="480"/>
    </row>
    <row r="605" spans="2:9" ht="15" customHeight="1" x14ac:dyDescent="0.35">
      <c r="C605" s="284">
        <v>2</v>
      </c>
      <c r="D605" s="1335" t="s">
        <v>1985</v>
      </c>
      <c r="E605" s="1140"/>
      <c r="F605" s="1140"/>
      <c r="G605" s="1140"/>
      <c r="H605" s="1140"/>
      <c r="I605" s="1140"/>
    </row>
    <row r="606" spans="2:9" ht="15" customHeight="1" x14ac:dyDescent="0.35">
      <c r="B606" s="1179" t="s">
        <v>1986</v>
      </c>
      <c r="C606" s="575">
        <v>1</v>
      </c>
      <c r="D606" s="998" t="s">
        <v>1987</v>
      </c>
      <c r="E606" s="480"/>
      <c r="F606" s="480"/>
      <c r="G606" s="480"/>
      <c r="H606" s="480"/>
      <c r="I606" s="480"/>
    </row>
    <row r="607" spans="2:9" ht="15" customHeight="1" x14ac:dyDescent="0.35">
      <c r="C607" s="284">
        <v>2</v>
      </c>
      <c r="D607" s="1335" t="s">
        <v>1988</v>
      </c>
      <c r="E607" s="1140"/>
      <c r="F607" s="1140"/>
      <c r="G607" s="1140"/>
      <c r="H607" s="1140"/>
      <c r="I607" s="1140"/>
    </row>
    <row r="608" spans="2:9" ht="15" customHeight="1" x14ac:dyDescent="0.35">
      <c r="B608" s="1179" t="s">
        <v>165</v>
      </c>
      <c r="C608" s="575">
        <v>1</v>
      </c>
      <c r="D608" s="480" t="s">
        <v>18</v>
      </c>
      <c r="E608" s="480"/>
      <c r="F608" s="480"/>
      <c r="G608" s="480"/>
      <c r="H608" s="480"/>
      <c r="I608" s="480"/>
    </row>
    <row r="609" spans="2:9" ht="15" customHeight="1" x14ac:dyDescent="0.35">
      <c r="B609" s="71"/>
      <c r="C609" s="197">
        <v>2</v>
      </c>
      <c r="D609" s="258" t="s">
        <v>1989</v>
      </c>
      <c r="E609" s="84"/>
      <c r="F609" s="84"/>
      <c r="G609" s="84"/>
      <c r="H609" s="84"/>
      <c r="I609" s="84"/>
    </row>
    <row r="610" spans="2:9" ht="15" customHeight="1" x14ac:dyDescent="0.35">
      <c r="B610" s="278"/>
      <c r="C610" s="284">
        <v>3</v>
      </c>
      <c r="D610" s="1140" t="s">
        <v>7</v>
      </c>
      <c r="E610" s="1140"/>
      <c r="F610" s="1140"/>
      <c r="G610" s="1140"/>
      <c r="H610" s="1140"/>
      <c r="I610" s="1140"/>
    </row>
    <row r="611" spans="2:9" ht="15" customHeight="1" x14ac:dyDescent="0.35">
      <c r="B611" s="1179" t="s">
        <v>1990</v>
      </c>
      <c r="C611" s="575">
        <v>1</v>
      </c>
      <c r="D611" s="998" t="s">
        <v>1505</v>
      </c>
      <c r="E611" s="480"/>
      <c r="F611" s="480"/>
      <c r="G611" s="480"/>
      <c r="H611" s="480"/>
      <c r="I611" s="480"/>
    </row>
    <row r="612" spans="2:9" ht="15" customHeight="1" x14ac:dyDescent="0.35">
      <c r="B612" s="1180"/>
      <c r="C612" s="284">
        <v>2</v>
      </c>
      <c r="D612" s="1335" t="s">
        <v>1991</v>
      </c>
      <c r="E612" s="1140"/>
      <c r="F612" s="1140"/>
      <c r="G612" s="1140"/>
      <c r="H612" s="1140"/>
      <c r="I612" s="1140"/>
    </row>
    <row r="613" spans="2:9" ht="15" customHeight="1" x14ac:dyDescent="0.35">
      <c r="B613" s="1284" t="s">
        <v>1992</v>
      </c>
      <c r="C613" s="575">
        <v>1</v>
      </c>
      <c r="D613" s="998" t="s">
        <v>1087</v>
      </c>
      <c r="E613" s="480"/>
      <c r="F613" s="480"/>
      <c r="G613" s="480"/>
      <c r="H613" s="480"/>
      <c r="I613" s="480"/>
    </row>
    <row r="614" spans="2:9" ht="15" customHeight="1" x14ac:dyDescent="0.35">
      <c r="B614" s="1436"/>
      <c r="C614" s="284">
        <v>2</v>
      </c>
      <c r="D614" s="1335" t="s">
        <v>1993</v>
      </c>
      <c r="E614" s="1140"/>
      <c r="F614" s="1140"/>
      <c r="G614" s="1140"/>
      <c r="H614" s="1140"/>
      <c r="I614" s="1140"/>
    </row>
    <row r="615" spans="2:9" ht="15" customHeight="1" x14ac:dyDescent="0.35">
      <c r="B615" s="1179" t="s">
        <v>1994</v>
      </c>
      <c r="C615" s="575">
        <v>1</v>
      </c>
      <c r="D615" s="998" t="s">
        <v>7</v>
      </c>
      <c r="E615" s="480"/>
      <c r="F615" s="480"/>
      <c r="G615" s="480"/>
      <c r="H615" s="480"/>
      <c r="I615" s="480"/>
    </row>
    <row r="616" spans="2:9" ht="15" customHeight="1" x14ac:dyDescent="0.35">
      <c r="B616" s="71"/>
      <c r="C616" s="104">
        <v>2</v>
      </c>
      <c r="D616" s="1336" t="s">
        <v>1995</v>
      </c>
      <c r="E616" s="213"/>
      <c r="F616" s="213"/>
      <c r="G616" s="213"/>
      <c r="H616" s="213"/>
      <c r="I616" s="213"/>
    </row>
    <row r="617" spans="2:9" ht="15" customHeight="1" x14ac:dyDescent="0.35">
      <c r="B617" s="1180"/>
      <c r="C617" s="284">
        <v>3</v>
      </c>
      <c r="D617" s="1335" t="s">
        <v>1996</v>
      </c>
      <c r="E617" s="1140"/>
      <c r="F617" s="1140"/>
      <c r="G617" s="1140"/>
      <c r="H617" s="1140"/>
      <c r="I617" s="1140"/>
    </row>
    <row r="618" spans="2:9" ht="15" customHeight="1" x14ac:dyDescent="0.35">
      <c r="B618" s="71" t="s">
        <v>1997</v>
      </c>
      <c r="C618" s="247">
        <v>1</v>
      </c>
      <c r="D618" s="272" t="s">
        <v>1998</v>
      </c>
      <c r="E618" s="99"/>
      <c r="F618" s="99"/>
      <c r="G618" s="99"/>
      <c r="H618" s="99"/>
      <c r="I618" s="99"/>
    </row>
    <row r="619" spans="2:9" ht="15" customHeight="1" x14ac:dyDescent="0.35">
      <c r="B619" s="71"/>
      <c r="C619" s="104">
        <v>2</v>
      </c>
      <c r="D619" s="1336" t="s">
        <v>1999</v>
      </c>
      <c r="E619" s="213"/>
      <c r="F619" s="213"/>
      <c r="G619" s="213"/>
      <c r="H619" s="213"/>
      <c r="I619" s="213"/>
    </row>
    <row r="620" spans="2:9" ht="15" customHeight="1" x14ac:dyDescent="0.35">
      <c r="B620" s="71"/>
      <c r="C620" s="104">
        <v>3</v>
      </c>
      <c r="D620" s="1336" t="s">
        <v>2000</v>
      </c>
      <c r="E620" s="213"/>
      <c r="F620" s="213"/>
      <c r="G620" s="213"/>
      <c r="H620" s="213"/>
      <c r="I620" s="213"/>
    </row>
    <row r="621" spans="2:9" ht="15" customHeight="1" x14ac:dyDescent="0.35">
      <c r="B621" s="71"/>
      <c r="C621" s="104">
        <v>4</v>
      </c>
      <c r="D621" s="1336" t="s">
        <v>2001</v>
      </c>
      <c r="E621" s="213"/>
      <c r="F621" s="213"/>
      <c r="G621" s="213"/>
      <c r="H621" s="213"/>
      <c r="I621" s="213"/>
    </row>
    <row r="622" spans="2:9" ht="15" customHeight="1" x14ac:dyDescent="0.35">
      <c r="B622" s="71"/>
      <c r="C622" s="104">
        <v>5</v>
      </c>
      <c r="D622" s="1336" t="s">
        <v>2002</v>
      </c>
      <c r="E622" s="213"/>
      <c r="F622" s="213"/>
      <c r="G622" s="213"/>
      <c r="H622" s="213"/>
      <c r="I622" s="213"/>
    </row>
    <row r="623" spans="2:9" ht="15" customHeight="1" x14ac:dyDescent="0.35">
      <c r="B623" s="71"/>
      <c r="C623" s="104">
        <v>6</v>
      </c>
      <c r="D623" s="1336" t="s">
        <v>2003</v>
      </c>
      <c r="E623" s="213"/>
      <c r="F623" s="213"/>
      <c r="G623" s="213"/>
      <c r="H623" s="213"/>
      <c r="I623" s="213"/>
    </row>
    <row r="624" spans="2:9" ht="15" customHeight="1" x14ac:dyDescent="0.35">
      <c r="B624" s="71"/>
      <c r="C624" s="104">
        <v>7</v>
      </c>
      <c r="D624" s="1336" t="s">
        <v>2004</v>
      </c>
      <c r="E624" s="213"/>
      <c r="F624" s="213"/>
      <c r="G624" s="213"/>
      <c r="H624" s="213"/>
      <c r="I624" s="213"/>
    </row>
    <row r="625" spans="2:9" ht="15" customHeight="1" x14ac:dyDescent="0.35">
      <c r="B625" s="71"/>
      <c r="C625" s="104">
        <v>8</v>
      </c>
      <c r="D625" s="1336" t="s">
        <v>2005</v>
      </c>
      <c r="E625" s="213"/>
      <c r="F625" s="213"/>
      <c r="G625" s="213"/>
      <c r="H625" s="213"/>
      <c r="I625" s="213"/>
    </row>
    <row r="626" spans="2:9" ht="15" customHeight="1" x14ac:dyDescent="0.35">
      <c r="B626" s="71"/>
      <c r="C626" s="104">
        <v>9</v>
      </c>
      <c r="D626" s="1336" t="s">
        <v>2006</v>
      </c>
      <c r="E626" s="213"/>
      <c r="F626" s="213"/>
      <c r="G626" s="213"/>
      <c r="H626" s="213"/>
      <c r="I626" s="213"/>
    </row>
    <row r="627" spans="2:9" ht="15" customHeight="1" x14ac:dyDescent="0.35">
      <c r="B627" s="1180"/>
      <c r="C627" s="284">
        <v>10</v>
      </c>
      <c r="D627" s="1335" t="s">
        <v>2007</v>
      </c>
      <c r="E627" s="1140"/>
      <c r="F627" s="1140"/>
      <c r="G627" s="1140"/>
      <c r="H627" s="1140"/>
      <c r="I627" s="1140"/>
    </row>
    <row r="628" spans="2:9" ht="15" customHeight="1" x14ac:dyDescent="0.35">
      <c r="B628" s="1179" t="s">
        <v>2008</v>
      </c>
      <c r="C628" s="575">
        <v>1</v>
      </c>
      <c r="D628" s="804" t="s">
        <v>2009</v>
      </c>
      <c r="E628" s="480"/>
      <c r="F628" s="480"/>
      <c r="G628" s="480"/>
      <c r="H628" s="480"/>
      <c r="I628" s="480"/>
    </row>
    <row r="629" spans="2:9" ht="15" customHeight="1" x14ac:dyDescent="0.35">
      <c r="B629" s="71"/>
      <c r="C629" s="247">
        <v>2</v>
      </c>
      <c r="D629" s="290" t="s">
        <v>2010</v>
      </c>
      <c r="E629" s="213"/>
      <c r="F629" s="213"/>
      <c r="G629" s="213"/>
      <c r="H629" s="213"/>
      <c r="I629" s="213"/>
    </row>
    <row r="630" spans="2:9" ht="15" customHeight="1" x14ac:dyDescent="0.35">
      <c r="B630" s="71"/>
      <c r="C630" s="104">
        <v>3</v>
      </c>
      <c r="D630" s="151" t="s">
        <v>2011</v>
      </c>
      <c r="E630" s="213"/>
      <c r="F630" s="213"/>
      <c r="G630" s="213"/>
      <c r="H630" s="213"/>
      <c r="I630" s="213"/>
    </row>
    <row r="631" spans="2:9" ht="15" customHeight="1" x14ac:dyDescent="0.35">
      <c r="B631" s="71"/>
      <c r="C631" s="104">
        <v>4</v>
      </c>
      <c r="D631" s="1293" t="s">
        <v>2012</v>
      </c>
      <c r="E631" s="1140"/>
      <c r="F631" s="1140"/>
      <c r="G631" s="1140"/>
      <c r="H631" s="1140"/>
      <c r="I631" s="1140"/>
    </row>
    <row r="632" spans="2:9" ht="15" customHeight="1" x14ac:dyDescent="0.35">
      <c r="B632" s="1179" t="s">
        <v>2013</v>
      </c>
      <c r="C632" s="575">
        <v>1</v>
      </c>
      <c r="D632" s="804" t="s">
        <v>2014</v>
      </c>
      <c r="E632" s="480"/>
      <c r="F632" s="480"/>
      <c r="G632" s="480"/>
      <c r="H632" s="480"/>
      <c r="I632" s="480"/>
    </row>
    <row r="633" spans="2:9" ht="15" customHeight="1" x14ac:dyDescent="0.35">
      <c r="B633" s="71"/>
      <c r="C633" s="104">
        <v>2</v>
      </c>
      <c r="D633" s="290" t="s">
        <v>2015</v>
      </c>
      <c r="E633" s="213"/>
      <c r="F633" s="213"/>
      <c r="G633" s="213"/>
      <c r="H633" s="213"/>
      <c r="I633" s="213"/>
    </row>
    <row r="634" spans="2:9" ht="15" customHeight="1" x14ac:dyDescent="0.35">
      <c r="B634" s="71"/>
      <c r="C634" s="104">
        <v>3</v>
      </c>
      <c r="D634" s="1293" t="s">
        <v>2016</v>
      </c>
      <c r="E634" s="1140"/>
      <c r="F634" s="1140"/>
      <c r="G634" s="1140"/>
      <c r="H634" s="1140"/>
      <c r="I634" s="1140"/>
    </row>
    <row r="635" spans="2:9" ht="15" customHeight="1" x14ac:dyDescent="0.35">
      <c r="B635" s="1179" t="s">
        <v>2017</v>
      </c>
      <c r="C635" s="575">
        <v>1</v>
      </c>
      <c r="D635" s="804" t="s">
        <v>2018</v>
      </c>
      <c r="E635" s="480"/>
      <c r="F635" s="480"/>
      <c r="G635" s="480"/>
      <c r="H635" s="480"/>
      <c r="I635" s="480"/>
    </row>
    <row r="636" spans="2:9" ht="15" customHeight="1" x14ac:dyDescent="0.35">
      <c r="B636" s="71"/>
      <c r="C636" s="104">
        <v>2</v>
      </c>
      <c r="D636" s="290" t="s">
        <v>2019</v>
      </c>
      <c r="E636" s="213"/>
      <c r="F636" s="213"/>
      <c r="G636" s="213"/>
      <c r="H636" s="213"/>
      <c r="I636" s="213"/>
    </row>
    <row r="637" spans="2:9" ht="15" customHeight="1" x14ac:dyDescent="0.35">
      <c r="B637" s="1180"/>
      <c r="C637" s="284">
        <v>3</v>
      </c>
      <c r="D637" s="1293" t="s">
        <v>2020</v>
      </c>
      <c r="E637" s="1140"/>
      <c r="F637" s="1140"/>
      <c r="G637" s="1140"/>
      <c r="H637" s="1140"/>
      <c r="I637" s="1140"/>
    </row>
    <row r="638" spans="2:9" ht="15" customHeight="1" x14ac:dyDescent="0.35">
      <c r="B638" s="1179" t="s">
        <v>2017</v>
      </c>
      <c r="C638" s="575">
        <v>1</v>
      </c>
      <c r="D638" s="804" t="s">
        <v>2021</v>
      </c>
      <c r="E638" s="480"/>
      <c r="F638" s="480"/>
      <c r="G638" s="480"/>
      <c r="H638" s="480"/>
      <c r="I638" s="480"/>
    </row>
    <row r="639" spans="2:9" ht="15" customHeight="1" x14ac:dyDescent="0.35">
      <c r="B639" s="71"/>
      <c r="C639" s="1256">
        <v>2</v>
      </c>
      <c r="D639" s="290" t="s">
        <v>2022</v>
      </c>
      <c r="E639" s="213"/>
      <c r="F639" s="213"/>
      <c r="G639" s="213"/>
      <c r="H639" s="213"/>
      <c r="I639" s="213"/>
    </row>
    <row r="640" spans="2:9" ht="15" customHeight="1" x14ac:dyDescent="0.35">
      <c r="B640" s="71"/>
      <c r="C640" s="104">
        <v>3</v>
      </c>
      <c r="D640" s="290" t="s">
        <v>2023</v>
      </c>
      <c r="E640" s="213"/>
      <c r="F640" s="213"/>
      <c r="G640" s="213"/>
      <c r="H640" s="213"/>
      <c r="I640" s="213"/>
    </row>
    <row r="641" spans="2:9" ht="15" customHeight="1" x14ac:dyDescent="0.35">
      <c r="B641" s="71"/>
      <c r="C641" s="104">
        <v>4</v>
      </c>
      <c r="D641" s="290" t="s">
        <v>2024</v>
      </c>
      <c r="E641" s="213"/>
      <c r="F641" s="213"/>
      <c r="G641" s="213"/>
      <c r="H641" s="213"/>
      <c r="I641" s="213"/>
    </row>
    <row r="642" spans="2:9" ht="15" customHeight="1" x14ac:dyDescent="0.35">
      <c r="B642" s="71"/>
      <c r="C642" s="104">
        <v>5</v>
      </c>
      <c r="D642" s="290" t="s">
        <v>2025</v>
      </c>
      <c r="E642" s="213"/>
      <c r="F642" s="213"/>
      <c r="G642" s="213"/>
      <c r="H642" s="213"/>
      <c r="I642" s="213"/>
    </row>
    <row r="643" spans="2:9" ht="15" customHeight="1" x14ac:dyDescent="0.35">
      <c r="B643" s="1180"/>
      <c r="C643" s="284">
        <v>6</v>
      </c>
      <c r="D643" s="1293" t="s">
        <v>2026</v>
      </c>
      <c r="E643" s="1140"/>
      <c r="F643" s="1140"/>
      <c r="G643" s="1140"/>
      <c r="H643" s="1140"/>
      <c r="I643" s="1140"/>
    </row>
    <row r="644" spans="2:9" ht="15" customHeight="1" x14ac:dyDescent="0.35">
      <c r="B644" s="1179" t="s">
        <v>2027</v>
      </c>
      <c r="C644" s="575">
        <v>1</v>
      </c>
      <c r="D644" s="1337" t="s">
        <v>2028</v>
      </c>
      <c r="E644" s="480"/>
      <c r="F644" s="480"/>
      <c r="G644" s="480"/>
      <c r="H644" s="480"/>
      <c r="I644" s="480"/>
    </row>
    <row r="645" spans="2:9" ht="15" customHeight="1" x14ac:dyDescent="0.35">
      <c r="B645" s="71"/>
      <c r="C645" s="104">
        <v>2</v>
      </c>
      <c r="D645" s="1338" t="s">
        <v>2029</v>
      </c>
      <c r="E645" s="213"/>
      <c r="F645" s="213"/>
      <c r="G645" s="213"/>
      <c r="H645" s="213"/>
      <c r="I645" s="213"/>
    </row>
    <row r="646" spans="2:9" ht="15" customHeight="1" x14ac:dyDescent="0.35">
      <c r="B646" s="1180"/>
      <c r="C646" s="284">
        <v>3</v>
      </c>
      <c r="D646" s="1339" t="s">
        <v>2030</v>
      </c>
      <c r="E646" s="1140"/>
      <c r="F646" s="1140"/>
      <c r="G646" s="1140"/>
      <c r="H646" s="1140"/>
      <c r="I646" s="1140"/>
    </row>
    <row r="647" spans="2:9" ht="15" customHeight="1" x14ac:dyDescent="0.35">
      <c r="B647" s="1179" t="s">
        <v>2027</v>
      </c>
      <c r="C647" s="575">
        <v>1</v>
      </c>
      <c r="D647" s="1337" t="s">
        <v>2031</v>
      </c>
      <c r="E647" s="480"/>
      <c r="F647" s="480"/>
      <c r="G647" s="480"/>
      <c r="H647" s="480"/>
      <c r="I647" s="480"/>
    </row>
    <row r="648" spans="2:9" ht="15" customHeight="1" x14ac:dyDescent="0.35">
      <c r="B648" s="71"/>
      <c r="C648" s="104">
        <v>2</v>
      </c>
      <c r="D648" s="1338" t="s">
        <v>2032</v>
      </c>
      <c r="E648" s="213"/>
      <c r="F648" s="213"/>
      <c r="G648" s="213"/>
      <c r="H648" s="213"/>
      <c r="I648" s="213"/>
    </row>
    <row r="649" spans="2:9" ht="15" customHeight="1" x14ac:dyDescent="0.35">
      <c r="B649" s="71"/>
      <c r="C649" s="104">
        <v>3</v>
      </c>
      <c r="D649" s="1338" t="s">
        <v>2033</v>
      </c>
      <c r="E649" s="213"/>
      <c r="F649" s="213"/>
      <c r="G649" s="213"/>
      <c r="H649" s="213"/>
      <c r="I649" s="213"/>
    </row>
    <row r="650" spans="2:9" ht="15" customHeight="1" x14ac:dyDescent="0.35">
      <c r="B650" s="71"/>
      <c r="C650" s="104">
        <v>4</v>
      </c>
      <c r="D650" s="1338" t="s">
        <v>2034</v>
      </c>
      <c r="E650" s="213"/>
      <c r="F650" s="213"/>
      <c r="G650" s="213"/>
      <c r="H650" s="213"/>
      <c r="I650" s="213"/>
    </row>
    <row r="651" spans="2:9" ht="15" customHeight="1" x14ac:dyDescent="0.35">
      <c r="B651" s="71"/>
      <c r="C651" s="104">
        <v>5</v>
      </c>
      <c r="D651" s="1338" t="s">
        <v>2035</v>
      </c>
      <c r="E651" s="213"/>
      <c r="F651" s="213"/>
      <c r="G651" s="213"/>
      <c r="H651" s="213"/>
      <c r="I651" s="213"/>
    </row>
    <row r="652" spans="2:9" ht="15" customHeight="1" x14ac:dyDescent="0.35">
      <c r="B652" s="71"/>
      <c r="C652" s="104">
        <v>6</v>
      </c>
      <c r="D652" s="1338" t="s">
        <v>2036</v>
      </c>
      <c r="E652" s="213"/>
      <c r="F652" s="213"/>
      <c r="G652" s="213"/>
      <c r="H652" s="213"/>
      <c r="I652" s="213"/>
    </row>
    <row r="653" spans="2:9" ht="15" customHeight="1" x14ac:dyDescent="0.35">
      <c r="B653" s="1180"/>
      <c r="C653" s="284">
        <v>7</v>
      </c>
      <c r="D653" s="1339" t="s">
        <v>2037</v>
      </c>
      <c r="E653" s="1140"/>
      <c r="F653" s="1140"/>
      <c r="G653" s="1140"/>
      <c r="H653" s="1140"/>
      <c r="I653" s="1140"/>
    </row>
    <row r="654" spans="2:9" ht="15" customHeight="1" x14ac:dyDescent="0.35">
      <c r="B654" s="1284" t="s">
        <v>2038</v>
      </c>
      <c r="C654" s="575">
        <v>1</v>
      </c>
      <c r="D654" s="804" t="s">
        <v>1790</v>
      </c>
      <c r="E654" s="480"/>
      <c r="F654" s="480"/>
      <c r="G654" s="480"/>
      <c r="H654" s="480"/>
      <c r="I654" s="480"/>
    </row>
    <row r="655" spans="2:9" ht="15" customHeight="1" x14ac:dyDescent="0.35">
      <c r="B655" s="1435"/>
      <c r="C655" s="104">
        <v>2</v>
      </c>
      <c r="D655" s="290" t="s">
        <v>2039</v>
      </c>
      <c r="E655" s="213"/>
      <c r="F655" s="213"/>
      <c r="G655" s="213"/>
      <c r="H655" s="213"/>
      <c r="I655" s="213"/>
    </row>
    <row r="656" spans="2:9" ht="15" customHeight="1" x14ac:dyDescent="0.35">
      <c r="B656" s="1435"/>
      <c r="C656" s="104">
        <v>3</v>
      </c>
      <c r="D656" s="290" t="s">
        <v>2040</v>
      </c>
      <c r="E656" s="213"/>
      <c r="F656" s="213"/>
      <c r="G656" s="213"/>
      <c r="H656" s="213"/>
      <c r="I656" s="213"/>
    </row>
    <row r="657" spans="2:9" ht="15" customHeight="1" x14ac:dyDescent="0.35">
      <c r="B657" s="1436"/>
      <c r="C657" s="284">
        <v>4</v>
      </c>
      <c r="D657" s="1293" t="s">
        <v>7</v>
      </c>
      <c r="E657" s="1140"/>
      <c r="F657" s="1140"/>
      <c r="G657" s="1140"/>
      <c r="H657" s="1140"/>
      <c r="I657" s="1140"/>
    </row>
    <row r="658" spans="2:9" ht="15" customHeight="1" x14ac:dyDescent="0.35">
      <c r="B658" s="1284" t="s">
        <v>2041</v>
      </c>
      <c r="C658" s="575">
        <v>1</v>
      </c>
      <c r="D658" s="1337" t="s">
        <v>2042</v>
      </c>
      <c r="E658" s="480"/>
      <c r="F658" s="480"/>
      <c r="G658" s="480"/>
      <c r="H658" s="480"/>
      <c r="I658" s="480"/>
    </row>
    <row r="659" spans="2:9" ht="15" customHeight="1" x14ac:dyDescent="0.35">
      <c r="B659" s="1435"/>
      <c r="C659" s="104">
        <v>2</v>
      </c>
      <c r="D659" s="1338" t="s">
        <v>2043</v>
      </c>
      <c r="E659" s="213"/>
      <c r="F659" s="213"/>
      <c r="G659" s="213"/>
      <c r="H659" s="213"/>
      <c r="I659" s="213"/>
    </row>
    <row r="660" spans="2:9" ht="15" customHeight="1" x14ac:dyDescent="0.35">
      <c r="B660" s="1435"/>
      <c r="C660" s="104">
        <v>3</v>
      </c>
      <c r="D660" s="1338" t="s">
        <v>185</v>
      </c>
      <c r="E660" s="213"/>
      <c r="F660" s="213"/>
      <c r="G660" s="213"/>
      <c r="H660" s="213"/>
      <c r="I660" s="213"/>
    </row>
    <row r="661" spans="2:9" ht="15" customHeight="1" x14ac:dyDescent="0.35">
      <c r="B661" s="1435"/>
      <c r="C661" s="104">
        <v>4</v>
      </c>
      <c r="D661" s="1338" t="s">
        <v>2044</v>
      </c>
      <c r="E661" s="213"/>
      <c r="F661" s="213"/>
      <c r="G661" s="213"/>
      <c r="H661" s="213"/>
      <c r="I661" s="213"/>
    </row>
    <row r="662" spans="2:9" ht="15" customHeight="1" x14ac:dyDescent="0.35">
      <c r="B662" s="1435"/>
      <c r="C662" s="104">
        <v>5</v>
      </c>
      <c r="D662" s="1338" t="s">
        <v>187</v>
      </c>
      <c r="E662" s="213"/>
      <c r="F662" s="213"/>
      <c r="G662" s="213"/>
      <c r="H662" s="213"/>
      <c r="I662" s="213"/>
    </row>
    <row r="663" spans="2:9" ht="15" customHeight="1" x14ac:dyDescent="0.35">
      <c r="B663" s="1435"/>
      <c r="C663" s="104">
        <v>6</v>
      </c>
      <c r="D663" s="1338" t="s">
        <v>188</v>
      </c>
      <c r="E663" s="213"/>
      <c r="F663" s="213"/>
      <c r="G663" s="213"/>
      <c r="H663" s="213"/>
      <c r="I663" s="213"/>
    </row>
    <row r="664" spans="2:9" ht="15" customHeight="1" x14ac:dyDescent="0.35">
      <c r="B664" s="1435"/>
      <c r="C664" s="104">
        <v>7</v>
      </c>
      <c r="D664" s="1338" t="s">
        <v>189</v>
      </c>
      <c r="E664" s="213"/>
      <c r="F664" s="213"/>
      <c r="G664" s="213"/>
      <c r="H664" s="213"/>
      <c r="I664" s="213"/>
    </row>
    <row r="665" spans="2:9" ht="15" customHeight="1" x14ac:dyDescent="0.35">
      <c r="B665" s="1435"/>
      <c r="C665" s="104">
        <v>8</v>
      </c>
      <c r="D665" s="1338" t="s">
        <v>2045</v>
      </c>
      <c r="E665" s="213"/>
      <c r="F665" s="213"/>
      <c r="G665" s="213"/>
      <c r="H665" s="213"/>
      <c r="I665" s="213"/>
    </row>
    <row r="666" spans="2:9" ht="15" customHeight="1" x14ac:dyDescent="0.35">
      <c r="B666" s="1435"/>
      <c r="C666" s="104">
        <v>9</v>
      </c>
      <c r="D666" s="1338" t="s">
        <v>2046</v>
      </c>
      <c r="E666" s="213"/>
      <c r="F666" s="213"/>
      <c r="G666" s="213"/>
      <c r="H666" s="213"/>
      <c r="I666" s="213"/>
    </row>
    <row r="667" spans="2:9" ht="15" customHeight="1" x14ac:dyDescent="0.35">
      <c r="B667" s="1435"/>
      <c r="C667" s="104">
        <v>10</v>
      </c>
      <c r="D667" s="1338" t="s">
        <v>2047</v>
      </c>
      <c r="E667" s="213"/>
      <c r="F667" s="213"/>
      <c r="G667" s="213"/>
      <c r="H667" s="213"/>
      <c r="I667" s="213"/>
    </row>
    <row r="668" spans="2:9" ht="15" customHeight="1" x14ac:dyDescent="0.35">
      <c r="B668" s="1435"/>
      <c r="C668" s="104">
        <v>11</v>
      </c>
      <c r="D668" s="1338" t="s">
        <v>2048</v>
      </c>
      <c r="E668" s="213"/>
      <c r="F668" s="213"/>
      <c r="G668" s="213"/>
      <c r="H668" s="213"/>
      <c r="I668" s="213"/>
    </row>
    <row r="669" spans="2:9" ht="15" customHeight="1" x14ac:dyDescent="0.35">
      <c r="B669" s="1435"/>
      <c r="C669" s="104">
        <v>12</v>
      </c>
      <c r="D669" s="1338" t="s">
        <v>196</v>
      </c>
      <c r="E669" s="213"/>
      <c r="F669" s="213"/>
      <c r="G669" s="213"/>
      <c r="H669" s="213"/>
      <c r="I669" s="213"/>
    </row>
    <row r="670" spans="2:9" ht="15" customHeight="1" x14ac:dyDescent="0.35">
      <c r="B670" s="1435"/>
      <c r="C670" s="104">
        <v>13</v>
      </c>
      <c r="D670" s="1338" t="s">
        <v>197</v>
      </c>
      <c r="E670" s="213"/>
      <c r="F670" s="213"/>
      <c r="G670" s="213"/>
      <c r="H670" s="213"/>
      <c r="I670" s="213"/>
    </row>
    <row r="671" spans="2:9" ht="15" customHeight="1" x14ac:dyDescent="0.35">
      <c r="B671" s="1435"/>
      <c r="C671" s="104">
        <v>14</v>
      </c>
      <c r="D671" s="1338" t="s">
        <v>198</v>
      </c>
      <c r="E671" s="213"/>
      <c r="F671" s="213"/>
      <c r="G671" s="213"/>
      <c r="H671" s="213"/>
      <c r="I671" s="213"/>
    </row>
    <row r="672" spans="2:9" ht="15" customHeight="1" x14ac:dyDescent="0.35">
      <c r="B672" s="1435"/>
      <c r="C672" s="104">
        <v>15</v>
      </c>
      <c r="D672" s="1338" t="s">
        <v>199</v>
      </c>
      <c r="E672" s="213"/>
      <c r="F672" s="213"/>
      <c r="G672" s="213"/>
      <c r="H672" s="213"/>
      <c r="I672" s="213"/>
    </row>
    <row r="673" spans="2:9" ht="15" customHeight="1" x14ac:dyDescent="0.35">
      <c r="B673" s="1435"/>
      <c r="C673" s="104">
        <v>16</v>
      </c>
      <c r="D673" s="1338" t="s">
        <v>200</v>
      </c>
      <c r="E673" s="213"/>
      <c r="F673" s="213"/>
      <c r="G673" s="213"/>
      <c r="H673" s="213"/>
      <c r="I673" s="213"/>
    </row>
    <row r="674" spans="2:9" ht="15" customHeight="1" x14ac:dyDescent="0.35">
      <c r="B674" s="1435"/>
      <c r="C674" s="104">
        <v>17</v>
      </c>
      <c r="D674" s="1338" t="s">
        <v>201</v>
      </c>
      <c r="E674" s="213"/>
      <c r="F674" s="213"/>
      <c r="G674" s="213"/>
      <c r="H674" s="213"/>
      <c r="I674" s="213"/>
    </row>
    <row r="675" spans="2:9" ht="15" customHeight="1" x14ac:dyDescent="0.35">
      <c r="B675" s="1435"/>
      <c r="C675" s="104">
        <v>18</v>
      </c>
      <c r="D675" s="1338" t="s">
        <v>202</v>
      </c>
      <c r="E675" s="213"/>
      <c r="F675" s="213"/>
      <c r="G675" s="213"/>
      <c r="H675" s="213"/>
      <c r="I675" s="213"/>
    </row>
    <row r="676" spans="2:9" ht="15" customHeight="1" x14ac:dyDescent="0.35">
      <c r="B676" s="1436"/>
      <c r="C676" s="284">
        <v>19</v>
      </c>
      <c r="D676" s="1339" t="s">
        <v>203</v>
      </c>
      <c r="E676" s="1140"/>
      <c r="F676" s="1140"/>
      <c r="G676" s="1140"/>
      <c r="H676" s="1140"/>
      <c r="I676" s="1140"/>
    </row>
    <row r="677" spans="2:9" ht="15" customHeight="1" x14ac:dyDescent="0.35">
      <c r="B677" s="1435" t="s">
        <v>2049</v>
      </c>
      <c r="C677" s="575">
        <v>1</v>
      </c>
      <c r="D677" s="1585" t="s">
        <v>2050</v>
      </c>
      <c r="E677" s="480"/>
      <c r="F677" s="480"/>
      <c r="G677" s="480"/>
      <c r="H677" s="480"/>
      <c r="I677" s="480"/>
    </row>
    <row r="678" spans="2:9" ht="15" customHeight="1" x14ac:dyDescent="0.35">
      <c r="B678" s="1435"/>
      <c r="C678" s="104">
        <v>2</v>
      </c>
      <c r="D678" s="1586" t="s">
        <v>2051</v>
      </c>
      <c r="E678" s="213"/>
      <c r="F678" s="213"/>
      <c r="G678" s="213"/>
      <c r="H678" s="213"/>
      <c r="I678" s="213"/>
    </row>
    <row r="679" spans="2:9" ht="15" customHeight="1" x14ac:dyDescent="0.35">
      <c r="B679" s="1435"/>
      <c r="C679" s="104">
        <v>3</v>
      </c>
      <c r="D679" s="1586" t="s">
        <v>2052</v>
      </c>
      <c r="E679" s="213"/>
      <c r="F679" s="213"/>
      <c r="G679" s="213"/>
      <c r="H679" s="213"/>
      <c r="I679" s="213"/>
    </row>
    <row r="680" spans="2:9" ht="15" customHeight="1" x14ac:dyDescent="0.35">
      <c r="B680" s="1435"/>
      <c r="C680" s="104">
        <v>4</v>
      </c>
      <c r="D680" s="1586" t="s">
        <v>2053</v>
      </c>
      <c r="E680" s="213"/>
      <c r="F680" s="213"/>
      <c r="G680" s="213"/>
      <c r="H680" s="213"/>
      <c r="I680" s="213"/>
    </row>
    <row r="681" spans="2:9" ht="15" customHeight="1" x14ac:dyDescent="0.35">
      <c r="B681" s="1435"/>
      <c r="C681" s="284">
        <v>5</v>
      </c>
      <c r="D681" s="1587" t="s">
        <v>2054</v>
      </c>
      <c r="E681" s="1140"/>
      <c r="F681" s="1140"/>
      <c r="G681" s="1140"/>
      <c r="H681" s="1140"/>
      <c r="I681" s="1140"/>
    </row>
    <row r="682" spans="2:9" ht="15" customHeight="1" x14ac:dyDescent="0.35">
      <c r="B682" s="1284" t="s">
        <v>2055</v>
      </c>
      <c r="C682" s="575">
        <v>1</v>
      </c>
      <c r="D682" s="290" t="s">
        <v>2056</v>
      </c>
      <c r="E682" s="480"/>
      <c r="F682" s="480"/>
      <c r="G682" s="480"/>
      <c r="H682" s="480"/>
      <c r="I682" s="480"/>
    </row>
    <row r="683" spans="2:9" ht="15" customHeight="1" x14ac:dyDescent="0.35">
      <c r="B683" s="1435"/>
      <c r="C683" s="104">
        <v>2</v>
      </c>
      <c r="D683" s="290" t="s">
        <v>2057</v>
      </c>
      <c r="E683" s="213"/>
      <c r="F683" s="213"/>
      <c r="G683" s="213"/>
      <c r="H683" s="213"/>
      <c r="I683" s="213"/>
    </row>
    <row r="684" spans="2:9" ht="15" customHeight="1" x14ac:dyDescent="0.35">
      <c r="B684" s="1435"/>
      <c r="C684" s="105">
        <v>3</v>
      </c>
      <c r="D684" s="177" t="s">
        <v>2058</v>
      </c>
      <c r="E684" s="102"/>
      <c r="F684" s="102"/>
      <c r="G684" s="102"/>
      <c r="H684" s="102"/>
      <c r="I684" s="102"/>
    </row>
    <row r="685" spans="2:9" ht="15" customHeight="1" x14ac:dyDescent="0.35">
      <c r="B685" s="1436"/>
      <c r="C685" s="284">
        <v>4</v>
      </c>
      <c r="D685" s="1254" t="s">
        <v>2059</v>
      </c>
      <c r="E685" s="1140"/>
      <c r="F685" s="1140"/>
      <c r="G685" s="1140"/>
      <c r="H685" s="1140"/>
      <c r="I685" s="1140"/>
    </row>
    <row r="686" spans="2:9" ht="15" customHeight="1" x14ac:dyDescent="0.35">
      <c r="B686" s="1435" t="s">
        <v>2060</v>
      </c>
      <c r="C686" s="197">
        <v>1</v>
      </c>
      <c r="D686" s="1740" t="s">
        <v>2061</v>
      </c>
      <c r="E686" s="84"/>
      <c r="F686" s="84"/>
      <c r="G686" s="84"/>
      <c r="H686" s="84"/>
      <c r="I686" s="84"/>
    </row>
    <row r="687" spans="2:9" ht="15" customHeight="1" x14ac:dyDescent="0.35">
      <c r="B687" s="1435"/>
      <c r="C687" s="197">
        <v>2</v>
      </c>
      <c r="D687" s="1740" t="s">
        <v>2062</v>
      </c>
      <c r="E687" s="84"/>
      <c r="F687" s="84"/>
      <c r="G687" s="84"/>
      <c r="H687" s="84"/>
      <c r="I687" s="84"/>
    </row>
    <row r="688" spans="2:9" ht="15" customHeight="1" x14ac:dyDescent="0.35">
      <c r="B688" s="1435"/>
      <c r="C688" s="197">
        <v>3</v>
      </c>
      <c r="D688" s="1740" t="s">
        <v>2063</v>
      </c>
      <c r="E688" s="84"/>
      <c r="F688" s="84"/>
      <c r="G688" s="84"/>
      <c r="H688" s="84"/>
      <c r="I688" s="84"/>
    </row>
    <row r="689" spans="2:9" ht="15" customHeight="1" x14ac:dyDescent="0.35">
      <c r="B689" s="1435"/>
      <c r="C689" s="197">
        <v>4</v>
      </c>
      <c r="D689" s="1740" t="s">
        <v>2064</v>
      </c>
      <c r="E689" s="84"/>
      <c r="F689" s="84"/>
      <c r="G689" s="84"/>
      <c r="H689" s="84"/>
      <c r="I689" s="84"/>
    </row>
    <row r="690" spans="2:9" ht="15" customHeight="1" x14ac:dyDescent="0.35">
      <c r="B690" s="1435"/>
      <c r="C690" s="197">
        <v>5</v>
      </c>
      <c r="D690" s="1740" t="s">
        <v>2065</v>
      </c>
      <c r="E690" s="84"/>
      <c r="F690" s="84"/>
      <c r="G690" s="84"/>
      <c r="H690" s="84"/>
      <c r="I690" s="84"/>
    </row>
    <row r="691" spans="2:9" ht="15" customHeight="1" x14ac:dyDescent="0.35">
      <c r="B691" s="1435"/>
      <c r="C691" s="197">
        <v>6</v>
      </c>
      <c r="D691" s="1740" t="s">
        <v>1760</v>
      </c>
      <c r="E691" s="84"/>
      <c r="F691" s="84"/>
      <c r="G691" s="84"/>
      <c r="H691" s="84"/>
      <c r="I691" s="84"/>
    </row>
    <row r="692" spans="2:9" ht="15" customHeight="1" x14ac:dyDescent="0.35">
      <c r="B692" s="1284" t="s">
        <v>2066</v>
      </c>
      <c r="C692" s="1291">
        <v>1</v>
      </c>
      <c r="D692" s="1741" t="s">
        <v>2067</v>
      </c>
      <c r="E692" s="858"/>
      <c r="F692" s="858"/>
      <c r="G692" s="858"/>
      <c r="H692" s="858"/>
      <c r="I692" s="858"/>
    </row>
    <row r="693" spans="2:9" ht="15" customHeight="1" x14ac:dyDescent="0.35">
      <c r="B693" s="1435"/>
      <c r="C693" s="197">
        <v>2</v>
      </c>
      <c r="D693" s="1740" t="s">
        <v>2068</v>
      </c>
      <c r="E693" s="84"/>
      <c r="F693" s="84"/>
      <c r="G693" s="84"/>
      <c r="H693" s="84"/>
      <c r="I693" s="84"/>
    </row>
    <row r="694" spans="2:9" ht="15" customHeight="1" x14ac:dyDescent="0.35">
      <c r="B694" s="1435"/>
      <c r="C694" s="197">
        <v>3</v>
      </c>
      <c r="D694" s="1740" t="s">
        <v>1760</v>
      </c>
      <c r="E694" s="84"/>
      <c r="F694" s="84"/>
      <c r="G694" s="84"/>
      <c r="H694" s="84"/>
      <c r="I694" s="84"/>
    </row>
    <row r="695" spans="2:9" ht="15" customHeight="1" x14ac:dyDescent="0.35">
      <c r="B695" s="1284" t="s">
        <v>2069</v>
      </c>
      <c r="C695" s="1291">
        <v>1</v>
      </c>
      <c r="D695" s="1741" t="s">
        <v>2070</v>
      </c>
      <c r="E695" s="858"/>
      <c r="F695" s="858"/>
      <c r="G695" s="858"/>
      <c r="H695" s="858"/>
      <c r="I695" s="858"/>
    </row>
    <row r="696" spans="2:9" ht="15" customHeight="1" x14ac:dyDescent="0.35">
      <c r="B696" s="1435"/>
      <c r="C696" s="197">
        <v>2</v>
      </c>
      <c r="D696" s="1740" t="s">
        <v>992</v>
      </c>
      <c r="E696" s="84"/>
      <c r="F696" s="84"/>
      <c r="G696" s="84"/>
      <c r="H696" s="84"/>
      <c r="I696" s="84"/>
    </row>
    <row r="697" spans="2:9" ht="15" customHeight="1" x14ac:dyDescent="0.35">
      <c r="B697" s="1435"/>
      <c r="C697" s="197">
        <v>3</v>
      </c>
      <c r="D697" s="1740" t="s">
        <v>1099</v>
      </c>
      <c r="E697" s="84"/>
      <c r="F697" s="84"/>
      <c r="G697" s="84"/>
      <c r="H697" s="84"/>
      <c r="I697" s="84"/>
    </row>
    <row r="698" spans="2:9" ht="15" customHeight="1" x14ac:dyDescent="0.35">
      <c r="B698" s="1284" t="s">
        <v>2071</v>
      </c>
      <c r="C698" s="575">
        <v>1</v>
      </c>
      <c r="D698" s="804" t="s">
        <v>2072</v>
      </c>
      <c r="E698" s="480"/>
      <c r="F698" s="480"/>
      <c r="G698" s="480"/>
      <c r="H698" s="480"/>
      <c r="I698" s="480"/>
    </row>
    <row r="699" spans="2:9" ht="15" customHeight="1" x14ac:dyDescent="0.35">
      <c r="B699" s="1435"/>
      <c r="C699" s="104">
        <v>2</v>
      </c>
      <c r="D699" s="290" t="s">
        <v>2073</v>
      </c>
      <c r="E699" s="213"/>
      <c r="F699" s="213"/>
      <c r="G699" s="213"/>
      <c r="H699" s="213"/>
      <c r="I699" s="213"/>
    </row>
    <row r="700" spans="2:9" ht="15" customHeight="1" x14ac:dyDescent="0.35">
      <c r="B700" s="1435"/>
      <c r="C700" s="104">
        <v>3</v>
      </c>
      <c r="D700" s="290" t="s">
        <v>2074</v>
      </c>
      <c r="E700" s="213"/>
      <c r="F700" s="213"/>
      <c r="G700" s="213"/>
      <c r="H700" s="213"/>
      <c r="I700" s="213"/>
    </row>
    <row r="701" spans="2:9" ht="15" customHeight="1" x14ac:dyDescent="0.35">
      <c r="B701" s="1435"/>
      <c r="C701" s="104">
        <v>4</v>
      </c>
      <c r="D701" s="290" t="s">
        <v>2075</v>
      </c>
      <c r="E701" s="213"/>
      <c r="F701" s="213"/>
      <c r="G701" s="213"/>
      <c r="H701" s="213"/>
      <c r="I701" s="213"/>
    </row>
    <row r="702" spans="2:9" ht="15" customHeight="1" x14ac:dyDescent="0.35">
      <c r="B702" s="1435"/>
      <c r="C702" s="104">
        <v>5</v>
      </c>
      <c r="D702" s="290" t="s">
        <v>2076</v>
      </c>
      <c r="E702" s="213"/>
      <c r="F702" s="213"/>
      <c r="G702" s="213"/>
      <c r="H702" s="213"/>
      <c r="I702" s="213"/>
    </row>
    <row r="703" spans="2:9" ht="15" customHeight="1" x14ac:dyDescent="0.35">
      <c r="B703" s="1435"/>
      <c r="C703" s="104">
        <v>6</v>
      </c>
      <c r="D703" s="290" t="s">
        <v>2077</v>
      </c>
      <c r="E703" s="213"/>
      <c r="F703" s="213"/>
      <c r="G703" s="213"/>
      <c r="H703" s="213"/>
      <c r="I703" s="213"/>
    </row>
    <row r="704" spans="2:9" ht="15" customHeight="1" x14ac:dyDescent="0.35">
      <c r="B704" s="1435"/>
      <c r="C704" s="104">
        <v>7</v>
      </c>
      <c r="D704" s="290" t="s">
        <v>2078</v>
      </c>
      <c r="E704" s="213"/>
      <c r="F704" s="213"/>
      <c r="G704" s="213"/>
      <c r="H704" s="213"/>
      <c r="I704" s="213"/>
    </row>
    <row r="705" spans="2:9" ht="15" customHeight="1" x14ac:dyDescent="0.35">
      <c r="B705" s="1435"/>
      <c r="C705" s="104">
        <v>8</v>
      </c>
      <c r="D705" s="290" t="s">
        <v>2079</v>
      </c>
      <c r="E705" s="213"/>
      <c r="F705" s="213"/>
      <c r="G705" s="213"/>
      <c r="H705" s="213"/>
      <c r="I705" s="213"/>
    </row>
    <row r="706" spans="2:9" ht="15" customHeight="1" x14ac:dyDescent="0.35">
      <c r="B706" s="1435"/>
      <c r="C706" s="104">
        <v>9</v>
      </c>
      <c r="D706" s="290" t="s">
        <v>2080</v>
      </c>
      <c r="E706" s="213"/>
      <c r="F706" s="213"/>
      <c r="G706" s="213"/>
      <c r="H706" s="213"/>
      <c r="I706" s="213"/>
    </row>
    <row r="707" spans="2:9" ht="15" customHeight="1" x14ac:dyDescent="0.35">
      <c r="B707" s="1435"/>
      <c r="C707" s="104">
        <v>10</v>
      </c>
      <c r="D707" s="290" t="s">
        <v>2081</v>
      </c>
      <c r="E707" s="213"/>
      <c r="F707" s="213"/>
      <c r="G707" s="213"/>
      <c r="H707" s="213"/>
      <c r="I707" s="213"/>
    </row>
    <row r="708" spans="2:9" ht="15" customHeight="1" x14ac:dyDescent="0.35">
      <c r="B708" s="1435"/>
      <c r="C708" s="104">
        <v>11</v>
      </c>
      <c r="D708" s="290" t="s">
        <v>2082</v>
      </c>
      <c r="E708" s="213"/>
      <c r="F708" s="213"/>
      <c r="G708" s="213"/>
      <c r="H708" s="213"/>
      <c r="I708" s="213"/>
    </row>
    <row r="709" spans="2:9" ht="15" customHeight="1" x14ac:dyDescent="0.35">
      <c r="B709" s="1435"/>
      <c r="C709" s="104">
        <v>12</v>
      </c>
      <c r="D709" s="290" t="s">
        <v>2083</v>
      </c>
      <c r="E709" s="213"/>
      <c r="F709" s="213"/>
      <c r="G709" s="213"/>
      <c r="H709" s="213"/>
      <c r="I709" s="213"/>
    </row>
    <row r="710" spans="2:9" ht="15" customHeight="1" x14ac:dyDescent="0.35">
      <c r="B710" s="1435"/>
      <c r="C710" s="104">
        <v>13</v>
      </c>
      <c r="D710" s="290" t="s">
        <v>2084</v>
      </c>
      <c r="E710" s="213"/>
      <c r="F710" s="213"/>
      <c r="G710" s="213"/>
      <c r="H710" s="213"/>
      <c r="I710" s="213"/>
    </row>
    <row r="711" spans="2:9" ht="15" customHeight="1" x14ac:dyDescent="0.35">
      <c r="B711" s="1435"/>
      <c r="C711" s="104">
        <v>14</v>
      </c>
      <c r="D711" s="290" t="s">
        <v>2085</v>
      </c>
      <c r="E711" s="213"/>
      <c r="F711" s="213"/>
      <c r="G711" s="213"/>
      <c r="H711" s="213"/>
      <c r="I711" s="213"/>
    </row>
    <row r="712" spans="2:9" ht="15" customHeight="1" x14ac:dyDescent="0.35">
      <c r="B712" s="1435"/>
      <c r="C712" s="104">
        <v>15</v>
      </c>
      <c r="D712" s="290" t="s">
        <v>2086</v>
      </c>
      <c r="E712" s="213"/>
      <c r="F712" s="213"/>
      <c r="G712" s="213"/>
      <c r="H712" s="213"/>
      <c r="I712" s="213"/>
    </row>
    <row r="713" spans="2:9" ht="15" customHeight="1" x14ac:dyDescent="0.35">
      <c r="B713" s="1435"/>
      <c r="C713" s="104">
        <v>16</v>
      </c>
      <c r="D713" s="290" t="s">
        <v>2087</v>
      </c>
      <c r="E713" s="213"/>
      <c r="F713" s="213"/>
      <c r="G713" s="213"/>
      <c r="H713" s="213"/>
      <c r="I713" s="213"/>
    </row>
    <row r="714" spans="2:9" ht="15" customHeight="1" x14ac:dyDescent="0.35">
      <c r="B714" s="1435"/>
      <c r="C714" s="104">
        <v>17</v>
      </c>
      <c r="D714" s="290" t="s">
        <v>2088</v>
      </c>
      <c r="E714" s="213"/>
      <c r="F714" s="213"/>
      <c r="G714" s="213"/>
      <c r="H714" s="213"/>
      <c r="I714" s="213"/>
    </row>
    <row r="715" spans="2:9" ht="15" customHeight="1" x14ac:dyDescent="0.35">
      <c r="B715" s="1435"/>
      <c r="C715" s="104">
        <v>18</v>
      </c>
      <c r="D715" s="290" t="s">
        <v>2089</v>
      </c>
      <c r="E715" s="213"/>
      <c r="F715" s="213"/>
      <c r="G715" s="213"/>
      <c r="H715" s="213"/>
      <c r="I715" s="213"/>
    </row>
    <row r="716" spans="2:9" ht="15" customHeight="1" x14ac:dyDescent="0.35">
      <c r="B716" s="1435"/>
      <c r="C716" s="104">
        <v>19</v>
      </c>
      <c r="D716" s="290" t="s">
        <v>2090</v>
      </c>
      <c r="E716" s="213"/>
      <c r="F716" s="213"/>
      <c r="G716" s="213"/>
      <c r="H716" s="213"/>
      <c r="I716" s="213"/>
    </row>
    <row r="717" spans="2:9" ht="15" customHeight="1" x14ac:dyDescent="0.35">
      <c r="B717" s="1435"/>
      <c r="C717" s="104">
        <v>20</v>
      </c>
      <c r="D717" s="290" t="s">
        <v>2091</v>
      </c>
      <c r="E717" s="213"/>
      <c r="F717" s="213"/>
      <c r="G717" s="213"/>
      <c r="H717" s="213"/>
      <c r="I717" s="213"/>
    </row>
    <row r="718" spans="2:9" ht="15" customHeight="1" x14ac:dyDescent="0.35">
      <c r="B718" s="1435"/>
      <c r="C718" s="105">
        <v>21</v>
      </c>
      <c r="D718" s="290" t="s">
        <v>2092</v>
      </c>
      <c r="E718" s="102"/>
      <c r="F718" s="102"/>
      <c r="G718" s="102"/>
      <c r="H718" s="102"/>
      <c r="I718" s="102"/>
    </row>
    <row r="719" spans="2:9" ht="15" customHeight="1" x14ac:dyDescent="0.35">
      <c r="B719" s="1435"/>
      <c r="C719" s="105">
        <v>22</v>
      </c>
      <c r="D719" s="290" t="s">
        <v>2093</v>
      </c>
      <c r="E719" s="102"/>
      <c r="F719" s="102"/>
      <c r="G719" s="102"/>
      <c r="H719" s="102"/>
      <c r="I719" s="102"/>
    </row>
    <row r="720" spans="2:9" ht="15" customHeight="1" x14ac:dyDescent="0.35">
      <c r="B720" s="1435"/>
      <c r="C720" s="105">
        <v>23</v>
      </c>
      <c r="D720" s="290" t="s">
        <v>2094</v>
      </c>
      <c r="E720" s="102"/>
      <c r="F720" s="102"/>
      <c r="G720" s="102"/>
      <c r="H720" s="102"/>
      <c r="I720" s="102"/>
    </row>
    <row r="721" spans="2:9" ht="15" customHeight="1" x14ac:dyDescent="0.35">
      <c r="B721" s="1435"/>
      <c r="C721" s="105">
        <v>24</v>
      </c>
      <c r="D721" s="290" t="s">
        <v>2095</v>
      </c>
      <c r="E721" s="102"/>
      <c r="F721" s="102"/>
      <c r="G721" s="102"/>
      <c r="H721" s="102"/>
      <c r="I721" s="102"/>
    </row>
    <row r="722" spans="2:9" ht="15" customHeight="1" x14ac:dyDescent="0.35">
      <c r="B722" s="1436"/>
      <c r="C722" s="284">
        <v>25</v>
      </c>
      <c r="D722" s="1293" t="s">
        <v>1760</v>
      </c>
      <c r="E722" s="1140"/>
      <c r="F722" s="1140"/>
      <c r="G722" s="1140"/>
      <c r="H722" s="1140"/>
      <c r="I722" s="1140"/>
    </row>
    <row r="723" spans="2:9" ht="15" customHeight="1" x14ac:dyDescent="0.35">
      <c r="B723" s="1284" t="s">
        <v>2096</v>
      </c>
      <c r="C723" s="575">
        <v>1</v>
      </c>
      <c r="D723" s="804" t="s">
        <v>2097</v>
      </c>
      <c r="E723" s="480"/>
      <c r="F723" s="480"/>
      <c r="G723" s="480"/>
      <c r="H723" s="480"/>
      <c r="I723" s="480"/>
    </row>
    <row r="724" spans="2:9" ht="15" customHeight="1" x14ac:dyDescent="0.35">
      <c r="B724" s="1435"/>
      <c r="C724" s="104">
        <v>2</v>
      </c>
      <c r="D724" s="290" t="s">
        <v>2098</v>
      </c>
      <c r="E724" s="213"/>
      <c r="F724" s="213"/>
      <c r="G724" s="213"/>
      <c r="H724" s="213"/>
      <c r="I724" s="213"/>
    </row>
    <row r="725" spans="2:9" ht="15" customHeight="1" x14ac:dyDescent="0.35">
      <c r="B725" s="1435"/>
      <c r="C725" s="104">
        <v>3</v>
      </c>
      <c r="D725" s="290" t="s">
        <v>2099</v>
      </c>
      <c r="E725" s="213"/>
      <c r="F725" s="213"/>
      <c r="G725" s="213"/>
      <c r="H725" s="213"/>
      <c r="I725" s="213"/>
    </row>
    <row r="726" spans="2:9" ht="15" customHeight="1" x14ac:dyDescent="0.35">
      <c r="B726" s="1436"/>
      <c r="C726" s="284">
        <v>4</v>
      </c>
      <c r="D726" s="1293" t="s">
        <v>2100</v>
      </c>
      <c r="E726" s="1140"/>
      <c r="F726" s="1140"/>
      <c r="G726" s="1140"/>
      <c r="H726" s="1140"/>
      <c r="I726" s="1140"/>
    </row>
    <row r="727" spans="2:9" ht="15" customHeight="1" x14ac:dyDescent="0.35">
      <c r="B727" s="1179" t="s">
        <v>2101</v>
      </c>
      <c r="C727" s="575">
        <v>37</v>
      </c>
      <c r="D727" s="1337" t="s">
        <v>2102</v>
      </c>
      <c r="E727" s="480" t="s">
        <v>2103</v>
      </c>
      <c r="F727" s="480" t="str">
        <f>D727 &amp; " (" &amp; E727 &amp; ")"</f>
        <v>Aave (AAVE)</v>
      </c>
      <c r="G727" s="480"/>
      <c r="H727" s="480"/>
      <c r="I727" s="480"/>
    </row>
    <row r="728" spans="2:9" ht="15" customHeight="1" x14ac:dyDescent="0.35">
      <c r="B728" s="71"/>
      <c r="C728" s="104">
        <v>4</v>
      </c>
      <c r="D728" s="1338" t="s">
        <v>2104</v>
      </c>
      <c r="E728" s="213" t="s">
        <v>2105</v>
      </c>
      <c r="F728" s="213" t="str">
        <f t="shared" ref="F728:F791" si="2">D728 &amp; " (" &amp; E728 &amp; ")"</f>
        <v>Cardano (ADA)</v>
      </c>
      <c r="G728" s="213"/>
      <c r="H728" s="213"/>
      <c r="I728" s="213"/>
    </row>
    <row r="729" spans="2:9" ht="15" customHeight="1" x14ac:dyDescent="0.35">
      <c r="B729" s="71"/>
      <c r="C729" s="104">
        <v>18</v>
      </c>
      <c r="D729" s="1338" t="s">
        <v>2106</v>
      </c>
      <c r="E729" s="213" t="s">
        <v>2107</v>
      </c>
      <c r="F729" s="213" t="str">
        <f t="shared" si="2"/>
        <v>Algorand (ALGO)</v>
      </c>
      <c r="G729" s="213"/>
      <c r="H729" s="213"/>
      <c r="I729" s="213"/>
    </row>
    <row r="730" spans="2:9" ht="15" customHeight="1" x14ac:dyDescent="0.35">
      <c r="B730" s="71"/>
      <c r="C730" s="104">
        <v>61</v>
      </c>
      <c r="D730" s="1338" t="s">
        <v>2108</v>
      </c>
      <c r="E730" s="213" t="s">
        <v>2109</v>
      </c>
      <c r="F730" s="213" t="str">
        <f t="shared" si="2"/>
        <v>Amp (AMP)</v>
      </c>
      <c r="G730" s="213"/>
      <c r="H730" s="213"/>
      <c r="I730" s="213"/>
    </row>
    <row r="731" spans="2:9" ht="15" customHeight="1" x14ac:dyDescent="0.35">
      <c r="B731" s="71"/>
      <c r="C731" s="104">
        <v>75</v>
      </c>
      <c r="D731" s="1338" t="s">
        <v>2110</v>
      </c>
      <c r="E731" s="213" t="s">
        <v>2111</v>
      </c>
      <c r="F731" s="213" t="str">
        <f t="shared" si="2"/>
        <v>Arweave (AR)</v>
      </c>
      <c r="G731" s="213"/>
      <c r="H731" s="213"/>
      <c r="I731" s="213"/>
    </row>
    <row r="732" spans="2:9" ht="15" customHeight="1" x14ac:dyDescent="0.35">
      <c r="B732" s="71"/>
      <c r="C732" s="104">
        <v>22</v>
      </c>
      <c r="D732" s="1338" t="s">
        <v>2112</v>
      </c>
      <c r="E732" s="213" t="s">
        <v>2113</v>
      </c>
      <c r="F732" s="213" t="str">
        <f t="shared" si="2"/>
        <v>Cosmos (ATOM)</v>
      </c>
      <c r="G732" s="213"/>
      <c r="H732" s="213"/>
      <c r="I732" s="213"/>
    </row>
    <row r="733" spans="2:9" ht="15" customHeight="1" x14ac:dyDescent="0.35">
      <c r="B733" s="71"/>
      <c r="C733" s="104">
        <v>94</v>
      </c>
      <c r="D733" s="1338" t="s">
        <v>2114</v>
      </c>
      <c r="E733" s="213" t="s">
        <v>2115</v>
      </c>
      <c r="F733" s="213" t="str">
        <f t="shared" si="2"/>
        <v>Audius (AUDIO)</v>
      </c>
      <c r="G733" s="213"/>
      <c r="H733" s="213"/>
      <c r="I733" s="213"/>
    </row>
    <row r="734" spans="2:9" ht="15" customHeight="1" x14ac:dyDescent="0.35">
      <c r="B734" s="71"/>
      <c r="C734" s="104">
        <v>11</v>
      </c>
      <c r="D734" s="1338" t="s">
        <v>2116</v>
      </c>
      <c r="E734" s="213" t="s">
        <v>2117</v>
      </c>
      <c r="F734" s="213" t="str">
        <f t="shared" si="2"/>
        <v>Avalanche (AVAX)</v>
      </c>
      <c r="G734" s="213"/>
      <c r="H734" s="213"/>
      <c r="I734" s="213"/>
    </row>
    <row r="735" spans="2:9" ht="15" customHeight="1" x14ac:dyDescent="0.35">
      <c r="B735" s="71"/>
      <c r="C735" s="104">
        <v>43</v>
      </c>
      <c r="D735" s="1338" t="s">
        <v>2118</v>
      </c>
      <c r="E735" s="213" t="s">
        <v>2119</v>
      </c>
      <c r="F735" s="213" t="str">
        <f t="shared" si="2"/>
        <v>Axie Infinity (AXS)</v>
      </c>
      <c r="G735" s="213"/>
      <c r="H735" s="213"/>
      <c r="I735" s="213"/>
    </row>
    <row r="736" spans="2:9" ht="15" customHeight="1" x14ac:dyDescent="0.35">
      <c r="B736" s="71"/>
      <c r="C736" s="104">
        <v>91</v>
      </c>
      <c r="D736" s="1338" t="s">
        <v>2120</v>
      </c>
      <c r="E736" s="213" t="s">
        <v>2121</v>
      </c>
      <c r="F736" s="213" t="str">
        <f t="shared" si="2"/>
        <v>Basic Attention Token (BAT)</v>
      </c>
      <c r="G736" s="213"/>
      <c r="H736" s="213"/>
      <c r="I736" s="213"/>
    </row>
    <row r="737" spans="2:9" ht="15" customHeight="1" x14ac:dyDescent="0.35">
      <c r="B737" s="71"/>
      <c r="C737" s="104">
        <v>17</v>
      </c>
      <c r="D737" s="1338" t="s">
        <v>2122</v>
      </c>
      <c r="E737" s="213" t="s">
        <v>2123</v>
      </c>
      <c r="F737" s="213" t="str">
        <f t="shared" si="2"/>
        <v>Bitcoin Cash (BCH)</v>
      </c>
      <c r="G737" s="213"/>
      <c r="H737" s="213"/>
      <c r="I737" s="213"/>
    </row>
    <row r="738" spans="2:9" ht="15" customHeight="1" x14ac:dyDescent="0.35">
      <c r="B738" s="71"/>
      <c r="C738" s="104">
        <v>5</v>
      </c>
      <c r="D738" s="1338" t="s">
        <v>2124</v>
      </c>
      <c r="E738" s="213" t="s">
        <v>2125</v>
      </c>
      <c r="F738" s="213" t="str">
        <f t="shared" si="2"/>
        <v>Binance Coin (BNB)</v>
      </c>
      <c r="G738" s="213"/>
      <c r="H738" s="213"/>
      <c r="I738" s="213"/>
    </row>
    <row r="739" spans="2:9" ht="15" customHeight="1" x14ac:dyDescent="0.35">
      <c r="B739" s="71"/>
      <c r="C739" s="104">
        <v>53</v>
      </c>
      <c r="D739" s="1338" t="s">
        <v>2126</v>
      </c>
      <c r="E739" s="213" t="s">
        <v>2127</v>
      </c>
      <c r="F739" s="213" t="str">
        <f t="shared" si="2"/>
        <v>Bitcoin SV (BSV)</v>
      </c>
      <c r="G739" s="213"/>
      <c r="H739" s="213"/>
      <c r="I739" s="213"/>
    </row>
    <row r="740" spans="2:9" ht="15" customHeight="1" x14ac:dyDescent="0.35">
      <c r="B740" s="71"/>
      <c r="C740" s="104">
        <v>1</v>
      </c>
      <c r="D740" s="1338" t="s">
        <v>2128</v>
      </c>
      <c r="E740" s="213" t="s">
        <v>2129</v>
      </c>
      <c r="F740" s="213" t="str">
        <f t="shared" si="2"/>
        <v>Bitcoin (BTC)</v>
      </c>
      <c r="G740" s="213"/>
      <c r="H740" s="213"/>
      <c r="I740" s="213"/>
    </row>
    <row r="741" spans="2:9" ht="15" customHeight="1" x14ac:dyDescent="0.35">
      <c r="B741" s="71"/>
      <c r="C741" s="104">
        <v>39</v>
      </c>
      <c r="D741" s="1338" t="s">
        <v>2130</v>
      </c>
      <c r="E741" s="213" t="s">
        <v>2131</v>
      </c>
      <c r="F741" s="213" t="str">
        <f t="shared" si="2"/>
        <v>Bitcoin BEP2 (BTCB)</v>
      </c>
      <c r="G741" s="213"/>
      <c r="H741" s="213"/>
      <c r="I741" s="213"/>
    </row>
    <row r="742" spans="2:9" ht="15" customHeight="1" x14ac:dyDescent="0.35">
      <c r="B742" s="71"/>
      <c r="C742" s="104">
        <v>92</v>
      </c>
      <c r="D742" s="1338" t="s">
        <v>2132</v>
      </c>
      <c r="E742" s="213" t="s">
        <v>2133</v>
      </c>
      <c r="F742" s="213" t="str">
        <f t="shared" si="2"/>
        <v>Bitcoin Gold (BTG)</v>
      </c>
      <c r="G742" s="213"/>
      <c r="H742" s="213"/>
      <c r="I742" s="213"/>
    </row>
    <row r="743" spans="2:9" ht="15" customHeight="1" x14ac:dyDescent="0.35">
      <c r="B743" s="71"/>
      <c r="C743" s="104">
        <v>56</v>
      </c>
      <c r="D743" s="1338" t="s">
        <v>2134</v>
      </c>
      <c r="E743" s="213" t="s">
        <v>2135</v>
      </c>
      <c r="F743" s="213" t="str">
        <f t="shared" si="2"/>
        <v>BitTorrent (BTT)</v>
      </c>
      <c r="G743" s="213"/>
      <c r="H743" s="213"/>
      <c r="I743" s="213"/>
    </row>
    <row r="744" spans="2:9" ht="15" customHeight="1" x14ac:dyDescent="0.35">
      <c r="B744" s="71"/>
      <c r="C744" s="104">
        <v>13</v>
      </c>
      <c r="D744" s="1338" t="s">
        <v>2136</v>
      </c>
      <c r="E744" s="213" t="s">
        <v>2137</v>
      </c>
      <c r="F744" s="213" t="str">
        <f t="shared" si="2"/>
        <v>Binance USD (BUSD)</v>
      </c>
      <c r="G744" s="213"/>
      <c r="H744" s="213"/>
      <c r="I744" s="213"/>
    </row>
    <row r="745" spans="2:9" ht="15" customHeight="1" x14ac:dyDescent="0.35">
      <c r="B745" s="71"/>
      <c r="C745" s="104">
        <v>32</v>
      </c>
      <c r="D745" s="1338" t="s">
        <v>2138</v>
      </c>
      <c r="E745" s="213" t="s">
        <v>2139</v>
      </c>
      <c r="F745" s="213" t="str">
        <f t="shared" si="2"/>
        <v>PancakeSwap (CAKE)</v>
      </c>
      <c r="G745" s="213"/>
      <c r="H745" s="213"/>
      <c r="I745" s="213"/>
    </row>
    <row r="746" spans="2:9" ht="15" customHeight="1" x14ac:dyDescent="0.35">
      <c r="B746" s="71"/>
      <c r="C746" s="104">
        <v>80</v>
      </c>
      <c r="D746" s="1338" t="s">
        <v>2140</v>
      </c>
      <c r="E746" s="213" t="s">
        <v>2141</v>
      </c>
      <c r="F746" s="213" t="str">
        <f t="shared" si="2"/>
        <v>Celsius (CEL)</v>
      </c>
      <c r="G746" s="213"/>
      <c r="H746" s="213"/>
      <c r="I746" s="213"/>
    </row>
    <row r="747" spans="2:9" ht="15" customHeight="1" x14ac:dyDescent="0.35">
      <c r="B747" s="71"/>
      <c r="C747" s="104">
        <v>57</v>
      </c>
      <c r="D747" s="1338" t="s">
        <v>2142</v>
      </c>
      <c r="E747" s="213" t="s">
        <v>2143</v>
      </c>
      <c r="F747" s="213" t="str">
        <f t="shared" si="2"/>
        <v>Celo (CELO)</v>
      </c>
      <c r="G747" s="213"/>
      <c r="H747" s="213"/>
      <c r="I747" s="213"/>
    </row>
    <row r="748" spans="2:9" ht="15" customHeight="1" x14ac:dyDescent="0.35">
      <c r="B748" s="71"/>
      <c r="C748" s="104">
        <v>65</v>
      </c>
      <c r="D748" s="1338" t="s">
        <v>2144</v>
      </c>
      <c r="E748" s="213" t="s">
        <v>2145</v>
      </c>
      <c r="F748" s="213" t="str">
        <f t="shared" si="2"/>
        <v>Chiliz (CHZ)</v>
      </c>
      <c r="G748" s="213"/>
      <c r="H748" s="213"/>
      <c r="I748" s="213"/>
    </row>
    <row r="749" spans="2:9" ht="15" customHeight="1" x14ac:dyDescent="0.35">
      <c r="B749" s="71"/>
      <c r="C749" s="104">
        <v>59</v>
      </c>
      <c r="D749" s="1338" t="s">
        <v>2146</v>
      </c>
      <c r="E749" s="213" t="s">
        <v>2147</v>
      </c>
      <c r="F749" s="213" t="str">
        <f t="shared" si="2"/>
        <v>Compound (COMP)</v>
      </c>
      <c r="G749" s="213"/>
      <c r="H749" s="213"/>
      <c r="I749" s="213"/>
    </row>
    <row r="750" spans="2:9" ht="15" customHeight="1" x14ac:dyDescent="0.35">
      <c r="B750" s="71"/>
      <c r="C750" s="104">
        <v>34</v>
      </c>
      <c r="D750" s="1338" t="s">
        <v>2148</v>
      </c>
      <c r="E750" s="213" t="s">
        <v>2149</v>
      </c>
      <c r="F750" s="213" t="str">
        <f t="shared" si="2"/>
        <v>Crypto.com Coin (CRO)</v>
      </c>
      <c r="G750" s="213"/>
      <c r="H750" s="213"/>
      <c r="I750" s="213"/>
    </row>
    <row r="751" spans="2:9" ht="15" customHeight="1" x14ac:dyDescent="0.35">
      <c r="B751" s="71"/>
      <c r="C751" s="104">
        <v>88</v>
      </c>
      <c r="D751" s="1338" t="s">
        <v>2150</v>
      </c>
      <c r="E751" s="213" t="s">
        <v>2151</v>
      </c>
      <c r="F751" s="213" t="str">
        <f t="shared" si="2"/>
        <v>Curve DAO Token (CRV)</v>
      </c>
      <c r="G751" s="213"/>
      <c r="H751" s="213"/>
      <c r="I751" s="213"/>
    </row>
    <row r="752" spans="2:9" ht="15" customHeight="1" x14ac:dyDescent="0.35">
      <c r="B752" s="71"/>
      <c r="C752" s="104">
        <v>27</v>
      </c>
      <c r="D752" s="1338" t="s">
        <v>2152</v>
      </c>
      <c r="E752" s="213" t="s">
        <v>2153</v>
      </c>
      <c r="F752" s="213" t="str">
        <f t="shared" si="2"/>
        <v>Dai (DAI)</v>
      </c>
      <c r="G752" s="213"/>
      <c r="H752" s="213"/>
      <c r="I752" s="213"/>
    </row>
    <row r="753" spans="2:9" ht="15" customHeight="1" x14ac:dyDescent="0.35">
      <c r="B753" s="71"/>
      <c r="C753" s="104">
        <v>62</v>
      </c>
      <c r="D753" s="1338" t="s">
        <v>2154</v>
      </c>
      <c r="E753" s="213" t="s">
        <v>2155</v>
      </c>
      <c r="F753" s="213" t="str">
        <f t="shared" si="2"/>
        <v>Dash (DASH)</v>
      </c>
      <c r="G753" s="213"/>
      <c r="H753" s="213"/>
      <c r="I753" s="213"/>
    </row>
    <row r="754" spans="2:9" ht="15" customHeight="1" x14ac:dyDescent="0.35">
      <c r="B754" s="71"/>
      <c r="C754" s="104">
        <v>66</v>
      </c>
      <c r="D754" s="1338" t="s">
        <v>2156</v>
      </c>
      <c r="E754" s="213" t="s">
        <v>2157</v>
      </c>
      <c r="F754" s="213" t="str">
        <f t="shared" si="2"/>
        <v>Decred (DCR)</v>
      </c>
      <c r="G754" s="213"/>
      <c r="H754" s="213"/>
      <c r="I754" s="213"/>
    </row>
    <row r="755" spans="2:9" ht="15" customHeight="1" x14ac:dyDescent="0.35">
      <c r="B755" s="71"/>
      <c r="C755" s="104">
        <v>10</v>
      </c>
      <c r="D755" s="1338" t="s">
        <v>2158</v>
      </c>
      <c r="E755" s="213" t="s">
        <v>2159</v>
      </c>
      <c r="F755" s="213" t="str">
        <f t="shared" si="2"/>
        <v>Dogecoin (DOGE)</v>
      </c>
      <c r="G755" s="213"/>
      <c r="H755" s="213"/>
      <c r="I755" s="213"/>
    </row>
    <row r="756" spans="2:9" ht="15" customHeight="1" x14ac:dyDescent="0.35">
      <c r="B756" s="71"/>
      <c r="C756" s="104">
        <v>9</v>
      </c>
      <c r="D756" s="1338" t="s">
        <v>2160</v>
      </c>
      <c r="E756" s="213" t="s">
        <v>2161</v>
      </c>
      <c r="F756" s="213" t="str">
        <f t="shared" si="2"/>
        <v>Polkadot (DOT)</v>
      </c>
      <c r="G756" s="213"/>
      <c r="H756" s="213"/>
      <c r="I756" s="213"/>
    </row>
    <row r="757" spans="2:9" ht="15" customHeight="1" x14ac:dyDescent="0.35">
      <c r="B757" s="71"/>
      <c r="C757" s="104">
        <v>38</v>
      </c>
      <c r="D757" s="1338" t="s">
        <v>2162</v>
      </c>
      <c r="E757" s="213" t="s">
        <v>2163</v>
      </c>
      <c r="F757" s="213" t="str">
        <f t="shared" si="2"/>
        <v>Elrond (EGLD)</v>
      </c>
      <c r="G757" s="213"/>
      <c r="H757" s="213"/>
      <c r="I757" s="213"/>
    </row>
    <row r="758" spans="2:9" ht="15" customHeight="1" x14ac:dyDescent="0.35">
      <c r="B758" s="71"/>
      <c r="C758" s="104">
        <v>81</v>
      </c>
      <c r="D758" s="1338" t="s">
        <v>2164</v>
      </c>
      <c r="E758" s="213" t="s">
        <v>2165</v>
      </c>
      <c r="F758" s="213" t="str">
        <f t="shared" si="2"/>
        <v>Enjin Coin (ENJ)</v>
      </c>
      <c r="G758" s="213"/>
      <c r="H758" s="213"/>
      <c r="I758" s="213"/>
    </row>
    <row r="759" spans="2:9" ht="15" customHeight="1" x14ac:dyDescent="0.35">
      <c r="B759" s="71"/>
      <c r="C759" s="104">
        <v>35</v>
      </c>
      <c r="D759" s="1338" t="s">
        <v>2166</v>
      </c>
      <c r="E759" s="213" t="s">
        <v>2166</v>
      </c>
      <c r="F759" s="213" t="str">
        <f t="shared" si="2"/>
        <v>EOS (EOS)</v>
      </c>
      <c r="G759" s="213"/>
      <c r="H759" s="213"/>
      <c r="I759" s="213"/>
    </row>
    <row r="760" spans="2:9" ht="15" customHeight="1" x14ac:dyDescent="0.35">
      <c r="B760" s="71"/>
      <c r="C760" s="104">
        <v>28</v>
      </c>
      <c r="D760" s="1338" t="s">
        <v>2167</v>
      </c>
      <c r="E760" s="213" t="s">
        <v>2168</v>
      </c>
      <c r="F760" s="213" t="str">
        <f t="shared" si="2"/>
        <v>Ethereum Classic (ETC)</v>
      </c>
      <c r="G760" s="213"/>
      <c r="H760" s="213"/>
      <c r="I760" s="213"/>
    </row>
    <row r="761" spans="2:9" ht="15" customHeight="1" x14ac:dyDescent="0.35">
      <c r="B761" s="71"/>
      <c r="C761" s="104">
        <v>2</v>
      </c>
      <c r="D761" s="1338" t="s">
        <v>2169</v>
      </c>
      <c r="E761" s="213" t="s">
        <v>2170</v>
      </c>
      <c r="F761" s="213" t="str">
        <f t="shared" si="2"/>
        <v>Ethereum (ETH)</v>
      </c>
      <c r="G761" s="213"/>
      <c r="H761" s="213"/>
      <c r="I761" s="213"/>
    </row>
    <row r="762" spans="2:9" ht="15" customHeight="1" x14ac:dyDescent="0.35">
      <c r="B762" s="71"/>
      <c r="C762" s="104">
        <v>20</v>
      </c>
      <c r="D762" s="1338" t="s">
        <v>2171</v>
      </c>
      <c r="E762" s="213" t="s">
        <v>2172</v>
      </c>
      <c r="F762" s="213" t="str">
        <f t="shared" si="2"/>
        <v>Filecoin (FIL)</v>
      </c>
      <c r="G762" s="213"/>
      <c r="H762" s="213"/>
      <c r="I762" s="213"/>
    </row>
    <row r="763" spans="2:9" ht="15" customHeight="1" x14ac:dyDescent="0.35">
      <c r="B763" s="71"/>
      <c r="C763" s="104">
        <v>90</v>
      </c>
      <c r="D763" s="1338" t="s">
        <v>2173</v>
      </c>
      <c r="E763" s="213" t="s">
        <v>2174</v>
      </c>
      <c r="F763" s="213" t="str">
        <f t="shared" si="2"/>
        <v>Flow (FLOW)</v>
      </c>
      <c r="G763" s="213"/>
      <c r="H763" s="213"/>
      <c r="I763" s="213"/>
    </row>
    <row r="764" spans="2:9" ht="15" customHeight="1" x14ac:dyDescent="0.35">
      <c r="B764" s="71"/>
      <c r="C764" s="104">
        <v>46</v>
      </c>
      <c r="D764" s="1338" t="s">
        <v>2175</v>
      </c>
      <c r="E764" s="213" t="s">
        <v>2176</v>
      </c>
      <c r="F764" s="213" t="str">
        <f t="shared" si="2"/>
        <v>Fantom (FTM)</v>
      </c>
      <c r="G764" s="213"/>
      <c r="H764" s="213"/>
      <c r="I764" s="213"/>
    </row>
    <row r="765" spans="2:9" ht="15" customHeight="1" x14ac:dyDescent="0.35">
      <c r="B765" s="71"/>
      <c r="C765" s="104">
        <v>24</v>
      </c>
      <c r="D765" s="1338" t="s">
        <v>2177</v>
      </c>
      <c r="E765" s="213" t="s">
        <v>2178</v>
      </c>
      <c r="F765" s="213" t="str">
        <f t="shared" si="2"/>
        <v>FTX Token (FTT)</v>
      </c>
      <c r="G765" s="213"/>
      <c r="H765" s="213"/>
      <c r="I765" s="213"/>
    </row>
    <row r="766" spans="2:9" ht="15" customHeight="1" x14ac:dyDescent="0.35">
      <c r="B766" s="71"/>
      <c r="C766" s="104">
        <v>44</v>
      </c>
      <c r="D766" s="1338" t="s">
        <v>2179</v>
      </c>
      <c r="E766" s="213" t="s">
        <v>2180</v>
      </c>
      <c r="F766" s="213" t="str">
        <f t="shared" si="2"/>
        <v>The Graph (GRT)</v>
      </c>
      <c r="G766" s="213"/>
      <c r="H766" s="213"/>
      <c r="I766" s="213"/>
    </row>
    <row r="767" spans="2:9" ht="15" customHeight="1" x14ac:dyDescent="0.35">
      <c r="B767" s="71"/>
      <c r="C767" s="104">
        <v>100</v>
      </c>
      <c r="D767" s="1338" t="s">
        <v>2181</v>
      </c>
      <c r="E767" s="213" t="s">
        <v>2182</v>
      </c>
      <c r="F767" s="213" t="str">
        <f t="shared" si="2"/>
        <v>Gemini (GUSD)</v>
      </c>
      <c r="G767" s="213"/>
      <c r="H767" s="213"/>
      <c r="I767" s="213"/>
    </row>
    <row r="768" spans="2:9" ht="15" customHeight="1" x14ac:dyDescent="0.35">
      <c r="B768" s="71"/>
      <c r="C768" s="104">
        <v>45</v>
      </c>
      <c r="D768" s="1338" t="s">
        <v>2183</v>
      </c>
      <c r="E768" s="213" t="s">
        <v>2184</v>
      </c>
      <c r="F768" s="213" t="str">
        <f t="shared" si="2"/>
        <v>Hedera Hashgraph (HBAR)</v>
      </c>
      <c r="G768" s="213"/>
      <c r="H768" s="213"/>
      <c r="I768" s="213"/>
    </row>
    <row r="769" spans="2:9" ht="15" customHeight="1" x14ac:dyDescent="0.35">
      <c r="B769" s="71"/>
      <c r="C769" s="104">
        <v>60</v>
      </c>
      <c r="D769" s="1338" t="s">
        <v>2185</v>
      </c>
      <c r="E769" s="213" t="s">
        <v>2186</v>
      </c>
      <c r="F769" s="213" t="str">
        <f t="shared" si="2"/>
        <v>Helium (HNT)</v>
      </c>
      <c r="G769" s="213"/>
      <c r="H769" s="213"/>
      <c r="I769" s="213"/>
    </row>
    <row r="770" spans="2:9" ht="15" customHeight="1" x14ac:dyDescent="0.35">
      <c r="B770" s="71"/>
      <c r="C770" s="104">
        <v>70</v>
      </c>
      <c r="D770" s="1338" t="s">
        <v>2187</v>
      </c>
      <c r="E770" s="213" t="s">
        <v>2188</v>
      </c>
      <c r="F770" s="213" t="str">
        <f t="shared" si="2"/>
        <v>Holo (HOT)</v>
      </c>
      <c r="G770" s="213"/>
      <c r="H770" s="213"/>
      <c r="I770" s="213"/>
    </row>
    <row r="771" spans="2:9" ht="15" customHeight="1" x14ac:dyDescent="0.35">
      <c r="B771" s="71"/>
      <c r="C771" s="104">
        <v>58</v>
      </c>
      <c r="D771" s="1338" t="s">
        <v>2189</v>
      </c>
      <c r="E771" s="213" t="s">
        <v>2190</v>
      </c>
      <c r="F771" s="213" t="str">
        <f t="shared" si="2"/>
        <v>Huobi Token (HT)</v>
      </c>
      <c r="G771" s="213"/>
      <c r="H771" s="213"/>
      <c r="I771" s="213"/>
    </row>
    <row r="772" spans="2:9" ht="15" customHeight="1" x14ac:dyDescent="0.35">
      <c r="B772" s="71"/>
      <c r="C772" s="104">
        <v>21</v>
      </c>
      <c r="D772" s="1338" t="s">
        <v>2191</v>
      </c>
      <c r="E772" s="213" t="s">
        <v>2192</v>
      </c>
      <c r="F772" s="213" t="str">
        <f t="shared" si="2"/>
        <v>Internet Computer (ICP)</v>
      </c>
      <c r="G772" s="213"/>
      <c r="H772" s="213"/>
      <c r="I772" s="213"/>
    </row>
    <row r="773" spans="2:9" ht="15" customHeight="1" x14ac:dyDescent="0.35">
      <c r="B773" s="71"/>
      <c r="C773" s="104">
        <v>83</v>
      </c>
      <c r="D773" s="1338" t="s">
        <v>2193</v>
      </c>
      <c r="E773" s="213" t="s">
        <v>2194</v>
      </c>
      <c r="F773" s="213" t="str">
        <f t="shared" si="2"/>
        <v>ICON (ICX)</v>
      </c>
      <c r="G773" s="213"/>
      <c r="H773" s="213"/>
      <c r="I773" s="213"/>
    </row>
    <row r="774" spans="2:9" ht="15" customHeight="1" x14ac:dyDescent="0.35">
      <c r="B774" s="71"/>
      <c r="C774" s="104">
        <v>86</v>
      </c>
      <c r="D774" s="1338" t="s">
        <v>2195</v>
      </c>
      <c r="E774" s="213" t="s">
        <v>2195</v>
      </c>
      <c r="F774" s="213" t="str">
        <f t="shared" si="2"/>
        <v>IOST (IOST)</v>
      </c>
      <c r="G774" s="213"/>
      <c r="H774" s="213"/>
      <c r="I774" s="213"/>
    </row>
    <row r="775" spans="2:9" ht="15" customHeight="1" x14ac:dyDescent="0.35">
      <c r="B775" s="71"/>
      <c r="C775" s="104">
        <v>51</v>
      </c>
      <c r="D775" s="1338" t="s">
        <v>2196</v>
      </c>
      <c r="E775" s="213" t="s">
        <v>2197</v>
      </c>
      <c r="F775" s="213" t="str">
        <f t="shared" si="2"/>
        <v>Klaytn (KLAY)</v>
      </c>
      <c r="G775" s="213"/>
      <c r="H775" s="213"/>
      <c r="I775" s="213"/>
    </row>
    <row r="776" spans="2:9" ht="15" customHeight="1" x14ac:dyDescent="0.35">
      <c r="B776" s="71"/>
      <c r="C776" s="104">
        <v>48</v>
      </c>
      <c r="D776" s="1338" t="s">
        <v>2198</v>
      </c>
      <c r="E776" s="213" t="s">
        <v>2199</v>
      </c>
      <c r="F776" s="213" t="str">
        <f t="shared" si="2"/>
        <v>Kusama (KSM)</v>
      </c>
      <c r="G776" s="213"/>
      <c r="H776" s="213"/>
      <c r="I776" s="213"/>
    </row>
    <row r="777" spans="2:9" ht="15" customHeight="1" x14ac:dyDescent="0.35">
      <c r="B777" s="71"/>
      <c r="C777" s="104">
        <v>49</v>
      </c>
      <c r="D777" s="1338" t="s">
        <v>2200</v>
      </c>
      <c r="E777" s="213" t="s">
        <v>2201</v>
      </c>
      <c r="F777" s="213" t="str">
        <f t="shared" si="2"/>
        <v>UNUS SED LEO (LEO)</v>
      </c>
      <c r="G777" s="213"/>
      <c r="H777" s="213"/>
      <c r="I777" s="213"/>
    </row>
    <row r="778" spans="2:9" ht="15" customHeight="1" x14ac:dyDescent="0.35">
      <c r="B778" s="71"/>
      <c r="C778" s="104">
        <v>16</v>
      </c>
      <c r="D778" s="1338" t="s">
        <v>2202</v>
      </c>
      <c r="E778" s="213" t="s">
        <v>2203</v>
      </c>
      <c r="F778" s="213" t="str">
        <f t="shared" si="2"/>
        <v>Chainlink (LINK)</v>
      </c>
      <c r="G778" s="213"/>
      <c r="H778" s="213"/>
      <c r="I778" s="213"/>
    </row>
    <row r="779" spans="2:9" ht="15" customHeight="1" x14ac:dyDescent="0.35">
      <c r="B779" s="71"/>
      <c r="C779" s="104">
        <v>15</v>
      </c>
      <c r="D779" s="1338" t="s">
        <v>2204</v>
      </c>
      <c r="E779" s="213" t="s">
        <v>2205</v>
      </c>
      <c r="F779" s="213" t="str">
        <f t="shared" si="2"/>
        <v>Litecoin (LTC)</v>
      </c>
      <c r="G779" s="213"/>
      <c r="H779" s="213"/>
      <c r="I779" s="213"/>
    </row>
    <row r="780" spans="2:9" ht="15" customHeight="1" x14ac:dyDescent="0.35">
      <c r="B780" s="71"/>
      <c r="C780" s="104">
        <v>14</v>
      </c>
      <c r="D780" s="1338" t="s">
        <v>2206</v>
      </c>
      <c r="E780" s="213" t="s">
        <v>2207</v>
      </c>
      <c r="F780" s="213" t="str">
        <f t="shared" si="2"/>
        <v>Terra (LUNA)</v>
      </c>
      <c r="G780" s="213"/>
      <c r="H780" s="213"/>
      <c r="I780" s="213"/>
    </row>
    <row r="781" spans="2:9" ht="15" customHeight="1" x14ac:dyDescent="0.35">
      <c r="B781" s="71"/>
      <c r="C781" s="104">
        <v>79</v>
      </c>
      <c r="D781" s="1338" t="s">
        <v>2208</v>
      </c>
      <c r="E781" s="213" t="s">
        <v>2209</v>
      </c>
      <c r="F781" s="213" t="str">
        <f t="shared" si="2"/>
        <v>Decentraland (MANA)</v>
      </c>
      <c r="G781" s="213"/>
      <c r="H781" s="213"/>
      <c r="I781" s="213"/>
    </row>
    <row r="782" spans="2:9" ht="15" customHeight="1" x14ac:dyDescent="0.35">
      <c r="B782" s="71"/>
      <c r="C782" s="104">
        <v>23</v>
      </c>
      <c r="D782" s="1338" t="s">
        <v>2210</v>
      </c>
      <c r="E782" s="213" t="s">
        <v>2211</v>
      </c>
      <c r="F782" s="213" t="str">
        <f t="shared" si="2"/>
        <v>Polygon (MATIC)</v>
      </c>
      <c r="G782" s="213"/>
      <c r="H782" s="213"/>
      <c r="I782" s="213"/>
    </row>
    <row r="783" spans="2:9" ht="15" customHeight="1" x14ac:dyDescent="0.35">
      <c r="B783" s="71"/>
      <c r="C783" s="104">
        <v>96</v>
      </c>
      <c r="D783" s="1338" t="s">
        <v>2212</v>
      </c>
      <c r="E783" s="213" t="s">
        <v>2213</v>
      </c>
      <c r="F783" s="213" t="str">
        <f t="shared" si="2"/>
        <v>Mdex (MDX)</v>
      </c>
      <c r="G783" s="213"/>
      <c r="H783" s="213"/>
      <c r="I783" s="213"/>
    </row>
    <row r="784" spans="2:9" ht="15" customHeight="1" x14ac:dyDescent="0.35">
      <c r="B784" s="71"/>
      <c r="C784" s="104">
        <v>82</v>
      </c>
      <c r="D784" s="1338" t="s">
        <v>2214</v>
      </c>
      <c r="E784" s="213" t="s">
        <v>2215</v>
      </c>
      <c r="F784" s="213" t="str">
        <f t="shared" si="2"/>
        <v>Mina (MINA)</v>
      </c>
      <c r="G784" s="213"/>
      <c r="H784" s="213"/>
      <c r="I784" s="213"/>
    </row>
    <row r="785" spans="2:9" ht="15" customHeight="1" x14ac:dyDescent="0.35">
      <c r="B785" s="71"/>
      <c r="C785" s="104">
        <v>40</v>
      </c>
      <c r="D785" s="1338" t="s">
        <v>2216</v>
      </c>
      <c r="E785" s="213" t="s">
        <v>2217</v>
      </c>
      <c r="F785" s="213" t="str">
        <f t="shared" si="2"/>
        <v>IOTA (MIOTA)</v>
      </c>
      <c r="G785" s="213"/>
      <c r="H785" s="213"/>
      <c r="I785" s="213"/>
    </row>
    <row r="786" spans="2:9" ht="15" customHeight="1" x14ac:dyDescent="0.35">
      <c r="B786" s="71"/>
      <c r="C786" s="104">
        <v>55</v>
      </c>
      <c r="D786" s="1338" t="s">
        <v>2218</v>
      </c>
      <c r="E786" s="213" t="s">
        <v>2219</v>
      </c>
      <c r="F786" s="213" t="str">
        <f t="shared" si="2"/>
        <v>Maker (MKR)</v>
      </c>
      <c r="G786" s="213"/>
      <c r="H786" s="213"/>
      <c r="I786" s="213"/>
    </row>
    <row r="787" spans="2:9" ht="15" customHeight="1" x14ac:dyDescent="0.35">
      <c r="B787" s="71"/>
      <c r="C787" s="104">
        <v>42</v>
      </c>
      <c r="D787" s="1338" t="s">
        <v>2220</v>
      </c>
      <c r="E787" s="213" t="s">
        <v>2221</v>
      </c>
      <c r="F787" s="213" t="str">
        <f t="shared" si="2"/>
        <v>NEAR Protocol (NEAR)</v>
      </c>
      <c r="G787" s="213"/>
      <c r="H787" s="213"/>
      <c r="I787" s="213"/>
    </row>
    <row r="788" spans="2:9" ht="15" customHeight="1" x14ac:dyDescent="0.35">
      <c r="B788" s="71"/>
      <c r="C788" s="104">
        <v>47</v>
      </c>
      <c r="D788" s="1338" t="s">
        <v>2222</v>
      </c>
      <c r="E788" s="213" t="s">
        <v>2223</v>
      </c>
      <c r="F788" s="213" t="str">
        <f t="shared" si="2"/>
        <v>Neo (NEO)</v>
      </c>
      <c r="G788" s="213"/>
      <c r="H788" s="213"/>
      <c r="I788" s="213"/>
    </row>
    <row r="789" spans="2:9" ht="15" customHeight="1" x14ac:dyDescent="0.35">
      <c r="B789" s="71"/>
      <c r="C789" s="104">
        <v>100</v>
      </c>
      <c r="D789" s="1338" t="s">
        <v>2224</v>
      </c>
      <c r="E789" s="213" t="s">
        <v>2225</v>
      </c>
      <c r="F789" s="213" t="str">
        <f t="shared" si="2"/>
        <v>Nexo (NEXO)</v>
      </c>
      <c r="G789" s="213"/>
      <c r="H789" s="213"/>
      <c r="I789" s="213"/>
    </row>
    <row r="790" spans="2:9" ht="15" customHeight="1" x14ac:dyDescent="0.35">
      <c r="B790" s="71"/>
      <c r="C790" s="104">
        <v>89</v>
      </c>
      <c r="D790" s="1338" t="s">
        <v>2226</v>
      </c>
      <c r="E790" s="213" t="s">
        <v>2226</v>
      </c>
      <c r="F790" s="213" t="str">
        <f t="shared" si="2"/>
        <v>OKB (OKB)</v>
      </c>
      <c r="G790" s="213"/>
      <c r="H790" s="213"/>
      <c r="I790" s="213"/>
    </row>
    <row r="791" spans="2:9" ht="15" customHeight="1" x14ac:dyDescent="0.35">
      <c r="B791" s="71"/>
      <c r="C791" s="104">
        <v>68</v>
      </c>
      <c r="D791" s="1338" t="s">
        <v>2227</v>
      </c>
      <c r="E791" s="213" t="s">
        <v>2228</v>
      </c>
      <c r="F791" s="213" t="str">
        <f t="shared" si="2"/>
        <v>OMG Network (OMG)</v>
      </c>
      <c r="G791" s="213"/>
      <c r="H791" s="213"/>
      <c r="I791" s="213"/>
    </row>
    <row r="792" spans="2:9" ht="15" customHeight="1" x14ac:dyDescent="0.35">
      <c r="B792" s="71"/>
      <c r="C792" s="104">
        <v>73</v>
      </c>
      <c r="D792" s="1338" t="s">
        <v>2229</v>
      </c>
      <c r="E792" s="213" t="s">
        <v>2230</v>
      </c>
      <c r="F792" s="213" t="str">
        <f t="shared" ref="F792:F828" si="3">D792 &amp; " (" &amp; E792 &amp; ")"</f>
        <v>Harmony (ONE)</v>
      </c>
      <c r="G792" s="213"/>
      <c r="H792" s="213"/>
      <c r="I792" s="213"/>
    </row>
    <row r="793" spans="2:9" ht="15" customHeight="1" x14ac:dyDescent="0.35">
      <c r="B793" s="71"/>
      <c r="C793" s="104">
        <v>97</v>
      </c>
      <c r="D793" s="1338" t="s">
        <v>2231</v>
      </c>
      <c r="E793" s="213" t="s">
        <v>2232</v>
      </c>
      <c r="F793" s="213" t="str">
        <f t="shared" si="3"/>
        <v>Perpetual Protocol (PERP)</v>
      </c>
      <c r="G793" s="213"/>
      <c r="H793" s="213"/>
      <c r="I793" s="213"/>
    </row>
    <row r="794" spans="2:9" ht="15" customHeight="1" x14ac:dyDescent="0.35">
      <c r="B794" s="71"/>
      <c r="C794" s="104">
        <v>41</v>
      </c>
      <c r="D794" s="1338" t="s">
        <v>2233</v>
      </c>
      <c r="E794" s="213" t="s">
        <v>2234</v>
      </c>
      <c r="F794" s="213" t="str">
        <f t="shared" si="3"/>
        <v>Quant (QNT)</v>
      </c>
      <c r="G794" s="213"/>
      <c r="H794" s="213"/>
      <c r="I794" s="213"/>
    </row>
    <row r="795" spans="2:9" ht="15" customHeight="1" x14ac:dyDescent="0.35">
      <c r="B795" s="71"/>
      <c r="C795" s="104">
        <v>87</v>
      </c>
      <c r="D795" s="1338" t="s">
        <v>2235</v>
      </c>
      <c r="E795" s="213" t="s">
        <v>2236</v>
      </c>
      <c r="F795" s="213" t="str">
        <f t="shared" si="3"/>
        <v>Qtum (QTUM)</v>
      </c>
      <c r="G795" s="213"/>
      <c r="H795" s="213"/>
      <c r="I795" s="213"/>
    </row>
    <row r="796" spans="2:9" ht="15" customHeight="1" x14ac:dyDescent="0.35">
      <c r="B796" s="71"/>
      <c r="C796" s="104">
        <v>67</v>
      </c>
      <c r="D796" s="1338" t="s">
        <v>2237</v>
      </c>
      <c r="E796" s="213" t="s">
        <v>2238</v>
      </c>
      <c r="F796" s="213" t="str">
        <f t="shared" si="3"/>
        <v>Revain (REV)</v>
      </c>
      <c r="G796" s="213"/>
      <c r="H796" s="213"/>
      <c r="I796" s="213"/>
    </row>
    <row r="797" spans="2:9" ht="15" customHeight="1" x14ac:dyDescent="0.35">
      <c r="B797" s="71"/>
      <c r="C797" s="104">
        <v>63</v>
      </c>
      <c r="D797" s="1338" t="s">
        <v>2239</v>
      </c>
      <c r="E797" s="213" t="s">
        <v>2240</v>
      </c>
      <c r="F797" s="213" t="str">
        <f t="shared" si="3"/>
        <v>THORChain (RUNE)</v>
      </c>
      <c r="G797" s="213"/>
      <c r="H797" s="213"/>
      <c r="I797" s="213"/>
    </row>
    <row r="798" spans="2:9" ht="15" customHeight="1" x14ac:dyDescent="0.35">
      <c r="B798" s="71"/>
      <c r="C798" s="104">
        <v>93</v>
      </c>
      <c r="D798" s="1338" t="s">
        <v>2241</v>
      </c>
      <c r="E798" s="213" t="s">
        <v>2242</v>
      </c>
      <c r="F798" s="213" t="str">
        <f t="shared" si="3"/>
        <v>Ravencoin (RVN)</v>
      </c>
      <c r="G798" s="213"/>
      <c r="H798" s="213"/>
      <c r="I798" s="213"/>
    </row>
    <row r="799" spans="2:9" ht="15" customHeight="1" x14ac:dyDescent="0.35">
      <c r="B799" s="71"/>
      <c r="C799" s="104">
        <v>50</v>
      </c>
      <c r="D799" s="1338" t="s">
        <v>2243</v>
      </c>
      <c r="E799" s="213" t="s">
        <v>2244</v>
      </c>
      <c r="F799" s="213" t="str">
        <f t="shared" si="3"/>
        <v>SHIBA INU (SHIB)</v>
      </c>
      <c r="G799" s="213"/>
      <c r="H799" s="213"/>
      <c r="I799" s="213"/>
    </row>
    <row r="800" spans="2:9" ht="15" customHeight="1" x14ac:dyDescent="0.35">
      <c r="B800" s="71"/>
      <c r="C800" s="104">
        <v>77</v>
      </c>
      <c r="D800" s="1338" t="s">
        <v>2245</v>
      </c>
      <c r="E800" s="213" t="s">
        <v>2246</v>
      </c>
      <c r="F800" s="213" t="str">
        <f t="shared" si="3"/>
        <v>Synthetix (SNX)</v>
      </c>
      <c r="G800" s="213"/>
      <c r="H800" s="213"/>
      <c r="I800" s="213"/>
    </row>
    <row r="801" spans="2:9" ht="15" customHeight="1" x14ac:dyDescent="0.35">
      <c r="B801" s="71"/>
      <c r="C801" s="104">
        <v>7</v>
      </c>
      <c r="D801" s="1338" t="s">
        <v>2247</v>
      </c>
      <c r="E801" s="213" t="s">
        <v>2248</v>
      </c>
      <c r="F801" s="213" t="str">
        <f t="shared" si="3"/>
        <v>Solana (SOL)</v>
      </c>
      <c r="G801" s="213"/>
      <c r="H801" s="213"/>
      <c r="I801" s="213"/>
    </row>
    <row r="802" spans="2:9" ht="15" customHeight="1" x14ac:dyDescent="0.35">
      <c r="B802" s="71"/>
      <c r="C802" s="104">
        <v>64</v>
      </c>
      <c r="D802" s="1338" t="s">
        <v>2249</v>
      </c>
      <c r="E802" s="213" t="s">
        <v>2250</v>
      </c>
      <c r="F802" s="213" t="str">
        <f t="shared" si="3"/>
        <v>Stacks (STX)</v>
      </c>
      <c r="G802" s="213"/>
      <c r="H802" s="213"/>
      <c r="I802" s="213"/>
    </row>
    <row r="803" spans="2:9" ht="15" customHeight="1" x14ac:dyDescent="0.35">
      <c r="B803" s="71"/>
      <c r="C803" s="104">
        <v>76</v>
      </c>
      <c r="D803" s="1338" t="s">
        <v>2251</v>
      </c>
      <c r="E803" s="213" t="s">
        <v>2252</v>
      </c>
      <c r="F803" s="213" t="str">
        <f t="shared" si="3"/>
        <v>SushiSwap (SUSHI)</v>
      </c>
      <c r="G803" s="213"/>
      <c r="H803" s="213"/>
      <c r="I803" s="213"/>
    </row>
    <row r="804" spans="2:9" ht="15" customHeight="1" x14ac:dyDescent="0.35">
      <c r="B804" s="71"/>
      <c r="C804" s="104">
        <v>99</v>
      </c>
      <c r="D804" s="1338" t="s">
        <v>2253</v>
      </c>
      <c r="E804" s="213" t="s">
        <v>2254</v>
      </c>
      <c r="F804" s="213" t="str">
        <f t="shared" si="3"/>
        <v>Telcoin (TEL)</v>
      </c>
      <c r="G804" s="213"/>
      <c r="H804" s="213"/>
      <c r="I804" s="213"/>
    </row>
    <row r="805" spans="2:9" ht="15" customHeight="1" x14ac:dyDescent="0.35">
      <c r="B805" s="71"/>
      <c r="C805" s="104">
        <v>72</v>
      </c>
      <c r="D805" s="1338" t="s">
        <v>2255</v>
      </c>
      <c r="E805" s="213" t="s">
        <v>2256</v>
      </c>
      <c r="F805" s="213" t="str">
        <f t="shared" si="3"/>
        <v>Theta Fuel (TFUEL)</v>
      </c>
      <c r="G805" s="213"/>
      <c r="H805" s="213"/>
      <c r="I805" s="213"/>
    </row>
    <row r="806" spans="2:9" ht="15" customHeight="1" x14ac:dyDescent="0.35">
      <c r="B806" s="71"/>
      <c r="C806" s="104">
        <v>30</v>
      </c>
      <c r="D806" s="1338" t="s">
        <v>2257</v>
      </c>
      <c r="E806" s="213" t="s">
        <v>2257</v>
      </c>
      <c r="F806" s="213" t="str">
        <f t="shared" si="3"/>
        <v>THETA (THETA)</v>
      </c>
      <c r="G806" s="213"/>
      <c r="H806" s="213"/>
      <c r="I806" s="213"/>
    </row>
    <row r="807" spans="2:9" ht="15" customHeight="1" x14ac:dyDescent="0.35">
      <c r="B807" s="71"/>
      <c r="C807" s="104">
        <v>26</v>
      </c>
      <c r="D807" s="1338" t="s">
        <v>2258</v>
      </c>
      <c r="E807" s="213" t="s">
        <v>2259</v>
      </c>
      <c r="F807" s="213" t="str">
        <f t="shared" si="3"/>
        <v>TRON (TRX)</v>
      </c>
      <c r="G807" s="213"/>
      <c r="H807" s="213"/>
      <c r="I807" s="213"/>
    </row>
    <row r="808" spans="2:9" ht="15" customHeight="1" x14ac:dyDescent="0.35">
      <c r="B808" s="71"/>
      <c r="C808" s="104">
        <v>71</v>
      </c>
      <c r="D808" s="1338" t="s">
        <v>2260</v>
      </c>
      <c r="E808" s="213" t="s">
        <v>2261</v>
      </c>
      <c r="F808" s="213" t="str">
        <f t="shared" si="3"/>
        <v>TrueUSD (TUSD)</v>
      </c>
      <c r="G808" s="213"/>
      <c r="H808" s="213"/>
      <c r="I808" s="213"/>
    </row>
    <row r="809" spans="2:9" ht="15" customHeight="1" x14ac:dyDescent="0.35">
      <c r="B809" s="71"/>
      <c r="C809" s="104">
        <v>12</v>
      </c>
      <c r="D809" s="1338" t="s">
        <v>2262</v>
      </c>
      <c r="E809" s="213" t="s">
        <v>2263</v>
      </c>
      <c r="F809" s="213" t="str">
        <f t="shared" si="3"/>
        <v>Uniswap (UNI)</v>
      </c>
      <c r="G809" s="213"/>
      <c r="H809" s="213"/>
      <c r="I809" s="213"/>
    </row>
    <row r="810" spans="2:9" ht="15" customHeight="1" x14ac:dyDescent="0.35">
      <c r="B810" s="71"/>
      <c r="C810" s="104">
        <v>8</v>
      </c>
      <c r="D810" s="1338" t="s">
        <v>2264</v>
      </c>
      <c r="E810" s="213" t="s">
        <v>2265</v>
      </c>
      <c r="F810" s="213" t="str">
        <f t="shared" si="3"/>
        <v>USD Coin (USDC)</v>
      </c>
      <c r="G810" s="213"/>
      <c r="H810" s="213"/>
      <c r="I810" s="213"/>
    </row>
    <row r="811" spans="2:9" ht="15" customHeight="1" x14ac:dyDescent="0.35">
      <c r="B811" s="71"/>
      <c r="C811" s="104">
        <v>95</v>
      </c>
      <c r="D811" s="1338" t="s">
        <v>2266</v>
      </c>
      <c r="E811" s="213" t="s">
        <v>2267</v>
      </c>
      <c r="F811" s="213" t="str">
        <f t="shared" si="3"/>
        <v>Pax Dollar (USDP)</v>
      </c>
      <c r="G811" s="213"/>
      <c r="H811" s="213"/>
      <c r="I811" s="213"/>
    </row>
    <row r="812" spans="2:9" ht="15" customHeight="1" x14ac:dyDescent="0.35">
      <c r="B812" s="71"/>
      <c r="C812" s="104">
        <v>3</v>
      </c>
      <c r="D812" s="1338" t="s">
        <v>2268</v>
      </c>
      <c r="E812" s="213" t="s">
        <v>2269</v>
      </c>
      <c r="F812" s="213" t="str">
        <f t="shared" si="3"/>
        <v>Tether (USDT)</v>
      </c>
      <c r="G812" s="213"/>
      <c r="H812" s="213"/>
      <c r="I812" s="213"/>
    </row>
    <row r="813" spans="2:9" ht="15" customHeight="1" x14ac:dyDescent="0.35">
      <c r="B813" s="71"/>
      <c r="C813" s="104">
        <v>52</v>
      </c>
      <c r="D813" s="1338" t="s">
        <v>2270</v>
      </c>
      <c r="E813" s="213" t="s">
        <v>2271</v>
      </c>
      <c r="F813" s="213" t="str">
        <f t="shared" si="3"/>
        <v>TerraUSD (UST)</v>
      </c>
      <c r="G813" s="213"/>
      <c r="H813" s="213"/>
      <c r="I813" s="213"/>
    </row>
    <row r="814" spans="2:9" ht="15" customHeight="1" x14ac:dyDescent="0.35">
      <c r="B814" s="71"/>
      <c r="C814" s="104">
        <v>29</v>
      </c>
      <c r="D814" s="1338" t="s">
        <v>2272</v>
      </c>
      <c r="E814" s="213" t="s">
        <v>2273</v>
      </c>
      <c r="F814" s="213" t="str">
        <f t="shared" si="3"/>
        <v>VeChain (VET)</v>
      </c>
      <c r="G814" s="213"/>
      <c r="H814" s="213"/>
      <c r="I814" s="213"/>
    </row>
    <row r="815" spans="2:9" ht="15" customHeight="1" x14ac:dyDescent="0.35">
      <c r="B815" s="71"/>
      <c r="C815" s="104">
        <v>54</v>
      </c>
      <c r="D815" s="1338" t="s">
        <v>2274</v>
      </c>
      <c r="E815" s="213" t="s">
        <v>2275</v>
      </c>
      <c r="F815" s="213" t="str">
        <f t="shared" si="3"/>
        <v>Waves (WAVES)</v>
      </c>
      <c r="G815" s="213"/>
      <c r="H815" s="213"/>
      <c r="I815" s="213"/>
    </row>
    <row r="816" spans="2:9" ht="15" customHeight="1" x14ac:dyDescent="0.35">
      <c r="B816" s="71"/>
      <c r="C816" s="104">
        <v>19</v>
      </c>
      <c r="D816" s="1338" t="s">
        <v>2276</v>
      </c>
      <c r="E816" s="213" t="s">
        <v>2277</v>
      </c>
      <c r="F816" s="213" t="str">
        <f t="shared" si="3"/>
        <v>Wrapped Bitcoin (WBTC)</v>
      </c>
      <c r="G816" s="213"/>
      <c r="H816" s="213"/>
      <c r="I816" s="213"/>
    </row>
    <row r="817" spans="1:10" ht="15" customHeight="1" x14ac:dyDescent="0.35">
      <c r="B817" s="71"/>
      <c r="C817" s="104">
        <v>78</v>
      </c>
      <c r="D817" s="1338" t="s">
        <v>2278</v>
      </c>
      <c r="E817" s="213" t="s">
        <v>2279</v>
      </c>
      <c r="F817" s="213" t="str">
        <f t="shared" si="3"/>
        <v>XinFin (XDC)</v>
      </c>
      <c r="G817" s="213"/>
      <c r="H817" s="213"/>
      <c r="I817" s="213"/>
    </row>
    <row r="818" spans="1:10" ht="15" customHeight="1" x14ac:dyDescent="0.35">
      <c r="B818" s="71"/>
      <c r="C818" s="104">
        <v>36</v>
      </c>
      <c r="D818" s="1338" t="s">
        <v>2280</v>
      </c>
      <c r="E818" s="213" t="s">
        <v>2281</v>
      </c>
      <c r="F818" s="213" t="str">
        <f t="shared" si="3"/>
        <v>eCash (XEC)</v>
      </c>
      <c r="G818" s="213"/>
      <c r="H818" s="213"/>
      <c r="I818" s="213"/>
    </row>
    <row r="819" spans="1:10" ht="15" customHeight="1" x14ac:dyDescent="0.35">
      <c r="B819" s="71"/>
      <c r="C819" s="104">
        <v>74</v>
      </c>
      <c r="D819" s="1338" t="s">
        <v>2282</v>
      </c>
      <c r="E819" s="213" t="s">
        <v>2283</v>
      </c>
      <c r="F819" s="213" t="str">
        <f t="shared" si="3"/>
        <v>NEM (XEM)</v>
      </c>
      <c r="G819" s="213"/>
      <c r="H819" s="213"/>
      <c r="I819" s="213"/>
    </row>
    <row r="820" spans="1:10" ht="15" customHeight="1" x14ac:dyDescent="0.35">
      <c r="B820" s="71"/>
      <c r="C820" s="104">
        <v>25</v>
      </c>
      <c r="D820" s="1338" t="s">
        <v>2284</v>
      </c>
      <c r="E820" s="213" t="s">
        <v>2285</v>
      </c>
      <c r="F820" s="213" t="str">
        <f t="shared" si="3"/>
        <v>Stellar (XLM)</v>
      </c>
      <c r="G820" s="213"/>
      <c r="H820" s="213"/>
      <c r="I820" s="213"/>
    </row>
    <row r="821" spans="1:10" ht="15" customHeight="1" x14ac:dyDescent="0.35">
      <c r="B821" s="71"/>
      <c r="C821" s="104">
        <v>33</v>
      </c>
      <c r="D821" s="1338" t="s">
        <v>2286</v>
      </c>
      <c r="E821" s="213" t="s">
        <v>2287</v>
      </c>
      <c r="F821" s="213" t="str">
        <f t="shared" si="3"/>
        <v>Monero (XMR)</v>
      </c>
      <c r="G821" s="213"/>
      <c r="H821" s="213"/>
      <c r="I821" s="213"/>
    </row>
    <row r="822" spans="1:10" ht="15" customHeight="1" x14ac:dyDescent="0.35">
      <c r="B822" s="71"/>
      <c r="C822" s="104">
        <v>6</v>
      </c>
      <c r="D822" s="1338" t="s">
        <v>2288</v>
      </c>
      <c r="E822" s="213" t="s">
        <v>2288</v>
      </c>
      <c r="F822" s="213" t="str">
        <f t="shared" si="3"/>
        <v>XRP (XRP)</v>
      </c>
      <c r="G822" s="213"/>
      <c r="H822" s="213"/>
      <c r="I822" s="213"/>
    </row>
    <row r="823" spans="1:10" ht="15" customHeight="1" x14ac:dyDescent="0.35">
      <c r="B823" s="71"/>
      <c r="C823" s="104">
        <v>31</v>
      </c>
      <c r="D823" s="1338" t="s">
        <v>2289</v>
      </c>
      <c r="E823" s="213" t="s">
        <v>2290</v>
      </c>
      <c r="F823" s="213" t="str">
        <f t="shared" si="3"/>
        <v>Tezos (XTZ)</v>
      </c>
      <c r="G823" s="213"/>
      <c r="H823" s="213"/>
      <c r="I823" s="213"/>
    </row>
    <row r="824" spans="1:10" ht="15" customHeight="1" x14ac:dyDescent="0.35">
      <c r="B824" s="71"/>
      <c r="C824" s="104">
        <v>84</v>
      </c>
      <c r="D824" s="1338" t="s">
        <v>2291</v>
      </c>
      <c r="E824" s="213" t="s">
        <v>2292</v>
      </c>
      <c r="F824" s="213" t="str">
        <f t="shared" si="3"/>
        <v>yearn.finance (YFI)</v>
      </c>
      <c r="G824" s="213"/>
      <c r="H824" s="213"/>
      <c r="I824" s="213"/>
    </row>
    <row r="825" spans="1:10" ht="15" customHeight="1" x14ac:dyDescent="0.35">
      <c r="B825" s="71"/>
      <c r="C825" s="104">
        <v>69</v>
      </c>
      <c r="D825" s="1338" t="s">
        <v>2293</v>
      </c>
      <c r="E825" s="213" t="s">
        <v>2294</v>
      </c>
      <c r="F825" s="213" t="str">
        <f t="shared" si="3"/>
        <v>Zcash (ZEC)</v>
      </c>
      <c r="G825" s="213"/>
      <c r="H825" s="213"/>
      <c r="I825" s="213"/>
    </row>
    <row r="826" spans="1:10" ht="15" customHeight="1" x14ac:dyDescent="0.35">
      <c r="B826" s="71"/>
      <c r="C826" s="104">
        <v>98</v>
      </c>
      <c r="D826" s="1338" t="s">
        <v>2295</v>
      </c>
      <c r="E826" s="213" t="s">
        <v>2296</v>
      </c>
      <c r="F826" s="213" t="str">
        <f t="shared" si="3"/>
        <v>Horizen (ZEN)</v>
      </c>
      <c r="G826" s="213"/>
      <c r="H826" s="213"/>
      <c r="I826" s="213"/>
    </row>
    <row r="827" spans="1:10" ht="15" customHeight="1" x14ac:dyDescent="0.35">
      <c r="B827" s="71"/>
      <c r="C827" s="104">
        <v>85</v>
      </c>
      <c r="D827" s="1338" t="s">
        <v>2297</v>
      </c>
      <c r="E827" s="213" t="s">
        <v>2298</v>
      </c>
      <c r="F827" s="213" t="str">
        <f t="shared" si="3"/>
        <v>Zilliqa (ZIL)</v>
      </c>
      <c r="G827" s="213"/>
      <c r="H827" s="213"/>
      <c r="I827" s="213"/>
    </row>
    <row r="828" spans="1:10" ht="15" customHeight="1" x14ac:dyDescent="0.35">
      <c r="B828" s="1180"/>
      <c r="C828" s="284">
        <v>0</v>
      </c>
      <c r="D828" s="1339" t="s">
        <v>1760</v>
      </c>
      <c r="E828" s="1140" t="s">
        <v>1760</v>
      </c>
      <c r="F828" s="1140" t="str">
        <f t="shared" si="3"/>
        <v>Other (Other)</v>
      </c>
      <c r="G828" s="1140"/>
      <c r="H828" s="1140"/>
      <c r="I828" s="1140"/>
    </row>
    <row r="829" spans="1:10" ht="15" customHeight="1" x14ac:dyDescent="0.35">
      <c r="A829" s="729"/>
      <c r="B829" s="278"/>
      <c r="C829" s="278"/>
      <c r="D829" s="278"/>
      <c r="E829" s="278"/>
      <c r="F829" s="278"/>
      <c r="G829" s="278"/>
      <c r="H829" s="278"/>
      <c r="I829" s="278"/>
      <c r="J829" s="875"/>
    </row>
    <row r="830" spans="1:10" ht="15" hidden="1" customHeight="1" x14ac:dyDescent="0.35"/>
    <row r="831" spans="1:10" ht="15" hidden="1" customHeight="1" x14ac:dyDescent="0.35"/>
    <row r="832" spans="1:10" ht="15" hidden="1" customHeight="1" x14ac:dyDescent="0.35"/>
  </sheetData>
  <sheetProtection algorithmName="SHA-512" hashValue="EcBPgb6cU9HJFvFLsYkh6QMAonNVP5Cw7ECMutf7Ih+E6MfhmlmXwZuwlWQDxVjzg9erYLP2idI7qw0JJ+Iz0A==" saltValue="peby5HoyG91ApewoxtwWNQ==" spinCount="100000" sheet="1" objects="1" scenarios="1"/>
  <mergeCells count="25">
    <mergeCell ref="B154:E154"/>
    <mergeCell ref="B53:E53"/>
    <mergeCell ref="B62:E62"/>
    <mergeCell ref="B126:E126"/>
    <mergeCell ref="F17:H17"/>
    <mergeCell ref="B25:E25"/>
    <mergeCell ref="B34:E34"/>
    <mergeCell ref="B44:E44"/>
    <mergeCell ref="B117:E117"/>
    <mergeCell ref="B343:E343"/>
    <mergeCell ref="B11:E11"/>
    <mergeCell ref="B12:E12"/>
    <mergeCell ref="B396:E396"/>
    <mergeCell ref="B254:E254"/>
    <mergeCell ref="B245:E245"/>
    <mergeCell ref="B247:E247"/>
    <mergeCell ref="B252:E252"/>
    <mergeCell ref="B17:E18"/>
    <mergeCell ref="B163:E163"/>
    <mergeCell ref="B181:E181"/>
    <mergeCell ref="B190:E190"/>
    <mergeCell ref="B235:E235"/>
    <mergeCell ref="B127:E127"/>
    <mergeCell ref="B136:E136"/>
    <mergeCell ref="B145:E145"/>
  </mergeCells>
  <phoneticPr fontId="9" type="noConversion"/>
  <conditionalFormatting sqref="B20:B22">
    <cfRule type="cellIs" dxfId="6" priority="4" stopIfTrue="1" operator="equal">
      <formula>"Please check"</formula>
    </cfRule>
    <cfRule type="cellIs" dxfId="5" priority="5" stopIfTrue="1" operator="equal">
      <formula>"Pass"</formula>
    </cfRule>
    <cfRule type="cellIs" dxfId="4" priority="6" stopIfTrue="1" operator="equal">
      <formula>"Fail"</formula>
    </cfRule>
  </conditionalFormatting>
  <conditionalFormatting sqref="B19">
    <cfRule type="cellIs" dxfId="3" priority="1" stopIfTrue="1" operator="equal">
      <formula>"Please check"</formula>
    </cfRule>
    <cfRule type="cellIs" dxfId="2" priority="2" stopIfTrue="1" operator="equal">
      <formula>"Pass"</formula>
    </cfRule>
    <cfRule type="cellIs" dxfId="1" priority="3" stopIfTrue="1" operator="equal">
      <formula>"Fail"</formula>
    </cfRule>
  </conditionalFormatting>
  <dataValidations xWindow="734" yWindow="271" count="3">
    <dataValidation type="list" allowBlank="1" showInputMessage="1" showErrorMessage="1" sqref="F8:F9 F11:F12 F269:F270 F403 F398 F400 F396">
      <formula1>YesNo</formula1>
    </dataValidation>
    <dataValidation type="list" allowBlank="1" showInputMessage="1" showErrorMessage="1" sqref="F13">
      <formula1>D449:D450</formula1>
    </dataValidation>
    <dataValidation type="list" allowBlank="1" showInputMessage="1" showErrorMessage="1" sqref="F399">
      <formula1>OpRiskLossThreshold</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7" manualBreakCount="7">
    <brk id="267" max="9" man="1"/>
    <brk id="302" max="9" man="1"/>
    <brk id="350" max="9" man="1"/>
    <brk id="401" max="9" man="1"/>
    <brk id="450" max="9" man="1"/>
    <brk id="498" max="9" man="1"/>
    <brk id="550" max="9"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301"/>
  <sheetViews>
    <sheetView zoomScaleNormal="100" workbookViewId="0">
      <pane ySplit="1" topLeftCell="A2" activePane="bottomLeft" state="frozen"/>
      <selection pane="bottomLeft"/>
    </sheetView>
  </sheetViews>
  <sheetFormatPr defaultColWidth="9.109375" defaultRowHeight="15" x14ac:dyDescent="0.35"/>
  <cols>
    <col min="1" max="1" width="9.109375" style="137"/>
    <col min="2" max="2" width="24.88671875" style="137" bestFit="1" customWidth="1"/>
    <col min="3" max="3" width="40.33203125" style="137" customWidth="1"/>
    <col min="4" max="4" width="87.109375" style="137" customWidth="1"/>
    <col min="5" max="16384" width="9.109375" style="137"/>
  </cols>
  <sheetData>
    <row r="1" spans="1:4" s="1542" customFormat="1" ht="43.5" customHeight="1" x14ac:dyDescent="0.65">
      <c r="A1" s="2294" t="s">
        <v>3187</v>
      </c>
    </row>
    <row r="2" spans="1:4" s="1971" customFormat="1" ht="30" customHeight="1" x14ac:dyDescent="0.45">
      <c r="A2" s="1270" t="s">
        <v>3186</v>
      </c>
      <c r="B2" s="85"/>
      <c r="C2" s="85"/>
      <c r="D2" s="85"/>
    </row>
    <row r="3" spans="1:4" s="1971" customFormat="1" ht="15" customHeight="1" x14ac:dyDescent="0.35">
      <c r="A3" s="259"/>
      <c r="B3" s="85"/>
      <c r="C3" s="85"/>
      <c r="D3" s="85"/>
    </row>
    <row r="4" spans="1:4" s="1971" customFormat="1" ht="15" customHeight="1" x14ac:dyDescent="0.35">
      <c r="A4" s="259"/>
      <c r="B4" s="683" t="s">
        <v>1838</v>
      </c>
      <c r="C4" s="2293">
        <v>2</v>
      </c>
      <c r="D4" s="2293">
        <v>1</v>
      </c>
    </row>
    <row r="5" spans="1:4" s="1971" customFormat="1" ht="15" customHeight="1" x14ac:dyDescent="0.35">
      <c r="A5" s="259"/>
      <c r="B5" s="85"/>
      <c r="C5" s="85"/>
      <c r="D5" s="85"/>
    </row>
    <row r="6" spans="1:4" s="1971" customFormat="1" ht="45" customHeight="1" x14ac:dyDescent="0.35">
      <c r="A6" s="665" t="s">
        <v>3185</v>
      </c>
      <c r="B6" s="1275"/>
      <c r="C6" s="1275"/>
      <c r="D6" s="1276"/>
    </row>
    <row r="7" spans="1:4" x14ac:dyDescent="0.35">
      <c r="A7" s="3451" t="s">
        <v>3184</v>
      </c>
      <c r="B7" s="3451"/>
      <c r="C7" s="3451"/>
      <c r="D7" s="3451"/>
    </row>
    <row r="8" spans="1:4" x14ac:dyDescent="0.35">
      <c r="B8" s="2563" t="s">
        <v>165</v>
      </c>
      <c r="C8" s="575">
        <v>1</v>
      </c>
      <c r="D8" s="2292" t="s">
        <v>18</v>
      </c>
    </row>
    <row r="9" spans="1:4" ht="19.2" x14ac:dyDescent="0.35">
      <c r="A9" s="106"/>
      <c r="B9" s="2564"/>
      <c r="C9" s="284">
        <v>2</v>
      </c>
      <c r="D9" s="2291" t="s">
        <v>7</v>
      </c>
    </row>
    <row r="10" spans="1:4" x14ac:dyDescent="0.35">
      <c r="A10" s="3451" t="s">
        <v>3183</v>
      </c>
      <c r="B10" s="3451"/>
      <c r="C10" s="3451"/>
      <c r="D10" s="3451"/>
    </row>
    <row r="11" spans="1:4" x14ac:dyDescent="0.35">
      <c r="B11" s="3452" t="s">
        <v>3182</v>
      </c>
      <c r="C11" s="2290">
        <v>1</v>
      </c>
      <c r="D11" s="137" t="s">
        <v>7</v>
      </c>
    </row>
    <row r="12" spans="1:4" x14ac:dyDescent="0.35">
      <c r="B12" s="3445"/>
      <c r="C12" s="2281">
        <v>2</v>
      </c>
      <c r="D12" s="520" t="s">
        <v>3181</v>
      </c>
    </row>
    <row r="13" spans="1:4" x14ac:dyDescent="0.35">
      <c r="B13" s="3445"/>
      <c r="C13" s="2283">
        <v>3</v>
      </c>
      <c r="D13" s="2282" t="s">
        <v>3180</v>
      </c>
    </row>
    <row r="14" spans="1:4" x14ac:dyDescent="0.35">
      <c r="B14" s="3446"/>
      <c r="C14" s="2289">
        <v>4</v>
      </c>
      <c r="D14" s="2288" t="s">
        <v>3179</v>
      </c>
    </row>
    <row r="15" spans="1:4" x14ac:dyDescent="0.35">
      <c r="B15" s="3444" t="s">
        <v>3178</v>
      </c>
      <c r="C15" s="2285">
        <v>1</v>
      </c>
      <c r="D15" s="2284" t="s">
        <v>3177</v>
      </c>
    </row>
    <row r="16" spans="1:4" x14ac:dyDescent="0.35">
      <c r="B16" s="3446"/>
      <c r="C16" s="2280">
        <v>2</v>
      </c>
      <c r="D16" s="2279" t="s">
        <v>3176</v>
      </c>
    </row>
    <row r="17" spans="2:4" x14ac:dyDescent="0.35">
      <c r="B17" s="2563" t="s">
        <v>3175</v>
      </c>
      <c r="C17" s="2285">
        <v>1</v>
      </c>
      <c r="D17" s="2284" t="s">
        <v>3174</v>
      </c>
    </row>
    <row r="18" spans="2:4" x14ac:dyDescent="0.35">
      <c r="B18" s="3453"/>
      <c r="C18" s="2283">
        <v>2</v>
      </c>
      <c r="D18" s="2282" t="s">
        <v>3173</v>
      </c>
    </row>
    <row r="19" spans="2:4" x14ac:dyDescent="0.35">
      <c r="B19" s="3453"/>
      <c r="C19" s="2287">
        <v>3</v>
      </c>
      <c r="D19" s="2286" t="s">
        <v>3172</v>
      </c>
    </row>
    <row r="20" spans="2:4" x14ac:dyDescent="0.35">
      <c r="B20" s="2564"/>
      <c r="C20" s="2280">
        <v>4</v>
      </c>
      <c r="D20" s="2279" t="s">
        <v>3171</v>
      </c>
    </row>
    <row r="21" spans="2:4" x14ac:dyDescent="0.35">
      <c r="B21" s="3444" t="s">
        <v>3170</v>
      </c>
      <c r="C21" s="2285">
        <v>1</v>
      </c>
      <c r="D21" s="2284" t="s">
        <v>994</v>
      </c>
    </row>
    <row r="22" spans="2:4" x14ac:dyDescent="0.35">
      <c r="B22" s="3445"/>
      <c r="C22" s="2283">
        <v>2</v>
      </c>
      <c r="D22" s="2282" t="s">
        <v>99</v>
      </c>
    </row>
    <row r="23" spans="2:4" x14ac:dyDescent="0.35">
      <c r="B23" s="3445"/>
      <c r="C23" s="2281">
        <v>3</v>
      </c>
      <c r="D23" s="520" t="s">
        <v>3169</v>
      </c>
    </row>
    <row r="24" spans="2:4" x14ac:dyDescent="0.35">
      <c r="B24" s="3446"/>
      <c r="C24" s="2280">
        <v>4</v>
      </c>
      <c r="D24" s="2279" t="s">
        <v>3168</v>
      </c>
    </row>
    <row r="25" spans="2:4" x14ac:dyDescent="0.35">
      <c r="B25" s="3447" t="s">
        <v>3167</v>
      </c>
      <c r="C25" s="2278" t="s">
        <v>2606</v>
      </c>
      <c r="D25" s="2277" t="s">
        <v>2745</v>
      </c>
    </row>
    <row r="26" spans="2:4" x14ac:dyDescent="0.35">
      <c r="B26" s="3448"/>
      <c r="C26" s="2275" t="s">
        <v>1731</v>
      </c>
      <c r="D26" s="2274" t="s">
        <v>2744</v>
      </c>
    </row>
    <row r="27" spans="2:4" x14ac:dyDescent="0.35">
      <c r="B27" s="3448"/>
      <c r="C27" s="2275" t="s">
        <v>2743</v>
      </c>
      <c r="D27" s="2274" t="s">
        <v>2742</v>
      </c>
    </row>
    <row r="28" spans="2:4" x14ac:dyDescent="0.35">
      <c r="B28" s="3448"/>
      <c r="C28" s="2275" t="s">
        <v>2602</v>
      </c>
      <c r="D28" s="2274" t="s">
        <v>2741</v>
      </c>
    </row>
    <row r="29" spans="2:4" x14ac:dyDescent="0.35">
      <c r="B29" s="3448"/>
      <c r="C29" s="2275" t="s">
        <v>2740</v>
      </c>
      <c r="D29" s="2274" t="s">
        <v>2739</v>
      </c>
    </row>
    <row r="30" spans="2:4" x14ac:dyDescent="0.35">
      <c r="B30" s="3448"/>
      <c r="C30" s="2275" t="s">
        <v>2738</v>
      </c>
      <c r="D30" s="2274" t="s">
        <v>2737</v>
      </c>
    </row>
    <row r="31" spans="2:4" x14ac:dyDescent="0.35">
      <c r="B31" s="3448"/>
      <c r="C31" s="2275" t="s">
        <v>2736</v>
      </c>
      <c r="D31" s="2274" t="s">
        <v>2735</v>
      </c>
    </row>
    <row r="32" spans="2:4" x14ac:dyDescent="0.35">
      <c r="B32" s="3448"/>
      <c r="C32" s="2275" t="s">
        <v>2734</v>
      </c>
      <c r="D32" s="2274" t="s">
        <v>2733</v>
      </c>
    </row>
    <row r="33" spans="2:4" x14ac:dyDescent="0.35">
      <c r="B33" s="3448"/>
      <c r="C33" s="2275" t="s">
        <v>2732</v>
      </c>
      <c r="D33" s="2274" t="s">
        <v>2731</v>
      </c>
    </row>
    <row r="34" spans="2:4" x14ac:dyDescent="0.35">
      <c r="B34" s="3448"/>
      <c r="C34" s="2275" t="s">
        <v>1737</v>
      </c>
      <c r="D34" s="2274" t="s">
        <v>2730</v>
      </c>
    </row>
    <row r="35" spans="2:4" x14ac:dyDescent="0.35">
      <c r="B35" s="3448"/>
      <c r="C35" s="2275" t="s">
        <v>1738</v>
      </c>
      <c r="D35" s="2274" t="s">
        <v>2729</v>
      </c>
    </row>
    <row r="36" spans="2:4" x14ac:dyDescent="0.35">
      <c r="B36" s="3448"/>
      <c r="C36" s="2275" t="s">
        <v>2728</v>
      </c>
      <c r="D36" s="2274" t="s">
        <v>2727</v>
      </c>
    </row>
    <row r="37" spans="2:4" x14ac:dyDescent="0.35">
      <c r="B37" s="3448"/>
      <c r="C37" s="2275" t="s">
        <v>2726</v>
      </c>
      <c r="D37" s="2274" t="s">
        <v>2725</v>
      </c>
    </row>
    <row r="38" spans="2:4" x14ac:dyDescent="0.35">
      <c r="B38" s="3448"/>
      <c r="C38" s="2275" t="s">
        <v>2724</v>
      </c>
      <c r="D38" s="2274" t="s">
        <v>2723</v>
      </c>
    </row>
    <row r="39" spans="2:4" x14ac:dyDescent="0.35">
      <c r="B39" s="3448"/>
      <c r="C39" s="2275" t="s">
        <v>1742</v>
      </c>
      <c r="D39" s="2274" t="s">
        <v>2722</v>
      </c>
    </row>
    <row r="40" spans="2:4" x14ac:dyDescent="0.35">
      <c r="B40" s="3448"/>
      <c r="C40" s="2275" t="s">
        <v>2721</v>
      </c>
      <c r="D40" s="2274" t="s">
        <v>2720</v>
      </c>
    </row>
    <row r="41" spans="2:4" x14ac:dyDescent="0.35">
      <c r="B41" s="3448"/>
      <c r="C41" s="2275" t="s">
        <v>2719</v>
      </c>
      <c r="D41" s="2274" t="s">
        <v>2718</v>
      </c>
    </row>
    <row r="42" spans="2:4" x14ac:dyDescent="0.35">
      <c r="B42" s="3448"/>
      <c r="C42" s="2275" t="s">
        <v>1745</v>
      </c>
      <c r="D42" s="2274" t="s">
        <v>2717</v>
      </c>
    </row>
    <row r="43" spans="2:4" x14ac:dyDescent="0.35">
      <c r="B43" s="3448"/>
      <c r="C43" s="2275" t="s">
        <v>2716</v>
      </c>
      <c r="D43" s="2274" t="s">
        <v>2715</v>
      </c>
    </row>
    <row r="44" spans="2:4" x14ac:dyDescent="0.35">
      <c r="B44" s="3448"/>
      <c r="C44" s="2275" t="s">
        <v>1748</v>
      </c>
      <c r="D44" s="2274" t="s">
        <v>2714</v>
      </c>
    </row>
    <row r="45" spans="2:4" x14ac:dyDescent="0.35">
      <c r="B45" s="3448"/>
      <c r="C45" s="2275" t="s">
        <v>2713</v>
      </c>
      <c r="D45" s="2274" t="s">
        <v>2712</v>
      </c>
    </row>
    <row r="46" spans="2:4" x14ac:dyDescent="0.35">
      <c r="B46" s="3448"/>
      <c r="C46" s="2275" t="s">
        <v>2605</v>
      </c>
      <c r="D46" s="2274" t="s">
        <v>2711</v>
      </c>
    </row>
    <row r="47" spans="2:4" x14ac:dyDescent="0.35">
      <c r="B47" s="3448"/>
      <c r="C47" s="2275" t="s">
        <v>2710</v>
      </c>
      <c r="D47" s="2274" t="s">
        <v>2709</v>
      </c>
    </row>
    <row r="48" spans="2:4" x14ac:dyDescent="0.35">
      <c r="B48" s="3448"/>
      <c r="C48" s="2275" t="s">
        <v>2708</v>
      </c>
      <c r="D48" s="2274" t="s">
        <v>2707</v>
      </c>
    </row>
    <row r="49" spans="2:4" x14ac:dyDescent="0.35">
      <c r="B49" s="3448"/>
      <c r="C49" s="2275" t="s">
        <v>2706</v>
      </c>
      <c r="D49" s="2274" t="s">
        <v>2705</v>
      </c>
    </row>
    <row r="50" spans="2:4" ht="14.25" customHeight="1" x14ac:dyDescent="0.35">
      <c r="B50" s="3448"/>
      <c r="C50" s="2275" t="s">
        <v>1753</v>
      </c>
      <c r="D50" s="2274" t="s">
        <v>2704</v>
      </c>
    </row>
    <row r="51" spans="2:4" x14ac:dyDescent="0.35">
      <c r="B51" s="3448"/>
      <c r="C51" s="2275" t="s">
        <v>1754</v>
      </c>
      <c r="D51" s="2274" t="s">
        <v>2703</v>
      </c>
    </row>
    <row r="52" spans="2:4" x14ac:dyDescent="0.35">
      <c r="B52" s="3448"/>
      <c r="C52" s="2276"/>
      <c r="D52" s="228" t="s">
        <v>3157</v>
      </c>
    </row>
    <row r="53" spans="2:4" x14ac:dyDescent="0.35">
      <c r="B53" s="3448"/>
      <c r="C53" s="2275" t="s">
        <v>1758</v>
      </c>
      <c r="D53" s="2274" t="s">
        <v>3166</v>
      </c>
    </row>
    <row r="54" spans="2:4" x14ac:dyDescent="0.35">
      <c r="B54" s="3448"/>
      <c r="C54" s="2275" t="s">
        <v>3165</v>
      </c>
      <c r="D54" s="2274" t="s">
        <v>3164</v>
      </c>
    </row>
    <row r="55" spans="2:4" x14ac:dyDescent="0.35">
      <c r="B55" s="3448"/>
      <c r="C55" s="2275" t="s">
        <v>3163</v>
      </c>
      <c r="D55" s="2274" t="s">
        <v>3162</v>
      </c>
    </row>
    <row r="56" spans="2:4" x14ac:dyDescent="0.35">
      <c r="B56" s="3448"/>
      <c r="C56" s="2275" t="s">
        <v>3161</v>
      </c>
      <c r="D56" s="2274" t="s">
        <v>3160</v>
      </c>
    </row>
    <row r="57" spans="2:4" x14ac:dyDescent="0.35">
      <c r="B57" s="3448"/>
      <c r="C57" s="2275" t="s">
        <v>3159</v>
      </c>
      <c r="D57" s="2274" t="s">
        <v>3158</v>
      </c>
    </row>
    <row r="58" spans="2:4" x14ac:dyDescent="0.35">
      <c r="B58" s="3448"/>
      <c r="C58" s="2275"/>
      <c r="D58" s="228" t="s">
        <v>3157</v>
      </c>
    </row>
    <row r="59" spans="2:4" x14ac:dyDescent="0.35">
      <c r="B59" s="3448"/>
      <c r="C59" s="2275" t="s">
        <v>3156</v>
      </c>
      <c r="D59" s="2274" t="s">
        <v>3155</v>
      </c>
    </row>
    <row r="60" spans="2:4" x14ac:dyDescent="0.35">
      <c r="B60" s="3448"/>
      <c r="C60" s="2275" t="s">
        <v>3154</v>
      </c>
      <c r="D60" s="2274" t="s">
        <v>3153</v>
      </c>
    </row>
    <row r="61" spans="2:4" x14ac:dyDescent="0.35">
      <c r="B61" s="3448"/>
      <c r="C61" s="2275" t="s">
        <v>3152</v>
      </c>
      <c r="D61" s="2274" t="s">
        <v>3151</v>
      </c>
    </row>
    <row r="62" spans="2:4" x14ac:dyDescent="0.35">
      <c r="B62" s="3448"/>
      <c r="C62" s="2275" t="s">
        <v>3150</v>
      </c>
      <c r="D62" s="2274" t="s">
        <v>3149</v>
      </c>
    </row>
    <row r="63" spans="2:4" x14ac:dyDescent="0.35">
      <c r="B63" s="3448"/>
      <c r="C63" s="2275" t="s">
        <v>3148</v>
      </c>
      <c r="D63" s="2274" t="s">
        <v>3147</v>
      </c>
    </row>
    <row r="64" spans="2:4" x14ac:dyDescent="0.35">
      <c r="B64" s="3448"/>
      <c r="C64" s="2275" t="s">
        <v>3146</v>
      </c>
      <c r="D64" s="2274" t="s">
        <v>3145</v>
      </c>
    </row>
    <row r="65" spans="2:4" x14ac:dyDescent="0.35">
      <c r="B65" s="3448"/>
      <c r="C65" s="2275" t="s">
        <v>3144</v>
      </c>
      <c r="D65" s="2274" t="s">
        <v>3143</v>
      </c>
    </row>
    <row r="66" spans="2:4" x14ac:dyDescent="0.35">
      <c r="B66" s="3448"/>
      <c r="C66" s="2275" t="s">
        <v>3142</v>
      </c>
      <c r="D66" s="2274" t="s">
        <v>3141</v>
      </c>
    </row>
    <row r="67" spans="2:4" x14ac:dyDescent="0.35">
      <c r="B67" s="3448"/>
      <c r="C67" s="2275" t="s">
        <v>3140</v>
      </c>
      <c r="D67" s="2274" t="s">
        <v>3139</v>
      </c>
    </row>
    <row r="68" spans="2:4" x14ac:dyDescent="0.35">
      <c r="B68" s="3448"/>
      <c r="C68" s="2275" t="s">
        <v>3138</v>
      </c>
      <c r="D68" s="2274" t="s">
        <v>3137</v>
      </c>
    </row>
    <row r="69" spans="2:4" x14ac:dyDescent="0.35">
      <c r="B69" s="3448"/>
      <c r="C69" s="2275" t="s">
        <v>1729</v>
      </c>
      <c r="D69" s="2274" t="s">
        <v>2111</v>
      </c>
    </row>
    <row r="70" spans="2:4" x14ac:dyDescent="0.35">
      <c r="B70" s="3448"/>
      <c r="C70" s="2275" t="s">
        <v>3136</v>
      </c>
      <c r="D70" s="2274" t="s">
        <v>3135</v>
      </c>
    </row>
    <row r="71" spans="2:4" x14ac:dyDescent="0.35">
      <c r="B71" s="3448"/>
      <c r="C71" s="2275" t="s">
        <v>3134</v>
      </c>
      <c r="D71" s="2274" t="s">
        <v>3133</v>
      </c>
    </row>
    <row r="72" spans="2:4" x14ac:dyDescent="0.35">
      <c r="B72" s="3448"/>
      <c r="C72" s="2275" t="s">
        <v>1730</v>
      </c>
      <c r="D72" s="2274" t="s">
        <v>3132</v>
      </c>
    </row>
    <row r="73" spans="2:4" x14ac:dyDescent="0.35">
      <c r="B73" s="3448"/>
      <c r="C73" s="2275" t="s">
        <v>3131</v>
      </c>
      <c r="D73" s="2274" t="s">
        <v>3130</v>
      </c>
    </row>
    <row r="74" spans="2:4" x14ac:dyDescent="0.35">
      <c r="B74" s="3448"/>
      <c r="C74" s="2275" t="s">
        <v>3129</v>
      </c>
      <c r="D74" s="2274" t="s">
        <v>3128</v>
      </c>
    </row>
    <row r="75" spans="2:4" x14ac:dyDescent="0.35">
      <c r="B75" s="3448"/>
      <c r="C75" s="2275" t="s">
        <v>3127</v>
      </c>
      <c r="D75" s="2274" t="s">
        <v>3126</v>
      </c>
    </row>
    <row r="76" spans="2:4" x14ac:dyDescent="0.35">
      <c r="B76" s="3448"/>
      <c r="C76" s="2275" t="s">
        <v>3125</v>
      </c>
      <c r="D76" s="2274" t="s">
        <v>3124</v>
      </c>
    </row>
    <row r="77" spans="2:4" x14ac:dyDescent="0.35">
      <c r="B77" s="3448"/>
      <c r="C77" s="2275" t="s">
        <v>3123</v>
      </c>
      <c r="D77" s="2274" t="s">
        <v>1589</v>
      </c>
    </row>
    <row r="78" spans="2:4" x14ac:dyDescent="0.35">
      <c r="B78" s="3448"/>
      <c r="C78" s="2275" t="s">
        <v>3122</v>
      </c>
      <c r="D78" s="2274" t="s">
        <v>3121</v>
      </c>
    </row>
    <row r="79" spans="2:4" x14ac:dyDescent="0.35">
      <c r="B79" s="3448"/>
      <c r="C79" s="2275" t="s">
        <v>3120</v>
      </c>
      <c r="D79" s="2274" t="s">
        <v>3119</v>
      </c>
    </row>
    <row r="80" spans="2:4" x14ac:dyDescent="0.35">
      <c r="B80" s="3448"/>
      <c r="C80" s="2275" t="s">
        <v>3118</v>
      </c>
      <c r="D80" s="2274" t="s">
        <v>3117</v>
      </c>
    </row>
    <row r="81" spans="2:4" x14ac:dyDescent="0.35">
      <c r="B81" s="3448"/>
      <c r="C81" s="2275" t="s">
        <v>3116</v>
      </c>
      <c r="D81" s="2274" t="s">
        <v>3115</v>
      </c>
    </row>
    <row r="82" spans="2:4" x14ac:dyDescent="0.35">
      <c r="B82" s="3448"/>
      <c r="C82" s="2275" t="s">
        <v>3114</v>
      </c>
      <c r="D82" s="2274" t="s">
        <v>3113</v>
      </c>
    </row>
    <row r="83" spans="2:4" x14ac:dyDescent="0.35">
      <c r="B83" s="3448"/>
      <c r="C83" s="2275" t="s">
        <v>3112</v>
      </c>
      <c r="D83" s="2274" t="s">
        <v>3111</v>
      </c>
    </row>
    <row r="84" spans="2:4" x14ac:dyDescent="0.35">
      <c r="B84" s="3448"/>
      <c r="C84" s="2275" t="s">
        <v>3110</v>
      </c>
      <c r="D84" s="2274" t="s">
        <v>3109</v>
      </c>
    </row>
    <row r="85" spans="2:4" x14ac:dyDescent="0.35">
      <c r="B85" s="3448"/>
      <c r="C85" s="2275" t="s">
        <v>3108</v>
      </c>
      <c r="D85" s="2274" t="s">
        <v>3107</v>
      </c>
    </row>
    <row r="86" spans="2:4" x14ac:dyDescent="0.35">
      <c r="B86" s="3448"/>
      <c r="C86" s="2275" t="s">
        <v>3106</v>
      </c>
      <c r="D86" s="2274" t="s">
        <v>3105</v>
      </c>
    </row>
    <row r="87" spans="2:4" x14ac:dyDescent="0.35">
      <c r="B87" s="3448"/>
      <c r="C87" s="2275" t="s">
        <v>1732</v>
      </c>
      <c r="D87" s="2274" t="s">
        <v>3104</v>
      </c>
    </row>
    <row r="88" spans="2:4" x14ac:dyDescent="0.35">
      <c r="B88" s="3448"/>
      <c r="C88" s="2275" t="s">
        <v>3103</v>
      </c>
      <c r="D88" s="2274" t="s">
        <v>3102</v>
      </c>
    </row>
    <row r="89" spans="2:4" x14ac:dyDescent="0.35">
      <c r="B89" s="3448"/>
      <c r="C89" s="2275" t="s">
        <v>3101</v>
      </c>
      <c r="D89" s="2274" t="s">
        <v>3100</v>
      </c>
    </row>
    <row r="90" spans="2:4" x14ac:dyDescent="0.35">
      <c r="B90" s="3448"/>
      <c r="C90" s="2275" t="s">
        <v>3099</v>
      </c>
      <c r="D90" s="2274" t="s">
        <v>3098</v>
      </c>
    </row>
    <row r="91" spans="2:4" x14ac:dyDescent="0.35">
      <c r="B91" s="3448"/>
      <c r="C91" s="2275" t="s">
        <v>3097</v>
      </c>
      <c r="D91" s="2274" t="s">
        <v>3096</v>
      </c>
    </row>
    <row r="92" spans="2:4" x14ac:dyDescent="0.35">
      <c r="B92" s="3448"/>
      <c r="C92" s="2275" t="s">
        <v>3095</v>
      </c>
      <c r="D92" s="2274" t="s">
        <v>3094</v>
      </c>
    </row>
    <row r="93" spans="2:4" x14ac:dyDescent="0.35">
      <c r="B93" s="3448"/>
      <c r="C93" s="2275" t="s">
        <v>3093</v>
      </c>
      <c r="D93" s="2274" t="s">
        <v>3092</v>
      </c>
    </row>
    <row r="94" spans="2:4" x14ac:dyDescent="0.35">
      <c r="B94" s="3448"/>
      <c r="C94" s="2275" t="s">
        <v>3091</v>
      </c>
      <c r="D94" s="2274" t="s">
        <v>3090</v>
      </c>
    </row>
    <row r="95" spans="2:4" x14ac:dyDescent="0.35">
      <c r="B95" s="3448"/>
      <c r="C95" s="2275" t="s">
        <v>1733</v>
      </c>
      <c r="D95" s="2274" t="s">
        <v>3089</v>
      </c>
    </row>
    <row r="96" spans="2:4" x14ac:dyDescent="0.35">
      <c r="B96" s="3448"/>
      <c r="C96" s="2275" t="s">
        <v>3088</v>
      </c>
      <c r="D96" s="2274" t="s">
        <v>3087</v>
      </c>
    </row>
    <row r="97" spans="2:4" x14ac:dyDescent="0.35">
      <c r="B97" s="3448"/>
      <c r="C97" s="2275" t="s">
        <v>3086</v>
      </c>
      <c r="D97" s="2274" t="s">
        <v>3085</v>
      </c>
    </row>
    <row r="98" spans="2:4" x14ac:dyDescent="0.35">
      <c r="B98" s="3448"/>
      <c r="C98" s="2275" t="s">
        <v>3084</v>
      </c>
      <c r="D98" s="2274" t="s">
        <v>3083</v>
      </c>
    </row>
    <row r="99" spans="2:4" x14ac:dyDescent="0.35">
      <c r="B99" s="3448"/>
      <c r="C99" s="2275" t="s">
        <v>3082</v>
      </c>
      <c r="D99" s="2274" t="s">
        <v>3081</v>
      </c>
    </row>
    <row r="100" spans="2:4" x14ac:dyDescent="0.35">
      <c r="B100" s="3448"/>
      <c r="C100" s="2275" t="s">
        <v>1734</v>
      </c>
      <c r="D100" s="2274" t="s">
        <v>3080</v>
      </c>
    </row>
    <row r="101" spans="2:4" x14ac:dyDescent="0.35">
      <c r="B101" s="3448"/>
      <c r="C101" s="2275" t="s">
        <v>1735</v>
      </c>
      <c r="D101" s="2274" t="s">
        <v>3079</v>
      </c>
    </row>
    <row r="102" spans="2:4" x14ac:dyDescent="0.35">
      <c r="B102" s="3448"/>
      <c r="C102" s="2275" t="s">
        <v>3078</v>
      </c>
      <c r="D102" s="2274" t="s">
        <v>3077</v>
      </c>
    </row>
    <row r="103" spans="2:4" x14ac:dyDescent="0.35">
      <c r="B103" s="3448"/>
      <c r="C103" s="2275" t="s">
        <v>3076</v>
      </c>
      <c r="D103" s="2274" t="s">
        <v>3075</v>
      </c>
    </row>
    <row r="104" spans="2:4" x14ac:dyDescent="0.35">
      <c r="B104" s="3448"/>
      <c r="C104" s="2275" t="s">
        <v>3074</v>
      </c>
      <c r="D104" s="2274" t="s">
        <v>3073</v>
      </c>
    </row>
    <row r="105" spans="2:4" x14ac:dyDescent="0.35">
      <c r="B105" s="3448"/>
      <c r="C105" s="2275" t="s">
        <v>3072</v>
      </c>
      <c r="D105" s="2274" t="s">
        <v>3071</v>
      </c>
    </row>
    <row r="106" spans="2:4" x14ac:dyDescent="0.35">
      <c r="B106" s="3448"/>
      <c r="C106" s="2275" t="s">
        <v>3070</v>
      </c>
      <c r="D106" s="2274" t="s">
        <v>3069</v>
      </c>
    </row>
    <row r="107" spans="2:4" x14ac:dyDescent="0.35">
      <c r="B107" s="3448"/>
      <c r="C107" s="2275" t="s">
        <v>3068</v>
      </c>
      <c r="D107" s="2274" t="s">
        <v>3067</v>
      </c>
    </row>
    <row r="108" spans="2:4" x14ac:dyDescent="0.35">
      <c r="B108" s="3448"/>
      <c r="C108" s="2275" t="s">
        <v>3066</v>
      </c>
      <c r="D108" s="2274" t="s">
        <v>3065</v>
      </c>
    </row>
    <row r="109" spans="2:4" x14ac:dyDescent="0.35">
      <c r="B109" s="3448"/>
      <c r="C109" s="2275" t="s">
        <v>3064</v>
      </c>
      <c r="D109" s="2274" t="s">
        <v>3063</v>
      </c>
    </row>
    <row r="110" spans="2:4" x14ac:dyDescent="0.35">
      <c r="B110" s="3448"/>
      <c r="C110" s="2275" t="s">
        <v>3062</v>
      </c>
      <c r="D110" s="2274" t="s">
        <v>3061</v>
      </c>
    </row>
    <row r="111" spans="2:4" x14ac:dyDescent="0.35">
      <c r="B111" s="3448"/>
      <c r="C111" s="2275" t="s">
        <v>3060</v>
      </c>
      <c r="D111" s="2274" t="s">
        <v>3059</v>
      </c>
    </row>
    <row r="112" spans="2:4" x14ac:dyDescent="0.35">
      <c r="B112" s="3448"/>
      <c r="C112" s="2275" t="s">
        <v>3058</v>
      </c>
      <c r="D112" s="2274" t="s">
        <v>3057</v>
      </c>
    </row>
    <row r="113" spans="2:4" x14ac:dyDescent="0.35">
      <c r="B113" s="3448"/>
      <c r="C113" s="2275" t="s">
        <v>3056</v>
      </c>
      <c r="D113" s="2274" t="s">
        <v>3055</v>
      </c>
    </row>
    <row r="114" spans="2:4" x14ac:dyDescent="0.35">
      <c r="B114" s="3448"/>
      <c r="C114" s="2275" t="s">
        <v>3054</v>
      </c>
      <c r="D114" s="2274" t="s">
        <v>3053</v>
      </c>
    </row>
    <row r="115" spans="2:4" x14ac:dyDescent="0.35">
      <c r="B115" s="3448"/>
      <c r="C115" s="2275" t="s">
        <v>3052</v>
      </c>
      <c r="D115" s="2274" t="s">
        <v>3051</v>
      </c>
    </row>
    <row r="116" spans="2:4" x14ac:dyDescent="0.35">
      <c r="B116" s="3448"/>
      <c r="C116" s="2275" t="s">
        <v>3050</v>
      </c>
      <c r="D116" s="2274" t="s">
        <v>3049</v>
      </c>
    </row>
    <row r="117" spans="2:4" x14ac:dyDescent="0.35">
      <c r="B117" s="3448"/>
      <c r="C117" s="2275" t="s">
        <v>3048</v>
      </c>
      <c r="D117" s="2274" t="s">
        <v>3047</v>
      </c>
    </row>
    <row r="118" spans="2:4" x14ac:dyDescent="0.35">
      <c r="B118" s="3448"/>
      <c r="C118" s="2275" t="s">
        <v>3046</v>
      </c>
      <c r="D118" s="2274" t="s">
        <v>3045</v>
      </c>
    </row>
    <row r="119" spans="2:4" x14ac:dyDescent="0.35">
      <c r="B119" s="3448"/>
      <c r="C119" s="2275" t="s">
        <v>3044</v>
      </c>
      <c r="D119" s="2274" t="s">
        <v>3043</v>
      </c>
    </row>
    <row r="120" spans="2:4" x14ac:dyDescent="0.35">
      <c r="B120" s="3448"/>
      <c r="C120" s="2275" t="s">
        <v>3042</v>
      </c>
      <c r="D120" s="2274" t="s">
        <v>3041</v>
      </c>
    </row>
    <row r="121" spans="2:4" x14ac:dyDescent="0.35">
      <c r="B121" s="3448"/>
      <c r="C121" s="2275" t="s">
        <v>3040</v>
      </c>
      <c r="D121" s="2274" t="s">
        <v>3039</v>
      </c>
    </row>
    <row r="122" spans="2:4" x14ac:dyDescent="0.35">
      <c r="B122" s="3448"/>
      <c r="C122" s="2275" t="s">
        <v>3038</v>
      </c>
      <c r="D122" s="2274" t="s">
        <v>3037</v>
      </c>
    </row>
    <row r="123" spans="2:4" x14ac:dyDescent="0.35">
      <c r="B123" s="3448"/>
      <c r="C123" s="2275" t="s">
        <v>3036</v>
      </c>
      <c r="D123" s="2274" t="s">
        <v>3035</v>
      </c>
    </row>
    <row r="124" spans="2:4" x14ac:dyDescent="0.35">
      <c r="B124" s="3448"/>
      <c r="C124" s="2275" t="s">
        <v>3034</v>
      </c>
      <c r="D124" s="2274" t="s">
        <v>3033</v>
      </c>
    </row>
    <row r="125" spans="2:4" x14ac:dyDescent="0.35">
      <c r="B125" s="3448"/>
      <c r="C125" s="2275" t="s">
        <v>3032</v>
      </c>
      <c r="D125" s="2274" t="s">
        <v>3031</v>
      </c>
    </row>
    <row r="126" spans="2:4" x14ac:dyDescent="0.35">
      <c r="B126" s="3448"/>
      <c r="C126" s="2275" t="s">
        <v>3030</v>
      </c>
      <c r="D126" s="2274" t="s">
        <v>3029</v>
      </c>
    </row>
    <row r="127" spans="2:4" x14ac:dyDescent="0.35">
      <c r="B127" s="3448"/>
      <c r="C127" s="2275" t="s">
        <v>3028</v>
      </c>
      <c r="D127" s="2274" t="s">
        <v>3027</v>
      </c>
    </row>
    <row r="128" spans="2:4" x14ac:dyDescent="0.35">
      <c r="B128" s="3448"/>
      <c r="C128" s="2275" t="s">
        <v>3026</v>
      </c>
      <c r="D128" s="2274" t="s">
        <v>3025</v>
      </c>
    </row>
    <row r="129" spans="2:4" x14ac:dyDescent="0.35">
      <c r="B129" s="3448"/>
      <c r="C129" s="2275" t="s">
        <v>3024</v>
      </c>
      <c r="D129" s="2274" t="s">
        <v>3023</v>
      </c>
    </row>
    <row r="130" spans="2:4" x14ac:dyDescent="0.35">
      <c r="B130" s="3448"/>
      <c r="C130" s="2275" t="s">
        <v>3022</v>
      </c>
      <c r="D130" s="2274" t="s">
        <v>3021</v>
      </c>
    </row>
    <row r="131" spans="2:4" x14ac:dyDescent="0.35">
      <c r="B131" s="3448"/>
      <c r="C131" s="2275" t="s">
        <v>3020</v>
      </c>
      <c r="D131" s="2274" t="s">
        <v>3019</v>
      </c>
    </row>
    <row r="132" spans="2:4" x14ac:dyDescent="0.35">
      <c r="B132" s="3448"/>
      <c r="C132" s="2275" t="s">
        <v>3018</v>
      </c>
      <c r="D132" s="2274" t="s">
        <v>3017</v>
      </c>
    </row>
    <row r="133" spans="2:4" x14ac:dyDescent="0.35">
      <c r="B133" s="3448"/>
      <c r="C133" s="2275" t="s">
        <v>3016</v>
      </c>
      <c r="D133" s="2274" t="s">
        <v>3015</v>
      </c>
    </row>
    <row r="134" spans="2:4" x14ac:dyDescent="0.35">
      <c r="B134" s="3448"/>
      <c r="C134" s="2275" t="s">
        <v>3014</v>
      </c>
      <c r="D134" s="2274" t="s">
        <v>3013</v>
      </c>
    </row>
    <row r="135" spans="2:4" x14ac:dyDescent="0.35">
      <c r="B135" s="3448"/>
      <c r="C135" s="2275" t="s">
        <v>3012</v>
      </c>
      <c r="D135" s="2274" t="s">
        <v>3011</v>
      </c>
    </row>
    <row r="136" spans="2:4" x14ac:dyDescent="0.35">
      <c r="B136" s="3448"/>
      <c r="C136" s="2275" t="s">
        <v>3010</v>
      </c>
      <c r="D136" s="2274" t="s">
        <v>3009</v>
      </c>
    </row>
    <row r="137" spans="2:4" x14ac:dyDescent="0.35">
      <c r="B137" s="3448"/>
      <c r="C137" s="2275" t="s">
        <v>3008</v>
      </c>
      <c r="D137" s="2274" t="s">
        <v>3007</v>
      </c>
    </row>
    <row r="138" spans="2:4" x14ac:dyDescent="0.35">
      <c r="B138" s="3448"/>
      <c r="C138" s="2275" t="s">
        <v>3006</v>
      </c>
      <c r="D138" s="2274" t="s">
        <v>3005</v>
      </c>
    </row>
    <row r="139" spans="2:4" x14ac:dyDescent="0.35">
      <c r="B139" s="3448"/>
      <c r="C139" s="2275" t="s">
        <v>3004</v>
      </c>
      <c r="D139" s="2274" t="s">
        <v>3003</v>
      </c>
    </row>
    <row r="140" spans="2:4" x14ac:dyDescent="0.35">
      <c r="B140" s="3448"/>
      <c r="C140" s="2275" t="s">
        <v>3002</v>
      </c>
      <c r="D140" s="2274" t="s">
        <v>3001</v>
      </c>
    </row>
    <row r="141" spans="2:4" x14ac:dyDescent="0.35">
      <c r="B141" s="3448"/>
      <c r="C141" s="2275" t="s">
        <v>3000</v>
      </c>
      <c r="D141" s="2274" t="s">
        <v>2999</v>
      </c>
    </row>
    <row r="142" spans="2:4" x14ac:dyDescent="0.35">
      <c r="B142" s="3448"/>
      <c r="C142" s="2275" t="s">
        <v>2998</v>
      </c>
      <c r="D142" s="2274" t="s">
        <v>2997</v>
      </c>
    </row>
    <row r="143" spans="2:4" x14ac:dyDescent="0.35">
      <c r="B143" s="3448"/>
      <c r="C143" s="2275" t="s">
        <v>2996</v>
      </c>
      <c r="D143" s="2274" t="s">
        <v>2190</v>
      </c>
    </row>
    <row r="144" spans="2:4" x14ac:dyDescent="0.35">
      <c r="B144" s="3448"/>
      <c r="C144" s="2275" t="s">
        <v>2995</v>
      </c>
      <c r="D144" s="2274" t="s">
        <v>2994</v>
      </c>
    </row>
    <row r="145" spans="2:4" x14ac:dyDescent="0.35">
      <c r="B145" s="3448"/>
      <c r="C145" s="2275" t="s">
        <v>2993</v>
      </c>
      <c r="D145" s="2274" t="s">
        <v>2992</v>
      </c>
    </row>
    <row r="146" spans="2:4" x14ac:dyDescent="0.35">
      <c r="B146" s="3448"/>
      <c r="C146" s="2275" t="s">
        <v>2991</v>
      </c>
      <c r="D146" s="2274" t="s">
        <v>2990</v>
      </c>
    </row>
    <row r="147" spans="2:4" x14ac:dyDescent="0.35">
      <c r="B147" s="3448"/>
      <c r="C147" s="2275" t="s">
        <v>1740</v>
      </c>
      <c r="D147" s="2274" t="s">
        <v>2989</v>
      </c>
    </row>
    <row r="148" spans="2:4" x14ac:dyDescent="0.35">
      <c r="B148" s="3448"/>
      <c r="C148" s="2275" t="s">
        <v>1741</v>
      </c>
      <c r="D148" s="2274" t="s">
        <v>2988</v>
      </c>
    </row>
    <row r="149" spans="2:4" x14ac:dyDescent="0.35">
      <c r="B149" s="3448"/>
      <c r="C149" s="2275" t="s">
        <v>2987</v>
      </c>
      <c r="D149" s="2274" t="s">
        <v>2986</v>
      </c>
    </row>
    <row r="150" spans="2:4" x14ac:dyDescent="0.35">
      <c r="B150" s="3448"/>
      <c r="C150" s="2275" t="s">
        <v>2985</v>
      </c>
      <c r="D150" s="2274" t="s">
        <v>2984</v>
      </c>
    </row>
    <row r="151" spans="2:4" x14ac:dyDescent="0.35">
      <c r="B151" s="3448"/>
      <c r="C151" s="2275" t="s">
        <v>2983</v>
      </c>
      <c r="D151" s="2274" t="s">
        <v>2982</v>
      </c>
    </row>
    <row r="152" spans="2:4" x14ac:dyDescent="0.35">
      <c r="B152" s="3448"/>
      <c r="C152" s="2275" t="s">
        <v>2981</v>
      </c>
      <c r="D152" s="2274" t="s">
        <v>2980</v>
      </c>
    </row>
    <row r="153" spans="2:4" x14ac:dyDescent="0.35">
      <c r="B153" s="3448"/>
      <c r="C153" s="2275" t="s">
        <v>2979</v>
      </c>
      <c r="D153" s="2274" t="s">
        <v>2978</v>
      </c>
    </row>
    <row r="154" spans="2:4" x14ac:dyDescent="0.35">
      <c r="B154" s="3448"/>
      <c r="C154" s="2275" t="s">
        <v>1743</v>
      </c>
      <c r="D154" s="2274" t="s">
        <v>2977</v>
      </c>
    </row>
    <row r="155" spans="2:4" x14ac:dyDescent="0.35">
      <c r="B155" s="3448"/>
      <c r="C155" s="2275" t="s">
        <v>2976</v>
      </c>
      <c r="D155" s="2274" t="s">
        <v>2975</v>
      </c>
    </row>
    <row r="156" spans="2:4" x14ac:dyDescent="0.35">
      <c r="B156" s="3448"/>
      <c r="C156" s="2275" t="s">
        <v>2974</v>
      </c>
      <c r="D156" s="2274" t="s">
        <v>2973</v>
      </c>
    </row>
    <row r="157" spans="2:4" x14ac:dyDescent="0.35">
      <c r="B157" s="3448"/>
      <c r="C157" s="2275" t="s">
        <v>2972</v>
      </c>
      <c r="D157" s="2274" t="s">
        <v>2971</v>
      </c>
    </row>
    <row r="158" spans="2:4" x14ac:dyDescent="0.35">
      <c r="B158" s="3448"/>
      <c r="C158" s="2275" t="s">
        <v>2970</v>
      </c>
      <c r="D158" s="2274" t="s">
        <v>2969</v>
      </c>
    </row>
    <row r="159" spans="2:4" x14ac:dyDescent="0.35">
      <c r="B159" s="3448"/>
      <c r="C159" s="2275" t="s">
        <v>2968</v>
      </c>
      <c r="D159" s="2274" t="s">
        <v>2967</v>
      </c>
    </row>
    <row r="160" spans="2:4" x14ac:dyDescent="0.35">
      <c r="B160" s="3448"/>
      <c r="C160" s="2275" t="s">
        <v>2966</v>
      </c>
      <c r="D160" s="2274" t="s">
        <v>2965</v>
      </c>
    </row>
    <row r="161" spans="2:4" x14ac:dyDescent="0.35">
      <c r="B161" s="3448"/>
      <c r="C161" s="2275" t="s">
        <v>2964</v>
      </c>
      <c r="D161" s="2274" t="s">
        <v>2963</v>
      </c>
    </row>
    <row r="162" spans="2:4" x14ac:dyDescent="0.35">
      <c r="B162" s="3448"/>
      <c r="C162" s="2275" t="s">
        <v>2962</v>
      </c>
      <c r="D162" s="2274" t="s">
        <v>2961</v>
      </c>
    </row>
    <row r="163" spans="2:4" x14ac:dyDescent="0.35">
      <c r="B163" s="3448"/>
      <c r="C163" s="2275" t="s">
        <v>2960</v>
      </c>
      <c r="D163" s="2274" t="s">
        <v>2959</v>
      </c>
    </row>
    <row r="164" spans="2:4" x14ac:dyDescent="0.35">
      <c r="B164" s="3448"/>
      <c r="C164" s="2275" t="s">
        <v>2958</v>
      </c>
      <c r="D164" s="2274" t="s">
        <v>2957</v>
      </c>
    </row>
    <row r="165" spans="2:4" x14ac:dyDescent="0.35">
      <c r="B165" s="3448"/>
      <c r="C165" s="2275" t="s">
        <v>2956</v>
      </c>
      <c r="D165" s="2274" t="s">
        <v>2955</v>
      </c>
    </row>
    <row r="166" spans="2:4" x14ac:dyDescent="0.35">
      <c r="B166" s="3448"/>
      <c r="C166" s="2275" t="s">
        <v>2954</v>
      </c>
      <c r="D166" s="2274" t="s">
        <v>2953</v>
      </c>
    </row>
    <row r="167" spans="2:4" x14ac:dyDescent="0.35">
      <c r="B167" s="3448"/>
      <c r="C167" s="2275" t="s">
        <v>2952</v>
      </c>
      <c r="D167" s="2274" t="s">
        <v>2951</v>
      </c>
    </row>
    <row r="168" spans="2:4" x14ac:dyDescent="0.35">
      <c r="B168" s="3448"/>
      <c r="C168" s="2275" t="s">
        <v>2950</v>
      </c>
      <c r="D168" s="2274" t="s">
        <v>2949</v>
      </c>
    </row>
    <row r="169" spans="2:4" x14ac:dyDescent="0.35">
      <c r="B169" s="3448"/>
      <c r="C169" s="2275" t="s">
        <v>2948</v>
      </c>
      <c r="D169" s="2274" t="s">
        <v>2947</v>
      </c>
    </row>
    <row r="170" spans="2:4" x14ac:dyDescent="0.35">
      <c r="B170" s="3448"/>
      <c r="C170" s="2275" t="s">
        <v>2946</v>
      </c>
      <c r="D170" s="2274" t="s">
        <v>2945</v>
      </c>
    </row>
    <row r="171" spans="2:4" x14ac:dyDescent="0.35">
      <c r="B171" s="3448"/>
      <c r="C171" s="2275" t="s">
        <v>2944</v>
      </c>
      <c r="D171" s="2274" t="s">
        <v>2943</v>
      </c>
    </row>
    <row r="172" spans="2:4" x14ac:dyDescent="0.35">
      <c r="B172" s="3448"/>
      <c r="C172" s="2275" t="s">
        <v>1746</v>
      </c>
      <c r="D172" s="2274" t="s">
        <v>2942</v>
      </c>
    </row>
    <row r="173" spans="2:4" x14ac:dyDescent="0.35">
      <c r="B173" s="3448"/>
      <c r="C173" s="2275" t="s">
        <v>2941</v>
      </c>
      <c r="D173" s="2274" t="s">
        <v>2940</v>
      </c>
    </row>
    <row r="174" spans="2:4" x14ac:dyDescent="0.35">
      <c r="B174" s="3448"/>
      <c r="C174" s="2275" t="s">
        <v>2939</v>
      </c>
      <c r="D174" s="2274" t="s">
        <v>2938</v>
      </c>
    </row>
    <row r="175" spans="2:4" ht="14.25" customHeight="1" x14ac:dyDescent="0.35">
      <c r="B175" s="3448"/>
      <c r="C175" s="2275" t="s">
        <v>2937</v>
      </c>
      <c r="D175" s="2274" t="s">
        <v>2936</v>
      </c>
    </row>
    <row r="176" spans="2:4" x14ac:dyDescent="0.35">
      <c r="B176" s="3448"/>
      <c r="C176" s="2275" t="s">
        <v>2935</v>
      </c>
      <c r="D176" s="2274" t="s">
        <v>2934</v>
      </c>
    </row>
    <row r="177" spans="2:4" x14ac:dyDescent="0.35">
      <c r="B177" s="3448"/>
      <c r="C177" s="2275" t="s">
        <v>2933</v>
      </c>
      <c r="D177" s="2274" t="s">
        <v>2932</v>
      </c>
    </row>
    <row r="178" spans="2:4" x14ac:dyDescent="0.35">
      <c r="B178" s="3448"/>
      <c r="C178" s="2275" t="s">
        <v>2931</v>
      </c>
      <c r="D178" s="2274" t="s">
        <v>2930</v>
      </c>
    </row>
    <row r="179" spans="2:4" x14ac:dyDescent="0.35">
      <c r="B179" s="3448"/>
      <c r="C179" s="2275" t="s">
        <v>2929</v>
      </c>
      <c r="D179" s="2274" t="s">
        <v>2928</v>
      </c>
    </row>
    <row r="180" spans="2:4" x14ac:dyDescent="0.35">
      <c r="B180" s="3448"/>
      <c r="C180" s="2275" t="s">
        <v>1747</v>
      </c>
      <c r="D180" s="2274" t="s">
        <v>2927</v>
      </c>
    </row>
    <row r="181" spans="2:4" x14ac:dyDescent="0.35">
      <c r="B181" s="3448"/>
      <c r="C181" s="2275" t="s">
        <v>2926</v>
      </c>
      <c r="D181" s="2274" t="s">
        <v>2925</v>
      </c>
    </row>
    <row r="182" spans="2:4" x14ac:dyDescent="0.35">
      <c r="B182" s="3448"/>
      <c r="C182" s="2275" t="s">
        <v>2924</v>
      </c>
      <c r="D182" s="2274" t="s">
        <v>2923</v>
      </c>
    </row>
    <row r="183" spans="2:4" x14ac:dyDescent="0.35">
      <c r="B183" s="3448"/>
      <c r="C183" s="2275" t="s">
        <v>2922</v>
      </c>
      <c r="D183" s="2274" t="s">
        <v>2921</v>
      </c>
    </row>
    <row r="184" spans="2:4" x14ac:dyDescent="0.35">
      <c r="B184" s="3448"/>
      <c r="C184" s="2275" t="s">
        <v>2920</v>
      </c>
      <c r="D184" s="2274" t="s">
        <v>2919</v>
      </c>
    </row>
    <row r="185" spans="2:4" x14ac:dyDescent="0.35">
      <c r="B185" s="3448"/>
      <c r="C185" s="2275" t="s">
        <v>2918</v>
      </c>
      <c r="D185" s="2274" t="s">
        <v>2917</v>
      </c>
    </row>
    <row r="186" spans="2:4" x14ac:dyDescent="0.35">
      <c r="B186" s="3448"/>
      <c r="C186" s="2275" t="s">
        <v>2916</v>
      </c>
      <c r="D186" s="2274" t="s">
        <v>2915</v>
      </c>
    </row>
    <row r="187" spans="2:4" x14ac:dyDescent="0.35">
      <c r="B187" s="3448"/>
      <c r="C187" s="2275" t="s">
        <v>2914</v>
      </c>
      <c r="D187" s="2274" t="s">
        <v>2913</v>
      </c>
    </row>
    <row r="188" spans="2:4" x14ac:dyDescent="0.35">
      <c r="B188" s="3448"/>
      <c r="C188" s="2275" t="s">
        <v>2912</v>
      </c>
      <c r="D188" s="2274" t="s">
        <v>2911</v>
      </c>
    </row>
    <row r="189" spans="2:4" x14ac:dyDescent="0.35">
      <c r="B189" s="3448"/>
      <c r="C189" s="2275" t="s">
        <v>2910</v>
      </c>
      <c r="D189" s="2274" t="s">
        <v>2909</v>
      </c>
    </row>
    <row r="190" spans="2:4" x14ac:dyDescent="0.35">
      <c r="B190" s="3448"/>
      <c r="C190" s="2275" t="s">
        <v>2908</v>
      </c>
      <c r="D190" s="2274" t="s">
        <v>2907</v>
      </c>
    </row>
    <row r="191" spans="2:4" x14ac:dyDescent="0.35">
      <c r="B191" s="3448"/>
      <c r="C191" s="2275" t="s">
        <v>2906</v>
      </c>
      <c r="D191" s="2274" t="s">
        <v>2905</v>
      </c>
    </row>
    <row r="192" spans="2:4" ht="14.25" customHeight="1" x14ac:dyDescent="0.35">
      <c r="B192" s="3448"/>
      <c r="C192" s="2275" t="s">
        <v>2904</v>
      </c>
      <c r="D192" s="2274" t="s">
        <v>2903</v>
      </c>
    </row>
    <row r="193" spans="2:4" x14ac:dyDescent="0.35">
      <c r="B193" s="3448"/>
      <c r="C193" s="2275" t="s">
        <v>2902</v>
      </c>
      <c r="D193" s="2274" t="s">
        <v>2901</v>
      </c>
    </row>
    <row r="194" spans="2:4" x14ac:dyDescent="0.35">
      <c r="B194" s="3448"/>
      <c r="C194" s="2275" t="s">
        <v>2900</v>
      </c>
      <c r="D194" s="2274" t="s">
        <v>2899</v>
      </c>
    </row>
    <row r="195" spans="2:4" x14ac:dyDescent="0.35">
      <c r="B195" s="3448"/>
      <c r="C195" s="2275" t="s">
        <v>2898</v>
      </c>
      <c r="D195" s="2274" t="s">
        <v>2897</v>
      </c>
    </row>
    <row r="196" spans="2:4" x14ac:dyDescent="0.35">
      <c r="B196" s="3448"/>
      <c r="C196" s="2275" t="s">
        <v>2896</v>
      </c>
      <c r="D196" s="2274" t="s">
        <v>2895</v>
      </c>
    </row>
    <row r="197" spans="2:4" x14ac:dyDescent="0.35">
      <c r="B197" s="3448"/>
      <c r="C197" s="2275" t="s">
        <v>2894</v>
      </c>
      <c r="D197" s="2274" t="s">
        <v>2893</v>
      </c>
    </row>
    <row r="198" spans="2:4" x14ac:dyDescent="0.35">
      <c r="B198" s="3448"/>
      <c r="C198" s="2275" t="s">
        <v>2892</v>
      </c>
      <c r="D198" s="2274" t="s">
        <v>2891</v>
      </c>
    </row>
    <row r="199" spans="2:4" x14ac:dyDescent="0.35">
      <c r="B199" s="3448"/>
      <c r="C199" s="2275" t="s">
        <v>2890</v>
      </c>
      <c r="D199" s="2274" t="s">
        <v>2889</v>
      </c>
    </row>
    <row r="200" spans="2:4" x14ac:dyDescent="0.35">
      <c r="B200" s="3448"/>
      <c r="C200" s="2275" t="s">
        <v>2888</v>
      </c>
      <c r="D200" s="2274" t="s">
        <v>2887</v>
      </c>
    </row>
    <row r="201" spans="2:4" x14ac:dyDescent="0.35">
      <c r="B201" s="3448"/>
      <c r="C201" s="2275" t="s">
        <v>2886</v>
      </c>
      <c r="D201" s="2274" t="s">
        <v>2885</v>
      </c>
    </row>
    <row r="202" spans="2:4" x14ac:dyDescent="0.35">
      <c r="B202" s="3448"/>
      <c r="C202" s="2275" t="s">
        <v>2884</v>
      </c>
      <c r="D202" s="2274" t="s">
        <v>2883</v>
      </c>
    </row>
    <row r="203" spans="2:4" x14ac:dyDescent="0.35">
      <c r="B203" s="3448"/>
      <c r="C203" s="2275" t="s">
        <v>2882</v>
      </c>
      <c r="D203" s="2274" t="s">
        <v>2881</v>
      </c>
    </row>
    <row r="204" spans="2:4" x14ac:dyDescent="0.35">
      <c r="B204" s="3448"/>
      <c r="C204" s="2275" t="s">
        <v>2880</v>
      </c>
      <c r="D204" s="2274" t="s">
        <v>2879</v>
      </c>
    </row>
    <row r="205" spans="2:4" x14ac:dyDescent="0.35">
      <c r="B205" s="3448"/>
      <c r="C205" s="2275" t="s">
        <v>2878</v>
      </c>
      <c r="D205" s="2274" t="s">
        <v>2877</v>
      </c>
    </row>
    <row r="206" spans="2:4" x14ac:dyDescent="0.35">
      <c r="B206" s="3448"/>
      <c r="C206" s="2275" t="s">
        <v>2876</v>
      </c>
      <c r="D206" s="2274" t="s">
        <v>2875</v>
      </c>
    </row>
    <row r="207" spans="2:4" x14ac:dyDescent="0.35">
      <c r="B207" s="3448"/>
      <c r="C207" s="2275" t="s">
        <v>2874</v>
      </c>
      <c r="D207" s="2274" t="s">
        <v>2873</v>
      </c>
    </row>
    <row r="208" spans="2:4" x14ac:dyDescent="0.35">
      <c r="B208" s="3448"/>
      <c r="C208" s="2275" t="s">
        <v>2872</v>
      </c>
      <c r="D208" s="2274" t="s">
        <v>2871</v>
      </c>
    </row>
    <row r="209" spans="2:4" x14ac:dyDescent="0.35">
      <c r="B209" s="3448"/>
      <c r="C209" s="2275" t="s">
        <v>2870</v>
      </c>
      <c r="D209" s="2274" t="s">
        <v>2869</v>
      </c>
    </row>
    <row r="210" spans="2:4" x14ac:dyDescent="0.35">
      <c r="B210" s="3448"/>
      <c r="C210" s="2275" t="s">
        <v>2868</v>
      </c>
      <c r="D210" s="2274" t="s">
        <v>2867</v>
      </c>
    </row>
    <row r="211" spans="2:4" x14ac:dyDescent="0.35">
      <c r="B211" s="3448"/>
      <c r="C211" s="2275" t="s">
        <v>2866</v>
      </c>
      <c r="D211" s="2274" t="s">
        <v>2865</v>
      </c>
    </row>
    <row r="212" spans="2:4" x14ac:dyDescent="0.35">
      <c r="B212" s="3448"/>
      <c r="C212" s="2275" t="s">
        <v>2864</v>
      </c>
      <c r="D212" s="2274" t="s">
        <v>2863</v>
      </c>
    </row>
    <row r="213" spans="2:4" x14ac:dyDescent="0.35">
      <c r="B213" s="3448"/>
      <c r="C213" s="2275" t="s">
        <v>2862</v>
      </c>
      <c r="D213" s="2274" t="s">
        <v>2861</v>
      </c>
    </row>
    <row r="214" spans="2:4" x14ac:dyDescent="0.35">
      <c r="B214" s="3448"/>
      <c r="C214" s="2275" t="s">
        <v>2860</v>
      </c>
      <c r="D214" s="2274" t="s">
        <v>2859</v>
      </c>
    </row>
    <row r="215" spans="2:4" x14ac:dyDescent="0.35">
      <c r="B215" s="3448"/>
      <c r="C215" s="2275" t="s">
        <v>2858</v>
      </c>
      <c r="D215" s="2274" t="s">
        <v>2857</v>
      </c>
    </row>
    <row r="216" spans="2:4" x14ac:dyDescent="0.35">
      <c r="B216" s="3448"/>
      <c r="C216" s="2275" t="s">
        <v>2856</v>
      </c>
      <c r="D216" s="2274" t="s">
        <v>2855</v>
      </c>
    </row>
    <row r="217" spans="2:4" x14ac:dyDescent="0.35">
      <c r="B217" s="3448"/>
      <c r="C217" s="2275" t="s">
        <v>2854</v>
      </c>
      <c r="D217" s="2274" t="s">
        <v>2853</v>
      </c>
    </row>
    <row r="218" spans="2:4" x14ac:dyDescent="0.35">
      <c r="B218" s="3448"/>
      <c r="C218" s="2275" t="s">
        <v>2852</v>
      </c>
      <c r="D218" s="2274" t="s">
        <v>2851</v>
      </c>
    </row>
    <row r="219" spans="2:4" x14ac:dyDescent="0.35">
      <c r="B219" s="3448"/>
      <c r="C219" s="2275" t="s">
        <v>2850</v>
      </c>
      <c r="D219" s="2274" t="s">
        <v>2849</v>
      </c>
    </row>
    <row r="220" spans="2:4" x14ac:dyDescent="0.35">
      <c r="B220" s="3448"/>
      <c r="C220" s="2275" t="s">
        <v>2848</v>
      </c>
      <c r="D220" s="2274" t="s">
        <v>2847</v>
      </c>
    </row>
    <row r="221" spans="2:4" x14ac:dyDescent="0.35">
      <c r="B221" s="3448"/>
      <c r="C221" s="2275" t="s">
        <v>2846</v>
      </c>
      <c r="D221" s="2274" t="s">
        <v>2845</v>
      </c>
    </row>
    <row r="222" spans="2:4" x14ac:dyDescent="0.35">
      <c r="B222" s="3448"/>
      <c r="C222" s="2275" t="s">
        <v>2844</v>
      </c>
      <c r="D222" s="2274" t="s">
        <v>2843</v>
      </c>
    </row>
    <row r="223" spans="2:4" x14ac:dyDescent="0.35">
      <c r="B223" s="3448"/>
      <c r="C223" s="2275" t="s">
        <v>2842</v>
      </c>
      <c r="D223" s="2274" t="s">
        <v>2841</v>
      </c>
    </row>
    <row r="224" spans="2:4" x14ac:dyDescent="0.35">
      <c r="B224" s="3448"/>
      <c r="C224" s="2275" t="s">
        <v>2840</v>
      </c>
      <c r="D224" s="2274" t="s">
        <v>2839</v>
      </c>
    </row>
    <row r="225" spans="2:4" x14ac:dyDescent="0.35">
      <c r="B225" s="3448"/>
      <c r="C225" s="2275" t="s">
        <v>2838</v>
      </c>
      <c r="D225" s="2274" t="s">
        <v>2837</v>
      </c>
    </row>
    <row r="226" spans="2:4" x14ac:dyDescent="0.35">
      <c r="B226" s="3448"/>
      <c r="C226" s="2275" t="s">
        <v>2836</v>
      </c>
      <c r="D226" s="2274" t="s">
        <v>2835</v>
      </c>
    </row>
    <row r="227" spans="2:4" x14ac:dyDescent="0.35">
      <c r="B227" s="3448"/>
      <c r="C227" s="2275" t="s">
        <v>1750</v>
      </c>
      <c r="D227" s="2274" t="s">
        <v>992</v>
      </c>
    </row>
    <row r="228" spans="2:4" x14ac:dyDescent="0.35">
      <c r="B228" s="3448"/>
      <c r="C228" s="2275" t="s">
        <v>2834</v>
      </c>
      <c r="D228" s="2274" t="s">
        <v>2833</v>
      </c>
    </row>
    <row r="229" spans="2:4" x14ac:dyDescent="0.35">
      <c r="B229" s="3448"/>
      <c r="C229" s="2275" t="s">
        <v>2832</v>
      </c>
      <c r="D229" s="2274" t="s">
        <v>2831</v>
      </c>
    </row>
    <row r="230" spans="2:4" x14ac:dyDescent="0.35">
      <c r="B230" s="3448"/>
      <c r="C230" s="2275" t="s">
        <v>2830</v>
      </c>
      <c r="D230" s="2274" t="s">
        <v>2829</v>
      </c>
    </row>
    <row r="231" spans="2:4" x14ac:dyDescent="0.35">
      <c r="B231" s="3448"/>
      <c r="C231" s="2275" t="s">
        <v>2828</v>
      </c>
      <c r="D231" s="2274" t="s">
        <v>2827</v>
      </c>
    </row>
    <row r="232" spans="2:4" x14ac:dyDescent="0.35">
      <c r="B232" s="3448"/>
      <c r="C232" s="2275" t="s">
        <v>1751</v>
      </c>
      <c r="D232" s="2274" t="s">
        <v>2826</v>
      </c>
    </row>
    <row r="233" spans="2:4" x14ac:dyDescent="0.35">
      <c r="B233" s="3448"/>
      <c r="C233" s="2275" t="s">
        <v>2825</v>
      </c>
      <c r="D233" s="2274" t="s">
        <v>2824</v>
      </c>
    </row>
    <row r="234" spans="2:4" x14ac:dyDescent="0.35">
      <c r="B234" s="3448"/>
      <c r="C234" s="2275" t="s">
        <v>2823</v>
      </c>
      <c r="D234" s="2274" t="s">
        <v>2822</v>
      </c>
    </row>
    <row r="235" spans="2:4" x14ac:dyDescent="0.35">
      <c r="B235" s="3448"/>
      <c r="C235" s="2275" t="s">
        <v>1752</v>
      </c>
      <c r="D235" s="2274" t="s">
        <v>2821</v>
      </c>
    </row>
    <row r="236" spans="2:4" x14ac:dyDescent="0.35">
      <c r="B236" s="3448"/>
      <c r="C236" s="2275" t="s">
        <v>2820</v>
      </c>
      <c r="D236" s="2274" t="s">
        <v>2819</v>
      </c>
    </row>
    <row r="237" spans="2:4" x14ac:dyDescent="0.35">
      <c r="B237" s="3448"/>
      <c r="C237" s="2275" t="s">
        <v>2818</v>
      </c>
      <c r="D237" s="2274" t="s">
        <v>2817</v>
      </c>
    </row>
    <row r="238" spans="2:4" x14ac:dyDescent="0.35">
      <c r="B238" s="3448"/>
      <c r="C238" s="2275" t="s">
        <v>2816</v>
      </c>
      <c r="D238" s="2274" t="s">
        <v>2815</v>
      </c>
    </row>
    <row r="239" spans="2:4" x14ac:dyDescent="0.35">
      <c r="B239" s="3448"/>
      <c r="C239" s="2275" t="s">
        <v>2814</v>
      </c>
      <c r="D239" s="2274" t="s">
        <v>2813</v>
      </c>
    </row>
    <row r="240" spans="2:4" x14ac:dyDescent="0.35">
      <c r="B240" s="3448"/>
      <c r="C240" s="2275" t="s">
        <v>2812</v>
      </c>
      <c r="D240" s="2274" t="s">
        <v>2811</v>
      </c>
    </row>
    <row r="241" spans="2:4" x14ac:dyDescent="0.35">
      <c r="B241" s="3448"/>
      <c r="C241" s="2275" t="s">
        <v>2810</v>
      </c>
      <c r="D241" s="2274" t="s">
        <v>2809</v>
      </c>
    </row>
    <row r="242" spans="2:4" x14ac:dyDescent="0.35">
      <c r="B242" s="3448"/>
      <c r="C242" s="2275" t="s">
        <v>2808</v>
      </c>
      <c r="D242" s="2274" t="s">
        <v>2807</v>
      </c>
    </row>
    <row r="243" spans="2:4" x14ac:dyDescent="0.35">
      <c r="B243" s="3448"/>
      <c r="C243" s="2275" t="s">
        <v>1755</v>
      </c>
      <c r="D243" s="2274" t="s">
        <v>2806</v>
      </c>
    </row>
    <row r="244" spans="2:4" x14ac:dyDescent="0.35">
      <c r="B244" s="3448"/>
      <c r="C244" s="2275" t="s">
        <v>2805</v>
      </c>
      <c r="D244" s="2274" t="s">
        <v>2804</v>
      </c>
    </row>
    <row r="245" spans="2:4" x14ac:dyDescent="0.35">
      <c r="B245" s="3448"/>
      <c r="C245" s="2275" t="s">
        <v>2803</v>
      </c>
      <c r="D245" s="2274" t="s">
        <v>2802</v>
      </c>
    </row>
    <row r="246" spans="2:4" x14ac:dyDescent="0.35">
      <c r="B246" s="3448"/>
      <c r="C246" s="2275" t="s">
        <v>2801</v>
      </c>
      <c r="D246" s="2274" t="s">
        <v>2800</v>
      </c>
    </row>
    <row r="247" spans="2:4" x14ac:dyDescent="0.35">
      <c r="B247" s="3448"/>
      <c r="C247" s="2275" t="s">
        <v>2799</v>
      </c>
      <c r="D247" s="2274" t="s">
        <v>2798</v>
      </c>
    </row>
    <row r="248" spans="2:4" x14ac:dyDescent="0.35">
      <c r="B248" s="3448"/>
      <c r="C248" s="2275" t="s">
        <v>2797</v>
      </c>
      <c r="D248" s="2274" t="s">
        <v>2796</v>
      </c>
    </row>
    <row r="249" spans="2:4" x14ac:dyDescent="0.35">
      <c r="B249" s="3448"/>
      <c r="C249" s="2275" t="s">
        <v>2795</v>
      </c>
      <c r="D249" s="2274" t="s">
        <v>2794</v>
      </c>
    </row>
    <row r="250" spans="2:4" x14ac:dyDescent="0.35">
      <c r="B250" s="3448"/>
      <c r="C250" s="2275" t="s">
        <v>2793</v>
      </c>
      <c r="D250" s="2274" t="s">
        <v>2792</v>
      </c>
    </row>
    <row r="251" spans="2:4" x14ac:dyDescent="0.35">
      <c r="B251" s="3448"/>
      <c r="C251" s="2275" t="s">
        <v>2791</v>
      </c>
      <c r="D251" s="2274" t="s">
        <v>2790</v>
      </c>
    </row>
    <row r="252" spans="2:4" x14ac:dyDescent="0.35">
      <c r="B252" s="3448"/>
      <c r="C252" s="2275" t="s">
        <v>2789</v>
      </c>
      <c r="D252" s="2274" t="s">
        <v>2788</v>
      </c>
    </row>
    <row r="253" spans="2:4" x14ac:dyDescent="0.35">
      <c r="B253" s="3448"/>
      <c r="C253" s="2275" t="s">
        <v>2787</v>
      </c>
      <c r="D253" s="2274" t="s">
        <v>2786</v>
      </c>
    </row>
    <row r="254" spans="2:4" x14ac:dyDescent="0.35">
      <c r="B254" s="3448"/>
      <c r="C254" s="2275" t="s">
        <v>2785</v>
      </c>
      <c r="D254" s="2274" t="s">
        <v>2784</v>
      </c>
    </row>
    <row r="255" spans="2:4" x14ac:dyDescent="0.35">
      <c r="B255" s="3448"/>
      <c r="C255" s="2275" t="s">
        <v>1756</v>
      </c>
      <c r="D255" s="2274" t="s">
        <v>2783</v>
      </c>
    </row>
    <row r="256" spans="2:4" x14ac:dyDescent="0.35">
      <c r="B256" s="3448"/>
      <c r="C256" s="2275" t="s">
        <v>2782</v>
      </c>
      <c r="D256" s="2274" t="s">
        <v>2781</v>
      </c>
    </row>
    <row r="257" spans="2:4" x14ac:dyDescent="0.35">
      <c r="B257" s="3448"/>
      <c r="C257" s="2275" t="s">
        <v>2780</v>
      </c>
      <c r="D257" s="2274" t="s">
        <v>2779</v>
      </c>
    </row>
    <row r="258" spans="2:4" x14ac:dyDescent="0.35">
      <c r="B258" s="3448"/>
      <c r="C258" s="2275" t="s">
        <v>2778</v>
      </c>
      <c r="D258" s="2274" t="s">
        <v>2777</v>
      </c>
    </row>
    <row r="259" spans="2:4" x14ac:dyDescent="0.35">
      <c r="B259" s="3448"/>
      <c r="C259" s="2275" t="s">
        <v>2776</v>
      </c>
      <c r="D259" s="2274" t="s">
        <v>2775</v>
      </c>
    </row>
    <row r="260" spans="2:4" x14ac:dyDescent="0.35">
      <c r="B260" s="3448"/>
      <c r="C260" s="2275" t="s">
        <v>2774</v>
      </c>
      <c r="D260" s="2274" t="s">
        <v>2773</v>
      </c>
    </row>
    <row r="261" spans="2:4" x14ac:dyDescent="0.35">
      <c r="B261" s="3448"/>
      <c r="C261" s="2275" t="s">
        <v>1757</v>
      </c>
      <c r="D261" s="2274" t="s">
        <v>2772</v>
      </c>
    </row>
    <row r="262" spans="2:4" x14ac:dyDescent="0.35">
      <c r="B262" s="3448"/>
      <c r="C262" s="2275" t="s">
        <v>2771</v>
      </c>
      <c r="D262" s="2274" t="s">
        <v>2770</v>
      </c>
    </row>
    <row r="263" spans="2:4" x14ac:dyDescent="0.35">
      <c r="B263" s="3448"/>
      <c r="C263" s="2275" t="s">
        <v>2769</v>
      </c>
      <c r="D263" s="2274" t="s">
        <v>2768</v>
      </c>
    </row>
    <row r="264" spans="2:4" x14ac:dyDescent="0.35">
      <c r="B264" s="3448"/>
      <c r="C264" s="2275" t="s">
        <v>2767</v>
      </c>
      <c r="D264" s="2274" t="s">
        <v>2766</v>
      </c>
    </row>
    <row r="265" spans="2:4" x14ac:dyDescent="0.35">
      <c r="B265" s="3448"/>
      <c r="C265" s="2275" t="s">
        <v>2765</v>
      </c>
      <c r="D265" s="2274" t="s">
        <v>2764</v>
      </c>
    </row>
    <row r="266" spans="2:4" x14ac:dyDescent="0.35">
      <c r="B266" s="3448"/>
      <c r="C266" s="2275" t="s">
        <v>2763</v>
      </c>
      <c r="D266" s="2274" t="s">
        <v>2762</v>
      </c>
    </row>
    <row r="267" spans="2:4" x14ac:dyDescent="0.35">
      <c r="B267" s="3448"/>
      <c r="C267" s="2275" t="s">
        <v>2761</v>
      </c>
      <c r="D267" s="2274" t="s">
        <v>2760</v>
      </c>
    </row>
    <row r="268" spans="2:4" x14ac:dyDescent="0.35">
      <c r="B268" s="3448"/>
      <c r="C268" s="2275" t="s">
        <v>2759</v>
      </c>
      <c r="D268" s="2274" t="s">
        <v>2758</v>
      </c>
    </row>
    <row r="269" spans="2:4" x14ac:dyDescent="0.35">
      <c r="B269" s="3448"/>
      <c r="C269" s="2275" t="s">
        <v>2757</v>
      </c>
      <c r="D269" s="2274" t="s">
        <v>2756</v>
      </c>
    </row>
    <row r="270" spans="2:4" x14ac:dyDescent="0.35">
      <c r="B270" s="3448"/>
      <c r="C270" s="2275" t="s">
        <v>2755</v>
      </c>
      <c r="D270" s="2274" t="s">
        <v>2754</v>
      </c>
    </row>
    <row r="271" spans="2:4" x14ac:dyDescent="0.35">
      <c r="B271" s="3448"/>
      <c r="C271" s="2275" t="s">
        <v>2753</v>
      </c>
      <c r="D271" s="2274" t="s">
        <v>2752</v>
      </c>
    </row>
    <row r="272" spans="2:4" x14ac:dyDescent="0.35">
      <c r="B272" s="3448"/>
      <c r="C272" s="2275" t="s">
        <v>2751</v>
      </c>
      <c r="D272" s="2274" t="s">
        <v>2750</v>
      </c>
    </row>
    <row r="273" spans="1:4" x14ac:dyDescent="0.35">
      <c r="B273" s="3449"/>
      <c r="C273" s="2273" t="s">
        <v>2749</v>
      </c>
      <c r="D273" s="2272" t="s">
        <v>2748</v>
      </c>
    </row>
    <row r="274" spans="1:4" x14ac:dyDescent="0.35">
      <c r="A274" s="3450" t="s">
        <v>2747</v>
      </c>
      <c r="B274" s="3450"/>
      <c r="C274" s="3450"/>
      <c r="D274" s="3450"/>
    </row>
    <row r="275" spans="1:4" ht="14.25" customHeight="1" x14ac:dyDescent="0.35">
      <c r="A275" s="1971"/>
      <c r="B275" s="2798" t="s">
        <v>2746</v>
      </c>
      <c r="C275" s="2271" t="s">
        <v>2606</v>
      </c>
      <c r="D275" s="2269" t="s">
        <v>2745</v>
      </c>
    </row>
    <row r="276" spans="1:4" x14ac:dyDescent="0.35">
      <c r="A276" s="1971"/>
      <c r="B276" s="2798"/>
      <c r="C276" s="2270" t="s">
        <v>1731</v>
      </c>
      <c r="D276" s="2269" t="s">
        <v>2744</v>
      </c>
    </row>
    <row r="277" spans="1:4" x14ac:dyDescent="0.35">
      <c r="A277" s="1971"/>
      <c r="B277" s="2798"/>
      <c r="C277" s="2270" t="s">
        <v>2743</v>
      </c>
      <c r="D277" s="2269" t="s">
        <v>2742</v>
      </c>
    </row>
    <row r="278" spans="1:4" x14ac:dyDescent="0.35">
      <c r="A278" s="1971"/>
      <c r="B278" s="2798"/>
      <c r="C278" s="2270" t="s">
        <v>2602</v>
      </c>
      <c r="D278" s="2269" t="s">
        <v>2741</v>
      </c>
    </row>
    <row r="279" spans="1:4" x14ac:dyDescent="0.35">
      <c r="A279" s="1971"/>
      <c r="B279" s="2798"/>
      <c r="C279" s="2270" t="s">
        <v>2740</v>
      </c>
      <c r="D279" s="2269" t="s">
        <v>2739</v>
      </c>
    </row>
    <row r="280" spans="1:4" x14ac:dyDescent="0.35">
      <c r="A280" s="1971"/>
      <c r="B280" s="2798"/>
      <c r="C280" s="2270" t="s">
        <v>2738</v>
      </c>
      <c r="D280" s="2269" t="s">
        <v>2737</v>
      </c>
    </row>
    <row r="281" spans="1:4" x14ac:dyDescent="0.35">
      <c r="A281" s="1971"/>
      <c r="B281" s="2798"/>
      <c r="C281" s="2270" t="s">
        <v>2736</v>
      </c>
      <c r="D281" s="2269" t="s">
        <v>2735</v>
      </c>
    </row>
    <row r="282" spans="1:4" x14ac:dyDescent="0.35">
      <c r="A282" s="1971"/>
      <c r="B282" s="2798"/>
      <c r="C282" s="2270" t="s">
        <v>2734</v>
      </c>
      <c r="D282" s="2269" t="s">
        <v>2733</v>
      </c>
    </row>
    <row r="283" spans="1:4" x14ac:dyDescent="0.35">
      <c r="A283" s="1971"/>
      <c r="B283" s="2798"/>
      <c r="C283" s="2270" t="s">
        <v>2732</v>
      </c>
      <c r="D283" s="2269" t="s">
        <v>2731</v>
      </c>
    </row>
    <row r="284" spans="1:4" x14ac:dyDescent="0.35">
      <c r="A284" s="1971"/>
      <c r="B284" s="2798"/>
      <c r="C284" s="2270" t="s">
        <v>1737</v>
      </c>
      <c r="D284" s="2269" t="s">
        <v>2730</v>
      </c>
    </row>
    <row r="285" spans="1:4" x14ac:dyDescent="0.35">
      <c r="A285" s="1971"/>
      <c r="B285" s="2798"/>
      <c r="C285" s="2270" t="s">
        <v>1738</v>
      </c>
      <c r="D285" s="2269" t="s">
        <v>2729</v>
      </c>
    </row>
    <row r="286" spans="1:4" x14ac:dyDescent="0.35">
      <c r="A286" s="1971"/>
      <c r="B286" s="2798"/>
      <c r="C286" s="2270" t="s">
        <v>2728</v>
      </c>
      <c r="D286" s="2269" t="s">
        <v>2727</v>
      </c>
    </row>
    <row r="287" spans="1:4" x14ac:dyDescent="0.35">
      <c r="A287" s="1971"/>
      <c r="B287" s="2798"/>
      <c r="C287" s="2270" t="s">
        <v>2726</v>
      </c>
      <c r="D287" s="2269" t="s">
        <v>2725</v>
      </c>
    </row>
    <row r="288" spans="1:4" x14ac:dyDescent="0.35">
      <c r="A288" s="1971"/>
      <c r="B288" s="2798"/>
      <c r="C288" s="2270" t="s">
        <v>2724</v>
      </c>
      <c r="D288" s="2269" t="s">
        <v>2723</v>
      </c>
    </row>
    <row r="289" spans="1:4" x14ac:dyDescent="0.35">
      <c r="A289" s="1971"/>
      <c r="B289" s="2798"/>
      <c r="C289" s="2270" t="s">
        <v>1742</v>
      </c>
      <c r="D289" s="2269" t="s">
        <v>2722</v>
      </c>
    </row>
    <row r="290" spans="1:4" x14ac:dyDescent="0.35">
      <c r="A290" s="1971"/>
      <c r="B290" s="2798"/>
      <c r="C290" s="2270" t="s">
        <v>2721</v>
      </c>
      <c r="D290" s="2269" t="s">
        <v>2720</v>
      </c>
    </row>
    <row r="291" spans="1:4" x14ac:dyDescent="0.35">
      <c r="A291" s="1971"/>
      <c r="B291" s="2798"/>
      <c r="C291" s="2270" t="s">
        <v>2719</v>
      </c>
      <c r="D291" s="2269" t="s">
        <v>2718</v>
      </c>
    </row>
    <row r="292" spans="1:4" x14ac:dyDescent="0.35">
      <c r="A292" s="1971"/>
      <c r="B292" s="2798"/>
      <c r="C292" s="2270" t="s">
        <v>1745</v>
      </c>
      <c r="D292" s="2269" t="s">
        <v>2717</v>
      </c>
    </row>
    <row r="293" spans="1:4" x14ac:dyDescent="0.35">
      <c r="A293" s="1971"/>
      <c r="B293" s="2798"/>
      <c r="C293" s="2270" t="s">
        <v>2716</v>
      </c>
      <c r="D293" s="2269" t="s">
        <v>2715</v>
      </c>
    </row>
    <row r="294" spans="1:4" x14ac:dyDescent="0.35">
      <c r="A294" s="1971"/>
      <c r="B294" s="2798"/>
      <c r="C294" s="2270" t="s">
        <v>1748</v>
      </c>
      <c r="D294" s="2269" t="s">
        <v>2714</v>
      </c>
    </row>
    <row r="295" spans="1:4" x14ac:dyDescent="0.35">
      <c r="A295" s="1971"/>
      <c r="B295" s="2798"/>
      <c r="C295" s="2270" t="s">
        <v>2713</v>
      </c>
      <c r="D295" s="2269" t="s">
        <v>2712</v>
      </c>
    </row>
    <row r="296" spans="1:4" x14ac:dyDescent="0.35">
      <c r="A296" s="1971"/>
      <c r="B296" s="2798"/>
      <c r="C296" s="2270" t="s">
        <v>2605</v>
      </c>
      <c r="D296" s="2269" t="s">
        <v>2711</v>
      </c>
    </row>
    <row r="297" spans="1:4" x14ac:dyDescent="0.35">
      <c r="B297" s="2798"/>
      <c r="C297" s="2270" t="s">
        <v>2710</v>
      </c>
      <c r="D297" s="2269" t="s">
        <v>2709</v>
      </c>
    </row>
    <row r="298" spans="1:4" x14ac:dyDescent="0.35">
      <c r="B298" s="2798"/>
      <c r="C298" s="2270" t="s">
        <v>2708</v>
      </c>
      <c r="D298" s="2269" t="s">
        <v>2707</v>
      </c>
    </row>
    <row r="299" spans="1:4" x14ac:dyDescent="0.35">
      <c r="B299" s="2798"/>
      <c r="C299" s="2270" t="s">
        <v>2706</v>
      </c>
      <c r="D299" s="2269" t="s">
        <v>2705</v>
      </c>
    </row>
    <row r="300" spans="1:4" x14ac:dyDescent="0.35">
      <c r="B300" s="2798"/>
      <c r="C300" s="2270" t="s">
        <v>1753</v>
      </c>
      <c r="D300" s="2269" t="s">
        <v>2704</v>
      </c>
    </row>
    <row r="301" spans="1:4" x14ac:dyDescent="0.35">
      <c r="B301" s="2798"/>
      <c r="C301" s="2268" t="s">
        <v>1754</v>
      </c>
      <c r="D301" s="2267" t="s">
        <v>2703</v>
      </c>
    </row>
  </sheetData>
  <sheetProtection algorithmName="SHA-512" hashValue="9eLUAwddSPIS0dshrxzpwyaiQl46NzI5tIBLTcxw+G/Ljm2jZhRlcHFyXrYUI1s2hVBoG4rUOfELxTHJ6qC4qw==" saltValue="og7X9FiX394Yv/l9otTH6g==" spinCount="100000" sheet="1" objects="1" scenarios="1"/>
  <mergeCells count="10">
    <mergeCell ref="B21:B24"/>
    <mergeCell ref="B25:B273"/>
    <mergeCell ref="A274:D274"/>
    <mergeCell ref="B275:B301"/>
    <mergeCell ref="A7:D7"/>
    <mergeCell ref="B8:B9"/>
    <mergeCell ref="A10:D10"/>
    <mergeCell ref="B11:B14"/>
    <mergeCell ref="B15:B16"/>
    <mergeCell ref="B17:B20"/>
  </mergeCells>
  <pageMargins left="0.7" right="0.7" top="0.75" bottom="0.75" header="0.3" footer="0.3"/>
  <pageSetup paperSize="9" orientation="portrait" verticalDpi="0" r:id="rId1"/>
  <headerFooter>
    <oddHeader>&amp;L&amp;"Calibri"&amp;12&amp;K000000 EBA Regular Use&amp;1#_x000D_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0" tint="-0.499984740745262"/>
  </sheetPr>
  <dimension ref="A1:W38"/>
  <sheetViews>
    <sheetView zoomScale="75" zoomScaleNormal="75" workbookViewId="0"/>
  </sheetViews>
  <sheetFormatPr defaultColWidth="0" defaultRowHeight="15" customHeight="1" zeroHeight="1" x14ac:dyDescent="0.35"/>
  <cols>
    <col min="1" max="22" width="8.88671875" customWidth="1"/>
    <col min="23" max="23" width="1.88671875" customWidth="1"/>
    <col min="24" max="16384" width="16.88671875" hidden="1"/>
  </cols>
  <sheetData>
    <row r="1" spans="1:22" ht="15" customHeight="1" x14ac:dyDescent="0.35">
      <c r="A1" s="1227"/>
      <c r="B1" s="1228" t="s">
        <v>1390</v>
      </c>
      <c r="C1" s="1229" t="s">
        <v>1391</v>
      </c>
      <c r="D1" s="1229" t="s">
        <v>1392</v>
      </c>
      <c r="E1" s="1229" t="s">
        <v>1393</v>
      </c>
      <c r="F1" s="1229" t="s">
        <v>1394</v>
      </c>
      <c r="G1" s="1229" t="s">
        <v>1396</v>
      </c>
      <c r="H1" s="1229" t="s">
        <v>1395</v>
      </c>
      <c r="I1" s="1229" t="s">
        <v>1402</v>
      </c>
      <c r="J1" s="1229" t="s">
        <v>1407</v>
      </c>
      <c r="K1" s="1229" t="s">
        <v>1399</v>
      </c>
      <c r="L1" s="1229" t="s">
        <v>1408</v>
      </c>
      <c r="M1" s="1229" t="s">
        <v>1397</v>
      </c>
      <c r="N1" s="1229" t="s">
        <v>1401</v>
      </c>
      <c r="O1" s="1229" t="s">
        <v>1409</v>
      </c>
      <c r="P1" s="1229" t="s">
        <v>1400</v>
      </c>
      <c r="Q1" s="1229" t="s">
        <v>1398</v>
      </c>
      <c r="R1" s="1229" t="s">
        <v>1404</v>
      </c>
      <c r="S1" s="1229" t="s">
        <v>1415</v>
      </c>
      <c r="T1" s="1229" t="s">
        <v>1403</v>
      </c>
      <c r="U1" s="1229" t="s">
        <v>1410</v>
      </c>
      <c r="V1" s="1230" t="s">
        <v>811</v>
      </c>
    </row>
    <row r="2" spans="1:22" ht="15" customHeight="1" x14ac:dyDescent="0.35">
      <c r="A2" s="1231" t="s">
        <v>1391</v>
      </c>
      <c r="B2" s="1232" t="s">
        <v>7</v>
      </c>
      <c r="C2" s="1233" t="s">
        <v>7</v>
      </c>
      <c r="D2" s="1233" t="s">
        <v>7</v>
      </c>
      <c r="E2" s="1233" t="s">
        <v>7</v>
      </c>
      <c r="F2" s="1233" t="s">
        <v>18</v>
      </c>
      <c r="G2" s="1233" t="s">
        <v>18</v>
      </c>
      <c r="H2" s="1233" t="s">
        <v>7</v>
      </c>
      <c r="I2" s="1233" t="s">
        <v>18</v>
      </c>
      <c r="J2" s="1233" t="s">
        <v>18</v>
      </c>
      <c r="K2" s="1233" t="s">
        <v>18</v>
      </c>
      <c r="L2" s="1233" t="s">
        <v>18</v>
      </c>
      <c r="M2" s="1233" t="s">
        <v>18</v>
      </c>
      <c r="N2" s="1233" t="s">
        <v>18</v>
      </c>
      <c r="O2" s="1233" t="s">
        <v>18</v>
      </c>
      <c r="P2" s="1233" t="s">
        <v>18</v>
      </c>
      <c r="Q2" s="1233" t="s">
        <v>18</v>
      </c>
      <c r="R2" s="1233" t="s">
        <v>18</v>
      </c>
      <c r="S2" s="1233" t="s">
        <v>18</v>
      </c>
      <c r="T2" s="1233" t="s">
        <v>18</v>
      </c>
      <c r="U2" s="1233" t="s">
        <v>18</v>
      </c>
      <c r="V2" s="1234" t="s">
        <v>7</v>
      </c>
    </row>
    <row r="3" spans="1:22" ht="15" customHeight="1" x14ac:dyDescent="0.35">
      <c r="A3" s="1235" t="s">
        <v>1392</v>
      </c>
      <c r="B3" s="1236" t="s">
        <v>7</v>
      </c>
      <c r="C3" s="1237" t="s">
        <v>7</v>
      </c>
      <c r="D3" s="1237" t="s">
        <v>7</v>
      </c>
      <c r="E3" s="1237" t="s">
        <v>18</v>
      </c>
      <c r="F3" s="1237" t="s">
        <v>7</v>
      </c>
      <c r="G3" s="1237" t="s">
        <v>18</v>
      </c>
      <c r="H3" s="1237" t="s">
        <v>18</v>
      </c>
      <c r="I3" s="1237" t="s">
        <v>18</v>
      </c>
      <c r="J3" s="1237" t="s">
        <v>18</v>
      </c>
      <c r="K3" s="1237" t="s">
        <v>18</v>
      </c>
      <c r="L3" s="1237" t="s">
        <v>18</v>
      </c>
      <c r="M3" s="1237" t="s">
        <v>18</v>
      </c>
      <c r="N3" s="1237" t="s">
        <v>18</v>
      </c>
      <c r="O3" s="1237" t="s">
        <v>18</v>
      </c>
      <c r="P3" s="1237" t="s">
        <v>18</v>
      </c>
      <c r="Q3" s="1237" t="s">
        <v>18</v>
      </c>
      <c r="R3" s="1237" t="s">
        <v>18</v>
      </c>
      <c r="S3" s="1237" t="s">
        <v>18</v>
      </c>
      <c r="T3" s="1237" t="s">
        <v>18</v>
      </c>
      <c r="U3" s="1237" t="s">
        <v>18</v>
      </c>
      <c r="V3" s="1238" t="s">
        <v>7</v>
      </c>
    </row>
    <row r="4" spans="1:22" ht="15" customHeight="1" x14ac:dyDescent="0.35">
      <c r="A4" s="1235" t="s">
        <v>1393</v>
      </c>
      <c r="B4" s="1236" t="s">
        <v>7</v>
      </c>
      <c r="C4" s="1237" t="s">
        <v>7</v>
      </c>
      <c r="D4" s="1237" t="s">
        <v>18</v>
      </c>
      <c r="E4" s="1237" t="s">
        <v>7</v>
      </c>
      <c r="F4" s="1237" t="s">
        <v>18</v>
      </c>
      <c r="G4" s="1237" t="s">
        <v>18</v>
      </c>
      <c r="H4" s="1237" t="s">
        <v>18</v>
      </c>
      <c r="I4" s="1237" t="s">
        <v>18</v>
      </c>
      <c r="J4" s="1237" t="s">
        <v>18</v>
      </c>
      <c r="K4" s="1237" t="s">
        <v>18</v>
      </c>
      <c r="L4" s="1237" t="s">
        <v>18</v>
      </c>
      <c r="M4" s="1237" t="s">
        <v>18</v>
      </c>
      <c r="N4" s="1237" t="s">
        <v>18</v>
      </c>
      <c r="O4" s="1237" t="s">
        <v>18</v>
      </c>
      <c r="P4" s="1237" t="s">
        <v>18</v>
      </c>
      <c r="Q4" s="1237" t="s">
        <v>18</v>
      </c>
      <c r="R4" s="1237" t="s">
        <v>18</v>
      </c>
      <c r="S4" s="1237" t="s">
        <v>18</v>
      </c>
      <c r="T4" s="1237" t="s">
        <v>18</v>
      </c>
      <c r="U4" s="1237" t="s">
        <v>18</v>
      </c>
      <c r="V4" s="1238" t="s">
        <v>7</v>
      </c>
    </row>
    <row r="5" spans="1:22" ht="15" customHeight="1" x14ac:dyDescent="0.35">
      <c r="A5" s="1235" t="s">
        <v>1394</v>
      </c>
      <c r="B5" s="1236" t="s">
        <v>7</v>
      </c>
      <c r="C5" s="1237" t="s">
        <v>18</v>
      </c>
      <c r="D5" s="1237" t="s">
        <v>7</v>
      </c>
      <c r="E5" s="1237" t="s">
        <v>18</v>
      </c>
      <c r="F5" s="1237" t="s">
        <v>7</v>
      </c>
      <c r="G5" s="1237" t="s">
        <v>18</v>
      </c>
      <c r="H5" s="1237" t="s">
        <v>18</v>
      </c>
      <c r="I5" s="1237" t="s">
        <v>18</v>
      </c>
      <c r="J5" s="1237" t="s">
        <v>18</v>
      </c>
      <c r="K5" s="1237" t="s">
        <v>18</v>
      </c>
      <c r="L5" s="1237" t="s">
        <v>18</v>
      </c>
      <c r="M5" s="1237" t="s">
        <v>18</v>
      </c>
      <c r="N5" s="1237" t="s">
        <v>18</v>
      </c>
      <c r="O5" s="1237" t="s">
        <v>18</v>
      </c>
      <c r="P5" s="1237" t="s">
        <v>18</v>
      </c>
      <c r="Q5" s="1237" t="s">
        <v>18</v>
      </c>
      <c r="R5" s="1237" t="s">
        <v>18</v>
      </c>
      <c r="S5" s="1237" t="s">
        <v>18</v>
      </c>
      <c r="T5" s="1237" t="s">
        <v>18</v>
      </c>
      <c r="U5" s="1237" t="s">
        <v>18</v>
      </c>
      <c r="V5" s="1238" t="s">
        <v>7</v>
      </c>
    </row>
    <row r="6" spans="1:22" ht="15" customHeight="1" x14ac:dyDescent="0.35">
      <c r="A6" s="1235" t="s">
        <v>1396</v>
      </c>
      <c r="B6" s="1236" t="s">
        <v>7</v>
      </c>
      <c r="C6" s="1237" t="s">
        <v>18</v>
      </c>
      <c r="D6" s="1237" t="s">
        <v>18</v>
      </c>
      <c r="E6" s="1237" t="s">
        <v>18</v>
      </c>
      <c r="F6" s="1237" t="s">
        <v>18</v>
      </c>
      <c r="G6" s="1237" t="s">
        <v>7</v>
      </c>
      <c r="H6" s="1237" t="s">
        <v>18</v>
      </c>
      <c r="I6" s="1237" t="s">
        <v>18</v>
      </c>
      <c r="J6" s="1237" t="s">
        <v>18</v>
      </c>
      <c r="K6" s="1237" t="s">
        <v>18</v>
      </c>
      <c r="L6" s="1237" t="s">
        <v>18</v>
      </c>
      <c r="M6" s="1237" t="s">
        <v>18</v>
      </c>
      <c r="N6" s="1237" t="s">
        <v>18</v>
      </c>
      <c r="O6" s="1237" t="s">
        <v>18</v>
      </c>
      <c r="P6" s="1237" t="s">
        <v>18</v>
      </c>
      <c r="Q6" s="1237" t="s">
        <v>18</v>
      </c>
      <c r="R6" s="1237" t="s">
        <v>18</v>
      </c>
      <c r="S6" s="1237" t="s">
        <v>18</v>
      </c>
      <c r="T6" s="1237" t="s">
        <v>18</v>
      </c>
      <c r="U6" s="1237" t="s">
        <v>18</v>
      </c>
      <c r="V6" s="1238" t="s">
        <v>7</v>
      </c>
    </row>
    <row r="7" spans="1:22" ht="15" customHeight="1" x14ac:dyDescent="0.35">
      <c r="A7" s="1235" t="s">
        <v>1395</v>
      </c>
      <c r="B7" s="1236" t="s">
        <v>7</v>
      </c>
      <c r="C7" s="1237" t="s">
        <v>7</v>
      </c>
      <c r="D7" s="1237" t="s">
        <v>18</v>
      </c>
      <c r="E7" s="1237" t="s">
        <v>18</v>
      </c>
      <c r="F7" s="1237" t="s">
        <v>18</v>
      </c>
      <c r="G7" s="1237" t="s">
        <v>18</v>
      </c>
      <c r="H7" s="1237" t="s">
        <v>7</v>
      </c>
      <c r="I7" s="1237" t="s">
        <v>18</v>
      </c>
      <c r="J7" s="1237" t="s">
        <v>18</v>
      </c>
      <c r="K7" s="1237" t="s">
        <v>18</v>
      </c>
      <c r="L7" s="1237" t="s">
        <v>18</v>
      </c>
      <c r="M7" s="1237" t="s">
        <v>18</v>
      </c>
      <c r="N7" s="1237" t="s">
        <v>18</v>
      </c>
      <c r="O7" s="1237" t="s">
        <v>18</v>
      </c>
      <c r="P7" s="1237" t="s">
        <v>18</v>
      </c>
      <c r="Q7" s="1237" t="s">
        <v>18</v>
      </c>
      <c r="R7" s="1237" t="s">
        <v>18</v>
      </c>
      <c r="S7" s="1237" t="s">
        <v>18</v>
      </c>
      <c r="T7" s="1237" t="s">
        <v>18</v>
      </c>
      <c r="U7" s="1237" t="s">
        <v>18</v>
      </c>
      <c r="V7" s="1238" t="s">
        <v>7</v>
      </c>
    </row>
    <row r="8" spans="1:22" ht="15" customHeight="1" x14ac:dyDescent="0.35">
      <c r="A8" s="1235" t="s">
        <v>1402</v>
      </c>
      <c r="B8" s="1236" t="s">
        <v>7</v>
      </c>
      <c r="C8" s="1237" t="s">
        <v>18</v>
      </c>
      <c r="D8" s="1237" t="s">
        <v>18</v>
      </c>
      <c r="E8" s="1237" t="s">
        <v>18</v>
      </c>
      <c r="F8" s="1237" t="s">
        <v>18</v>
      </c>
      <c r="G8" s="1237" t="s">
        <v>18</v>
      </c>
      <c r="H8" s="1237" t="s">
        <v>18</v>
      </c>
      <c r="I8" s="1237" t="s">
        <v>7</v>
      </c>
      <c r="J8" s="1237" t="s">
        <v>18</v>
      </c>
      <c r="K8" s="1237" t="s">
        <v>18</v>
      </c>
      <c r="L8" s="1237" t="s">
        <v>18</v>
      </c>
      <c r="M8" s="1237" t="s">
        <v>18</v>
      </c>
      <c r="N8" s="1237" t="s">
        <v>18</v>
      </c>
      <c r="O8" s="1237" t="s">
        <v>18</v>
      </c>
      <c r="P8" s="1237" t="s">
        <v>18</v>
      </c>
      <c r="Q8" s="1237" t="s">
        <v>18</v>
      </c>
      <c r="R8" s="1237" t="s">
        <v>18</v>
      </c>
      <c r="S8" s="1237" t="s">
        <v>18</v>
      </c>
      <c r="T8" s="1237" t="s">
        <v>18</v>
      </c>
      <c r="U8" s="1237" t="s">
        <v>18</v>
      </c>
      <c r="V8" s="1238" t="s">
        <v>7</v>
      </c>
    </row>
    <row r="9" spans="1:22" ht="15" customHeight="1" x14ac:dyDescent="0.35">
      <c r="A9" s="1235" t="s">
        <v>1407</v>
      </c>
      <c r="B9" s="1236" t="s">
        <v>7</v>
      </c>
      <c r="C9" s="1237" t="s">
        <v>18</v>
      </c>
      <c r="D9" s="1237" t="s">
        <v>18</v>
      </c>
      <c r="E9" s="1237" t="s">
        <v>18</v>
      </c>
      <c r="F9" s="1237" t="s">
        <v>18</v>
      </c>
      <c r="G9" s="1237" t="s">
        <v>18</v>
      </c>
      <c r="H9" s="1237" t="s">
        <v>18</v>
      </c>
      <c r="I9" s="1237" t="s">
        <v>18</v>
      </c>
      <c r="J9" s="1237" t="s">
        <v>7</v>
      </c>
      <c r="K9" s="1237" t="s">
        <v>18</v>
      </c>
      <c r="L9" s="1237" t="s">
        <v>18</v>
      </c>
      <c r="M9" s="1237" t="s">
        <v>18</v>
      </c>
      <c r="N9" s="1237" t="s">
        <v>18</v>
      </c>
      <c r="O9" s="1237" t="s">
        <v>18</v>
      </c>
      <c r="P9" s="1237" t="s">
        <v>18</v>
      </c>
      <c r="Q9" s="1237" t="s">
        <v>18</v>
      </c>
      <c r="R9" s="1237" t="s">
        <v>18</v>
      </c>
      <c r="S9" s="1237" t="s">
        <v>18</v>
      </c>
      <c r="T9" s="1237" t="s">
        <v>18</v>
      </c>
      <c r="U9" s="1237" t="s">
        <v>18</v>
      </c>
      <c r="V9" s="1238" t="s">
        <v>7</v>
      </c>
    </row>
    <row r="10" spans="1:22" ht="15" customHeight="1" x14ac:dyDescent="0.35">
      <c r="A10" s="1235" t="s">
        <v>1399</v>
      </c>
      <c r="B10" s="1236" t="s">
        <v>7</v>
      </c>
      <c r="C10" s="1237" t="s">
        <v>18</v>
      </c>
      <c r="D10" s="1237" t="s">
        <v>18</v>
      </c>
      <c r="E10" s="1237" t="s">
        <v>18</v>
      </c>
      <c r="F10" s="1237" t="s">
        <v>18</v>
      </c>
      <c r="G10" s="1237" t="s">
        <v>18</v>
      </c>
      <c r="H10" s="1237" t="s">
        <v>18</v>
      </c>
      <c r="I10" s="1237" t="s">
        <v>18</v>
      </c>
      <c r="J10" s="1237" t="s">
        <v>18</v>
      </c>
      <c r="K10" s="1237" t="s">
        <v>7</v>
      </c>
      <c r="L10" s="1237" t="s">
        <v>18</v>
      </c>
      <c r="M10" s="1237" t="s">
        <v>18</v>
      </c>
      <c r="N10" s="1237" t="s">
        <v>18</v>
      </c>
      <c r="O10" s="1237" t="s">
        <v>18</v>
      </c>
      <c r="P10" s="1237" t="s">
        <v>18</v>
      </c>
      <c r="Q10" s="1237" t="s">
        <v>18</v>
      </c>
      <c r="R10" s="1237" t="s">
        <v>18</v>
      </c>
      <c r="S10" s="1237" t="s">
        <v>18</v>
      </c>
      <c r="T10" s="1237" t="s">
        <v>18</v>
      </c>
      <c r="U10" s="1237" t="s">
        <v>18</v>
      </c>
      <c r="V10" s="1238" t="s">
        <v>7</v>
      </c>
    </row>
    <row r="11" spans="1:22" ht="15" customHeight="1" x14ac:dyDescent="0.35">
      <c r="A11" s="1235" t="s">
        <v>1408</v>
      </c>
      <c r="B11" s="1236" t="s">
        <v>7</v>
      </c>
      <c r="C11" s="1237" t="s">
        <v>18</v>
      </c>
      <c r="D11" s="1237" t="s">
        <v>18</v>
      </c>
      <c r="E11" s="1237" t="s">
        <v>18</v>
      </c>
      <c r="F11" s="1237" t="s">
        <v>18</v>
      </c>
      <c r="G11" s="1237" t="s">
        <v>18</v>
      </c>
      <c r="H11" s="1237" t="s">
        <v>18</v>
      </c>
      <c r="I11" s="1237" t="s">
        <v>18</v>
      </c>
      <c r="J11" s="1237" t="s">
        <v>18</v>
      </c>
      <c r="K11" s="1237" t="s">
        <v>18</v>
      </c>
      <c r="L11" s="1237" t="s">
        <v>7</v>
      </c>
      <c r="M11" s="1237" t="s">
        <v>18</v>
      </c>
      <c r="N11" s="1237" t="s">
        <v>18</v>
      </c>
      <c r="O11" s="1237" t="s">
        <v>18</v>
      </c>
      <c r="P11" s="1237" t="s">
        <v>18</v>
      </c>
      <c r="Q11" s="1237" t="s">
        <v>18</v>
      </c>
      <c r="R11" s="1237" t="s">
        <v>18</v>
      </c>
      <c r="S11" s="1237" t="s">
        <v>18</v>
      </c>
      <c r="T11" s="1237" t="s">
        <v>18</v>
      </c>
      <c r="U11" s="1237" t="s">
        <v>18</v>
      </c>
      <c r="V11" s="1238" t="s">
        <v>7</v>
      </c>
    </row>
    <row r="12" spans="1:22" ht="15" customHeight="1" x14ac:dyDescent="0.35">
      <c r="A12" s="1235" t="s">
        <v>1397</v>
      </c>
      <c r="B12" s="1236" t="s">
        <v>7</v>
      </c>
      <c r="C12" s="1237" t="s">
        <v>18</v>
      </c>
      <c r="D12" s="1237" t="s">
        <v>18</v>
      </c>
      <c r="E12" s="1237" t="s">
        <v>18</v>
      </c>
      <c r="F12" s="1237" t="s">
        <v>18</v>
      </c>
      <c r="G12" s="1237" t="s">
        <v>18</v>
      </c>
      <c r="H12" s="1237" t="s">
        <v>18</v>
      </c>
      <c r="I12" s="1237" t="s">
        <v>18</v>
      </c>
      <c r="J12" s="1237" t="s">
        <v>18</v>
      </c>
      <c r="K12" s="1237" t="s">
        <v>18</v>
      </c>
      <c r="L12" s="1237" t="s">
        <v>18</v>
      </c>
      <c r="M12" s="1237" t="s">
        <v>7</v>
      </c>
      <c r="N12" s="1237" t="s">
        <v>18</v>
      </c>
      <c r="O12" s="1237" t="s">
        <v>18</v>
      </c>
      <c r="P12" s="1237" t="s">
        <v>18</v>
      </c>
      <c r="Q12" s="1237" t="s">
        <v>18</v>
      </c>
      <c r="R12" s="1237" t="s">
        <v>18</v>
      </c>
      <c r="S12" s="1237" t="s">
        <v>18</v>
      </c>
      <c r="T12" s="1237" t="s">
        <v>18</v>
      </c>
      <c r="U12" s="1237" t="s">
        <v>18</v>
      </c>
      <c r="V12" s="1238" t="s">
        <v>7</v>
      </c>
    </row>
    <row r="13" spans="1:22" ht="15" customHeight="1" x14ac:dyDescent="0.35">
      <c r="A13" s="1235" t="s">
        <v>1401</v>
      </c>
      <c r="B13" s="1236" t="s">
        <v>7</v>
      </c>
      <c r="C13" s="1237" t="s">
        <v>18</v>
      </c>
      <c r="D13" s="1237" t="s">
        <v>18</v>
      </c>
      <c r="E13" s="1237" t="s">
        <v>18</v>
      </c>
      <c r="F13" s="1237" t="s">
        <v>18</v>
      </c>
      <c r="G13" s="1237" t="s">
        <v>18</v>
      </c>
      <c r="H13" s="1237" t="s">
        <v>18</v>
      </c>
      <c r="I13" s="1237" t="s">
        <v>18</v>
      </c>
      <c r="J13" s="1237" t="s">
        <v>18</v>
      </c>
      <c r="K13" s="1237" t="s">
        <v>18</v>
      </c>
      <c r="L13" s="1237" t="s">
        <v>18</v>
      </c>
      <c r="M13" s="1237" t="s">
        <v>18</v>
      </c>
      <c r="N13" s="1237" t="s">
        <v>7</v>
      </c>
      <c r="O13" s="1237" t="s">
        <v>18</v>
      </c>
      <c r="P13" s="1237" t="s">
        <v>18</v>
      </c>
      <c r="Q13" s="1237" t="s">
        <v>18</v>
      </c>
      <c r="R13" s="1237" t="s">
        <v>18</v>
      </c>
      <c r="S13" s="1237" t="s">
        <v>18</v>
      </c>
      <c r="T13" s="1237" t="s">
        <v>18</v>
      </c>
      <c r="U13" s="1237" t="s">
        <v>18</v>
      </c>
      <c r="V13" s="1238" t="s">
        <v>7</v>
      </c>
    </row>
    <row r="14" spans="1:22" ht="15" customHeight="1" x14ac:dyDescent="0.35">
      <c r="A14" s="1235" t="s">
        <v>1409</v>
      </c>
      <c r="B14" s="1236" t="s">
        <v>7</v>
      </c>
      <c r="C14" s="1237" t="s">
        <v>18</v>
      </c>
      <c r="D14" s="1237" t="s">
        <v>18</v>
      </c>
      <c r="E14" s="1237" t="s">
        <v>18</v>
      </c>
      <c r="F14" s="1237" t="s">
        <v>18</v>
      </c>
      <c r="G14" s="1237" t="s">
        <v>18</v>
      </c>
      <c r="H14" s="1237" t="s">
        <v>18</v>
      </c>
      <c r="I14" s="1237" t="s">
        <v>18</v>
      </c>
      <c r="J14" s="1237" t="s">
        <v>18</v>
      </c>
      <c r="K14" s="1237" t="s">
        <v>18</v>
      </c>
      <c r="L14" s="1237" t="s">
        <v>18</v>
      </c>
      <c r="M14" s="1237" t="s">
        <v>18</v>
      </c>
      <c r="N14" s="1237" t="s">
        <v>18</v>
      </c>
      <c r="O14" s="1237" t="s">
        <v>7</v>
      </c>
      <c r="P14" s="1237" t="s">
        <v>18</v>
      </c>
      <c r="Q14" s="1237" t="s">
        <v>18</v>
      </c>
      <c r="R14" s="1237" t="s">
        <v>18</v>
      </c>
      <c r="S14" s="1237" t="s">
        <v>18</v>
      </c>
      <c r="T14" s="1237" t="s">
        <v>18</v>
      </c>
      <c r="U14" s="1237" t="s">
        <v>18</v>
      </c>
      <c r="V14" s="1238" t="s">
        <v>7</v>
      </c>
    </row>
    <row r="15" spans="1:22" ht="15" customHeight="1" x14ac:dyDescent="0.35">
      <c r="A15" s="1235" t="s">
        <v>1400</v>
      </c>
      <c r="B15" s="1236" t="s">
        <v>7</v>
      </c>
      <c r="C15" s="1237" t="s">
        <v>18</v>
      </c>
      <c r="D15" s="1237" t="s">
        <v>18</v>
      </c>
      <c r="E15" s="1237" t="s">
        <v>18</v>
      </c>
      <c r="F15" s="1237" t="s">
        <v>18</v>
      </c>
      <c r="G15" s="1237" t="s">
        <v>18</v>
      </c>
      <c r="H15" s="1237" t="s">
        <v>18</v>
      </c>
      <c r="I15" s="1237" t="s">
        <v>18</v>
      </c>
      <c r="J15" s="1237" t="s">
        <v>18</v>
      </c>
      <c r="K15" s="1237" t="s">
        <v>18</v>
      </c>
      <c r="L15" s="1237" t="s">
        <v>18</v>
      </c>
      <c r="M15" s="1237" t="s">
        <v>18</v>
      </c>
      <c r="N15" s="1237" t="s">
        <v>18</v>
      </c>
      <c r="O15" s="1237" t="s">
        <v>18</v>
      </c>
      <c r="P15" s="1237" t="s">
        <v>7</v>
      </c>
      <c r="Q15" s="1237" t="s">
        <v>18</v>
      </c>
      <c r="R15" s="1237" t="s">
        <v>18</v>
      </c>
      <c r="S15" s="1237" t="s">
        <v>18</v>
      </c>
      <c r="T15" s="1237" t="s">
        <v>18</v>
      </c>
      <c r="U15" s="1237" t="s">
        <v>18</v>
      </c>
      <c r="V15" s="1238" t="s">
        <v>7</v>
      </c>
    </row>
    <row r="16" spans="1:22" ht="15" customHeight="1" x14ac:dyDescent="0.35">
      <c r="A16" s="1235" t="s">
        <v>1398</v>
      </c>
      <c r="B16" s="1236" t="s">
        <v>7</v>
      </c>
      <c r="C16" s="1237" t="s">
        <v>18</v>
      </c>
      <c r="D16" s="1237" t="s">
        <v>18</v>
      </c>
      <c r="E16" s="1237" t="s">
        <v>18</v>
      </c>
      <c r="F16" s="1237" t="s">
        <v>18</v>
      </c>
      <c r="G16" s="1237" t="s">
        <v>18</v>
      </c>
      <c r="H16" s="1237" t="s">
        <v>18</v>
      </c>
      <c r="I16" s="1237" t="s">
        <v>18</v>
      </c>
      <c r="J16" s="1237" t="s">
        <v>18</v>
      </c>
      <c r="K16" s="1237" t="s">
        <v>18</v>
      </c>
      <c r="L16" s="1237" t="s">
        <v>18</v>
      </c>
      <c r="M16" s="1237" t="s">
        <v>18</v>
      </c>
      <c r="N16" s="1237" t="s">
        <v>18</v>
      </c>
      <c r="O16" s="1237" t="s">
        <v>18</v>
      </c>
      <c r="P16" s="1237" t="s">
        <v>18</v>
      </c>
      <c r="Q16" s="1237" t="s">
        <v>7</v>
      </c>
      <c r="R16" s="1237" t="s">
        <v>18</v>
      </c>
      <c r="S16" s="1237" t="s">
        <v>18</v>
      </c>
      <c r="T16" s="1237" t="s">
        <v>18</v>
      </c>
      <c r="U16" s="1237" t="s">
        <v>18</v>
      </c>
      <c r="V16" s="1238" t="s">
        <v>7</v>
      </c>
    </row>
    <row r="17" spans="1:22" ht="15" customHeight="1" x14ac:dyDescent="0.35">
      <c r="A17" s="1235" t="s">
        <v>1404</v>
      </c>
      <c r="B17" s="1236" t="s">
        <v>7</v>
      </c>
      <c r="C17" s="1237" t="s">
        <v>18</v>
      </c>
      <c r="D17" s="1237" t="s">
        <v>18</v>
      </c>
      <c r="E17" s="1237" t="s">
        <v>18</v>
      </c>
      <c r="F17" s="1237" t="s">
        <v>18</v>
      </c>
      <c r="G17" s="1237" t="s">
        <v>18</v>
      </c>
      <c r="H17" s="1237" t="s">
        <v>18</v>
      </c>
      <c r="I17" s="1237" t="s">
        <v>18</v>
      </c>
      <c r="J17" s="1237" t="s">
        <v>18</v>
      </c>
      <c r="K17" s="1237" t="s">
        <v>18</v>
      </c>
      <c r="L17" s="1237" t="s">
        <v>18</v>
      </c>
      <c r="M17" s="1237" t="s">
        <v>18</v>
      </c>
      <c r="N17" s="1237" t="s">
        <v>18</v>
      </c>
      <c r="O17" s="1237" t="s">
        <v>18</v>
      </c>
      <c r="P17" s="1237" t="s">
        <v>18</v>
      </c>
      <c r="Q17" s="1237" t="s">
        <v>18</v>
      </c>
      <c r="R17" s="1237" t="s">
        <v>7</v>
      </c>
      <c r="S17" s="1237" t="s">
        <v>18</v>
      </c>
      <c r="T17" s="1237" t="s">
        <v>18</v>
      </c>
      <c r="U17" s="1237" t="s">
        <v>18</v>
      </c>
      <c r="V17" s="1238" t="s">
        <v>7</v>
      </c>
    </row>
    <row r="18" spans="1:22" ht="15" customHeight="1" x14ac:dyDescent="0.35">
      <c r="A18" s="1235" t="s">
        <v>1415</v>
      </c>
      <c r="B18" s="1236" t="s">
        <v>7</v>
      </c>
      <c r="C18" s="1237" t="s">
        <v>18</v>
      </c>
      <c r="D18" s="1237" t="s">
        <v>18</v>
      </c>
      <c r="E18" s="1237" t="s">
        <v>18</v>
      </c>
      <c r="F18" s="1237" t="s">
        <v>18</v>
      </c>
      <c r="G18" s="1237" t="s">
        <v>18</v>
      </c>
      <c r="H18" s="1237" t="s">
        <v>18</v>
      </c>
      <c r="I18" s="1237" t="s">
        <v>18</v>
      </c>
      <c r="J18" s="1237" t="s">
        <v>18</v>
      </c>
      <c r="K18" s="1237" t="s">
        <v>18</v>
      </c>
      <c r="L18" s="1237" t="s">
        <v>18</v>
      </c>
      <c r="M18" s="1237" t="s">
        <v>18</v>
      </c>
      <c r="N18" s="1237" t="s">
        <v>18</v>
      </c>
      <c r="O18" s="1237" t="s">
        <v>18</v>
      </c>
      <c r="P18" s="1237" t="s">
        <v>18</v>
      </c>
      <c r="Q18" s="1237" t="s">
        <v>18</v>
      </c>
      <c r="R18" s="1237" t="s">
        <v>18</v>
      </c>
      <c r="S18" s="1237" t="s">
        <v>7</v>
      </c>
      <c r="T18" s="1237" t="s">
        <v>18</v>
      </c>
      <c r="U18" s="1237" t="s">
        <v>18</v>
      </c>
      <c r="V18" s="1238" t="s">
        <v>7</v>
      </c>
    </row>
    <row r="19" spans="1:22" ht="15" customHeight="1" x14ac:dyDescent="0.35">
      <c r="A19" s="1235" t="s">
        <v>1403</v>
      </c>
      <c r="B19" s="1236" t="s">
        <v>7</v>
      </c>
      <c r="C19" s="1237" t="s">
        <v>18</v>
      </c>
      <c r="D19" s="1237" t="s">
        <v>18</v>
      </c>
      <c r="E19" s="1237" t="s">
        <v>18</v>
      </c>
      <c r="F19" s="1237" t="s">
        <v>18</v>
      </c>
      <c r="G19" s="1237" t="s">
        <v>18</v>
      </c>
      <c r="H19" s="1237" t="s">
        <v>18</v>
      </c>
      <c r="I19" s="1237" t="s">
        <v>18</v>
      </c>
      <c r="J19" s="1237" t="s">
        <v>18</v>
      </c>
      <c r="K19" s="1237" t="s">
        <v>18</v>
      </c>
      <c r="L19" s="1237" t="s">
        <v>18</v>
      </c>
      <c r="M19" s="1237" t="s">
        <v>18</v>
      </c>
      <c r="N19" s="1237" t="s">
        <v>18</v>
      </c>
      <c r="O19" s="1237" t="s">
        <v>18</v>
      </c>
      <c r="P19" s="1237" t="s">
        <v>18</v>
      </c>
      <c r="Q19" s="1237" t="s">
        <v>18</v>
      </c>
      <c r="R19" s="1237" t="s">
        <v>18</v>
      </c>
      <c r="S19" s="1237" t="s">
        <v>18</v>
      </c>
      <c r="T19" s="1237" t="s">
        <v>7</v>
      </c>
      <c r="U19" s="1237" t="s">
        <v>18</v>
      </c>
      <c r="V19" s="1238" t="s">
        <v>7</v>
      </c>
    </row>
    <row r="20" spans="1:22" ht="15" customHeight="1" x14ac:dyDescent="0.35">
      <c r="A20" s="1235" t="s">
        <v>1410</v>
      </c>
      <c r="B20" s="1236" t="s">
        <v>7</v>
      </c>
      <c r="C20" s="1237" t="s">
        <v>18</v>
      </c>
      <c r="D20" s="1237" t="s">
        <v>18</v>
      </c>
      <c r="E20" s="1237" t="s">
        <v>18</v>
      </c>
      <c r="F20" s="1237" t="s">
        <v>18</v>
      </c>
      <c r="G20" s="1237" t="s">
        <v>18</v>
      </c>
      <c r="H20" s="1237" t="s">
        <v>18</v>
      </c>
      <c r="I20" s="1237" t="s">
        <v>18</v>
      </c>
      <c r="J20" s="1237" t="s">
        <v>18</v>
      </c>
      <c r="K20" s="1237" t="s">
        <v>18</v>
      </c>
      <c r="L20" s="1237" t="s">
        <v>18</v>
      </c>
      <c r="M20" s="1237" t="s">
        <v>18</v>
      </c>
      <c r="N20" s="1237" t="s">
        <v>18</v>
      </c>
      <c r="O20" s="1237" t="s">
        <v>18</v>
      </c>
      <c r="P20" s="1237" t="s">
        <v>18</v>
      </c>
      <c r="Q20" s="1237" t="s">
        <v>18</v>
      </c>
      <c r="R20" s="1237" t="s">
        <v>18</v>
      </c>
      <c r="S20" s="1237" t="s">
        <v>18</v>
      </c>
      <c r="T20" s="1237" t="s">
        <v>18</v>
      </c>
      <c r="U20" s="1237" t="s">
        <v>7</v>
      </c>
      <c r="V20" s="1238" t="s">
        <v>7</v>
      </c>
    </row>
    <row r="21" spans="1:22" ht="15" customHeight="1" x14ac:dyDescent="0.35">
      <c r="A21" s="1235" t="s">
        <v>1411</v>
      </c>
      <c r="B21" s="1236" t="s">
        <v>7</v>
      </c>
      <c r="C21" s="1237" t="s">
        <v>7</v>
      </c>
      <c r="D21" s="1237" t="s">
        <v>7</v>
      </c>
      <c r="E21" s="1237" t="s">
        <v>7</v>
      </c>
      <c r="F21" s="1237" t="s">
        <v>7</v>
      </c>
      <c r="G21" s="1237" t="s">
        <v>7</v>
      </c>
      <c r="H21" s="1237" t="s">
        <v>7</v>
      </c>
      <c r="I21" s="1237" t="s">
        <v>7</v>
      </c>
      <c r="J21" s="1237" t="s">
        <v>7</v>
      </c>
      <c r="K21" s="1237" t="s">
        <v>7</v>
      </c>
      <c r="L21" s="1237" t="s">
        <v>7</v>
      </c>
      <c r="M21" s="1237" t="s">
        <v>7</v>
      </c>
      <c r="N21" s="1237" t="s">
        <v>7</v>
      </c>
      <c r="O21" s="1237" t="s">
        <v>7</v>
      </c>
      <c r="P21" s="1237" t="s">
        <v>7</v>
      </c>
      <c r="Q21" s="1237" t="s">
        <v>7</v>
      </c>
      <c r="R21" s="1237" t="s">
        <v>7</v>
      </c>
      <c r="S21" s="1237" t="s">
        <v>7</v>
      </c>
      <c r="T21" s="1237" t="s">
        <v>7</v>
      </c>
      <c r="U21" s="1237" t="s">
        <v>7</v>
      </c>
      <c r="V21" s="1238" t="s">
        <v>7</v>
      </c>
    </row>
    <row r="22" spans="1:22" ht="15" customHeight="1" x14ac:dyDescent="0.35">
      <c r="A22" s="1235" t="s">
        <v>1390</v>
      </c>
      <c r="B22" s="1236" t="s">
        <v>7</v>
      </c>
      <c r="C22" s="1237" t="s">
        <v>7</v>
      </c>
      <c r="D22" s="1237" t="s">
        <v>7</v>
      </c>
      <c r="E22" s="1237" t="s">
        <v>7</v>
      </c>
      <c r="F22" s="1237" t="s">
        <v>7</v>
      </c>
      <c r="G22" s="1237" t="s">
        <v>7</v>
      </c>
      <c r="H22" s="1237" t="s">
        <v>7</v>
      </c>
      <c r="I22" s="1237" t="s">
        <v>7</v>
      </c>
      <c r="J22" s="1237" t="s">
        <v>7</v>
      </c>
      <c r="K22" s="1237" t="s">
        <v>7</v>
      </c>
      <c r="L22" s="1237" t="s">
        <v>7</v>
      </c>
      <c r="M22" s="1237" t="s">
        <v>7</v>
      </c>
      <c r="N22" s="1237" t="s">
        <v>7</v>
      </c>
      <c r="O22" s="1237" t="s">
        <v>7</v>
      </c>
      <c r="P22" s="1237" t="s">
        <v>7</v>
      </c>
      <c r="Q22" s="1237" t="s">
        <v>7</v>
      </c>
      <c r="R22" s="1237" t="s">
        <v>7</v>
      </c>
      <c r="S22" s="1237" t="s">
        <v>7</v>
      </c>
      <c r="T22" s="1237" t="s">
        <v>7</v>
      </c>
      <c r="U22" s="1237" t="s">
        <v>7</v>
      </c>
      <c r="V22" s="1238" t="s">
        <v>7</v>
      </c>
    </row>
    <row r="23" spans="1:22" ht="15" customHeight="1" x14ac:dyDescent="0.35">
      <c r="A23" s="1235" t="s">
        <v>1422</v>
      </c>
      <c r="B23" s="1236" t="s">
        <v>7</v>
      </c>
      <c r="C23" s="1237" t="s">
        <v>7</v>
      </c>
      <c r="D23" s="1237" t="s">
        <v>7</v>
      </c>
      <c r="E23" s="1237" t="s">
        <v>7</v>
      </c>
      <c r="F23" s="1237" t="s">
        <v>7</v>
      </c>
      <c r="G23" s="1237" t="s">
        <v>7</v>
      </c>
      <c r="H23" s="1237" t="s">
        <v>7</v>
      </c>
      <c r="I23" s="1237" t="s">
        <v>7</v>
      </c>
      <c r="J23" s="1237" t="s">
        <v>7</v>
      </c>
      <c r="K23" s="1237" t="s">
        <v>7</v>
      </c>
      <c r="L23" s="1237" t="s">
        <v>7</v>
      </c>
      <c r="M23" s="1237" t="s">
        <v>7</v>
      </c>
      <c r="N23" s="1237" t="s">
        <v>7</v>
      </c>
      <c r="O23" s="1237" t="s">
        <v>7</v>
      </c>
      <c r="P23" s="1237" t="s">
        <v>7</v>
      </c>
      <c r="Q23" s="1237" t="s">
        <v>7</v>
      </c>
      <c r="R23" s="1237" t="s">
        <v>7</v>
      </c>
      <c r="S23" s="1237" t="s">
        <v>7</v>
      </c>
      <c r="T23" s="1237" t="s">
        <v>7</v>
      </c>
      <c r="U23" s="1237" t="s">
        <v>7</v>
      </c>
      <c r="V23" s="1238" t="s">
        <v>7</v>
      </c>
    </row>
    <row r="24" spans="1:22" ht="15" customHeight="1" x14ac:dyDescent="0.35">
      <c r="A24" s="1235" t="s">
        <v>1414</v>
      </c>
      <c r="B24" s="1236" t="s">
        <v>7</v>
      </c>
      <c r="C24" s="1237" t="s">
        <v>7</v>
      </c>
      <c r="D24" s="1237" t="s">
        <v>7</v>
      </c>
      <c r="E24" s="1237" t="s">
        <v>7</v>
      </c>
      <c r="F24" s="1237" t="s">
        <v>7</v>
      </c>
      <c r="G24" s="1237" t="s">
        <v>7</v>
      </c>
      <c r="H24" s="1237" t="s">
        <v>7</v>
      </c>
      <c r="I24" s="1237" t="s">
        <v>7</v>
      </c>
      <c r="J24" s="1237" t="s">
        <v>7</v>
      </c>
      <c r="K24" s="1237" t="s">
        <v>7</v>
      </c>
      <c r="L24" s="1237" t="s">
        <v>7</v>
      </c>
      <c r="M24" s="1237" t="s">
        <v>7</v>
      </c>
      <c r="N24" s="1237" t="s">
        <v>7</v>
      </c>
      <c r="O24" s="1237" t="s">
        <v>7</v>
      </c>
      <c r="P24" s="1237" t="s">
        <v>7</v>
      </c>
      <c r="Q24" s="1237" t="s">
        <v>7</v>
      </c>
      <c r="R24" s="1237" t="s">
        <v>7</v>
      </c>
      <c r="S24" s="1237" t="s">
        <v>7</v>
      </c>
      <c r="T24" s="1237" t="s">
        <v>7</v>
      </c>
      <c r="U24" s="1237" t="s">
        <v>7</v>
      </c>
      <c r="V24" s="1238" t="s">
        <v>7</v>
      </c>
    </row>
    <row r="25" spans="1:22" ht="15" customHeight="1" x14ac:dyDescent="0.35">
      <c r="A25" s="1235" t="s">
        <v>1538</v>
      </c>
      <c r="B25" s="1236" t="s">
        <v>7</v>
      </c>
      <c r="C25" s="1237" t="s">
        <v>7</v>
      </c>
      <c r="D25" s="1237" t="s">
        <v>7</v>
      </c>
      <c r="E25" s="1237" t="s">
        <v>7</v>
      </c>
      <c r="F25" s="1237" t="s">
        <v>7</v>
      </c>
      <c r="G25" s="1237" t="s">
        <v>7</v>
      </c>
      <c r="H25" s="1237" t="s">
        <v>7</v>
      </c>
      <c r="I25" s="1237" t="s">
        <v>7</v>
      </c>
      <c r="J25" s="1237" t="s">
        <v>7</v>
      </c>
      <c r="K25" s="1237" t="s">
        <v>7</v>
      </c>
      <c r="L25" s="1237" t="s">
        <v>7</v>
      </c>
      <c r="M25" s="1237" t="s">
        <v>7</v>
      </c>
      <c r="N25" s="1237" t="s">
        <v>7</v>
      </c>
      <c r="O25" s="1237" t="s">
        <v>7</v>
      </c>
      <c r="P25" s="1237" t="s">
        <v>7</v>
      </c>
      <c r="Q25" s="1237" t="s">
        <v>7</v>
      </c>
      <c r="R25" s="1237" t="s">
        <v>7</v>
      </c>
      <c r="S25" s="1237" t="s">
        <v>7</v>
      </c>
      <c r="T25" s="1237" t="s">
        <v>7</v>
      </c>
      <c r="U25" s="1237" t="s">
        <v>7</v>
      </c>
      <c r="V25" s="1238" t="s">
        <v>7</v>
      </c>
    </row>
    <row r="26" spans="1:22" ht="15" customHeight="1" x14ac:dyDescent="0.35">
      <c r="A26" s="1235" t="s">
        <v>1540</v>
      </c>
      <c r="B26" s="1236" t="s">
        <v>7</v>
      </c>
      <c r="C26" s="1237" t="s">
        <v>7</v>
      </c>
      <c r="D26" s="1237" t="s">
        <v>7</v>
      </c>
      <c r="E26" s="1237" t="s">
        <v>7</v>
      </c>
      <c r="F26" s="1237" t="s">
        <v>7</v>
      </c>
      <c r="G26" s="1237" t="s">
        <v>7</v>
      </c>
      <c r="H26" s="1237" t="s">
        <v>7</v>
      </c>
      <c r="I26" s="1237" t="s">
        <v>7</v>
      </c>
      <c r="J26" s="1237" t="s">
        <v>7</v>
      </c>
      <c r="K26" s="1237" t="s">
        <v>7</v>
      </c>
      <c r="L26" s="1237" t="s">
        <v>7</v>
      </c>
      <c r="M26" s="1237" t="s">
        <v>7</v>
      </c>
      <c r="N26" s="1237" t="s">
        <v>7</v>
      </c>
      <c r="O26" s="1237" t="s">
        <v>7</v>
      </c>
      <c r="P26" s="1237" t="s">
        <v>7</v>
      </c>
      <c r="Q26" s="1237" t="s">
        <v>7</v>
      </c>
      <c r="R26" s="1237" t="s">
        <v>7</v>
      </c>
      <c r="S26" s="1237" t="s">
        <v>7</v>
      </c>
      <c r="T26" s="1237" t="s">
        <v>7</v>
      </c>
      <c r="U26" s="1237" t="s">
        <v>7</v>
      </c>
      <c r="V26" s="1238" t="s">
        <v>7</v>
      </c>
    </row>
    <row r="27" spans="1:22" ht="15" customHeight="1" x14ac:dyDescent="0.35">
      <c r="A27" s="1235" t="s">
        <v>1420</v>
      </c>
      <c r="B27" s="1236" t="s">
        <v>7</v>
      </c>
      <c r="C27" s="1237" t="s">
        <v>7</v>
      </c>
      <c r="D27" s="1237" t="s">
        <v>7</v>
      </c>
      <c r="E27" s="1237" t="s">
        <v>7</v>
      </c>
      <c r="F27" s="1237" t="s">
        <v>7</v>
      </c>
      <c r="G27" s="1237" t="s">
        <v>7</v>
      </c>
      <c r="H27" s="1237" t="s">
        <v>7</v>
      </c>
      <c r="I27" s="1237" t="s">
        <v>7</v>
      </c>
      <c r="J27" s="1237" t="s">
        <v>7</v>
      </c>
      <c r="K27" s="1237" t="s">
        <v>7</v>
      </c>
      <c r="L27" s="1237" t="s">
        <v>7</v>
      </c>
      <c r="M27" s="1237" t="s">
        <v>7</v>
      </c>
      <c r="N27" s="1237" t="s">
        <v>7</v>
      </c>
      <c r="O27" s="1237" t="s">
        <v>7</v>
      </c>
      <c r="P27" s="1237" t="s">
        <v>7</v>
      </c>
      <c r="Q27" s="1237" t="s">
        <v>7</v>
      </c>
      <c r="R27" s="1237" t="s">
        <v>7</v>
      </c>
      <c r="S27" s="1237" t="s">
        <v>7</v>
      </c>
      <c r="T27" s="1237" t="s">
        <v>7</v>
      </c>
      <c r="U27" s="1237" t="s">
        <v>7</v>
      </c>
      <c r="V27" s="1238" t="s">
        <v>7</v>
      </c>
    </row>
    <row r="28" spans="1:22" ht="15" customHeight="1" x14ac:dyDescent="0.35">
      <c r="A28" s="1235" t="s">
        <v>1405</v>
      </c>
      <c r="B28" s="1236" t="s">
        <v>7</v>
      </c>
      <c r="C28" s="1237" t="s">
        <v>7</v>
      </c>
      <c r="D28" s="1237" t="s">
        <v>7</v>
      </c>
      <c r="E28" s="1237" t="s">
        <v>7</v>
      </c>
      <c r="F28" s="1237" t="s">
        <v>7</v>
      </c>
      <c r="G28" s="1237" t="s">
        <v>7</v>
      </c>
      <c r="H28" s="1237" t="s">
        <v>7</v>
      </c>
      <c r="I28" s="1237" t="s">
        <v>7</v>
      </c>
      <c r="J28" s="1237" t="s">
        <v>7</v>
      </c>
      <c r="K28" s="1237" t="s">
        <v>7</v>
      </c>
      <c r="L28" s="1237" t="s">
        <v>7</v>
      </c>
      <c r="M28" s="1237" t="s">
        <v>7</v>
      </c>
      <c r="N28" s="1237" t="s">
        <v>7</v>
      </c>
      <c r="O28" s="1237" t="s">
        <v>7</v>
      </c>
      <c r="P28" s="1237" t="s">
        <v>7</v>
      </c>
      <c r="Q28" s="1237" t="s">
        <v>7</v>
      </c>
      <c r="R28" s="1237" t="s">
        <v>7</v>
      </c>
      <c r="S28" s="1237" t="s">
        <v>7</v>
      </c>
      <c r="T28" s="1237" t="s">
        <v>7</v>
      </c>
      <c r="U28" s="1237" t="s">
        <v>7</v>
      </c>
      <c r="V28" s="1238" t="s">
        <v>7</v>
      </c>
    </row>
    <row r="29" spans="1:22" ht="15" customHeight="1" x14ac:dyDescent="0.35">
      <c r="A29" s="1235" t="s">
        <v>1418</v>
      </c>
      <c r="B29" s="1236" t="s">
        <v>7</v>
      </c>
      <c r="C29" s="1237" t="s">
        <v>7</v>
      </c>
      <c r="D29" s="1237" t="s">
        <v>7</v>
      </c>
      <c r="E29" s="1237" t="s">
        <v>7</v>
      </c>
      <c r="F29" s="1237" t="s">
        <v>7</v>
      </c>
      <c r="G29" s="1237" t="s">
        <v>7</v>
      </c>
      <c r="H29" s="1237" t="s">
        <v>7</v>
      </c>
      <c r="I29" s="1237" t="s">
        <v>7</v>
      </c>
      <c r="J29" s="1237" t="s">
        <v>7</v>
      </c>
      <c r="K29" s="1237" t="s">
        <v>7</v>
      </c>
      <c r="L29" s="1237" t="s">
        <v>7</v>
      </c>
      <c r="M29" s="1237" t="s">
        <v>7</v>
      </c>
      <c r="N29" s="1237" t="s">
        <v>7</v>
      </c>
      <c r="O29" s="1237" t="s">
        <v>7</v>
      </c>
      <c r="P29" s="1237" t="s">
        <v>7</v>
      </c>
      <c r="Q29" s="1237" t="s">
        <v>7</v>
      </c>
      <c r="R29" s="1237" t="s">
        <v>7</v>
      </c>
      <c r="S29" s="1237" t="s">
        <v>7</v>
      </c>
      <c r="T29" s="1237" t="s">
        <v>7</v>
      </c>
      <c r="U29" s="1237" t="s">
        <v>7</v>
      </c>
      <c r="V29" s="1238" t="s">
        <v>7</v>
      </c>
    </row>
    <row r="30" spans="1:22" ht="15" customHeight="1" x14ac:dyDescent="0.35">
      <c r="A30" s="1235" t="s">
        <v>1423</v>
      </c>
      <c r="B30" s="1236" t="s">
        <v>7</v>
      </c>
      <c r="C30" s="1237" t="s">
        <v>7</v>
      </c>
      <c r="D30" s="1237" t="s">
        <v>7</v>
      </c>
      <c r="E30" s="1237" t="s">
        <v>7</v>
      </c>
      <c r="F30" s="1237" t="s">
        <v>7</v>
      </c>
      <c r="G30" s="1237" t="s">
        <v>7</v>
      </c>
      <c r="H30" s="1237" t="s">
        <v>7</v>
      </c>
      <c r="I30" s="1237" t="s">
        <v>7</v>
      </c>
      <c r="J30" s="1237" t="s">
        <v>7</v>
      </c>
      <c r="K30" s="1237" t="s">
        <v>7</v>
      </c>
      <c r="L30" s="1237" t="s">
        <v>7</v>
      </c>
      <c r="M30" s="1237" t="s">
        <v>7</v>
      </c>
      <c r="N30" s="1237" t="s">
        <v>7</v>
      </c>
      <c r="O30" s="1237" t="s">
        <v>7</v>
      </c>
      <c r="P30" s="1237" t="s">
        <v>7</v>
      </c>
      <c r="Q30" s="1237" t="s">
        <v>7</v>
      </c>
      <c r="R30" s="1237" t="s">
        <v>7</v>
      </c>
      <c r="S30" s="1237" t="s">
        <v>7</v>
      </c>
      <c r="T30" s="1237" t="s">
        <v>7</v>
      </c>
      <c r="U30" s="1237" t="s">
        <v>7</v>
      </c>
      <c r="V30" s="1238" t="s">
        <v>7</v>
      </c>
    </row>
    <row r="31" spans="1:22" ht="15" customHeight="1" x14ac:dyDescent="0.35">
      <c r="A31" s="1235" t="s">
        <v>1406</v>
      </c>
      <c r="B31" s="1236" t="s">
        <v>7</v>
      </c>
      <c r="C31" s="1237" t="s">
        <v>7</v>
      </c>
      <c r="D31" s="1237" t="s">
        <v>7</v>
      </c>
      <c r="E31" s="1237" t="s">
        <v>7</v>
      </c>
      <c r="F31" s="1237" t="s">
        <v>7</v>
      </c>
      <c r="G31" s="1237" t="s">
        <v>7</v>
      </c>
      <c r="H31" s="1237" t="s">
        <v>7</v>
      </c>
      <c r="I31" s="1237" t="s">
        <v>7</v>
      </c>
      <c r="J31" s="1237" t="s">
        <v>7</v>
      </c>
      <c r="K31" s="1237" t="s">
        <v>7</v>
      </c>
      <c r="L31" s="1237" t="s">
        <v>7</v>
      </c>
      <c r="M31" s="1237" t="s">
        <v>7</v>
      </c>
      <c r="N31" s="1237" t="s">
        <v>7</v>
      </c>
      <c r="O31" s="1237" t="s">
        <v>7</v>
      </c>
      <c r="P31" s="1237" t="s">
        <v>7</v>
      </c>
      <c r="Q31" s="1237" t="s">
        <v>7</v>
      </c>
      <c r="R31" s="1237" t="s">
        <v>7</v>
      </c>
      <c r="S31" s="1237" t="s">
        <v>7</v>
      </c>
      <c r="T31" s="1237" t="s">
        <v>7</v>
      </c>
      <c r="U31" s="1237" t="s">
        <v>7</v>
      </c>
      <c r="V31" s="1238" t="s">
        <v>7</v>
      </c>
    </row>
    <row r="32" spans="1:22" ht="15" customHeight="1" x14ac:dyDescent="0.35">
      <c r="A32" s="1235" t="s">
        <v>1547</v>
      </c>
      <c r="B32" s="1236" t="s">
        <v>7</v>
      </c>
      <c r="C32" s="1237" t="s">
        <v>7</v>
      </c>
      <c r="D32" s="1237" t="s">
        <v>7</v>
      </c>
      <c r="E32" s="1237" t="s">
        <v>7</v>
      </c>
      <c r="F32" s="1237" t="s">
        <v>7</v>
      </c>
      <c r="G32" s="1237" t="s">
        <v>7</v>
      </c>
      <c r="H32" s="1237" t="s">
        <v>7</v>
      </c>
      <c r="I32" s="1237" t="s">
        <v>7</v>
      </c>
      <c r="J32" s="1237" t="s">
        <v>7</v>
      </c>
      <c r="K32" s="1237" t="s">
        <v>7</v>
      </c>
      <c r="L32" s="1237" t="s">
        <v>7</v>
      </c>
      <c r="M32" s="1237" t="s">
        <v>7</v>
      </c>
      <c r="N32" s="1237" t="s">
        <v>7</v>
      </c>
      <c r="O32" s="1237" t="s">
        <v>7</v>
      </c>
      <c r="P32" s="1237" t="s">
        <v>7</v>
      </c>
      <c r="Q32" s="1237" t="s">
        <v>7</v>
      </c>
      <c r="R32" s="1237" t="s">
        <v>7</v>
      </c>
      <c r="S32" s="1237" t="s">
        <v>7</v>
      </c>
      <c r="T32" s="1237" t="s">
        <v>7</v>
      </c>
      <c r="U32" s="1237" t="s">
        <v>7</v>
      </c>
      <c r="V32" s="1238" t="s">
        <v>7</v>
      </c>
    </row>
    <row r="33" spans="1:22" ht="15" customHeight="1" x14ac:dyDescent="0.35">
      <c r="A33" s="1235" t="s">
        <v>1419</v>
      </c>
      <c r="B33" s="1236" t="s">
        <v>7</v>
      </c>
      <c r="C33" s="1237" t="s">
        <v>7</v>
      </c>
      <c r="D33" s="1237" t="s">
        <v>7</v>
      </c>
      <c r="E33" s="1237" t="s">
        <v>7</v>
      </c>
      <c r="F33" s="1237" t="s">
        <v>7</v>
      </c>
      <c r="G33" s="1237" t="s">
        <v>7</v>
      </c>
      <c r="H33" s="1237" t="s">
        <v>7</v>
      </c>
      <c r="I33" s="1237" t="s">
        <v>7</v>
      </c>
      <c r="J33" s="1237" t="s">
        <v>7</v>
      </c>
      <c r="K33" s="1237" t="s">
        <v>7</v>
      </c>
      <c r="L33" s="1237" t="s">
        <v>7</v>
      </c>
      <c r="M33" s="1237" t="s">
        <v>7</v>
      </c>
      <c r="N33" s="1237" t="s">
        <v>7</v>
      </c>
      <c r="O33" s="1237" t="s">
        <v>7</v>
      </c>
      <c r="P33" s="1237" t="s">
        <v>7</v>
      </c>
      <c r="Q33" s="1237" t="s">
        <v>7</v>
      </c>
      <c r="R33" s="1237" t="s">
        <v>7</v>
      </c>
      <c r="S33" s="1237" t="s">
        <v>7</v>
      </c>
      <c r="T33" s="1237" t="s">
        <v>7</v>
      </c>
      <c r="U33" s="1237" t="s">
        <v>7</v>
      </c>
      <c r="V33" s="1238" t="s">
        <v>7</v>
      </c>
    </row>
    <row r="34" spans="1:22" ht="15" customHeight="1" x14ac:dyDescent="0.35">
      <c r="A34" s="1235" t="s">
        <v>1550</v>
      </c>
      <c r="B34" s="1236" t="s">
        <v>7</v>
      </c>
      <c r="C34" s="1237" t="s">
        <v>7</v>
      </c>
      <c r="D34" s="1237" t="s">
        <v>7</v>
      </c>
      <c r="E34" s="1237" t="s">
        <v>7</v>
      </c>
      <c r="F34" s="1237" t="s">
        <v>7</v>
      </c>
      <c r="G34" s="1237" t="s">
        <v>7</v>
      </c>
      <c r="H34" s="1237" t="s">
        <v>7</v>
      </c>
      <c r="I34" s="1237" t="s">
        <v>7</v>
      </c>
      <c r="J34" s="1237" t="s">
        <v>7</v>
      </c>
      <c r="K34" s="1237" t="s">
        <v>7</v>
      </c>
      <c r="L34" s="1237" t="s">
        <v>7</v>
      </c>
      <c r="M34" s="1237" t="s">
        <v>7</v>
      </c>
      <c r="N34" s="1237" t="s">
        <v>7</v>
      </c>
      <c r="O34" s="1237" t="s">
        <v>7</v>
      </c>
      <c r="P34" s="1237" t="s">
        <v>7</v>
      </c>
      <c r="Q34" s="1237" t="s">
        <v>7</v>
      </c>
      <c r="R34" s="1237" t="s">
        <v>7</v>
      </c>
      <c r="S34" s="1237" t="s">
        <v>7</v>
      </c>
      <c r="T34" s="1237" t="s">
        <v>7</v>
      </c>
      <c r="U34" s="1237" t="s">
        <v>7</v>
      </c>
      <c r="V34" s="1238" t="s">
        <v>7</v>
      </c>
    </row>
    <row r="35" spans="1:22" ht="15" customHeight="1" x14ac:dyDescent="0.35">
      <c r="A35" s="1235" t="s">
        <v>1416</v>
      </c>
      <c r="B35" s="1236" t="s">
        <v>7</v>
      </c>
      <c r="C35" s="1237" t="s">
        <v>7</v>
      </c>
      <c r="D35" s="1237" t="s">
        <v>7</v>
      </c>
      <c r="E35" s="1237" t="s">
        <v>7</v>
      </c>
      <c r="F35" s="1237" t="s">
        <v>7</v>
      </c>
      <c r="G35" s="1237" t="s">
        <v>7</v>
      </c>
      <c r="H35" s="1237" t="s">
        <v>7</v>
      </c>
      <c r="I35" s="1237" t="s">
        <v>7</v>
      </c>
      <c r="J35" s="1237" t="s">
        <v>7</v>
      </c>
      <c r="K35" s="1237" t="s">
        <v>7</v>
      </c>
      <c r="L35" s="1237" t="s">
        <v>7</v>
      </c>
      <c r="M35" s="1237" t="s">
        <v>7</v>
      </c>
      <c r="N35" s="1237" t="s">
        <v>7</v>
      </c>
      <c r="O35" s="1237" t="s">
        <v>7</v>
      </c>
      <c r="P35" s="1237" t="s">
        <v>7</v>
      </c>
      <c r="Q35" s="1237" t="s">
        <v>7</v>
      </c>
      <c r="R35" s="1237" t="s">
        <v>7</v>
      </c>
      <c r="S35" s="1237" t="s">
        <v>7</v>
      </c>
      <c r="T35" s="1237" t="s">
        <v>7</v>
      </c>
      <c r="U35" s="1237" t="s">
        <v>7</v>
      </c>
      <c r="V35" s="1238" t="s">
        <v>7</v>
      </c>
    </row>
    <row r="36" spans="1:22" ht="15" customHeight="1" x14ac:dyDescent="0.35">
      <c r="A36" s="1235" t="s">
        <v>1421</v>
      </c>
      <c r="B36" s="1236" t="s">
        <v>7</v>
      </c>
      <c r="C36" s="1237" t="s">
        <v>7</v>
      </c>
      <c r="D36" s="1237" t="s">
        <v>7</v>
      </c>
      <c r="E36" s="1237" t="s">
        <v>7</v>
      </c>
      <c r="F36" s="1237" t="s">
        <v>7</v>
      </c>
      <c r="G36" s="1237" t="s">
        <v>7</v>
      </c>
      <c r="H36" s="1237" t="s">
        <v>7</v>
      </c>
      <c r="I36" s="1237" t="s">
        <v>7</v>
      </c>
      <c r="J36" s="1237" t="s">
        <v>7</v>
      </c>
      <c r="K36" s="1237" t="s">
        <v>7</v>
      </c>
      <c r="L36" s="1237" t="s">
        <v>7</v>
      </c>
      <c r="M36" s="1237" t="s">
        <v>7</v>
      </c>
      <c r="N36" s="1237" t="s">
        <v>7</v>
      </c>
      <c r="O36" s="1237" t="s">
        <v>7</v>
      </c>
      <c r="P36" s="1237" t="s">
        <v>7</v>
      </c>
      <c r="Q36" s="1237" t="s">
        <v>7</v>
      </c>
      <c r="R36" s="1237" t="s">
        <v>7</v>
      </c>
      <c r="S36" s="1237" t="s">
        <v>7</v>
      </c>
      <c r="T36" s="1237" t="s">
        <v>7</v>
      </c>
      <c r="U36" s="1237" t="s">
        <v>7</v>
      </c>
      <c r="V36" s="1238" t="s">
        <v>7</v>
      </c>
    </row>
    <row r="37" spans="1:22" ht="15" customHeight="1" x14ac:dyDescent="0.35">
      <c r="A37" s="1235" t="s">
        <v>1417</v>
      </c>
      <c r="B37" s="1236" t="s">
        <v>7</v>
      </c>
      <c r="C37" s="1237" t="s">
        <v>7</v>
      </c>
      <c r="D37" s="1237" t="s">
        <v>7</v>
      </c>
      <c r="E37" s="1237" t="s">
        <v>7</v>
      </c>
      <c r="F37" s="1237" t="s">
        <v>7</v>
      </c>
      <c r="G37" s="1237" t="s">
        <v>7</v>
      </c>
      <c r="H37" s="1237" t="s">
        <v>7</v>
      </c>
      <c r="I37" s="1237" t="s">
        <v>7</v>
      </c>
      <c r="J37" s="1237" t="s">
        <v>7</v>
      </c>
      <c r="K37" s="1237" t="s">
        <v>7</v>
      </c>
      <c r="L37" s="1237" t="s">
        <v>7</v>
      </c>
      <c r="M37" s="1237" t="s">
        <v>7</v>
      </c>
      <c r="N37" s="1237" t="s">
        <v>7</v>
      </c>
      <c r="O37" s="1237" t="s">
        <v>7</v>
      </c>
      <c r="P37" s="1237" t="s">
        <v>7</v>
      </c>
      <c r="Q37" s="1237" t="s">
        <v>7</v>
      </c>
      <c r="R37" s="1237" t="s">
        <v>7</v>
      </c>
      <c r="S37" s="1237" t="s">
        <v>7</v>
      </c>
      <c r="T37" s="1237" t="s">
        <v>7</v>
      </c>
      <c r="U37" s="1237" t="s">
        <v>7</v>
      </c>
      <c r="V37" s="1238" t="s">
        <v>7</v>
      </c>
    </row>
    <row r="38" spans="1:22" ht="15" customHeight="1" x14ac:dyDescent="0.35">
      <c r="A38" s="1239" t="s">
        <v>811</v>
      </c>
      <c r="B38" s="1240" t="s">
        <v>7</v>
      </c>
      <c r="C38" s="1241" t="s">
        <v>7</v>
      </c>
      <c r="D38" s="1241" t="s">
        <v>7</v>
      </c>
      <c r="E38" s="1241" t="s">
        <v>7</v>
      </c>
      <c r="F38" s="1241" t="s">
        <v>7</v>
      </c>
      <c r="G38" s="1241" t="s">
        <v>7</v>
      </c>
      <c r="H38" s="1241" t="s">
        <v>7</v>
      </c>
      <c r="I38" s="1241" t="s">
        <v>7</v>
      </c>
      <c r="J38" s="1241" t="s">
        <v>7</v>
      </c>
      <c r="K38" s="1241" t="s">
        <v>7</v>
      </c>
      <c r="L38" s="1241" t="s">
        <v>7</v>
      </c>
      <c r="M38" s="1241" t="s">
        <v>7</v>
      </c>
      <c r="N38" s="1241" t="s">
        <v>7</v>
      </c>
      <c r="O38" s="1241" t="s">
        <v>7</v>
      </c>
      <c r="P38" s="1241" t="s">
        <v>7</v>
      </c>
      <c r="Q38" s="1241" t="s">
        <v>7</v>
      </c>
      <c r="R38" s="1241" t="s">
        <v>7</v>
      </c>
      <c r="S38" s="1241" t="s">
        <v>7</v>
      </c>
      <c r="T38" s="1241" t="s">
        <v>7</v>
      </c>
      <c r="U38" s="1241" t="s">
        <v>7</v>
      </c>
      <c r="V38" s="1242" t="s">
        <v>7</v>
      </c>
    </row>
  </sheetData>
  <sheetProtection algorithmName="SHA-512" hashValue="2M1S1exUw2ICmxeynT+1ubfv8bUv79FQM8AfuqzY0/BfMA8hHAOMc2RXjRYKlfsylYVEi1yjiWPtCBK9HAP3Bw==" saltValue="oPspQDZZQQuUihf7kqDiaQ==" spinCount="100000" sheet="1" objects="1" scenarios="1"/>
  <conditionalFormatting sqref="A1:V38">
    <cfRule type="containsText" dxfId="0"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13"/>
  <sheetViews>
    <sheetView zoomScale="76" workbookViewId="0">
      <selection activeCell="C11" sqref="C11"/>
    </sheetView>
  </sheetViews>
  <sheetFormatPr defaultColWidth="9.109375" defaultRowHeight="15" x14ac:dyDescent="0.35"/>
  <cols>
    <col min="1" max="1" width="3" style="1971" customWidth="1"/>
    <col min="2" max="2" width="86.44140625" style="1971" customWidth="1"/>
    <col min="3" max="4" width="40.5546875" style="1971" customWidth="1"/>
    <col min="5" max="16384" width="9.109375" style="1971"/>
  </cols>
  <sheetData>
    <row r="1" spans="1:6" ht="29.4" x14ac:dyDescent="0.65">
      <c r="A1" s="2000" t="s">
        <v>2456</v>
      </c>
      <c r="B1" s="1999"/>
      <c r="C1" s="1998"/>
      <c r="D1" s="884"/>
    </row>
    <row r="2" spans="1:6" ht="19.8" x14ac:dyDescent="0.35">
      <c r="A2" s="1995" t="s">
        <v>2455</v>
      </c>
      <c r="B2" s="85"/>
      <c r="C2" s="85"/>
      <c r="D2" s="85"/>
    </row>
    <row r="3" spans="1:6" ht="19.8" x14ac:dyDescent="0.35">
      <c r="A3" s="1979" t="s">
        <v>2454</v>
      </c>
      <c r="B3" s="85"/>
      <c r="C3" s="85"/>
      <c r="D3" s="85"/>
    </row>
    <row r="4" spans="1:6" x14ac:dyDescent="0.35">
      <c r="A4" s="1992"/>
      <c r="B4" s="1997" t="s">
        <v>2453</v>
      </c>
      <c r="C4" s="1996" t="s">
        <v>3562</v>
      </c>
      <c r="D4" s="2581" t="s">
        <v>2452</v>
      </c>
      <c r="E4" s="2581"/>
    </row>
    <row r="5" spans="1:6" ht="19.8" x14ac:dyDescent="0.35">
      <c r="A5" s="1995" t="s">
        <v>2451</v>
      </c>
      <c r="B5" s="84"/>
      <c r="C5" s="98"/>
      <c r="D5" s="1994"/>
    </row>
    <row r="6" spans="1:6" ht="19.2" x14ac:dyDescent="0.35">
      <c r="A6" s="1992"/>
      <c r="B6" s="1993"/>
      <c r="C6" s="1975" t="s">
        <v>92</v>
      </c>
      <c r="D6" s="1974" t="s">
        <v>2450</v>
      </c>
    </row>
    <row r="7" spans="1:6" x14ac:dyDescent="0.35">
      <c r="A7" s="1992"/>
      <c r="B7" s="1991" t="s">
        <v>2449</v>
      </c>
      <c r="C7" s="1990" t="s">
        <v>7</v>
      </c>
      <c r="D7" s="1989"/>
    </row>
    <row r="8" spans="1:6" x14ac:dyDescent="0.35">
      <c r="B8" s="1988" t="s">
        <v>2448</v>
      </c>
      <c r="C8" s="1987" t="s">
        <v>7</v>
      </c>
      <c r="D8" s="1986"/>
    </row>
    <row r="9" spans="1:6" ht="19.8" x14ac:dyDescent="0.35">
      <c r="A9" s="1979" t="s">
        <v>2447</v>
      </c>
      <c r="B9" s="84"/>
      <c r="C9" s="85"/>
      <c r="D9" s="85"/>
    </row>
    <row r="10" spans="1:6" x14ac:dyDescent="0.35">
      <c r="A10" s="291"/>
      <c r="B10" s="1977"/>
      <c r="C10" s="1985" t="s">
        <v>92</v>
      </c>
      <c r="D10" s="1984" t="s">
        <v>93</v>
      </c>
    </row>
    <row r="11" spans="1:6" x14ac:dyDescent="0.35">
      <c r="A11" s="265"/>
      <c r="B11" s="758" t="s">
        <v>2446</v>
      </c>
      <c r="C11" s="1983" t="s">
        <v>7</v>
      </c>
      <c r="D11" s="1982"/>
    </row>
    <row r="12" spans="1:6" x14ac:dyDescent="0.35">
      <c r="A12" s="1980"/>
      <c r="B12" s="1980"/>
      <c r="C12" s="1980"/>
      <c r="D12" s="1981"/>
      <c r="E12" s="1980"/>
      <c r="F12" s="1980"/>
    </row>
    <row r="13" spans="1:6" ht="47.4" customHeight="1" x14ac:dyDescent="0.35">
      <c r="A13" s="1979" t="s">
        <v>2445</v>
      </c>
      <c r="C13" s="1978"/>
      <c r="D13" s="2582" t="s">
        <v>2444</v>
      </c>
      <c r="E13" s="2583"/>
      <c r="F13" s="2584"/>
    </row>
  </sheetData>
  <sheetProtection algorithmName="SHA-512" hashValue="dVN9ymbtRQcGpDoksgIAkvAAWczbLaE0nXZPcHA49sef7i31cHi8NKcXrVhlwfrMSW5kJUBsyd2+tdt6a7pAXQ==" saltValue="octb/iJX5wXFzKhJnVNHQw==" spinCount="100000" sheet="1" objects="1" scenarios="1"/>
  <mergeCells count="2">
    <mergeCell ref="D4:E4"/>
    <mergeCell ref="D13:F13"/>
  </mergeCells>
  <conditionalFormatting sqref="A3">
    <cfRule type="cellIs" dxfId="10112" priority="12" stopIfTrue="1" operator="equal">
      <formula>"Pass"</formula>
    </cfRule>
    <cfRule type="cellIs" dxfId="10111" priority="13" stopIfTrue="1" operator="equal">
      <formula>"Fail"</formula>
    </cfRule>
  </conditionalFormatting>
  <conditionalFormatting sqref="A9:D10 A11:B11 D11">
    <cfRule type="cellIs" dxfId="10110" priority="10" stopIfTrue="1" operator="equal">
      <formula>"Pass"</formula>
    </cfRule>
    <cfRule type="cellIs" dxfId="10109" priority="11" stopIfTrue="1" operator="equal">
      <formula>"Fail"</formula>
    </cfRule>
  </conditionalFormatting>
  <conditionalFormatting sqref="C7:C8">
    <cfRule type="cellIs" dxfId="10108" priority="8" stopIfTrue="1" operator="equal">
      <formula>"Pass"</formula>
    </cfRule>
    <cfRule type="cellIs" dxfId="10107" priority="9" stopIfTrue="1" operator="equal">
      <formula>"Fail"</formula>
    </cfRule>
  </conditionalFormatting>
  <conditionalFormatting sqref="C11">
    <cfRule type="cellIs" dxfId="10106" priority="6" stopIfTrue="1" operator="equal">
      <formula>"Pass"</formula>
    </cfRule>
    <cfRule type="cellIs" dxfId="10105" priority="7" stopIfTrue="1" operator="equal">
      <formula>"Fail"</formula>
    </cfRule>
  </conditionalFormatting>
  <conditionalFormatting sqref="A13">
    <cfRule type="cellIs" dxfId="10104" priority="4" stopIfTrue="1" operator="equal">
      <formula>"Pass"</formula>
    </cfRule>
    <cfRule type="cellIs" dxfId="10103" priority="5" stopIfTrue="1" operator="equal">
      <formula>"Fail"</formula>
    </cfRule>
  </conditionalFormatting>
  <conditionalFormatting sqref="C13">
    <cfRule type="cellIs" dxfId="10102" priority="3" stopIfTrue="1" operator="lessThan">
      <formula>0</formula>
    </cfRule>
  </conditionalFormatting>
  <conditionalFormatting sqref="C13">
    <cfRule type="cellIs" dxfId="10101" priority="1" stopIfTrue="1" operator="equal">
      <formula>"Pass"</formula>
    </cfRule>
    <cfRule type="cellIs" dxfId="10100" priority="2" stopIfTrue="1" operator="equal">
      <formula>"Fail"</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sheetPr>
  <dimension ref="A1:AB159"/>
  <sheetViews>
    <sheetView zoomScale="80" zoomScaleNormal="80" zoomScaleSheetLayoutView="75" workbookViewId="0">
      <pane xSplit="2" ySplit="1" topLeftCell="C62" activePane="bottomRight" state="frozen"/>
      <selection activeCell="P35" sqref="P35"/>
      <selection pane="topRight" activeCell="P35" sqref="P35"/>
      <selection pane="bottomLeft" activeCell="P35" sqref="P35"/>
      <selection pane="bottomRight" activeCell="G112" sqref="G112"/>
    </sheetView>
  </sheetViews>
  <sheetFormatPr defaultColWidth="0" defaultRowHeight="0" customHeight="1" zeroHeight="1" x14ac:dyDescent="0.35"/>
  <cols>
    <col min="1" max="1" width="1.6640625" style="98" customWidth="1"/>
    <col min="2" max="2" width="90.6640625" style="98" customWidth="1"/>
    <col min="3" max="10" width="18.6640625" customWidth="1"/>
    <col min="11" max="11" width="1.6640625" style="98" customWidth="1"/>
    <col min="12" max="19" width="18.6640625" customWidth="1"/>
    <col min="20" max="20" width="1.6640625" style="98" customWidth="1"/>
    <col min="21" max="23" width="20.6640625" customWidth="1"/>
    <col min="24" max="24" width="38.6640625" customWidth="1"/>
    <col min="25" max="25" width="20.6640625" customWidth="1"/>
    <col min="26" max="26" width="25.6640625" customWidth="1"/>
    <col min="27" max="27" width="40.6640625" customWidth="1"/>
    <col min="28" max="28" width="1.6640625" style="98" customWidth="1"/>
    <col min="29" max="16384" width="9.109375" hidden="1"/>
  </cols>
  <sheetData>
    <row r="1" spans="1:28" ht="30" customHeight="1" x14ac:dyDescent="0.65">
      <c r="A1" s="766" t="s">
        <v>162</v>
      </c>
      <c r="B1" s="1755"/>
      <c r="C1" s="767"/>
      <c r="D1" s="752"/>
      <c r="E1" s="739" t="str">
        <f>CONCATENATE("Reporting unit: ", 'General Info'!$C$7, " ", 'General Info'!$C$5)</f>
        <v>Reporting unit: 1000 eur</v>
      </c>
      <c r="F1" s="739"/>
      <c r="G1" s="739"/>
      <c r="H1" s="739"/>
      <c r="I1" s="752"/>
      <c r="J1" s="752"/>
      <c r="K1" s="741"/>
      <c r="L1" s="752"/>
      <c r="M1" s="752"/>
      <c r="N1" s="752"/>
      <c r="O1" s="752"/>
      <c r="P1" s="752"/>
      <c r="Q1" s="752"/>
      <c r="R1" s="752"/>
      <c r="S1" s="752"/>
      <c r="T1" s="741"/>
      <c r="U1" s="752"/>
      <c r="V1" s="752"/>
      <c r="W1" s="752"/>
      <c r="X1" s="752"/>
      <c r="Y1" s="752"/>
      <c r="Z1" s="752"/>
      <c r="AA1" s="752"/>
      <c r="AB1" s="694"/>
    </row>
    <row r="2" spans="1:28" ht="30" customHeight="1" x14ac:dyDescent="0.65">
      <c r="A2" s="326"/>
      <c r="B2" s="327"/>
      <c r="C2" s="328"/>
      <c r="D2" s="98"/>
      <c r="E2" s="329"/>
      <c r="F2" s="71"/>
      <c r="G2" s="71"/>
      <c r="H2" s="71"/>
      <c r="I2" s="98"/>
      <c r="J2" s="98"/>
      <c r="K2" s="741"/>
      <c r="L2" s="98"/>
      <c r="M2" s="98"/>
      <c r="N2" s="98"/>
      <c r="O2" s="98"/>
      <c r="P2" s="98"/>
      <c r="Q2" s="98"/>
      <c r="R2" s="98"/>
      <c r="S2" s="98"/>
      <c r="T2" s="741"/>
      <c r="U2" s="98"/>
      <c r="V2" s="98"/>
      <c r="W2" s="98"/>
      <c r="X2" s="98"/>
      <c r="Y2" s="98"/>
      <c r="Z2" s="98"/>
      <c r="AA2" s="98"/>
      <c r="AB2" s="315"/>
    </row>
    <row r="3" spans="1:28" ht="30" customHeight="1" x14ac:dyDescent="0.65">
      <c r="A3" s="326"/>
      <c r="B3" s="843" t="s">
        <v>163</v>
      </c>
      <c r="C3" s="798"/>
      <c r="D3" s="798"/>
      <c r="E3" s="798"/>
      <c r="F3" s="798"/>
      <c r="G3" s="798"/>
      <c r="H3" s="798"/>
      <c r="I3" s="98"/>
      <c r="J3" s="98"/>
      <c r="L3" s="98"/>
      <c r="M3" s="98"/>
      <c r="N3" s="98"/>
      <c r="O3" s="98"/>
      <c r="P3" s="98"/>
      <c r="Q3" s="98"/>
      <c r="R3" s="98"/>
      <c r="S3" s="98"/>
      <c r="U3" s="98"/>
      <c r="V3" s="98"/>
      <c r="W3" s="98"/>
      <c r="X3" s="98"/>
      <c r="Y3" s="98"/>
      <c r="Z3" s="98"/>
      <c r="AA3" s="98"/>
      <c r="AB3" s="315"/>
    </row>
    <row r="4" spans="1:28" ht="15" customHeight="1" x14ac:dyDescent="0.35">
      <c r="A4" s="330"/>
      <c r="B4" s="1756" t="s">
        <v>164</v>
      </c>
      <c r="C4" s="1757" t="s">
        <v>165</v>
      </c>
      <c r="D4" s="1757" t="s">
        <v>166</v>
      </c>
      <c r="E4" s="1758"/>
      <c r="F4" s="1758"/>
      <c r="G4" s="1758"/>
      <c r="H4" s="1758"/>
      <c r="I4" s="98"/>
      <c r="J4" s="98"/>
      <c r="L4" s="98"/>
      <c r="M4" s="98"/>
      <c r="N4" s="98"/>
      <c r="O4" s="98"/>
      <c r="P4" s="98"/>
      <c r="Q4" s="98"/>
      <c r="R4" s="98"/>
      <c r="S4" s="98"/>
      <c r="U4" s="98"/>
      <c r="V4" s="98"/>
      <c r="W4" s="98"/>
      <c r="X4" s="98"/>
      <c r="Y4" s="98"/>
      <c r="Z4" s="98"/>
      <c r="AA4" s="98"/>
      <c r="AB4" s="315"/>
    </row>
    <row r="5" spans="1:28" ht="15" customHeight="1" x14ac:dyDescent="0.65">
      <c r="A5" s="326"/>
      <c r="B5" s="797" t="str">
        <f>'General Info'!$B11</f>
        <v>Standardised approach</v>
      </c>
      <c r="C5" s="795" t="str">
        <f>IF('General Info'!$C11&lt;&gt;"", 'General Info'!$C11, "")</f>
        <v>Yes</v>
      </c>
      <c r="D5" s="796" t="str">
        <f>IF(C$5="Yes",IF(AND(C$6="No",C$7="No"),"Only SA exposures, please consider only panels A1 and A2 (SA exposures)","Partial use: please consider all four panels"), IF(AND(C$6="No", C$7="No"), "No SA/IRB exposures, please check General Info", "No SA exposures, please consider panels A1, A3 and A4"))</f>
        <v>Partial use: please consider all four panels</v>
      </c>
      <c r="E5" s="796"/>
      <c r="F5" s="796"/>
      <c r="G5" s="796"/>
      <c r="H5" s="796"/>
      <c r="I5" s="98"/>
      <c r="J5" s="98"/>
      <c r="L5" s="98"/>
      <c r="M5" s="98"/>
      <c r="N5" s="98"/>
      <c r="O5" s="98"/>
      <c r="P5" s="98"/>
      <c r="Q5" s="98"/>
      <c r="R5" s="98"/>
      <c r="S5" s="98"/>
      <c r="U5" s="98"/>
      <c r="V5" s="98"/>
      <c r="W5" s="98"/>
      <c r="X5" s="98"/>
      <c r="Y5" s="98"/>
      <c r="Z5" s="98"/>
      <c r="AA5" s="98"/>
      <c r="AB5" s="315"/>
    </row>
    <row r="6" spans="1:28" ht="15" customHeight="1" x14ac:dyDescent="0.65">
      <c r="A6" s="326"/>
      <c r="B6" s="797" t="str">
        <f>'General Info'!$B12</f>
        <v>FIRB approach</v>
      </c>
      <c r="C6" s="795" t="str">
        <f>IF('General Info'!$C12&lt;&gt;"", 'General Info'!$C12, "")</f>
        <v>No</v>
      </c>
      <c r="D6" s="796" t="str">
        <f>IF(C$6="Yes", IF(C$7="Yes", "IRB bank", "FIRB bank"), IF(C$7="No",IF(C$5="No", "No SA/IRB exposures, please check General Info", "No IRB exposures"),"No FIRB exposures"))</f>
        <v>No FIRB exposures</v>
      </c>
      <c r="E6" s="796"/>
      <c r="F6" s="796"/>
      <c r="G6" s="796"/>
      <c r="H6" s="796"/>
      <c r="I6" s="98"/>
      <c r="J6" s="98"/>
      <c r="L6" s="98"/>
      <c r="M6" s="98"/>
      <c r="N6" s="98"/>
      <c r="O6" s="98"/>
      <c r="P6" s="98"/>
      <c r="Q6" s="98"/>
      <c r="R6" s="98"/>
      <c r="S6" s="98"/>
      <c r="U6" s="98"/>
      <c r="V6" s="98"/>
      <c r="W6" s="98"/>
      <c r="X6" s="98"/>
      <c r="Y6" s="98"/>
      <c r="Z6" s="98"/>
      <c r="AA6" s="98"/>
      <c r="AB6" s="315"/>
    </row>
    <row r="7" spans="1:28" ht="15" customHeight="1" x14ac:dyDescent="0.65">
      <c r="A7" s="326"/>
      <c r="B7" s="1759" t="str">
        <f>'General Info'!$B13</f>
        <v>AIRB approach</v>
      </c>
      <c r="C7" s="1758" t="str">
        <f>IF('General Info'!$C13&lt;&gt;"", 'General Info'!$C13, "")</f>
        <v>Yes</v>
      </c>
      <c r="D7" s="1760" t="str">
        <f>IF(C7="Yes", IF(C6="Yes", "IRB bank", "AIRB bank"),IF(C6="No", IF(C5="No", "No SA/IRB exposures, please check Generla Info", "No IRB exposures"),"No AIRB exposures"))</f>
        <v>AIRB bank</v>
      </c>
      <c r="E7" s="1760"/>
      <c r="F7" s="1760"/>
      <c r="G7" s="1760"/>
      <c r="H7" s="1760"/>
      <c r="I7" s="98"/>
      <c r="J7" s="98"/>
      <c r="L7" s="98"/>
      <c r="M7" s="98"/>
      <c r="N7" s="98"/>
      <c r="O7" s="98"/>
      <c r="P7" s="98"/>
      <c r="Q7" s="98"/>
      <c r="R7" s="98"/>
      <c r="S7" s="98"/>
      <c r="U7" s="98"/>
      <c r="V7" s="98"/>
      <c r="W7" s="98"/>
      <c r="X7" s="98"/>
      <c r="Y7" s="98"/>
      <c r="Z7" s="98"/>
      <c r="AA7" s="98"/>
      <c r="AB7" s="315"/>
    </row>
    <row r="8" spans="1:28" ht="15" customHeight="1" x14ac:dyDescent="0.35">
      <c r="A8" s="717"/>
      <c r="B8" s="275"/>
      <c r="C8" s="799"/>
      <c r="D8" s="275"/>
      <c r="E8" s="275"/>
      <c r="F8" s="275"/>
      <c r="G8" s="275"/>
      <c r="H8" s="275"/>
      <c r="I8" s="275"/>
      <c r="J8" s="275"/>
      <c r="K8" s="275"/>
      <c r="L8" s="275"/>
      <c r="M8" s="275"/>
      <c r="N8" s="275"/>
      <c r="O8" s="275"/>
      <c r="P8" s="275"/>
      <c r="Q8" s="275"/>
      <c r="R8" s="275"/>
      <c r="S8" s="275"/>
      <c r="T8" s="275"/>
      <c r="U8" s="275"/>
      <c r="V8" s="275"/>
      <c r="W8" s="275"/>
      <c r="X8" s="275"/>
      <c r="Y8" s="275"/>
      <c r="Z8" s="275"/>
      <c r="AA8" s="275"/>
      <c r="AB8" s="567"/>
    </row>
    <row r="9" spans="1:28" ht="60" customHeight="1" x14ac:dyDescent="0.35">
      <c r="A9" s="280" t="s">
        <v>167</v>
      </c>
      <c r="B9" s="95"/>
      <c r="C9" s="92"/>
      <c r="D9" s="92"/>
      <c r="E9" s="92"/>
      <c r="F9" s="92"/>
      <c r="G9" s="92"/>
      <c r="H9" s="92"/>
      <c r="I9" s="92"/>
      <c r="J9" s="92"/>
      <c r="K9" s="92"/>
      <c r="L9" s="92"/>
      <c r="M9" s="92"/>
      <c r="N9" s="92"/>
      <c r="O9" s="92"/>
      <c r="P9" s="92"/>
      <c r="Q9" s="92"/>
      <c r="R9" s="92"/>
      <c r="S9" s="92"/>
      <c r="T9" s="92"/>
      <c r="U9" s="92"/>
      <c r="V9" s="92"/>
      <c r="W9" s="741"/>
      <c r="X9" s="98"/>
      <c r="Y9" s="98"/>
      <c r="Z9" s="98"/>
      <c r="AA9" s="98"/>
      <c r="AB9" s="315"/>
    </row>
    <row r="10" spans="1:28" ht="45" customHeight="1" x14ac:dyDescent="0.35">
      <c r="A10" s="280" t="s">
        <v>168</v>
      </c>
      <c r="B10" s="95"/>
      <c r="C10" s="92"/>
      <c r="D10" s="92"/>
      <c r="E10" s="92"/>
      <c r="F10" s="92"/>
      <c r="G10" s="92"/>
      <c r="H10" s="92"/>
      <c r="I10" s="92"/>
      <c r="J10" s="92"/>
      <c r="K10" s="92"/>
      <c r="L10" s="92"/>
      <c r="M10" s="92"/>
      <c r="N10" s="92"/>
      <c r="O10" s="92"/>
      <c r="P10" s="92"/>
      <c r="Q10" s="92"/>
      <c r="R10" s="92"/>
      <c r="S10" s="92"/>
      <c r="T10" s="92"/>
      <c r="U10" s="92"/>
      <c r="V10" s="92"/>
      <c r="W10" s="98"/>
      <c r="X10" s="98"/>
      <c r="Y10" s="98"/>
      <c r="Z10" s="98"/>
      <c r="AA10" s="98"/>
      <c r="AB10" s="315"/>
    </row>
    <row r="11" spans="1:28" ht="15" customHeight="1" x14ac:dyDescent="0.35">
      <c r="A11" s="263"/>
      <c r="B11" s="2613" t="s">
        <v>169</v>
      </c>
      <c r="C11" s="2625" t="s">
        <v>170</v>
      </c>
      <c r="D11" s="2626"/>
      <c r="E11" s="2626"/>
      <c r="F11" s="2630" t="s">
        <v>171</v>
      </c>
      <c r="G11" s="2630"/>
      <c r="H11" s="2630"/>
      <c r="I11" s="2609" t="s">
        <v>172</v>
      </c>
      <c r="J11" s="2609"/>
      <c r="K11" s="557"/>
      <c r="L11" s="2599" t="s">
        <v>173</v>
      </c>
      <c r="M11" s="2599"/>
      <c r="N11" s="2599"/>
      <c r="O11" s="2599"/>
      <c r="P11" s="2600"/>
      <c r="Q11" s="98"/>
      <c r="R11" s="98"/>
      <c r="S11" s="98"/>
      <c r="T11" s="557"/>
      <c r="U11" s="2632" t="s">
        <v>38</v>
      </c>
      <c r="V11" s="2601"/>
      <c r="W11" s="2602"/>
      <c r="X11" s="98"/>
      <c r="Y11" s="98"/>
      <c r="Z11" s="98"/>
      <c r="AA11" s="98"/>
      <c r="AB11" s="315"/>
    </row>
    <row r="12" spans="1:28" ht="30" customHeight="1" x14ac:dyDescent="0.35">
      <c r="A12" s="263"/>
      <c r="B12" s="2614"/>
      <c r="C12" s="2627"/>
      <c r="D12" s="2628"/>
      <c r="E12" s="2628"/>
      <c r="F12" s="2631"/>
      <c r="G12" s="2631"/>
      <c r="H12" s="2631"/>
      <c r="I12" s="2611"/>
      <c r="J12" s="2611"/>
      <c r="K12" s="557"/>
      <c r="L12" s="2605" t="s">
        <v>174</v>
      </c>
      <c r="M12" s="2606"/>
      <c r="N12" s="2606"/>
      <c r="O12" s="2607" t="s">
        <v>175</v>
      </c>
      <c r="P12" s="2608"/>
      <c r="Q12" s="98"/>
      <c r="R12" s="98"/>
      <c r="S12" s="98"/>
      <c r="T12" s="557"/>
      <c r="U12" s="2572" t="s">
        <v>174</v>
      </c>
      <c r="V12" s="2633"/>
      <c r="W12" s="2565"/>
      <c r="X12" s="98"/>
      <c r="Y12" s="98"/>
      <c r="Z12" s="98"/>
      <c r="AA12" s="98"/>
      <c r="AB12" s="315"/>
    </row>
    <row r="13" spans="1:28" ht="45" customHeight="1" x14ac:dyDescent="0.35">
      <c r="A13" s="576"/>
      <c r="B13" s="2615"/>
      <c r="C13" s="760" t="s">
        <v>176</v>
      </c>
      <c r="D13" s="770" t="s">
        <v>177</v>
      </c>
      <c r="E13" s="770" t="s">
        <v>178</v>
      </c>
      <c r="F13" s="895" t="s">
        <v>176</v>
      </c>
      <c r="G13" s="770" t="s">
        <v>177</v>
      </c>
      <c r="H13" s="770" t="s">
        <v>178</v>
      </c>
      <c r="I13" s="895" t="s">
        <v>176</v>
      </c>
      <c r="J13" s="765" t="s">
        <v>177</v>
      </c>
      <c r="K13" s="761"/>
      <c r="L13" s="760" t="s">
        <v>179</v>
      </c>
      <c r="M13" s="765" t="s">
        <v>180</v>
      </c>
      <c r="N13" s="770" t="s">
        <v>181</v>
      </c>
      <c r="O13" s="760" t="s">
        <v>182</v>
      </c>
      <c r="P13" s="765" t="s">
        <v>180</v>
      </c>
      <c r="Q13" s="98"/>
      <c r="R13" s="98"/>
      <c r="S13" s="98"/>
      <c r="T13" s="761"/>
      <c r="U13" s="760" t="s">
        <v>182</v>
      </c>
      <c r="V13" s="770" t="s">
        <v>180</v>
      </c>
      <c r="W13" s="765" t="s">
        <v>181</v>
      </c>
      <c r="X13" s="98"/>
      <c r="Y13" s="98"/>
      <c r="Z13" s="98"/>
      <c r="AA13" s="98"/>
      <c r="AB13" s="315"/>
    </row>
    <row r="14" spans="1:28" ht="15" customHeight="1" x14ac:dyDescent="0.35">
      <c r="A14" s="263"/>
      <c r="B14" s="463" t="s">
        <v>183</v>
      </c>
      <c r="C14" s="616">
        <f t="shared" ref="C14" si="0">IF(AND(ISNUMBER(C15), ISNUMBER(C16), ISNUMBER(C17)), SUM(C15,C16,C17),"")</f>
        <v>16982992.994217448</v>
      </c>
      <c r="D14" s="616">
        <f t="shared" ref="D14" si="1">IF(AND(ISNUMBER(D15), ISNUMBER(D16), ISNUMBER(D17)), SUM(D15,D16,D17),"")</f>
        <v>7486664.2478272021</v>
      </c>
      <c r="E14" s="568">
        <f>IF(AND(ISNUMBER(E15), ISNUMBER(E16), ISNUMBER(E17)), SUM(E15,E16,E17),"")</f>
        <v>222644.21244430004</v>
      </c>
      <c r="F14" s="616">
        <f t="shared" ref="F14:G14" si="2">IF(AND(ISNUMBER(F15), ISNUMBER(F16), ISNUMBER(F17)), SUM(F15,F16,F17),"")</f>
        <v>17622967.757191204</v>
      </c>
      <c r="G14" s="1457">
        <f t="shared" si="2"/>
        <v>8142305.0649224808</v>
      </c>
      <c r="H14" s="568">
        <f>IF(AND(ISNUMBER(H15), ISNUMBER(H16), ISNUMBER(H17)), SUM(H15,H16,H17),"")</f>
        <v>224375.91384405576</v>
      </c>
      <c r="I14" s="616">
        <f t="shared" ref="I14:J14" si="3">IF(AND(ISNUMBER(I15), ISNUMBER(I16), ISNUMBER(I17)), SUM(I15,I16,I17),"")</f>
        <v>17423049.453661215</v>
      </c>
      <c r="J14" s="622">
        <f t="shared" si="3"/>
        <v>16470644.605362104</v>
      </c>
      <c r="K14" s="370"/>
      <c r="L14" s="610">
        <f>IF(AND(ISNUMBER(C14), ISNUMBER(F14)), IF(C14&lt;&gt;0, ((F14-C14)/C14), "EAD=0"), "")</f>
        <v>3.7683273095128818E-2</v>
      </c>
      <c r="M14" s="611">
        <f>IF(AND(ISNUMBER(D14), ISNUMBER(G14)), IF(D14&lt;&gt;0, ((G14-D14)/D14), "RWA=0"), "")</f>
        <v>8.7574491842019014E-2</v>
      </c>
      <c r="N14" s="611">
        <f>IF(AND(ISNUMBER(E14), ISNUMBER(H14)), IF(E14&lt;&gt;0, ((H14-E14)/E14), "EL=0"), "")</f>
        <v>7.7778864347931359E-3</v>
      </c>
      <c r="O14" s="611">
        <f>IF(AND(ISNUMBER(F14), ISNUMBER(I14)), IF(F14&lt;&gt;0, ((I14-F14)/F14), "EAD=0"), "")</f>
        <v>-1.134419050664214E-2</v>
      </c>
      <c r="P14" s="612">
        <f>IF(AND(ISNUMBER(G14), ISNUMBER(J14)), IF(G14&lt;&gt;0, ((J14-G14)/G14), "RWA=0"), "")</f>
        <v>1.0228478881635852</v>
      </c>
      <c r="Q14" s="98"/>
      <c r="R14" s="98"/>
      <c r="S14" s="98"/>
      <c r="T14" s="370"/>
      <c r="U14" s="554"/>
      <c r="V14" s="555"/>
      <c r="W14" s="556"/>
      <c r="X14" s="98"/>
      <c r="Y14" s="98"/>
      <c r="Z14" s="98"/>
      <c r="AA14" s="98"/>
      <c r="AB14" s="315"/>
    </row>
    <row r="15" spans="1:28" ht="15" customHeight="1" x14ac:dyDescent="0.35">
      <c r="A15" s="263"/>
      <c r="B15" s="563" t="s">
        <v>184</v>
      </c>
      <c r="C15" s="617">
        <f>IF(AND(ISNUMBER(C48), ISNUMBER(C69), ISNUMBER(C88)), SUM(C48,C69,C88),"")</f>
        <v>9588867.3098583408</v>
      </c>
      <c r="D15" s="617">
        <f>IF(AND(ISNUMBER(D48), ISNUMBER(D69), ISNUMBER(D88)), SUM(D48,D69,D88),"")</f>
        <v>4916865.4222888835</v>
      </c>
      <c r="E15" s="375">
        <f>IF(AND(ISNUMBER(E69), ISNUMBER(E88)), SUM(E69, E88), "")</f>
        <v>125145.49271110026</v>
      </c>
      <c r="F15" s="617">
        <f>IF(AND(ISNUMBER(F48), ISNUMBER(F69), ISNUMBER(F88)), SUM(F48,F69,F88),"")</f>
        <v>9848074.5203666519</v>
      </c>
      <c r="G15" s="459">
        <f>IF(AND(ISNUMBER(G48), ISNUMBER(G69), ISNUMBER(G88)), SUM(G48,G69,G88),"")</f>
        <v>4955424.7370845098</v>
      </c>
      <c r="H15" s="375">
        <f>IF(ISNUMBER(H69), H69, "")</f>
        <v>125466.16059650043</v>
      </c>
      <c r="I15" s="617">
        <f>IF(AND(ISNUMBER(I48), ISNUMBER(I69), ISNUMBER(I88)), SUM(I48,I69,I88),"")</f>
        <v>9732836.2495866306</v>
      </c>
      <c r="J15" s="139">
        <f>IF(AND(ISNUMBER(J48), ISNUMBER(J69), ISNUMBER(J88)), SUM(J48,J69,J88),"")</f>
        <v>8998786.3778839204</v>
      </c>
      <c r="K15" s="558"/>
      <c r="L15" s="613">
        <f t="shared" ref="L15:L33" si="4">IF(AND(ISNUMBER(C15), ISNUMBER(F15)), IF(C15&lt;&gt;0, ((F15-C15)/C15), "EAD=0"), "")</f>
        <v>2.7032099009423098E-2</v>
      </c>
      <c r="M15" s="614">
        <f t="shared" ref="M15:M33" si="5">IF(AND(ISNUMBER(D15), ISNUMBER(G15)), IF(D15&lt;&gt;0, ((G15-D15)/D15), "RWA=0"), "")</f>
        <v>7.8422554786289674E-3</v>
      </c>
      <c r="N15" s="614">
        <f t="shared" ref="N15:N25" si="6">IF(AND(ISNUMBER(E15), ISNUMBER(H15)), IF(E15&lt;&gt;0, ((H15-E15)/E15), "EL=0"), "")</f>
        <v>2.562360644825068E-3</v>
      </c>
      <c r="O15" s="614">
        <f t="shared" ref="O15:O25" si="7">IF(AND(ISNUMBER(F15), ISNUMBER(I15)), IF(F15&lt;&gt;0, ((I15-F15)/F15), "EAD=0"), "")</f>
        <v>-1.1701604262000538E-2</v>
      </c>
      <c r="P15" s="615">
        <f t="shared" ref="P15:P25" si="8">IF(AND(ISNUMBER(G15), ISNUMBER(J15)), IF(G15&lt;&gt;0, ((J15-G15)/G15), "RWA=0"), "")</f>
        <v>0.81594653441922615</v>
      </c>
      <c r="Q15" s="98"/>
      <c r="R15" s="98"/>
      <c r="S15" s="98"/>
      <c r="T15" s="558"/>
      <c r="U15" s="335"/>
      <c r="V15" s="301"/>
      <c r="W15" s="331"/>
      <c r="X15" s="98"/>
      <c r="Y15" s="98"/>
      <c r="Z15" s="98"/>
      <c r="AA15" s="98"/>
      <c r="AB15" s="315"/>
    </row>
    <row r="16" spans="1:28" ht="15" customHeight="1" x14ac:dyDescent="0.35">
      <c r="A16" s="263"/>
      <c r="B16" s="517" t="s">
        <v>185</v>
      </c>
      <c r="C16" s="617">
        <f>IF(AND(ISNUMBER(C50), ISNUMBER(C70), ISNUMBER(C89)), SUM(C50,C70,C89),"")</f>
        <v>0</v>
      </c>
      <c r="D16" s="617">
        <f>IF(AND(ISNUMBER(D50), ISNUMBER(D70), ISNUMBER(D89)), SUM(D50,D70,D89),"")</f>
        <v>0</v>
      </c>
      <c r="E16" s="375">
        <f>IF(AND(ISNUMBER(E70), ISNUMBER(E89)), SUM(E70,E89), "")</f>
        <v>0</v>
      </c>
      <c r="F16" s="617">
        <f>IF(AND(ISNUMBER(F50), ISNUMBER(F70), ISNUMBER(F89)), SUM(F50,F70,F89),"")</f>
        <v>0</v>
      </c>
      <c r="G16" s="459">
        <f>IF(AND(ISNUMBER(G50), ISNUMBER(G70), ISNUMBER(G89)), SUM(G50,G70,G89),"")</f>
        <v>0</v>
      </c>
      <c r="H16" s="375">
        <f>IF(ISNUMBER(H70), H70, "")</f>
        <v>0</v>
      </c>
      <c r="I16" s="617">
        <f>IF(AND(ISNUMBER(I50), ISNUMBER(I70), ISNUMBER(I89)), SUM(I50,I70,I89),"")</f>
        <v>0</v>
      </c>
      <c r="J16" s="139">
        <f>IF(AND(ISNUMBER(J50), ISNUMBER(J70), ISNUMBER(J89)), SUM(J50,J70,J89),"")</f>
        <v>0</v>
      </c>
      <c r="K16" s="559"/>
      <c r="L16" s="613" t="str">
        <f t="shared" si="4"/>
        <v>EAD=0</v>
      </c>
      <c r="M16" s="614" t="str">
        <f t="shared" si="5"/>
        <v>RWA=0</v>
      </c>
      <c r="N16" s="614" t="str">
        <f t="shared" si="6"/>
        <v>EL=0</v>
      </c>
      <c r="O16" s="614" t="str">
        <f t="shared" si="7"/>
        <v>EAD=0</v>
      </c>
      <c r="P16" s="615" t="str">
        <f t="shared" si="8"/>
        <v>RWA=0</v>
      </c>
      <c r="Q16" s="98"/>
      <c r="R16" s="98"/>
      <c r="S16" s="98"/>
      <c r="T16" s="559"/>
      <c r="U16" s="335"/>
      <c r="V16" s="301"/>
      <c r="W16" s="331"/>
      <c r="X16" s="98"/>
      <c r="Y16" s="98"/>
      <c r="Z16" s="98"/>
      <c r="AA16" s="98"/>
      <c r="AB16" s="315"/>
    </row>
    <row r="17" spans="1:28" ht="15" customHeight="1" x14ac:dyDescent="0.35">
      <c r="A17" s="263"/>
      <c r="B17" s="517" t="s">
        <v>186</v>
      </c>
      <c r="C17" s="617">
        <f>IF(AND(ISNUMBER(C49), ISNUMBER(C71), ISNUMBER(C90)), SUM(C49,C71,C90), "")</f>
        <v>7394125.684359109</v>
      </c>
      <c r="D17" s="617">
        <f>IF(AND(ISNUMBER(D49), ISNUMBER(D71), ISNUMBER(D90)), SUM(D49,D71,D90), "")</f>
        <v>2569798.8255383186</v>
      </c>
      <c r="E17" s="375">
        <f>IF(AND(ISNUMBER(E71), ISNUMBER(E90)), SUM(E71,E90), "")</f>
        <v>97498.719733199774</v>
      </c>
      <c r="F17" s="617">
        <f>IF(AND(ISNUMBER(F49), ISNUMBER(F71), ISNUMBER(F90)), SUM(F49,F71,F90), "")</f>
        <v>7774893.2368245497</v>
      </c>
      <c r="G17" s="459">
        <f>IF(AND(ISNUMBER(G49), ISNUMBER(G71), ISNUMBER(G90)), SUM(G49,G71,G90), "")</f>
        <v>3186880.327837971</v>
      </c>
      <c r="H17" s="375">
        <f>IF(ISNUMBER(H71), H71, "")</f>
        <v>98909.753247555331</v>
      </c>
      <c r="I17" s="617">
        <f>IF(AND(ISNUMBER(I49), ISNUMBER(I71), ISNUMBER(I90)), SUM(I49,I71,I90), "")</f>
        <v>7690213.2040745839</v>
      </c>
      <c r="J17" s="139">
        <f>IF(AND(ISNUMBER(J49), ISNUMBER(J71), ISNUMBER(J90)), SUM(J49,J71,J90), "")</f>
        <v>7471858.2274781838</v>
      </c>
      <c r="K17" s="370"/>
      <c r="L17" s="613">
        <f t="shared" si="4"/>
        <v>5.1495953506833579E-2</v>
      </c>
      <c r="M17" s="614">
        <f t="shared" si="5"/>
        <v>0.24012833073436668</v>
      </c>
      <c r="N17" s="614">
        <f t="shared" si="6"/>
        <v>1.4472328644076325E-2</v>
      </c>
      <c r="O17" s="614">
        <f t="shared" si="7"/>
        <v>-1.0891472097506398E-2</v>
      </c>
      <c r="P17" s="615">
        <f t="shared" si="8"/>
        <v>1.3445681854477443</v>
      </c>
      <c r="Q17" s="98"/>
      <c r="R17" s="98"/>
      <c r="S17" s="98"/>
      <c r="T17" s="370"/>
      <c r="U17" s="335"/>
      <c r="V17" s="301"/>
      <c r="W17" s="331"/>
      <c r="X17" s="98"/>
      <c r="Y17" s="98"/>
      <c r="Z17" s="98"/>
      <c r="AA17" s="98"/>
      <c r="AB17" s="315"/>
    </row>
    <row r="18" spans="1:28" ht="15" customHeight="1" x14ac:dyDescent="0.35">
      <c r="A18" s="263"/>
      <c r="B18" s="161" t="s">
        <v>187</v>
      </c>
      <c r="C18" s="617">
        <f>IF(AND(ISNUMBER(C45), ISNUMBER(C73), ISNUMBER(C92)), SUM(C45,C73,C92), "")</f>
        <v>19485373</v>
      </c>
      <c r="D18" s="617">
        <f>IF(AND(ISNUMBER(D45), ISNUMBER(D73), ISNUMBER(D92)), SUM(D45,D73,D92), "")</f>
        <v>665563</v>
      </c>
      <c r="E18" s="375">
        <f>IF(AND(ISNUMBER(E73), ISNUMBER(E92)), SUM(E73,E92), "")</f>
        <v>0</v>
      </c>
      <c r="F18" s="617">
        <f>IF(AND(ISNUMBER(F45), ISNUMBER(F73), ISNUMBER(F92)), SUM(F45,F73,F92), "")</f>
        <v>19486131</v>
      </c>
      <c r="G18" s="459">
        <f>IF(AND(ISNUMBER(G45), ISNUMBER(G73), ISNUMBER(G92)), SUM(G45,G73,G92), "")</f>
        <v>767435</v>
      </c>
      <c r="H18" s="375">
        <f>IF(ISNUMBER(H73), H73, "")</f>
        <v>0</v>
      </c>
      <c r="I18" s="617">
        <f>IF(AND(ISNUMBER(I45), ISNUMBER(I73), ISNUMBER(I92)), SUM(I45,I73,I92), "")</f>
        <v>19486131</v>
      </c>
      <c r="J18" s="139">
        <f>IF(AND(ISNUMBER(J45), ISNUMBER(J73), ISNUMBER(J92)), SUM(J45,J73,J92), "")</f>
        <v>767435</v>
      </c>
      <c r="K18" s="370"/>
      <c r="L18" s="613">
        <f t="shared" si="4"/>
        <v>3.8900974592582855E-5</v>
      </c>
      <c r="M18" s="614">
        <f t="shared" si="5"/>
        <v>0.15306139313633721</v>
      </c>
      <c r="N18" s="614" t="str">
        <f t="shared" si="6"/>
        <v>EL=0</v>
      </c>
      <c r="O18" s="614">
        <f t="shared" si="7"/>
        <v>0</v>
      </c>
      <c r="P18" s="615">
        <f t="shared" si="8"/>
        <v>0</v>
      </c>
      <c r="Q18" s="98"/>
      <c r="R18" s="98"/>
      <c r="S18" s="98"/>
      <c r="T18" s="370"/>
      <c r="U18" s="335"/>
      <c r="V18" s="301"/>
      <c r="W18" s="331"/>
      <c r="X18" s="98"/>
      <c r="Y18" s="98"/>
      <c r="Z18" s="98"/>
      <c r="AA18" s="98"/>
      <c r="AB18" s="315"/>
    </row>
    <row r="19" spans="1:28" ht="15" customHeight="1" x14ac:dyDescent="0.35">
      <c r="A19" s="263"/>
      <c r="B19" s="161" t="s">
        <v>188</v>
      </c>
      <c r="C19" s="617">
        <f>IF(AND(ISNUMBER(C46), ISNUMBER(C47), ISNUMBER(C74), ISNUMBER(C93)), SUM(C46,C47,C74,C93), "")</f>
        <v>1665616.8698499999</v>
      </c>
      <c r="D19" s="617">
        <f>IF(AND(ISNUMBER(D46), ISNUMBER(D47), ISNUMBER(D74), ISNUMBER(D93)), SUM(D46,D47,D74,D93), "")</f>
        <v>664276.68361999991</v>
      </c>
      <c r="E19" s="375">
        <f>IF(AND(ISNUMBER(E74), ISNUMBER(E93)), SUM(E74,E93), "")</f>
        <v>0</v>
      </c>
      <c r="F19" s="617">
        <f>IF(AND(ISNUMBER(F46), ISNUMBER(F47), ISNUMBER(F74), ISNUMBER(F93)), SUM(F46,F47,F74,F93), "")</f>
        <v>1669565.8698499999</v>
      </c>
      <c r="G19" s="459">
        <f>IF(AND(ISNUMBER(G46), ISNUMBER(G47), ISNUMBER(G74), ISNUMBER(G93)), SUM(G46,G47,G74,G93), "")</f>
        <v>569093.64362700004</v>
      </c>
      <c r="H19" s="375">
        <f>IF(ISNUMBER(H74), H74, "")</f>
        <v>0</v>
      </c>
      <c r="I19" s="617">
        <f>IF(AND(ISNUMBER(I46), ISNUMBER(I47), ISNUMBER(I74), ISNUMBER(I93)), SUM(I46,I47,I74,I93), "")</f>
        <v>1669565.8698499999</v>
      </c>
      <c r="J19" s="139">
        <f>IF(AND(ISNUMBER(J46), ISNUMBER(J47), ISNUMBER(J74), ISNUMBER(J93)), SUM(J46,J47,J74,J93), "")</f>
        <v>569093.64362700004</v>
      </c>
      <c r="K19" s="370"/>
      <c r="L19" s="613">
        <f t="shared" si="4"/>
        <v>2.3708933737898764E-3</v>
      </c>
      <c r="M19" s="614">
        <f t="shared" si="5"/>
        <v>-0.1432882447029398</v>
      </c>
      <c r="N19" s="614" t="str">
        <f t="shared" si="6"/>
        <v>EL=0</v>
      </c>
      <c r="O19" s="614">
        <f t="shared" si="7"/>
        <v>0</v>
      </c>
      <c r="P19" s="615">
        <f t="shared" si="8"/>
        <v>0</v>
      </c>
      <c r="Q19" s="98"/>
      <c r="R19" s="98"/>
      <c r="S19" s="98"/>
      <c r="T19" s="370"/>
      <c r="U19" s="335"/>
      <c r="V19" s="301"/>
      <c r="W19" s="331"/>
      <c r="X19" s="98"/>
      <c r="Y19" s="98"/>
      <c r="Z19" s="98"/>
      <c r="AA19" s="98"/>
      <c r="AB19" s="315"/>
    </row>
    <row r="20" spans="1:28" ht="15" customHeight="1" x14ac:dyDescent="0.35">
      <c r="A20" s="263"/>
      <c r="B20" s="161" t="s">
        <v>189</v>
      </c>
      <c r="C20" s="617">
        <f>IF(AND(ISNUMBER(C72), ISNUMBER(C91)), SUM(C72, C91), "")</f>
        <v>311736.51509550004</v>
      </c>
      <c r="D20" s="375">
        <f>IF(AND(ISNUMBER(D72), ISNUMBER(D91)), SUM(D72, D91), "")</f>
        <v>152129.54033619998</v>
      </c>
      <c r="E20" s="375">
        <f>IF(AND(ISNUMBER(E72), ISNUMBER(E91)), SUM(E72, E91), "")</f>
        <v>680.56430729999977</v>
      </c>
      <c r="F20" s="617">
        <f>IF(AND(ISNUMBER(F72), ISNUMBER(F91)), SUM(F72,F91), "")</f>
        <v>284748.67031680013</v>
      </c>
      <c r="G20" s="459">
        <f>IF(AND(ISNUMBER(G72), ISNUMBER(G91)), SUM(G72,G91), "")</f>
        <v>221306.44478338474</v>
      </c>
      <c r="H20" s="375">
        <f>IF(ISNUMBER(H72),H72, "")</f>
        <v>762.06341236774927</v>
      </c>
      <c r="I20" s="617">
        <f>IF(AND(ISNUMBER(I72), ISNUMBER(I91)), SUM(I72,I91), "")</f>
        <v>284462.36709680001</v>
      </c>
      <c r="J20" s="139">
        <f>IF(AND(ISNUMBER(J72), ISNUMBER(J91)), SUM(J72,J91), "")</f>
        <v>282601.20735840005</v>
      </c>
      <c r="K20" s="370"/>
      <c r="L20" s="613">
        <f t="shared" si="4"/>
        <v>-8.6572613318758082E-2</v>
      </c>
      <c r="M20" s="614">
        <f t="shared" si="5"/>
        <v>0.45472368018930887</v>
      </c>
      <c r="N20" s="614">
        <f t="shared" si="6"/>
        <v>0.11975224705962115</v>
      </c>
      <c r="O20" s="614">
        <f t="shared" si="7"/>
        <v>-1.0054593746885222E-3</v>
      </c>
      <c r="P20" s="615">
        <f t="shared" si="8"/>
        <v>0.27696781553294014</v>
      </c>
      <c r="Q20" s="98"/>
      <c r="R20" s="98"/>
      <c r="S20" s="98"/>
      <c r="T20" s="370"/>
      <c r="U20" s="335"/>
      <c r="V20" s="301"/>
      <c r="W20" s="331"/>
      <c r="X20" s="98"/>
      <c r="Y20" s="98"/>
      <c r="Z20" s="98"/>
      <c r="AA20" s="98"/>
      <c r="AB20" s="315"/>
    </row>
    <row r="21" spans="1:28" ht="15" customHeight="1" x14ac:dyDescent="0.35">
      <c r="A21" s="263"/>
      <c r="B21" s="161" t="s">
        <v>190</v>
      </c>
      <c r="C21" s="617">
        <f>IF(AND(ISNUMBER(C22), ISNUMBER(C24), ISNUMBER(C23), ISNUMBER(C26)), SUM(C22:C24, C26),"")</f>
        <v>16676382.832744628</v>
      </c>
      <c r="D21" s="617">
        <f>IF(AND(ISNUMBER(D22), ISNUMBER(D24), ISNUMBER(D23), ISNUMBER(D26)), SUM(D22:D24, D26),"")</f>
        <v>5180197.647331276</v>
      </c>
      <c r="E21" s="375">
        <f>IF(AND(ISNUMBER(E22), ISNUMBER(E24), ISNUMBER(E23)), SUM(E22, E24, E23),"")</f>
        <v>273688.57108159992</v>
      </c>
      <c r="F21" s="617">
        <f>IF(AND(ISNUMBER(F22), ISNUMBER(F24), ISNUMBER(F23), ISNUMBER(F26)), SUM(F22:F24, F26),"")</f>
        <v>16618235.89473391</v>
      </c>
      <c r="G21" s="459">
        <f>IF(AND(ISNUMBER(G22), ISNUMBER(G24), ISNUMBER(G23), ISNUMBER(G26)), SUM(G22:G24, G26),"")</f>
        <v>5921265.1404534802</v>
      </c>
      <c r="H21" s="375">
        <f>IF(AND(ISNUMBER(H22), ISNUMBER(H24), ISNUMBER(H23)), SUM(H22, H24, H23),"")</f>
        <v>287451.36398045957</v>
      </c>
      <c r="I21" s="617">
        <f>IF(AND(ISNUMBER(I22), ISNUMBER(I24), ISNUMBER(I23), ISNUMBER(I26)), SUM(I22:I24, I26),"")</f>
        <v>16342974.160333391</v>
      </c>
      <c r="J21" s="139">
        <f>IF(AND(ISNUMBER(J22), ISNUMBER(J24), ISNUMBER(J23), ISNUMBER(J26)), SUM(J22:J24, J26),"")</f>
        <v>7921354.6106149014</v>
      </c>
      <c r="K21" s="370"/>
      <c r="L21" s="613">
        <f t="shared" si="4"/>
        <v>-3.4867835905365067E-3</v>
      </c>
      <c r="M21" s="614">
        <f t="shared" si="5"/>
        <v>0.14305776411909416</v>
      </c>
      <c r="N21" s="614">
        <f t="shared" si="6"/>
        <v>5.0286326697786349E-2</v>
      </c>
      <c r="O21" s="614">
        <f t="shared" si="7"/>
        <v>-1.6563836025925285E-2</v>
      </c>
      <c r="P21" s="615">
        <f t="shared" si="8"/>
        <v>0.33778076521130829</v>
      </c>
      <c r="Q21" s="98"/>
      <c r="R21" s="98"/>
      <c r="S21" s="98"/>
      <c r="T21" s="370"/>
      <c r="U21" s="335"/>
      <c r="V21" s="301"/>
      <c r="W21" s="331"/>
      <c r="X21" s="98"/>
      <c r="Y21" s="98"/>
      <c r="Z21" s="98"/>
      <c r="AA21" s="98"/>
      <c r="AB21" s="315"/>
    </row>
    <row r="22" spans="1:28" ht="15" customHeight="1" x14ac:dyDescent="0.35">
      <c r="A22" s="263"/>
      <c r="B22" s="517" t="s">
        <v>191</v>
      </c>
      <c r="C22" s="617">
        <f t="shared" ref="C22:G25" si="9">IF(AND(ISNUMBER(C75), ISNUMBER(C94)), SUM(C75,C94), "")</f>
        <v>9354168.4852654804</v>
      </c>
      <c r="D22" s="617">
        <f t="shared" si="9"/>
        <v>2353995.0269878842</v>
      </c>
      <c r="E22" s="375">
        <f t="shared" si="9"/>
        <v>97305.302923199779</v>
      </c>
      <c r="F22" s="617">
        <f t="shared" si="9"/>
        <v>9388418.0210489947</v>
      </c>
      <c r="G22" s="459">
        <f t="shared" si="9"/>
        <v>2306102.2904252121</v>
      </c>
      <c r="H22" s="375">
        <f>IF(ISNUMBER(H75), H75, "")</f>
        <v>98409.706127241414</v>
      </c>
      <c r="I22" s="617">
        <f t="shared" ref="I22:J25" si="10">IF(AND(ISNUMBER(I75), ISNUMBER(I94)), SUM(I75,I94), "")</f>
        <v>9294280.233258618</v>
      </c>
      <c r="J22" s="139">
        <f t="shared" si="10"/>
        <v>2628908.2483446216</v>
      </c>
      <c r="K22" s="370"/>
      <c r="L22" s="613">
        <f t="shared" si="4"/>
        <v>3.661419594639934E-3</v>
      </c>
      <c r="M22" s="614">
        <f t="shared" si="5"/>
        <v>-2.0345300654247545E-2</v>
      </c>
      <c r="N22" s="614">
        <f t="shared" si="6"/>
        <v>1.1349876839839942E-2</v>
      </c>
      <c r="O22" s="614">
        <f t="shared" si="7"/>
        <v>-1.0027012812948695E-2</v>
      </c>
      <c r="P22" s="615">
        <f t="shared" si="8"/>
        <v>0.13997902836299977</v>
      </c>
      <c r="Q22" s="98"/>
      <c r="R22" s="98"/>
      <c r="S22" s="98"/>
      <c r="T22" s="370"/>
      <c r="U22" s="335"/>
      <c r="V22" s="301"/>
      <c r="W22" s="331"/>
      <c r="X22" s="98"/>
      <c r="Y22" s="98"/>
      <c r="Z22" s="98"/>
      <c r="AA22" s="98"/>
      <c r="AB22" s="315"/>
    </row>
    <row r="23" spans="1:28" ht="15" customHeight="1" x14ac:dyDescent="0.35">
      <c r="A23" s="263"/>
      <c r="B23" s="517" t="s">
        <v>192</v>
      </c>
      <c r="C23" s="617">
        <f t="shared" si="9"/>
        <v>437001.0818714354</v>
      </c>
      <c r="D23" s="617">
        <f t="shared" si="9"/>
        <v>104385.87685548617</v>
      </c>
      <c r="E23" s="375">
        <f t="shared" si="9"/>
        <v>20255.157822899928</v>
      </c>
      <c r="F23" s="617">
        <f t="shared" si="9"/>
        <v>437001.08187142981</v>
      </c>
      <c r="G23" s="459">
        <f t="shared" si="9"/>
        <v>162623.32138807798</v>
      </c>
      <c r="H23" s="375">
        <f>IF(ISNUMBER(H76), H76, "")</f>
        <v>23296.531512848524</v>
      </c>
      <c r="I23" s="617">
        <f t="shared" si="10"/>
        <v>405422.28402139893</v>
      </c>
      <c r="J23" s="139">
        <f t="shared" si="10"/>
        <v>311949.8992257592</v>
      </c>
      <c r="K23" s="370"/>
      <c r="L23" s="613">
        <f t="shared" si="4"/>
        <v>-1.2787005981227358E-14</v>
      </c>
      <c r="M23" s="614">
        <f t="shared" si="5"/>
        <v>0.55790540144829026</v>
      </c>
      <c r="N23" s="614">
        <f t="shared" si="6"/>
        <v>0.15015304825273204</v>
      </c>
      <c r="O23" s="614">
        <f t="shared" si="7"/>
        <v>-7.2262516410249278E-2</v>
      </c>
      <c r="P23" s="615">
        <f t="shared" si="8"/>
        <v>0.91823593666085612</v>
      </c>
      <c r="Q23" s="98"/>
      <c r="R23" s="98"/>
      <c r="S23" s="98"/>
      <c r="T23" s="370"/>
      <c r="U23" s="335"/>
      <c r="V23" s="301"/>
      <c r="W23" s="331"/>
      <c r="X23" s="98"/>
      <c r="Y23" s="98"/>
      <c r="Z23" s="98"/>
      <c r="AA23" s="98"/>
      <c r="AB23" s="315"/>
    </row>
    <row r="24" spans="1:28" ht="15" customHeight="1" x14ac:dyDescent="0.35">
      <c r="A24" s="263"/>
      <c r="B24" s="517" t="s">
        <v>193</v>
      </c>
      <c r="C24" s="617">
        <f t="shared" si="9"/>
        <v>4621603.2656077119</v>
      </c>
      <c r="D24" s="617">
        <f t="shared" si="9"/>
        <v>1407638.7434879055</v>
      </c>
      <c r="E24" s="375">
        <f t="shared" si="9"/>
        <v>156128.11033550024</v>
      </c>
      <c r="F24" s="617">
        <f t="shared" si="9"/>
        <v>4482086.7918134853</v>
      </c>
      <c r="G24" s="459">
        <f t="shared" si="9"/>
        <v>1719492.0286401904</v>
      </c>
      <c r="H24" s="375">
        <f>IF(ISNUMBER(H77), H77, "")</f>
        <v>165745.12634036966</v>
      </c>
      <c r="I24" s="617">
        <f t="shared" si="10"/>
        <v>4332541.6430533743</v>
      </c>
      <c r="J24" s="139">
        <f t="shared" si="10"/>
        <v>3247448.9630445205</v>
      </c>
      <c r="K24" s="370"/>
      <c r="L24" s="613">
        <f t="shared" si="4"/>
        <v>-3.0187894930847337E-2</v>
      </c>
      <c r="M24" s="614">
        <f t="shared" si="5"/>
        <v>0.22154355057005742</v>
      </c>
      <c r="N24" s="614">
        <f t="shared" si="6"/>
        <v>6.159695383620304E-2</v>
      </c>
      <c r="O24" s="614">
        <f t="shared" si="7"/>
        <v>-3.336507205377074E-2</v>
      </c>
      <c r="P24" s="615">
        <f t="shared" si="8"/>
        <v>0.88860948986932486</v>
      </c>
      <c r="Q24" s="98"/>
      <c r="R24" s="98"/>
      <c r="S24" s="98"/>
      <c r="T24" s="370"/>
      <c r="U24" s="335"/>
      <c r="V24" s="301"/>
      <c r="W24" s="331"/>
      <c r="X24" s="98"/>
      <c r="Y24" s="98"/>
      <c r="Z24" s="98"/>
      <c r="AA24" s="98"/>
      <c r="AB24" s="315"/>
    </row>
    <row r="25" spans="1:28" ht="15" customHeight="1" x14ac:dyDescent="0.35">
      <c r="A25" s="263"/>
      <c r="B25" s="409" t="s">
        <v>194</v>
      </c>
      <c r="C25" s="617">
        <f t="shared" si="9"/>
        <v>1742086.5000568391</v>
      </c>
      <c r="D25" s="617">
        <f t="shared" si="9"/>
        <v>557176.94124899723</v>
      </c>
      <c r="E25" s="375">
        <f t="shared" si="9"/>
        <v>89378.747259799944</v>
      </c>
      <c r="F25" s="617">
        <f t="shared" si="9"/>
        <v>1605424.2478931891</v>
      </c>
      <c r="G25" s="459">
        <f t="shared" si="9"/>
        <v>728738.01760703861</v>
      </c>
      <c r="H25" s="375">
        <f>IF(ISNUMBER(H78), H78, "")</f>
        <v>93164.680723644138</v>
      </c>
      <c r="I25" s="617">
        <f t="shared" si="10"/>
        <v>1519609.035311603</v>
      </c>
      <c r="J25" s="139">
        <f t="shared" si="10"/>
        <v>1133306.1544690675</v>
      </c>
      <c r="K25" s="370"/>
      <c r="L25" s="613">
        <f t="shared" si="4"/>
        <v>-7.8447454910643713E-2</v>
      </c>
      <c r="M25" s="614">
        <f t="shared" si="5"/>
        <v>0.30791130008621859</v>
      </c>
      <c r="N25" s="614">
        <f t="shared" si="6"/>
        <v>4.2358318726928509E-2</v>
      </c>
      <c r="O25" s="614">
        <f t="shared" si="7"/>
        <v>-5.3453292918804532E-2</v>
      </c>
      <c r="P25" s="615">
        <f t="shared" si="8"/>
        <v>0.55516266077418563</v>
      </c>
      <c r="Q25" s="98"/>
      <c r="R25" s="98"/>
      <c r="S25" s="98"/>
      <c r="T25" s="370"/>
      <c r="U25" s="335"/>
      <c r="V25" s="301"/>
      <c r="W25" s="331"/>
      <c r="X25" s="98"/>
      <c r="Y25" s="98"/>
      <c r="Z25" s="98"/>
      <c r="AA25" s="98"/>
      <c r="AB25" s="315"/>
    </row>
    <row r="26" spans="1:28" ht="15" customHeight="1" x14ac:dyDescent="0.35">
      <c r="A26" s="263"/>
      <c r="B26" s="517" t="s">
        <v>195</v>
      </c>
      <c r="C26" s="617">
        <f>IF(ISNUMBER(C54), C54, "")</f>
        <v>2263610</v>
      </c>
      <c r="D26" s="617">
        <f>IF(ISNUMBER(D54), D54, "")</f>
        <v>1314178</v>
      </c>
      <c r="E26" s="319"/>
      <c r="F26" s="617">
        <f>IF(ISNUMBER(F54), F54, "")</f>
        <v>2310730</v>
      </c>
      <c r="G26" s="459">
        <f>IF(ISNUMBER(G54), G54, "")</f>
        <v>1733047.5</v>
      </c>
      <c r="H26" s="298"/>
      <c r="I26" s="617">
        <f>IF(ISNUMBER(I54), I54, "")</f>
        <v>2310730</v>
      </c>
      <c r="J26" s="139">
        <f>IF(ISNUMBER(J54), J54, "")</f>
        <v>1733047.5</v>
      </c>
      <c r="K26" s="370"/>
      <c r="L26" s="613">
        <f t="shared" si="4"/>
        <v>2.081630669594144E-2</v>
      </c>
      <c r="M26" s="614">
        <f t="shared" si="5"/>
        <v>0.31873117644641746</v>
      </c>
      <c r="N26" s="298"/>
      <c r="O26" s="614">
        <f t="shared" ref="O26:O36" si="11">IF(AND(ISNUMBER(F26), ISNUMBER(I26)), IF(F26&lt;&gt;0, ((I26-F26)/F26), "EAD=0"), "")</f>
        <v>0</v>
      </c>
      <c r="P26" s="615">
        <f t="shared" ref="P26:P36" si="12">IF(AND(ISNUMBER(G26), ISNUMBER(J26)), IF(G26&lt;&gt;0, ((J26-G26)/G26), "RWA=0"), "")</f>
        <v>0</v>
      </c>
      <c r="Q26" s="98"/>
      <c r="R26" s="98"/>
      <c r="S26" s="98"/>
      <c r="T26" s="370"/>
      <c r="U26" s="335"/>
      <c r="V26" s="301"/>
      <c r="W26" s="331"/>
      <c r="X26" s="98"/>
      <c r="Y26" s="98"/>
      <c r="Z26" s="98"/>
      <c r="AA26" s="98"/>
      <c r="AB26" s="315"/>
    </row>
    <row r="27" spans="1:28" ht="15" customHeight="1" x14ac:dyDescent="0.35">
      <c r="A27" s="263"/>
      <c r="B27" s="323" t="s">
        <v>196</v>
      </c>
      <c r="C27" s="617">
        <f>IF(AND(ISNUMBER(C51),ISNUMBER(C98)), SUM(C51,C98), "")</f>
        <v>261298.02600000001</v>
      </c>
      <c r="D27" s="617">
        <f>IF(AND(ISNUMBER(D51),ISNUMBER(D98)), SUM(D51,D98), "")</f>
        <v>853012.96799999999</v>
      </c>
      <c r="E27" s="617">
        <f>IF(ISNUMBER(E98), E98, "")</f>
        <v>4786.5780000000004</v>
      </c>
      <c r="F27" s="617">
        <f>IF(AND(ISNUMBER(F51),ISNUMBER(F98)), SUM(F51,F98), "")</f>
        <v>261298.02600000001</v>
      </c>
      <c r="G27" s="459">
        <f>IF(AND(ISNUMBER(G51),ISNUMBER(G98)), SUM(G51,G98), "")</f>
        <v>653245.06500000006</v>
      </c>
      <c r="H27" s="298"/>
      <c r="I27" s="617">
        <f>IF(AND(ISNUMBER(I51),ISNUMBER(I98)), SUM(I51,I98), "")</f>
        <v>261298.02600000001</v>
      </c>
      <c r="J27" s="139">
        <f>IF(AND(ISNUMBER(J51),ISNUMBER(J98)), SUM(J51,J98), "")</f>
        <v>653245.06500000006</v>
      </c>
      <c r="K27" s="370"/>
      <c r="L27" s="613">
        <f t="shared" si="4"/>
        <v>0</v>
      </c>
      <c r="M27" s="614">
        <f t="shared" si="5"/>
        <v>-0.23419093319106485</v>
      </c>
      <c r="N27" s="298"/>
      <c r="O27" s="614">
        <f t="shared" si="11"/>
        <v>0</v>
      </c>
      <c r="P27" s="615">
        <f t="shared" si="12"/>
        <v>0</v>
      </c>
      <c r="Q27" s="98"/>
      <c r="R27" s="98"/>
      <c r="S27" s="98"/>
      <c r="T27" s="370"/>
      <c r="U27" s="359" t="str">
        <f>IF(ISNUMBER(L27), IF(ABS(L27)&gt;0.5, "Error: diff above 50%", IF(ABS(L27)&gt;=0.3, "Warning: diff 30–50%", "Diff below 30%")), "")</f>
        <v>Diff below 30%</v>
      </c>
      <c r="V27" s="352" t="str">
        <f>IF(ISNUMBER(M27), IF(ABS(M27)&gt;0.5, "Error: diff above 50%", IF(ABS(M27)&gt;=0.3, "Warning: diff 30–50%", "Diff below 30%")), "")</f>
        <v>Diff below 30%</v>
      </c>
      <c r="W27" s="331"/>
      <c r="X27" s="98"/>
      <c r="Y27" s="98"/>
      <c r="Z27" s="98"/>
      <c r="AA27" s="98"/>
      <c r="AB27" s="315"/>
    </row>
    <row r="28" spans="1:28" ht="15" customHeight="1" x14ac:dyDescent="0.35">
      <c r="A28" s="263"/>
      <c r="B28" s="762" t="s">
        <v>197</v>
      </c>
      <c r="C28" s="617">
        <f>IF(ISNUMBER(C52), C52, "")</f>
        <v>0</v>
      </c>
      <c r="D28" s="617">
        <f>IF(ISNUMBER(D52), D52, "")</f>
        <v>0</v>
      </c>
      <c r="E28" s="319"/>
      <c r="F28" s="617">
        <f>IF(ISNUMBER(F52), F52, "")</f>
        <v>0</v>
      </c>
      <c r="G28" s="459">
        <f>IF(ISNUMBER(G52), G52, "")</f>
        <v>0</v>
      </c>
      <c r="H28" s="298"/>
      <c r="I28" s="617">
        <f>IF(ISNUMBER(I52), I52, "")</f>
        <v>0</v>
      </c>
      <c r="J28" s="139">
        <f>IF(ISNUMBER(J52), J52, "")</f>
        <v>0</v>
      </c>
      <c r="K28" s="370"/>
      <c r="L28" s="613" t="str">
        <f t="shared" si="4"/>
        <v>EAD=0</v>
      </c>
      <c r="M28" s="614" t="str">
        <f t="shared" si="5"/>
        <v>RWA=0</v>
      </c>
      <c r="N28" s="298"/>
      <c r="O28" s="614" t="str">
        <f t="shared" si="11"/>
        <v>EAD=0</v>
      </c>
      <c r="P28" s="615" t="str">
        <f t="shared" si="12"/>
        <v>RWA=0</v>
      </c>
      <c r="Q28" s="98"/>
      <c r="R28" s="98"/>
      <c r="S28" s="98"/>
      <c r="T28" s="370"/>
      <c r="U28" s="335"/>
      <c r="V28" s="301"/>
      <c r="W28" s="331"/>
      <c r="X28" s="98"/>
      <c r="Y28" s="98"/>
      <c r="Z28" s="98"/>
      <c r="AA28" s="98"/>
      <c r="AB28" s="315"/>
    </row>
    <row r="29" spans="1:28" ht="15" customHeight="1" x14ac:dyDescent="0.35">
      <c r="A29" s="263"/>
      <c r="B29" s="323" t="s">
        <v>198</v>
      </c>
      <c r="C29" s="617">
        <f>IF(AND(ISNUMBER(C53), ISNUMBER(C79), ISNUMBER(C99)), SUM(C53,C79,C99), "")</f>
        <v>4977</v>
      </c>
      <c r="D29" s="617">
        <f>IF(AND(ISNUMBER(D53), ISNUMBER(D79), ISNUMBER(D99)), SUM(D53,D79,D99), "")</f>
        <v>1918</v>
      </c>
      <c r="E29" s="617">
        <f>IF(AND(ISNUMBER(E79), ISNUMBER(E99)), SUM(E79,E99), "")</f>
        <v>0</v>
      </c>
      <c r="F29" s="617">
        <f>IF(AND(ISNUMBER(F53), ISNUMBER(F79), ISNUMBER(F99)), SUM(F53,F79,F99), "")</f>
        <v>4977</v>
      </c>
      <c r="G29" s="459">
        <f>IF(AND(ISNUMBER(G53), ISNUMBER(G79), ISNUMBER(G99)), SUM(G53,G79,G99), "")</f>
        <v>1918</v>
      </c>
      <c r="H29" s="375">
        <f>IF(ISNUMBER(H79), H79, "")</f>
        <v>0</v>
      </c>
      <c r="I29" s="617">
        <f>IF(AND(ISNUMBER(I53), ISNUMBER(I79), ISNUMBER(I99)), SUM(I53,I79,I99), "")</f>
        <v>4977</v>
      </c>
      <c r="J29" s="139">
        <f>IF(AND(ISNUMBER(J53), ISNUMBER(J79), ISNUMBER(J99)), SUM(J53,J79,J99), "")</f>
        <v>1918</v>
      </c>
      <c r="K29" s="370"/>
      <c r="L29" s="613">
        <f t="shared" si="4"/>
        <v>0</v>
      </c>
      <c r="M29" s="614">
        <f t="shared" si="5"/>
        <v>0</v>
      </c>
      <c r="N29" s="614" t="str">
        <f t="shared" ref="N29" si="13">IF(AND(ISNUMBER(E29), ISNUMBER(H29)), IF(E29&lt;&gt;0, ((H29-E29)/E29), "EL=0"), "")</f>
        <v>EL=0</v>
      </c>
      <c r="O29" s="614">
        <f t="shared" si="11"/>
        <v>0</v>
      </c>
      <c r="P29" s="615">
        <f t="shared" si="12"/>
        <v>0</v>
      </c>
      <c r="Q29" s="98"/>
      <c r="R29" s="98"/>
      <c r="S29" s="98"/>
      <c r="T29" s="370"/>
      <c r="U29" s="335"/>
      <c r="V29" s="301"/>
      <c r="W29" s="331"/>
      <c r="X29" s="98"/>
      <c r="Y29" s="98"/>
      <c r="Z29" s="98"/>
      <c r="AA29" s="98"/>
      <c r="AB29" s="315"/>
    </row>
    <row r="30" spans="1:28" ht="15" customHeight="1" x14ac:dyDescent="0.35">
      <c r="A30" s="263"/>
      <c r="B30" s="564" t="s">
        <v>199</v>
      </c>
      <c r="C30" s="617">
        <f>IF(ISNUMBER(C55),C55, "")</f>
        <v>312680</v>
      </c>
      <c r="D30" s="617">
        <f>IF(ISNUMBER(D55),D55, "")</f>
        <v>108249</v>
      </c>
      <c r="E30" s="319"/>
      <c r="F30" s="617">
        <f>IF(ISNUMBER(F55),F55, "")</f>
        <v>312680</v>
      </c>
      <c r="G30" s="459">
        <f>IF(ISNUMBER(G55),G55, "")</f>
        <v>62536.000000000007</v>
      </c>
      <c r="H30" s="298"/>
      <c r="I30" s="617">
        <f>IF(ISNUMBER(I55),I55, "")</f>
        <v>312680</v>
      </c>
      <c r="J30" s="139">
        <f>IF(ISNUMBER(J55),J55, "")</f>
        <v>62536.000000000007</v>
      </c>
      <c r="K30" s="558"/>
      <c r="L30" s="613">
        <f t="shared" si="4"/>
        <v>0</v>
      </c>
      <c r="M30" s="614">
        <f t="shared" si="5"/>
        <v>-0.42229489417916094</v>
      </c>
      <c r="N30" s="298"/>
      <c r="O30" s="614">
        <f t="shared" si="11"/>
        <v>0</v>
      </c>
      <c r="P30" s="615">
        <f t="shared" si="12"/>
        <v>0</v>
      </c>
      <c r="Q30" s="98"/>
      <c r="R30" s="98"/>
      <c r="S30" s="98"/>
      <c r="T30" s="558"/>
      <c r="U30" s="335"/>
      <c r="V30" s="301"/>
      <c r="W30" s="331"/>
      <c r="X30" s="98"/>
      <c r="Y30" s="98"/>
      <c r="Z30" s="98"/>
      <c r="AA30" s="98"/>
      <c r="AB30" s="315"/>
    </row>
    <row r="31" spans="1:28" ht="15" customHeight="1" x14ac:dyDescent="0.35">
      <c r="A31" s="263"/>
      <c r="B31" s="161" t="s">
        <v>200</v>
      </c>
      <c r="C31" s="617">
        <f>IF(AND(ISNUMBER(C80), ISNUMBER(C100)), SUM(C80,C100), "")</f>
        <v>0</v>
      </c>
      <c r="D31" s="617">
        <f>IF(AND(ISNUMBER(D80), ISNUMBER(D100)), SUM(D80,D100), "")</f>
        <v>0</v>
      </c>
      <c r="E31" s="617">
        <f>IF(AND(ISNUMBER(E80), ISNUMBER(E100)), SUM(E80,E100), "")</f>
        <v>0</v>
      </c>
      <c r="F31" s="617">
        <f>IF(AND(ISNUMBER(F80), ISNUMBER(F100)), SUM(F80,F100), "")</f>
        <v>0</v>
      </c>
      <c r="G31" s="459">
        <f>IF(AND(ISNUMBER(G80), ISNUMBER(G100)), SUM(G80,G100), "")</f>
        <v>0</v>
      </c>
      <c r="H31" s="375">
        <f t="shared" ref="H31" si="14">IF(ISNUMBER(H80), H80, "")</f>
        <v>0</v>
      </c>
      <c r="I31" s="617">
        <f>IF(AND(ISNUMBER(I80), ISNUMBER(I100)), SUM(I80,I100), "")</f>
        <v>0</v>
      </c>
      <c r="J31" s="139">
        <f>IF(AND(ISNUMBER(J80), ISNUMBER(J100)), SUM(J80,J100), "")</f>
        <v>0</v>
      </c>
      <c r="K31" s="559"/>
      <c r="L31" s="613" t="str">
        <f t="shared" si="4"/>
        <v>EAD=0</v>
      </c>
      <c r="M31" s="614" t="str">
        <f t="shared" si="5"/>
        <v>RWA=0</v>
      </c>
      <c r="N31" s="614" t="str">
        <f t="shared" ref="N31" si="15">IF(AND(ISNUMBER(E31), ISNUMBER(H31)), IF(E31&lt;&gt;0, ((H31-E31)/E31), "EL=0"), "")</f>
        <v>EL=0</v>
      </c>
      <c r="O31" s="614" t="str">
        <f t="shared" si="11"/>
        <v>EAD=0</v>
      </c>
      <c r="P31" s="615" t="str">
        <f t="shared" si="12"/>
        <v>RWA=0</v>
      </c>
      <c r="Q31" s="98"/>
      <c r="R31" s="98"/>
      <c r="S31" s="98"/>
      <c r="T31" s="559"/>
      <c r="U31" s="335"/>
      <c r="V31" s="301"/>
      <c r="W31" s="331"/>
      <c r="X31" s="98"/>
      <c r="Y31" s="98"/>
      <c r="Z31" s="98"/>
      <c r="AA31" s="98"/>
      <c r="AB31" s="315"/>
    </row>
    <row r="32" spans="1:28" ht="15" customHeight="1" x14ac:dyDescent="0.35">
      <c r="A32" s="263"/>
      <c r="B32" s="161" t="s">
        <v>201</v>
      </c>
      <c r="C32" s="617">
        <f>IF(ISNUMBER(C61),C61, "")</f>
        <v>35370</v>
      </c>
      <c r="D32" s="617">
        <f>IF(ISNUMBER(D61),D61, "")</f>
        <v>46811</v>
      </c>
      <c r="E32" s="319"/>
      <c r="F32" s="617">
        <f>IF(ISNUMBER(F61),F61, "")</f>
        <v>35672</v>
      </c>
      <c r="G32" s="459">
        <f>IF(ISNUMBER(G61),G61, "")</f>
        <v>0</v>
      </c>
      <c r="H32" s="298"/>
      <c r="I32" s="617">
        <f>IF(ISNUMBER(I61),I61, "")</f>
        <v>35672</v>
      </c>
      <c r="J32" s="139">
        <f>IF(ISNUMBER(J61),J61, "")</f>
        <v>0</v>
      </c>
      <c r="K32" s="370"/>
      <c r="L32" s="613">
        <f t="shared" si="4"/>
        <v>8.5383093016680803E-3</v>
      </c>
      <c r="M32" s="614">
        <f t="shared" si="5"/>
        <v>-1</v>
      </c>
      <c r="N32" s="298"/>
      <c r="O32" s="614">
        <f t="shared" si="11"/>
        <v>0</v>
      </c>
      <c r="P32" s="615" t="str">
        <f t="shared" si="12"/>
        <v>RWA=0</v>
      </c>
      <c r="Q32" s="98"/>
      <c r="R32" s="98"/>
      <c r="S32" s="98"/>
      <c r="T32" s="370"/>
      <c r="U32" s="335"/>
      <c r="V32" s="301"/>
      <c r="W32" s="331"/>
      <c r="X32" s="98"/>
      <c r="Y32" s="98"/>
      <c r="Z32" s="98"/>
      <c r="AA32" s="98"/>
      <c r="AB32" s="315"/>
    </row>
    <row r="33" spans="1:28" ht="15" customHeight="1" x14ac:dyDescent="0.35">
      <c r="A33" s="263"/>
      <c r="B33" s="161" t="s">
        <v>202</v>
      </c>
      <c r="C33" s="617">
        <f>IF(AND(ISNUMBER(C62), ISNUMBER(C81), ISNUMBER(C101)), SUM(C62,C81,C101), "")</f>
        <v>0</v>
      </c>
      <c r="D33" s="617">
        <f>IF(AND(ISNUMBER(D62), ISNUMBER(D81), ISNUMBER(D101)), SUM(D62,D81,D101), "")</f>
        <v>0</v>
      </c>
      <c r="E33" s="617">
        <f>IF(AND(ISNUMBER(E81), ISNUMBER(E101)), SUM(E81,E101), "")</f>
        <v>0</v>
      </c>
      <c r="F33" s="617">
        <f>IF(AND(ISNUMBER(F62), ISNUMBER(F81), ISNUMBER(F101)), SUM(F62,F81,F101), "")</f>
        <v>0</v>
      </c>
      <c r="G33" s="459">
        <f>IF(AND(ISNUMBER(G62), ISNUMBER(G81), ISNUMBER(G101)), SUM(G62,G81,G101), "")</f>
        <v>0</v>
      </c>
      <c r="H33" s="375">
        <f>IF(ISNUMBER(H81), H81,"")</f>
        <v>0</v>
      </c>
      <c r="I33" s="617">
        <f>IF(AND(ISNUMBER(I62), ISNUMBER(I81), ISNUMBER(I101)), SUM(I62,I81,I101), "")</f>
        <v>0</v>
      </c>
      <c r="J33" s="139">
        <f>IF(AND(ISNUMBER(J62), ISNUMBER(J81), ISNUMBER(J101)), SUM(J62,J81,J101), "")</f>
        <v>0</v>
      </c>
      <c r="K33" s="370"/>
      <c r="L33" s="613" t="str">
        <f t="shared" si="4"/>
        <v>EAD=0</v>
      </c>
      <c r="M33" s="614" t="str">
        <f t="shared" si="5"/>
        <v>RWA=0</v>
      </c>
      <c r="N33" s="614" t="str">
        <f t="shared" ref="N33:N35" si="16">IF(AND(ISNUMBER(E33), ISNUMBER(H33)), IF(E33&lt;&gt;0, ((H33-E33)/E33), "EL=0"), "")</f>
        <v>EL=0</v>
      </c>
      <c r="O33" s="614" t="str">
        <f t="shared" si="11"/>
        <v>EAD=0</v>
      </c>
      <c r="P33" s="615" t="str">
        <f t="shared" si="12"/>
        <v>RWA=0</v>
      </c>
      <c r="Q33" s="98"/>
      <c r="R33" s="98"/>
      <c r="S33" s="98"/>
      <c r="T33" s="370"/>
      <c r="U33" s="335"/>
      <c r="V33" s="301"/>
      <c r="W33" s="331"/>
      <c r="X33" s="98"/>
      <c r="Y33" s="98"/>
      <c r="Z33" s="98"/>
      <c r="AA33" s="98"/>
      <c r="AB33" s="315"/>
    </row>
    <row r="34" spans="1:28" ht="15" customHeight="1" x14ac:dyDescent="0.35">
      <c r="A34" s="263"/>
      <c r="B34" s="167" t="s">
        <v>203</v>
      </c>
      <c r="C34" s="623">
        <f>IF(AND(ISNUMBER(C63), ISNUMBER(C82), ISNUMBER(C102)), SUM(C63,C82,C102), "")</f>
        <v>1064532</v>
      </c>
      <c r="D34" s="623">
        <f>IF(AND(ISNUMBER(D63), ISNUMBER(D82), ISNUMBER(D102)), SUM(D63,D82,D102), "")</f>
        <v>790744</v>
      </c>
      <c r="E34" s="617">
        <f>IF(AND(ISNUMBER(E82), ISNUMBER(E102)), SUM(E82,E102), "")</f>
        <v>0</v>
      </c>
      <c r="F34" s="623">
        <f>IF(AND(ISNUMBER(F63), ISNUMBER(F82), ISNUMBER(F102)), SUM(F63,F82,F102), "")</f>
        <v>1065365</v>
      </c>
      <c r="G34" s="1458">
        <f>IF(AND(ISNUMBER(G63), ISNUMBER(G82), ISNUMBER(G102)), SUM(G63,G82,G102), "")</f>
        <v>790744</v>
      </c>
      <c r="H34" s="375">
        <f>IF(ISNUMBER(H82),H82,"")</f>
        <v>0</v>
      </c>
      <c r="I34" s="623">
        <f>IF(AND(ISNUMBER(I63), ISNUMBER(I82), ISNUMBER(I102)), SUM(I63,I82,I102), "")</f>
        <v>1065365</v>
      </c>
      <c r="J34" s="627">
        <f>IF(AND(ISNUMBER(J63), ISNUMBER(J82), ISNUMBER(J102)), SUM(J63,J82,J102), "")</f>
        <v>790744</v>
      </c>
      <c r="K34" s="370"/>
      <c r="L34" s="613">
        <f t="shared" ref="L34:L40" si="17">IF(AND(ISNUMBER(C34), ISNUMBER(F34)), IF(C34&lt;&gt;0, ((F34-C34)/C34), "EAD=0"), "")</f>
        <v>7.8250348509955551E-4</v>
      </c>
      <c r="M34" s="614">
        <f t="shared" ref="M34:M40" si="18">IF(AND(ISNUMBER(D34), ISNUMBER(G34)), IF(D34&lt;&gt;0, ((G34-D34)/D34), "RWA=0"), "")</f>
        <v>0</v>
      </c>
      <c r="N34" s="614" t="str">
        <f t="shared" si="16"/>
        <v>EL=0</v>
      </c>
      <c r="O34" s="614">
        <f t="shared" si="11"/>
        <v>0</v>
      </c>
      <c r="P34" s="615">
        <f t="shared" si="12"/>
        <v>0</v>
      </c>
      <c r="Q34" s="98"/>
      <c r="R34" s="98"/>
      <c r="S34" s="98"/>
      <c r="T34" s="370"/>
      <c r="U34" s="645"/>
      <c r="V34" s="641"/>
      <c r="W34" s="642"/>
      <c r="X34" s="98"/>
      <c r="Y34" s="98"/>
      <c r="Z34" s="98"/>
      <c r="AA34" s="98"/>
      <c r="AB34" s="315"/>
    </row>
    <row r="35" spans="1:28" ht="15" customHeight="1" x14ac:dyDescent="0.35">
      <c r="A35" s="263"/>
      <c r="B35" s="800" t="s">
        <v>204</v>
      </c>
      <c r="C35" s="637">
        <f>IF(AND(ISNUMBER(C14), ISNUMBER(C18),ISNUMBER(C19), ISNUMBER(C20), ISNUMBER(C21), ISNUMBER(C27),ISNUMBER(C28), ISNUMBER(C29), ISNUMBER(C30), ISNUMBER(C31), ISNUMBER(C32),ISNUMBER(C34),ISNUMBER(C33)),SUM(C14,C18,C19,C20,C21,C27,C28,C29,C30,C31,C32,C34,C33),"")</f>
        <v>56800959.237907581</v>
      </c>
      <c r="D35" s="570">
        <f>IF(AND(ISNUMBER(D14), ISNUMBER(D18),ISNUMBER(D19), ISNUMBER(D20), ISNUMBER(D21), ISNUMBER(D27),ISNUMBER(D28), ISNUMBER(D29), ISNUMBER(D30), ISNUMBER(D31), ISNUMBER(D32),ISNUMBER(D34),ISNUMBER(D33)),SUM(D14,D18,D19,D20,D21,D27,D28,D29,D30,D31,D32,D34,D33),"")</f>
        <v>15949566.087114679</v>
      </c>
      <c r="E35" s="570">
        <f>IF(AND(ISNUMBER(E14), ISNUMBER(E18), ISNUMBER(E21), ISNUMBER(E19), ISNUMBER(E20),ISNUMBER(E27), ISNUMBER(E29), ISNUMBER(E31), ISNUMBER(E34),ISNUMBER(E33)),SUM(E14,E18,E19,E20,E21,E27,E29,E31,E34,E33),"")</f>
        <v>501799.92583319993</v>
      </c>
      <c r="F35" s="570">
        <f>IF(AND(ISNUMBER(F14), ISNUMBER(F18),ISNUMBER(F19), ISNUMBER(F20), ISNUMBER(F21), ISNUMBER(F27),ISNUMBER(F28), ISNUMBER(F29), ISNUMBER(F30), ISNUMBER(F31), ISNUMBER(F32),ISNUMBER(F34),ISNUMBER(F33)),SUM(F14,F18,F19,F20,F21,F27,F28,F29,F30,F31,F32,F34,F33),"")</f>
        <v>57361641.218091913</v>
      </c>
      <c r="G35" s="570">
        <f>IF(AND(ISNUMBER(G14), ISNUMBER(G18),ISNUMBER(G19), ISNUMBER(G20), ISNUMBER(G21), ISNUMBER(G27),ISNUMBER(G28), ISNUMBER(G29), ISNUMBER(G30), ISNUMBER(G31), ISNUMBER(G32),ISNUMBER(G34),ISNUMBER(G33)),SUM(G14,G18,G19,G20,G21,G27,G28,G29,G30,G31,G32,G34,G33),"")</f>
        <v>17129848.358786345</v>
      </c>
      <c r="H35" s="1459">
        <f>IF(AND(ISNUMBER(H14), ISNUMBER(H18), ISNUMBER(H21), ISNUMBER(H19), ISNUMBER(H20), ISNUMBER(H29), ISNUMBER(H31), ISNUMBER(H34),ISNUMBER(H33)),SUM(H14,H18,H19,H20,H21,H29,H31,H34,H33),"")</f>
        <v>512589.34123688308</v>
      </c>
      <c r="I35" s="570">
        <f>IF(AND(ISNUMBER(I14), ISNUMBER(I18),ISNUMBER(I19), ISNUMBER(I20), ISNUMBER(I21), ISNUMBER(I27),ISNUMBER(I28), ISNUMBER(I29), ISNUMBER(I30), ISNUMBER(I31), ISNUMBER(I32),ISNUMBER(I34),ISNUMBER(I33)),SUM(I14,I18,I19,I20,I21,I27,I28,I29,I30,I31,I32,I34,I33),"")</f>
        <v>56886174.876941405</v>
      </c>
      <c r="J35" s="571">
        <f>IF(AND(ISNUMBER(J14), ISNUMBER(J18),ISNUMBER(J19), ISNUMBER(J20), ISNUMBER(J21), ISNUMBER(J27),ISNUMBER(J28), ISNUMBER(J29), ISNUMBER(J30), ISNUMBER(J31), ISNUMBER(J32),ISNUMBER(J34),ISNUMBER(J33)),SUM(J14,J18,J19,J20,J21,J27,J28,J29,J30,J31,J32,J34,J33),"")</f>
        <v>27519572.131962407</v>
      </c>
      <c r="K35" s="370"/>
      <c r="L35" s="638">
        <f t="shared" si="17"/>
        <v>9.8709949216869205E-3</v>
      </c>
      <c r="M35" s="639">
        <f t="shared" si="18"/>
        <v>7.4000901668741403E-2</v>
      </c>
      <c r="N35" s="639">
        <f t="shared" si="16"/>
        <v>2.1501428852880273E-2</v>
      </c>
      <c r="O35" s="639">
        <f t="shared" si="11"/>
        <v>-8.288924986346884E-3</v>
      </c>
      <c r="P35" s="640">
        <f t="shared" si="12"/>
        <v>0.60652748089546882</v>
      </c>
      <c r="Q35" s="98"/>
      <c r="R35" s="98"/>
      <c r="S35" s="98"/>
      <c r="T35" s="370"/>
      <c r="U35" s="335"/>
      <c r="V35" s="301"/>
      <c r="W35" s="331"/>
      <c r="X35" s="98"/>
      <c r="Y35" s="98"/>
      <c r="Z35" s="98"/>
      <c r="AA35" s="98"/>
      <c r="AB35" s="315"/>
    </row>
    <row r="36" spans="1:28" ht="15" customHeight="1" x14ac:dyDescent="0.35">
      <c r="A36" s="263"/>
      <c r="B36" s="161" t="s">
        <v>205</v>
      </c>
      <c r="C36" s="1265">
        <f>IF(ISNUMBER(Securitisation!E31), Securitisation!E31,"")</f>
        <v>611064</v>
      </c>
      <c r="D36" s="718">
        <f>IF(ISNUMBER(Securitisation!F31), Securitisation!F31,"")</f>
        <v>134213</v>
      </c>
      <c r="E36" s="1266"/>
      <c r="F36" s="718">
        <f>IF(ISNUMBER(Securitisation!I31), Securitisation!I31,"")</f>
        <v>611064</v>
      </c>
      <c r="G36" s="718">
        <f>IF(ISNUMBER(Securitisation!J31), Securitisation!J31,"")</f>
        <v>134213</v>
      </c>
      <c r="H36" s="1266"/>
      <c r="I36" s="718">
        <f>IF(ISNUMBER(Securitisation!I31), Securitisation!I31, "")</f>
        <v>611064</v>
      </c>
      <c r="J36" s="1267">
        <f>IF(ISNUMBER(Securitisation!K31), Securitisation!K31, "")</f>
        <v>134213</v>
      </c>
      <c r="K36" s="370"/>
      <c r="L36" s="613">
        <f t="shared" si="17"/>
        <v>0</v>
      </c>
      <c r="M36" s="614">
        <f t="shared" si="18"/>
        <v>0</v>
      </c>
      <c r="N36" s="298"/>
      <c r="O36" s="614">
        <f t="shared" si="11"/>
        <v>0</v>
      </c>
      <c r="P36" s="615">
        <f t="shared" si="12"/>
        <v>0</v>
      </c>
      <c r="Q36" s="98"/>
      <c r="R36" s="98"/>
      <c r="S36" s="98"/>
      <c r="T36" s="370"/>
      <c r="U36" s="335"/>
      <c r="V36" s="301"/>
      <c r="W36" s="331"/>
      <c r="X36" s="98"/>
      <c r="Y36" s="98"/>
      <c r="Z36" s="98"/>
      <c r="AA36" s="98"/>
      <c r="AB36" s="315"/>
    </row>
    <row r="37" spans="1:28" ht="15" customHeight="1" x14ac:dyDescent="0.35">
      <c r="A37" s="263"/>
      <c r="B37" s="188" t="s">
        <v>206</v>
      </c>
      <c r="C37" s="1268">
        <f>IF(AND(ISNUMBER(C38), ISNUMBER(C39)), C38+C39, "")</f>
        <v>401446</v>
      </c>
      <c r="D37" s="186">
        <f>IF(AND(ISNUMBER(D38), ISNUMBER(D39)), D38+D39, "")</f>
        <v>8030</v>
      </c>
      <c r="E37" s="298"/>
      <c r="F37" s="186">
        <f>IF(AND(ISNUMBER(F38), ISNUMBER(F39)), F38+F39, "")</f>
        <v>401446</v>
      </c>
      <c r="G37" s="186">
        <f>IF(AND(ISNUMBER(G38), ISNUMBER(G39)), G38+G39, "")</f>
        <v>8030</v>
      </c>
      <c r="H37" s="298"/>
      <c r="I37" s="186">
        <f>IF(AND(ISNUMBER(I38), ISNUMBER(I39)), I38+I39, "")</f>
        <v>401446</v>
      </c>
      <c r="J37" s="135">
        <f>IF(AND(ISNUMBER(J38), ISNUMBER(J39)), J38+J39, "")</f>
        <v>8030</v>
      </c>
      <c r="K37" s="370"/>
      <c r="L37" s="613">
        <f t="shared" si="17"/>
        <v>0</v>
      </c>
      <c r="M37" s="614">
        <f t="shared" si="18"/>
        <v>0</v>
      </c>
      <c r="N37" s="298"/>
      <c r="O37" s="298"/>
      <c r="P37" s="316"/>
      <c r="Q37" s="98"/>
      <c r="R37" s="98"/>
      <c r="S37" s="98"/>
      <c r="T37" s="370"/>
      <c r="U37" s="335"/>
      <c r="V37" s="301"/>
      <c r="W37" s="331"/>
      <c r="X37" s="98"/>
      <c r="Y37" s="98"/>
      <c r="Z37" s="98"/>
      <c r="AA37" s="98"/>
      <c r="AB37" s="315"/>
    </row>
    <row r="38" spans="1:28" ht="15" customHeight="1" x14ac:dyDescent="0.35">
      <c r="A38" s="263"/>
      <c r="B38" s="164" t="s">
        <v>207</v>
      </c>
      <c r="C38" s="175">
        <f>156868+244479</f>
        <v>401347</v>
      </c>
      <c r="D38" s="169">
        <f>1898+4890</f>
        <v>6788</v>
      </c>
      <c r="E38" s="298"/>
      <c r="F38" s="2543">
        <f>156868+244479</f>
        <v>401347</v>
      </c>
      <c r="G38" s="2541">
        <f>1898+4890</f>
        <v>6788</v>
      </c>
      <c r="H38" s="298"/>
      <c r="I38" s="2543">
        <f>156868+244479</f>
        <v>401347</v>
      </c>
      <c r="J38" s="2541">
        <f>1898+4890</f>
        <v>6788</v>
      </c>
      <c r="K38" s="370"/>
      <c r="L38" s="613">
        <f t="shared" si="17"/>
        <v>0</v>
      </c>
      <c r="M38" s="614">
        <f t="shared" si="18"/>
        <v>0</v>
      </c>
      <c r="N38" s="298"/>
      <c r="O38" s="614">
        <f t="shared" ref="O38" si="19">IF(AND(ISNUMBER(F38), ISNUMBER(I38)), IF(F38&lt;&gt;0, ((I38-F38)/F38), "EAD=0"), "")</f>
        <v>0</v>
      </c>
      <c r="P38" s="615">
        <f t="shared" ref="P38" si="20">IF(AND(ISNUMBER(G38), ISNUMBER(J38)), IF(G38&lt;&gt;0, ((J38-G38)/G38), "RWA=0"), "")</f>
        <v>0</v>
      </c>
      <c r="Q38" s="98"/>
      <c r="R38" s="98"/>
      <c r="S38" s="98"/>
      <c r="T38" s="370"/>
      <c r="U38" s="645"/>
      <c r="V38" s="641"/>
      <c r="W38" s="642"/>
      <c r="X38" s="98"/>
      <c r="Y38" s="98"/>
      <c r="Z38" s="98"/>
      <c r="AA38" s="98"/>
      <c r="AB38" s="315"/>
    </row>
    <row r="39" spans="1:28" ht="15" customHeight="1" x14ac:dyDescent="0.35">
      <c r="A39" s="263"/>
      <c r="B39" s="164" t="s">
        <v>208</v>
      </c>
      <c r="C39" s="175">
        <v>99</v>
      </c>
      <c r="D39" s="169">
        <v>1242</v>
      </c>
      <c r="E39" s="298"/>
      <c r="F39" s="2543">
        <v>99</v>
      </c>
      <c r="G39" s="2541">
        <v>1242</v>
      </c>
      <c r="H39" s="298"/>
      <c r="I39" s="186">
        <f>IF(ISNUMBER(F39), F39, "")</f>
        <v>99</v>
      </c>
      <c r="J39" s="135">
        <f>IF(ISNUMBER(G39), G39, "")</f>
        <v>1242</v>
      </c>
      <c r="K39" s="370"/>
      <c r="L39" s="613">
        <f t="shared" si="17"/>
        <v>0</v>
      </c>
      <c r="M39" s="614">
        <f t="shared" si="18"/>
        <v>0</v>
      </c>
      <c r="N39" s="298"/>
      <c r="O39" s="298"/>
      <c r="P39" s="316"/>
      <c r="Q39" s="98"/>
      <c r="R39" s="98"/>
      <c r="S39" s="98"/>
      <c r="T39" s="370"/>
      <c r="U39" s="645"/>
      <c r="V39" s="641"/>
      <c r="W39" s="642"/>
      <c r="X39" s="98"/>
      <c r="Y39" s="98"/>
      <c r="Z39" s="98"/>
      <c r="AA39" s="98"/>
      <c r="AB39" s="315"/>
    </row>
    <row r="40" spans="1:28" ht="15" customHeight="1" x14ac:dyDescent="0.35">
      <c r="A40" s="263"/>
      <c r="B40" s="636" t="s">
        <v>209</v>
      </c>
      <c r="C40" s="635">
        <f>IF(AND(ISNUMBER(C35), ISNUMBER(C36), ISNUMBER(C37)),SUM(C35,C36,C37),"")</f>
        <v>57813469.237907581</v>
      </c>
      <c r="D40" s="629">
        <f>IF(AND(ISNUMBER(D35), ISNUMBER(D36), ISNUMBER(D37)), SUM(D35:D37), "")</f>
        <v>16091809.087114679</v>
      </c>
      <c r="E40" s="629">
        <f>IF(ISNUMBER(E35), E35, "")</f>
        <v>501799.92583319993</v>
      </c>
      <c r="F40" s="628">
        <f>IF(AND(ISNUMBER(F35), ISNUMBER(F36), ISNUMBER(F37)), SUM(F35:F37), "")</f>
        <v>58374151.218091913</v>
      </c>
      <c r="G40" s="629">
        <f>IF(AND(ISNUMBER(G35), ISNUMBER(G36), ISNUMBER(G37)), SUM(G35:G37), "")</f>
        <v>17272091.358786345</v>
      </c>
      <c r="H40" s="629">
        <f>IF(ISNUMBER(H35), H35, "")</f>
        <v>512589.34123688308</v>
      </c>
      <c r="I40" s="628">
        <f>IF(AND(ISNUMBER(I35), ISNUMBER(I36), ISNUMBER(I37)), SUM(I35:I37), "")</f>
        <v>57898684.876941405</v>
      </c>
      <c r="J40" s="630">
        <f>IF(AND(ISNUMBER(J35), ISNUMBER(J36), ISNUMBER(J37)), SUM(J35:J37), "")</f>
        <v>27661815.131962407</v>
      </c>
      <c r="L40" s="643">
        <f t="shared" si="17"/>
        <v>9.6981203095955933E-3</v>
      </c>
      <c r="M40" s="646">
        <f t="shared" si="18"/>
        <v>7.3346773211270727E-2</v>
      </c>
      <c r="N40" s="333"/>
      <c r="O40" s="646">
        <f t="shared" ref="O40" si="21">IF(AND(ISNUMBER(F40), ISNUMBER(I40)), IF(F40&lt;&gt;0, ((I40-F40)/F40), "EAD=0"), "")</f>
        <v>-8.1451521132035916E-3</v>
      </c>
      <c r="P40" s="644">
        <f t="shared" ref="P40" si="22">IF(AND(ISNUMBER(G40), ISNUMBER(J40)), IF(G40&lt;&gt;0, ((J40-G40)/G40), "RWA=0"), "")</f>
        <v>0.60153246977186647</v>
      </c>
      <c r="Q40" s="98"/>
      <c r="R40" s="98"/>
      <c r="S40" s="98"/>
      <c r="U40" s="336"/>
      <c r="V40" s="333"/>
      <c r="W40" s="334"/>
      <c r="X40" s="98"/>
      <c r="Y40" s="98"/>
      <c r="Z40" s="98"/>
      <c r="AA40" s="98"/>
      <c r="AB40" s="315"/>
    </row>
    <row r="41" spans="1:28" ht="60" customHeight="1" x14ac:dyDescent="0.35">
      <c r="A41" s="280" t="s">
        <v>210</v>
      </c>
      <c r="B41" s="95"/>
      <c r="C41" s="92"/>
      <c r="D41" s="92"/>
      <c r="E41" s="92"/>
      <c r="F41" s="92"/>
      <c r="G41" s="92"/>
      <c r="H41" s="92"/>
      <c r="I41" s="92"/>
      <c r="J41" s="92"/>
      <c r="K41" s="92"/>
      <c r="L41" s="92"/>
      <c r="M41" s="92"/>
      <c r="N41" s="92"/>
      <c r="O41" s="92"/>
      <c r="P41" s="92"/>
      <c r="Q41" s="92"/>
      <c r="R41" s="92"/>
      <c r="S41" s="92"/>
      <c r="T41" s="92"/>
      <c r="U41" s="92"/>
      <c r="V41" s="98"/>
      <c r="W41" s="98"/>
      <c r="X41" s="98"/>
      <c r="Y41" s="98"/>
      <c r="Z41" s="98"/>
      <c r="AA41" s="98"/>
      <c r="AB41" s="315"/>
    </row>
    <row r="42" spans="1:28" ht="15" customHeight="1" x14ac:dyDescent="0.35">
      <c r="A42" s="263"/>
      <c r="B42" s="2613" t="s">
        <v>169</v>
      </c>
      <c r="C42" s="2625" t="s">
        <v>170</v>
      </c>
      <c r="D42" s="2626"/>
      <c r="E42" s="2626"/>
      <c r="F42" s="2629" t="s">
        <v>171</v>
      </c>
      <c r="G42" s="2629"/>
      <c r="H42" s="1761"/>
      <c r="I42" s="2609" t="s">
        <v>172</v>
      </c>
      <c r="J42" s="2609"/>
      <c r="K42" s="557"/>
      <c r="L42" s="2600" t="s">
        <v>173</v>
      </c>
      <c r="M42" s="2620"/>
      <c r="N42" s="2620"/>
      <c r="O42" s="2620"/>
      <c r="P42" s="2620"/>
      <c r="Q42" s="2620"/>
      <c r="R42" s="2620"/>
      <c r="S42" s="2621"/>
      <c r="T42" s="557"/>
      <c r="U42" s="2632" t="s">
        <v>38</v>
      </c>
      <c r="V42" s="2601"/>
      <c r="W42" s="2601"/>
      <c r="X42" s="2601"/>
      <c r="Y42" s="2601"/>
      <c r="Z42" s="2601"/>
      <c r="AA42" s="2602"/>
      <c r="AB42" s="315"/>
    </row>
    <row r="43" spans="1:28" ht="30" customHeight="1" x14ac:dyDescent="0.4">
      <c r="A43" s="263"/>
      <c r="B43" s="2614"/>
      <c r="C43" s="2627"/>
      <c r="D43" s="2628"/>
      <c r="E43" s="2628"/>
      <c r="F43" s="2629" t="s">
        <v>211</v>
      </c>
      <c r="G43" s="2629"/>
      <c r="H43" s="1761"/>
      <c r="I43" s="2611"/>
      <c r="J43" s="2611"/>
      <c r="K43" s="557"/>
      <c r="L43" s="2585" t="s">
        <v>212</v>
      </c>
      <c r="M43" s="2586"/>
      <c r="N43" s="337"/>
      <c r="O43" s="2586" t="s">
        <v>213</v>
      </c>
      <c r="P43" s="2586"/>
      <c r="Q43" s="2622" t="s">
        <v>214</v>
      </c>
      <c r="R43" s="2622"/>
      <c r="S43" s="2597"/>
      <c r="T43" s="557"/>
      <c r="U43" s="2585" t="s">
        <v>174</v>
      </c>
      <c r="V43" s="2586"/>
      <c r="W43" s="2586"/>
      <c r="X43" s="2586"/>
      <c r="Y43" s="2586" t="s">
        <v>215</v>
      </c>
      <c r="Z43" s="2586"/>
      <c r="AA43" s="2587"/>
      <c r="AB43" s="315"/>
    </row>
    <row r="44" spans="1:28" ht="45" customHeight="1" x14ac:dyDescent="0.35">
      <c r="A44" s="263"/>
      <c r="B44" s="2615"/>
      <c r="C44" s="760" t="s">
        <v>216</v>
      </c>
      <c r="D44" s="770" t="s">
        <v>177</v>
      </c>
      <c r="E44" s="770" t="s">
        <v>217</v>
      </c>
      <c r="F44" s="770" t="s">
        <v>216</v>
      </c>
      <c r="G44" s="770" t="s">
        <v>177</v>
      </c>
      <c r="H44" s="1762"/>
      <c r="I44" s="770" t="s">
        <v>216</v>
      </c>
      <c r="J44" s="765" t="s">
        <v>177</v>
      </c>
      <c r="K44" s="761"/>
      <c r="L44" s="760" t="s">
        <v>218</v>
      </c>
      <c r="M44" s="770" t="s">
        <v>219</v>
      </c>
      <c r="N44" s="1763"/>
      <c r="O44" s="770" t="s">
        <v>218</v>
      </c>
      <c r="P44" s="770" t="s">
        <v>219</v>
      </c>
      <c r="Q44" s="770" t="s">
        <v>220</v>
      </c>
      <c r="R44" s="770" t="s">
        <v>171</v>
      </c>
      <c r="S44" s="765" t="s">
        <v>221</v>
      </c>
      <c r="T44" s="761"/>
      <c r="U44" s="764" t="s">
        <v>218</v>
      </c>
      <c r="V44" s="763" t="s">
        <v>219</v>
      </c>
      <c r="W44" s="1763"/>
      <c r="X44" s="763" t="s">
        <v>222</v>
      </c>
      <c r="Y44" s="770" t="s">
        <v>218</v>
      </c>
      <c r="Z44" s="770" t="s">
        <v>219</v>
      </c>
      <c r="AA44" s="765" t="s">
        <v>222</v>
      </c>
      <c r="AB44" s="315"/>
    </row>
    <row r="45" spans="1:28" ht="15" customHeight="1" x14ac:dyDescent="0.35">
      <c r="A45" s="263"/>
      <c r="B45" s="482" t="str">
        <f>SUBSTITUTE('Credit risk (SA)'!$B19, "; of which:", "")</f>
        <v>Sovereigns, PSEs, MDBs</v>
      </c>
      <c r="C45" s="616">
        <f>IF('General Info'!$C$11="No", 0, IF(ISNUMBER('Credit risk (SA)'!I19), 'Credit risk (SA)'!I19, ""))</f>
        <v>19485373</v>
      </c>
      <c r="D45" s="568">
        <f>IF('General Info'!$C$11="No", 0, IF(ISNUMBER('Credit risk (SA)'!M19), 'Credit risk (SA)'!M19, ""))</f>
        <v>665563</v>
      </c>
      <c r="E45" s="616">
        <f>IF('General Info'!$C$11="No", 0, IF(ISNUMBER('Credit risk (SA)'!N19), 'Credit risk (SA)'!N19, ""))</f>
        <v>3064</v>
      </c>
      <c r="F45" s="568">
        <f>IF('General Info'!$C$11="No", 0, IF(ISNUMBER('Credit risk (SA)'!W19), 'Credit risk (SA)'!W19, ""))</f>
        <v>19486131</v>
      </c>
      <c r="G45" s="568">
        <f>IF('General Info'!$C$11="No", 0, IF(ISNUMBER('Credit risk (SA)'!AA19), 'Credit risk (SA)'!AA19, ""))</f>
        <v>767435</v>
      </c>
      <c r="H45" s="619"/>
      <c r="I45" s="553">
        <f>IF(OR('General Info'!$C$11="No", 'General Info'!$C$19="No"), F45, IF(ISNUMBER('Credit risk (SA)'!AF19), 'Credit risk (SA)'!AF19, ""))</f>
        <v>19486131</v>
      </c>
      <c r="J45" s="511">
        <f>IF(OR('General Info'!$C$11="No", 'General Info'!$C$19="No"), G45, IF(ISNUMBER('Credit risk (SA)'!AH19), 'Credit risk (SA)'!AH19, ""))</f>
        <v>767435</v>
      </c>
      <c r="K45" s="370"/>
      <c r="L45" s="610">
        <f>IF(AND(ISNUMBER(C45), ISNUMBER(F45)), IF(C45&lt;&gt;0, ((F45-C45)/C45), "EAD=0"), "")</f>
        <v>3.8900974592582855E-5</v>
      </c>
      <c r="M45" s="611">
        <f>IF(AND(ISNUMBER(D45), ISNUMBER(G45)), IF(D45&lt;&gt;0, ((G45-D45)/D45), "RWA=0"), "")</f>
        <v>0.15306139313633721</v>
      </c>
      <c r="N45" s="555"/>
      <c r="O45" s="611">
        <f>IF(AND(ISNUMBER(F45), ISNUMBER(I45)), IF(F45&lt;&gt;0, ((I45-F45)/F45), "EAD=0"), "")</f>
        <v>0</v>
      </c>
      <c r="P45" s="611">
        <f>IF(AND(ISNUMBER(G45), ISNUMBER(J45)), IF(G45&lt;&gt;0, ((J45-G45)/G45), "RWA=0"), "")</f>
        <v>0</v>
      </c>
      <c r="Q45" s="611">
        <f>IF(AND(ISNUMBER(C45), ISNUMBER(D45)), IF(C45&lt;&gt;0, (D45/C45), "EAD,RWA=0"), "")</f>
        <v>3.4157057193619028E-2</v>
      </c>
      <c r="R45" s="611">
        <f>IF(AND(ISNUMBER(F45), ISNUMBER(G45)), IF(F45&lt;&gt;0, (G45/F45), "EAD,RWA=0"), "")</f>
        <v>3.9383651890670342E-2</v>
      </c>
      <c r="S45" s="612">
        <f>IF(AND(ISNUMBER(I45), ISNUMBER(J45)), IF(I45&lt;&gt;0, (J45/I45), "EAD,RWA=0"), "")</f>
        <v>3.9383651890670342E-2</v>
      </c>
      <c r="T45" s="370"/>
      <c r="U45" s="488" t="str">
        <f>IF(ISNUMBER(L45), IF(ABS(L45)&gt;0.5, "Error: diff above 50%", IF(ABS(L45)&gt;=0.3, "Warning: diff 30-50%", "Diff below 30%")),"")</f>
        <v>Diff below 30%</v>
      </c>
      <c r="V45" s="489" t="str">
        <f>IF(ISNUMBER(M45), IF(ABS(M45)&gt;0.5, "Error: diff above 50%", IF(ABS(M45)&gt;=0.3, "Warning: diff 30–50%", "Diff below 30%")),"")</f>
        <v>Diff below 30%</v>
      </c>
      <c r="W45" s="555"/>
      <c r="X45" s="489" t="str">
        <f>IF(AND(AND(ISNUMBER(Q45), ISNUMBER(R45)), AND(Q45&lt;&gt;0, R45&lt;&gt;0)), IF(R45/Q45&gt;1.5, "Error: RW increase &gt; 50%", IF(R45/Q45&gt;=1.25, "Warning: RW increase 25–50%", IF(R45/Q45&gt;=0.9, "RW change -10% to +25%", IF(R45/Q45&gt;=0.8,"Warning: RW decrease 10–20%", "Error: RW decrease &gt; 20%")))), "")</f>
        <v>RW change -10% to +25%</v>
      </c>
      <c r="Y45" s="489" t="str">
        <f>IF(ISNUMBER(O45), IF(ABS(O45)&gt;0.5, "Error: diff above 50%", IF(ABS(O45)&gt;=0.3, "Warning: diff 30–50%", "Diff below 30%")),"")</f>
        <v>Diff below 30%</v>
      </c>
      <c r="Z45" s="489" t="str">
        <f>IF(ISNUMBER(P45), IF(ABS(P45)&gt;0.5, "Error: diff above 50%", IF(ABS(P45)&gt;=0.3, "Warning: diff 30–50%", "Diff below 30%")),"")</f>
        <v>Diff below 30%</v>
      </c>
      <c r="AA45" s="1454" t="str">
        <f>IF(AND(AND(ISNUMBER(R45), ISNUMBER(S45)), AND(R45&lt;&gt;0, S45&lt;&gt;0)),IF(ABS((S45/R45)-1)&gt;0.3, "Error: diff &gt; 30%", IF(ABS((S45/R45)-1)&gt;=0.15, "Warning: diff 15–30%", "")),"")</f>
        <v/>
      </c>
      <c r="AB45" s="315"/>
    </row>
    <row r="46" spans="1:28" ht="15" customHeight="1" x14ac:dyDescent="0.35">
      <c r="A46" s="263"/>
      <c r="B46" s="152" t="str">
        <f>SUBSTITUTE('Credit risk (SA)'!$B24, "; of which:", "")</f>
        <v>Banks (excluding covered bonds)</v>
      </c>
      <c r="C46" s="617">
        <f>IF('General Info'!$C$11="No", 0, IF(ISNUMBER('Credit risk (SA)'!I24), 'Credit risk (SA)'!I24, ""))</f>
        <v>1665616.8698499999</v>
      </c>
      <c r="D46" s="375">
        <f>IF('General Info'!$C$11="No", 0, IF(ISNUMBER('Credit risk (SA)'!M24), 'Credit risk (SA)'!M24, ""))</f>
        <v>664276.68361999991</v>
      </c>
      <c r="E46" s="617">
        <f>IF('General Info'!$C$11="No", 0, IF(ISNUMBER('Credit risk (SA)'!N24), 'Credit risk (SA)'!N24, ""))</f>
        <v>0</v>
      </c>
      <c r="F46" s="375">
        <f>IF('General Info'!$C$11="No", 0, IF(ISNUMBER('Credit risk (SA)'!W24), 'Credit risk (SA)'!W24, ""))</f>
        <v>1669565.8698499999</v>
      </c>
      <c r="G46" s="375">
        <f>IF('General Info'!$C$11="No", 0, IF(ISNUMBER('Credit risk (SA)'!AA24), 'Credit risk (SA)'!AA24, ""))</f>
        <v>569093.64362700004</v>
      </c>
      <c r="H46" s="620"/>
      <c r="I46" s="297">
        <f>IF(OR('General Info'!$C$11="No", 'General Info'!$C$19="No"), F46, IF(ISNUMBER('Credit risk (SA)'!AF24), 'Credit risk (SA)'!AF24, ""))</f>
        <v>1669565.8698499999</v>
      </c>
      <c r="J46" s="702">
        <f>IF(OR('General Info'!$C$11="No", 'General Info'!$C$19="No"), G46, IF(ISNUMBER('Credit risk (SA)'!AH24), 'Credit risk (SA)'!AH24, ""))</f>
        <v>569093.64362700004</v>
      </c>
      <c r="K46" s="558"/>
      <c r="L46" s="613">
        <f t="shared" ref="L46:L64" si="23">IF(AND(ISNUMBER(C46), ISNUMBER(F46)), IF(C46&lt;&gt;0, ((F46-C46)/C46), "EAD=0"), "")</f>
        <v>2.3708933737898764E-3</v>
      </c>
      <c r="M46" s="614">
        <f t="shared" ref="M46:M64" si="24">IF(AND(ISNUMBER(D46), ISNUMBER(G46)), IF(D46&lt;&gt;0, ((G46-D46)/D46), "RWA=0"), "")</f>
        <v>-0.1432882447029398</v>
      </c>
      <c r="N46" s="301"/>
      <c r="O46" s="614">
        <f t="shared" ref="O46:O64" si="25">IF(AND(ISNUMBER(F46), ISNUMBER(I46)), IF(F46&lt;&gt;0, ((I46-F46)/F46), "EAD=0"), "")</f>
        <v>0</v>
      </c>
      <c r="P46" s="614">
        <f t="shared" ref="P46:P64" si="26">IF(AND(ISNUMBER(G46), ISNUMBER(J46)), IF(G46&lt;&gt;0, ((J46-G46)/G46), "RWA=0"), "")</f>
        <v>0</v>
      </c>
      <c r="Q46" s="614">
        <f t="shared" ref="Q46:Q64" si="27">IF(AND(ISNUMBER(C46), ISNUMBER(D46)), IF(C46&lt;&gt;0, (D46/C46), "EAD,RWA=0"), "")</f>
        <v>0.39881721639852419</v>
      </c>
      <c r="R46" s="614">
        <f t="shared" ref="R46:R64" si="28">IF(AND(ISNUMBER(F46), ISNUMBER(G46)), IF(F46&lt;&gt;0, (G46/F46), "EAD,RWA=0"), "")</f>
        <v>0.340863247089574</v>
      </c>
      <c r="S46" s="615">
        <f t="shared" ref="S46:S64" si="29">IF(AND(ISNUMBER(I46), ISNUMBER(J46)), IF(I46&lt;&gt;0, (J46/I46), "EAD,RWA=0"), "")</f>
        <v>0.340863247089574</v>
      </c>
      <c r="T46" s="558"/>
      <c r="U46" s="359" t="str">
        <f t="shared" ref="U46:U64" si="30">IF(ISNUMBER(L46), IF(ABS(L46)&gt;0.5, "Error: diff above 50%", IF(ABS(L46)&gt;=0.3, "Warning: diff 30-50%", "Diff below 30%")),"")</f>
        <v>Diff below 30%</v>
      </c>
      <c r="V46" s="352" t="str">
        <f>IF(ISNUMBER(M46),IF(M46&gt;0,IF(M46&gt;0.75,"Error: diff above 75%",IF(M46&gt;=0.5,"Warning: diff 50–75%")),IF(ABS(M46)&gt;=0.3,"Error: RW decrease &gt; 30%",IF(ABS(M46)&gt;=0.15,"Warning: RW decrease &gt; 15%","Diff between -15-50%"))),"")</f>
        <v>Diff between -15-50%</v>
      </c>
      <c r="W46" s="301"/>
      <c r="X46" s="352" t="str">
        <f>IF(AND(AND(ISNUMBER(Q46), ISNUMBER(R46)), AND(Q46&lt;&gt;0, R46&lt;&gt;0)), IF(R46/Q46&gt;1.75, "Error: RW increase &gt;75%", IF(R46/Q46&gt;=1.5, "Warning: RW increase 50–75%", IF(R46/Q46&gt;=0.9, "RW change -10% to +50%", IF(R46/Q46&gt;=0.8,"Warning: RW decrease 10–20%", "Error: RW decrease &gt; 20%")))), "")</f>
        <v>Warning: RW decrease 10–20%</v>
      </c>
      <c r="Y46" s="352" t="str">
        <f t="shared" ref="Y46:Y64" si="31">IF(ISNUMBER(O46), IF(ABS(O46)&gt;0.5, "Error: diff above 50%", IF(ABS(O46)&gt;=0.3, "Warning: diff 30–50%", "Diff below 30%")),"")</f>
        <v>Diff below 30%</v>
      </c>
      <c r="Z46" s="352" t="str">
        <f t="shared" ref="Z46:Z64" si="32">IF(ISNUMBER(P46), IF(ABS(P46)&gt;0.5, "Error: diff above 50%", IF(ABS(P46)&gt;=0.3, "Warning: diff 30–50%", "Diff below 30%")),"")</f>
        <v>Diff below 30%</v>
      </c>
      <c r="AA46" s="1455" t="str">
        <f t="shared" ref="AA46:AA63" si="33">IF(AND(AND(ISNUMBER(R46), ISNUMBER(S46)), AND(R46&lt;&gt;0, S46&lt;&gt;0)),IF(ABS((S46/R46)-1)&gt;0.3, "Error: diff &gt; 30%", IF(ABS((S46/R46)-1)&gt;=0.15, "Warning: diff 15–30%", "")),"")</f>
        <v/>
      </c>
      <c r="AB46" s="315"/>
    </row>
    <row r="47" spans="1:28" ht="15" customHeight="1" x14ac:dyDescent="0.35">
      <c r="A47" s="263"/>
      <c r="B47" s="152" t="str">
        <f>SUBSTITUTE('Credit risk (SA)'!$B51, "; of which:", "")</f>
        <v>Covered bonds</v>
      </c>
      <c r="C47" s="617">
        <f>IF('General Info'!$C$11="No", 0, IF(ISNUMBER('Credit risk (SA)'!I51), 'Credit risk (SA)'!I51, ""))</f>
        <v>0</v>
      </c>
      <c r="D47" s="375">
        <f>IF('General Info'!$C$11="No", 0, IF(ISNUMBER('Credit risk (SA)'!M51), 'Credit risk (SA)'!M51, ""))</f>
        <v>0</v>
      </c>
      <c r="E47" s="617">
        <f>IF('General Info'!$C$11="No", 0, IF(ISNUMBER('Credit risk (SA)'!N51), 'Credit risk (SA)'!N51, ""))</f>
        <v>0</v>
      </c>
      <c r="F47" s="375">
        <f>IF('General Info'!$C$11="No", 0, IF(ISNUMBER('Credit risk (SA)'!W51), 'Credit risk (SA)'!W51, ""))</f>
        <v>0</v>
      </c>
      <c r="G47" s="375">
        <f>IF('General Info'!$C$11="No", 0, IF(ISNUMBER('Credit risk (SA)'!AA51), 'Credit risk (SA)'!AA51, ""))</f>
        <v>0</v>
      </c>
      <c r="H47" s="620"/>
      <c r="I47" s="297">
        <f>IF(OR('General Info'!$C$11="No", 'General Info'!$C$19="No"), F47, IF(ISNUMBER('Credit risk (SA)'!AF51), 'Credit risk (SA)'!AF51, ""))</f>
        <v>0</v>
      </c>
      <c r="J47" s="702">
        <f>IF(OR('General Info'!$C$11="No", 'General Info'!$C$19="No"), G47, IF(ISNUMBER('Credit risk (SA)'!AH51), 'Credit risk (SA)'!AH51, ""))</f>
        <v>0</v>
      </c>
      <c r="K47" s="559"/>
      <c r="L47" s="613" t="str">
        <f t="shared" si="23"/>
        <v>EAD=0</v>
      </c>
      <c r="M47" s="614" t="str">
        <f t="shared" si="24"/>
        <v>RWA=0</v>
      </c>
      <c r="N47" s="301"/>
      <c r="O47" s="614" t="str">
        <f t="shared" si="25"/>
        <v>EAD=0</v>
      </c>
      <c r="P47" s="614" t="str">
        <f t="shared" si="26"/>
        <v>RWA=0</v>
      </c>
      <c r="Q47" s="614" t="str">
        <f t="shared" si="27"/>
        <v>EAD,RWA=0</v>
      </c>
      <c r="R47" s="614" t="str">
        <f t="shared" si="28"/>
        <v>EAD,RWA=0</v>
      </c>
      <c r="S47" s="615" t="str">
        <f t="shared" si="29"/>
        <v>EAD,RWA=0</v>
      </c>
      <c r="T47" s="559"/>
      <c r="U47" s="359" t="str">
        <f t="shared" si="30"/>
        <v/>
      </c>
      <c r="V47" s="352" t="str">
        <f t="shared" ref="V47:V64" si="34">IF(ISNUMBER(M47), IF(ABS(M47)&gt;0.5, "Error: diff above 50%", IF(ABS(M47)&gt;=0.3, "Warning: diff 30–50%", "Diff below 30%")),"")</f>
        <v/>
      </c>
      <c r="W47" s="301"/>
      <c r="X47" s="352" t="str">
        <f t="shared" ref="X47:X64" si="35">IF(AND(AND(ISNUMBER(Q47), ISNUMBER(R47)), AND(Q47&lt;&gt;0, R47&lt;&gt;0)), IF(R47/Q47&gt;1.5, "Error: RW increase &gt; 50%", IF(R47/Q47&gt;=1.25, "Warning: RW increase 25–50%", IF(R47/Q47&gt;=0.9, "RW change -10% to +25%", IF(R47/Q47&gt;=0.8,"Warning: RW decrease 10–20%", "Error: RW decrease &gt; 20%")))), "")</f>
        <v/>
      </c>
      <c r="Y47" s="352" t="str">
        <f t="shared" si="31"/>
        <v/>
      </c>
      <c r="Z47" s="352" t="str">
        <f t="shared" si="32"/>
        <v/>
      </c>
      <c r="AA47" s="1455" t="str">
        <f t="shared" si="33"/>
        <v/>
      </c>
      <c r="AB47" s="315"/>
    </row>
    <row r="48" spans="1:28" ht="15" customHeight="1" x14ac:dyDescent="0.35">
      <c r="A48" s="263"/>
      <c r="B48" s="152" t="str">
        <f>SUBSTITUTE('Credit risk (SA)'!$B66, "; of which:", "")</f>
        <v>Corporates (excluding SMEs)</v>
      </c>
      <c r="C48" s="617">
        <f>IF('General Info'!$C$11="No", 0, IF(ISNUMBER('Credit risk (SA)'!I66), 'Credit risk (SA)'!I66, ""))</f>
        <v>2550048.2388299992</v>
      </c>
      <c r="D48" s="375">
        <f>IF('General Info'!$C$11="No", 0, IF(ISNUMBER('Credit risk (SA)'!M66), 'Credit risk (SA)'!M66, ""))</f>
        <v>1917658.9682100001</v>
      </c>
      <c r="E48" s="617">
        <f>IF('General Info'!$C$11="No", 0, IF(ISNUMBER('Credit risk (SA)'!N66), 'Credit risk (SA)'!N66, ""))</f>
        <v>9519</v>
      </c>
      <c r="F48" s="375">
        <f>IF('General Info'!$C$11="No", 0, IF(ISNUMBER('Credit risk (SA)'!W66), 'Credit risk (SA)'!W66, ""))</f>
        <v>2578790.2388299992</v>
      </c>
      <c r="G48" s="375">
        <f>IF('General Info'!$C$11="No", 0, IF(ISNUMBER('Credit risk (SA)'!AA66), 'Credit risk (SA)'!AA66, ""))</f>
        <v>1903886.1492124996</v>
      </c>
      <c r="H48" s="620"/>
      <c r="I48" s="297">
        <f>IF(OR('General Info'!$C$11="No", 'General Info'!$C$19="No"), F48, IF(ISNUMBER('Credit risk (SA)'!AF66), 'Credit risk (SA)'!AF66, ""))</f>
        <v>2578790.2388299992</v>
      </c>
      <c r="J48" s="702">
        <f>IF(OR('General Info'!$C$11="No", 'General Info'!$C$19="No"), G48, IF(ISNUMBER('Credit risk (SA)'!AH66), 'Credit risk (SA)'!AH66, ""))</f>
        <v>1903886.1492124996</v>
      </c>
      <c r="K48" s="370"/>
      <c r="L48" s="613">
        <f t="shared" si="23"/>
        <v>1.1271159330376928E-2</v>
      </c>
      <c r="M48" s="614">
        <f t="shared" si="24"/>
        <v>-7.1821002721648795E-3</v>
      </c>
      <c r="N48" s="301"/>
      <c r="O48" s="614">
        <f t="shared" si="25"/>
        <v>0</v>
      </c>
      <c r="P48" s="614">
        <f t="shared" si="26"/>
        <v>0</v>
      </c>
      <c r="Q48" s="614">
        <f t="shared" si="27"/>
        <v>0.75200889889434053</v>
      </c>
      <c r="R48" s="614">
        <f t="shared" si="28"/>
        <v>0.7382865502377175</v>
      </c>
      <c r="S48" s="615">
        <f t="shared" si="29"/>
        <v>0.7382865502377175</v>
      </c>
      <c r="T48" s="370"/>
      <c r="U48" s="359" t="str">
        <f t="shared" si="30"/>
        <v>Diff below 30%</v>
      </c>
      <c r="V48" s="352" t="str">
        <f t="shared" si="34"/>
        <v>Diff below 30%</v>
      </c>
      <c r="W48" s="301"/>
      <c r="X48" s="352" t="str">
        <f t="shared" si="35"/>
        <v>RW change -10% to +25%</v>
      </c>
      <c r="Y48" s="352" t="str">
        <f t="shared" si="31"/>
        <v>Diff below 30%</v>
      </c>
      <c r="Z48" s="352" t="str">
        <f t="shared" si="32"/>
        <v>Diff below 30%</v>
      </c>
      <c r="AA48" s="1455" t="str">
        <f t="shared" si="33"/>
        <v/>
      </c>
      <c r="AB48" s="315"/>
    </row>
    <row r="49" spans="1:28" ht="15" customHeight="1" x14ac:dyDescent="0.35">
      <c r="A49" s="263"/>
      <c r="B49" s="152" t="str">
        <f>'Credit risk (SA)'!$B78</f>
        <v>Corporate SME exposures</v>
      </c>
      <c r="C49" s="617">
        <f>IF('General Info'!$C$11="No", 0, IF(ISNUMBER('Credit risk (SA)'!I78), 'Credit risk (SA)'!I78, ""))</f>
        <v>310586.76117000001</v>
      </c>
      <c r="D49" s="375">
        <f>IF('General Info'!$C$11="No", 0, IF(ISNUMBER('Credit risk (SA)'!M78), 'Credit risk (SA)'!M78, ""))</f>
        <v>227616.03179000001</v>
      </c>
      <c r="E49" s="617">
        <f>IF('General Info'!$C$11="No", 0, IF(ISNUMBER('Credit risk (SA)'!N78), 'Credit risk (SA)'!N78, ""))</f>
        <v>0</v>
      </c>
      <c r="F49" s="375">
        <f>IF('General Info'!$C$11="No", 0, IF(ISNUMBER('Credit risk (SA)'!W78), 'Credit risk (SA)'!W78, ""))</f>
        <v>345050.76117000001</v>
      </c>
      <c r="G49" s="375">
        <f>IF('General Info'!$C$11="No", 0, IF(ISNUMBER('Credit risk (SA)'!AA78), 'Credit risk (SA)'!AA78, ""))</f>
        <v>293293.14699450001</v>
      </c>
      <c r="H49" s="620"/>
      <c r="I49" s="297">
        <f>IF(OR('General Info'!$C$11="No", 'General Info'!$C$19="No"), F49, IF(ISNUMBER('Credit risk (SA)'!AF78), 'Credit risk (SA)'!AF78, ""))</f>
        <v>345050.76117000001</v>
      </c>
      <c r="J49" s="702">
        <f>IF(OR('General Info'!$C$11="No", 'General Info'!$C$19="No"), G49, IF(ISNUMBER('Credit risk (SA)'!AH78), 'Credit risk (SA)'!AH78, ""))</f>
        <v>293293.14699450001</v>
      </c>
      <c r="K49" s="370"/>
      <c r="L49" s="613">
        <f t="shared" si="23"/>
        <v>0.11096416302540368</v>
      </c>
      <c r="M49" s="614">
        <f t="shared" si="24"/>
        <v>0.28854345051184321</v>
      </c>
      <c r="N49" s="301"/>
      <c r="O49" s="614">
        <f t="shared" si="25"/>
        <v>0</v>
      </c>
      <c r="P49" s="614">
        <f t="shared" si="26"/>
        <v>0</v>
      </c>
      <c r="Q49" s="614">
        <f t="shared" si="27"/>
        <v>0.73285812612410128</v>
      </c>
      <c r="R49" s="614">
        <f t="shared" si="28"/>
        <v>0.85</v>
      </c>
      <c r="S49" s="615">
        <f t="shared" si="29"/>
        <v>0.85</v>
      </c>
      <c r="T49" s="370"/>
      <c r="U49" s="359" t="str">
        <f t="shared" si="30"/>
        <v>Diff below 30%</v>
      </c>
      <c r="V49" s="352" t="str">
        <f>IF(ISNUMBER(M49), IF(ABS(M49)&gt;0.5, "Error: diff above 50%", IF(ABS(M49)&gt;=0.3, "Warning: diff 30–50%", "Diff below 30%")),"")</f>
        <v>Diff below 30%</v>
      </c>
      <c r="W49" s="301"/>
      <c r="X49" s="352" t="str">
        <f>IF(AND(AND(ISNUMBER(Q49), ISNUMBER(R49)), AND(Q49&lt;&gt;0, R49&lt;&gt;0)), IF(R49/Q49&gt;1.3, "Error: RW increase &gt; 30%", IF(R49/Q49&gt;=1.15, "Warning: RW increase 15–30%", IF(R49/Q49&gt;=0.9, "RW change -10% to +15%", IF(R49/Q49&gt;=0.8,"Warning: RW decrease 10–20%", "Error: RW decrease &gt; 20%")))), "")</f>
        <v>Warning: RW increase 15–30%</v>
      </c>
      <c r="Y49" s="352" t="str">
        <f t="shared" si="31"/>
        <v>Diff below 30%</v>
      </c>
      <c r="Z49" s="352" t="str">
        <f t="shared" si="32"/>
        <v>Diff below 30%</v>
      </c>
      <c r="AA49" s="1455" t="str">
        <f t="shared" si="33"/>
        <v/>
      </c>
      <c r="AB49" s="315"/>
    </row>
    <row r="50" spans="1:28" ht="15" customHeight="1" x14ac:dyDescent="0.35">
      <c r="A50" s="263"/>
      <c r="B50" s="152" t="str">
        <f>SUBSTITUTE('Credit risk (SA)'!$B79, "; of which:", "")</f>
        <v>Specialised lending</v>
      </c>
      <c r="C50" s="617">
        <f>IF('General Info'!$C$11="No", 0, IF(ISNUMBER('Credit risk (SA)'!I79), 'Credit risk (SA)'!I79, ""))</f>
        <v>0</v>
      </c>
      <c r="D50" s="375">
        <f>IF('General Info'!$C$11="No", 0, IF(ISNUMBER('Credit risk (SA)'!M79), 'Credit risk (SA)'!M79, ""))</f>
        <v>0</v>
      </c>
      <c r="E50" s="617">
        <f>IF('General Info'!$C$11="No", 0, IF(ISNUMBER('Credit risk (SA)'!N79), 'Credit risk (SA)'!N79, ""))</f>
        <v>0</v>
      </c>
      <c r="F50" s="375">
        <f>IF('General Info'!$C$11="No", 0, IF(ISNUMBER('Credit risk (SA)'!W79), 'Credit risk (SA)'!W79, ""))</f>
        <v>0</v>
      </c>
      <c r="G50" s="375">
        <f>IF('General Info'!$C$11="No", 0, IF(ISNUMBER('Credit risk (SA)'!AA79), 'Credit risk (SA)'!AA79, ""))</f>
        <v>0</v>
      </c>
      <c r="H50" s="620"/>
      <c r="I50" s="297">
        <f>IF(OR('General Info'!$C$11="No", 'General Info'!$C$19="No"), F50, IF(ISNUMBER('Credit risk (SA)'!AF79), 'Credit risk (SA)'!AF79, ""))</f>
        <v>0</v>
      </c>
      <c r="J50" s="702">
        <f>IF(OR('General Info'!$C$11="No", 'General Info'!$C$19="No"), G50, IF(ISNUMBER('Credit risk (SA)'!AH79), 'Credit risk (SA)'!AH79, ""))</f>
        <v>0</v>
      </c>
      <c r="K50" s="370"/>
      <c r="L50" s="613" t="str">
        <f t="shared" si="23"/>
        <v>EAD=0</v>
      </c>
      <c r="M50" s="614" t="str">
        <f t="shared" si="24"/>
        <v>RWA=0</v>
      </c>
      <c r="N50" s="301"/>
      <c r="O50" s="614" t="str">
        <f t="shared" si="25"/>
        <v>EAD=0</v>
      </c>
      <c r="P50" s="614" t="str">
        <f t="shared" si="26"/>
        <v>RWA=0</v>
      </c>
      <c r="Q50" s="614" t="str">
        <f t="shared" si="27"/>
        <v>EAD,RWA=0</v>
      </c>
      <c r="R50" s="614" t="str">
        <f t="shared" si="28"/>
        <v>EAD,RWA=0</v>
      </c>
      <c r="S50" s="615" t="str">
        <f t="shared" si="29"/>
        <v>EAD,RWA=0</v>
      </c>
      <c r="T50" s="370"/>
      <c r="U50" s="359" t="str">
        <f t="shared" si="30"/>
        <v/>
      </c>
      <c r="V50" s="352" t="str">
        <f t="shared" si="34"/>
        <v/>
      </c>
      <c r="W50" s="301"/>
      <c r="X50" s="352" t="str">
        <f t="shared" si="35"/>
        <v/>
      </c>
      <c r="Y50" s="352" t="str">
        <f t="shared" si="31"/>
        <v/>
      </c>
      <c r="Z50" s="352" t="str">
        <f t="shared" si="32"/>
        <v/>
      </c>
      <c r="AA50" s="1455" t="str">
        <f t="shared" si="33"/>
        <v/>
      </c>
      <c r="AB50" s="315"/>
    </row>
    <row r="51" spans="1:28" ht="15" customHeight="1" x14ac:dyDescent="0.35">
      <c r="A51" s="263"/>
      <c r="B51" s="323" t="str">
        <f>SUBSTITUTE('Credit risk (SA)'!$B87, "; of which:", "")</f>
        <v>Equity exposures</v>
      </c>
      <c r="C51" s="617">
        <f>IF('General Info'!$C$11="No", 0, IF(ISNUMBER('Credit risk (SA)'!I87), 'Credit risk (SA)'!I87, ""))</f>
        <v>26374</v>
      </c>
      <c r="D51" s="375">
        <f>IF('General Info'!$C$11="No", 0, IF(ISNUMBER('Credit risk (SA)'!M87), 'Credit risk (SA)'!M87, ""))</f>
        <v>26374</v>
      </c>
      <c r="E51" s="617">
        <f>IF('General Info'!$C$11="No", 0, IF(ISNUMBER('Credit risk (SA)'!N87), 'Credit risk (SA)'!N87, ""))</f>
        <v>0</v>
      </c>
      <c r="F51" s="375">
        <f>IF('General Info'!$C$11="No", 0, IF(ISNUMBER('Credit risk (SA)'!W87), 'Credit risk (SA)'!W87, ""))</f>
        <v>26374</v>
      </c>
      <c r="G51" s="375">
        <f>IF('General Info'!$C$11="No", 0, IF(ISNUMBER('Credit risk (SA)'!AA87), 'Credit risk (SA)'!AA87, ""))</f>
        <v>65935</v>
      </c>
      <c r="H51" s="621"/>
      <c r="I51" s="297">
        <f>IF(OR('General Info'!$C$11="No", 'General Info'!$C$19="No"), F51, IF(ISNUMBER('Credit risk (SA)'!AF87), 'Credit risk (SA)'!AF87, ""))</f>
        <v>26374</v>
      </c>
      <c r="J51" s="702">
        <f>IF(OR('General Info'!$C$11="No", 'General Info'!$C$19="No"), G51, IF(ISNUMBER('Credit risk (SA)'!AH87), 'Credit risk (SA)'!AH87, ""))</f>
        <v>65935</v>
      </c>
      <c r="K51" s="370"/>
      <c r="L51" s="613">
        <f t="shared" si="23"/>
        <v>0</v>
      </c>
      <c r="M51" s="614">
        <f t="shared" si="24"/>
        <v>1.5</v>
      </c>
      <c r="N51" s="301"/>
      <c r="O51" s="614">
        <f t="shared" si="25"/>
        <v>0</v>
      </c>
      <c r="P51" s="614">
        <f t="shared" si="26"/>
        <v>0</v>
      </c>
      <c r="Q51" s="614">
        <f t="shared" si="27"/>
        <v>1</v>
      </c>
      <c r="R51" s="614">
        <f t="shared" si="28"/>
        <v>2.5</v>
      </c>
      <c r="S51" s="615">
        <f t="shared" si="29"/>
        <v>2.5</v>
      </c>
      <c r="T51" s="370"/>
      <c r="U51" s="359" t="str">
        <f t="shared" si="30"/>
        <v>Diff below 30%</v>
      </c>
      <c r="V51" s="352" t="str">
        <f>IF(ISNUMBER(M46),IF(M46&gt;0,IF(M46&gt;3,"Error: diff above 300%",IF(M46&gt;=2.7,"Warning: diff 270–300%")),IF(ABS(M46)&gt;=0.3,"Error: RW decrease &gt; 30%",IF(ABS(M46)&gt;=0.15,"Warning: RW decrease &gt; 15%","Diff between -15-2700%"))),"")</f>
        <v>Diff between -15-2700%</v>
      </c>
      <c r="W51" s="301"/>
      <c r="X51" s="352" t="str">
        <f>IF(AND(AND(ISNUMBER(Q51), ISNUMBER(R51)), AND(Q51&lt;&gt;0, R51&lt;&gt;0)), IF(R51/Q51&gt;4, "Error: RW increase &gt; 300%", IF(R51/Q51&gt;=3.7, "Warning: RW increase 270–200%", IF(R51/Q51&gt;=0.9, "RW change -10% to +270%", IF(R51/Q51&gt;=0.8,"Warning: RW decrease 10–20%", "Error: RW decrease &gt; 20%")))), "")</f>
        <v>RW change -10% to +270%</v>
      </c>
      <c r="Y51" s="352" t="str">
        <f t="shared" si="31"/>
        <v>Diff below 30%</v>
      </c>
      <c r="Z51" s="352" t="str">
        <f t="shared" si="32"/>
        <v>Diff below 30%</v>
      </c>
      <c r="AA51" s="1455" t="str">
        <f t="shared" si="33"/>
        <v/>
      </c>
      <c r="AB51" s="315"/>
    </row>
    <row r="52" spans="1:28" ht="30" customHeight="1" x14ac:dyDescent="0.35">
      <c r="A52" s="263"/>
      <c r="B52" s="762" t="str">
        <f>'Credit risk (SA)'!$B91</f>
        <v>Subordinated debt, capital instruments other than equity and other TLAC liabilities not deducted from capital</v>
      </c>
      <c r="C52" s="617">
        <f>IF('General Info'!$C$11="No", 0, IF(ISNUMBER('Credit risk (SA)'!I91), 'Credit risk (SA)'!I91, ""))</f>
        <v>0</v>
      </c>
      <c r="D52" s="375">
        <f>IF('General Info'!$C$11="No", 0, IF(ISNUMBER('Credit risk (SA)'!M91), 'Credit risk (SA)'!M91, ""))</f>
        <v>0</v>
      </c>
      <c r="E52" s="617">
        <f>IF('General Info'!$C$11="No", 0, IF(ISNUMBER('Credit risk (SA)'!N91), 'Credit risk (SA)'!N91, ""))</f>
        <v>0</v>
      </c>
      <c r="F52" s="375">
        <f>IF('General Info'!$C$11="No", 0, IF(ISNUMBER('Credit risk (SA)'!W91), 'Credit risk (SA)'!W91, ""))</f>
        <v>0</v>
      </c>
      <c r="G52" s="375">
        <f>IF('General Info'!$C$11="No", 0, IF(ISNUMBER('Credit risk (SA)'!AA91), 'Credit risk (SA)'!AA91, ""))</f>
        <v>0</v>
      </c>
      <c r="H52" s="620"/>
      <c r="I52" s="297">
        <f>IF(OR('General Info'!$C$11="No", 'General Info'!$C$19="No"), F52, IF(ISNUMBER('Credit risk (SA)'!AF91), 'Credit risk (SA)'!AF91, ""))</f>
        <v>0</v>
      </c>
      <c r="J52" s="702">
        <f>IF(OR('General Info'!$C$11="No", 'General Info'!$C$19="No"), G52, IF(ISNUMBER('Credit risk (SA)'!AH91), 'Credit risk (SA)'!AH91, ""))</f>
        <v>0</v>
      </c>
      <c r="K52" s="370"/>
      <c r="L52" s="613" t="str">
        <f t="shared" si="23"/>
        <v>EAD=0</v>
      </c>
      <c r="M52" s="614" t="str">
        <f t="shared" si="24"/>
        <v>RWA=0</v>
      </c>
      <c r="N52" s="301"/>
      <c r="O52" s="614" t="str">
        <f t="shared" si="25"/>
        <v>EAD=0</v>
      </c>
      <c r="P52" s="614" t="str">
        <f t="shared" si="26"/>
        <v>RWA=0</v>
      </c>
      <c r="Q52" s="614" t="str">
        <f t="shared" si="27"/>
        <v>EAD,RWA=0</v>
      </c>
      <c r="R52" s="614" t="str">
        <f t="shared" si="28"/>
        <v>EAD,RWA=0</v>
      </c>
      <c r="S52" s="615" t="str">
        <f t="shared" si="29"/>
        <v>EAD,RWA=0</v>
      </c>
      <c r="T52" s="370"/>
      <c r="U52" s="359" t="str">
        <f t="shared" si="30"/>
        <v/>
      </c>
      <c r="V52" s="352" t="str">
        <f>IF(ISNUMBER(M47),IF(M47&gt;0,IF(M47&gt;3,"Error: diff above 300%",IF(M47&gt;=2.7,"Warning: diff 270–300%")),IF(ABS(M47)&gt;=0.3,"Error: RW decrease &gt; 30%",IF(ABS(M47)&gt;=0.15,"Warning: RW decrease &gt; 15%","Diff between -15-2700%"))),"")</f>
        <v/>
      </c>
      <c r="W52" s="301"/>
      <c r="X52" s="352" t="str">
        <f>IF(AND(AND(ISNUMBER(Q52), ISNUMBER(R52)), AND(Q52&lt;&gt;0, R52&lt;&gt;0)), IF(R52/Q52&gt;4, "Error: RW increase &gt; 300%", IF(R52/Q52&gt;=3.7, "Warning: RW increase 270–200%", IF(R52/Q52&gt;=0.9, "RW change -10% to +270%", IF(R52/Q52&gt;=0.8,"Warning: RW decrease 10–20%", "Error: RW decrease &gt; 20%")))), "")</f>
        <v/>
      </c>
      <c r="Y52" s="352" t="str">
        <f t="shared" si="31"/>
        <v/>
      </c>
      <c r="Z52" s="352" t="str">
        <f t="shared" si="32"/>
        <v/>
      </c>
      <c r="AA52" s="1455" t="str">
        <f t="shared" si="33"/>
        <v/>
      </c>
      <c r="AB52" s="315"/>
    </row>
    <row r="53" spans="1:28" ht="15" customHeight="1" x14ac:dyDescent="0.35">
      <c r="A53" s="263"/>
      <c r="B53" s="323" t="str">
        <f>SUBSTITUTE('Credit risk (SA)'!$B92, "; of which:", "")</f>
        <v>Equity investment in funds</v>
      </c>
      <c r="C53" s="617">
        <f>IF('General Info'!$C$11="No", 0, IF(ISNUMBER('Credit risk (SA)'!I92), 'Credit risk (SA)'!I92, ""))</f>
        <v>4977</v>
      </c>
      <c r="D53" s="375">
        <f>IF('General Info'!$C$11="No", 0, IF(ISNUMBER('Credit risk (SA)'!M92), 'Credit risk (SA)'!M92, ""))</f>
        <v>1918</v>
      </c>
      <c r="E53" s="617">
        <f>IF('General Info'!$C$11="No", 0, IF(ISNUMBER('Credit risk (SA)'!N92), 'Credit risk (SA)'!N92, ""))</f>
        <v>0</v>
      </c>
      <c r="F53" s="375">
        <f>IF('General Info'!$C$11="No", 0, IF(ISNUMBER('Credit risk (SA)'!W92), 'Credit risk (SA)'!W92, ""))</f>
        <v>4977</v>
      </c>
      <c r="G53" s="375">
        <f>IF('General Info'!$C$11="No", 0, IF(ISNUMBER('Credit risk (SA)'!AA92), 'Credit risk (SA)'!AA92, ""))</f>
        <v>1918</v>
      </c>
      <c r="H53" s="620"/>
      <c r="I53" s="297">
        <f>IF(OR('General Info'!$C$11="No", 'General Info'!$C$19="No"), F53, IF(ISNUMBER('Credit risk (SA)'!AF92), 'Credit risk (SA)'!AF92, ""))</f>
        <v>4977</v>
      </c>
      <c r="J53" s="702">
        <f>IF(OR('General Info'!$C$11="No", 'General Info'!$C$19="No"), G53, IF(ISNUMBER('Credit risk (SA)'!AH92), 'Credit risk (SA)'!AH92, ""))</f>
        <v>1918</v>
      </c>
      <c r="K53" s="370"/>
      <c r="L53" s="613">
        <f t="shared" si="23"/>
        <v>0</v>
      </c>
      <c r="M53" s="614">
        <f t="shared" si="24"/>
        <v>0</v>
      </c>
      <c r="N53" s="301"/>
      <c r="O53" s="614">
        <f t="shared" si="25"/>
        <v>0</v>
      </c>
      <c r="P53" s="614">
        <f t="shared" si="26"/>
        <v>0</v>
      </c>
      <c r="Q53" s="614">
        <f t="shared" si="27"/>
        <v>0.38537271448663851</v>
      </c>
      <c r="R53" s="614">
        <f t="shared" si="28"/>
        <v>0.38537271448663851</v>
      </c>
      <c r="S53" s="615">
        <f t="shared" si="29"/>
        <v>0.38537271448663851</v>
      </c>
      <c r="T53" s="370"/>
      <c r="U53" s="359" t="str">
        <f t="shared" si="30"/>
        <v>Diff below 30%</v>
      </c>
      <c r="V53" s="352" t="str">
        <f t="shared" si="34"/>
        <v>Diff below 30%</v>
      </c>
      <c r="W53" s="301"/>
      <c r="X53" s="352" t="str">
        <f t="shared" si="35"/>
        <v>RW change -10% to +25%</v>
      </c>
      <c r="Y53" s="352" t="str">
        <f t="shared" si="31"/>
        <v>Diff below 30%</v>
      </c>
      <c r="Z53" s="352" t="str">
        <f t="shared" si="32"/>
        <v>Diff below 30%</v>
      </c>
      <c r="AA53" s="1455" t="str">
        <f t="shared" si="33"/>
        <v/>
      </c>
      <c r="AB53" s="315"/>
    </row>
    <row r="54" spans="1:28" ht="15" customHeight="1" x14ac:dyDescent="0.35">
      <c r="A54" s="263"/>
      <c r="B54" s="152" t="str">
        <f>SUBSTITUTE('Credit risk (SA)'!$B95, "; of which:", "")</f>
        <v>Retail exposures</v>
      </c>
      <c r="C54" s="617">
        <f>IF('General Info'!$C$11="No", 0, IF(ISNUMBER('Credit risk (SA)'!I95), 'Credit risk (SA)'!I95, ""))</f>
        <v>2263610</v>
      </c>
      <c r="D54" s="375">
        <f>IF('General Info'!$C$11="No", 0, IF(ISNUMBER('Credit risk (SA)'!M95), 'Credit risk (SA)'!M95, ""))</f>
        <v>1314178</v>
      </c>
      <c r="E54" s="617">
        <f>IF('General Info'!$C$11="No", 0, IF(ISNUMBER('Credit risk (SA)'!N95), 'Credit risk (SA)'!N95, ""))</f>
        <v>22787</v>
      </c>
      <c r="F54" s="375">
        <f>IF('General Info'!$C$11="No", 0, IF(ISNUMBER('Credit risk (SA)'!W95), 'Credit risk (SA)'!W95, ""))</f>
        <v>2310730</v>
      </c>
      <c r="G54" s="375">
        <f>IF('General Info'!$C$11="No", 0, IF(ISNUMBER('Credit risk (SA)'!AA95), 'Credit risk (SA)'!AA95, ""))</f>
        <v>1733047.5</v>
      </c>
      <c r="H54" s="620"/>
      <c r="I54" s="297">
        <f>IF(OR('General Info'!$C$11="No", 'General Info'!$C$19="No"), F54, IF(ISNUMBER('Credit risk (SA)'!AF95), 'Credit risk (SA)'!AF95, ""))</f>
        <v>2310730</v>
      </c>
      <c r="J54" s="702">
        <f>IF(OR('General Info'!$C$11="No", 'General Info'!$C$19="No"), G54, IF(ISNUMBER('Credit risk (SA)'!AH95), 'Credit risk (SA)'!AH95, ""))</f>
        <v>1733047.5</v>
      </c>
      <c r="K54" s="370"/>
      <c r="L54" s="613">
        <f t="shared" si="23"/>
        <v>2.081630669594144E-2</v>
      </c>
      <c r="M54" s="614">
        <f t="shared" si="24"/>
        <v>0.31873117644641746</v>
      </c>
      <c r="N54" s="301"/>
      <c r="O54" s="614">
        <f t="shared" si="25"/>
        <v>0</v>
      </c>
      <c r="P54" s="614">
        <f t="shared" si="26"/>
        <v>0</v>
      </c>
      <c r="Q54" s="614">
        <f t="shared" si="27"/>
        <v>0.58056732387646282</v>
      </c>
      <c r="R54" s="614">
        <f t="shared" si="28"/>
        <v>0.75</v>
      </c>
      <c r="S54" s="615">
        <f t="shared" si="29"/>
        <v>0.75</v>
      </c>
      <c r="T54" s="370"/>
      <c r="U54" s="359" t="str">
        <f t="shared" si="30"/>
        <v>Diff below 30%</v>
      </c>
      <c r="V54" s="352" t="str">
        <f t="shared" si="34"/>
        <v>Warning: diff 30–50%</v>
      </c>
      <c r="W54" s="301"/>
      <c r="X54" s="352" t="str">
        <f t="shared" si="35"/>
        <v>Warning: RW increase 25–50%</v>
      </c>
      <c r="Y54" s="352" t="str">
        <f t="shared" si="31"/>
        <v>Diff below 30%</v>
      </c>
      <c r="Z54" s="352" t="str">
        <f t="shared" si="32"/>
        <v>Diff below 30%</v>
      </c>
      <c r="AA54" s="1455" t="str">
        <f t="shared" si="33"/>
        <v/>
      </c>
      <c r="AB54" s="315"/>
    </row>
    <row r="55" spans="1:28" ht="15" customHeight="1" x14ac:dyDescent="0.35">
      <c r="A55" s="263"/>
      <c r="B55" s="152" t="str">
        <f>'Credit risk (SA)'!$B99</f>
        <v>Exposures secured by real estate; of which:</v>
      </c>
      <c r="C55" s="617">
        <f>IF('General Info'!$C$11="No", 0, IF(ISNUMBER('Credit risk (SA)'!I99), 'Credit risk (SA)'!I99, ""))</f>
        <v>312680</v>
      </c>
      <c r="D55" s="375">
        <f>IF('General Info'!$C$11="No", 0, IF(ISNUMBER('Credit risk (SA)'!M99), 'Credit risk (SA)'!M99, ""))</f>
        <v>108249</v>
      </c>
      <c r="E55" s="617">
        <f>IF('General Info'!$C$11="No", 0, IF(ISNUMBER('Credit risk (SA)'!N99), 'Credit risk (SA)'!N99, ""))</f>
        <v>0</v>
      </c>
      <c r="F55" s="375">
        <f>IF('General Info'!$C$11="No", 0, IF(ISNUMBER('Credit risk (SA)'!W99), 'Credit risk (SA)'!W99, ""))</f>
        <v>312680</v>
      </c>
      <c r="G55" s="375">
        <f>IF('General Info'!$C$11="No", 0, IF(ISNUMBER('Credit risk (SA)'!AA99), 'Credit risk (SA)'!AA99, ""))</f>
        <v>62536.000000000007</v>
      </c>
      <c r="H55" s="620"/>
      <c r="I55" s="297">
        <f>IF(OR('General Info'!$C$11="No", 'General Info'!$C$19="No"), F55, IF(ISNUMBER('Credit risk (SA)'!AF99), 'Credit risk (SA)'!AF99, ""))</f>
        <v>312680</v>
      </c>
      <c r="J55" s="702">
        <f>IF(OR('General Info'!$C$11="No", 'General Info'!$C$19="No"), G55, IF(ISNUMBER('Credit risk (SA)'!AH99), 'Credit risk (SA)'!AH99, ""))</f>
        <v>62536.000000000007</v>
      </c>
      <c r="K55" s="370"/>
      <c r="L55" s="613">
        <f t="shared" si="23"/>
        <v>0</v>
      </c>
      <c r="M55" s="614">
        <f t="shared" si="24"/>
        <v>-0.42229489417916094</v>
      </c>
      <c r="N55" s="301"/>
      <c r="O55" s="614">
        <f t="shared" si="25"/>
        <v>0</v>
      </c>
      <c r="P55" s="614">
        <f t="shared" si="26"/>
        <v>0</v>
      </c>
      <c r="Q55" s="614">
        <f t="shared" si="27"/>
        <v>0.34619739030318536</v>
      </c>
      <c r="R55" s="614">
        <f t="shared" si="28"/>
        <v>0.2</v>
      </c>
      <c r="S55" s="615">
        <f t="shared" si="29"/>
        <v>0.2</v>
      </c>
      <c r="T55" s="370"/>
      <c r="U55" s="359" t="str">
        <f t="shared" si="30"/>
        <v>Diff below 30%</v>
      </c>
      <c r="V55" s="352" t="str">
        <f t="shared" si="34"/>
        <v>Warning: diff 30–50%</v>
      </c>
      <c r="W55" s="301"/>
      <c r="X55" s="352" t="str">
        <f t="shared" si="35"/>
        <v>Error: RW decrease &gt; 20%</v>
      </c>
      <c r="Y55" s="352" t="str">
        <f t="shared" si="31"/>
        <v>Diff below 30%</v>
      </c>
      <c r="Z55" s="352" t="str">
        <f t="shared" si="32"/>
        <v>Diff below 30%</v>
      </c>
      <c r="AA55" s="1455" t="str">
        <f t="shared" si="33"/>
        <v/>
      </c>
      <c r="AB55" s="315"/>
    </row>
    <row r="56" spans="1:28" ht="15" customHeight="1" x14ac:dyDescent="0.35">
      <c r="A56" s="263"/>
      <c r="B56" s="164" t="str">
        <f>SUBSTITUTE('Credit risk (SA)'!$B100, "; of which:", "")</f>
        <v>general residential real estate</v>
      </c>
      <c r="C56" s="617">
        <f>IF('General Info'!$C$11="No", 0, IF(ISNUMBER('Credit risk (SA)'!I100), 'Credit risk (SA)'!I100, ""))</f>
        <v>312680</v>
      </c>
      <c r="D56" s="375">
        <f>IF('General Info'!$C$11="No", 0, IF(ISNUMBER('Credit risk (SA)'!M100), 'Credit risk (SA)'!M100, ""))</f>
        <v>108249</v>
      </c>
      <c r="E56" s="617">
        <f>IF('General Info'!$C$11="No", 0, IF(ISNUMBER('Credit risk (SA)'!N100), 'Credit risk (SA)'!N100, ""))</f>
        <v>0</v>
      </c>
      <c r="F56" s="375">
        <f>IF('General Info'!$C$11="No", 0, IF(ISNUMBER('Credit risk (SA)'!W100), 'Credit risk (SA)'!W100, ""))</f>
        <v>312680</v>
      </c>
      <c r="G56" s="375">
        <f>IF('General Info'!$C$11="No", 0, IF(ISNUMBER('Credit risk (SA)'!AA100), 'Credit risk (SA)'!AA100, ""))</f>
        <v>62536.000000000007</v>
      </c>
      <c r="H56" s="620"/>
      <c r="I56" s="297">
        <f>IF(OR('General Info'!$C$11="No", 'General Info'!$C$19="No"), F56, IF(ISNUMBER('Credit risk (SA)'!AF100), 'Credit risk (SA)'!AF100, ""))</f>
        <v>312680</v>
      </c>
      <c r="J56" s="702">
        <f>IF(OR('General Info'!$C$11="No", 'General Info'!$C$19="No"), G56, IF(ISNUMBER('Credit risk (SA)'!AH100), 'Credit risk (SA)'!AH100, ""))</f>
        <v>62536.000000000007</v>
      </c>
      <c r="K56" s="370"/>
      <c r="L56" s="613">
        <f t="shared" si="23"/>
        <v>0</v>
      </c>
      <c r="M56" s="614">
        <f t="shared" si="24"/>
        <v>-0.42229489417916094</v>
      </c>
      <c r="N56" s="301"/>
      <c r="O56" s="614">
        <f t="shared" si="25"/>
        <v>0</v>
      </c>
      <c r="P56" s="614">
        <f t="shared" si="26"/>
        <v>0</v>
      </c>
      <c r="Q56" s="614">
        <f t="shared" si="27"/>
        <v>0.34619739030318536</v>
      </c>
      <c r="R56" s="614">
        <f t="shared" si="28"/>
        <v>0.2</v>
      </c>
      <c r="S56" s="615">
        <f t="shared" si="29"/>
        <v>0.2</v>
      </c>
      <c r="T56" s="370"/>
      <c r="U56" s="359" t="str">
        <f t="shared" si="30"/>
        <v>Diff below 30%</v>
      </c>
      <c r="V56" s="352" t="str">
        <f t="shared" si="34"/>
        <v>Warning: diff 30–50%</v>
      </c>
      <c r="W56" s="301"/>
      <c r="X56" s="352" t="str">
        <f t="shared" si="35"/>
        <v>Error: RW decrease &gt; 20%</v>
      </c>
      <c r="Y56" s="352" t="str">
        <f t="shared" si="31"/>
        <v>Diff below 30%</v>
      </c>
      <c r="Z56" s="352" t="str">
        <f t="shared" si="32"/>
        <v>Diff below 30%</v>
      </c>
      <c r="AA56" s="1455" t="str">
        <f t="shared" si="33"/>
        <v/>
      </c>
      <c r="AB56" s="315"/>
    </row>
    <row r="57" spans="1:28" ht="15" customHeight="1" x14ac:dyDescent="0.35">
      <c r="A57" s="263"/>
      <c r="B57" s="164" t="str">
        <f>SUBSTITUTE('Credit risk (SA)'!$B113, "; of which:", "")</f>
        <v>general commercial real estate</v>
      </c>
      <c r="C57" s="617">
        <f>IF('General Info'!$C$11="No", 0, IF(ISNUMBER('Credit risk (SA)'!I113), 'Credit risk (SA)'!I113, ""))</f>
        <v>0</v>
      </c>
      <c r="D57" s="375">
        <f>IF('General Info'!$C$11="No", 0, IF(ISNUMBER('Credit risk (SA)'!M113), 'Credit risk (SA)'!M113, ""))</f>
        <v>0</v>
      </c>
      <c r="E57" s="617">
        <f>IF('General Info'!$C$11="No", 0, IF(ISNUMBER('Credit risk (SA)'!N113), 'Credit risk (SA)'!N113, ""))</f>
        <v>0</v>
      </c>
      <c r="F57" s="375">
        <f>IF('General Info'!$C$11="No", 0, IF(ISNUMBER('Credit risk (SA)'!W113), 'Credit risk (SA)'!W113, ""))</f>
        <v>0</v>
      </c>
      <c r="G57" s="375">
        <f>IF('General Info'!$C$11="No", 0, IF(ISNUMBER('Credit risk (SA)'!AA113), 'Credit risk (SA)'!AA113, ""))</f>
        <v>0</v>
      </c>
      <c r="H57" s="620"/>
      <c r="I57" s="297">
        <f>IF(OR('General Info'!$C$11="No", 'General Info'!$C$19="No"), F57, IF(ISNUMBER('Credit risk (SA)'!AF113), 'Credit risk (SA)'!AF113, ""))</f>
        <v>0</v>
      </c>
      <c r="J57" s="702">
        <f>IF(OR('General Info'!$C$11="No", 'General Info'!$C$19="No"), G57, IF(ISNUMBER('Credit risk (SA)'!AH113), 'Credit risk (SA)'!AH113, ""))</f>
        <v>0</v>
      </c>
      <c r="K57" s="370"/>
      <c r="L57" s="613" t="str">
        <f t="shared" si="23"/>
        <v>EAD=0</v>
      </c>
      <c r="M57" s="614" t="str">
        <f t="shared" si="24"/>
        <v>RWA=0</v>
      </c>
      <c r="N57" s="301"/>
      <c r="O57" s="614" t="str">
        <f t="shared" si="25"/>
        <v>EAD=0</v>
      </c>
      <c r="P57" s="614" t="str">
        <f t="shared" si="26"/>
        <v>RWA=0</v>
      </c>
      <c r="Q57" s="614" t="str">
        <f t="shared" si="27"/>
        <v>EAD,RWA=0</v>
      </c>
      <c r="R57" s="614" t="str">
        <f t="shared" si="28"/>
        <v>EAD,RWA=0</v>
      </c>
      <c r="S57" s="615" t="str">
        <f t="shared" si="29"/>
        <v>EAD,RWA=0</v>
      </c>
      <c r="T57" s="370"/>
      <c r="U57" s="359" t="str">
        <f t="shared" si="30"/>
        <v/>
      </c>
      <c r="V57" s="352" t="str">
        <f t="shared" si="34"/>
        <v/>
      </c>
      <c r="W57" s="301"/>
      <c r="X57" s="352" t="str">
        <f t="shared" si="35"/>
        <v/>
      </c>
      <c r="Y57" s="352" t="str">
        <f t="shared" si="31"/>
        <v/>
      </c>
      <c r="Z57" s="352" t="str">
        <f t="shared" si="32"/>
        <v/>
      </c>
      <c r="AA57" s="1455" t="str">
        <f t="shared" si="33"/>
        <v/>
      </c>
      <c r="AB57" s="315"/>
    </row>
    <row r="58" spans="1:28" ht="15" customHeight="1" x14ac:dyDescent="0.35">
      <c r="A58" s="263"/>
      <c r="B58" s="164" t="str">
        <f>SUBSTITUTE('Credit risk (SA)'!$B122, "; of which:", "")</f>
        <v>income producing residential real estate</v>
      </c>
      <c r="C58" s="617">
        <f>IF('General Info'!$C$11="No", 0, IF(ISNUMBER('Credit risk (SA)'!I122), 'Credit risk (SA)'!I122, ""))</f>
        <v>0</v>
      </c>
      <c r="D58" s="375">
        <f>IF('General Info'!$C$11="No", 0, IF(ISNUMBER('Credit risk (SA)'!M122), 'Credit risk (SA)'!M122, ""))</f>
        <v>0</v>
      </c>
      <c r="E58" s="617">
        <f>IF('General Info'!$C$11="No", 0, IF(ISNUMBER('Credit risk (SA)'!N122), 'Credit risk (SA)'!N122, ""))</f>
        <v>0</v>
      </c>
      <c r="F58" s="375">
        <f>IF('General Info'!$C$11="No", 0, IF(ISNUMBER('Credit risk (SA)'!W122), 'Credit risk (SA)'!W122, ""))</f>
        <v>0</v>
      </c>
      <c r="G58" s="375">
        <f>IF('General Info'!$C$11="No", 0, IF(ISNUMBER('Credit risk (SA)'!AA122), 'Credit risk (SA)'!AA122, ""))</f>
        <v>0</v>
      </c>
      <c r="H58" s="620"/>
      <c r="I58" s="297">
        <f>IF(OR('General Info'!$C$11="No", 'General Info'!$C$19="No"), F58, IF(ISNUMBER('Credit risk (SA)'!AF122), 'Credit risk (SA)'!AF122, ""))</f>
        <v>0</v>
      </c>
      <c r="J58" s="702">
        <f>IF(OR('General Info'!$C$11="No", 'General Info'!$C$19="No"), G58, IF(ISNUMBER('Credit risk (SA)'!AH122), 'Credit risk (SA)'!AH122, ""))</f>
        <v>0</v>
      </c>
      <c r="K58" s="370"/>
      <c r="L58" s="613" t="str">
        <f t="shared" si="23"/>
        <v>EAD=0</v>
      </c>
      <c r="M58" s="614" t="str">
        <f t="shared" si="24"/>
        <v>RWA=0</v>
      </c>
      <c r="N58" s="301"/>
      <c r="O58" s="614" t="str">
        <f t="shared" si="25"/>
        <v>EAD=0</v>
      </c>
      <c r="P58" s="614" t="str">
        <f t="shared" si="26"/>
        <v>RWA=0</v>
      </c>
      <c r="Q58" s="614" t="str">
        <f t="shared" si="27"/>
        <v>EAD,RWA=0</v>
      </c>
      <c r="R58" s="614" t="str">
        <f t="shared" si="28"/>
        <v>EAD,RWA=0</v>
      </c>
      <c r="S58" s="615" t="str">
        <f t="shared" si="29"/>
        <v>EAD,RWA=0</v>
      </c>
      <c r="T58" s="370"/>
      <c r="U58" s="359" t="str">
        <f t="shared" si="30"/>
        <v/>
      </c>
      <c r="V58" s="352" t="str">
        <f t="shared" si="34"/>
        <v/>
      </c>
      <c r="W58" s="301"/>
      <c r="X58" s="352" t="str">
        <f t="shared" si="35"/>
        <v/>
      </c>
      <c r="Y58" s="352" t="str">
        <f t="shared" si="31"/>
        <v/>
      </c>
      <c r="Z58" s="352" t="str">
        <f t="shared" si="32"/>
        <v/>
      </c>
      <c r="AA58" s="1455" t="str">
        <f t="shared" si="33"/>
        <v/>
      </c>
      <c r="AB58" s="315"/>
    </row>
    <row r="59" spans="1:28" ht="15" customHeight="1" x14ac:dyDescent="0.35">
      <c r="A59" s="263"/>
      <c r="B59" s="164" t="str">
        <f>SUBSTITUTE('Credit risk (SA)'!$B130, "; of which:", "")</f>
        <v>income producing commercial real estate</v>
      </c>
      <c r="C59" s="617">
        <f>IF('General Info'!$C$11="No", 0, IF(ISNUMBER('Credit risk (SA)'!I130), 'Credit risk (SA)'!I130, ""))</f>
        <v>0</v>
      </c>
      <c r="D59" s="375">
        <f>IF('General Info'!$C$11="No", 0, IF(ISNUMBER('Credit risk (SA)'!M130), 'Credit risk (SA)'!M130, ""))</f>
        <v>0</v>
      </c>
      <c r="E59" s="617">
        <f>IF('General Info'!$C$11="No", 0, IF(ISNUMBER('Credit risk (SA)'!N130), 'Credit risk (SA)'!N130, ""))</f>
        <v>0</v>
      </c>
      <c r="F59" s="375">
        <f>IF('General Info'!$C$11="No", 0, IF(ISNUMBER('Credit risk (SA)'!W130), 'Credit risk (SA)'!W130, ""))</f>
        <v>0</v>
      </c>
      <c r="G59" s="375">
        <f>IF('General Info'!$C$11="No", 0, IF(ISNUMBER('Credit risk (SA)'!AA130), 'Credit risk (SA)'!AA130, ""))</f>
        <v>0</v>
      </c>
      <c r="H59" s="620"/>
      <c r="I59" s="297">
        <f>IF(OR('General Info'!$C$11="No", 'General Info'!$C$19="No"), F59, IF(ISNUMBER('Credit risk (SA)'!AF130), 'Credit risk (SA)'!AF130, ""))</f>
        <v>0</v>
      </c>
      <c r="J59" s="702">
        <f>IF(OR('General Info'!$C$11="No", 'General Info'!$C$19="No"), G59, IF(ISNUMBER('Credit risk (SA)'!AH130), 'Credit risk (SA)'!AH130, ""))</f>
        <v>0</v>
      </c>
      <c r="K59" s="370"/>
      <c r="L59" s="613" t="str">
        <f t="shared" si="23"/>
        <v>EAD=0</v>
      </c>
      <c r="M59" s="614" t="str">
        <f t="shared" si="24"/>
        <v>RWA=0</v>
      </c>
      <c r="N59" s="301"/>
      <c r="O59" s="614" t="str">
        <f t="shared" si="25"/>
        <v>EAD=0</v>
      </c>
      <c r="P59" s="614" t="str">
        <f t="shared" si="26"/>
        <v>RWA=0</v>
      </c>
      <c r="Q59" s="614" t="str">
        <f t="shared" si="27"/>
        <v>EAD,RWA=0</v>
      </c>
      <c r="R59" s="614" t="str">
        <f t="shared" si="28"/>
        <v>EAD,RWA=0</v>
      </c>
      <c r="S59" s="615" t="str">
        <f t="shared" si="29"/>
        <v>EAD,RWA=0</v>
      </c>
      <c r="T59" s="370"/>
      <c r="U59" s="359" t="str">
        <f t="shared" si="30"/>
        <v/>
      </c>
      <c r="V59" s="352" t="str">
        <f t="shared" si="34"/>
        <v/>
      </c>
      <c r="W59" s="301"/>
      <c r="X59" s="352" t="str">
        <f t="shared" si="35"/>
        <v/>
      </c>
      <c r="Y59" s="352" t="str">
        <f t="shared" si="31"/>
        <v/>
      </c>
      <c r="Z59" s="352" t="str">
        <f t="shared" si="32"/>
        <v/>
      </c>
      <c r="AA59" s="1455" t="str">
        <f t="shared" si="33"/>
        <v/>
      </c>
      <c r="AB59" s="315"/>
    </row>
    <row r="60" spans="1:28" ht="15" customHeight="1" x14ac:dyDescent="0.35">
      <c r="A60" s="263"/>
      <c r="B60" s="164" t="str">
        <f>SUBSTITUTE('Credit risk (SA)'!$B135, "; of which:", "")</f>
        <v>land acquisition, development and construction</v>
      </c>
      <c r="C60" s="617">
        <f>IF('General Info'!$C$11="No", 0, IF(ISNUMBER('Credit risk (SA)'!I135), 'Credit risk (SA)'!I135, ""))</f>
        <v>0</v>
      </c>
      <c r="D60" s="375">
        <f>IF('General Info'!$C$11="No", 0, IF(ISNUMBER('Credit risk (SA)'!M135), 'Credit risk (SA)'!M135, ""))</f>
        <v>0</v>
      </c>
      <c r="E60" s="375">
        <f>IF('General Info'!$C$11="No", 0, IF(ISNUMBER('Credit risk (SA)'!N135), 'Credit risk (SA)'!N135, ""))</f>
        <v>0</v>
      </c>
      <c r="F60" s="375">
        <f>IF('General Info'!$C$11="No", 0, IF(ISNUMBER('Credit risk (SA)'!W135), 'Credit risk (SA)'!W135, ""))</f>
        <v>0</v>
      </c>
      <c r="G60" s="375">
        <f>IF('General Info'!$C$11="No", 0, IF(ISNUMBER('Credit risk (SA)'!AA135), 'Credit risk (SA)'!AA135, ""))</f>
        <v>0</v>
      </c>
      <c r="H60" s="620"/>
      <c r="I60" s="297">
        <f>IF(OR('General Info'!$C$11="No", 'General Info'!$C$19="No"), F60, IF(ISNUMBER('Credit risk (SA)'!AF135), 'Credit risk (SA)'!AF135, ""))</f>
        <v>0</v>
      </c>
      <c r="J60" s="702">
        <f>IF(OR('General Info'!$C$11="No", 'General Info'!$C$19="No"), G60, IF(ISNUMBER('Credit risk (SA)'!AH135), 'Credit risk (SA)'!AH135, ""))</f>
        <v>0</v>
      </c>
      <c r="K60" s="370"/>
      <c r="L60" s="613" t="str">
        <f t="shared" si="23"/>
        <v>EAD=0</v>
      </c>
      <c r="M60" s="614" t="str">
        <f t="shared" si="24"/>
        <v>RWA=0</v>
      </c>
      <c r="N60" s="301"/>
      <c r="O60" s="614" t="str">
        <f t="shared" si="25"/>
        <v>EAD=0</v>
      </c>
      <c r="P60" s="614" t="str">
        <f t="shared" si="26"/>
        <v>RWA=0</v>
      </c>
      <c r="Q60" s="614" t="str">
        <f t="shared" si="27"/>
        <v>EAD,RWA=0</v>
      </c>
      <c r="R60" s="614" t="str">
        <f t="shared" si="28"/>
        <v>EAD,RWA=0</v>
      </c>
      <c r="S60" s="615" t="str">
        <f t="shared" si="29"/>
        <v>EAD,RWA=0</v>
      </c>
      <c r="T60" s="370"/>
      <c r="U60" s="359" t="str">
        <f t="shared" si="30"/>
        <v/>
      </c>
      <c r="V60" s="352" t="str">
        <f t="shared" si="34"/>
        <v/>
      </c>
      <c r="W60" s="301"/>
      <c r="X60" s="352" t="str">
        <f t="shared" si="35"/>
        <v/>
      </c>
      <c r="Y60" s="352" t="str">
        <f t="shared" si="31"/>
        <v/>
      </c>
      <c r="Z60" s="352" t="str">
        <f t="shared" si="32"/>
        <v/>
      </c>
      <c r="AA60" s="1455" t="str">
        <f t="shared" si="33"/>
        <v/>
      </c>
      <c r="AB60" s="315"/>
    </row>
    <row r="61" spans="1:28" ht="15" customHeight="1" x14ac:dyDescent="0.35">
      <c r="A61" s="263"/>
      <c r="B61" s="152" t="str">
        <f>SUBSTITUTE('Credit risk (SA)'!$B138, "; of which:", "")</f>
        <v>Defaulted exposures</v>
      </c>
      <c r="C61" s="617">
        <f>IF('General Info'!$C$11="No", 0, IF(ISNUMBER('Credit risk (SA)'!I138), 'Credit risk (SA)'!I138, ""))</f>
        <v>35370</v>
      </c>
      <c r="D61" s="375">
        <f>IF('General Info'!$C$11="No", 0, IF(ISNUMBER('Credit risk (SA)'!M138), 'Credit risk (SA)'!M138, ""))</f>
        <v>46811</v>
      </c>
      <c r="E61" s="316"/>
      <c r="F61" s="375">
        <f>IF('General Info'!$C$11="No", 0, IF(ISNUMBER('Credit risk (SA)'!W138), 'Credit risk (SA)'!W138, ""))</f>
        <v>35672</v>
      </c>
      <c r="G61" s="375">
        <f>IF('General Info'!$C$11="No", 0, IF(ISNUMBER('Credit risk (SA)'!AA138), 'Credit risk (SA)'!AA138, ""))</f>
        <v>0</v>
      </c>
      <c r="H61" s="620"/>
      <c r="I61" s="297">
        <f>IF(OR('General Info'!$C$11="No", 'General Info'!$C$19="No"), F61, IF(ISNUMBER('Credit risk (SA)'!AF138), 'Credit risk (SA)'!AF138, ""))</f>
        <v>35672</v>
      </c>
      <c r="J61" s="702">
        <f>IF(OR('General Info'!$C$11="No", 'General Info'!$C$19="No"), G61, IF(ISNUMBER('Credit risk (SA)'!AH138), 'Credit risk (SA)'!AH138, ""))</f>
        <v>0</v>
      </c>
      <c r="K61" s="370"/>
      <c r="L61" s="613">
        <f t="shared" si="23"/>
        <v>8.5383093016680803E-3</v>
      </c>
      <c r="M61" s="614">
        <f t="shared" si="24"/>
        <v>-1</v>
      </c>
      <c r="N61" s="301"/>
      <c r="O61" s="614">
        <f t="shared" si="25"/>
        <v>0</v>
      </c>
      <c r="P61" s="614" t="str">
        <f t="shared" si="26"/>
        <v>RWA=0</v>
      </c>
      <c r="Q61" s="614">
        <f t="shared" si="27"/>
        <v>1.323466214305909</v>
      </c>
      <c r="R61" s="614">
        <f t="shared" si="28"/>
        <v>0</v>
      </c>
      <c r="S61" s="615">
        <f t="shared" si="29"/>
        <v>0</v>
      </c>
      <c r="T61" s="370"/>
      <c r="U61" s="359" t="str">
        <f t="shared" si="30"/>
        <v>Diff below 30%</v>
      </c>
      <c r="V61" s="352" t="str">
        <f t="shared" si="34"/>
        <v>Error: diff above 50%</v>
      </c>
      <c r="W61" s="301"/>
      <c r="X61" s="352" t="str">
        <f t="shared" si="35"/>
        <v/>
      </c>
      <c r="Y61" s="352" t="str">
        <f t="shared" si="31"/>
        <v>Diff below 30%</v>
      </c>
      <c r="Z61" s="352" t="str">
        <f t="shared" si="32"/>
        <v/>
      </c>
      <c r="AA61" s="1455" t="str">
        <f t="shared" si="33"/>
        <v/>
      </c>
      <c r="AB61" s="315"/>
    </row>
    <row r="62" spans="1:28" ht="15" customHeight="1" x14ac:dyDescent="0.35">
      <c r="A62" s="263"/>
      <c r="B62" s="152" t="str">
        <f>'Credit risk (SA)'!$B141</f>
        <v>Failed trades and non-DVP transactions</v>
      </c>
      <c r="C62" s="617">
        <f>IF('General Info'!$C$11="No", 0, IF(ISNUMBER('Credit risk (SA)'!I141), 'Credit risk (SA)'!I141, ""))</f>
        <v>0</v>
      </c>
      <c r="D62" s="375">
        <f>IF('General Info'!$C$11="No", 0, IF(ISNUMBER('Credit risk (SA)'!M141), 'Credit risk (SA)'!M141, ""))</f>
        <v>0</v>
      </c>
      <c r="E62" s="316"/>
      <c r="F62" s="375">
        <f>IF('General Info'!$C$11="No", 0, IF(ISNUMBER('Credit risk (SA)'!W141), 'Credit risk (SA)'!W141, ""))</f>
        <v>0</v>
      </c>
      <c r="G62" s="375">
        <f>IF('General Info'!$C$11="No", 0, IF(ISNUMBER('Credit risk (SA)'!AA141), 'Credit risk (SA)'!AA141, ""))</f>
        <v>0</v>
      </c>
      <c r="H62" s="620"/>
      <c r="I62" s="297">
        <f>IF(OR('General Info'!$C$11="No", 'General Info'!$C$19="No"), F62, IF(ISNUMBER('Credit risk (SA)'!AF141), 'Credit risk (SA)'!AF141, ""))</f>
        <v>0</v>
      </c>
      <c r="J62" s="702">
        <f>IF(OR('General Info'!$C$11="No", 'General Info'!$C$19="No"), G62, IF(ISNUMBER('Credit risk (SA)'!AH141), 'Credit risk (SA)'!AH141, ""))</f>
        <v>0</v>
      </c>
      <c r="K62" s="370"/>
      <c r="L62" s="613" t="str">
        <f t="shared" si="23"/>
        <v>EAD=0</v>
      </c>
      <c r="M62" s="614" t="str">
        <f t="shared" si="24"/>
        <v>RWA=0</v>
      </c>
      <c r="N62" s="301"/>
      <c r="O62" s="614" t="str">
        <f t="shared" si="25"/>
        <v>EAD=0</v>
      </c>
      <c r="P62" s="614" t="str">
        <f t="shared" si="26"/>
        <v>RWA=0</v>
      </c>
      <c r="Q62" s="614" t="str">
        <f t="shared" si="27"/>
        <v>EAD,RWA=0</v>
      </c>
      <c r="R62" s="614" t="str">
        <f t="shared" si="28"/>
        <v>EAD,RWA=0</v>
      </c>
      <c r="S62" s="615" t="str">
        <f t="shared" si="29"/>
        <v>EAD,RWA=0</v>
      </c>
      <c r="T62" s="370"/>
      <c r="U62" s="359" t="str">
        <f t="shared" si="30"/>
        <v/>
      </c>
      <c r="V62" s="352" t="str">
        <f t="shared" si="34"/>
        <v/>
      </c>
      <c r="W62" s="301"/>
      <c r="X62" s="352" t="str">
        <f t="shared" si="35"/>
        <v/>
      </c>
      <c r="Y62" s="352" t="str">
        <f t="shared" si="31"/>
        <v/>
      </c>
      <c r="Z62" s="352" t="str">
        <f t="shared" si="32"/>
        <v/>
      </c>
      <c r="AA62" s="1455" t="str">
        <f t="shared" si="33"/>
        <v/>
      </c>
      <c r="AB62" s="315"/>
    </row>
    <row r="63" spans="1:28" ht="15" customHeight="1" x14ac:dyDescent="0.35">
      <c r="A63" s="263"/>
      <c r="B63" s="631" t="str">
        <f>'Credit risk (SA)'!$B142</f>
        <v>Other assets</v>
      </c>
      <c r="C63" s="623">
        <f>IF('General Info'!$C$11="No", 0, IF(ISNUMBER('Credit risk (SA)'!I142), 'Credit risk (SA)'!I142, ""))</f>
        <v>1064532</v>
      </c>
      <c r="D63" s="624">
        <f>IF('General Info'!$C$11="No", 0, IF(ISNUMBER('Credit risk (SA)'!M142), 'Credit risk (SA)'!M142, ""))</f>
        <v>790744</v>
      </c>
      <c r="E63" s="624">
        <f>IF('General Info'!$C$11="No", 0, IF(ISNUMBER('Credit risk (SA)'!N142), 'Credit risk (SA)'!N142, ""))</f>
        <v>0</v>
      </c>
      <c r="F63" s="624">
        <f>IF('General Info'!$C$11="No", 0, IF(ISNUMBER('Credit risk (SA)'!W142), 'Credit risk (SA)'!W142, ""))</f>
        <v>1065365</v>
      </c>
      <c r="G63" s="624">
        <f>IF('General Info'!$C$11="No", 0, IF(ISNUMBER('Credit risk (SA)'!AA142), 'Credit risk (SA)'!AA142, ""))</f>
        <v>790744</v>
      </c>
      <c r="H63" s="632"/>
      <c r="I63" s="308">
        <f>IF(OR('General Info'!$C$11="No", 'General Info'!$C$19="No"), F63, IF(ISNUMBER('Credit risk (SA)'!AF142), 'Credit risk (SA)'!AF142, ""))</f>
        <v>1065365</v>
      </c>
      <c r="J63" s="625">
        <f>IF(OR('General Info'!$C$11="No", 'General Info'!$C$19="No"), G63, IF(ISNUMBER('Credit risk (SA)'!AH142), 'Credit risk (SA)'!AH142, ""))</f>
        <v>790744</v>
      </c>
      <c r="K63" s="370"/>
      <c r="L63" s="613">
        <f t="shared" si="23"/>
        <v>7.8250348509955551E-4</v>
      </c>
      <c r="M63" s="614">
        <f t="shared" si="24"/>
        <v>0</v>
      </c>
      <c r="N63" s="301"/>
      <c r="O63" s="614">
        <f t="shared" si="25"/>
        <v>0</v>
      </c>
      <c r="P63" s="614">
        <f t="shared" si="26"/>
        <v>0</v>
      </c>
      <c r="Q63" s="614">
        <f t="shared" si="27"/>
        <v>0.7428090466045173</v>
      </c>
      <c r="R63" s="614">
        <f t="shared" si="28"/>
        <v>0.74222825041183071</v>
      </c>
      <c r="S63" s="615">
        <f t="shared" si="29"/>
        <v>0.74222825041183071</v>
      </c>
      <c r="T63" s="370"/>
      <c r="U63" s="359" t="str">
        <f t="shared" si="30"/>
        <v>Diff below 30%</v>
      </c>
      <c r="V63" s="352" t="str">
        <f>IF(ISNUMBER(M63), IF(ABS(M63)&gt;0.3, "Error: diff above 30%", IF(ABS(M63)&gt;=0.15, "Warning: diff 15–30%", "Diff below 15%")),"")</f>
        <v>Diff below 15%</v>
      </c>
      <c r="W63" s="301"/>
      <c r="X63" s="352" t="str">
        <f>IF(AND(AND(ISNUMBER(Q63), ISNUMBER(R63)), AND(Q63&lt;&gt;0, R63&lt;&gt;0)), IF(R63/Q63&gt;1.3, "Error: RW increase &gt; 30%", IF(R63/Q63&gt;=1.15, "Warning: RW increase 15–30%", IF(R63/Q63&gt;=0.9, "RW change -10% to +15%", IF(R63/Q63&gt;=0.8,"Warning: RW decrease 10–20%", "Error: RW decrease &gt; 20%")))), "")</f>
        <v>RW change -10% to +15%</v>
      </c>
      <c r="Y63" s="352" t="str">
        <f t="shared" si="31"/>
        <v>Diff below 30%</v>
      </c>
      <c r="Z63" s="352" t="str">
        <f t="shared" si="32"/>
        <v>Diff below 30%</v>
      </c>
      <c r="AA63" s="1455" t="str">
        <f t="shared" si="33"/>
        <v/>
      </c>
      <c r="AB63" s="315"/>
    </row>
    <row r="64" spans="1:28" ht="15" customHeight="1" x14ac:dyDescent="0.35">
      <c r="A64" s="263"/>
      <c r="B64" s="662" t="str">
        <f>'Credit risk (SA)'!$B143</f>
        <v>Total standardised approach</v>
      </c>
      <c r="C64" s="635">
        <f>IF(AND(ISNUMBER(C45),ISNUMBER(C46),ISNUMBER(C47),ISNUMBER(C48),ISNUMBER(C49),ISNUMBER(C50),ISNUMBER(C51),ISNUMBER(C52),ISNUMBER(C53),ISNUMBER(C54),ISNUMBER(C55),ISNUMBER(C61),ISNUMBER(C62),ISNUMBER(C63)),SUM(C45,C46,C47,C48,C49,C50,C51,C52,C53,C54,C55,C61,C62,C63),"")</f>
        <v>27719167.869849999</v>
      </c>
      <c r="D64" s="628">
        <f>IF(AND(ISNUMBER(D45),ISNUMBER(D46),ISNUMBER(D47),ISNUMBER(D48),ISNUMBER(D49),ISNUMBER(D50),ISNUMBER(D51),ISNUMBER(D52),ISNUMBER(D53),ISNUMBER(D54),ISNUMBER(D55),ISNUMBER(D61),ISNUMBER(D62),ISNUMBER(D63)),SUM(D45,D46,D47,D48,D49,D50,D51,D52,D53,D54,D55,D61,D62,D63),"")</f>
        <v>5763388.6836200003</v>
      </c>
      <c r="E64" s="628">
        <f>IF(AND(ISNUMBER(E45),ISNUMBER(E46),ISNUMBER(E47),ISNUMBER(E48),ISNUMBER(E49),ISNUMBER(E50),ISNUMBER(E51),ISNUMBER(E52),ISNUMBER(E53),ISNUMBER(E54),ISNUMBER(E55),ISNUMBER(E63)),SUM(E45,E46,E47,E48,E49,E50,E51,E52,E53,E54,E55,E63),"")</f>
        <v>35370</v>
      </c>
      <c r="F64" s="628">
        <f>IF(AND(ISNUMBER(F45),ISNUMBER(F46),ISNUMBER(F47),ISNUMBER(F48),ISNUMBER(F49),ISNUMBER(F50),ISNUMBER(F51),ISNUMBER(F52),ISNUMBER(F53),ISNUMBER(F54),ISNUMBER(F55),ISNUMBER(F61),ISNUMBER(F62),ISNUMBER(F63)),SUM(F45,F46,F47,F48,F49,F50,F51,F52,F53,F54,F55,F61,F62,F63),"")</f>
        <v>27835335.869849999</v>
      </c>
      <c r="G64" s="628">
        <f>IF(AND(ISNUMBER(G45),ISNUMBER(G46),ISNUMBER(G47),ISNUMBER(G48),ISNUMBER(G49),ISNUMBER(G50),ISNUMBER(G51),ISNUMBER(G52),ISNUMBER(G53),ISNUMBER(G54),ISNUMBER(G55),ISNUMBER(G61),ISNUMBER(G62),ISNUMBER(G63)),SUM(G45,G46,G47,G48,G49,G50,G51,G52,G53,G54,G55,G61,G62,G63),"")</f>
        <v>6187888.4398339996</v>
      </c>
      <c r="H64" s="618"/>
      <c r="I64" s="628">
        <f>IF(AND(ISNUMBER(I45),ISNUMBER(I46),ISNUMBER(I47),ISNUMBER(I48),ISNUMBER(I49),ISNUMBER(I50),ISNUMBER(I51),ISNUMBER(I52),ISNUMBER(I53),ISNUMBER(I54),ISNUMBER(I55),ISNUMBER(I61),ISNUMBER(I62),ISNUMBER(I63)),SUM(I45,I46,I47,I48,I49,I50,I51,I52,I53,I54,I55,I61,I62,I63),"")</f>
        <v>27835335.869849999</v>
      </c>
      <c r="J64" s="633">
        <f>IF(AND(ISNUMBER(J45),ISNUMBER(J46),ISNUMBER(J47),ISNUMBER(J48),ISNUMBER(J49),ISNUMBER(J50),ISNUMBER(J51),ISNUMBER(J52),ISNUMBER(J53),ISNUMBER(J54),ISNUMBER(J55),ISNUMBER(J61),ISNUMBER(J62),ISNUMBER(J63)),SUM(J45,J46,J47,J48,J49,J50,J51,J52,J53,J54,J55,J61,J62,J63),"")</f>
        <v>6187888.4398339996</v>
      </c>
      <c r="K64" s="370"/>
      <c r="L64" s="633">
        <f t="shared" si="23"/>
        <v>4.190890597634259E-3</v>
      </c>
      <c r="M64" s="633">
        <f t="shared" si="24"/>
        <v>7.3654542408437718E-2</v>
      </c>
      <c r="N64" s="333"/>
      <c r="O64" s="633">
        <f t="shared" si="25"/>
        <v>0</v>
      </c>
      <c r="P64" s="633">
        <f t="shared" si="26"/>
        <v>0</v>
      </c>
      <c r="Q64" s="633">
        <f t="shared" si="27"/>
        <v>0.20792069627345522</v>
      </c>
      <c r="R64" s="633">
        <f t="shared" si="28"/>
        <v>0.22230335099122861</v>
      </c>
      <c r="S64" s="633">
        <f t="shared" si="29"/>
        <v>0.22230335099122861</v>
      </c>
      <c r="T64" s="370"/>
      <c r="U64" s="360" t="str">
        <f t="shared" si="30"/>
        <v>Diff below 30%</v>
      </c>
      <c r="V64" s="354" t="str">
        <f t="shared" si="34"/>
        <v>Diff below 30%</v>
      </c>
      <c r="W64" s="333"/>
      <c r="X64" s="354" t="str">
        <f t="shared" si="35"/>
        <v>RW change -10% to +25%</v>
      </c>
      <c r="Y64" s="354" t="str">
        <f t="shared" si="31"/>
        <v>Diff below 30%</v>
      </c>
      <c r="Z64" s="354" t="str">
        <f t="shared" si="32"/>
        <v>Diff below 30%</v>
      </c>
      <c r="AA64" s="1456" t="str">
        <f>IF(AND(AND(ISNUMBER(R64), ISNUMBER(S64)), AND(R64&lt;&gt;0, S64&lt;&gt;0)),IF(ABS((S64/R64)-1)&gt;0.3, "Error: diff &gt; 30%", IF(ABS((S64/R64)-1)&gt;=0.15, "Warning: diff 15–30%", "")),"")</f>
        <v/>
      </c>
      <c r="AB64" s="315"/>
    </row>
    <row r="65" spans="1:28" ht="60" customHeight="1" x14ac:dyDescent="0.35">
      <c r="A65" s="280" t="s">
        <v>223</v>
      </c>
      <c r="B65" s="95"/>
      <c r="C65" s="92"/>
      <c r="D65" s="92"/>
      <c r="E65" s="92"/>
      <c r="F65" s="92"/>
      <c r="G65" s="92"/>
      <c r="H65" s="92"/>
      <c r="I65" s="92"/>
      <c r="J65" s="92"/>
      <c r="K65" s="92"/>
      <c r="L65" s="92"/>
      <c r="M65" s="92"/>
      <c r="N65" s="92"/>
      <c r="O65" s="92"/>
      <c r="P65" s="92"/>
      <c r="Q65" s="92"/>
      <c r="R65" s="92"/>
      <c r="S65" s="92"/>
      <c r="T65" s="92"/>
      <c r="U65" s="92"/>
      <c r="V65" s="92"/>
      <c r="W65" s="98"/>
      <c r="X65" s="98"/>
      <c r="Y65" s="98"/>
      <c r="Z65" s="98"/>
      <c r="AA65" s="98"/>
      <c r="AB65" s="315"/>
    </row>
    <row r="66" spans="1:28" ht="15" customHeight="1" x14ac:dyDescent="0.35">
      <c r="A66" s="263"/>
      <c r="B66" s="2613" t="s">
        <v>169</v>
      </c>
      <c r="C66" s="2616" t="s">
        <v>170</v>
      </c>
      <c r="D66" s="2617"/>
      <c r="E66" s="2617"/>
      <c r="F66" s="2594" t="s">
        <v>171</v>
      </c>
      <c r="G66" s="2595"/>
      <c r="H66" s="2596"/>
      <c r="I66" s="2610" t="s">
        <v>172</v>
      </c>
      <c r="J66" s="2618"/>
      <c r="K66" s="557"/>
      <c r="L66" s="2600" t="s">
        <v>173</v>
      </c>
      <c r="M66" s="2620"/>
      <c r="N66" s="2620"/>
      <c r="O66" s="2620"/>
      <c r="P66" s="2620"/>
      <c r="Q66" s="2620"/>
      <c r="R66" s="2620"/>
      <c r="S66" s="2621"/>
      <c r="T66" s="557"/>
      <c r="U66" s="2601" t="s">
        <v>38</v>
      </c>
      <c r="V66" s="2601"/>
      <c r="W66" s="2601"/>
      <c r="X66" s="2601"/>
      <c r="Y66" s="2601"/>
      <c r="Z66" s="2601"/>
      <c r="AA66" s="2602"/>
      <c r="AB66" s="315"/>
    </row>
    <row r="67" spans="1:28" ht="15" customHeight="1" x14ac:dyDescent="0.4">
      <c r="A67" s="263"/>
      <c r="B67" s="2614"/>
      <c r="C67" s="2598" t="s">
        <v>224</v>
      </c>
      <c r="D67" s="2622"/>
      <c r="E67" s="2622"/>
      <c r="F67" s="2622" t="s">
        <v>224</v>
      </c>
      <c r="G67" s="2622"/>
      <c r="H67" s="2622"/>
      <c r="I67" s="2612"/>
      <c r="J67" s="2619"/>
      <c r="K67" s="560"/>
      <c r="L67" s="2623" t="s">
        <v>225</v>
      </c>
      <c r="M67" s="2624"/>
      <c r="N67" s="2624"/>
      <c r="O67" s="2622" t="s">
        <v>215</v>
      </c>
      <c r="P67" s="2622"/>
      <c r="Q67" s="2622" t="s">
        <v>214</v>
      </c>
      <c r="R67" s="2622"/>
      <c r="S67" s="2597"/>
      <c r="T67" s="560"/>
      <c r="U67" s="2585" t="s">
        <v>174</v>
      </c>
      <c r="V67" s="2586"/>
      <c r="W67" s="2586"/>
      <c r="X67" s="2586"/>
      <c r="Y67" s="2586" t="s">
        <v>215</v>
      </c>
      <c r="Z67" s="2586"/>
      <c r="AA67" s="2587"/>
      <c r="AB67" s="315"/>
    </row>
    <row r="68" spans="1:28" ht="45" customHeight="1" x14ac:dyDescent="0.35">
      <c r="A68" s="263"/>
      <c r="B68" s="2615"/>
      <c r="C68" s="760" t="s">
        <v>226</v>
      </c>
      <c r="D68" s="770" t="s">
        <v>177</v>
      </c>
      <c r="E68" s="770" t="s">
        <v>178</v>
      </c>
      <c r="F68" s="770" t="s">
        <v>226</v>
      </c>
      <c r="G68" s="770" t="s">
        <v>177</v>
      </c>
      <c r="H68" s="770" t="s">
        <v>178</v>
      </c>
      <c r="I68" s="770" t="s">
        <v>226</v>
      </c>
      <c r="J68" s="765" t="s">
        <v>177</v>
      </c>
      <c r="K68" s="761"/>
      <c r="L68" s="760" t="s">
        <v>218</v>
      </c>
      <c r="M68" s="770" t="s">
        <v>219</v>
      </c>
      <c r="N68" s="770" t="s">
        <v>227</v>
      </c>
      <c r="O68" s="770" t="s">
        <v>218</v>
      </c>
      <c r="P68" s="770" t="s">
        <v>219</v>
      </c>
      <c r="Q68" s="770" t="s">
        <v>220</v>
      </c>
      <c r="R68" s="770" t="s">
        <v>171</v>
      </c>
      <c r="S68" s="765" t="s">
        <v>221</v>
      </c>
      <c r="T68" s="761"/>
      <c r="U68" s="760" t="s">
        <v>218</v>
      </c>
      <c r="V68" s="770" t="s">
        <v>219</v>
      </c>
      <c r="W68" s="770" t="s">
        <v>227</v>
      </c>
      <c r="X68" s="770" t="s">
        <v>222</v>
      </c>
      <c r="Y68" s="770" t="s">
        <v>218</v>
      </c>
      <c r="Z68" s="770" t="s">
        <v>219</v>
      </c>
      <c r="AA68" s="765" t="s">
        <v>222</v>
      </c>
      <c r="AB68" s="315"/>
    </row>
    <row r="69" spans="1:28" ht="15" customHeight="1" x14ac:dyDescent="0.35">
      <c r="A69" s="263"/>
      <c r="B69" s="562" t="str">
        <f>SUBSTITUTE('Credit risk (IRB)'!$B$17, "; of which:", "")</f>
        <v>Large and mid-market general corporates</v>
      </c>
      <c r="C69" s="867">
        <f>IF(AND('General Info'!$C$12="No", 'General Info'!$C$13="No"), 0, IF('General Info'!$C$14="No", IF(ISNUMBER('Credit risk (IRB)'!H17), 'Credit risk (IRB)'!H17, ""), IF(AND(ISNUMBER($F$69), ISNUMBER($F$88), ISNUMBER('Credit risk (IRB)'!H17)), IF($F$69+$F$88&gt;0, $F$69/($F$69+$F$88), 1) * 'Credit risk (IRB)'!H17, "")))</f>
        <v>7038819.0710283425</v>
      </c>
      <c r="D69" s="867">
        <f>IF(AND('General Info'!$C$12="No", 'General Info'!$C$13="No"), 0, IF('General Info'!$C$14="No", IF(ISNUMBER('Credit risk (IRB)'!L17), 'Credit risk (IRB)'!L17, ""), IF(AND(ISNUMBER($F$69), ISNUMBER($F$88), ISNUMBER('Credit risk (IRB)'!L17)), IF($F$69+$F$88&gt;0, $F$69/($F$69+$F$88), 1) * 'Credit risk (IRB)'!L17, "")))</f>
        <v>2999206.4540788839</v>
      </c>
      <c r="E69" s="867">
        <f>IF(AND('General Info'!$C$12="No", 'General Info'!$C$13="No"), 0, IF('General Info'!$C$14="No", IF(ISNUMBER('Credit risk (IRB)'!M17), 'Credit risk (IRB)'!M17, ""), IF(AND(ISNUMBER($F$69), ISNUMBER($F$88), ISNUMBER('Credit risk (IRB)'!M17)), IF($F$69+$F$88&gt;0, $F$69/($F$69+$F$88), 1) * 'Credit risk (IRB)'!M17, "")))</f>
        <v>125145.49271110026</v>
      </c>
      <c r="F69" s="568">
        <f>IF(AND('General Info'!$C$12="No", 'General Info'!$C$13="No"), 0, IF(ISNUMBER('Credit risk (IRB)'!AU17),'Credit risk (IRB)'!AU17,""))</f>
        <v>7269284.2815366527</v>
      </c>
      <c r="G69" s="568">
        <f>IF(AND('General Info'!$C$12="No", 'General Info'!$C$13="No"), 0, IF(ISNUMBER('Credit risk (IRB)'!AY17),'Credit risk (IRB)'!AY17,""))</f>
        <v>3051538.5878720102</v>
      </c>
      <c r="H69" s="568">
        <f>IF(AND('General Info'!$C$12="No", 'General Info'!$C$13="No"), 0, IF(ISNUMBER('Credit risk (IRB)'!AZ17),'Credit risk (IRB)'!AZ17,""))</f>
        <v>125466.16059650043</v>
      </c>
      <c r="I69" s="867">
        <f>IF(AND('General Info'!$C$12="No", 'General Info'!$C$13="No"), 0, IF('General Info'!$C$14="No", IF(ISNUMBER('Credit risk (IRB)'!CO17), 'Credit risk (IRB)'!CO17, ""), IF(AND(ISNUMBER($F$69), ISNUMBER($F$88), ISNUMBER('Credit risk (IRB)'!CO17)), IF($F$69+$F$88&gt;0, $F$69/($F$69+$F$88) * 'Credit risk (IRB)'!CO17, 0), "")))</f>
        <v>7154046.0107566314</v>
      </c>
      <c r="J69" s="867">
        <f>IF(AND('General Info'!$C$12="No", 'General Info'!$C$13="No"), 0, IF('General Info'!$C$14="No", IF(ISNUMBER('Credit risk (IRB)'!CQ17), 'Credit risk (IRB)'!CQ17, ""), IF(AND(ISNUMBER($F$69), ISNUMBER($F$88), ISNUMBER('Credit risk (IRB)'!CQ17)), IF($F$69+$F$88&gt;0, $F$69/($F$69+$F$88) * 'Credit risk (IRB)'!CQ17, 0), "")))</f>
        <v>7094900.2286714213</v>
      </c>
      <c r="K69" s="370"/>
      <c r="L69" s="610">
        <f>IF(AND(ISNUMBER(C69), ISNUMBER(F69)), IF(C69&lt;&gt;0, ((F69-C69)/C69), "EAD=0"), "")</f>
        <v>3.2742027914441085E-2</v>
      </c>
      <c r="M69" s="611">
        <f>IF(AND(ISNUMBER(D69), ISNUMBER(G69)), IF(D69&lt;&gt;0, ((G69-D69)/D69), "RWA=0"), "")</f>
        <v>1.7448660035375447E-2</v>
      </c>
      <c r="N69" s="611">
        <f>IF(AND(ISNUMBER(E69), ISNUMBER(H69)), IF(E69&lt;&gt;0, ((H69-E69)/E69), "EL=0"), "")</f>
        <v>2.562360644825068E-3</v>
      </c>
      <c r="O69" s="611">
        <f>IF(AND(ISNUMBER(F69), ISNUMBER(I69)), IF(F69&lt;&gt;0, ((I69-F69)/F69), "EAD=0"), "")</f>
        <v>-1.585276711116065E-2</v>
      </c>
      <c r="P69" s="611">
        <f>IF(AND(ISNUMBER(G69), ISNUMBER(J69)), IF(G69&lt;&gt;0, ((J69-G69)/G69), "RWA=0"), "")</f>
        <v>1.3250239262479877</v>
      </c>
      <c r="Q69" s="611">
        <f>IF(AND(ISNUMBER(C69), ISNUMBER(D69)), IF(C69&lt;&gt;0, (D69/C69), "EAD,RWA=0"), "")</f>
        <v>0.42609511962362634</v>
      </c>
      <c r="R69" s="611">
        <f>IF(AND(ISNUMBER(F69), ISNUMBER(G69)), IF(F69&lt;&gt;0, (G69/F69), "EAD,RWA=0"), "")</f>
        <v>0.41978528692606665</v>
      </c>
      <c r="S69" s="612">
        <f>IF(AND(ISNUMBER(I69), ISNUMBER(J69)), IF(I69&lt;&gt;0, (J69/I69), "EAD,RWA=0"), "")</f>
        <v>0.99173254099899832</v>
      </c>
      <c r="T69" s="370"/>
      <c r="U69" s="488" t="str">
        <f>IF(ISNUMBER(L69), IF(ABS(L69)&gt;0.5, "Error: diff above 50%", IF(ABS(L69)&gt;=0.3, "Warning: diff 30–50%", "Diff below 30%")),"")</f>
        <v>Diff below 30%</v>
      </c>
      <c r="V69" s="489" t="str">
        <f>IF(ISNUMBER(M69), IF(ABS(M69)&gt;0.5, "Error: diff above 50%", IF(ABS(M69)&gt;=0.3, "Warning: diff 30–50%", "Diff below 30%")),"")</f>
        <v>Diff below 30%</v>
      </c>
      <c r="W69" s="489" t="str">
        <f>IF(ISNUMBER(N69), IF(ABS(N69)&gt;0.5,"Error: diff above 50%", IF(ABS(N69)&gt;=0.3, "Warning: diff 30–50%", "Diff below 30%")),"")</f>
        <v>Diff below 30%</v>
      </c>
      <c r="X69" s="489" t="str">
        <f>IF(AND(AND(ISNUMBER(Q69), ISNUMBER(R69)), AND(Q69&lt;&gt;0, R69&lt;&gt;0)), IF(R69/Q69&gt;1.5,"Error: RW increase &gt; 50%", IF(R69/Q69&gt;=1.25, "Warning: RW increase 25–50%", IF(R69/Q69&gt;=0.9, "RW change -10% to +25%", IF(R69/Q69&gt;=0.8,"Warning: RW decrease 10–20%", "Error: RW decrease &gt; 20%")))), "")</f>
        <v>RW change -10% to +25%</v>
      </c>
      <c r="Y69" s="489" t="str">
        <f>IF(ISNUMBER(O69), IF(ABS(O69)&gt;0.5, "Error: diff above 50%", IF(ABS(O69)&gt;=0.3, "Warning: diff 30–50%", "Diff below 30%")),"")</f>
        <v>Diff below 30%</v>
      </c>
      <c r="Z69" s="489" t="str">
        <f>IF(ISNUMBER(P69), IF(ABS(P69)&gt;0.5, "Error: diff above 50%", IF(ABS(P69)&gt;=0.3, "Warning: diff 30–50%", "Diff below 30%")),"")</f>
        <v>Error: diff above 50%</v>
      </c>
      <c r="AA69" s="525" t="str">
        <f>IF(AND(AND(ISNUMBER(R69), ISNUMBER(S69)), AND(R69&lt;&gt;0, S69&lt;&gt;0)), IF(S69/R69&gt;2, "Error: RW increase &gt; 100%", IF(S69/R69&gt;=1.8, "Warning: RW increase 80–100%", IF(S69/R69&gt;=0.9, "RW change -10% to +80%", IF(S69/R69&gt;=0.8, "Warning: RW decrease 10–20%", "Error: RW decrease &gt; 20%")))), "")</f>
        <v>Error: RW increase &gt; 100%</v>
      </c>
      <c r="AB69" s="315"/>
    </row>
    <row r="70" spans="1:28" ht="15" customHeight="1" x14ac:dyDescent="0.35">
      <c r="A70" s="263"/>
      <c r="B70" s="323" t="str">
        <f>SUBSTITUTE('Credit risk (IRB)'!$B$20, "; of which:", "")</f>
        <v>Specialised lending</v>
      </c>
      <c r="C70" s="868">
        <f>IF(AND('General Info'!$C$12="No",'General Info'!$C$13="No"), 0, IF('General Info'!$C$14="No", IF(ISNUMBER('Credit risk (IRB)'!H20), 'Credit risk (IRB)'!H20, ""), IF(AND(ISNUMBER($F$70),ISNUMBER($F$89),ISNUMBER('Credit risk (IRB)'!H20)),IF($F$70+$F$89&gt;0,$F$70/($F$70+$F$89), 1) *'Credit risk (IRB)'!H20, "")))</f>
        <v>0</v>
      </c>
      <c r="D70" s="868">
        <f>IF(AND('General Info'!$C$12="No",'General Info'!$C$13="No"), 0, IF('General Info'!$C$14="No", IF(ISNUMBER('Credit risk (IRB)'!L20), 'Credit risk (IRB)'!L20, ""), IF(AND(ISNUMBER($F$70),ISNUMBER($F$89),ISNUMBER('Credit risk (IRB)'!L20)),IF($F$70+$F$89&gt;0,$F$70/($F$70+$F$89), 1) * 'Credit risk (IRB)'!L20, "")))</f>
        <v>0</v>
      </c>
      <c r="E70" s="868">
        <f>IF(AND('General Info'!$C$12="No",'General Info'!$C$13="No"), 0, IF('General Info'!$C$14="No", IF(ISNUMBER('Credit risk (IRB)'!M20), 'Credit risk (IRB)'!M20, ""), IF(AND(ISNUMBER($F$70),ISNUMBER($F$89),ISNUMBER('Credit risk (IRB)'!M20)),IF($F$70+$F$89&gt;0,$F$70/($F$70+$F$89), 1) * 'Credit risk (IRB)'!M20, "")))</f>
        <v>0</v>
      </c>
      <c r="F70" s="375">
        <f>IF(AND('General Info'!$C$12="No", 'General Info'!$C$13="No"), 0, IF(ISNUMBER('Credit risk (IRB)'!AU20),'Credit risk (IRB)'!AU20,""))</f>
        <v>0</v>
      </c>
      <c r="G70" s="375">
        <f>IF(AND('General Info'!$C$12="No", 'General Info'!$C$13="No"), 0, IF(ISNUMBER('Credit risk (IRB)'!AY20),'Credit risk (IRB)'!AY20,""))</f>
        <v>0</v>
      </c>
      <c r="H70" s="375">
        <f>IF(AND('General Info'!$C$12="No", 'General Info'!$C$13="No"), 0, IF(ISNUMBER('Credit risk (IRB)'!AZ20),'Credit risk (IRB)'!AZ20,""))</f>
        <v>0</v>
      </c>
      <c r="I70" s="868">
        <f>IF(AND('General Info'!$C$12="No",'General Info'!$C$13="No"), 0, IF('General Info'!$C$14="No", IF(ISNUMBER('Credit risk (IRB)'!CO20), 'Credit risk (IRB)'!CO20, ""), IF(AND(ISNUMBER($F$70),ISNUMBER($F$89),ISNUMBER('Credit risk (IRB)'!CO20)),IF($F$70+$F$89&gt;0,$F$70/($F$70+$F$89)*'Credit risk (IRB)'!CO20, 0), "")))</f>
        <v>0</v>
      </c>
      <c r="J70" s="868">
        <f>IF(AND('General Info'!$C$12="No",'General Info'!$C$13="No"), 0, IF('General Info'!$C$14="No", IF(ISNUMBER('Credit risk (IRB)'!CQ20), 'Credit risk (IRB)'!CQ20, ""), IF(AND(ISNUMBER($F$70),ISNUMBER($F$89),ISNUMBER('Credit risk (IRB)'!CQ20)),IF($F$70+$F$89&gt;0,$F$70/($F$70+$F$89)*'Credit risk (IRB)'!CQ20, 0), "")))</f>
        <v>0</v>
      </c>
      <c r="K70" s="370"/>
      <c r="L70" s="613" t="str">
        <f t="shared" ref="L70:L83" si="36">IF(AND(ISNUMBER(C70), ISNUMBER(F70)), IF(C70&lt;&gt;0, ((F70-C70)/C70), "EAD=0"), "")</f>
        <v>EAD=0</v>
      </c>
      <c r="M70" s="614" t="str">
        <f t="shared" ref="M70:M83" si="37">IF(AND(ISNUMBER(D70), ISNUMBER(G70)), IF(D70&lt;&gt;0, ((G70-D70)/D70), "RWA=0"), "")</f>
        <v>RWA=0</v>
      </c>
      <c r="N70" s="614" t="str">
        <f t="shared" ref="N70:N83" si="38">IF(AND(ISNUMBER(E70), ISNUMBER(H70)), IF(E70&lt;&gt;0, ((H70-E70)/E70), "EL=0"), "")</f>
        <v>EL=0</v>
      </c>
      <c r="O70" s="614" t="str">
        <f t="shared" ref="O70:O83" si="39">IF(AND(ISNUMBER(F70), ISNUMBER(I70)), IF(F70&lt;&gt;0, ((I70-F70)/F70), "EAD=0"), "")</f>
        <v>EAD=0</v>
      </c>
      <c r="P70" s="614" t="str">
        <f t="shared" ref="P70:P83" si="40">IF(AND(ISNUMBER(G70), ISNUMBER(J70)), IF(G70&lt;&gt;0, ((J70-G70)/G70), "RWA=0"), "")</f>
        <v>RWA=0</v>
      </c>
      <c r="Q70" s="614" t="str">
        <f t="shared" ref="Q70:Q83" si="41">IF(AND(ISNUMBER(C70), ISNUMBER(D70)), IF(C70&lt;&gt;0, (D70/C70), "EAD,RWA=0"), "")</f>
        <v>EAD,RWA=0</v>
      </c>
      <c r="R70" s="614" t="str">
        <f t="shared" ref="R70:R83" si="42">IF(AND(ISNUMBER(F70), ISNUMBER(G70)), IF(F70&lt;&gt;0, (G70/F70), "EAD,RWA=0"), "")</f>
        <v>EAD,RWA=0</v>
      </c>
      <c r="S70" s="615" t="str">
        <f t="shared" ref="S70:S83" si="43">IF(AND(ISNUMBER(I70), ISNUMBER(J70)), IF(I70&lt;&gt;0, (J70/I70), "EAD,RWA=0"), "")</f>
        <v>EAD,RWA=0</v>
      </c>
      <c r="T70" s="370"/>
      <c r="U70" s="359" t="str">
        <f t="shared" ref="U70:U83" si="44">IF(ISNUMBER(L70), IF(ABS(L70)&gt;0.5, "Error: diff above 50%", IF(ABS(L70)&gt;=0.3, "Warning: diff 30–50%", "Diff below 30%")),"")</f>
        <v/>
      </c>
      <c r="V70" s="352" t="str">
        <f>IF(ISNUMBER(M70), IF(ABS(M70)&gt;0.75, "Error: diff above 75%", IF(ABS(M70)&gt;=0.5, "Warning: diff 50–75%", "Diff below 50%")),"")</f>
        <v/>
      </c>
      <c r="W70" s="352" t="str">
        <f t="shared" ref="W70:W83" si="45">IF(ISNUMBER(N70), IF(ABS(N70)&gt;0.5,"Error: diff above 50%", IF(ABS(N70)&gt;=0.3, "Warning: diff 30–50%", "Diff below 30%")),"")</f>
        <v/>
      </c>
      <c r="X70" s="352" t="str">
        <f t="shared" ref="X70:X83" si="46">IF(AND(AND(ISNUMBER(Q70), ISNUMBER(R70)), AND(Q70&lt;&gt;0, R70&lt;&gt;0)), IF(R70/Q70&gt;1.5,"Error: RW increase &gt; 50%", IF(R70/Q70&gt;=1.25, "Warning: RW increase 25–50%", IF(R70/Q70&gt;=0.9, "RW change -10% to +25%", IF(R70/Q70&gt;=0.8,"Warning: RW decrease 10–20%", "Error: RW decrease &gt; 20%")))), "")</f>
        <v/>
      </c>
      <c r="Y70" s="301"/>
      <c r="Z70" s="352" t="str">
        <f t="shared" ref="Z70:Z83" si="47">IF(ISNUMBER(P70), IF(ABS(P70)&gt;0.5, "Error: diff above 50%", IF(ABS(P70)&gt;=0.3, "Warning: diff 30–50%", "Diff below 30%")),"")</f>
        <v/>
      </c>
      <c r="AA70" s="356" t="str">
        <f>IF(AND(AND(ISNUMBER(R70), ISNUMBER(S70)), AND(R70&lt;&gt;0, S70&lt;&gt;0)), IF(S70/R70&gt;2, "Error: RW increase &gt; 100%", IF(S70/R70&gt;=1.75, "Warning: RW increase 75–100%", IF(S70/R70&gt;=0.9, "RW change -10% to +75%", IF(S70/R70&gt;=0.8, "Warning: RW decrease 10–20%", "Error: RW decrease &gt; 20%")))), "")</f>
        <v/>
      </c>
      <c r="AB70" s="315"/>
    </row>
    <row r="71" spans="1:28" ht="15" customHeight="1" x14ac:dyDescent="0.35">
      <c r="A71" s="263"/>
      <c r="B71" s="323" t="str">
        <f>'Credit risk (IRB)'!$B$36</f>
        <v>SME treated as corporate</v>
      </c>
      <c r="C71" s="868">
        <f>IF(AND('General Info'!$C$12="No", 'General Info'!$C$13="No"), 0, IF('General Info'!$C$14="No", IF(ISNUMBER('Credit risk (IRB)'!H36), 'Credit risk (IRB)'!H36, ""), IF(AND(ISNUMBER($F$71), ISNUMBER($F$90), ISNUMBER('Credit risk (IRB)'!H36)), IF($F$71+$F$90&gt;0, $F$71/($F$71+$F$90), 1) * 'Credit risk (IRB)'!H36, "")))</f>
        <v>7083538.9231891092</v>
      </c>
      <c r="D71" s="868">
        <f>IF(AND('General Info'!$C$12="No", 'General Info'!$C$13="No"), 0, IF('General Info'!$C$14="No", IF(ISNUMBER('Credit risk (IRB)'!L36), 'Credit risk (IRB)'!L36, ""), IF(AND(ISNUMBER($F$71), ISNUMBER($F$90), ISNUMBER('Credit risk (IRB)'!L36)), IF($F$71+$F$90&gt;0, $F$71/($F$71+$F$90), 1) * 'Credit risk (IRB)'!L36, "")))</f>
        <v>2342182.7937483187</v>
      </c>
      <c r="E71" s="868">
        <f>IF(AND('General Info'!$C$12="No", 'General Info'!$C$13="No"), 0, IF('General Info'!$C$14="No", IF(ISNUMBER('Credit risk (IRB)'!M36), 'Credit risk (IRB)'!M36, ""), IF(AND(ISNUMBER($F$71), ISNUMBER($F$90), ISNUMBER('Credit risk (IRB)'!M36)), IF($F$71+$F$90&gt;0, $F$71/($F$71+$F$90), 1) * 'Credit risk (IRB)'!M36, "")))</f>
        <v>97498.719733199774</v>
      </c>
      <c r="F71" s="375">
        <f>IF(AND('General Info'!$C$12="No", 'General Info'!$C$13="No"), 0, IF(ISNUMBER('Credit risk (IRB)'!AU36),'Credit risk (IRB)'!AU36,""))</f>
        <v>7429842.4756545499</v>
      </c>
      <c r="G71" s="375">
        <f>IF(AND('General Info'!$C$12="No", 'General Info'!$C$13="No"), 0, IF(ISNUMBER('Credit risk (IRB)'!AY36),'Credit risk (IRB)'!AY36,""))</f>
        <v>2893587.1808434711</v>
      </c>
      <c r="H71" s="375">
        <f>IF(AND('General Info'!$C$12="No", 'General Info'!$C$13="No"), 0, IF(ISNUMBER('Credit risk (IRB)'!AZ36),'Credit risk (IRB)'!AZ36,""))</f>
        <v>98909.753247555331</v>
      </c>
      <c r="I71" s="868">
        <f>IF(AND('General Info'!$C$12="No", 'General Info'!$C$13="No"), 0, IF('General Info'!$C$14="No", IF(ISNUMBER('Credit risk (IRB)'!CO36), 'Credit risk (IRB)'!CO36, ""), IF(AND(ISNUMBER($F$71), ISNUMBER($F$90), ISNUMBER('Credit risk (IRB)'!CO36)), IF($F$71+$F$90&gt;0, $F$71/($F$71+$F$90) * 'Credit risk (IRB)'!CO36, 0), "")))</f>
        <v>7345162.4429045841</v>
      </c>
      <c r="J71" s="868">
        <f>IF(AND('General Info'!$C$12="No", 'General Info'!$C$13="No"), 0, IF('General Info'!$C$14="No", IF(ISNUMBER('Credit risk (IRB)'!CQ36), 'Credit risk (IRB)'!CQ36, ""), IF(AND(ISNUMBER($F$71), ISNUMBER($F$90), ISNUMBER('Credit risk (IRB)'!CQ36)), IF($F$71+$F$90&gt;0, $F$71/($F$71+$F$90) * 'Credit risk (IRB)'!CQ36, 0), "")))</f>
        <v>7178565.0804836834</v>
      </c>
      <c r="K71" s="370"/>
      <c r="L71" s="613">
        <f t="shared" si="36"/>
        <v>4.8888494327568394E-2</v>
      </c>
      <c r="M71" s="614">
        <f t="shared" si="37"/>
        <v>0.23542329341968687</v>
      </c>
      <c r="N71" s="614">
        <f t="shared" si="38"/>
        <v>1.4472328644076325E-2</v>
      </c>
      <c r="O71" s="614">
        <f t="shared" si="39"/>
        <v>-1.1397285074002285E-2</v>
      </c>
      <c r="P71" s="614">
        <f t="shared" si="40"/>
        <v>1.4808532219136923</v>
      </c>
      <c r="Q71" s="614">
        <f t="shared" si="41"/>
        <v>0.33065150331577975</v>
      </c>
      <c r="R71" s="614">
        <f t="shared" si="42"/>
        <v>0.38945471459521808</v>
      </c>
      <c r="S71" s="615">
        <f t="shared" si="43"/>
        <v>0.97731876405513218</v>
      </c>
      <c r="T71" s="370"/>
      <c r="U71" s="359" t="str">
        <f t="shared" si="44"/>
        <v>Diff below 30%</v>
      </c>
      <c r="V71" s="352" t="str">
        <f t="shared" ref="V71:V83" si="48">IF(ISNUMBER(M71), IF(ABS(M71)&gt;0.5, "Error: diff above 50%", IF(ABS(M71)&gt;=0.3, "Warning: diff 30–50%", "Diff below 30%")),"")</f>
        <v>Diff below 30%</v>
      </c>
      <c r="W71" s="352" t="str">
        <f t="shared" si="45"/>
        <v>Diff below 30%</v>
      </c>
      <c r="X71" s="352" t="str">
        <f t="shared" si="46"/>
        <v>RW change -10% to +25%</v>
      </c>
      <c r="Y71" s="352" t="str">
        <f t="shared" ref="Y71:Y83" si="49">IF(ISNUMBER(O71), IF(ABS(O71)&gt;0.5, "Error: diff above 50%", IF(ABS(O71)&gt;=0.3, "Warning: diff 30–50%", "Diff below 30%")),"")</f>
        <v>Diff below 30%</v>
      </c>
      <c r="Z71" s="352" t="str">
        <f t="shared" si="47"/>
        <v>Error: diff above 50%</v>
      </c>
      <c r="AA71" s="356" t="str">
        <f>IF(AND(AND(ISNUMBER(R71), ISNUMBER(S71)), AND(R71&lt;&gt;0, S71&lt;&gt;0)), IF(S71/R71&gt;1.75, "Error: RW increase &gt; 75%", IF(S71/R71&gt;=1.5, "Warning: RW increase 50–75%", IF(S71/R71&gt;=0.9, "RW change -10% to +75%", IF(S71/R71&gt;=0.8, "Warning: RW decrease 10–20%", "Error: RW decrease &gt; 20%")))), "")</f>
        <v>Error: RW increase &gt; 75%</v>
      </c>
      <c r="AB71" s="315"/>
    </row>
    <row r="72" spans="1:28" ht="15" customHeight="1" x14ac:dyDescent="0.35">
      <c r="A72" s="263"/>
      <c r="B72" s="323" t="str">
        <f>'Credit risk (IRB)'!$B$37</f>
        <v>Financial institutions treated as corporates</v>
      </c>
      <c r="C72" s="868">
        <f>IF(AND('General Info'!$C$12="No", 'General Info'!$C$13="No"), 0, IF('General Info'!$C$14="No", IF(ISNUMBER('Credit risk (IRB)'!H37), 'Credit risk (IRB)'!H37, ""), IF(AND(ISNUMBER($F$72), ISNUMBER($F$91), ISNUMBER('Credit risk (IRB)'!H37)), IF($F$72+$F$91&gt;0, $F$72/($F$72+$F$91), 1) * 'Credit risk (IRB)'!H37,"")))</f>
        <v>311736.51509550004</v>
      </c>
      <c r="D72" s="868">
        <f>IF(AND('General Info'!$C$12="No", 'General Info'!$C$13="No"), 0, IF('General Info'!$C$14="No", IF(ISNUMBER('Credit risk (IRB)'!L37), 'Credit risk (IRB)'!L37, ""), IF(AND(ISNUMBER($F$72), ISNUMBER($F$91), ISNUMBER('Credit risk (IRB)'!L37)), IF($F$72+$F$91&gt;0, $F$72/($F$72+$F$91), 1) * 'Credit risk (IRB)'!L37,"")))</f>
        <v>152129.54033619998</v>
      </c>
      <c r="E72" s="868">
        <f>IF(AND('General Info'!$C$12="No", 'General Info'!$C$13="No"), 0, IF('General Info'!$C$14="No", IF(ISNUMBER('Credit risk (IRB)'!M37), 'Credit risk (IRB)'!M37, ""), IF(AND(ISNUMBER($F$72), ISNUMBER($F$91), ISNUMBER('Credit risk (IRB)'!M37)), IF($F$72+$F$91&gt;0, $F$72/($F$72+$F$91), 1) * 'Credit risk (IRB)'!M37,"")))</f>
        <v>680.56430729999977</v>
      </c>
      <c r="F72" s="375">
        <f>IF(AND('General Info'!$C$12="No", 'General Info'!$C$13="No"), 0, IF(ISNUMBER('Credit risk (IRB)'!AU37),'Credit risk (IRB)'!AU37,""))</f>
        <v>284748.67031680013</v>
      </c>
      <c r="G72" s="375">
        <f>IF(AND('General Info'!$C$12="No", 'General Info'!$C$13="No"), 0, IF(ISNUMBER('Credit risk (IRB)'!AY37),'Credit risk (IRB)'!AY37,""))</f>
        <v>221306.44478338474</v>
      </c>
      <c r="H72" s="375">
        <f>IF(AND('General Info'!$C$12="No", 'General Info'!$C$13="No"), 0, IF(ISNUMBER('Credit risk (IRB)'!AZ37),'Credit risk (IRB)'!AZ37,""))</f>
        <v>762.06341236774927</v>
      </c>
      <c r="I72" s="868">
        <f>IF(AND('General Info'!$C$12="No", 'General Info'!$C$13="No"), 0, IF('General Info'!$C$14="No", IF(ISNUMBER('Credit risk (IRB)'!CO37), 'Credit risk (IRB)'!CO37, ""), IF(AND(ISNUMBER($F$72), ISNUMBER($F$91), ISNUMBER('Credit risk (IRB)'!CO37)), IF($F$72+$F$91&gt;0, $F$72/($F$72+$F$91) * 'Credit risk (IRB)'!CO37, 0),"")))</f>
        <v>284462.36709680001</v>
      </c>
      <c r="J72" s="868">
        <f>IF(AND('General Info'!$C$12="No", 'General Info'!$C$13="No"), 0, IF('General Info'!$C$14="No", IF(ISNUMBER('Credit risk (IRB)'!CQ37), 'Credit risk (IRB)'!CQ37, ""), IF(AND(ISNUMBER($F$72), ISNUMBER($F$91), ISNUMBER('Credit risk (IRB)'!CQ37)), IF($F$72+$F$91&gt;0, $F$72/($F$72+$F$91) * 'Credit risk (IRB)'!CQ37, 0),"")))</f>
        <v>282601.20735840005</v>
      </c>
      <c r="K72" s="370"/>
      <c r="L72" s="613">
        <f t="shared" si="36"/>
        <v>-8.6572613318758082E-2</v>
      </c>
      <c r="M72" s="614">
        <f t="shared" si="37"/>
        <v>0.45472368018930887</v>
      </c>
      <c r="N72" s="614">
        <f t="shared" si="38"/>
        <v>0.11975224705962115</v>
      </c>
      <c r="O72" s="614">
        <f t="shared" si="39"/>
        <v>-1.0054593746885222E-3</v>
      </c>
      <c r="P72" s="614">
        <f t="shared" si="40"/>
        <v>0.27696781553294014</v>
      </c>
      <c r="Q72" s="614">
        <f t="shared" si="41"/>
        <v>0.48800680372523991</v>
      </c>
      <c r="R72" s="614">
        <f t="shared" si="42"/>
        <v>0.77719922111372086</v>
      </c>
      <c r="S72" s="615">
        <f t="shared" si="43"/>
        <v>0.99345727254752603</v>
      </c>
      <c r="T72" s="370"/>
      <c r="U72" s="359" t="str">
        <f t="shared" si="44"/>
        <v>Diff below 30%</v>
      </c>
      <c r="V72" s="352" t="str">
        <f t="shared" si="48"/>
        <v>Warning: diff 30–50%</v>
      </c>
      <c r="W72" s="352" t="str">
        <f t="shared" si="45"/>
        <v>Diff below 30%</v>
      </c>
      <c r="X72" s="352" t="str">
        <f t="shared" si="46"/>
        <v>Error: RW increase &gt; 50%</v>
      </c>
      <c r="Y72" s="352" t="str">
        <f t="shared" si="49"/>
        <v>Diff below 30%</v>
      </c>
      <c r="Z72" s="352" t="str">
        <f t="shared" si="47"/>
        <v>Diff below 30%</v>
      </c>
      <c r="AA72" s="356" t="str">
        <f>IF(AND(AND(ISNUMBER(R72), ISNUMBER(S72)), AND(R72&lt;&gt;0, S72&lt;&gt;0)), IF(S72/R72&gt;2, "Error: RW increase &gt; 100%", IF(S72/R72&gt;=1.8, "Warning: RW increase 80–100%", IF(S72/R72&gt;=0.9, "RW change -10% to +80%", IF(S72/R72&gt;=0.8, "Warning: RW decrease 10–20%", "Error: RW decrease &gt; 20%")))), "")</f>
        <v>RW change -10% to +80%</v>
      </c>
      <c r="AB72" s="315"/>
    </row>
    <row r="73" spans="1:28" ht="15" customHeight="1" x14ac:dyDescent="0.35">
      <c r="A73" s="263"/>
      <c r="B73" s="323" t="str">
        <f>'Credit risk (IRB)'!$B$38</f>
        <v>Sovereigns</v>
      </c>
      <c r="C73" s="868">
        <f>IF(AND('General Info'!$C$12="No", 'General Info'!$C$13="No"), 0,IF('General Info'!$C$14="No", IF(ISNUMBER('Credit risk (IRB)'!H38), 'Credit risk (IRB)'!H38, ""),IF(AND(ISNUMBER($F$73), ISNUMBER($F$92), ISNUMBER('Credit risk (IRB)'!H38)), IF($F$73+$F$92&gt;0, $F$73/($F$73+$F$92), 1) * 'Credit risk (IRB)'!H38,"")))</f>
        <v>0</v>
      </c>
      <c r="D73" s="868">
        <f>IF(AND('General Info'!$C$12="No", 'General Info'!$C$13="No"), 0,IF('General Info'!$C$14="No", IF(ISNUMBER('Credit risk (IRB)'!L38), 'Credit risk (IRB)'!L38, ""),IF(AND(ISNUMBER($F$73), ISNUMBER($F$92), ISNUMBER('Credit risk (IRB)'!L38)), IF($F$73+$F$92&gt;0, $F$73/($F$73+$F$92), 1) * 'Credit risk (IRB)'!L38,"")))</f>
        <v>0</v>
      </c>
      <c r="E73" s="868">
        <f>IF(AND('General Info'!$C$12="No", 'General Info'!$C$13="No"), 0,IF('General Info'!$C$14="No", IF(ISNUMBER('Credit risk (IRB)'!M38), 'Credit risk (IRB)'!M38, ""),IF(AND(ISNUMBER($F$73), ISNUMBER($F$92), ISNUMBER('Credit risk (IRB)'!M38)), IF($F$73+$F$92&gt;0, $F$73/($F$73+$F$92), 1) * 'Credit risk (IRB)'!M38,"")))</f>
        <v>0</v>
      </c>
      <c r="F73" s="375">
        <f>IF(AND('General Info'!$C$12="No", 'General Info'!$C$13="No"), 0, IF(ISNUMBER('Credit risk (IRB)'!AU38),'Credit risk (IRB)'!AU38,""))</f>
        <v>0</v>
      </c>
      <c r="G73" s="375">
        <f>IF(AND('General Info'!$C$12="No", 'General Info'!$C$13="No"), 0, IF(ISNUMBER('Credit risk (IRB)'!AY38),'Credit risk (IRB)'!AY38,""))</f>
        <v>0</v>
      </c>
      <c r="H73" s="375">
        <f>IF(AND('General Info'!$C$12="No", 'General Info'!$C$13="No"), 0, IF(ISNUMBER('Credit risk (IRB)'!AZ38),'Credit risk (IRB)'!AZ38,""))</f>
        <v>0</v>
      </c>
      <c r="I73" s="868">
        <f>IF(AND('General Info'!$C$12="No", 'General Info'!$C$13="No"), 0,IF('General Info'!$C$14="No", IF(ISNUMBER('Credit risk (IRB)'!CO38), 'Credit risk (IRB)'!CO38, ""),IF(AND(ISNUMBER($F$73), ISNUMBER($F$92), ISNUMBER('Credit risk (IRB)'!CO38)), IF($F$73+$F$92&gt;0, $F$73/($F$73+$F$92) * 'Credit risk (IRB)'!CO38, 0),"")))</f>
        <v>0</v>
      </c>
      <c r="J73" s="868">
        <f>IF(AND('General Info'!$C$12="No", 'General Info'!$C$13="No"), 0,IF('General Info'!$C$14="No", IF(ISNUMBER('Credit risk (IRB)'!CQ38), 'Credit risk (IRB)'!CQ38, ""),IF(AND(ISNUMBER($F$73), ISNUMBER($F$92), ISNUMBER('Credit risk (IRB)'!CQ38)), IF($F$73+$F$92&gt;0, $F$73/($F$73+$F$92) * 'Credit risk (IRB)'!CQ38, 0),"")))</f>
        <v>0</v>
      </c>
      <c r="K73" s="370"/>
      <c r="L73" s="613" t="str">
        <f t="shared" si="36"/>
        <v>EAD=0</v>
      </c>
      <c r="M73" s="614" t="str">
        <f t="shared" si="37"/>
        <v>RWA=0</v>
      </c>
      <c r="N73" s="614" t="str">
        <f t="shared" si="38"/>
        <v>EL=0</v>
      </c>
      <c r="O73" s="614" t="str">
        <f t="shared" si="39"/>
        <v>EAD=0</v>
      </c>
      <c r="P73" s="614" t="str">
        <f t="shared" si="40"/>
        <v>RWA=0</v>
      </c>
      <c r="Q73" s="614" t="str">
        <f t="shared" si="41"/>
        <v>EAD,RWA=0</v>
      </c>
      <c r="R73" s="614" t="str">
        <f t="shared" si="42"/>
        <v>EAD,RWA=0</v>
      </c>
      <c r="S73" s="615" t="str">
        <f t="shared" si="43"/>
        <v>EAD,RWA=0</v>
      </c>
      <c r="T73" s="370"/>
      <c r="U73" s="359" t="str">
        <f t="shared" si="44"/>
        <v/>
      </c>
      <c r="V73" s="352" t="str">
        <f t="shared" si="48"/>
        <v/>
      </c>
      <c r="W73" s="352" t="str">
        <f t="shared" si="45"/>
        <v/>
      </c>
      <c r="X73" s="352" t="str">
        <f>IF(AND(AND(ISNUMBER(Q73), ISNUMBER(R73)), AND(Q73&lt;&gt;0, R73&lt;&gt;0)), IF(ABS((R73/Q73)-1)&gt;0.2,"Error: RW change &gt; 20%", IF(ABS((R73/Q73)-1)&gt;=0.1, "Warning: RW change 10–20%","")),"")</f>
        <v/>
      </c>
      <c r="Y73" s="352" t="str">
        <f t="shared" si="49"/>
        <v/>
      </c>
      <c r="Z73" s="352" t="str">
        <f t="shared" si="47"/>
        <v/>
      </c>
      <c r="AA73" s="356" t="str">
        <f>IF(AND(AND(ISNUMBER(R73), ISNUMBER(S73)), AND(R73&lt;&gt;0, S73&lt;&gt;0)), IF(S73/R73&gt;2, "Error: RW increase &gt; 100%", IF(S73/R73&gt;=1.75, "Warning: RW increase 75-100%", IF(S73/R73&gt;=0.9, "RW change -10% to +75%", IF(S73/R73&gt;=0.8, "Warning: RW decrease 10–20%", "Error: RW decrease &gt; 20%")))), "")</f>
        <v/>
      </c>
      <c r="AB73" s="315"/>
    </row>
    <row r="74" spans="1:28" ht="15" customHeight="1" x14ac:dyDescent="0.35">
      <c r="A74" s="263"/>
      <c r="B74" s="323" t="str">
        <f>'Credit risk (IRB)'!$B$39</f>
        <v>Banks</v>
      </c>
      <c r="C74" s="868">
        <f>IF(AND('General Info'!$C$12="No", 'General Info'!$C$13="No"), 0, IF('General Info'!$C$14="No", IF(ISNUMBER('Credit risk (IRB)'!H39), 'Credit risk (IRB)'!H39, ""), IF(AND(ISNUMBER($F$74), ISNUMBER($F$93), ISNUMBER('Credit risk (IRB)'!H39)), IF($F$74+$F$93&gt;0, $F$74/($F$74+$F$93), 1) * 'Credit risk (IRB)'!H39,"")))</f>
        <v>0</v>
      </c>
      <c r="D74" s="868">
        <f>IF(AND('General Info'!$C$12="No", 'General Info'!$C$13="No"), 0, IF('General Info'!$C$14="No", IF(ISNUMBER('Credit risk (IRB)'!L39), 'Credit risk (IRB)'!L39, ""), IF(AND(ISNUMBER($F$74), ISNUMBER($F$93), ISNUMBER('Credit risk (IRB)'!L39)), IF($F$74+$F$93&gt;0, $F$74/($F$74+$F$93), 1) * 'Credit risk (IRB)'!L39,"")))</f>
        <v>0</v>
      </c>
      <c r="E74" s="868">
        <f>IF(AND('General Info'!$C$12="No", 'General Info'!$C$13="No"), 0, IF('General Info'!$C$14="No", IF(ISNUMBER('Credit risk (IRB)'!M39), 'Credit risk (IRB)'!M39, ""), IF(AND(ISNUMBER($F$74), ISNUMBER($F$93), ISNUMBER('Credit risk (IRB)'!M39)), IF($F$74+$F$93&gt;0, $F$74/($F$74+$F$93), 1) * 'Credit risk (IRB)'!M39,"")))</f>
        <v>0</v>
      </c>
      <c r="F74" s="375">
        <f>IF(AND('General Info'!$C$12="No", 'General Info'!$C$13="No"), 0, IF(ISNUMBER('Credit risk (IRB)'!AU39),'Credit risk (IRB)'!AU39,""))</f>
        <v>0</v>
      </c>
      <c r="G74" s="375">
        <f>IF(AND('General Info'!$C$12="No", 'General Info'!$C$13="No"), 0, IF(ISNUMBER('Credit risk (IRB)'!AY39),'Credit risk (IRB)'!AY39,""))</f>
        <v>0</v>
      </c>
      <c r="H74" s="375">
        <f>IF(AND('General Info'!$C$12="No", 'General Info'!$C$13="No"), 0, IF(ISNUMBER('Credit risk (IRB)'!AZ39),'Credit risk (IRB)'!AZ39,""))</f>
        <v>0</v>
      </c>
      <c r="I74" s="868">
        <f>IF(AND('General Info'!$C$12="No", 'General Info'!$C$13="No"), 0, IF('General Info'!$C$14="No", IF(ISNUMBER('Credit risk (IRB)'!CO39), 'Credit risk (IRB)'!CO39, ""), IF(AND(ISNUMBER($F$74), ISNUMBER($F$93), ISNUMBER('Credit risk (IRB)'!CO39)), IF($F$74+$F$93&gt;0, $F$74/($F$74+$F$93) * 'Credit risk (IRB)'!CO39, 0),"")))</f>
        <v>0</v>
      </c>
      <c r="J74" s="868">
        <f>IF(AND('General Info'!$C$12="No", 'General Info'!$C$13="No"), 0, IF('General Info'!$C$14="No", IF(ISNUMBER('Credit risk (IRB)'!CQ39), 'Credit risk (IRB)'!CQ39, ""), IF(AND(ISNUMBER($F$74), ISNUMBER($F$93), ISNUMBER('Credit risk (IRB)'!CQ39)), IF($F$74+$F$93&gt;0, $F$74/($F$74+$F$93) * 'Credit risk (IRB)'!CQ39, 0),"")))</f>
        <v>0</v>
      </c>
      <c r="K74" s="370"/>
      <c r="L74" s="613" t="str">
        <f t="shared" si="36"/>
        <v>EAD=0</v>
      </c>
      <c r="M74" s="614" t="str">
        <f t="shared" si="37"/>
        <v>RWA=0</v>
      </c>
      <c r="N74" s="614" t="str">
        <f t="shared" si="38"/>
        <v>EL=0</v>
      </c>
      <c r="O74" s="614" t="str">
        <f t="shared" si="39"/>
        <v>EAD=0</v>
      </c>
      <c r="P74" s="614" t="str">
        <f t="shared" si="40"/>
        <v>RWA=0</v>
      </c>
      <c r="Q74" s="614" t="str">
        <f t="shared" si="41"/>
        <v>EAD,RWA=0</v>
      </c>
      <c r="R74" s="614" t="str">
        <f t="shared" si="42"/>
        <v>EAD,RWA=0</v>
      </c>
      <c r="S74" s="615" t="str">
        <f t="shared" si="43"/>
        <v>EAD,RWA=0</v>
      </c>
      <c r="T74" s="370"/>
      <c r="U74" s="359" t="str">
        <f t="shared" si="44"/>
        <v/>
      </c>
      <c r="V74" s="352" t="str">
        <f t="shared" si="48"/>
        <v/>
      </c>
      <c r="W74" s="352" t="str">
        <f t="shared" si="45"/>
        <v/>
      </c>
      <c r="X74" s="352" t="str">
        <f t="shared" si="46"/>
        <v/>
      </c>
      <c r="Y74" s="352" t="str">
        <f t="shared" si="49"/>
        <v/>
      </c>
      <c r="Z74" s="352" t="str">
        <f t="shared" si="47"/>
        <v/>
      </c>
      <c r="AA74" s="356" t="str">
        <f>IF(AND(AND(ISNUMBER(R74), ISNUMBER(S74)), AND(R74&lt;&gt;0, S74&lt;&gt;0)), IF(S74/R74&gt;1.5, "Error: RW increase &gt; 50%", IF(S74/R74&gt;=1.25, "Warning: RW increase 25–50%", IF(S74/R74&gt;=0.9, "RW change -10% to +25%", IF(S74/R74&gt;=0.8, "Warning: RW decrease 10–20%", "Error: RW decrease &gt; 20%")))), "")</f>
        <v/>
      </c>
      <c r="AB74" s="315"/>
    </row>
    <row r="75" spans="1:28" ht="15" customHeight="1" x14ac:dyDescent="0.35">
      <c r="A75" s="263"/>
      <c r="B75" s="323" t="str">
        <f>'Credit risk (IRB)'!$B$40</f>
        <v>Retail residential mortgages</v>
      </c>
      <c r="C75" s="868">
        <f>IF(AND('General Info'!$C$12="No", 'General Info'!$C$13="No"), 0, IF('General Info'!$C$14="No", IF(ISNUMBER('Credit risk (IRB)'!H40), 'Credit risk (IRB)'!H40, ""), IF(AND(ISNUMBER($F$75), ISNUMBER($F$94), ISNUMBER('Credit risk (IRB)'!H40)), IF($F$75+$F$94&gt;0, $F$75/($F$75+$F$94), 1) * 'Credit risk (IRB)'!H40,"")))</f>
        <v>9354168.4852654804</v>
      </c>
      <c r="D75" s="868">
        <f>IF(AND('General Info'!$C$12="No", 'General Info'!$C$13="No"), 0, IF('General Info'!$C$14="No", IF(ISNUMBER('Credit risk (IRB)'!L40), 'Credit risk (IRB)'!L40, ""), IF(AND(ISNUMBER($F$75), ISNUMBER($F$94), ISNUMBER('Credit risk (IRB)'!L40)), IF($F$75+$F$94&gt;0, $F$75/($F$75+$F$94), 1) * 'Credit risk (IRB)'!L40,"")))</f>
        <v>2353995.0269878842</v>
      </c>
      <c r="E75" s="868">
        <f>IF(AND('General Info'!$C$12="No", 'General Info'!$C$13="No"), 0, IF('General Info'!$C$14="No", IF(ISNUMBER('Credit risk (IRB)'!M40), 'Credit risk (IRB)'!M40, ""), IF(AND(ISNUMBER($F$75), ISNUMBER($F$94), ISNUMBER('Credit risk (IRB)'!M40)), IF($F$75+$F$94&gt;0, $F$75/($F$75+$F$94), 1) * 'Credit risk (IRB)'!M40,"")))</f>
        <v>97305.302923199779</v>
      </c>
      <c r="F75" s="375">
        <f>IF(AND('General Info'!$C$12="No", 'General Info'!$C$13="No"), 0, IF(ISNUMBER('Credit risk (IRB)'!AU40),'Credit risk (IRB)'!AU40,""))</f>
        <v>9388418.0210489947</v>
      </c>
      <c r="G75" s="375">
        <f>IF(AND('General Info'!$C$12="No", 'General Info'!$C$13="No"), 0, IF(ISNUMBER('Credit risk (IRB)'!AY40),'Credit risk (IRB)'!AY40,""))</f>
        <v>2306102.2904252121</v>
      </c>
      <c r="H75" s="375">
        <f>IF(AND('General Info'!$C$12="No", 'General Info'!$C$13="No"), 0, IF(ISNUMBER('Credit risk (IRB)'!AZ40),'Credit risk (IRB)'!AZ40,""))</f>
        <v>98409.706127241414</v>
      </c>
      <c r="I75" s="868">
        <f>IF(AND('General Info'!$C$12="No", 'General Info'!$C$13="No"), 0, IF('General Info'!$C$14="No", IF(ISNUMBER('Credit risk (IRB)'!CO40), 'Credit risk (IRB)'!CO40, ""), IF(AND(ISNUMBER($F$75), ISNUMBER($F$94), ISNUMBER('Credit risk (IRB)'!CO40)), IF($F$75+$F$94&gt;0, $F$75/($F$75+$F$94) * 'Credit risk (IRB)'!CO40, 0),"")))</f>
        <v>9294280.233258618</v>
      </c>
      <c r="J75" s="868">
        <f>IF(AND('General Info'!$C$12="No", 'General Info'!$C$13="No"), 0, IF('General Info'!$C$14="No", IF(ISNUMBER('Credit risk (IRB)'!CQ40), 'Credit risk (IRB)'!CQ40, ""), IF(AND(ISNUMBER($F$75), ISNUMBER($F$94), ISNUMBER('Credit risk (IRB)'!CQ40)), IF($F$75+$F$94&gt;0, $F$75/($F$75+$F$94) * 'Credit risk (IRB)'!CQ40, 0),"")))</f>
        <v>2628908.2483446216</v>
      </c>
      <c r="K75" s="370"/>
      <c r="L75" s="613">
        <f t="shared" si="36"/>
        <v>3.661419594639934E-3</v>
      </c>
      <c r="M75" s="614">
        <f t="shared" si="37"/>
        <v>-2.0345300654247545E-2</v>
      </c>
      <c r="N75" s="614">
        <f t="shared" si="38"/>
        <v>1.1349876839839942E-2</v>
      </c>
      <c r="O75" s="614">
        <f t="shared" si="39"/>
        <v>-1.0027012812948695E-2</v>
      </c>
      <c r="P75" s="614">
        <f t="shared" si="40"/>
        <v>0.13997902836299977</v>
      </c>
      <c r="Q75" s="614">
        <f t="shared" si="41"/>
        <v>0.2516519806860284</v>
      </c>
      <c r="R75" s="614">
        <f t="shared" si="42"/>
        <v>0.2456326811668261</v>
      </c>
      <c r="S75" s="615">
        <f t="shared" si="43"/>
        <v>0.28285226853149381</v>
      </c>
      <c r="T75" s="370"/>
      <c r="U75" s="359" t="str">
        <f t="shared" si="44"/>
        <v>Diff below 30%</v>
      </c>
      <c r="V75" s="352" t="str">
        <f t="shared" si="48"/>
        <v>Diff below 30%</v>
      </c>
      <c r="W75" s="352" t="str">
        <f t="shared" si="45"/>
        <v>Diff below 30%</v>
      </c>
      <c r="X75" s="352" t="str">
        <f t="shared" si="46"/>
        <v>RW change -10% to +25%</v>
      </c>
      <c r="Y75" s="352" t="str">
        <f t="shared" si="49"/>
        <v>Diff below 30%</v>
      </c>
      <c r="Z75" s="352" t="str">
        <f t="shared" si="47"/>
        <v>Diff below 30%</v>
      </c>
      <c r="AA75" s="356" t="str">
        <f>IF(AND(AND(ISNUMBER(R75), ISNUMBER(S75)), AND(R75&lt;&gt;0, S75&lt;&gt;0)), IF(S75/R75&gt;2.75, "Error: RW increase &gt; 175%", IF(S75/R75&gt;=2.5, "Warning: RW increase 150–175%", IF(S75/R75&gt;=0.9, "RW change -10% to +175%", IF(S75/R75&gt;=0.8,"Warning: RW decrease 10–20%", "Error: RW decrease &gt; 20%")))), "")</f>
        <v>RW change -10% to +175%</v>
      </c>
      <c r="AB75" s="315"/>
    </row>
    <row r="76" spans="1:28" ht="15" customHeight="1" x14ac:dyDescent="0.35">
      <c r="A76" s="263"/>
      <c r="B76" s="323" t="str">
        <f>SUBSTITUTE('Credit risk (IRB)'!$B$41, "; of which:", "")</f>
        <v>Qualifying revolving retail exposures</v>
      </c>
      <c r="C76" s="868">
        <f>IF(AND('General Info'!$C$12="No", 'General Info'!$C$13="No"), 0, IF('General Info'!$C$14="No", IF(ISNUMBER('Credit risk (IRB)'!H41), 'Credit risk (IRB)'!H41, ""), IF(AND(ISNUMBER($F$76), ISNUMBER($F$95), ISNUMBER('Credit risk (IRB)'!H41)), IF($F$76+$F$95&gt;0, $F$76/($F$76+$F$95), 1) * 'Credit risk (IRB)'!H41,"")))</f>
        <v>437001.0818714354</v>
      </c>
      <c r="D76" s="868">
        <f>IF(AND('General Info'!$C$12="No", 'General Info'!$C$13="No"), 0, IF('General Info'!$C$14="No", IF(ISNUMBER('Credit risk (IRB)'!L41), 'Credit risk (IRB)'!L41, ""), IF(AND(ISNUMBER($F$76), ISNUMBER($F$95), ISNUMBER('Credit risk (IRB)'!L41)), IF($F$76+$F$95&gt;0, $F$76/($F$76+$F$95), 1) * 'Credit risk (IRB)'!L41,"")))</f>
        <v>104385.87685548617</v>
      </c>
      <c r="E76" s="868">
        <f>IF(AND('General Info'!$C$12="No", 'General Info'!$C$13="No"), 0, IF('General Info'!$C$14="No", IF(ISNUMBER('Credit risk (IRB)'!M41), 'Credit risk (IRB)'!M41, ""), IF(AND(ISNUMBER($F$76), ISNUMBER($F$95), ISNUMBER('Credit risk (IRB)'!M41)), IF($F$76+$F$95&gt;0, $F$76/($F$76+$F$95), 1) * 'Credit risk (IRB)'!M41,"")))</f>
        <v>20255.157822899928</v>
      </c>
      <c r="F76" s="375">
        <f>IF(AND('General Info'!$C$12="No", 'General Info'!$C$13="No"), 0, IF(ISNUMBER('Credit risk (IRB)'!AU41),'Credit risk (IRB)'!AU41,""))</f>
        <v>437001.08187142981</v>
      </c>
      <c r="G76" s="375">
        <f>IF(AND('General Info'!$C$12="No", 'General Info'!$C$13="No"), 0, IF(ISNUMBER('Credit risk (IRB)'!AY41),'Credit risk (IRB)'!AY41,""))</f>
        <v>162623.32138807798</v>
      </c>
      <c r="H76" s="375">
        <f>IF(AND('General Info'!$C$12="No", 'General Info'!$C$13="No"), 0, IF(ISNUMBER('Credit risk (IRB)'!AZ41),'Credit risk (IRB)'!AZ41,""))</f>
        <v>23296.531512848524</v>
      </c>
      <c r="I76" s="868">
        <f>IF(AND('General Info'!$C$12="No", 'General Info'!$C$13="No"), 0, IF('General Info'!$C$14="No", IF(ISNUMBER('Credit risk (IRB)'!CO41), 'Credit risk (IRB)'!CO41, ""), IF(AND(ISNUMBER($F$76), ISNUMBER($F$95), ISNUMBER('Credit risk (IRB)'!CO41)), IF($F$76+$F$95&gt;0, $F$76/($F$76+$F$95) * 'Credit risk (IRB)'!CO41, 0),"")))</f>
        <v>405422.28402139893</v>
      </c>
      <c r="J76" s="868">
        <f>IF(AND('General Info'!$C$12="No", 'General Info'!$C$13="No"), 0, IF('General Info'!$C$14="No", IF(ISNUMBER('Credit risk (IRB)'!CQ41), 'Credit risk (IRB)'!CQ41, ""), IF(AND(ISNUMBER($F$76), ISNUMBER($F$95), ISNUMBER('Credit risk (IRB)'!CQ41)), IF($F$76+$F$95&gt;0, $F$76/($F$76+$F$95) * 'Credit risk (IRB)'!CQ41, 0),"")))</f>
        <v>311949.8992257592</v>
      </c>
      <c r="K76" s="370"/>
      <c r="L76" s="613">
        <f t="shared" si="36"/>
        <v>-1.2787005981227358E-14</v>
      </c>
      <c r="M76" s="614">
        <f t="shared" si="37"/>
        <v>0.55790540144829026</v>
      </c>
      <c r="N76" s="614">
        <f t="shared" si="38"/>
        <v>0.15015304825273204</v>
      </c>
      <c r="O76" s="614">
        <f t="shared" si="39"/>
        <v>-7.2262516410249278E-2</v>
      </c>
      <c r="P76" s="614">
        <f t="shared" si="40"/>
        <v>0.91823593666085612</v>
      </c>
      <c r="Q76" s="614">
        <f t="shared" si="41"/>
        <v>0.23886869206011768</v>
      </c>
      <c r="R76" s="614">
        <f t="shared" si="42"/>
        <v>0.37213482559735039</v>
      </c>
      <c r="S76" s="615">
        <f t="shared" si="43"/>
        <v>0.76944438310473806</v>
      </c>
      <c r="T76" s="370"/>
      <c r="U76" s="359" t="str">
        <f t="shared" si="44"/>
        <v>Diff below 30%</v>
      </c>
      <c r="V76" s="352" t="str">
        <f t="shared" si="48"/>
        <v>Error: diff above 50%</v>
      </c>
      <c r="W76" s="352" t="str">
        <f t="shared" si="45"/>
        <v>Diff below 30%</v>
      </c>
      <c r="X76" s="352" t="str">
        <f t="shared" si="46"/>
        <v>Error: RW increase &gt; 50%</v>
      </c>
      <c r="Y76" s="352" t="str">
        <f t="shared" si="49"/>
        <v>Diff below 30%</v>
      </c>
      <c r="Z76" s="352" t="str">
        <f t="shared" si="47"/>
        <v>Error: diff above 50%</v>
      </c>
      <c r="AA76" s="356" t="str">
        <f>IF(AND(AND(ISNUMBER(R76), ISNUMBER(S76)), AND(R76&lt;&gt;0, S76&lt;&gt;0)), IF(S76/R76&gt;2.75, "Error: RW increase &gt; 175%", IF(S76/R76&gt;=2.5, "Warning: RW increase 150–175%", IF(S76/R76&gt;=0.9, "RW change -10% to +175%", IF(S76/R76&gt;=0.8,"Warning: RW decrease 10–20%", "Error: RW decrease &gt; 20%")))), "")</f>
        <v>RW change -10% to +175%</v>
      </c>
      <c r="AB76" s="315"/>
    </row>
    <row r="77" spans="1:28" ht="15" customHeight="1" x14ac:dyDescent="0.35">
      <c r="A77" s="263"/>
      <c r="B77" s="323" t="str">
        <f>'Credit risk (IRB)'!$B$44</f>
        <v>Other retail; of which:</v>
      </c>
      <c r="C77" s="868">
        <f>IF(AND('General Info'!$C$12="No", 'General Info'!$C$13="No"), 0, IF('General Info'!$C$14="No", IF(ISNUMBER('Credit risk (IRB)'!H44), 'Credit risk (IRB)'!H44, ""), IF(AND(ISNUMBER($F$77), ISNUMBER($F$96), ISNUMBER('Credit risk (IRB)'!H44)), IF($F$77+$F$96&gt;0, $F$77/($F$77+$F$96), 1) * 'Credit risk (IRB)'!H44, "")))</f>
        <v>4621603.2656077119</v>
      </c>
      <c r="D77" s="868">
        <f>IF(AND('General Info'!$C$12="No", 'General Info'!$C$13="No"), 0, IF('General Info'!$C$14="No", IF(ISNUMBER('Credit risk (IRB)'!L44), 'Credit risk (IRB)'!L44, ""), IF(AND(ISNUMBER($F$77), ISNUMBER($F$96), ISNUMBER('Credit risk (IRB)'!L44)), IF($F$77+$F$96&gt;0, $F$77/($F$77+$F$96), 1) * 'Credit risk (IRB)'!L44, "")))</f>
        <v>1407638.7434879055</v>
      </c>
      <c r="E77" s="868">
        <f>IF(AND('General Info'!$C$12="No", 'General Info'!$C$13="No"), 0, IF('General Info'!$C$14="No", IF(ISNUMBER('Credit risk (IRB)'!M44), 'Credit risk (IRB)'!M44, ""), IF(AND(ISNUMBER($F$77), ISNUMBER($F$96), ISNUMBER('Credit risk (IRB)'!M44)), IF($F$77+$F$96&gt;0, $F$77/($F$77+$F$96), 1) * 'Credit risk (IRB)'!M44, "")))</f>
        <v>156128.11033550024</v>
      </c>
      <c r="F77" s="375">
        <f>IF(AND('General Info'!$C$12="No", 'General Info'!$C$13="No"), 0, IF(ISNUMBER('Credit risk (IRB)'!AU44),'Credit risk (IRB)'!AU44,""))</f>
        <v>4482086.7918134853</v>
      </c>
      <c r="G77" s="375">
        <f>IF(AND('General Info'!$C$12="No", 'General Info'!$C$13="No"), 0, IF(ISNUMBER('Credit risk (IRB)'!AY44),'Credit risk (IRB)'!AY44,""))</f>
        <v>1719492.0286401904</v>
      </c>
      <c r="H77" s="375">
        <f>IF(AND('General Info'!$C$12="No", 'General Info'!$C$13="No"), 0, IF(ISNUMBER('Credit risk (IRB)'!AZ44),'Credit risk (IRB)'!AZ44,""))</f>
        <v>165745.12634036966</v>
      </c>
      <c r="I77" s="868">
        <f>IF(AND('General Info'!$C$12="No", 'General Info'!$C$13="No"), 0, IF('General Info'!$C$14="No", IF(ISNUMBER('Credit risk (IRB)'!CO44), 'Credit risk (IRB)'!CO44, ""), IF(AND(ISNUMBER($F$77), ISNUMBER($F$96), ISNUMBER('Credit risk (IRB)'!CO44)), IF($F$77+$F$96&gt;0, $F$77/($F$77+$F$96) * 'Credit risk (IRB)'!CO44, 0), "")))</f>
        <v>4332541.6430533743</v>
      </c>
      <c r="J77" s="868">
        <f>IF(AND('General Info'!$C$12="No", 'General Info'!$C$13="No"), 0, IF('General Info'!$C$14="No", IF(ISNUMBER('Credit risk (IRB)'!CQ44), 'Credit risk (IRB)'!CQ44, ""), IF(AND(ISNUMBER($F$77), ISNUMBER($F$96), ISNUMBER('Credit risk (IRB)'!CQ44)), IF($F$77+$F$96&gt;0, $F$77/($F$77+$F$96) * 'Credit risk (IRB)'!CQ44, 0), "")))</f>
        <v>3247448.9630445205</v>
      </c>
      <c r="K77" s="370"/>
      <c r="L77" s="613">
        <f t="shared" si="36"/>
        <v>-3.0187894930847337E-2</v>
      </c>
      <c r="M77" s="614">
        <f t="shared" si="37"/>
        <v>0.22154355057005742</v>
      </c>
      <c r="N77" s="614">
        <f t="shared" si="38"/>
        <v>6.159695383620304E-2</v>
      </c>
      <c r="O77" s="614">
        <f t="shared" si="39"/>
        <v>-3.336507205377074E-2</v>
      </c>
      <c r="P77" s="614">
        <f t="shared" si="40"/>
        <v>0.88860948986932486</v>
      </c>
      <c r="Q77" s="614">
        <f t="shared" si="41"/>
        <v>0.30457801386004729</v>
      </c>
      <c r="R77" s="614">
        <f t="shared" si="42"/>
        <v>0.38363648641986053</v>
      </c>
      <c r="S77" s="615">
        <f t="shared" si="43"/>
        <v>0.74954823994625686</v>
      </c>
      <c r="T77" s="370"/>
      <c r="U77" s="359" t="str">
        <f t="shared" si="44"/>
        <v>Diff below 30%</v>
      </c>
      <c r="V77" s="352" t="str">
        <f t="shared" si="48"/>
        <v>Diff below 30%</v>
      </c>
      <c r="W77" s="352" t="str">
        <f t="shared" si="45"/>
        <v>Diff below 30%</v>
      </c>
      <c r="X77" s="352" t="str">
        <f t="shared" si="46"/>
        <v>Warning: RW increase 25–50%</v>
      </c>
      <c r="Y77" s="352" t="str">
        <f t="shared" si="49"/>
        <v>Diff below 30%</v>
      </c>
      <c r="Z77" s="352" t="str">
        <f t="shared" si="47"/>
        <v>Error: diff above 50%</v>
      </c>
      <c r="AA77" s="356" t="str">
        <f>IF(AND(AND(ISNUMBER(R77), ISNUMBER(S77)), AND(R77&lt;&gt;0, S77&lt;&gt;0)), IF(S77/R77&gt;2.75, "Error: RW increase &gt; 175%", IF(S77/R77&gt;=2.5, "Warning: RW increase 150–175%", IF(S77/R77&gt;=0.9, "RW change -10% to +175%", IF(S77/R77&gt;=0.8,"Warning: RW decrease 10–20%", "Error: RW decrease &gt; 20%")))), "")</f>
        <v>RW change -10% to +175%</v>
      </c>
      <c r="AB77" s="315"/>
    </row>
    <row r="78" spans="1:28" ht="15" customHeight="1" x14ac:dyDescent="0.35">
      <c r="A78" s="263"/>
      <c r="B78" s="517" t="s">
        <v>228</v>
      </c>
      <c r="C78" s="868">
        <f>IF(AND('General Info'!$C$12="No", 'General Info'!$C$13="No"), 0,IF('General Info'!$C$14="No", IF(AND(ISNUMBER('Credit risk (IRB)'!H46), ISNUMBER('Credit risk (IRB)'!H49)), 'Credit risk (IRB)'!H46 + 'Credit risk (IRB)'!H49, ""), IF(AND(ISNUMBER($F$78), ISNUMBER($F$97), ISNUMBER('Credit risk (IRB)'!H46), ISNUMBER('Credit risk (IRB)'!H49)), IF($F$78+$F$97&gt;0, $F$78/($F$78+$F$97), 1) * ('Credit risk (IRB)'!H46+'Credit risk (IRB)'!H49), "")))</f>
        <v>1742086.5000568391</v>
      </c>
      <c r="D78" s="868">
        <f>IF(AND('General Info'!$C$12="No", 'General Info'!$C$13="No"), 0,IF('General Info'!$C$14="No", IF(AND(ISNUMBER('Credit risk (IRB)'!L46), ISNUMBER('Credit risk (IRB)'!L49)), 'Credit risk (IRB)'!L46 + 'Credit risk (IRB)'!L49, ""), IF(AND(ISNUMBER($F$78), ISNUMBER($F$97), ISNUMBER('Credit risk (IRB)'!L46), ISNUMBER('Credit risk (IRB)'!L49)), IF($F$78+$F$97&gt;0, $F$78/($F$78+$F$97), 1) * ('Credit risk (IRB)'!L46+'Credit risk (IRB)'!L49), "")))</f>
        <v>557176.94124899723</v>
      </c>
      <c r="E78" s="868">
        <f>IF(AND('General Info'!$C$12="No", 'General Info'!$C$13="No"), 0,IF('General Info'!$C$14="No", IF(AND(ISNUMBER('Credit risk (IRB)'!M46), ISNUMBER('Credit risk (IRB)'!M49)), 'Credit risk (IRB)'!M46 + 'Credit risk (IRB)'!M49, ""), IF(AND(ISNUMBER($F$78), ISNUMBER($F$97), ISNUMBER('Credit risk (IRB)'!M46), ISNUMBER('Credit risk (IRB)'!M49)), IF($F$78+$F$97&gt;0, $F$78/($F$78+$F$97), 1) * ('Credit risk (IRB)'!M46+'Credit risk (IRB)'!M49), "")))</f>
        <v>89378.747259799944</v>
      </c>
      <c r="F78" s="375">
        <f>IF(AND('General Info'!$C$12="No", 'General Info'!$C$13="No"), 0, IF(AND(ISNUMBER('Credit risk (IRB)'!AU46), ISNUMBER('Credit risk (IRB)'!AU49)),'Credit risk (IRB)'!AU46+'Credit risk (IRB)'!AU49,""))</f>
        <v>1605424.2478931891</v>
      </c>
      <c r="G78" s="375">
        <f>IF(AND('General Info'!$C$12="No", 'General Info'!$C$13="No"), 0, IF(AND(ISNUMBER('Credit risk (IRB)'!AY46), ISNUMBER('Credit risk (IRB)'!AY49)),'Credit risk (IRB)'!AY46+'Credit risk (IRB)'!AY49,""))</f>
        <v>728738.01760703861</v>
      </c>
      <c r="H78" s="375">
        <f>IF(AND('General Info'!$C$12="No", 'General Info'!$C$13="No"), 0, IF(AND(ISNUMBER('Credit risk (IRB)'!AZ46), ISNUMBER('Credit risk (IRB)'!AZ49)),'Credit risk (IRB)'!AZ46+'Credit risk (IRB)'!AZ49,""))</f>
        <v>93164.680723644138</v>
      </c>
      <c r="I78" s="868">
        <f>IF(AND('General Info'!$C$12="No", 'General Info'!$C$13="No"), 0,IF('General Info'!$C$14="No", IF(AND(ISNUMBER('Credit risk (IRB)'!CO46), ISNUMBER('Credit risk (IRB)'!CO49)), 'Credit risk (IRB)'!CO46 + 'Credit risk (IRB)'!CO49, ""), IF(AND(ISNUMBER($F$78), ISNUMBER($F$97), ISNUMBER('Credit risk (IRB)'!CO46), ISNUMBER('Credit risk (IRB)'!CO49)), IF($F$78+$F$97&gt;0, $F$78/($F$78+$F$97) * ('Credit risk (IRB)'!CO46+'Credit risk (IRB)'!CO49), 0), "")))</f>
        <v>1519609.035311603</v>
      </c>
      <c r="J78" s="868">
        <f>IF(AND('General Info'!$C$12="No", 'General Info'!$C$13="No"), 0,IF('General Info'!$C$14="No", IF(AND(ISNUMBER('Credit risk (IRB)'!CQ46), ISNUMBER('Credit risk (IRB)'!CQ49)), 'Credit risk (IRB)'!CQ46 + 'Credit risk (IRB)'!CQ49, ""), IF(AND(ISNUMBER($F$78), ISNUMBER($F$97), ISNUMBER('Credit risk (IRB)'!CQ46), ISNUMBER('Credit risk (IRB)'!CQ49)), IF($F$78+$F$97&gt;0, $F$78/($F$78+$F$97) * ('Credit risk (IRB)'!CQ46+'Credit risk (IRB)'!CQ49), 0), "")))</f>
        <v>1133306.1544690675</v>
      </c>
      <c r="K78" s="561"/>
      <c r="L78" s="613">
        <f t="shared" si="36"/>
        <v>-7.8447454910643713E-2</v>
      </c>
      <c r="M78" s="614">
        <f t="shared" si="37"/>
        <v>0.30791130008621859</v>
      </c>
      <c r="N78" s="614">
        <f t="shared" si="38"/>
        <v>4.2358318726928509E-2</v>
      </c>
      <c r="O78" s="614">
        <f t="shared" si="39"/>
        <v>-5.3453292918804532E-2</v>
      </c>
      <c r="P78" s="614">
        <f t="shared" si="40"/>
        <v>0.55516266077418563</v>
      </c>
      <c r="Q78" s="614">
        <f t="shared" si="41"/>
        <v>0.31983310887881755</v>
      </c>
      <c r="R78" s="614">
        <f t="shared" si="42"/>
        <v>0.45392239376187776</v>
      </c>
      <c r="S78" s="615">
        <f t="shared" si="43"/>
        <v>0.74578798107545974</v>
      </c>
      <c r="T78" s="561"/>
      <c r="U78" s="359" t="str">
        <f t="shared" si="44"/>
        <v>Diff below 30%</v>
      </c>
      <c r="V78" s="352" t="str">
        <f t="shared" si="48"/>
        <v>Warning: diff 30–50%</v>
      </c>
      <c r="W78" s="352" t="str">
        <f t="shared" si="45"/>
        <v>Diff below 30%</v>
      </c>
      <c r="X78" s="352" t="str">
        <f t="shared" si="46"/>
        <v>Warning: RW increase 25–50%</v>
      </c>
      <c r="Y78" s="352" t="str">
        <f t="shared" si="49"/>
        <v>Diff below 30%</v>
      </c>
      <c r="Z78" s="352" t="str">
        <f t="shared" si="47"/>
        <v>Error: diff above 50%</v>
      </c>
      <c r="AA78" s="356" t="str">
        <f>IF(AND(AND(ISNUMBER(R78), ISNUMBER(S78)), AND(R78&lt;&gt;0, S78&lt;&gt;0)), IF(S78/R78&gt;2.75, "Error: RW increase &gt; 175%", IF(S78/R78&gt;=2.5, "Warning: RW increase 150–175%", IF(S78/R78&gt;=0.9, "RW change -10% to +175%", IF(S78/R78&gt;=0.8,"Warning: RW decrease 10–20%", "Error: RW decrease &gt; 20%")))), "")</f>
        <v>RW change -10% to +175%</v>
      </c>
      <c r="AB78" s="315"/>
    </row>
    <row r="79" spans="1:28" ht="15" customHeight="1" x14ac:dyDescent="0.35">
      <c r="A79" s="263"/>
      <c r="B79" s="323" t="str">
        <f>SUBSTITUTE('Credit risk (IRB)'!$B$55, "; of which:", "")</f>
        <v>Equity investment in funds</v>
      </c>
      <c r="C79" s="868">
        <f>IF(AND('General Info'!$C$12="No", 'General Info'!$C$13="No"), 0, IF('General Info'!$C$14="No", IF(ISNUMBER('Credit risk (IRB)'!H55), 'Credit risk (IRB)'!H55, ""), IF(AND(ISNUMBER($F$79), ISNUMBER($F$99), ISNUMBER('Credit risk (IRB)'!H55)), IF($F$79+$F$99&gt;0, $F$79/($F$79+$F$99), 1) * 'Credit risk (IRB)'!H55, "")))</f>
        <v>0</v>
      </c>
      <c r="D79" s="868">
        <f>IF(AND('General Info'!$C$12="No", 'General Info'!$C$13="No"), 0, IF('General Info'!$C$14="No", IF(ISNUMBER('Credit risk (IRB)'!L55), 'Credit risk (IRB)'!L55, ""), IF(AND(ISNUMBER($F$79), ISNUMBER($F$99), ISNUMBER('Credit risk (IRB)'!L55)), IF($F$79+$F$99&gt;0, $F$79/($F$79+$F$99), 1) * 'Credit risk (IRB)'!L55, "")))</f>
        <v>0</v>
      </c>
      <c r="E79" s="868">
        <f>IF(AND('General Info'!$C$12="No", 'General Info'!$C$13="No"), 0, IF('General Info'!$C$14="No", IF(ISNUMBER('Credit risk (IRB)'!M55), 'Credit risk (IRB)'!M55, ""), IF(AND(ISNUMBER($F$79), ISNUMBER($F$99), ISNUMBER('Credit risk (IRB)'!M55)), IF($F$79+$F$99&gt;0, $F$79/($F$79+$F$99), 1) * 'Credit risk (IRB)'!M55, "")))</f>
        <v>0</v>
      </c>
      <c r="F79" s="375">
        <f>IF(AND('General Info'!$C$12="No", 'General Info'!$C$13="No"), 0, IF(ISNUMBER('Credit risk (IRB)'!AU55),'Credit risk (IRB)'!AU55,""))</f>
        <v>0</v>
      </c>
      <c r="G79" s="375">
        <f>IF(AND('General Info'!$C$12="No", 'General Info'!$C$13="No"), 0, IF(ISNUMBER('Credit risk (IRB)'!AY55),'Credit risk (IRB)'!AY55,""))</f>
        <v>0</v>
      </c>
      <c r="H79" s="375">
        <f>IF(AND('General Info'!$C$12="No", 'General Info'!$C$13="No"), 0, IF(ISNUMBER('Credit risk (IRB)'!AZ55),'Credit risk (IRB)'!AZ55,""))</f>
        <v>0</v>
      </c>
      <c r="I79" s="868">
        <f>IF(AND('General Info'!$C$12="No", 'General Info'!$C$13="No"), 0, IF('General Info'!$C$14="No", IF(ISNUMBER('Credit risk (IRB)'!CO55), 'Credit risk (IRB)'!CO55, ""), IF(AND(ISNUMBER($F$79), ISNUMBER($F$99), ISNUMBER('Credit risk (IRB)'!CO55)), IF($F$79+$F$99&gt;0, $F$79/($F$79+$F$99) * 'Credit risk (IRB)'!CO55, 0), "")))</f>
        <v>0</v>
      </c>
      <c r="J79" s="868">
        <f>IF(AND('General Info'!$C$12="No", 'General Info'!$C$13="No"), 0, IF('General Info'!$C$14="No", IF(ISNUMBER('Credit risk (IRB)'!CQ55), 'Credit risk (IRB)'!CQ55, ""), IF(AND(ISNUMBER($F$79), ISNUMBER($F$99), ISNUMBER('Credit risk (IRB)'!CQ55)), IF($F$79+$F$99&gt;0, $F$79/($F$79+$F$99) * 'Credit risk (IRB)'!CQ55, 0), "")))</f>
        <v>0</v>
      </c>
      <c r="K79" s="370"/>
      <c r="L79" s="613" t="str">
        <f t="shared" si="36"/>
        <v>EAD=0</v>
      </c>
      <c r="M79" s="614" t="str">
        <f t="shared" si="37"/>
        <v>RWA=0</v>
      </c>
      <c r="N79" s="614" t="str">
        <f t="shared" si="38"/>
        <v>EL=0</v>
      </c>
      <c r="O79" s="614" t="str">
        <f t="shared" si="39"/>
        <v>EAD=0</v>
      </c>
      <c r="P79" s="614" t="str">
        <f t="shared" si="40"/>
        <v>RWA=0</v>
      </c>
      <c r="Q79" s="614" t="str">
        <f t="shared" si="41"/>
        <v>EAD,RWA=0</v>
      </c>
      <c r="R79" s="614" t="str">
        <f t="shared" si="42"/>
        <v>EAD,RWA=0</v>
      </c>
      <c r="S79" s="615" t="str">
        <f t="shared" si="43"/>
        <v>EAD,RWA=0</v>
      </c>
      <c r="T79" s="370"/>
      <c r="U79" s="359" t="str">
        <f t="shared" si="44"/>
        <v/>
      </c>
      <c r="V79" s="352" t="str">
        <f t="shared" si="48"/>
        <v/>
      </c>
      <c r="W79" s="352" t="str">
        <f t="shared" si="45"/>
        <v/>
      </c>
      <c r="X79" s="352" t="str">
        <f t="shared" si="46"/>
        <v/>
      </c>
      <c r="Y79" s="352" t="str">
        <f t="shared" si="49"/>
        <v/>
      </c>
      <c r="Z79" s="352" t="str">
        <f t="shared" si="47"/>
        <v/>
      </c>
      <c r="AA79" s="356" t="str">
        <f>IF(AND(AND(ISNUMBER(R79), ISNUMBER(S79)), AND(R79&lt;&gt;0, S79&lt;&gt;0)), IF(S79/R79&gt;1.2, "Error: RW increase &gt; 20%", IF(S79/R79&gt;=1.1, "Warning: RW increase 10–20%", IF(S79/R79&gt;=0.9, "RW change -10% to +25%", IF(S79/R79&gt;=0.8, "Warning: RW decrease 10–20%", "Error: RW decrease &gt; 20%")))), "")</f>
        <v/>
      </c>
      <c r="AB79" s="315"/>
    </row>
    <row r="80" spans="1:28" ht="15" customHeight="1" x14ac:dyDescent="0.35">
      <c r="A80" s="263"/>
      <c r="B80" s="323" t="str">
        <f>SUBSTITUTE('Credit risk (IRB)'!$B$58, "; of which:", "")</f>
        <v>Eligible purchased receivables</v>
      </c>
      <c r="C80" s="868">
        <f>IF(AND('General Info'!$C$12="No", 'General Info'!$C$13="No"), 0, IF('General Info'!$C$14="No", IF(ISNUMBER('Credit risk (IRB)'!H58), 'Credit risk (IRB)'!H58, ""), IF(AND(ISNUMBER($F$80), ISNUMBER($F$100), ISNUMBER('Credit risk (IRB)'!H58)), IF($F$80+$F$100&gt;0, $F$80/($F$80+$F$100), 1) * 'Credit risk (IRB)'!H58, "")))</f>
        <v>0</v>
      </c>
      <c r="D80" s="868">
        <f>IF(AND('General Info'!$C$12="No", 'General Info'!$C$13="No"), 0, IF('General Info'!$C$14="No", IF(ISNUMBER('Credit risk (IRB)'!L58), 'Credit risk (IRB)'!L58, ""), IF(AND(ISNUMBER($F$80), ISNUMBER($F$100), ISNUMBER('Credit risk (IRB)'!L58)), IF($F$80+$F$100&gt;0, $F$80/($F$80+$F$100), 1) * 'Credit risk (IRB)'!L58, "")))</f>
        <v>0</v>
      </c>
      <c r="E80" s="868">
        <f>IF(AND('General Info'!$C$12="No", 'General Info'!$C$13="No"), 0, IF('General Info'!$C$14="No", IF(ISNUMBER('Credit risk (IRB)'!M58), 'Credit risk (IRB)'!M58, ""), IF(AND(ISNUMBER($F$80), ISNUMBER($F$100), ISNUMBER('Credit risk (IRB)'!M58)), IF($F$80+$F$100&gt;0, $F$80/($F$80+$F$100), 1) * 'Credit risk (IRB)'!M58, "")))</f>
        <v>0</v>
      </c>
      <c r="F80" s="375">
        <f>IF(AND('General Info'!$C$12="No", 'General Info'!$C$13="No"), 0, IF(ISNUMBER('Credit risk (IRB)'!AU58),'Credit risk (IRB)'!AU58,""))</f>
        <v>0</v>
      </c>
      <c r="G80" s="375">
        <f>IF(AND('General Info'!$C$12="No", 'General Info'!$C$13="No"), 0, IF(ISNUMBER('Credit risk (IRB)'!AY58),'Credit risk (IRB)'!AY58,""))</f>
        <v>0</v>
      </c>
      <c r="H80" s="375">
        <f>IF(AND('General Info'!$C$12="No", 'General Info'!$C$13="No"), 0, IF(ISNUMBER('Credit risk (IRB)'!AZ58),'Credit risk (IRB)'!AZ58,""))</f>
        <v>0</v>
      </c>
      <c r="I80" s="868">
        <f>IF(AND('General Info'!$C$12="No", 'General Info'!$C$13="No"), 0, IF('General Info'!$C$14="No", IF(ISNUMBER('Credit risk (IRB)'!CO58), 'Credit risk (IRB)'!CO58, ""), IF(AND(ISNUMBER($F$80), ISNUMBER($F$100), ISNUMBER('Credit risk (IRB)'!CO58)), IF($F$80+$F$100&gt;0, $F$80/($F$80+$F$100) * 'Credit risk (IRB)'!CO58, 0), "")))</f>
        <v>0</v>
      </c>
      <c r="J80" s="868">
        <f>IF(AND('General Info'!$C$12="No", 'General Info'!$C$13="No"), 0, IF('General Info'!$C$14="No", IF(ISNUMBER('Credit risk (IRB)'!CQ58), 'Credit risk (IRB)'!CQ58, ""), IF(AND(ISNUMBER($F$80), ISNUMBER($F$100), ISNUMBER('Credit risk (IRB)'!CQ58)), IF($F$80+$F$100&gt;0, $F$80/($F$80+$F$100) * 'Credit risk (IRB)'!CQ58, 0), "")))</f>
        <v>0</v>
      </c>
      <c r="K80" s="370"/>
      <c r="L80" s="613" t="str">
        <f t="shared" si="36"/>
        <v>EAD=0</v>
      </c>
      <c r="M80" s="614" t="str">
        <f t="shared" si="37"/>
        <v>RWA=0</v>
      </c>
      <c r="N80" s="614" t="str">
        <f t="shared" si="38"/>
        <v>EL=0</v>
      </c>
      <c r="O80" s="614" t="str">
        <f t="shared" si="39"/>
        <v>EAD=0</v>
      </c>
      <c r="P80" s="614" t="str">
        <f t="shared" si="40"/>
        <v>RWA=0</v>
      </c>
      <c r="Q80" s="614" t="str">
        <f t="shared" si="41"/>
        <v>EAD,RWA=0</v>
      </c>
      <c r="R80" s="614" t="str">
        <f t="shared" si="42"/>
        <v>EAD,RWA=0</v>
      </c>
      <c r="S80" s="615" t="str">
        <f t="shared" si="43"/>
        <v>EAD,RWA=0</v>
      </c>
      <c r="T80" s="370"/>
      <c r="U80" s="359" t="str">
        <f>IF(ISNUMBER(L80), IF(ABS(L80)&gt;0.2, "Error: diff above 20%", IF(ABS(L80)&gt;=0.1, "Warning: diff 10–20%", "Diff below 10%")),"")</f>
        <v/>
      </c>
      <c r="V80" s="352" t="str">
        <f t="shared" si="48"/>
        <v/>
      </c>
      <c r="W80" s="352" t="str">
        <f t="shared" si="45"/>
        <v/>
      </c>
      <c r="X80" s="352" t="str">
        <f t="shared" si="46"/>
        <v/>
      </c>
      <c r="Y80" s="352" t="str">
        <f t="shared" si="49"/>
        <v/>
      </c>
      <c r="Z80" s="352" t="str">
        <f t="shared" si="47"/>
        <v/>
      </c>
      <c r="AA80" s="356" t="str">
        <f>IF(AND(AND(ISNUMBER(R80), ISNUMBER(S80)), AND(R80&lt;&gt;0, S80&lt;&gt;0)), IF(S80/R80&gt;1.2, "Error: RW increase &gt; 20%", IF(S80/R80&gt;=1.1, "Warning: RW increase 10–20%", IF(S80/R80&gt;=0.9, "RW change -10% to +25%", IF(S80/R80&gt;=0.8, "Warning: RW decrease 10–20%", "Error: RW decrease &gt; 20%")))), "")</f>
        <v/>
      </c>
      <c r="AB80" s="315"/>
    </row>
    <row r="81" spans="1:28" ht="15" customHeight="1" x14ac:dyDescent="0.35">
      <c r="A81" s="263"/>
      <c r="B81" s="323" t="str">
        <f>'Credit risk (IRB)'!$B$61</f>
        <v>Failed trades and non-DVP transactions</v>
      </c>
      <c r="C81" s="868">
        <f>IF(AND('General Info'!$C$12="No", 'General Info'!$C$13="No"), 0, IF('General Info'!$C$14="No", IF(ISNUMBER('Credit risk (IRB)'!H61), 'Credit risk (IRB)'!H61, ""), IF(AND(ISNUMBER($F$81), ISNUMBER($F$101), ISNUMBER('Credit risk (IRB)'!H61)), IF($F$81+$F$101&gt;0, $F$81/($F$81+$F$101), 1) * 'Credit risk (IRB)'!H61, "")))</f>
        <v>0</v>
      </c>
      <c r="D81" s="868">
        <f>IF(AND('General Info'!$C$12="No", 'General Info'!$C$13="No"), 0, IF('General Info'!$C$14="No", IF(ISNUMBER('Credit risk (IRB)'!L61), 'Credit risk (IRB)'!L61, ""), IF(AND(ISNUMBER($F$81), ISNUMBER($F$101), ISNUMBER('Credit risk (IRB)'!L61)), IF($F$81+$F$101&gt;0, $F$81/($F$81+$F$101), 1) * 'Credit risk (IRB)'!L61, "")))</f>
        <v>0</v>
      </c>
      <c r="E81" s="868">
        <f>IF(AND('General Info'!$C$12="No", 'General Info'!$C$13="No"), 0, IF('General Info'!$C$14="No", IF(ISNUMBER('Credit risk (IRB)'!M61), 'Credit risk (IRB)'!M61, ""), IF(AND(ISNUMBER($F$81), ISNUMBER($F$101), ISNUMBER('Credit risk (IRB)'!M61)), IF($F$81+$F$101&gt;0, $F$81/($F$81+$F$101), 1) * 'Credit risk (IRB)'!M61, "")))</f>
        <v>0</v>
      </c>
      <c r="F81" s="375">
        <f>IF(AND('General Info'!$C$12="No", 'General Info'!$C$13="No"), 0, IF(ISNUMBER('Credit risk (IRB)'!AU61),'Credit risk (IRB)'!AU61,""))</f>
        <v>0</v>
      </c>
      <c r="G81" s="375">
        <f>IF(AND('General Info'!$C$12="No", 'General Info'!$C$13="No"), 0, IF(ISNUMBER('Credit risk (IRB)'!AY61),'Credit risk (IRB)'!AY61,""))</f>
        <v>0</v>
      </c>
      <c r="H81" s="375">
        <f>IF(AND('General Info'!$C$12="No", 'General Info'!$C$13="No"), 0, IF(ISNUMBER('Credit risk (IRB)'!AZ61),'Credit risk (IRB)'!AZ61,""))</f>
        <v>0</v>
      </c>
      <c r="I81" s="868">
        <f>IF(AND('General Info'!$C$12="No", 'General Info'!$C$13="No"), 0, IF('General Info'!$C$14="No", IF(ISNUMBER('Credit risk (IRB)'!CO61), 'Credit risk (IRB)'!CO61, ""), IF(AND(ISNUMBER($F$81), ISNUMBER($F$101), ISNUMBER('Credit risk (IRB)'!CO61)), IF($F$81+$F$101&gt;0, $F$81/($F$81+$F$101) * 'Credit risk (IRB)'!CO61, 0), "")))</f>
        <v>0</v>
      </c>
      <c r="J81" s="868">
        <f>IF(AND('General Info'!$C$12="No", 'General Info'!$C$13="No"), 0, IF('General Info'!$C$14="No", IF(ISNUMBER('Credit risk (IRB)'!CQ61), 'Credit risk (IRB)'!CQ61, ""), IF(AND(ISNUMBER($F$81), ISNUMBER($F$101), ISNUMBER('Credit risk (IRB)'!CQ61)), IF($F$81+$F$101&gt;0, $F$81/($F$81+$F$101) * 'Credit risk (IRB)'!CQ61, 0), "")))</f>
        <v>0</v>
      </c>
      <c r="K81" s="370"/>
      <c r="L81" s="613" t="str">
        <f t="shared" si="36"/>
        <v>EAD=0</v>
      </c>
      <c r="M81" s="614" t="str">
        <f t="shared" si="37"/>
        <v>RWA=0</v>
      </c>
      <c r="N81" s="614" t="str">
        <f t="shared" si="38"/>
        <v>EL=0</v>
      </c>
      <c r="O81" s="614" t="str">
        <f t="shared" si="39"/>
        <v>EAD=0</v>
      </c>
      <c r="P81" s="614" t="str">
        <f t="shared" si="40"/>
        <v>RWA=0</v>
      </c>
      <c r="Q81" s="614" t="str">
        <f t="shared" si="41"/>
        <v>EAD,RWA=0</v>
      </c>
      <c r="R81" s="614" t="str">
        <f t="shared" si="42"/>
        <v>EAD,RWA=0</v>
      </c>
      <c r="S81" s="615" t="str">
        <f t="shared" si="43"/>
        <v>EAD,RWA=0</v>
      </c>
      <c r="T81" s="370"/>
      <c r="U81" s="359" t="str">
        <f t="shared" ref="U81:U82" si="50">IF(ISNUMBER(L81), IF(ABS(L81)&gt;0.2, "Error: diff above 20%", IF(ABS(L81)&gt;=0.1, "Warning: diff 10–20%", "Diff below 10%")),"")</f>
        <v/>
      </c>
      <c r="V81" s="352" t="str">
        <f t="shared" si="48"/>
        <v/>
      </c>
      <c r="W81" s="352" t="str">
        <f t="shared" si="45"/>
        <v/>
      </c>
      <c r="X81" s="352" t="str">
        <f t="shared" si="46"/>
        <v/>
      </c>
      <c r="Y81" s="352" t="str">
        <f t="shared" si="49"/>
        <v/>
      </c>
      <c r="Z81" s="352" t="str">
        <f t="shared" si="47"/>
        <v/>
      </c>
      <c r="AA81" s="356" t="str">
        <f>IF(AND(AND(ISNUMBER(R81), ISNUMBER(S81)), AND(R81&lt;&gt;0, S81&lt;&gt;0)), IF(S81/R81&gt;1.2, "Error: RW increase &gt; 20%", IF(S81/R81&gt;=1.1, "Warning: RW increase 10–20%", IF(S81/R81&gt;=0.9, "RW change -10% to +25%", IF(S81/R81&gt;=0.8, "Warning: RW decrease 10–20%", "Error: RW decrease &gt; 20%")))), "")</f>
        <v/>
      </c>
      <c r="AB81" s="315"/>
    </row>
    <row r="82" spans="1:28" ht="15" customHeight="1" x14ac:dyDescent="0.35">
      <c r="A82" s="263"/>
      <c r="B82" s="631" t="str">
        <f>SUBSTITUTE('Credit risk (IRB)'!$B$62, "; of which:", "")</f>
        <v>Other assets</v>
      </c>
      <c r="C82" s="869">
        <f>IF(AND('General Info'!$C$12="No", 'General Info'!$C$13="No"), 0, IF('General Info'!$C$14="No", IF(ISNUMBER('Credit risk (IRB)'!H62), 'Credit risk (IRB)'!H62, ""), IF(AND(ISNUMBER($F$82), ISNUMBER($F$102),ISNUMBER('Credit risk (IRB)'!H62)), IF($F$82+$F$102&gt;0, $F$82/($F$82+$F$102), 1) * 'Credit risk (IRB)'!H62, "")))</f>
        <v>0</v>
      </c>
      <c r="D82" s="869">
        <f>IF(AND('General Info'!$C$12="No", 'General Info'!$C$13="No"), 0, IF('General Info'!$C$14="No", IF(ISNUMBER('Credit risk (IRB)'!L62), 'Credit risk (IRB)'!L62, ""), IF(AND(ISNUMBER($F$82), ISNUMBER($F$102),ISNUMBER('Credit risk (IRB)'!L62)), IF($F$82+$F$102&gt;0, $F$82/($F$82+$F$102), 1) * 'Credit risk (IRB)'!L62, "")))</f>
        <v>0</v>
      </c>
      <c r="E82" s="869">
        <f>IF(AND('General Info'!$C$12="No", 'General Info'!$C$13="No"), 0, IF('General Info'!$C$14="No", IF(ISNUMBER('Credit risk (IRB)'!M62), 'Credit risk (IRB)'!M62, ""), IF(AND(ISNUMBER($F$82), ISNUMBER($F$102),ISNUMBER('Credit risk (IRB)'!M62)), IF($F$82+$F$102&gt;0, $F$82/($F$82+$F$102), 1) * 'Credit risk (IRB)'!M62, "")))</f>
        <v>0</v>
      </c>
      <c r="F82" s="624">
        <f>IF(AND('General Info'!$C$12="No", 'General Info'!$C$13="No"), 0, IF(ISNUMBER('Credit risk (IRB)'!AU62),'Credit risk (IRB)'!AU62,""))</f>
        <v>0</v>
      </c>
      <c r="G82" s="624">
        <f>IF(AND('General Info'!$C$12="No", 'General Info'!$C$13="No"), 0, IF(ISNUMBER('Credit risk (IRB)'!AY62),'Credit risk (IRB)'!AY62,""))</f>
        <v>0</v>
      </c>
      <c r="H82" s="624">
        <f>IF(AND('General Info'!$C$12="No", 'General Info'!$C$13="No"), 0, IF(ISNUMBER('Credit risk (IRB)'!AZ62),'Credit risk (IRB)'!AZ62,""))</f>
        <v>0</v>
      </c>
      <c r="I82" s="869">
        <f>IF(AND('General Info'!$C$12="No", 'General Info'!$C$13="No"), 0, IF('General Info'!$C$14="No", IF(ISNUMBER('Credit risk (IRB)'!CO62), 'Credit risk (IRB)'!CO62, ""), IF(AND(ISNUMBER($F$82), ISNUMBER($F$102),ISNUMBER('Credit risk (IRB)'!CO62)), IF($F$82+$F$102&gt;0, $F$82/($F$82+$F$102) * 'Credit risk (IRB)'!CO62, 0), "")))</f>
        <v>0</v>
      </c>
      <c r="J82" s="869">
        <f>IF(AND('General Info'!$C$12="No", 'General Info'!$C$13="No"), 0, IF('General Info'!$C$14="No", IF(ISNUMBER('Credit risk (IRB)'!CQ62), 'Credit risk (IRB)'!CQ62, ""), IF(AND(ISNUMBER($F$82), ISNUMBER($F$102),ISNUMBER('Credit risk (IRB)'!CQ62)), IF($F$82+$F$102&gt;0, $F$82/($F$82+$F$102) * 'Credit risk (IRB)'!CQ62, 0), "")))</f>
        <v>0</v>
      </c>
      <c r="K82" s="370"/>
      <c r="L82" s="613" t="str">
        <f t="shared" si="36"/>
        <v>EAD=0</v>
      </c>
      <c r="M82" s="614" t="str">
        <f t="shared" si="37"/>
        <v>RWA=0</v>
      </c>
      <c r="N82" s="614" t="str">
        <f t="shared" si="38"/>
        <v>EL=0</v>
      </c>
      <c r="O82" s="614" t="str">
        <f t="shared" si="39"/>
        <v>EAD=0</v>
      </c>
      <c r="P82" s="614" t="str">
        <f t="shared" si="40"/>
        <v>RWA=0</v>
      </c>
      <c r="Q82" s="614" t="str">
        <f t="shared" si="41"/>
        <v>EAD,RWA=0</v>
      </c>
      <c r="R82" s="614" t="str">
        <f t="shared" si="42"/>
        <v>EAD,RWA=0</v>
      </c>
      <c r="S82" s="615" t="str">
        <f t="shared" si="43"/>
        <v>EAD,RWA=0</v>
      </c>
      <c r="T82" s="370"/>
      <c r="U82" s="359" t="str">
        <f t="shared" si="50"/>
        <v/>
      </c>
      <c r="V82" s="352" t="str">
        <f t="shared" si="48"/>
        <v/>
      </c>
      <c r="W82" s="352" t="str">
        <f t="shared" si="45"/>
        <v/>
      </c>
      <c r="X82" s="352" t="str">
        <f t="shared" si="46"/>
        <v/>
      </c>
      <c r="Y82" s="352" t="str">
        <f t="shared" si="49"/>
        <v/>
      </c>
      <c r="Z82" s="352" t="str">
        <f t="shared" si="47"/>
        <v/>
      </c>
      <c r="AA82" s="356" t="str">
        <f>IF(AND(AND(ISNUMBER(R82), ISNUMBER(S82)), AND(R82&lt;&gt;0, S82&lt;&gt;0)), IF(S82/R82&gt;1.2, "Error: RW increase &gt; 20%", IF(S82/R82&gt;=1.1, "Warning: RW increase 10–20%", IF(S82/R82&gt;=0.9, "RW change -10% to +25%", IF(S82/R82&gt;=0.8, "Warning: RW decrease 10–20%", "Error: RW decrease &gt; 20%")))), "")</f>
        <v/>
      </c>
      <c r="AB82" s="315"/>
    </row>
    <row r="83" spans="1:28" ht="15" customHeight="1" x14ac:dyDescent="0.35">
      <c r="A83" s="263"/>
      <c r="B83" s="634" t="s">
        <v>229</v>
      </c>
      <c r="C83" s="635">
        <f>IF(AND(ISNUMBER(C69), ISNUMBER(C70), ISNUMBER(C71), ISNUMBER(C72), ISNUMBER(C73), ISNUMBER(C74), ISNUMBER(C75), ISNUMBER(C77), ISNUMBER(C76), ISNUMBER(C79), ISNUMBER(C80), ISNUMBER(C81), ISNUMBER(C82)), SUM(C69:C77, C79:C82), "")</f>
        <v>28846867.342057578</v>
      </c>
      <c r="D83" s="635">
        <f t="shared" ref="D83:J83" si="51">IF(AND(ISNUMBER(D69), ISNUMBER(D70), ISNUMBER(D71), ISNUMBER(D72), ISNUMBER(D73), ISNUMBER(D74), ISNUMBER(D75), ISNUMBER(D77), ISNUMBER(D76), ISNUMBER(D79), ISNUMBER(D80), ISNUMBER(D81), ISNUMBER(D82)), SUM(D69:D77, D79:D82), "")</f>
        <v>9359538.4354946781</v>
      </c>
      <c r="E83" s="635">
        <f t="shared" si="51"/>
        <v>497013.34783320001</v>
      </c>
      <c r="F83" s="635">
        <f t="shared" si="51"/>
        <v>29291381.322241914</v>
      </c>
      <c r="G83" s="635">
        <f t="shared" si="51"/>
        <v>10354649.853952348</v>
      </c>
      <c r="H83" s="635">
        <f t="shared" si="51"/>
        <v>512589.34123688308</v>
      </c>
      <c r="I83" s="635">
        <f t="shared" si="51"/>
        <v>28815914.98109141</v>
      </c>
      <c r="J83" s="671">
        <f t="shared" si="51"/>
        <v>20744373.627128407</v>
      </c>
      <c r="K83" s="370"/>
      <c r="L83" s="635">
        <f t="shared" si="36"/>
        <v>1.5409436834628198E-2</v>
      </c>
      <c r="M83" s="628">
        <f t="shared" si="37"/>
        <v>0.10632056541205663</v>
      </c>
      <c r="N83" s="628">
        <f t="shared" si="38"/>
        <v>3.133918529872249E-2</v>
      </c>
      <c r="O83" s="628">
        <f t="shared" si="39"/>
        <v>-1.6232294951193247E-2</v>
      </c>
      <c r="P83" s="628">
        <f t="shared" si="40"/>
        <v>1.0033872627001794</v>
      </c>
      <c r="Q83" s="628">
        <f t="shared" si="41"/>
        <v>0.32445597383286212</v>
      </c>
      <c r="R83" s="628">
        <f t="shared" si="42"/>
        <v>0.35350500340145175</v>
      </c>
      <c r="S83" s="633">
        <f t="shared" si="43"/>
        <v>0.71989293557884826</v>
      </c>
      <c r="T83" s="370"/>
      <c r="U83" s="360" t="str">
        <f t="shared" si="44"/>
        <v>Diff below 30%</v>
      </c>
      <c r="V83" s="354" t="str">
        <f t="shared" si="48"/>
        <v>Diff below 30%</v>
      </c>
      <c r="W83" s="354" t="str">
        <f t="shared" si="45"/>
        <v>Diff below 30%</v>
      </c>
      <c r="X83" s="354" t="str">
        <f t="shared" si="46"/>
        <v>RW change -10% to +25%</v>
      </c>
      <c r="Y83" s="354" t="str">
        <f t="shared" si="49"/>
        <v>Diff below 30%</v>
      </c>
      <c r="Z83" s="354" t="str">
        <f t="shared" si="47"/>
        <v>Error: diff above 50%</v>
      </c>
      <c r="AA83" s="353" t="str">
        <f>IF(AND(AND(ISNUMBER(R83), ISNUMBER(S83)), AND(R83&lt;&gt;0, S83&lt;&gt;0)), IF(S83/R83&gt;2, "Error: RW increase &gt; 100%", IF(S83/R83&gt;=1.75, "Warning: RW increase 75-100%", IF(S83/R83&gt;=0.9, "RW change -10% to +75%", IF(S83/R83&gt;=0.8, "Warning: RW decrease 10-20%", "Error: RW decrease &gt; 20%")))), "")</f>
        <v>Error: RW increase &gt; 100%</v>
      </c>
      <c r="AB83" s="315"/>
    </row>
    <row r="84" spans="1:28" ht="60" customHeight="1" x14ac:dyDescent="0.35">
      <c r="A84" s="280" t="s">
        <v>230</v>
      </c>
      <c r="B84" s="95"/>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315"/>
    </row>
    <row r="85" spans="1:28" ht="15" customHeight="1" x14ac:dyDescent="0.35">
      <c r="A85" s="263"/>
      <c r="B85" s="2613" t="s">
        <v>169</v>
      </c>
      <c r="C85" s="2616" t="s">
        <v>170</v>
      </c>
      <c r="D85" s="2617"/>
      <c r="E85" s="2617"/>
      <c r="F85" s="2594" t="s">
        <v>171</v>
      </c>
      <c r="G85" s="2596"/>
      <c r="H85" s="1761"/>
      <c r="I85" s="2610" t="s">
        <v>172</v>
      </c>
      <c r="J85" s="2618"/>
      <c r="K85" s="557"/>
      <c r="L85" s="2600" t="s">
        <v>173</v>
      </c>
      <c r="M85" s="2620"/>
      <c r="N85" s="2620"/>
      <c r="O85" s="2620"/>
      <c r="P85" s="2620"/>
      <c r="Q85" s="2620"/>
      <c r="R85" s="2620"/>
      <c r="S85" s="2621"/>
      <c r="T85" s="557"/>
      <c r="U85" s="2601" t="s">
        <v>38</v>
      </c>
      <c r="V85" s="2601"/>
      <c r="W85" s="2601"/>
      <c r="X85" s="2601"/>
      <c r="Y85" s="2601"/>
      <c r="Z85" s="2601"/>
      <c r="AA85" s="2602"/>
      <c r="AB85" s="315"/>
    </row>
    <row r="86" spans="1:28" ht="30" customHeight="1" x14ac:dyDescent="0.4">
      <c r="A86" s="263"/>
      <c r="B86" s="2614"/>
      <c r="C86" s="2598" t="s">
        <v>224</v>
      </c>
      <c r="D86" s="2622"/>
      <c r="E86" s="2622"/>
      <c r="F86" s="2597" t="s">
        <v>224</v>
      </c>
      <c r="G86" s="2598"/>
      <c r="H86" s="1761"/>
      <c r="I86" s="2612"/>
      <c r="J86" s="2619"/>
      <c r="K86" s="560"/>
      <c r="L86" s="2603" t="s">
        <v>225</v>
      </c>
      <c r="M86" s="2604"/>
      <c r="N86" s="337"/>
      <c r="O86" s="2622" t="s">
        <v>215</v>
      </c>
      <c r="P86" s="2622"/>
      <c r="Q86" s="2622" t="s">
        <v>214</v>
      </c>
      <c r="R86" s="2622"/>
      <c r="S86" s="2597"/>
      <c r="T86" s="560"/>
      <c r="U86" s="2585" t="s">
        <v>174</v>
      </c>
      <c r="V86" s="2586"/>
      <c r="W86" s="2586"/>
      <c r="X86" s="2586"/>
      <c r="Y86" s="2586" t="s">
        <v>215</v>
      </c>
      <c r="Z86" s="2586"/>
      <c r="AA86" s="2587"/>
      <c r="AB86" s="315"/>
    </row>
    <row r="87" spans="1:28" ht="45" customHeight="1" x14ac:dyDescent="0.35">
      <c r="A87" s="263"/>
      <c r="B87" s="2615"/>
      <c r="C87" s="760" t="s">
        <v>226</v>
      </c>
      <c r="D87" s="770" t="s">
        <v>177</v>
      </c>
      <c r="E87" s="770" t="s">
        <v>178</v>
      </c>
      <c r="F87" s="770" t="s">
        <v>226</v>
      </c>
      <c r="G87" s="770" t="s">
        <v>177</v>
      </c>
      <c r="H87" s="1762"/>
      <c r="I87" s="770" t="s">
        <v>226</v>
      </c>
      <c r="J87" s="765" t="s">
        <v>177</v>
      </c>
      <c r="K87" s="761"/>
      <c r="L87" s="760" t="s">
        <v>218</v>
      </c>
      <c r="M87" s="770" t="s">
        <v>219</v>
      </c>
      <c r="N87" s="1763"/>
      <c r="O87" s="770" t="s">
        <v>218</v>
      </c>
      <c r="P87" s="770" t="s">
        <v>219</v>
      </c>
      <c r="Q87" s="770" t="s">
        <v>220</v>
      </c>
      <c r="R87" s="770" t="s">
        <v>171</v>
      </c>
      <c r="S87" s="765" t="s">
        <v>221</v>
      </c>
      <c r="T87" s="761"/>
      <c r="U87" s="760" t="s">
        <v>218</v>
      </c>
      <c r="V87" s="770" t="s">
        <v>219</v>
      </c>
      <c r="W87" s="1763"/>
      <c r="X87" s="770" t="s">
        <v>222</v>
      </c>
      <c r="Y87" s="770" t="s">
        <v>218</v>
      </c>
      <c r="Z87" s="770" t="s">
        <v>219</v>
      </c>
      <c r="AA87" s="765" t="s">
        <v>222</v>
      </c>
      <c r="AB87" s="315"/>
    </row>
    <row r="88" spans="1:28" ht="15" customHeight="1" x14ac:dyDescent="0.35">
      <c r="A88" s="263"/>
      <c r="B88" s="323" t="str">
        <f>SUBSTITUTE('Credit risk (IRB)'!$B$17, "; of which:", "")</f>
        <v>Large and mid-market general corporates</v>
      </c>
      <c r="C88" s="867">
        <f>IF(AND('General Info'!$C$12="No", 'General Info'!$C$13="No"), 0, IF('General Info'!$C$14="No", 0, IF(AND(ISNUMBER($F$69), ISNUMBER($F$88), ISNUMBER('Credit risk (IRB)'!H17)), IF($F$69+$F$88&gt;0, $F$88/($F$69+$F$88) * 'Credit risk (IRB)'!H17, 0), "")))</f>
        <v>0</v>
      </c>
      <c r="D88" s="867">
        <f>IF(AND('General Info'!$C$12="No", 'General Info'!$C$13="No"), 0, IF('General Info'!$C$14="No", 0, IF(AND(ISNUMBER($F$69), ISNUMBER($F$88), ISNUMBER('Credit risk (IRB)'!L17)), IF($F$69+$F$88&gt;0, $F$88/($F$69+$F$88) * 'Credit risk (IRB)'!L17, 0), "")))</f>
        <v>0</v>
      </c>
      <c r="E88" s="867">
        <f>IF(AND('General Info'!$C$12="No", 'General Info'!$C$13="No"), 0, IF('General Info'!$C$14="No", 0, IF(AND(ISNUMBER($F$69), ISNUMBER($F$88), ISNUMBER('Credit risk (IRB)'!M17)), IF($F$69+$F$88&gt;0, $F$88/($F$69+$F$88) * 'Credit risk (IRB)'!M17, 0), "")))</f>
        <v>0</v>
      </c>
      <c r="F88" s="568">
        <f>IF(OR(AND('General Info'!$C$12="No", 'General Info'!$C$13="No"), 'General Info'!$C$14="No"), 0, IF(ISNUMBER('Credit risk (IRB)'!CE17), 'Credit risk (IRB)'!CE17, ""))</f>
        <v>0</v>
      </c>
      <c r="G88" s="568">
        <f>IF(OR(AND('General Info'!$C$12="No", 'General Info'!$C$13="No"), 'General Info'!$C$14="No"), 0, IF(ISNUMBER('Credit risk (IRB)'!CI17), 'Credit risk (IRB)'!CI17, ""))</f>
        <v>0</v>
      </c>
      <c r="H88" s="792"/>
      <c r="I88" s="867">
        <f>IF(AND('General Info'!$C$12="No", 'General Info'!$C$13="No"), 0, IF('General Info'!$C$14="No", 0, IF(AND(ISNUMBER($F$69), ISNUMBER($F$88), ISNUMBER('Credit risk (IRB)'!CO17)), IF($F$69+$F$88&gt;0, $F$88/($F$69+$F$88) * 'Credit risk (IRB)'!CO17, 0), "")))</f>
        <v>0</v>
      </c>
      <c r="J88" s="867">
        <f>IF(AND('General Info'!$C$12="No", 'General Info'!$C$13="No"), 0, IF('General Info'!$C$14="No", 0, IF(AND(ISNUMBER($F$69), ISNUMBER($F$88), ISNUMBER('Credit risk (IRB)'!CQ17)), IF($F$69+$F$88&gt;0, $F$88/($F$69+$F$88) * 'Credit risk (IRB)'!CQ17, 0), "")))</f>
        <v>0</v>
      </c>
      <c r="K88" s="761"/>
      <c r="L88" s="610" t="str">
        <f>IF(AND(ISNUMBER(C88), ISNUMBER(F88)), IF(C88&lt;&gt;0, ((F88-C88)/C88), "EAD=0"), "")</f>
        <v>EAD=0</v>
      </c>
      <c r="M88" s="611" t="str">
        <f>IF(AND(ISNUMBER(D88), ISNUMBER(G88)), IF(D88&lt;&gt;0, ((G88-D88)/D88), "RWA=0"), "")</f>
        <v>RWA=0</v>
      </c>
      <c r="N88" s="555"/>
      <c r="O88" s="611" t="str">
        <f>IF(AND(ISNUMBER(F88), ISNUMBER(I88)), IF(F88&lt;&gt;0, ((I88-F88)/F88), "EAD=0"), "")</f>
        <v>EAD=0</v>
      </c>
      <c r="P88" s="611" t="str">
        <f>IF(AND(ISNUMBER(G88), ISNUMBER(J88)), IF(G88&lt;&gt;0, ((J88-G88)/G88), "RWA=0"), "")</f>
        <v>RWA=0</v>
      </c>
      <c r="Q88" s="611" t="str">
        <f>IF(AND(ISNUMBER(C88), ISNUMBER(D88)), IF(C88&lt;&gt;0, (D88/C88), "EAD,RWA=0"), "")</f>
        <v>EAD,RWA=0</v>
      </c>
      <c r="R88" s="611" t="str">
        <f>IF(AND(ISNUMBER(F88),ISNUMBER(G88)), IF(F88&lt;&gt;0, (G88/F88), "EAD,RWA=0"), "")</f>
        <v>EAD,RWA=0</v>
      </c>
      <c r="S88" s="612" t="str">
        <f>IF(AND(ISNUMBER(I88), ISNUMBER(J88)), IF(I88&lt;&gt;0, (J88/I88), "EAD,RWA=0"), "")</f>
        <v>EAD,RWA=0</v>
      </c>
      <c r="T88" s="761"/>
      <c r="U88" s="488" t="str">
        <f>IF(ISNUMBER(L88), IF(ABS(L88)&gt;=0.5,"Error: diff above 50%", IF(ABS(L88)&gt;=0.3, "Warning: diff 30–50%", "Diff below 30%")),"")</f>
        <v/>
      </c>
      <c r="V88" s="489" t="str">
        <f>IF(ISNUMBER(M88), IF(ABS(M88)&gt;=0.5,"Error: diff above 50%", IF(ABS(M88)&gt;=0.3, "Warning: diff 30–50%", "Diff below 30%")),"")</f>
        <v/>
      </c>
      <c r="W88" s="555"/>
      <c r="X88" s="489" t="str">
        <f>IF(AND(AND(ISNUMBER(Q88), ISNUMBER(R88)), AND(Q88&lt;&gt;0, R88&lt;&gt;0)), IF(R88/Q88&gt;1.5, "Error: RW increase &gt; 50%", IF(R88/Q88&gt;=1.25, "Warning: RW increase 25–50%", IF(R88/Q88&gt;=0.9, "RW change -10% to +25%", IF(R88/Q88&gt;=0.8,"Warning: RW decrease 10–20%", "Error: RW decrease &gt; 20%")))), "")</f>
        <v/>
      </c>
      <c r="Y88" s="489" t="str">
        <f>IF(ISNUMBER(O88), IF(ABS(O88)&gt;0.5, "Error: diff above 50%", IF(ABS(O88)&gt;=0.3, "Warning: diff 30–50%", "Diff below 30%")), "")</f>
        <v/>
      </c>
      <c r="Z88" s="489" t="str">
        <f>IF(ISNUMBER(P88), IF(ABS(P88)&gt;0.5, "Error: diff above 50%", IF(ABS(P88)&gt;=0.3, "Warning: diff 30–50%", "Diff below 30%")), "")</f>
        <v/>
      </c>
      <c r="AA88" s="525" t="str">
        <f>IF(AND(AND(ISNUMBER(R88), ISNUMBER(S88)), AND(R88&lt;&gt;0, S88&lt;&gt;0)), IF(S88/R88&gt;1.5, "Error: RW increase &gt; 50%", IF(S88/R88&gt;=1.25, "Warning: RW increase 25–50%", IF(S88/R88&gt;=0.9, "RW change -10% to +25%", IF(S88/R88&gt;=0.8, "Warning: RW decrease 10–20%", "Error: RW decrease &gt; 20%")))), "")</f>
        <v/>
      </c>
      <c r="AB88" s="315"/>
    </row>
    <row r="89" spans="1:28" ht="15" customHeight="1" x14ac:dyDescent="0.35">
      <c r="A89" s="263"/>
      <c r="B89" s="323" t="str">
        <f>SUBSTITUTE('Credit risk (IRB)'!$B$20, "; of which:", "")</f>
        <v>Specialised lending</v>
      </c>
      <c r="C89" s="868">
        <f>IF(AND('General Info'!$C$12="No",'General Info'!$C$13="No"), 0, IF('General Info'!$C$14="No", 0, IF(AND(ISNUMBER($F$70),ISNUMBER($F$89),ISNUMBER('Credit risk (IRB)'!H20)),IF($F$70+$F$89&gt;0,$F$89/($F$70+$F$89)*'Credit risk (IRB)'!H20, 0), "")))</f>
        <v>0</v>
      </c>
      <c r="D89" s="868">
        <f>IF(AND('General Info'!$C$12="No",'General Info'!$C$13="No"), 0, IF('General Info'!$C$14="No", 0, IF(AND(ISNUMBER($F$70),ISNUMBER($F$89),ISNUMBER('Credit risk (IRB)'!L20)),IF($F$70+$F$89&gt;0,$F$89/($F$70+$F$89)*'Credit risk (IRB)'!L20, 0), "")))</f>
        <v>0</v>
      </c>
      <c r="E89" s="868">
        <f>IF(AND('General Info'!$C$12="No",'General Info'!$C$13="No"), 0, IF('General Info'!$C$14="No", 0, IF(AND(ISNUMBER($F$70),ISNUMBER($F$89),ISNUMBER('Credit risk (IRB)'!M20)),IF($F$70+$F$89&gt;0,$F$89/($F$70+$F$89)*'Credit risk (IRB)'!M20, 0), "")))</f>
        <v>0</v>
      </c>
      <c r="F89" s="375">
        <f>IF(OR(AND('General Info'!$C$12="No", 'General Info'!$C$13="No"), 'General Info'!$C$14="No"), 0, IF(ISNUMBER('Credit risk (IRB)'!CE20), 'Credit risk (IRB)'!CE20, ""))</f>
        <v>0</v>
      </c>
      <c r="G89" s="375">
        <f>IF(OR(AND('General Info'!$C$12="No", 'General Info'!$C$13="No"), 'General Info'!$C$14="No"), 0, IF(ISNUMBER('Credit risk (IRB)'!CI20), 'Credit risk (IRB)'!CI20, ""))</f>
        <v>0</v>
      </c>
      <c r="H89" s="794"/>
      <c r="I89" s="868">
        <f>IF(AND('General Info'!$C$12="No",'General Info'!$C$13="No"), 0, IF('General Info'!$C$14="No", 0, IF(AND(ISNUMBER($F$70),ISNUMBER($F$89),ISNUMBER('Credit risk (IRB)'!CO20)),IF($F$70+$F$89&gt;0,$F$89/($F$70+$F$89)*'Credit risk (IRB)'!CO20, 0), "")))</f>
        <v>0</v>
      </c>
      <c r="J89" s="868">
        <f>IF(AND('General Info'!$C$12="No",'General Info'!$C$13="No"), 0, IF('General Info'!$C$14="No", 0, IF(AND(ISNUMBER($F$70),ISNUMBER($F$89),ISNUMBER('Credit risk (IRB)'!CQ20)),IF($F$70+$F$89&gt;0,$F$89/($F$70+$F$89)*'Credit risk (IRB)'!CQ20, 0), "")))</f>
        <v>0</v>
      </c>
      <c r="K89" s="761"/>
      <c r="L89" s="613" t="str">
        <f t="shared" ref="L89:L103" si="52">IF(AND(ISNUMBER(C89), ISNUMBER(F89)), IF(C89&lt;&gt;0, ((F89-C89)/C89), "EAD=0"), "")</f>
        <v>EAD=0</v>
      </c>
      <c r="M89" s="614" t="str">
        <f t="shared" ref="M89:M103" si="53">IF(AND(ISNUMBER(D89), ISNUMBER(G89)), IF(D89&lt;&gt;0, ((G89-D89)/D89), "RWA=0"), "")</f>
        <v>RWA=0</v>
      </c>
      <c r="N89" s="301"/>
      <c r="O89" s="614" t="str">
        <f t="shared" ref="O89:O103" si="54">IF(AND(ISNUMBER(F89), ISNUMBER(I89)), IF(F89&lt;&gt;0, ((I89-F89)/F89), "EAD=0"), "")</f>
        <v>EAD=0</v>
      </c>
      <c r="P89" s="614" t="str">
        <f t="shared" ref="P89:P103" si="55">IF(AND(ISNUMBER(G89), ISNUMBER(J89)), IF(G89&lt;&gt;0, ((J89-G89)/G89), "RWA=0"), "")</f>
        <v>RWA=0</v>
      </c>
      <c r="Q89" s="614" t="str">
        <f t="shared" ref="Q89:Q103" si="56">IF(AND(ISNUMBER(C89), ISNUMBER(D89)), IF(C89&lt;&gt;0, (D89/C89), "EAD,RWA=0"), "")</f>
        <v>EAD,RWA=0</v>
      </c>
      <c r="R89" s="614" t="str">
        <f t="shared" ref="R89:R103" si="57">IF(AND(ISNUMBER(F89),ISNUMBER(G89)), IF(F89&lt;&gt;0, (G89/F89), "EAD,RWA=0"), "")</f>
        <v>EAD,RWA=0</v>
      </c>
      <c r="S89" s="615" t="str">
        <f t="shared" ref="S89:S103" si="58">IF(AND(ISNUMBER(I89), ISNUMBER(J89)), IF(I89&lt;&gt;0, (J89/I89), "EAD,RWA=0"), "")</f>
        <v>EAD,RWA=0</v>
      </c>
      <c r="T89" s="761"/>
      <c r="U89" s="359" t="str">
        <f t="shared" ref="U89:U103" si="59">IF(ISNUMBER(L89), IF(ABS(L89)&gt;=0.5,"Error: diff above 50%", IF(ABS(L89)&gt;=0.3, "Warning: diff 30–50%", "Diff below 30%")),"")</f>
        <v/>
      </c>
      <c r="V89" s="352" t="str">
        <f t="shared" ref="V89:V103" si="60">IF(ISNUMBER(M89), IF(ABS(M89)&gt;=0.5,"Error: diff above 50%", IF(ABS(M89)&gt;=0.3, "Warning: diff 30–50%", "Diff below 30%")),"")</f>
        <v/>
      </c>
      <c r="W89" s="301"/>
      <c r="X89" s="352" t="str">
        <f t="shared" ref="X89:X103" si="61">IF(AND(AND(ISNUMBER(Q89), ISNUMBER(R89)), AND(Q89&lt;&gt;0, R89&lt;&gt;0)), IF(R89/Q89&gt;1.5, "Error: RW increase &gt; 50%", IF(R89/Q89&gt;=1.25, "Warning: RW increase 25–50%", IF(R89/Q89&gt;=0.9, "RW change -10% to +25%", IF(R89/Q89&gt;=0.8,"Warning: RW decrease 10–20%", "Error: RW decrease &gt; 20%")))), "")</f>
        <v/>
      </c>
      <c r="Y89" s="352" t="str">
        <f t="shared" ref="Y89:Y103" si="62">IF(ISNUMBER(O89), IF(ABS(O89)&gt;0.5, "Error: diff above 50%", IF(ABS(O89)&gt;=0.3, "Warning: diff 30–50%", "Diff below 30%")), "")</f>
        <v/>
      </c>
      <c r="Z89" s="352" t="str">
        <f t="shared" ref="Z89:Z103" si="63">IF(ISNUMBER(P89), IF(ABS(P89)&gt;0.5, "Error: diff above 50%", IF(ABS(P89)&gt;=0.3, "Warning: diff 30–50%", "Diff below 30%")), "")</f>
        <v/>
      </c>
      <c r="AA89" s="356" t="str">
        <f t="shared" ref="AA89:AA103" si="64">IF(AND(AND(ISNUMBER(R89), ISNUMBER(S89)), AND(R89&lt;&gt;0, S89&lt;&gt;0)), IF(S89/R89&gt;1.5, "Error: RW increase &gt; 50%", IF(S89/R89&gt;=1.25, "Warning: RW increase 25–50%", IF(S89/R89&gt;=0.9, "RW change -10% to +25%", IF(S89/R89&gt;=0.8, "Warning: RW decrease 10–20%", "Error: RW decrease &gt; 20%")))), "")</f>
        <v/>
      </c>
      <c r="AB89" s="315"/>
    </row>
    <row r="90" spans="1:28" ht="15" customHeight="1" x14ac:dyDescent="0.35">
      <c r="A90" s="263"/>
      <c r="B90" s="323" t="str">
        <f>'Credit risk (IRB)'!$B$36</f>
        <v>SME treated as corporate</v>
      </c>
      <c r="C90" s="868">
        <f>IF(AND('General Info'!$C$12="No", 'General Info'!$C$13="No"), 0, IF('General Info'!$C$14="No", 0, IF(AND(ISNUMBER($F$71), ISNUMBER($F$90), ISNUMBER('Credit risk (IRB)'!H36)), IF($F$71+$F$90&gt;0, $F$90/($F$71+$F$90) * 'Credit risk (IRB)'!H36, 0), "")))</f>
        <v>0</v>
      </c>
      <c r="D90" s="868">
        <f>IF(AND('General Info'!$C$12="No", 'General Info'!$C$13="No"), 0, IF('General Info'!$C$14="No", 0, IF(AND(ISNUMBER($F$71), ISNUMBER($F$90), ISNUMBER('Credit risk (IRB)'!L36)), IF($F$71+$F$90&gt;0, $F$90/($F$71+$F$90) * 'Credit risk (IRB)'!L36, 0), "")))</f>
        <v>0</v>
      </c>
      <c r="E90" s="868">
        <f>IF(AND('General Info'!$C$12="No", 'General Info'!$C$13="No"), 0, IF('General Info'!$C$14="No", 0, IF(AND(ISNUMBER($F$71), ISNUMBER($F$90), ISNUMBER('Credit risk (IRB)'!M36)), IF($F$71+$F$90&gt;0, $F$90/($F$71+$F$90) * 'Credit risk (IRB)'!M36, 0), "")))</f>
        <v>0</v>
      </c>
      <c r="F90" s="375">
        <f>IF(OR(AND('General Info'!$C$12="No", 'General Info'!$C$13="No"), 'General Info'!$C$14="No"), 0, IF(ISNUMBER('Credit risk (IRB)'!CE36), 'Credit risk (IRB)'!CE36, ""))</f>
        <v>0</v>
      </c>
      <c r="G90" s="375">
        <f>IF(OR(AND('General Info'!$C$12="No", 'General Info'!$C$13="No"), 'General Info'!$C$14="No"), 0, IF(ISNUMBER('Credit risk (IRB)'!CI36), 'Credit risk (IRB)'!CI36, ""))</f>
        <v>0</v>
      </c>
      <c r="H90" s="794"/>
      <c r="I90" s="868">
        <f>IF(AND('General Info'!$C$12="No", 'General Info'!$C$13="No"), 0, IF('General Info'!$C$14="No", 0, IF(AND(ISNUMBER($F$71), ISNUMBER($F$90), ISNUMBER('Credit risk (IRB)'!CO36)), IF($F$71+$F$90&gt;0, $F$90/($F$71+$F$90) * 'Credit risk (IRB)'!CO36, 0), "")))</f>
        <v>0</v>
      </c>
      <c r="J90" s="868">
        <f>IF(AND('General Info'!$C$12="No", 'General Info'!$C$13="No"), 0, IF('General Info'!$C$14="No", 0, IF(AND(ISNUMBER($F$71), ISNUMBER($F$90), ISNUMBER('Credit risk (IRB)'!CQ36)), IF($F$71+$F$90&gt;0, $F$90/($F$71+$F$90) * 'Credit risk (IRB)'!CQ36, 0), "")))</f>
        <v>0</v>
      </c>
      <c r="K90" s="761"/>
      <c r="L90" s="613" t="str">
        <f t="shared" si="52"/>
        <v>EAD=0</v>
      </c>
      <c r="M90" s="614" t="str">
        <f t="shared" si="53"/>
        <v>RWA=0</v>
      </c>
      <c r="N90" s="301"/>
      <c r="O90" s="614" t="str">
        <f t="shared" si="54"/>
        <v>EAD=0</v>
      </c>
      <c r="P90" s="614" t="str">
        <f t="shared" si="55"/>
        <v>RWA=0</v>
      </c>
      <c r="Q90" s="614" t="str">
        <f t="shared" si="56"/>
        <v>EAD,RWA=0</v>
      </c>
      <c r="R90" s="614" t="str">
        <f t="shared" si="57"/>
        <v>EAD,RWA=0</v>
      </c>
      <c r="S90" s="615" t="str">
        <f t="shared" si="58"/>
        <v>EAD,RWA=0</v>
      </c>
      <c r="T90" s="761"/>
      <c r="U90" s="359" t="str">
        <f t="shared" si="59"/>
        <v/>
      </c>
      <c r="V90" s="352" t="str">
        <f t="shared" si="60"/>
        <v/>
      </c>
      <c r="W90" s="301"/>
      <c r="X90" s="352" t="str">
        <f t="shared" si="61"/>
        <v/>
      </c>
      <c r="Y90" s="352" t="str">
        <f t="shared" si="62"/>
        <v/>
      </c>
      <c r="Z90" s="352" t="str">
        <f t="shared" si="63"/>
        <v/>
      </c>
      <c r="AA90" s="356" t="str">
        <f t="shared" si="64"/>
        <v/>
      </c>
      <c r="AB90" s="315"/>
    </row>
    <row r="91" spans="1:28" ht="15" customHeight="1" x14ac:dyDescent="0.35">
      <c r="A91" s="263"/>
      <c r="B91" s="323" t="str">
        <f>'Credit risk (IRB)'!$B$37</f>
        <v>Financial institutions treated as corporates</v>
      </c>
      <c r="C91" s="868">
        <f>IF(AND('General Info'!$C$12="No", 'General Info'!$C$13="No"), 0, IF('General Info'!$C$14="No", 0, IF(AND(ISNUMBER($F$72), ISNUMBER($F$91), ISNUMBER('Credit risk (IRB)'!H37)), IF($F$72+$F$91&gt;0, $F$91/($F$72+$F$91) * 'Credit risk (IRB)'!H37, 0),"")))</f>
        <v>0</v>
      </c>
      <c r="D91" s="868">
        <f>IF(AND('General Info'!$C$12="No", 'General Info'!$C$13="No"), 0, IF('General Info'!$C$14="No", 0, IF(AND(ISNUMBER($F$72), ISNUMBER($F$91), ISNUMBER('Credit risk (IRB)'!L37)), IF($F$72+$F$91&gt;0, $F$91/($F$72+$F$91) * 'Credit risk (IRB)'!L37, 0),"")))</f>
        <v>0</v>
      </c>
      <c r="E91" s="868">
        <f>IF(AND('General Info'!$C$12="No", 'General Info'!$C$13="No"), 0, IF('General Info'!$C$14="No", 0, IF(AND(ISNUMBER($F$72), ISNUMBER($F$91), ISNUMBER('Credit risk (IRB)'!M37)), IF($F$72+$F$91&gt;0, $F$91/($F$72+$F$91) * 'Credit risk (IRB)'!M37, 0),"")))</f>
        <v>0</v>
      </c>
      <c r="F91" s="375">
        <f>IF(OR(AND('General Info'!$C$12="No", 'General Info'!$C$13="No"), 'General Info'!$C$14="No"), 0, IF(ISNUMBER('Credit risk (IRB)'!CE37), 'Credit risk (IRB)'!CE37, ""))</f>
        <v>0</v>
      </c>
      <c r="G91" s="375">
        <f>IF(OR(AND('General Info'!$C$12="No", 'General Info'!$C$13="No"), 'General Info'!$C$14="No"), 0, IF(ISNUMBER('Credit risk (IRB)'!CI37), 'Credit risk (IRB)'!CI37, ""))</f>
        <v>0</v>
      </c>
      <c r="H91" s="794"/>
      <c r="I91" s="868">
        <f>IF(AND('General Info'!$C$12="No", 'General Info'!$C$13="No"), 0, IF('General Info'!$C$14="No", 0, IF(AND(ISNUMBER($F$72), ISNUMBER($F$91), ISNUMBER('Credit risk (IRB)'!CO37)), IF($F$72+$F$91&gt;0, $F$91/($F$72+$F$91) * 'Credit risk (IRB)'!CO37, 0),"")))</f>
        <v>0</v>
      </c>
      <c r="J91" s="868">
        <f>IF(AND('General Info'!$C$12="No", 'General Info'!$C$13="No"), 0, IF('General Info'!$C$14="No", 0, IF(AND(ISNUMBER($F$72), ISNUMBER($F$91), ISNUMBER('Credit risk (IRB)'!CQ37)), IF($F$72+$F$91&gt;0, $F$91/($F$72+$F$91) * 'Credit risk (IRB)'!CQ37, 0),"")))</f>
        <v>0</v>
      </c>
      <c r="K91" s="761"/>
      <c r="L91" s="613" t="str">
        <f t="shared" si="52"/>
        <v>EAD=0</v>
      </c>
      <c r="M91" s="614" t="str">
        <f t="shared" si="53"/>
        <v>RWA=0</v>
      </c>
      <c r="N91" s="301"/>
      <c r="O91" s="614" t="str">
        <f t="shared" si="54"/>
        <v>EAD=0</v>
      </c>
      <c r="P91" s="614" t="str">
        <f t="shared" si="55"/>
        <v>RWA=0</v>
      </c>
      <c r="Q91" s="614" t="str">
        <f t="shared" si="56"/>
        <v>EAD,RWA=0</v>
      </c>
      <c r="R91" s="614" t="str">
        <f t="shared" si="57"/>
        <v>EAD,RWA=0</v>
      </c>
      <c r="S91" s="615" t="str">
        <f t="shared" si="58"/>
        <v>EAD,RWA=0</v>
      </c>
      <c r="T91" s="761"/>
      <c r="U91" s="359" t="str">
        <f t="shared" si="59"/>
        <v/>
      </c>
      <c r="V91" s="352" t="str">
        <f t="shared" si="60"/>
        <v/>
      </c>
      <c r="W91" s="301"/>
      <c r="X91" s="352" t="str">
        <f t="shared" si="61"/>
        <v/>
      </c>
      <c r="Y91" s="352" t="str">
        <f t="shared" si="62"/>
        <v/>
      </c>
      <c r="Z91" s="352" t="str">
        <f t="shared" si="63"/>
        <v/>
      </c>
      <c r="AA91" s="356" t="str">
        <f t="shared" si="64"/>
        <v/>
      </c>
      <c r="AB91" s="315"/>
    </row>
    <row r="92" spans="1:28" ht="15" customHeight="1" x14ac:dyDescent="0.35">
      <c r="A92" s="263"/>
      <c r="B92" s="323" t="str">
        <f>'Credit risk (IRB)'!$B$38</f>
        <v>Sovereigns</v>
      </c>
      <c r="C92" s="868">
        <f>IF(AND('General Info'!$C$12="No", 'General Info'!$C$13="No"), 0,IF('General Info'!$C$14="No", 0,IF(AND(ISNUMBER($F$73), ISNUMBER($F$92), ISNUMBER('Credit risk (IRB)'!H38)), IF($F$73+$F$92&gt;0, $F$92/($F$73+$F$92) * 'Credit risk (IRB)'!H38, 0),"")))</f>
        <v>0</v>
      </c>
      <c r="D92" s="868">
        <f>IF(AND('General Info'!$C$12="No", 'General Info'!$C$13="No"), 0,IF('General Info'!$C$14="No", 0,IF(AND(ISNUMBER($F$73), ISNUMBER($F$92), ISNUMBER('Credit risk (IRB)'!L38)), IF($F$73+$F$92&gt;0, $F$92/($F$73+$F$92) * 'Credit risk (IRB)'!L38, 0),"")))</f>
        <v>0</v>
      </c>
      <c r="E92" s="868">
        <f>IF(AND('General Info'!$C$12="No", 'General Info'!$C$13="No"), 0,IF('General Info'!$C$14="No", 0,IF(AND(ISNUMBER($F$73), ISNUMBER($F$92), ISNUMBER('Credit risk (IRB)'!M38)), IF($F$73+$F$92&gt;0, $F$92/($F$73+$F$92) * 'Credit risk (IRB)'!M38, 0),"")))</f>
        <v>0</v>
      </c>
      <c r="F92" s="375">
        <f>IF(OR(AND('General Info'!$C$12="No", 'General Info'!$C$13="No"), 'General Info'!$C$14="No"), 0, IF(ISNUMBER('Credit risk (IRB)'!CE38), 'Credit risk (IRB)'!CE38, ""))</f>
        <v>0</v>
      </c>
      <c r="G92" s="375">
        <f>IF(OR(AND('General Info'!$C$12="No", 'General Info'!$C$13="No"), 'General Info'!$C$14="No"), 0, IF(ISNUMBER('Credit risk (IRB)'!CI38), 'Credit risk (IRB)'!CI38, ""))</f>
        <v>0</v>
      </c>
      <c r="H92" s="794"/>
      <c r="I92" s="868">
        <f>IF(AND('General Info'!$C$12="No", 'General Info'!$C$13="No"), 0,IF('General Info'!$C$14="No", 0,IF(AND(ISNUMBER($F$73), ISNUMBER($F$92), ISNUMBER('Credit risk (IRB)'!CO38)), IF($F$73+$F$92&gt;0, $F$92/($F$73+$F$92) * 'Credit risk (IRB)'!CO38, 0),"")))</f>
        <v>0</v>
      </c>
      <c r="J92" s="868">
        <f>IF(AND('General Info'!$C$12="No", 'General Info'!$C$13="No"), 0,IF('General Info'!$C$14="No", 0,IF(AND(ISNUMBER($F$73), ISNUMBER($F$92), ISNUMBER('Credit risk (IRB)'!CQ38)), IF($F$73+$F$92&gt;0, $F$92/($F$73+$F$92) * 'Credit risk (IRB)'!CQ38, 0),"")))</f>
        <v>0</v>
      </c>
      <c r="K92" s="761"/>
      <c r="L92" s="613" t="str">
        <f t="shared" si="52"/>
        <v>EAD=0</v>
      </c>
      <c r="M92" s="614" t="str">
        <f t="shared" si="53"/>
        <v>RWA=0</v>
      </c>
      <c r="N92" s="301"/>
      <c r="O92" s="614" t="str">
        <f t="shared" si="54"/>
        <v>EAD=0</v>
      </c>
      <c r="P92" s="614" t="str">
        <f t="shared" si="55"/>
        <v>RWA=0</v>
      </c>
      <c r="Q92" s="614" t="str">
        <f t="shared" si="56"/>
        <v>EAD,RWA=0</v>
      </c>
      <c r="R92" s="614" t="str">
        <f t="shared" si="57"/>
        <v>EAD,RWA=0</v>
      </c>
      <c r="S92" s="615" t="str">
        <f t="shared" si="58"/>
        <v>EAD,RWA=0</v>
      </c>
      <c r="T92" s="761"/>
      <c r="U92" s="359" t="str">
        <f t="shared" si="59"/>
        <v/>
      </c>
      <c r="V92" s="352" t="str">
        <f t="shared" si="60"/>
        <v/>
      </c>
      <c r="W92" s="301"/>
      <c r="X92" s="352" t="str">
        <f t="shared" si="61"/>
        <v/>
      </c>
      <c r="Y92" s="352" t="str">
        <f t="shared" si="62"/>
        <v/>
      </c>
      <c r="Z92" s="352" t="str">
        <f t="shared" si="63"/>
        <v/>
      </c>
      <c r="AA92" s="356" t="str">
        <f t="shared" si="64"/>
        <v/>
      </c>
      <c r="AB92" s="315"/>
    </row>
    <row r="93" spans="1:28" ht="15" customHeight="1" x14ac:dyDescent="0.35">
      <c r="A93" s="263"/>
      <c r="B93" s="323" t="str">
        <f>'Credit risk (IRB)'!$B$39</f>
        <v>Banks</v>
      </c>
      <c r="C93" s="868">
        <f>IF(AND('General Info'!$C$12="No", 'General Info'!$C$13="No"), 0, IF('General Info'!$C$14="No", 0, IF(AND(ISNUMBER($F$74), ISNUMBER($F$93), ISNUMBER('Credit risk (IRB)'!H39)), IF($F$74+$F$93&gt;0, $F$93/($F$74+$F$93) * 'Credit risk (IRB)'!H39, 0),"")))</f>
        <v>0</v>
      </c>
      <c r="D93" s="868">
        <f>IF(AND('General Info'!$C$12="No", 'General Info'!$C$13="No"), 0, IF('General Info'!$C$14="No", 0, IF(AND(ISNUMBER($F$74), ISNUMBER($F$93), ISNUMBER('Credit risk (IRB)'!L39)), IF($F$74+$F$93&gt;0, $F$93/($F$74+$F$93) * 'Credit risk (IRB)'!L39, 0),"")))</f>
        <v>0</v>
      </c>
      <c r="E93" s="868">
        <f>IF(AND('General Info'!$C$12="No", 'General Info'!$C$13="No"), 0, IF('General Info'!$C$14="No", 0, IF(AND(ISNUMBER($F$74), ISNUMBER($F$93), ISNUMBER('Credit risk (IRB)'!M39)), IF($F$74+$F$93&gt;0, $F$93/($F$74+$F$93) * 'Credit risk (IRB)'!M39, 0),"")))</f>
        <v>0</v>
      </c>
      <c r="F93" s="375">
        <f>IF(OR(AND('General Info'!$C$12="No", 'General Info'!$C$13="No"), 'General Info'!$C$14="No"), 0, IF(ISNUMBER('Credit risk (IRB)'!CE39), 'Credit risk (IRB)'!CE39, ""))</f>
        <v>0</v>
      </c>
      <c r="G93" s="375">
        <f>IF(OR(AND('General Info'!$C$12="No", 'General Info'!$C$13="No"), 'General Info'!$C$14="No"), 0, IF(ISNUMBER('Credit risk (IRB)'!CI39), 'Credit risk (IRB)'!CI39, ""))</f>
        <v>0</v>
      </c>
      <c r="H93" s="793"/>
      <c r="I93" s="868">
        <f>IF(AND('General Info'!$C$12="No", 'General Info'!$C$13="No"), 0, IF('General Info'!$C$14="No", 0, IF(AND(ISNUMBER($F$74), ISNUMBER($F$93), ISNUMBER('Credit risk (IRB)'!CO39)), IF($F$74+$F$93&gt;0, $F$93/($F$74+$F$93) * 'Credit risk (IRB)'!CO39, 0),"")))</f>
        <v>0</v>
      </c>
      <c r="J93" s="868">
        <f>IF(AND('General Info'!$C$12="No", 'General Info'!$C$13="No"), 0, IF('General Info'!$C$14="No", 0, IF(AND(ISNUMBER($F$74), ISNUMBER($F$93), ISNUMBER('Credit risk (IRB)'!CQ39)), IF($F$74+$F$93&gt;0, $F$93/($F$74+$F$93) * 'Credit risk (IRB)'!CQ39, 0),"")))</f>
        <v>0</v>
      </c>
      <c r="K93" s="761"/>
      <c r="L93" s="613" t="str">
        <f t="shared" si="52"/>
        <v>EAD=0</v>
      </c>
      <c r="M93" s="614" t="str">
        <f t="shared" si="53"/>
        <v>RWA=0</v>
      </c>
      <c r="N93" s="301"/>
      <c r="O93" s="614" t="str">
        <f t="shared" si="54"/>
        <v>EAD=0</v>
      </c>
      <c r="P93" s="614" t="str">
        <f t="shared" si="55"/>
        <v>RWA=0</v>
      </c>
      <c r="Q93" s="614" t="str">
        <f t="shared" si="56"/>
        <v>EAD,RWA=0</v>
      </c>
      <c r="R93" s="614" t="str">
        <f t="shared" si="57"/>
        <v>EAD,RWA=0</v>
      </c>
      <c r="S93" s="615" t="str">
        <f t="shared" si="58"/>
        <v>EAD,RWA=0</v>
      </c>
      <c r="T93" s="761"/>
      <c r="U93" s="359" t="str">
        <f t="shared" si="59"/>
        <v/>
      </c>
      <c r="V93" s="352" t="str">
        <f t="shared" si="60"/>
        <v/>
      </c>
      <c r="W93" s="301"/>
      <c r="X93" s="352" t="str">
        <f t="shared" si="61"/>
        <v/>
      </c>
      <c r="Y93" s="352" t="str">
        <f t="shared" si="62"/>
        <v/>
      </c>
      <c r="Z93" s="352" t="str">
        <f t="shared" si="63"/>
        <v/>
      </c>
      <c r="AA93" s="356" t="str">
        <f t="shared" si="64"/>
        <v/>
      </c>
      <c r="AB93" s="315"/>
    </row>
    <row r="94" spans="1:28" ht="15" customHeight="1" x14ac:dyDescent="0.35">
      <c r="A94" s="263"/>
      <c r="B94" s="323" t="str">
        <f>'Credit risk (IRB)'!$B$40</f>
        <v>Retail residential mortgages</v>
      </c>
      <c r="C94" s="868">
        <f>IF(AND('General Info'!$C$12="No", 'General Info'!$C$13="No"), 0, IF('General Info'!$C$14="No", 0, IF(AND(ISNUMBER($F$75), ISNUMBER($F$94), ISNUMBER('Credit risk (IRB)'!H40)), IF($F$75+$F$94&gt;0, $F$94/($F$75+$F$94) * 'Credit risk (IRB)'!H40, 0),"")))</f>
        <v>0</v>
      </c>
      <c r="D94" s="868">
        <f>IF(AND('General Info'!$C$12="No", 'General Info'!$C$13="No"), 0, IF('General Info'!$C$14="No", 0, IF(AND(ISNUMBER($F$75), ISNUMBER($F$94), ISNUMBER('Credit risk (IRB)'!L40)), IF($F$75+$F$94&gt;0, $F$94/($F$75+$F$94) * 'Credit risk (IRB)'!L40, 0),"")))</f>
        <v>0</v>
      </c>
      <c r="E94" s="868">
        <f>IF(AND('General Info'!$C$12="No", 'General Info'!$C$13="No"), 0, IF('General Info'!$C$14="No", 0, IF(AND(ISNUMBER($F$75), ISNUMBER($F$94), ISNUMBER('Credit risk (IRB)'!M40)), IF($F$75+$F$94&gt;0, $F$94/($F$75+$F$94) * 'Credit risk (IRB)'!M40, 0),"")))</f>
        <v>0</v>
      </c>
      <c r="F94" s="375">
        <f>IF(OR(AND('General Info'!$C$12="No", 'General Info'!$C$13="No"), 'General Info'!$C$14="No"), 0, IF(ISNUMBER('Credit risk (IRB)'!CE40), 'Credit risk (IRB)'!CE40, ""))</f>
        <v>0</v>
      </c>
      <c r="G94" s="375">
        <f>IF(OR(AND('General Info'!$C$12="No", 'General Info'!$C$13="No"), 'General Info'!$C$14="No"), 0, IF(ISNUMBER('Credit risk (IRB)'!CI40), 'Credit risk (IRB)'!CI40, ""))</f>
        <v>0</v>
      </c>
      <c r="H94" s="793"/>
      <c r="I94" s="868">
        <f>IF(AND('General Info'!$C$12="No", 'General Info'!$C$13="No"), 0, IF('General Info'!$C$14="No", 0, IF(AND(ISNUMBER($F$75), ISNUMBER($F$94), ISNUMBER('Credit risk (IRB)'!CO40)), IF($F$75+$F$94&gt;0, $F$94/($F$75+$F$94) * 'Credit risk (IRB)'!CO40, 0),"")))</f>
        <v>0</v>
      </c>
      <c r="J94" s="868">
        <f>IF(AND('General Info'!$C$12="No", 'General Info'!$C$13="No"), 0, IF('General Info'!$C$14="No", 0, IF(AND(ISNUMBER($F$75), ISNUMBER($F$94), ISNUMBER('Credit risk (IRB)'!CQ40)), IF($F$75+$F$94&gt;0, $F$94/($F$75+$F$94) * 'Credit risk (IRB)'!CQ40, 0),"")))</f>
        <v>0</v>
      </c>
      <c r="K94" s="761"/>
      <c r="L94" s="613" t="str">
        <f t="shared" si="52"/>
        <v>EAD=0</v>
      </c>
      <c r="M94" s="614" t="str">
        <f t="shared" si="53"/>
        <v>RWA=0</v>
      </c>
      <c r="N94" s="301"/>
      <c r="O94" s="614" t="str">
        <f t="shared" si="54"/>
        <v>EAD=0</v>
      </c>
      <c r="P94" s="614" t="str">
        <f t="shared" si="55"/>
        <v>RWA=0</v>
      </c>
      <c r="Q94" s="614" t="str">
        <f t="shared" si="56"/>
        <v>EAD,RWA=0</v>
      </c>
      <c r="R94" s="614" t="str">
        <f t="shared" si="57"/>
        <v>EAD,RWA=0</v>
      </c>
      <c r="S94" s="615" t="str">
        <f t="shared" si="58"/>
        <v>EAD,RWA=0</v>
      </c>
      <c r="T94" s="761"/>
      <c r="U94" s="359" t="str">
        <f t="shared" si="59"/>
        <v/>
      </c>
      <c r="V94" s="352" t="str">
        <f t="shared" si="60"/>
        <v/>
      </c>
      <c r="W94" s="301"/>
      <c r="X94" s="352" t="str">
        <f t="shared" si="61"/>
        <v/>
      </c>
      <c r="Y94" s="352" t="str">
        <f t="shared" si="62"/>
        <v/>
      </c>
      <c r="Z94" s="352" t="str">
        <f t="shared" si="63"/>
        <v/>
      </c>
      <c r="AA94" s="356" t="str">
        <f t="shared" si="64"/>
        <v/>
      </c>
      <c r="AB94" s="315"/>
    </row>
    <row r="95" spans="1:28" ht="15" customHeight="1" x14ac:dyDescent="0.35">
      <c r="A95" s="263"/>
      <c r="B95" s="323" t="str">
        <f>SUBSTITUTE('Credit risk (IRB)'!$B$41, "; of which:", "")</f>
        <v>Qualifying revolving retail exposures</v>
      </c>
      <c r="C95" s="868">
        <f>IF(AND('General Info'!$C$12="No", 'General Info'!$C$13="No"), 0, IF('General Info'!$C$14="No", 0, IF(AND(ISNUMBER($F$76), ISNUMBER($F$95), ISNUMBER('Credit risk (IRB)'!H41)), IF($F$76+$F$95&gt;0, $F$95/($F$76+$F$95) * 'Credit risk (IRB)'!H41, 0),"")))</f>
        <v>0</v>
      </c>
      <c r="D95" s="868">
        <f>IF(AND('General Info'!$C$12="No", 'General Info'!$C$13="No"), 0, IF('General Info'!$C$14="No", 0, IF(AND(ISNUMBER($F$76), ISNUMBER($F$95), ISNUMBER('Credit risk (IRB)'!L41)), IF($F$76+$F$95&gt;0, $F$95/($F$76+$F$95) * 'Credit risk (IRB)'!L41, 0),"")))</f>
        <v>0</v>
      </c>
      <c r="E95" s="868">
        <f>IF(AND('General Info'!$C$12="No", 'General Info'!$C$13="No"), 0, IF('General Info'!$C$14="No", 0, IF(AND(ISNUMBER($F$76), ISNUMBER($F$95), ISNUMBER('Credit risk (IRB)'!M41)), IF($F$76+$F$95&gt;0, $F$95/($F$76+$F$95) * 'Credit risk (IRB)'!M41, 0),"")))</f>
        <v>0</v>
      </c>
      <c r="F95" s="375">
        <f>IF(OR(AND('General Info'!$C$12="No", 'General Info'!$C$13="No"), 'General Info'!$C$14="No"), 0, IF(ISNUMBER('Credit risk (IRB)'!CE41), 'Credit risk (IRB)'!CE41, ""))</f>
        <v>0</v>
      </c>
      <c r="G95" s="375">
        <f>IF(OR(AND('General Info'!$C$12="No", 'General Info'!$C$13="No"), 'General Info'!$C$14="No"), 0, IF(ISNUMBER('Credit risk (IRB)'!CI41), 'Credit risk (IRB)'!CI41, ""))</f>
        <v>0</v>
      </c>
      <c r="H95" s="793"/>
      <c r="I95" s="868">
        <f>IF(AND('General Info'!$C$12="No", 'General Info'!$C$13="No"), 0, IF('General Info'!$C$14="No", 0, IF(AND(ISNUMBER($F$76), ISNUMBER($F$95), ISNUMBER('Credit risk (IRB)'!CO41)), IF($F$76+$F$95&gt;0, $F$95/($F$76+$F$95) * 'Credit risk (IRB)'!CO41, 0),"")))</f>
        <v>0</v>
      </c>
      <c r="J95" s="868">
        <f>IF(AND('General Info'!$C$12="No", 'General Info'!$C$13="No"), 0, IF('General Info'!$C$14="No", 0, IF(AND(ISNUMBER($F$76), ISNUMBER($F$95), ISNUMBER('Credit risk (IRB)'!CQ41)), IF($F$76+$F$95&gt;0, $F$95/($F$76+$F$95) * 'Credit risk (IRB)'!CQ41, 0),"")))</f>
        <v>0</v>
      </c>
      <c r="K95" s="761"/>
      <c r="L95" s="613" t="str">
        <f t="shared" si="52"/>
        <v>EAD=0</v>
      </c>
      <c r="M95" s="614" t="str">
        <f t="shared" si="53"/>
        <v>RWA=0</v>
      </c>
      <c r="N95" s="301"/>
      <c r="O95" s="614" t="str">
        <f t="shared" si="54"/>
        <v>EAD=0</v>
      </c>
      <c r="P95" s="614" t="str">
        <f t="shared" si="55"/>
        <v>RWA=0</v>
      </c>
      <c r="Q95" s="614" t="str">
        <f t="shared" si="56"/>
        <v>EAD,RWA=0</v>
      </c>
      <c r="R95" s="614" t="str">
        <f t="shared" si="57"/>
        <v>EAD,RWA=0</v>
      </c>
      <c r="S95" s="615" t="str">
        <f t="shared" si="58"/>
        <v>EAD,RWA=0</v>
      </c>
      <c r="T95" s="761"/>
      <c r="U95" s="359" t="str">
        <f t="shared" si="59"/>
        <v/>
      </c>
      <c r="V95" s="352" t="str">
        <f t="shared" si="60"/>
        <v/>
      </c>
      <c r="W95" s="301"/>
      <c r="X95" s="352" t="str">
        <f t="shared" si="61"/>
        <v/>
      </c>
      <c r="Y95" s="352" t="str">
        <f t="shared" si="62"/>
        <v/>
      </c>
      <c r="Z95" s="352" t="str">
        <f t="shared" si="63"/>
        <v/>
      </c>
      <c r="AA95" s="356" t="str">
        <f t="shared" si="64"/>
        <v/>
      </c>
      <c r="AB95" s="315"/>
    </row>
    <row r="96" spans="1:28" ht="15" customHeight="1" x14ac:dyDescent="0.35">
      <c r="A96" s="263"/>
      <c r="B96" s="323" t="str">
        <f>'Credit risk (IRB)'!$B$44</f>
        <v>Other retail; of which:</v>
      </c>
      <c r="C96" s="868">
        <f>IF(AND('General Info'!$C$12="No", 'General Info'!$C$13="No"), 0, IF('General Info'!$C$14="No", 0, IF(AND(ISNUMBER($F$77), ISNUMBER($F$96), ISNUMBER('Credit risk (IRB)'!H44)), IF($F$77+$F$96&gt;0, $F$96/($F$77+$F$96) * 'Credit risk (IRB)'!H44, 0), "")))</f>
        <v>0</v>
      </c>
      <c r="D96" s="868">
        <f>IF(AND('General Info'!$C$12="No", 'General Info'!$C$13="No"), 0, IF('General Info'!$C$14="No", 0, IF(AND(ISNUMBER($F$77), ISNUMBER($F$96), ISNUMBER('Credit risk (IRB)'!L44)), IF($F$77+$F$96&gt;0, $F$96/($F$77+$F$96) * 'Credit risk (IRB)'!L44, 0), "")))</f>
        <v>0</v>
      </c>
      <c r="E96" s="868">
        <f>IF(AND('General Info'!$C$12="No", 'General Info'!$C$13="No"), 0, IF('General Info'!$C$14="No", 0, IF(AND(ISNUMBER($F$77), ISNUMBER($F$96), ISNUMBER('Credit risk (IRB)'!M44)), IF($F$77+$F$96&gt;0, $F$96/($F$77+$F$96) * 'Credit risk (IRB)'!M44, 0), "")))</f>
        <v>0</v>
      </c>
      <c r="F96" s="375">
        <f>IF(OR(AND('General Info'!$C$12="No", 'General Info'!$C$13="No"), 'General Info'!$C$14="No"), 0, IF(ISNUMBER('Credit risk (IRB)'!CE44), 'Credit risk (IRB)'!CE44, ""))</f>
        <v>0</v>
      </c>
      <c r="G96" s="375">
        <f>IF(OR(AND('General Info'!$C$12="No", 'General Info'!$C$13="No"), 'General Info'!$C$14="No"), 0, IF(ISNUMBER('Credit risk (IRB)'!CI44), 'Credit risk (IRB)'!CI44, ""))</f>
        <v>0</v>
      </c>
      <c r="H96" s="793"/>
      <c r="I96" s="868">
        <f>IF(AND('General Info'!$C$12="No", 'General Info'!$C$13="No"), 0, IF('General Info'!$C$14="No", 0, IF(AND(ISNUMBER($F$77), ISNUMBER($F$96), ISNUMBER('Credit risk (IRB)'!CO44)), IF($F$77+$F$96&gt;0, $F$96/($F$77+$F$96) * 'Credit risk (IRB)'!CO44, 0), "")))</f>
        <v>0</v>
      </c>
      <c r="J96" s="868">
        <f>IF(AND('General Info'!$C$12="No", 'General Info'!$C$13="No"), 0, IF('General Info'!$C$14="No", 0, IF(AND(ISNUMBER($F$77), ISNUMBER($F$96), ISNUMBER('Credit risk (IRB)'!CQ44)), IF($F$77+$F$96&gt;0, $F$96/($F$77+$F$96) * 'Credit risk (IRB)'!CQ44, 0), "")))</f>
        <v>0</v>
      </c>
      <c r="K96" s="761"/>
      <c r="L96" s="613" t="str">
        <f t="shared" si="52"/>
        <v>EAD=0</v>
      </c>
      <c r="M96" s="614" t="str">
        <f t="shared" si="53"/>
        <v>RWA=0</v>
      </c>
      <c r="N96" s="301"/>
      <c r="O96" s="614" t="str">
        <f t="shared" si="54"/>
        <v>EAD=0</v>
      </c>
      <c r="P96" s="614" t="str">
        <f t="shared" si="55"/>
        <v>RWA=0</v>
      </c>
      <c r="Q96" s="614" t="str">
        <f t="shared" si="56"/>
        <v>EAD,RWA=0</v>
      </c>
      <c r="R96" s="614" t="str">
        <f t="shared" si="57"/>
        <v>EAD,RWA=0</v>
      </c>
      <c r="S96" s="615" t="str">
        <f t="shared" si="58"/>
        <v>EAD,RWA=0</v>
      </c>
      <c r="T96" s="761"/>
      <c r="U96" s="359" t="str">
        <f t="shared" si="59"/>
        <v/>
      </c>
      <c r="V96" s="352" t="str">
        <f t="shared" si="60"/>
        <v/>
      </c>
      <c r="W96" s="301"/>
      <c r="X96" s="352" t="str">
        <f t="shared" si="61"/>
        <v/>
      </c>
      <c r="Y96" s="352" t="str">
        <f t="shared" si="62"/>
        <v/>
      </c>
      <c r="Z96" s="352" t="str">
        <f t="shared" si="63"/>
        <v/>
      </c>
      <c r="AA96" s="356" t="str">
        <f t="shared" si="64"/>
        <v/>
      </c>
      <c r="AB96" s="315"/>
    </row>
    <row r="97" spans="1:28" ht="15" customHeight="1" x14ac:dyDescent="0.35">
      <c r="A97" s="263"/>
      <c r="B97" s="517" t="s">
        <v>228</v>
      </c>
      <c r="C97" s="868">
        <f>IF(AND('General Info'!$C$12="No", 'General Info'!$C$13="No"), 0,IF('General Info'!$C$14="No", 0, IF(AND(ISNUMBER($F$78), ISNUMBER($F$97), ISNUMBER('Credit risk (IRB)'!H46), ISNUMBER('Credit risk (IRB)'!H49)), IF($F$78+$F$97&gt;0, $F$97/($F$78+$F$97) * ('Credit risk (IRB)'!H46+'Credit risk (IRB)'!H49), 0), "")))</f>
        <v>0</v>
      </c>
      <c r="D97" s="868">
        <f>IF(AND('General Info'!$C$12="No", 'General Info'!$C$13="No"), 0,IF('General Info'!$C$14="No", 0, IF(AND(ISNUMBER($F$78), ISNUMBER($F$97), ISNUMBER('Credit risk (IRB)'!L46), ISNUMBER('Credit risk (IRB)'!L49)), IF($F$78+$F$97&gt;0, $F$97/($F$78+$F$97) * ('Credit risk (IRB)'!L46+'Credit risk (IRB)'!L49), 0), "")))</f>
        <v>0</v>
      </c>
      <c r="E97" s="868">
        <f>IF(AND('General Info'!$C$12="No", 'General Info'!$C$13="No"), 0,IF('General Info'!$C$14="No", 0, IF(AND(ISNUMBER($F$78), ISNUMBER($F$97), ISNUMBER('Credit risk (IRB)'!M46), ISNUMBER('Credit risk (IRB)'!M49)), IF($F$78+$F$97&gt;0, $F$97/($F$78+$F$97) * ('Credit risk (IRB)'!M46+'Credit risk (IRB)'!M49), 0), "")))</f>
        <v>0</v>
      </c>
      <c r="F97" s="375">
        <f>IF(OR(AND('General Info'!$C$12="No", 'General Info'!$C$13="No"), 'General Info'!$C$14="No"), 0, IF(AND(ISNUMBER('Credit risk (IRB)'!CE46), ISNUMBER('Credit risk (IRB)'!CE49)), 'Credit risk (IRB)'!CE46+'Credit risk (IRB)'!CE49, ""))</f>
        <v>0</v>
      </c>
      <c r="G97" s="375">
        <f>IF(OR(AND('General Info'!$C$12="No", 'General Info'!$C$13="No"), 'General Info'!$C$14="No"), 0, IF(AND(ISNUMBER('Credit risk (IRB)'!CI46), ISNUMBER('Credit risk (IRB)'!CI49)), 'Credit risk (IRB)'!CI46+'Credit risk (IRB)'!CI49, ""))</f>
        <v>0</v>
      </c>
      <c r="H97" s="793"/>
      <c r="I97" s="868">
        <f>IF(AND('General Info'!$C$12="No", 'General Info'!$C$13="No"), 0,IF('General Info'!$C$14="No", 0, IF(AND(ISNUMBER($F$78), ISNUMBER($F$97), ISNUMBER('Credit risk (IRB)'!CO46), ISNUMBER('Credit risk (IRB)'!CO49)), IF($F$78+$F$97&gt;0, $F$97/($F$78+$F$97) * ('Credit risk (IRB)'!CO46+'Credit risk (IRB)'!CO49), 0), "")))</f>
        <v>0</v>
      </c>
      <c r="J97" s="868">
        <f>IF(AND('General Info'!$C$12="No", 'General Info'!$C$13="No"), 0,IF('General Info'!$C$14="No", 0, IF(AND(ISNUMBER($F$78), ISNUMBER($F$97), ISNUMBER('Credit risk (IRB)'!CQ46), ISNUMBER('Credit risk (IRB)'!CQ49)), IF($F$78+$F$97&gt;0, $F$97/($F$78+$F$97) * ('Credit risk (IRB)'!CQ46+'Credit risk (IRB)'!CQ49), 0), "")))</f>
        <v>0</v>
      </c>
      <c r="K97" s="761"/>
      <c r="L97" s="613" t="str">
        <f t="shared" si="52"/>
        <v>EAD=0</v>
      </c>
      <c r="M97" s="614" t="str">
        <f t="shared" si="53"/>
        <v>RWA=0</v>
      </c>
      <c r="N97" s="301"/>
      <c r="O97" s="614" t="str">
        <f t="shared" si="54"/>
        <v>EAD=0</v>
      </c>
      <c r="P97" s="614" t="str">
        <f t="shared" si="55"/>
        <v>RWA=0</v>
      </c>
      <c r="Q97" s="614" t="str">
        <f t="shared" si="56"/>
        <v>EAD,RWA=0</v>
      </c>
      <c r="R97" s="614" t="str">
        <f t="shared" si="57"/>
        <v>EAD,RWA=0</v>
      </c>
      <c r="S97" s="615" t="str">
        <f t="shared" si="58"/>
        <v>EAD,RWA=0</v>
      </c>
      <c r="T97" s="761"/>
      <c r="U97" s="359" t="str">
        <f t="shared" si="59"/>
        <v/>
      </c>
      <c r="V97" s="352" t="str">
        <f t="shared" si="60"/>
        <v/>
      </c>
      <c r="W97" s="301"/>
      <c r="X97" s="352" t="str">
        <f t="shared" si="61"/>
        <v/>
      </c>
      <c r="Y97" s="352" t="str">
        <f t="shared" si="62"/>
        <v/>
      </c>
      <c r="Z97" s="352" t="str">
        <f t="shared" si="63"/>
        <v/>
      </c>
      <c r="AA97" s="356" t="str">
        <f t="shared" si="64"/>
        <v/>
      </c>
      <c r="AB97" s="315"/>
    </row>
    <row r="98" spans="1:28" ht="15" customHeight="1" x14ac:dyDescent="0.35">
      <c r="A98" s="263"/>
      <c r="B98" s="323" t="str">
        <f>SUBSTITUTE('Credit risk (IRB)'!$B$51, "; of which:", "")</f>
        <v>Equity exposures</v>
      </c>
      <c r="C98" s="617">
        <f>IF(AND('General Info'!$C$12="No", 'General Info'!$C$13="No"), 0, IF(ISNUMBER('Credit risk (IRB)'!H51), 'Credit risk (IRB)'!H51, ""))</f>
        <v>234924.02600000001</v>
      </c>
      <c r="D98" s="617">
        <f>IF(AND('General Info'!$C$12="No", 'General Info'!$C$13="No"), 0, IF(ISNUMBER('Credit risk (IRB)'!L51), 'Credit risk (IRB)'!L51, ""))</f>
        <v>826638.96799999999</v>
      </c>
      <c r="E98" s="617">
        <f>IF(AND('General Info'!$C$12="No", 'General Info'!$C$13="No"), 0, IF(ISNUMBER('Credit risk (IRB)'!M51), 'Credit risk (IRB)'!M51, ""))</f>
        <v>4786.5780000000004</v>
      </c>
      <c r="F98" s="375">
        <f>IF(AND('General Info'!$C$12="No", 'General Info'!$C$13="No"), 0, IF(ISNUMBER('Credit risk (IRB)'!CE51), 'Credit risk (IRB)'!CE51, ""))</f>
        <v>234924.02600000001</v>
      </c>
      <c r="G98" s="375">
        <f>IF(AND('General Info'!$C$12="No", 'General Info'!$C$13="No"), 0, IF(ISNUMBER('Credit risk (IRB)'!CI51), 'Credit risk (IRB)'!CI51, ""))</f>
        <v>587310.06500000006</v>
      </c>
      <c r="H98" s="298"/>
      <c r="I98" s="617">
        <f>IF(ISNUMBER(F98), F98, "")</f>
        <v>234924.02600000001</v>
      </c>
      <c r="J98" s="617">
        <f>IF(ISNUMBER(G98), G98, "")</f>
        <v>587310.06500000006</v>
      </c>
      <c r="K98" s="370"/>
      <c r="L98" s="613">
        <f t="shared" si="52"/>
        <v>0</v>
      </c>
      <c r="M98" s="614">
        <f t="shared" si="53"/>
        <v>-0.28952047056170227</v>
      </c>
      <c r="N98" s="301"/>
      <c r="O98" s="614">
        <f t="shared" si="54"/>
        <v>0</v>
      </c>
      <c r="P98" s="614">
        <f t="shared" si="55"/>
        <v>0</v>
      </c>
      <c r="Q98" s="614">
        <f t="shared" si="56"/>
        <v>3.5187502192730169</v>
      </c>
      <c r="R98" s="614">
        <f t="shared" si="57"/>
        <v>2.5</v>
      </c>
      <c r="S98" s="615">
        <f t="shared" si="58"/>
        <v>2.5</v>
      </c>
      <c r="T98" s="370"/>
      <c r="U98" s="359" t="str">
        <f t="shared" si="59"/>
        <v>Diff below 30%</v>
      </c>
      <c r="V98" s="352" t="str">
        <f t="shared" si="60"/>
        <v>Diff below 30%</v>
      </c>
      <c r="W98" s="301"/>
      <c r="X98" s="352" t="str">
        <f t="shared" si="61"/>
        <v>Error: RW decrease &gt; 20%</v>
      </c>
      <c r="Y98" s="352" t="str">
        <f t="shared" si="62"/>
        <v>Diff below 30%</v>
      </c>
      <c r="Z98" s="352" t="str">
        <f t="shared" si="63"/>
        <v>Diff below 30%</v>
      </c>
      <c r="AA98" s="356" t="str">
        <f t="shared" si="64"/>
        <v>RW change -10% to +25%</v>
      </c>
      <c r="AB98" s="315"/>
    </row>
    <row r="99" spans="1:28" ht="15" customHeight="1" x14ac:dyDescent="0.35">
      <c r="A99" s="263"/>
      <c r="B99" s="323" t="str">
        <f>SUBSTITUTE('Credit risk (IRB)'!$B$55, "; of which:", "")</f>
        <v>Equity investment in funds</v>
      </c>
      <c r="C99" s="868">
        <f>IF(AND('General Info'!$C$12="No", 'General Info'!$C$13="No"), 0, IF('General Info'!$C$14="No", 0, IF(AND(ISNUMBER($F$79), ISNUMBER($F$99), ISNUMBER('Credit risk (IRB)'!H55)), IF($F$79+$F$99&gt;0, $F$99/($F$79+$F$99) * 'Credit risk (IRB)'!H55, 0), "")))</f>
        <v>0</v>
      </c>
      <c r="D99" s="868">
        <f>IF(AND('General Info'!$C$12="No", 'General Info'!$C$13="No"), 0, IF('General Info'!$C$14="No", 0, IF(AND(ISNUMBER($F$79), ISNUMBER($F$99), ISNUMBER('Credit risk (IRB)'!L55)), IF($F$79+$F$99&gt;0, $F$99/($F$79+$F$99) * 'Credit risk (IRB)'!L55, 0), "")))</f>
        <v>0</v>
      </c>
      <c r="E99" s="868">
        <f>IF(AND('General Info'!$C$12="No", 'General Info'!$C$13="No"), 0, IF('General Info'!$C$14="No", 0, IF(AND(ISNUMBER($F$79), ISNUMBER($F$99), ISNUMBER('Credit risk (IRB)'!M55)), IF($F$79+$F$99&gt;0, $F$99/($F$79+$F$99) * 'Credit risk (IRB)'!M55, 0), "")))</f>
        <v>0</v>
      </c>
      <c r="F99" s="375">
        <f>IF(OR(AND('General Info'!$C$12="No", 'General Info'!$C$13="No"), 'General Info'!$C$14="No"), 0, IF(ISNUMBER('Credit risk (IRB)'!CE55), 'Credit risk (IRB)'!CE55, ""))</f>
        <v>0</v>
      </c>
      <c r="G99" s="375">
        <f>IF(OR(AND('General Info'!$C$12="No", 'General Info'!$C$13="No"), 'General Info'!$C$14="No"), 0, IF(ISNUMBER('Credit risk (IRB)'!CI55), 'Credit risk (IRB)'!CI55, ""))</f>
        <v>0</v>
      </c>
      <c r="H99" s="298"/>
      <c r="I99" s="868">
        <f>IF(AND('General Info'!$C$12="No", 'General Info'!$C$13="No"), 0, IF('General Info'!$C$14="No", 0, IF(AND(ISNUMBER($F$79), ISNUMBER($F$99), ISNUMBER('Credit risk (IRB)'!CO55)), IF($F$79+$F$99&gt;0, $F$99/($F$79+$F$99) * 'Credit risk (IRB)'!CO55, 0), "")))</f>
        <v>0</v>
      </c>
      <c r="J99" s="868">
        <f>IF(AND('General Info'!$C$12="No", 'General Info'!$C$13="No"), 0, IF('General Info'!$C$14="No", 0, IF(AND(ISNUMBER($F$79), ISNUMBER($F$99), ISNUMBER('Credit risk (IRB)'!CQ55)), IF($F$79+$F$99&gt;0, $F$99/($F$79+$F$99) * 'Credit risk (IRB)'!CQ55, 0), "")))</f>
        <v>0</v>
      </c>
      <c r="K99" s="370"/>
      <c r="L99" s="613" t="str">
        <f t="shared" si="52"/>
        <v>EAD=0</v>
      </c>
      <c r="M99" s="614" t="str">
        <f t="shared" si="53"/>
        <v>RWA=0</v>
      </c>
      <c r="N99" s="301"/>
      <c r="O99" s="614" t="str">
        <f t="shared" si="54"/>
        <v>EAD=0</v>
      </c>
      <c r="P99" s="614" t="str">
        <f t="shared" si="55"/>
        <v>RWA=0</v>
      </c>
      <c r="Q99" s="614" t="str">
        <f t="shared" si="56"/>
        <v>EAD,RWA=0</v>
      </c>
      <c r="R99" s="614" t="str">
        <f t="shared" si="57"/>
        <v>EAD,RWA=0</v>
      </c>
      <c r="S99" s="615" t="str">
        <f t="shared" si="58"/>
        <v>EAD,RWA=0</v>
      </c>
      <c r="T99" s="370"/>
      <c r="U99" s="359" t="str">
        <f t="shared" si="59"/>
        <v/>
      </c>
      <c r="V99" s="352" t="str">
        <f t="shared" si="60"/>
        <v/>
      </c>
      <c r="W99" s="301"/>
      <c r="X99" s="352" t="str">
        <f t="shared" si="61"/>
        <v/>
      </c>
      <c r="Y99" s="352" t="str">
        <f t="shared" si="62"/>
        <v/>
      </c>
      <c r="Z99" s="352" t="str">
        <f t="shared" si="63"/>
        <v/>
      </c>
      <c r="AA99" s="356" t="str">
        <f t="shared" si="64"/>
        <v/>
      </c>
      <c r="AB99" s="315"/>
    </row>
    <row r="100" spans="1:28" ht="15" customHeight="1" x14ac:dyDescent="0.35">
      <c r="A100" s="263"/>
      <c r="B100" s="323" t="str">
        <f>SUBSTITUTE('Credit risk (IRB)'!$B$58, "; of which:", "")</f>
        <v>Eligible purchased receivables</v>
      </c>
      <c r="C100" s="868">
        <f>IF(AND('General Info'!$C$12="No", 'General Info'!$C$13="No"), 0, IF('General Info'!$C$14="No", 0, IF(AND(ISNUMBER($F$80), ISNUMBER($F$100), ISNUMBER('Credit risk (IRB)'!H58)), IF($F$80+$F$100&gt;0, $F$100/($F$80+$F$100) * 'Credit risk (IRB)'!H58, 0), "")))</f>
        <v>0</v>
      </c>
      <c r="D100" s="868">
        <f>IF(AND('General Info'!$C$12="No", 'General Info'!$C$13="No"), 0, IF('General Info'!$C$14="No", 0, IF(AND(ISNUMBER($F$80), ISNUMBER($F$100), ISNUMBER('Credit risk (IRB)'!L58)), IF($F$80+$F$100&gt;0, $F$100/($F$80+$F$100) * 'Credit risk (IRB)'!L58, 0), "")))</f>
        <v>0</v>
      </c>
      <c r="E100" s="868">
        <f>IF(AND('General Info'!$C$12="No", 'General Info'!$C$13="No"), 0, IF('General Info'!$C$14="No", 0, IF(AND(ISNUMBER($F$80), ISNUMBER($F$100), ISNUMBER('Credit risk (IRB)'!M58)), IF($F$80+$F$100&gt;0, $F$100/($F$80+$F$100) * 'Credit risk (IRB)'!M58, 0), "")))</f>
        <v>0</v>
      </c>
      <c r="F100" s="375">
        <f>IF(OR(AND('General Info'!$C$12="No", 'General Info'!$C$13="No"), 'General Info'!$C$14="No"), 0, IF(ISNUMBER('Credit risk (IRB)'!CE58), 'Credit risk (IRB)'!CE58, ""))</f>
        <v>0</v>
      </c>
      <c r="G100" s="375">
        <f>IF(OR(AND('General Info'!$C$12="No", 'General Info'!$C$13="No"), 'General Info'!$C$14="No"), 0, IF(ISNUMBER('Credit risk (IRB)'!CI58), 'Credit risk (IRB)'!CI58, ""))</f>
        <v>0</v>
      </c>
      <c r="H100" s="298"/>
      <c r="I100" s="868">
        <f>IF(AND('General Info'!$C$12="No", 'General Info'!$C$13="No"), 0, IF('General Info'!$C$14="No", 0, IF(AND(ISNUMBER($F$80), ISNUMBER($F$100), ISNUMBER('Credit risk (IRB)'!CO58)), IF($F$80+$F$100&gt;0, $F$100/($F$80+$F$100) * 'Credit risk (IRB)'!CO58, 0), "")))</f>
        <v>0</v>
      </c>
      <c r="J100" s="868">
        <f>IF(AND('General Info'!$C$12="No", 'General Info'!$C$13="No"), 0, IF('General Info'!$C$14="No", 0, IF(AND(ISNUMBER($F$80), ISNUMBER($F$100), ISNUMBER('Credit risk (IRB)'!CQ58)), IF($F$80+$F$100&gt;0, $F$100/($F$80+$F$100) * 'Credit risk (IRB)'!CQ58, 0), "")))</f>
        <v>0</v>
      </c>
      <c r="K100" s="370"/>
      <c r="L100" s="613" t="str">
        <f t="shared" si="52"/>
        <v>EAD=0</v>
      </c>
      <c r="M100" s="614" t="str">
        <f t="shared" si="53"/>
        <v>RWA=0</v>
      </c>
      <c r="N100" s="301"/>
      <c r="O100" s="614" t="str">
        <f t="shared" si="54"/>
        <v>EAD=0</v>
      </c>
      <c r="P100" s="614" t="str">
        <f t="shared" si="55"/>
        <v>RWA=0</v>
      </c>
      <c r="Q100" s="614" t="str">
        <f t="shared" si="56"/>
        <v>EAD,RWA=0</v>
      </c>
      <c r="R100" s="614" t="str">
        <f t="shared" si="57"/>
        <v>EAD,RWA=0</v>
      </c>
      <c r="S100" s="615" t="str">
        <f t="shared" si="58"/>
        <v>EAD,RWA=0</v>
      </c>
      <c r="T100" s="370"/>
      <c r="U100" s="359" t="str">
        <f t="shared" si="59"/>
        <v/>
      </c>
      <c r="V100" s="352" t="str">
        <f t="shared" si="60"/>
        <v/>
      </c>
      <c r="W100" s="301"/>
      <c r="X100" s="352" t="str">
        <f t="shared" si="61"/>
        <v/>
      </c>
      <c r="Y100" s="352" t="str">
        <f t="shared" si="62"/>
        <v/>
      </c>
      <c r="Z100" s="352" t="str">
        <f t="shared" si="63"/>
        <v/>
      </c>
      <c r="AA100" s="356" t="str">
        <f t="shared" si="64"/>
        <v/>
      </c>
      <c r="AB100" s="315"/>
    </row>
    <row r="101" spans="1:28" ht="15" customHeight="1" x14ac:dyDescent="0.35">
      <c r="A101" s="263"/>
      <c r="B101" s="323" t="str">
        <f>'Credit risk (IRB)'!$B$61</f>
        <v>Failed trades and non-DVP transactions</v>
      </c>
      <c r="C101" s="868">
        <f>IF(AND('General Info'!$C$12="No", 'General Info'!$C$13="No"), 0, IF('General Info'!$C$14="No", 0, IF(AND(ISNUMBER($F$81), ISNUMBER($F$101), ISNUMBER('Credit risk (IRB)'!H61)), IF($F$81+$F$101&gt;0, $F$101/($F$81+$F$101) * 'Credit risk (IRB)'!H61, 0), "")))</f>
        <v>0</v>
      </c>
      <c r="D101" s="868">
        <f>IF(AND('General Info'!$C$12="No", 'General Info'!$C$13="No"), 0, IF('General Info'!$C$14="No", 0, IF(AND(ISNUMBER($F$81), ISNUMBER($F$101), ISNUMBER('Credit risk (IRB)'!L61)), IF($F$81+$F$101&gt;0, $F$101/($F$81+$F$101) * 'Credit risk (IRB)'!L61, 0), "")))</f>
        <v>0</v>
      </c>
      <c r="E101" s="868">
        <f>IF(AND('General Info'!$C$12="No", 'General Info'!$C$13="No"), 0, IF('General Info'!$C$14="No", 0, IF(AND(ISNUMBER($F$81), ISNUMBER($F$101), ISNUMBER('Credit risk (IRB)'!M61)), IF($F$81+$F$101&gt;0, $F$101/($F$81+$F$101) * 'Credit risk (IRB)'!M61, 0), "")))</f>
        <v>0</v>
      </c>
      <c r="F101" s="375">
        <f>IF(OR(AND('General Info'!$C$12="No", 'General Info'!$C$13="No"), 'General Info'!$C$14="No"), 0, IF(ISNUMBER('Credit risk (IRB)'!CE61), 'Credit risk (IRB)'!CE61, ""))</f>
        <v>0</v>
      </c>
      <c r="G101" s="375">
        <f>IF(OR(AND('General Info'!$C$12="No", 'General Info'!$C$13="No"), 'General Info'!$C$14="No"), 0, IF(ISNUMBER('Credit risk (IRB)'!CI61), 'Credit risk (IRB)'!CI61, ""))</f>
        <v>0</v>
      </c>
      <c r="H101" s="298"/>
      <c r="I101" s="868">
        <f>IF(AND('General Info'!$C$12="No", 'General Info'!$C$13="No"), 0, IF('General Info'!$C$14="No", 0, IF(AND(ISNUMBER($F$81), ISNUMBER($F$101), ISNUMBER('Credit risk (IRB)'!CO61)), IF($F$81+$F$101&gt;0, $F$101/($F$81+$F$101) * 'Credit risk (IRB)'!CO61, 0), "")))</f>
        <v>0</v>
      </c>
      <c r="J101" s="868">
        <f>IF(AND('General Info'!$C$12="No", 'General Info'!$C$13="No"), 0, IF('General Info'!$C$14="No", 0, IF(AND(ISNUMBER($F$81), ISNUMBER($F$101), ISNUMBER('Credit risk (IRB)'!CQ61)), IF($F$81+$F$101&gt;0, $F$101/($F$81+$F$101) * 'Credit risk (IRB)'!CQ61, 0), "")))</f>
        <v>0</v>
      </c>
      <c r="K101" s="370"/>
      <c r="L101" s="613" t="str">
        <f t="shared" si="52"/>
        <v>EAD=0</v>
      </c>
      <c r="M101" s="614" t="str">
        <f t="shared" si="53"/>
        <v>RWA=0</v>
      </c>
      <c r="N101" s="301"/>
      <c r="O101" s="614" t="str">
        <f t="shared" si="54"/>
        <v>EAD=0</v>
      </c>
      <c r="P101" s="614" t="str">
        <f t="shared" si="55"/>
        <v>RWA=0</v>
      </c>
      <c r="Q101" s="614" t="str">
        <f t="shared" si="56"/>
        <v>EAD,RWA=0</v>
      </c>
      <c r="R101" s="614" t="str">
        <f t="shared" si="57"/>
        <v>EAD,RWA=0</v>
      </c>
      <c r="S101" s="615" t="str">
        <f t="shared" si="58"/>
        <v>EAD,RWA=0</v>
      </c>
      <c r="T101" s="370"/>
      <c r="U101" s="359" t="str">
        <f t="shared" si="59"/>
        <v/>
      </c>
      <c r="V101" s="352" t="str">
        <f t="shared" si="60"/>
        <v/>
      </c>
      <c r="W101" s="301"/>
      <c r="X101" s="352" t="str">
        <f t="shared" si="61"/>
        <v/>
      </c>
      <c r="Y101" s="352" t="str">
        <f t="shared" si="62"/>
        <v/>
      </c>
      <c r="Z101" s="352" t="str">
        <f t="shared" si="63"/>
        <v/>
      </c>
      <c r="AA101" s="356" t="str">
        <f t="shared" si="64"/>
        <v/>
      </c>
      <c r="AB101" s="315"/>
    </row>
    <row r="102" spans="1:28" ht="15" customHeight="1" x14ac:dyDescent="0.35">
      <c r="A102" s="263"/>
      <c r="B102" s="631" t="str">
        <f>SUBSTITUTE('Credit risk (IRB)'!$B$62, "; of which:", "")</f>
        <v>Other assets</v>
      </c>
      <c r="C102" s="869">
        <f>IF(AND('General Info'!$C$12="No", 'General Info'!$C$13="No"), 0, IF('General Info'!$C$14="No", 0, IF(AND(ISNUMBER($F$82), ISNUMBER($F$102),ISNUMBER('Credit risk (IRB)'!H62)), IF($F$82+$F$102&gt;0, $F$102/($F$82+$F$102) * 'Credit risk (IRB)'!H62, 0), "")))</f>
        <v>0</v>
      </c>
      <c r="D102" s="869">
        <f>IF(AND('General Info'!$C$12="No", 'General Info'!$C$13="No"), 0, IF('General Info'!$C$14="No", 0, IF(AND(ISNUMBER($F$82), ISNUMBER($F$102),ISNUMBER('Credit risk (IRB)'!L62)), IF($F$82+$F$102&gt;0, $F$102/($F$82+$F$102) * 'Credit risk (IRB)'!L62, 0), "")))</f>
        <v>0</v>
      </c>
      <c r="E102" s="869">
        <f>IF(AND('General Info'!$C$12="No", 'General Info'!$C$13="No"), 0, IF('General Info'!$C$14="No", 0, IF(AND(ISNUMBER($F$82), ISNUMBER($F$102),ISNUMBER('Credit risk (IRB)'!M62)), IF($F$82+$F$102&gt;0, $F$102/($F$82+$F$102) * 'Credit risk (IRB)'!M62, 0), "")))</f>
        <v>0</v>
      </c>
      <c r="F102" s="375">
        <f>IF(OR(AND('General Info'!$C$12="No", 'General Info'!$C$13="No"), 'General Info'!$C$14="No"), 0, IF(ISNUMBER('Credit risk (IRB)'!CE62), 'Credit risk (IRB)'!CE62, ""))</f>
        <v>0</v>
      </c>
      <c r="G102" s="375">
        <f>IF(OR(AND('General Info'!$C$12="No", 'General Info'!$C$13="No"), 'General Info'!$C$14="No"), 0, IF(ISNUMBER('Credit risk (IRB)'!CI62), 'Credit risk (IRB)'!CI62, ""))</f>
        <v>0</v>
      </c>
      <c r="H102" s="309"/>
      <c r="I102" s="869">
        <f>IF(AND('General Info'!$C$12="No", 'General Info'!$C$13="No"), 0, IF('General Info'!$C$14="No", 0, IF(AND(ISNUMBER($F$82), ISNUMBER($F$102),ISNUMBER('Credit risk (IRB)'!CO62)), IF($F$82+$F$102&gt;0, $F$102/($F$82+$F$102) * 'Credit risk (IRB)'!CO62, 0), "")))</f>
        <v>0</v>
      </c>
      <c r="J102" s="869">
        <f>IF(AND('General Info'!$C$12="No", 'General Info'!$C$13="No"), 0, IF('General Info'!$C$14="No", 0, IF(AND(ISNUMBER($F$82), ISNUMBER($F$102),ISNUMBER('Credit risk (IRB)'!CQ62)), IF($F$82+$F$102&gt;0, $F$102/($F$82+$F$102) * 'Credit risk (IRB)'!CQ62, 0), "")))</f>
        <v>0</v>
      </c>
      <c r="K102" s="370"/>
      <c r="L102" s="613" t="str">
        <f t="shared" si="52"/>
        <v>EAD=0</v>
      </c>
      <c r="M102" s="614" t="str">
        <f t="shared" si="53"/>
        <v>RWA=0</v>
      </c>
      <c r="N102" s="301"/>
      <c r="O102" s="614" t="str">
        <f t="shared" si="54"/>
        <v>EAD=0</v>
      </c>
      <c r="P102" s="614" t="str">
        <f t="shared" si="55"/>
        <v>RWA=0</v>
      </c>
      <c r="Q102" s="614" t="str">
        <f t="shared" si="56"/>
        <v>EAD,RWA=0</v>
      </c>
      <c r="R102" s="614" t="str">
        <f t="shared" si="57"/>
        <v>EAD,RWA=0</v>
      </c>
      <c r="S102" s="615" t="str">
        <f t="shared" si="58"/>
        <v>EAD,RWA=0</v>
      </c>
      <c r="T102" s="370"/>
      <c r="U102" s="359" t="str">
        <f t="shared" si="59"/>
        <v/>
      </c>
      <c r="V102" s="352" t="str">
        <f t="shared" si="60"/>
        <v/>
      </c>
      <c r="W102" s="301"/>
      <c r="X102" s="352" t="str">
        <f t="shared" si="61"/>
        <v/>
      </c>
      <c r="Y102" s="352" t="str">
        <f t="shared" si="62"/>
        <v/>
      </c>
      <c r="Z102" s="352" t="str">
        <f t="shared" si="63"/>
        <v/>
      </c>
      <c r="AA102" s="356" t="str">
        <f t="shared" si="64"/>
        <v/>
      </c>
      <c r="AB102" s="315"/>
    </row>
    <row r="103" spans="1:28" ht="15" customHeight="1" x14ac:dyDescent="0.35">
      <c r="A103" s="263"/>
      <c r="B103" s="634" t="s">
        <v>231</v>
      </c>
      <c r="C103" s="635">
        <f>IF(AND(ISNUMBER(C88), ISNUMBER(C89), ISNUMBER(C90), ISNUMBER(C91), ISNUMBER(C92), ISNUMBER(C93), ISNUMBER(C94), ISNUMBER(C95), ISNUMBER(C96), ISNUMBER(C98), ISNUMBER(C99), ISNUMBER(C100), ISNUMBER(C101), ISNUMBER(C102)), SUM(C88:C96, C98:C102), "")</f>
        <v>234924.02600000001</v>
      </c>
      <c r="D103" s="635">
        <f>IF(AND(ISNUMBER(D88), ISNUMBER(D89), ISNUMBER(D90), ISNUMBER(D91), ISNUMBER(D92), ISNUMBER(D93), ISNUMBER(D94), ISNUMBER(D95), ISNUMBER(D96), ISNUMBER(D98), ISNUMBER(D99), ISNUMBER(D100), ISNUMBER(D101), ISNUMBER(D102)), SUM(D88:D96, D98:D102), "")</f>
        <v>826638.96799999999</v>
      </c>
      <c r="E103" s="635">
        <f>IF(AND(ISNUMBER(E88), ISNUMBER(E89), ISNUMBER(E90), ISNUMBER(E91), ISNUMBER(E92), ISNUMBER(E93), ISNUMBER(E94), ISNUMBER(E95), ISNUMBER(E96), ISNUMBER(E98), ISNUMBER(E99), ISNUMBER(E100), ISNUMBER(E101), ISNUMBER(E102)), SUM(E88:E96, E98:E102), "")</f>
        <v>4786.5780000000004</v>
      </c>
      <c r="F103" s="635">
        <f>IF(AND(ISNUMBER(F88), ISNUMBER(F89), ISNUMBER(F90), ISNUMBER(F91), ISNUMBER(F92), ISNUMBER(F93), ISNUMBER(F94), ISNUMBER(F95), ISNUMBER(F96), ISNUMBER(F98), ISNUMBER(F99), ISNUMBER(F100), ISNUMBER(F101), ISNUMBER(F102)), SUM(F88:F96, F98:F102), "")</f>
        <v>234924.02600000001</v>
      </c>
      <c r="G103" s="635">
        <f>IF(AND(ISNUMBER(G88), ISNUMBER(G89), ISNUMBER(G90), ISNUMBER(G91), ISNUMBER(G92), ISNUMBER(G93), ISNUMBER(G94), ISNUMBER(G95), ISNUMBER(G96), ISNUMBER(G98), ISNUMBER(G99), ISNUMBER(G100), ISNUMBER(G101), ISNUMBER(G102)), SUM(G88:G96, G98:G102), "")</f>
        <v>587310.06500000006</v>
      </c>
      <c r="H103" s="317"/>
      <c r="I103" s="635">
        <f>IF(AND(ISNUMBER(I88), ISNUMBER(I89), ISNUMBER(I90), ISNUMBER(I91), ISNUMBER(I92), ISNUMBER(I93), ISNUMBER(I94), ISNUMBER(I95), ISNUMBER(I96), ISNUMBER(I98), ISNUMBER(I99), ISNUMBER(I100), ISNUMBER(I101), ISNUMBER(I102)), SUM(I88:I96, I98:I102), "")</f>
        <v>234924.02600000001</v>
      </c>
      <c r="J103" s="633">
        <f>IF(AND(ISNUMBER(J88), ISNUMBER(J89), ISNUMBER(J90), ISNUMBER(J91), ISNUMBER(J92), ISNUMBER(J93), ISNUMBER(J94), ISNUMBER(J95), ISNUMBER(J96), ISNUMBER(J98), ISNUMBER(J99), ISNUMBER(J100), ISNUMBER(J101), ISNUMBER(J102)), SUM(J88:J96, J98:J102), "")</f>
        <v>587310.06500000006</v>
      </c>
      <c r="K103" s="370"/>
      <c r="L103" s="635">
        <f t="shared" si="52"/>
        <v>0</v>
      </c>
      <c r="M103" s="628">
        <f t="shared" si="53"/>
        <v>-0.28952047056170227</v>
      </c>
      <c r="N103" s="333"/>
      <c r="O103" s="628">
        <f t="shared" si="54"/>
        <v>0</v>
      </c>
      <c r="P103" s="628">
        <f t="shared" si="55"/>
        <v>0</v>
      </c>
      <c r="Q103" s="628">
        <f t="shared" si="56"/>
        <v>3.5187502192730169</v>
      </c>
      <c r="R103" s="628">
        <f t="shared" si="57"/>
        <v>2.5</v>
      </c>
      <c r="S103" s="633">
        <f t="shared" si="58"/>
        <v>2.5</v>
      </c>
      <c r="T103" s="370"/>
      <c r="U103" s="360" t="str">
        <f t="shared" si="59"/>
        <v>Diff below 30%</v>
      </c>
      <c r="V103" s="354" t="str">
        <f t="shared" si="60"/>
        <v>Diff below 30%</v>
      </c>
      <c r="W103" s="333"/>
      <c r="X103" s="354" t="str">
        <f t="shared" si="61"/>
        <v>Error: RW decrease &gt; 20%</v>
      </c>
      <c r="Y103" s="354" t="str">
        <f t="shared" si="62"/>
        <v>Diff below 30%</v>
      </c>
      <c r="Z103" s="354" t="str">
        <f t="shared" si="63"/>
        <v>Diff below 30%</v>
      </c>
      <c r="AA103" s="353" t="str">
        <f t="shared" si="64"/>
        <v>RW change -10% to +25%</v>
      </c>
      <c r="AB103" s="315"/>
    </row>
    <row r="104" spans="1:28" ht="15" customHeight="1" x14ac:dyDescent="0.35">
      <c r="A104" s="263"/>
      <c r="C104" s="801"/>
      <c r="AB104" s="315"/>
    </row>
    <row r="105" spans="1:28" ht="60" customHeight="1" x14ac:dyDescent="0.35">
      <c r="A105" s="676" t="s">
        <v>232</v>
      </c>
      <c r="B105" s="1347"/>
      <c r="C105" s="1348"/>
      <c r="D105" s="1348"/>
      <c r="E105" s="1348"/>
      <c r="F105" s="1348"/>
      <c r="G105" s="1348"/>
      <c r="H105" s="1348"/>
      <c r="I105" s="1348"/>
      <c r="J105" s="1348"/>
      <c r="K105" s="1348"/>
      <c r="L105" s="1348"/>
      <c r="M105" s="1348"/>
      <c r="N105" s="1348"/>
      <c r="O105" s="1348"/>
      <c r="P105" s="1348"/>
      <c r="Q105" s="1348"/>
      <c r="R105" s="1348"/>
      <c r="S105" s="1348"/>
      <c r="T105" s="1348"/>
      <c r="U105" s="1348"/>
      <c r="V105" s="1348"/>
      <c r="W105" s="741"/>
      <c r="X105" s="741"/>
      <c r="Y105" s="741"/>
      <c r="Z105" s="741"/>
      <c r="AA105" s="741"/>
      <c r="AB105" s="537"/>
    </row>
    <row r="106" spans="1:28" ht="15" customHeight="1" x14ac:dyDescent="0.35">
      <c r="A106" s="263"/>
      <c r="B106" s="2613" t="s">
        <v>233</v>
      </c>
      <c r="C106" s="2625" t="s">
        <v>170</v>
      </c>
      <c r="D106" s="2626"/>
      <c r="E106" s="2626"/>
      <c r="F106" s="2588" t="s">
        <v>171</v>
      </c>
      <c r="G106" s="2589"/>
      <c r="H106" s="2590"/>
      <c r="I106" s="2609" t="s">
        <v>172</v>
      </c>
      <c r="J106" s="2610"/>
      <c r="K106" s="92"/>
      <c r="L106" s="2599" t="s">
        <v>173</v>
      </c>
      <c r="M106" s="2599"/>
      <c r="N106" s="2599"/>
      <c r="O106" s="2599"/>
      <c r="P106" s="2600"/>
      <c r="T106" s="557"/>
      <c r="AB106" s="315"/>
    </row>
    <row r="107" spans="1:28" ht="30" customHeight="1" x14ac:dyDescent="0.35">
      <c r="A107" s="263"/>
      <c r="B107" s="2614"/>
      <c r="C107" s="2627"/>
      <c r="D107" s="2628"/>
      <c r="E107" s="2628"/>
      <c r="F107" s="2591"/>
      <c r="G107" s="2592"/>
      <c r="H107" s="2593"/>
      <c r="I107" s="2611"/>
      <c r="J107" s="2612"/>
      <c r="K107" s="92"/>
      <c r="L107" s="2605" t="s">
        <v>174</v>
      </c>
      <c r="M107" s="2606"/>
      <c r="N107" s="2606"/>
      <c r="O107" s="2607" t="s">
        <v>175</v>
      </c>
      <c r="P107" s="2608"/>
      <c r="T107" s="557"/>
      <c r="AB107" s="315"/>
    </row>
    <row r="108" spans="1:28" ht="45" customHeight="1" x14ac:dyDescent="0.35">
      <c r="A108" s="576"/>
      <c r="B108" s="2615"/>
      <c r="C108" s="760" t="s">
        <v>176</v>
      </c>
      <c r="D108" s="770" t="s">
        <v>177</v>
      </c>
      <c r="E108" s="770" t="s">
        <v>178</v>
      </c>
      <c r="F108" s="750" t="s">
        <v>176</v>
      </c>
      <c r="G108" s="770" t="s">
        <v>177</v>
      </c>
      <c r="H108" s="770" t="s">
        <v>178</v>
      </c>
      <c r="I108" s="895" t="s">
        <v>176</v>
      </c>
      <c r="J108" s="765" t="s">
        <v>177</v>
      </c>
      <c r="K108" s="92"/>
      <c r="L108" s="760" t="s">
        <v>179</v>
      </c>
      <c r="M108" s="770" t="s">
        <v>180</v>
      </c>
      <c r="N108" s="770" t="s">
        <v>181</v>
      </c>
      <c r="O108" s="770" t="s">
        <v>182</v>
      </c>
      <c r="P108" s="765" t="s">
        <v>180</v>
      </c>
      <c r="T108" s="761"/>
      <c r="AB108" s="315"/>
    </row>
    <row r="109" spans="1:28" ht="15" customHeight="1" x14ac:dyDescent="0.35">
      <c r="A109" s="263"/>
      <c r="B109" s="463" t="s">
        <v>234</v>
      </c>
      <c r="C109" s="802">
        <f t="shared" ref="C109:J109" si="65">IF(ISNUMBER(C40), C40, "")</f>
        <v>57813469.237907581</v>
      </c>
      <c r="D109" s="803">
        <f t="shared" si="65"/>
        <v>16091809.087114679</v>
      </c>
      <c r="E109" s="803">
        <f t="shared" si="65"/>
        <v>501799.92583319993</v>
      </c>
      <c r="F109" s="804">
        <f t="shared" si="65"/>
        <v>58374151.218091913</v>
      </c>
      <c r="G109" s="803">
        <f t="shared" si="65"/>
        <v>17272091.358786345</v>
      </c>
      <c r="H109" s="803">
        <f t="shared" si="65"/>
        <v>512589.34123688308</v>
      </c>
      <c r="I109" s="803">
        <f t="shared" si="65"/>
        <v>57898684.876941405</v>
      </c>
      <c r="J109" s="804">
        <f t="shared" si="65"/>
        <v>27661815.131962407</v>
      </c>
      <c r="K109" s="92"/>
      <c r="L109" s="610">
        <f>IF(AND(ISNUMBER(C109), ISNUMBER(F109)), IF(C109&lt;&gt;0, ((F109-C109)/C109), "EAD=0"), "")</f>
        <v>9.6981203095955933E-3</v>
      </c>
      <c r="M109" s="611">
        <f>IF(AND(ISNUMBER(D109), ISNUMBER(G109)), IF(D109&lt;&gt;0, ((G109-D109)/D109), "RWA=0"), "")</f>
        <v>7.3346773211270727E-2</v>
      </c>
      <c r="N109" s="611">
        <f>IF(AND(ISNUMBER(E109), ISNUMBER(H109)), IF(E109&lt;&gt;0, ((H109-E109)/E109), "EL=0"), "")</f>
        <v>2.1501428852880273E-2</v>
      </c>
      <c r="O109" s="611">
        <f>IF(AND(ISNUMBER(F109), ISNUMBER(I109)), IF(F109&lt;&gt;0, ((I109-F109)/F109), "EAD=0"), "")</f>
        <v>-8.1451521132035916E-3</v>
      </c>
      <c r="P109" s="612">
        <f>IF(AND(ISNUMBER(G109), ISNUMBER(J109)), IF(G109&lt;&gt;0, ((J109-G109)/G109), "RWA=0"), "")</f>
        <v>0.60153246977186647</v>
      </c>
      <c r="AB109" s="315"/>
    </row>
    <row r="110" spans="1:28" ht="15" customHeight="1" x14ac:dyDescent="0.35">
      <c r="A110" s="265"/>
      <c r="B110" s="188" t="s">
        <v>235</v>
      </c>
      <c r="C110" s="805"/>
      <c r="D110" s="186">
        <f>IF(ISNUMBER('CCR and CVA'!C79), 12.5*'CCR and CVA'!C79, "")</f>
        <v>8350</v>
      </c>
      <c r="E110" s="806"/>
      <c r="F110" s="807"/>
      <c r="G110" s="186">
        <f>IF(ISNUMBER('CCR and CVA'!C122), 12.5*'CCR and CVA'!C122, "")</f>
        <v>30978.000000000004</v>
      </c>
      <c r="H110" s="807"/>
      <c r="I110" s="807"/>
      <c r="J110" s="135">
        <f>IF(ISNUMBER('CCR and CVA'!D122), 12.5*'CCR and CVA'!D122, "")</f>
        <v>30978.000000000004</v>
      </c>
      <c r="K110" s="92"/>
      <c r="L110" s="711"/>
      <c r="M110" s="614">
        <f t="shared" ref="M110:M115" si="66">IF(AND(ISNUMBER(D110), ISNUMBER(G110)), IF(D110&lt;&gt;0, ((G110-D110)/D110), "RWA=0"), "")</f>
        <v>2.7099401197604793</v>
      </c>
      <c r="N110" s="808"/>
      <c r="O110" s="808"/>
      <c r="P110" s="615">
        <f t="shared" ref="P110:P111" si="67">IF(AND(ISNUMBER(G110), ISNUMBER(J110)), IF(G110&lt;&gt;0, ((J110-G110)/G110), "RWA=0"), "")</f>
        <v>0</v>
      </c>
      <c r="U110" s="98"/>
      <c r="V110" s="98"/>
      <c r="W110" s="98"/>
      <c r="X110" s="98"/>
      <c r="Y110" s="98"/>
      <c r="Z110" s="98"/>
      <c r="AA110" s="98"/>
      <c r="AB110" s="315"/>
    </row>
    <row r="111" spans="1:28" ht="15" customHeight="1" x14ac:dyDescent="0.35">
      <c r="A111" s="265"/>
      <c r="B111" s="132" t="s">
        <v>236</v>
      </c>
      <c r="C111" s="809"/>
      <c r="D111" s="186">
        <f>IF(AND('General Info'!$C$48="No", 'General Info'!$C$49="No"), 0, IF(ISNUMBER(TB!G5), 12.5*TB!G5, ""))</f>
        <v>273612.5</v>
      </c>
      <c r="E111" s="808"/>
      <c r="F111" s="810"/>
      <c r="G111" s="186">
        <f>IF(AND('General Info'!$D$48="No", 'General Info'!$D$49="No"), 0, IF(TB!H6=Parameters!D613, IF(AND(TB!H7="Yes", ISNUMBER(TB!G7)), 12.5*TB!G7, ""), IF(AND(TB!H9="Yes", ISNUMBER(TB!G9)), 12.5*TB!G9, "")))</f>
        <v>433294.73099199997</v>
      </c>
      <c r="H111" s="810"/>
      <c r="I111" s="810"/>
      <c r="J111" s="135">
        <f>IF(AND('General Info'!$D$48="No", 'General Info'!$D$49="No"), 0, IF('General Info'!D48=Parameters!D609, IF(ISNUMBER(TB!G7), 12.5*TB!G7, ""), IF(ISNUMBER(TB!G11), 12.5*TB!G11, "")))</f>
        <v>433294.73099199997</v>
      </c>
      <c r="K111" s="92"/>
      <c r="L111" s="711"/>
      <c r="M111" s="614">
        <f t="shared" si="66"/>
        <v>0.58360722186303615</v>
      </c>
      <c r="N111" s="808"/>
      <c r="O111" s="808"/>
      <c r="P111" s="615">
        <f t="shared" si="67"/>
        <v>0</v>
      </c>
      <c r="U111" s="98"/>
      <c r="V111" s="98"/>
      <c r="W111" s="98"/>
      <c r="X111" s="98"/>
      <c r="Y111" s="98"/>
      <c r="Z111" s="98"/>
      <c r="AA111" s="98"/>
      <c r="AB111" s="315"/>
    </row>
    <row r="112" spans="1:28" ht="15" customHeight="1" x14ac:dyDescent="0.35">
      <c r="A112" s="265"/>
      <c r="B112" s="132" t="s">
        <v>237</v>
      </c>
      <c r="C112" s="809"/>
      <c r="D112" s="186">
        <f>IF(AND(ISNUMBER(OpRisk!N89), ISNUMBER(OpRisk!N96)), OpRisk!N89+OpRisk!N96,"")</f>
        <v>2021442</v>
      </c>
      <c r="E112" s="808"/>
      <c r="F112" s="810"/>
      <c r="G112" s="186">
        <f>IF(AND(ISNUMBER(OpRisk!N106), ISNUMBER(OpRisk!N107)), OpRisk!N106+OpRisk!N107, "")</f>
        <v>2701395.1373078409</v>
      </c>
      <c r="H112" s="810"/>
      <c r="I112" s="810"/>
      <c r="J112" s="135">
        <f>IF(AND(ISNUMBER(OpRisk!N106), ISNUMBER(OpRisk!N107)), OpRisk!N106+OpRisk!N107, "")</f>
        <v>2701395.1373078409</v>
      </c>
      <c r="K112" s="92"/>
      <c r="L112" s="711"/>
      <c r="M112" s="614">
        <f t="shared" si="66"/>
        <v>0.33637034221503304</v>
      </c>
      <c r="N112" s="808"/>
      <c r="O112" s="808"/>
      <c r="P112" s="810"/>
      <c r="U112" s="98"/>
      <c r="V112" s="98"/>
      <c r="W112" s="98"/>
      <c r="X112" s="98"/>
      <c r="Y112" s="98"/>
      <c r="Z112" s="98"/>
      <c r="AA112" s="98"/>
      <c r="AB112" s="315"/>
    </row>
    <row r="113" spans="1:28" ht="15" hidden="1" customHeight="1" x14ac:dyDescent="0.35">
      <c r="A113" s="265"/>
      <c r="B113" s="132" t="s">
        <v>238</v>
      </c>
      <c r="C113" s="809"/>
      <c r="D113" s="811"/>
      <c r="E113" s="808"/>
      <c r="F113" s="810"/>
      <c r="G113" s="811"/>
      <c r="H113" s="810"/>
      <c r="I113" s="810"/>
      <c r="J113" s="812"/>
      <c r="K113" s="92"/>
      <c r="L113" s="711"/>
      <c r="M113" s="614" t="str">
        <f t="shared" si="66"/>
        <v/>
      </c>
      <c r="N113" s="808"/>
      <c r="O113" s="808"/>
      <c r="P113" s="810"/>
      <c r="U113" s="98"/>
      <c r="V113" s="98"/>
      <c r="W113" s="98"/>
      <c r="X113" s="98"/>
      <c r="Y113" s="98"/>
      <c r="Z113" s="98"/>
      <c r="AA113" s="98"/>
      <c r="AB113" s="315"/>
    </row>
    <row r="114" spans="1:28" ht="15" customHeight="1" x14ac:dyDescent="0.35">
      <c r="A114" s="265"/>
      <c r="B114" s="132" t="s">
        <v>239</v>
      </c>
      <c r="C114" s="813"/>
      <c r="D114" s="372">
        <v>0</v>
      </c>
      <c r="E114" s="814"/>
      <c r="F114" s="815"/>
      <c r="G114" s="580">
        <v>0</v>
      </c>
      <c r="H114" s="815"/>
      <c r="I114" s="815"/>
      <c r="J114" s="738">
        <v>0</v>
      </c>
      <c r="K114" s="92"/>
      <c r="L114" s="711"/>
      <c r="M114" s="614" t="str">
        <f t="shared" si="66"/>
        <v>RWA=0</v>
      </c>
      <c r="N114" s="808"/>
      <c r="O114" s="808"/>
      <c r="P114" s="615" t="str">
        <f t="shared" ref="P114:P115" si="68">IF(AND(ISNUMBER(G114), ISNUMBER(J114)), IF(G114&lt;&gt;0, ((J114-G114)/G114), "RWA=0"), "")</f>
        <v>RWA=0</v>
      </c>
      <c r="U114" s="98"/>
      <c r="V114" s="98"/>
      <c r="W114" s="98"/>
      <c r="X114" s="98"/>
      <c r="Y114" s="98"/>
      <c r="Z114" s="98"/>
      <c r="AA114" s="98"/>
      <c r="AB114" s="315"/>
    </row>
    <row r="115" spans="1:28" ht="15" customHeight="1" x14ac:dyDescent="0.35">
      <c r="A115" s="265"/>
      <c r="B115" s="636" t="s">
        <v>240</v>
      </c>
      <c r="C115" s="179"/>
      <c r="D115" s="628">
        <f>IF(AND(ISNUMBER(D109), ISNUMBER(D110), ISNUMBER(D111), ISNUMBER(D112)), SUM(D109:D112, D114), "")</f>
        <v>18395213.587114677</v>
      </c>
      <c r="E115" s="816"/>
      <c r="F115" s="816"/>
      <c r="G115" s="628">
        <f>IF(AND(ISNUMBER(G109), ISNUMBER(G110), ISNUMBER(G111), ISNUMBER(G112), ISNUMBER(G114)), SUM(G109:G112, G114), "")</f>
        <v>20437759.227086186</v>
      </c>
      <c r="H115" s="816"/>
      <c r="I115" s="816"/>
      <c r="J115" s="633">
        <f>IF(AND(ISNUMBER(J109), ISNUMBER(J110), ISNUMBER(J111), ISNUMBER(J112), ISNUMBER(J114)), SUM(J109:J112, J114), "")</f>
        <v>30827483.000262249</v>
      </c>
      <c r="K115" s="92"/>
      <c r="L115" s="179"/>
      <c r="M115" s="628">
        <f t="shared" si="66"/>
        <v>0.11103679934449115</v>
      </c>
      <c r="N115" s="816"/>
      <c r="O115" s="816"/>
      <c r="P115" s="633">
        <f t="shared" si="68"/>
        <v>0.50835924123259801</v>
      </c>
      <c r="U115" s="98"/>
      <c r="V115" s="98"/>
      <c r="W115" s="98"/>
      <c r="X115" s="98"/>
      <c r="Y115" s="98"/>
      <c r="Z115" s="98"/>
      <c r="AA115" s="98"/>
      <c r="AB115" s="315"/>
    </row>
    <row r="116" spans="1:28" ht="15" customHeight="1" x14ac:dyDescent="0.35">
      <c r="A116" s="717"/>
      <c r="B116" s="275"/>
      <c r="C116" s="275"/>
      <c r="D116" s="275"/>
      <c r="E116" s="275"/>
      <c r="F116" s="275"/>
      <c r="G116" s="275"/>
      <c r="H116" s="275"/>
      <c r="I116" s="275"/>
      <c r="J116" s="275"/>
      <c r="K116" s="565"/>
      <c r="L116" s="275"/>
      <c r="M116" s="275"/>
      <c r="N116" s="275"/>
      <c r="O116" s="275"/>
      <c r="P116" s="275"/>
      <c r="Q116" s="275"/>
      <c r="R116" s="275"/>
      <c r="S116" s="275"/>
      <c r="T116" s="275"/>
      <c r="U116" s="275"/>
      <c r="V116" s="275"/>
      <c r="W116" s="275"/>
      <c r="X116" s="275"/>
      <c r="Y116" s="275"/>
      <c r="Z116" s="275"/>
      <c r="AA116" s="275"/>
      <c r="AB116" s="567"/>
    </row>
    <row r="117" spans="1:28" ht="60" customHeight="1" x14ac:dyDescent="0.35">
      <c r="A117" s="280" t="s">
        <v>241</v>
      </c>
      <c r="B117" s="95"/>
      <c r="C117" s="92"/>
      <c r="D117" s="92"/>
      <c r="E117" s="92"/>
      <c r="F117" s="92"/>
      <c r="G117" s="92"/>
      <c r="H117" s="92"/>
      <c r="I117" s="92"/>
      <c r="J117" s="92"/>
      <c r="K117" s="92"/>
      <c r="L117" s="92"/>
      <c r="M117" s="92"/>
      <c r="N117" s="92"/>
      <c r="O117" s="92"/>
      <c r="P117" s="92"/>
      <c r="Q117" s="92"/>
      <c r="R117" s="92"/>
      <c r="S117" s="92"/>
      <c r="T117" s="92"/>
      <c r="U117" s="98"/>
      <c r="V117" s="98"/>
      <c r="W117" s="98"/>
      <c r="X117" s="98"/>
      <c r="Y117" s="98"/>
      <c r="Z117" s="98"/>
      <c r="AA117" s="98"/>
      <c r="AB117" s="315"/>
    </row>
    <row r="118" spans="1:28" ht="37.5" customHeight="1" x14ac:dyDescent="0.35">
      <c r="A118" s="263"/>
      <c r="B118" s="741"/>
      <c r="C118" s="2634" t="s">
        <v>242</v>
      </c>
      <c r="D118" s="2636" t="s">
        <v>243</v>
      </c>
      <c r="E118" s="2636"/>
      <c r="F118" s="98"/>
      <c r="G118" s="98"/>
      <c r="H118" s="98"/>
      <c r="I118" s="98"/>
      <c r="J118" s="98"/>
      <c r="L118" s="98"/>
      <c r="M118" s="98"/>
      <c r="N118" s="98"/>
      <c r="O118" s="98"/>
      <c r="P118" s="98"/>
      <c r="Q118" s="98"/>
      <c r="R118" s="98"/>
      <c r="S118" s="98"/>
      <c r="U118" s="98"/>
      <c r="V118" s="98"/>
      <c r="W118" s="98"/>
      <c r="X118" s="98"/>
      <c r="Y118" s="98"/>
      <c r="Z118" s="98"/>
      <c r="AA118" s="98"/>
      <c r="AB118" s="315"/>
    </row>
    <row r="119" spans="1:28" ht="37.5" customHeight="1" x14ac:dyDescent="0.35">
      <c r="A119" s="708"/>
      <c r="B119" s="275"/>
      <c r="C119" s="2635"/>
      <c r="D119" s="475" t="s">
        <v>244</v>
      </c>
      <c r="E119" s="918" t="s">
        <v>245</v>
      </c>
      <c r="F119" s="98"/>
      <c r="G119" s="98"/>
      <c r="H119" s="98"/>
      <c r="I119" s="98"/>
      <c r="J119" s="98"/>
      <c r="L119" s="98"/>
      <c r="M119" s="98"/>
      <c r="N119" s="98"/>
      <c r="O119" s="98"/>
      <c r="P119" s="98"/>
      <c r="Q119" s="98"/>
      <c r="R119" s="98"/>
      <c r="S119" s="98"/>
      <c r="U119" s="98"/>
      <c r="V119" s="98"/>
      <c r="W119" s="98"/>
      <c r="X119" s="98"/>
      <c r="Y119" s="98"/>
      <c r="Z119" s="98"/>
      <c r="AA119" s="98"/>
      <c r="AB119" s="315"/>
    </row>
    <row r="120" spans="1:28" ht="15" customHeight="1" x14ac:dyDescent="0.35">
      <c r="A120" s="708"/>
      <c r="B120" s="739" t="s">
        <v>246</v>
      </c>
      <c r="C120" s="1013"/>
      <c r="D120" s="1014" t="str">
        <f>Parameters!$F$8</f>
        <v>Yes</v>
      </c>
      <c r="E120" s="1015"/>
      <c r="F120" s="98"/>
      <c r="G120" s="98"/>
      <c r="H120" s="98"/>
      <c r="I120" s="98"/>
      <c r="J120" s="98"/>
      <c r="L120" s="98"/>
      <c r="M120" s="98"/>
      <c r="N120" s="98"/>
      <c r="O120" s="98"/>
      <c r="P120" s="98"/>
      <c r="Q120" s="98"/>
      <c r="R120" s="98"/>
      <c r="S120" s="98"/>
      <c r="U120" s="98"/>
      <c r="V120" s="98"/>
      <c r="W120" s="98"/>
      <c r="X120" s="98"/>
      <c r="Y120" s="98"/>
      <c r="Z120" s="98"/>
      <c r="AA120" s="98"/>
      <c r="AB120" s="315"/>
    </row>
    <row r="121" spans="1:28" ht="15" customHeight="1" x14ac:dyDescent="0.35">
      <c r="A121" s="263"/>
      <c r="B121" s="1012" t="s">
        <v>247</v>
      </c>
      <c r="C121" s="711"/>
      <c r="D121" s="580">
        <v>0</v>
      </c>
      <c r="E121" s="810"/>
      <c r="F121" s="98"/>
      <c r="G121" s="98"/>
      <c r="H121" s="98"/>
      <c r="I121" s="98"/>
      <c r="J121" s="98"/>
      <c r="L121" s="98"/>
      <c r="M121" s="98"/>
      <c r="N121" s="98"/>
      <c r="O121" s="98"/>
      <c r="P121" s="98"/>
      <c r="Q121" s="98"/>
      <c r="R121" s="98"/>
      <c r="S121" s="98"/>
      <c r="U121" s="98"/>
      <c r="V121" s="98"/>
      <c r="W121" s="98"/>
      <c r="X121" s="98"/>
      <c r="Y121" s="98"/>
      <c r="Z121" s="98"/>
      <c r="AA121" s="98"/>
      <c r="AB121" s="315"/>
    </row>
    <row r="122" spans="1:28" ht="15" customHeight="1" x14ac:dyDescent="0.35">
      <c r="A122" s="263"/>
      <c r="B122" s="364" t="s">
        <v>248</v>
      </c>
      <c r="C122" s="181"/>
      <c r="D122" s="814"/>
      <c r="E122" s="817">
        <f>IF(AND(ISNUMBER(DefCap!F64),ISNUMBER(DefCap!F81),ISNUMBER(DefCap!F104)),DefCap!F64+DefCap!F81+DefCap!F104,"")</f>
        <v>0</v>
      </c>
      <c r="F122" s="98"/>
      <c r="G122" s="98"/>
      <c r="H122" s="98"/>
      <c r="I122" s="98"/>
      <c r="J122" s="98"/>
      <c r="L122" s="98"/>
      <c r="M122" s="98"/>
      <c r="N122" s="98"/>
      <c r="O122" s="98"/>
      <c r="P122" s="98"/>
      <c r="Q122" s="98"/>
      <c r="R122" s="98"/>
      <c r="S122" s="98"/>
      <c r="U122" s="98"/>
      <c r="V122" s="98"/>
      <c r="W122" s="98"/>
      <c r="X122" s="98"/>
      <c r="Y122" s="98"/>
      <c r="Z122" s="98"/>
      <c r="AA122" s="98"/>
      <c r="AB122" s="315"/>
    </row>
    <row r="123" spans="1:28" ht="15" customHeight="1" x14ac:dyDescent="0.35">
      <c r="A123" s="263"/>
      <c r="B123" s="364" t="s">
        <v>249</v>
      </c>
      <c r="C123" s="181"/>
      <c r="D123" s="169">
        <v>0</v>
      </c>
      <c r="E123" s="810"/>
      <c r="F123" s="98"/>
      <c r="G123" s="98"/>
      <c r="H123" s="98"/>
      <c r="I123" s="98"/>
      <c r="J123" s="98"/>
      <c r="L123" s="98"/>
      <c r="M123" s="98"/>
      <c r="N123" s="98"/>
      <c r="O123" s="98"/>
      <c r="P123" s="98"/>
      <c r="Q123" s="98"/>
      <c r="R123" s="98"/>
      <c r="S123" s="98"/>
      <c r="U123" s="98"/>
      <c r="V123" s="98"/>
      <c r="W123" s="98"/>
      <c r="X123" s="98"/>
      <c r="Y123" s="98"/>
      <c r="Z123" s="98"/>
      <c r="AA123" s="98"/>
      <c r="AB123" s="315"/>
    </row>
    <row r="124" spans="1:28" ht="15" customHeight="1" x14ac:dyDescent="0.35">
      <c r="A124" s="263"/>
      <c r="B124" s="1011" t="s">
        <v>250</v>
      </c>
      <c r="C124" s="1016">
        <v>0</v>
      </c>
      <c r="D124" s="133">
        <v>0</v>
      </c>
      <c r="E124" s="825"/>
      <c r="F124" s="98"/>
      <c r="G124" s="98"/>
      <c r="H124" s="98"/>
      <c r="I124" s="98"/>
      <c r="J124" s="98"/>
      <c r="L124" s="98"/>
      <c r="M124" s="98"/>
      <c r="N124" s="98"/>
      <c r="O124" s="98"/>
      <c r="P124" s="98"/>
      <c r="Q124" s="98"/>
      <c r="R124" s="98"/>
      <c r="S124" s="98"/>
      <c r="U124" s="98"/>
      <c r="V124" s="98"/>
      <c r="W124" s="98"/>
      <c r="X124" s="98"/>
      <c r="Y124" s="98"/>
      <c r="Z124" s="98"/>
      <c r="AA124" s="98"/>
      <c r="AB124" s="315"/>
    </row>
    <row r="125" spans="1:28" ht="15" customHeight="1" x14ac:dyDescent="0.35">
      <c r="A125" s="1362"/>
      <c r="B125" s="424"/>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c r="Z125" s="275"/>
      <c r="AA125" s="275"/>
      <c r="AB125" s="567"/>
    </row>
    <row r="126" spans="1:28" ht="60" customHeight="1" x14ac:dyDescent="0.35">
      <c r="A126" s="280" t="s">
        <v>251</v>
      </c>
      <c r="B126" s="95"/>
      <c r="C126" s="92"/>
      <c r="D126" s="92"/>
      <c r="E126" s="92"/>
      <c r="F126" s="92"/>
      <c r="G126" s="92"/>
      <c r="H126" s="92"/>
      <c r="I126" s="92"/>
      <c r="J126" s="92"/>
      <c r="K126" s="92"/>
      <c r="L126" s="92"/>
      <c r="M126" s="92"/>
      <c r="N126" s="92"/>
      <c r="O126" s="92"/>
      <c r="P126" s="92"/>
      <c r="Q126" s="92"/>
      <c r="R126" s="92"/>
      <c r="S126" s="92"/>
      <c r="T126" s="92"/>
      <c r="U126" s="98"/>
      <c r="V126" s="98"/>
      <c r="W126" s="98"/>
      <c r="X126" s="98"/>
      <c r="Y126" s="98"/>
      <c r="Z126" s="98"/>
      <c r="AA126" s="98"/>
      <c r="AB126" s="315"/>
    </row>
    <row r="127" spans="1:28" ht="37.5" customHeight="1" x14ac:dyDescent="0.35">
      <c r="A127" s="265"/>
      <c r="B127" s="2641"/>
      <c r="C127" s="2634" t="s">
        <v>242</v>
      </c>
      <c r="D127" s="2636" t="s">
        <v>243</v>
      </c>
      <c r="E127" s="2636"/>
      <c r="F127" s="761"/>
      <c r="G127" s="2637" t="s">
        <v>252</v>
      </c>
      <c r="H127" s="761"/>
      <c r="I127" s="761"/>
      <c r="J127" s="2637" t="s">
        <v>253</v>
      </c>
      <c r="K127" s="761"/>
      <c r="L127" s="761"/>
      <c r="M127" s="761"/>
      <c r="N127" s="761"/>
      <c r="O127" s="761"/>
      <c r="P127" s="761"/>
      <c r="Q127" s="761"/>
      <c r="R127" s="761"/>
      <c r="S127" s="761"/>
      <c r="U127" s="98"/>
      <c r="V127" s="98"/>
      <c r="W127" s="98"/>
      <c r="X127" s="98"/>
      <c r="Y127" s="98"/>
      <c r="Z127" s="98"/>
      <c r="AA127" s="98"/>
      <c r="AB127" s="315"/>
    </row>
    <row r="128" spans="1:28" ht="37.5" customHeight="1" x14ac:dyDescent="0.35">
      <c r="A128" s="263"/>
      <c r="B128" s="2642"/>
      <c r="C128" s="2635"/>
      <c r="D128" s="475" t="s">
        <v>244</v>
      </c>
      <c r="E128" s="918" t="s">
        <v>245</v>
      </c>
      <c r="F128" s="761"/>
      <c r="G128" s="2638"/>
      <c r="H128" s="761"/>
      <c r="I128" s="761"/>
      <c r="J128" s="2638"/>
      <c r="K128" s="761"/>
      <c r="L128" s="761"/>
      <c r="M128" s="761"/>
      <c r="N128" s="761"/>
      <c r="O128" s="761"/>
      <c r="P128" s="761"/>
      <c r="Q128" s="761"/>
      <c r="R128" s="761"/>
      <c r="S128" s="761"/>
      <c r="U128" s="98"/>
      <c r="V128" s="98"/>
      <c r="W128" s="98"/>
      <c r="X128" s="98"/>
      <c r="Y128" s="98"/>
      <c r="Z128" s="98"/>
      <c r="AA128" s="98"/>
      <c r="AB128" s="315"/>
    </row>
    <row r="129" spans="1:28" ht="15" customHeight="1" x14ac:dyDescent="0.35">
      <c r="A129" s="263"/>
      <c r="B129" s="739" t="s">
        <v>246</v>
      </c>
      <c r="C129" s="1764"/>
      <c r="D129" s="1014" t="str">
        <f>Parameters!$F$8</f>
        <v>Yes</v>
      </c>
      <c r="E129" s="1015"/>
      <c r="F129" s="761"/>
      <c r="G129" s="1765"/>
      <c r="H129" s="761"/>
      <c r="I129" s="761"/>
      <c r="J129" s="1765"/>
      <c r="K129" s="761"/>
      <c r="L129" s="761"/>
      <c r="M129" s="761"/>
      <c r="N129" s="761"/>
      <c r="O129" s="761"/>
      <c r="P129" s="761"/>
      <c r="Q129" s="761"/>
      <c r="R129" s="761"/>
      <c r="S129" s="761"/>
      <c r="U129" s="98"/>
      <c r="V129" s="98"/>
      <c r="W129" s="98"/>
      <c r="X129" s="98"/>
      <c r="Y129" s="98"/>
      <c r="Z129" s="98"/>
      <c r="AA129" s="98"/>
      <c r="AB129" s="315"/>
    </row>
    <row r="130" spans="1:28" ht="15" customHeight="1" x14ac:dyDescent="0.35">
      <c r="A130" s="265"/>
      <c r="B130" s="463" t="s">
        <v>254</v>
      </c>
      <c r="C130" s="818">
        <f>IF(ISNUMBER(D115), D115+C124, "")</f>
        <v>18395213.587114677</v>
      </c>
      <c r="D130" s="819">
        <f>IF(AND(ISNUMBER(D115),ISNUMBER(D121),ISNUMBER(D123),ISNUMBER(D124)), D115+D121+D123+D124, "")</f>
        <v>18395213.587114677</v>
      </c>
      <c r="E130" s="820">
        <f>IF(AND(ISNUMBER(D115),ISNUMBER(D121),ISNUMBER(E122),ISNUMBER(D123),ISNUMBER(D124)), D115+D121+E122+D123+D124, "")</f>
        <v>18395213.587114677</v>
      </c>
      <c r="F130" s="821"/>
      <c r="G130" s="822">
        <f>IF(AND(ISNUMBER(G115),ISNUMBER(D121),ISNUMBER(D123),ISNUMBER(D124)), G115+D121+D123+D124, "")</f>
        <v>20437759.227086186</v>
      </c>
      <c r="H130" s="821"/>
      <c r="I130" s="821"/>
      <c r="J130" s="822">
        <f>IF(AND(ISNUMBER(J115),ISNUMBER(D121),ISNUMBER(D123),ISNUMBER(D124)), J115+D121+D123+D124, "")</f>
        <v>30827483.000262249</v>
      </c>
      <c r="K130" s="821"/>
      <c r="L130" s="821"/>
      <c r="M130" s="821"/>
      <c r="N130" s="821"/>
      <c r="O130" s="821"/>
      <c r="P130" s="821"/>
      <c r="Q130" s="821"/>
      <c r="R130" s="821"/>
      <c r="S130" s="821"/>
      <c r="U130" s="98"/>
      <c r="V130" s="98"/>
      <c r="W130" s="98"/>
      <c r="X130" s="98"/>
      <c r="Y130" s="98"/>
      <c r="Z130" s="98"/>
      <c r="AA130" s="98"/>
      <c r="AB130" s="315"/>
    </row>
    <row r="131" spans="1:28" ht="15" customHeight="1" x14ac:dyDescent="0.35">
      <c r="A131" s="265"/>
      <c r="B131" s="98" t="s">
        <v>255</v>
      </c>
      <c r="C131" s="823"/>
      <c r="D131" s="186">
        <f>IF(AND(ISNUMBER(D130), ISNUMBER(D132)), D132-D130, "")</f>
        <v>0</v>
      </c>
      <c r="E131" s="823"/>
      <c r="F131" s="821"/>
      <c r="G131" s="703">
        <f>IF(AND(ISNUMBER(G130), ISNUMBER(G132)), G132-G130, "")</f>
        <v>1912165.948103942</v>
      </c>
      <c r="H131" s="98"/>
      <c r="I131" s="821"/>
      <c r="J131" s="823"/>
      <c r="K131" s="821"/>
      <c r="L131" s="821"/>
      <c r="M131" s="821"/>
      <c r="N131" s="821"/>
      <c r="O131" s="821"/>
      <c r="P131" s="821"/>
      <c r="Q131" s="821"/>
      <c r="R131" s="821"/>
      <c r="S131" s="821"/>
      <c r="U131" s="98"/>
      <c r="V131" s="98"/>
      <c r="W131" s="98"/>
      <c r="X131" s="98"/>
      <c r="Y131" s="98"/>
      <c r="Z131" s="98"/>
      <c r="AA131" s="98"/>
      <c r="AB131" s="315"/>
    </row>
    <row r="132" spans="1:28" ht="15" customHeight="1" x14ac:dyDescent="0.35">
      <c r="A132" s="265"/>
      <c r="B132" s="171" t="s">
        <v>256</v>
      </c>
      <c r="C132" s="179"/>
      <c r="D132" s="824">
        <v>18395213.587114677</v>
      </c>
      <c r="E132" s="825"/>
      <c r="F132" s="821"/>
      <c r="G132" s="826">
        <f>IF(AND(ISNUMBER(G130), ISNUMBER(J130)), MAX(G130, 0.725*J130), "")</f>
        <v>22349925.175190128</v>
      </c>
      <c r="H132" s="761"/>
      <c r="I132" s="761"/>
      <c r="J132" s="825"/>
      <c r="K132" s="821"/>
      <c r="L132" s="821"/>
      <c r="M132" s="821"/>
      <c r="N132" s="821"/>
      <c r="O132" s="821"/>
      <c r="P132" s="821"/>
      <c r="Q132" s="821"/>
      <c r="R132" s="821"/>
      <c r="S132" s="821"/>
      <c r="U132" s="98"/>
      <c r="V132" s="98"/>
      <c r="W132" s="98"/>
      <c r="X132" s="98"/>
      <c r="Y132" s="98"/>
      <c r="Z132" s="98"/>
      <c r="AA132" s="98"/>
      <c r="AB132" s="315"/>
    </row>
    <row r="133" spans="1:28" ht="30" customHeight="1" x14ac:dyDescent="0.35">
      <c r="A133" s="263"/>
      <c r="C133" s="98"/>
      <c r="D133" s="98"/>
      <c r="E133" s="98"/>
      <c r="F133" s="98"/>
      <c r="G133" s="98"/>
      <c r="H133" s="761"/>
      <c r="I133" s="761"/>
      <c r="J133" s="98"/>
      <c r="L133" s="98"/>
      <c r="M133" s="98"/>
      <c r="N133" s="98"/>
      <c r="O133" s="98"/>
      <c r="P133" s="98"/>
      <c r="Q133" s="98"/>
      <c r="R133" s="98"/>
      <c r="S133" s="98"/>
      <c r="U133" s="98"/>
      <c r="V133" s="98"/>
      <c r="W133" s="98"/>
      <c r="X133" s="98"/>
      <c r="Y133" s="98"/>
      <c r="Z133" s="98"/>
      <c r="AA133" s="98"/>
      <c r="AB133" s="315"/>
    </row>
    <row r="134" spans="1:28" ht="37.5" customHeight="1" x14ac:dyDescent="0.35">
      <c r="A134" s="265"/>
      <c r="B134" s="2639" t="s">
        <v>257</v>
      </c>
      <c r="C134" s="2634" t="s">
        <v>258</v>
      </c>
      <c r="D134" s="2636" t="s">
        <v>259</v>
      </c>
      <c r="E134" s="2636"/>
      <c r="F134" s="761"/>
      <c r="G134" s="2637" t="s">
        <v>260</v>
      </c>
      <c r="H134" s="761"/>
      <c r="I134" s="761"/>
      <c r="J134" s="761"/>
      <c r="K134" s="761"/>
      <c r="L134" s="761"/>
      <c r="M134" s="761"/>
      <c r="N134" s="761"/>
      <c r="O134" s="761"/>
      <c r="P134" s="761"/>
      <c r="Q134" s="761"/>
      <c r="R134" s="761"/>
      <c r="S134" s="761"/>
      <c r="U134" s="98"/>
      <c r="V134" s="98"/>
      <c r="W134" s="98"/>
      <c r="X134" s="98"/>
      <c r="Y134" s="98"/>
      <c r="Z134" s="98"/>
      <c r="AA134" s="98"/>
      <c r="AB134" s="315"/>
    </row>
    <row r="135" spans="1:28" ht="37.5" customHeight="1" x14ac:dyDescent="0.35">
      <c r="A135" s="265"/>
      <c r="B135" s="2640"/>
      <c r="C135" s="2635"/>
      <c r="D135" s="475" t="s">
        <v>244</v>
      </c>
      <c r="E135" s="918" t="s">
        <v>245</v>
      </c>
      <c r="F135" s="761"/>
      <c r="G135" s="2638"/>
      <c r="H135" s="761"/>
      <c r="I135" s="761"/>
      <c r="J135" s="761"/>
      <c r="K135" s="761"/>
      <c r="L135" s="761"/>
      <c r="M135" s="761"/>
      <c r="N135" s="761"/>
      <c r="O135" s="761"/>
      <c r="P135" s="761"/>
      <c r="Q135" s="761"/>
      <c r="R135" s="761"/>
      <c r="S135" s="761"/>
      <c r="U135" s="98"/>
      <c r="V135" s="98"/>
      <c r="W135" s="98"/>
      <c r="X135" s="98"/>
      <c r="Y135" s="98"/>
      <c r="Z135" s="98"/>
      <c r="AA135" s="98"/>
      <c r="AB135" s="315"/>
    </row>
    <row r="136" spans="1:28" ht="15" customHeight="1" x14ac:dyDescent="0.35">
      <c r="A136" s="265"/>
      <c r="B136" s="131" t="s">
        <v>261</v>
      </c>
      <c r="C136" s="827">
        <f>IF(AND(ISNUMBER('General Info'!C59),ISNUMBER(C130)),'General Info'!C59/C130,"")</f>
        <v>0.13719193789452722</v>
      </c>
      <c r="D136" s="828">
        <f>IF(AND(ISNUMBER('General Info'!D59),ISNUMBER(D130)),'General Info'!D59/D130,"")</f>
        <v>0.13719193789452722</v>
      </c>
      <c r="E136" s="827">
        <f>IF(AND(ISNUMBER('General Info'!E59),ISNUMBER(E130)),'General Info'!E59/E130,"")</f>
        <v>0.13924393907522786</v>
      </c>
      <c r="F136" s="829"/>
      <c r="G136" s="830">
        <f>IF(AND(ISNUMBER('General Info'!D59),ISNUMBER(G130)),'General Info'!D59/G130,"")</f>
        <v>0.12348100258737614</v>
      </c>
      <c r="H136" s="761"/>
      <c r="I136" s="761"/>
      <c r="J136" s="829"/>
      <c r="K136" s="829"/>
      <c r="L136" s="829"/>
      <c r="M136" s="829"/>
      <c r="N136" s="829"/>
      <c r="O136" s="829"/>
      <c r="P136" s="829"/>
      <c r="Q136" s="829"/>
      <c r="R136" s="829"/>
      <c r="S136" s="829"/>
      <c r="U136" s="98"/>
      <c r="V136" s="98"/>
      <c r="W136" s="98"/>
      <c r="X136" s="98"/>
      <c r="Y136" s="98"/>
      <c r="Z136" s="98"/>
      <c r="AA136" s="98"/>
      <c r="AB136" s="315"/>
    </row>
    <row r="137" spans="1:28" ht="15" customHeight="1" x14ac:dyDescent="0.35">
      <c r="A137" s="265"/>
      <c r="B137" s="152" t="s">
        <v>262</v>
      </c>
      <c r="C137" s="831">
        <f>IF(AND(ISNUMBER('General Info'!C66),ISNUMBER(C130)),'General Info'!C66/C130,"")</f>
        <v>0.14034157612976345</v>
      </c>
      <c r="D137" s="832">
        <f>IF(AND(ISNUMBER('General Info'!D66),ISNUMBER(D130)),'General Info'!D66/D130,"")</f>
        <v>0.1403415615575318</v>
      </c>
      <c r="E137" s="831">
        <f>IF(AND(ISNUMBER('General Info'!E66),ISNUMBER(E130)),'General Info'!E66/E130,"")</f>
        <v>0.14239356273823248</v>
      </c>
      <c r="F137" s="829"/>
      <c r="G137" s="833">
        <f>IF(AND(ISNUMBER('General Info'!D66),ISNUMBER(G130)),'General Info'!D66/G130,"")</f>
        <v>0.12631585348058047</v>
      </c>
      <c r="H137" s="829"/>
      <c r="I137" s="829"/>
      <c r="J137" s="829"/>
      <c r="K137" s="829"/>
      <c r="L137" s="829"/>
      <c r="M137" s="829"/>
      <c r="N137" s="829"/>
      <c r="O137" s="829"/>
      <c r="P137" s="829"/>
      <c r="Q137" s="829"/>
      <c r="R137" s="829"/>
      <c r="S137" s="829"/>
      <c r="U137" s="98"/>
      <c r="V137" s="98"/>
      <c r="W137" s="98"/>
      <c r="X137" s="98"/>
      <c r="Y137" s="98"/>
      <c r="Z137" s="98"/>
      <c r="AA137" s="98"/>
      <c r="AB137" s="315"/>
    </row>
    <row r="138" spans="1:28" ht="15" customHeight="1" x14ac:dyDescent="0.35">
      <c r="A138" s="265"/>
      <c r="B138" s="218" t="s">
        <v>263</v>
      </c>
      <c r="C138" s="834">
        <f>IF(AND(ISNUMBER('General Info'!C58),ISNUMBER(C130)),'General Info'!C58/C130,"")</f>
        <v>0.16651930929225359</v>
      </c>
      <c r="D138" s="835">
        <f>IF(AND(ISNUMBER('General Info'!D58),ISNUMBER(D130)),'General Info'!D58/D130,"")</f>
        <v>0.16651929511411898</v>
      </c>
      <c r="E138" s="834">
        <f>IF(AND(ISNUMBER('General Info'!E58),ISNUMBER(E130)),'General Info'!E58/E130,"")</f>
        <v>0.16857129629481962</v>
      </c>
      <c r="F138" s="829"/>
      <c r="G138" s="836">
        <f>IF(AND(ISNUMBER('General Info'!D58),ISNUMBER(G130)),'General Info'!D58/G130,"")</f>
        <v>0.1498773894909376</v>
      </c>
      <c r="H138" s="829"/>
      <c r="I138" s="829"/>
      <c r="J138" s="829"/>
      <c r="K138" s="829"/>
      <c r="L138" s="829"/>
      <c r="M138" s="829"/>
      <c r="N138" s="829"/>
      <c r="O138" s="829"/>
      <c r="P138" s="829"/>
      <c r="Q138" s="829"/>
      <c r="R138" s="829"/>
      <c r="S138" s="829"/>
      <c r="U138" s="98"/>
      <c r="V138" s="98"/>
      <c r="W138" s="98"/>
      <c r="X138" s="98"/>
      <c r="Y138" s="98"/>
      <c r="Z138" s="98"/>
      <c r="AA138" s="98"/>
      <c r="AB138" s="315"/>
    </row>
    <row r="139" spans="1:28" ht="15" customHeight="1" x14ac:dyDescent="0.35">
      <c r="A139" s="265"/>
      <c r="B139" s="482" t="s">
        <v>264</v>
      </c>
      <c r="C139" s="837"/>
      <c r="D139" s="828">
        <f>IF(AND(ISNUMBER('General Info'!D59), ISNUMBER(D132)),'General Info'!D59/D132,"")</f>
        <v>0.13719193789452722</v>
      </c>
      <c r="E139" s="838"/>
      <c r="F139" s="829"/>
      <c r="G139" s="830">
        <f>IF(AND(ISNUMBER('General Info'!D59),ISNUMBER(G132)),'General Info'!D59/G132,"")</f>
        <v>0.1129164854118368</v>
      </c>
      <c r="H139" s="829"/>
      <c r="I139" s="829"/>
      <c r="J139" s="829"/>
      <c r="K139" s="829"/>
      <c r="L139" s="829"/>
      <c r="M139" s="829"/>
      <c r="N139" s="829"/>
      <c r="O139" s="829"/>
      <c r="P139" s="829"/>
      <c r="Q139" s="829"/>
      <c r="R139" s="829"/>
      <c r="S139" s="829"/>
      <c r="U139" s="98"/>
      <c r="V139" s="98"/>
      <c r="W139" s="98"/>
      <c r="X139" s="98"/>
      <c r="Y139" s="98"/>
      <c r="Z139" s="98"/>
      <c r="AA139" s="98"/>
      <c r="AB139" s="315"/>
    </row>
    <row r="140" spans="1:28" ht="15" customHeight="1" x14ac:dyDescent="0.35">
      <c r="A140" s="265"/>
      <c r="B140" s="152" t="s">
        <v>265</v>
      </c>
      <c r="C140" s="839"/>
      <c r="D140" s="832">
        <f>IF(AND(ISNUMBER('General Info'!D66),ISNUMBER(D132)),'General Info'!D66/D132,"")</f>
        <v>0.1403415615575318</v>
      </c>
      <c r="E140" s="840"/>
      <c r="F140" s="829"/>
      <c r="G140" s="833">
        <f>IF(AND(ISNUMBER('General Info'!D66),ISNUMBER(G132)),'General Info'!D66/G132,"")</f>
        <v>0.11550879834111295</v>
      </c>
      <c r="H140" s="829"/>
      <c r="I140" s="829"/>
      <c r="J140" s="829"/>
      <c r="K140" s="829"/>
      <c r="L140" s="829"/>
      <c r="M140" s="829"/>
      <c r="N140" s="829"/>
      <c r="O140" s="829"/>
      <c r="P140" s="829"/>
      <c r="Q140" s="829"/>
      <c r="R140" s="829"/>
      <c r="S140" s="829"/>
      <c r="U140" s="98"/>
      <c r="V140" s="98"/>
      <c r="W140" s="98"/>
      <c r="X140" s="98"/>
      <c r="Y140" s="98"/>
      <c r="Z140" s="98"/>
      <c r="AA140" s="98"/>
      <c r="AB140" s="315"/>
    </row>
    <row r="141" spans="1:28" ht="15" customHeight="1" x14ac:dyDescent="0.35">
      <c r="A141" s="265"/>
      <c r="B141" s="218" t="s">
        <v>266</v>
      </c>
      <c r="C141" s="841"/>
      <c r="D141" s="835">
        <f>IF(AND(ISNUMBER('General Info'!D58),ISNUMBER(D132)),'General Info'!D58/D132,"")</f>
        <v>0.16651929511411898</v>
      </c>
      <c r="E141" s="842"/>
      <c r="F141" s="829"/>
      <c r="G141" s="836">
        <f>IF(AND(ISNUMBER('General Info'!D58),ISNUMBER(G132)),'General Info'!D58/G132,"")</f>
        <v>0.13705450805715916</v>
      </c>
      <c r="H141" s="829"/>
      <c r="I141" s="829"/>
      <c r="J141" s="829"/>
      <c r="K141" s="829"/>
      <c r="L141" s="829"/>
      <c r="M141" s="829"/>
      <c r="N141" s="829"/>
      <c r="O141" s="829"/>
      <c r="P141" s="829"/>
      <c r="Q141" s="829"/>
      <c r="R141" s="829"/>
      <c r="S141" s="829"/>
      <c r="U141" s="98"/>
      <c r="V141" s="98"/>
      <c r="W141" s="98"/>
      <c r="X141" s="98"/>
      <c r="Y141" s="98"/>
      <c r="Z141" s="98"/>
      <c r="AA141" s="98"/>
      <c r="AB141" s="315"/>
    </row>
    <row r="142" spans="1:28" ht="15" customHeight="1" x14ac:dyDescent="0.35">
      <c r="A142" s="1362"/>
      <c r="B142" s="424"/>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567"/>
    </row>
    <row r="143" spans="1:28" ht="60" customHeight="1" x14ac:dyDescent="0.35">
      <c r="A143" s="676" t="s">
        <v>267</v>
      </c>
      <c r="B143" s="1347"/>
      <c r="C143" s="1348"/>
      <c r="D143" s="1348"/>
      <c r="E143" s="1348"/>
      <c r="F143" s="1348"/>
      <c r="G143" s="1348"/>
      <c r="H143" s="1348"/>
      <c r="I143" s="1348"/>
      <c r="J143" s="1348"/>
      <c r="K143" s="1348"/>
      <c r="L143" s="1348"/>
      <c r="M143" s="1348"/>
      <c r="N143" s="1348"/>
      <c r="O143" s="1348"/>
      <c r="P143" s="1348"/>
      <c r="Q143" s="1348"/>
      <c r="R143" s="1348"/>
      <c r="S143" s="1348"/>
      <c r="T143" s="1348"/>
      <c r="U143" s="741"/>
      <c r="V143" s="741"/>
      <c r="W143" s="741"/>
      <c r="X143" s="741"/>
      <c r="Y143" s="741"/>
      <c r="Z143" s="741"/>
      <c r="AA143" s="741"/>
      <c r="AB143" s="537"/>
    </row>
    <row r="144" spans="1:28" ht="15" customHeight="1" x14ac:dyDescent="0.35">
      <c r="A144" s="265"/>
      <c r="B144" s="482" t="s">
        <v>268</v>
      </c>
      <c r="C144" s="463"/>
      <c r="D144" s="663">
        <f>IF(AND(ISNUMBER(D130), ISNUMBER(D145)), D145-D130, "")</f>
        <v>0</v>
      </c>
      <c r="E144" s="98"/>
      <c r="F144" s="98"/>
      <c r="G144" s="98"/>
      <c r="H144" s="98"/>
      <c r="I144" s="98"/>
      <c r="J144" s="98"/>
      <c r="L144" s="98"/>
      <c r="M144" s="98"/>
      <c r="N144" s="98"/>
      <c r="O144" s="98"/>
      <c r="P144" s="98"/>
      <c r="Q144" s="98"/>
      <c r="R144" s="98"/>
      <c r="S144" s="98"/>
      <c r="U144" s="98"/>
      <c r="V144" s="98"/>
      <c r="W144" s="98"/>
      <c r="X144" s="98"/>
      <c r="Y144" s="98"/>
      <c r="Z144" s="98"/>
      <c r="AA144" s="98"/>
    </row>
    <row r="145" spans="1:28" ht="15" customHeight="1" x14ac:dyDescent="0.35">
      <c r="A145" s="265"/>
      <c r="B145" s="161" t="s">
        <v>269</v>
      </c>
      <c r="C145" s="188"/>
      <c r="D145" s="1349">
        <v>18395213.587114677</v>
      </c>
      <c r="E145" s="98"/>
      <c r="F145" s="98"/>
      <c r="G145" s="98"/>
      <c r="H145" s="98"/>
      <c r="I145" s="98"/>
      <c r="J145" s="98"/>
      <c r="L145" s="98"/>
      <c r="M145" s="98"/>
      <c r="N145" s="98"/>
      <c r="O145" s="98"/>
      <c r="P145" s="98"/>
      <c r="Q145" s="98"/>
      <c r="R145" s="98"/>
      <c r="S145" s="98"/>
      <c r="U145" s="98"/>
      <c r="V145" s="98"/>
      <c r="W145" s="98"/>
      <c r="X145" s="98"/>
      <c r="Y145" s="98"/>
      <c r="Z145" s="98"/>
      <c r="AA145" s="98"/>
    </row>
    <row r="146" spans="1:28" ht="15" customHeight="1" x14ac:dyDescent="0.35">
      <c r="A146" s="265"/>
      <c r="B146" s="131" t="s">
        <v>255</v>
      </c>
      <c r="C146" s="188"/>
      <c r="D146" s="703">
        <f>IF(AND(ISNUMBER(D145), ISNUMBER(D147)), D147-D145, "")</f>
        <v>0</v>
      </c>
      <c r="E146" s="98"/>
      <c r="F146" s="98"/>
      <c r="G146" s="98"/>
      <c r="H146" s="98"/>
      <c r="I146" s="98"/>
      <c r="J146" s="98"/>
      <c r="L146" s="98"/>
      <c r="M146" s="98"/>
      <c r="N146" s="98"/>
      <c r="O146" s="98"/>
      <c r="P146" s="98"/>
      <c r="Q146" s="98"/>
      <c r="R146" s="98"/>
      <c r="S146" s="98"/>
      <c r="U146" s="98"/>
      <c r="V146" s="98"/>
      <c r="W146" s="98"/>
      <c r="X146" s="98"/>
      <c r="Y146" s="98"/>
      <c r="Z146" s="98"/>
      <c r="AA146" s="98"/>
    </row>
    <row r="147" spans="1:28" ht="15" customHeight="1" x14ac:dyDescent="0.35">
      <c r="A147" s="265"/>
      <c r="B147" s="161" t="s">
        <v>270</v>
      </c>
      <c r="C147" s="161"/>
      <c r="D147" s="1349">
        <v>18395213.587114677</v>
      </c>
      <c r="E147" s="98"/>
      <c r="F147" s="98"/>
      <c r="G147" s="98"/>
      <c r="H147" s="98"/>
      <c r="I147" s="98"/>
      <c r="J147" s="98"/>
      <c r="L147" s="98"/>
      <c r="M147" s="98"/>
      <c r="N147" s="98"/>
      <c r="O147" s="98"/>
      <c r="P147" s="98"/>
      <c r="Q147" s="98"/>
      <c r="R147" s="98"/>
      <c r="S147" s="98"/>
      <c r="U147" s="98"/>
      <c r="V147" s="98"/>
      <c r="W147" s="98"/>
      <c r="X147" s="98"/>
      <c r="Y147" s="98"/>
      <c r="Z147" s="98"/>
      <c r="AA147" s="98"/>
    </row>
    <row r="148" spans="1:28" ht="15" customHeight="1" x14ac:dyDescent="0.35">
      <c r="A148" s="265"/>
      <c r="B148" s="152" t="s">
        <v>271</v>
      </c>
      <c r="C148" s="161"/>
      <c r="D148" s="831">
        <f>IF(AND(ISNUMBER('General Info'!D59), ISNUMBER(D147)),'General Info'!D59/D147,"")</f>
        <v>0.13719193789452722</v>
      </c>
      <c r="E148" s="98"/>
      <c r="F148" s="98"/>
      <c r="G148" s="98"/>
      <c r="H148" s="98"/>
      <c r="I148" s="98"/>
      <c r="J148" s="98"/>
      <c r="L148" s="98"/>
      <c r="M148" s="98"/>
      <c r="N148" s="98"/>
      <c r="O148" s="98"/>
      <c r="P148" s="98"/>
      <c r="Q148" s="98"/>
      <c r="R148" s="98"/>
      <c r="S148" s="98"/>
      <c r="U148" s="98"/>
      <c r="V148" s="98"/>
      <c r="W148" s="98"/>
      <c r="X148" s="98"/>
      <c r="Y148" s="98"/>
      <c r="Z148" s="98"/>
      <c r="AA148" s="98"/>
    </row>
    <row r="149" spans="1:28" ht="15" customHeight="1" x14ac:dyDescent="0.35">
      <c r="A149" s="265"/>
      <c r="B149" s="152" t="s">
        <v>272</v>
      </c>
      <c r="C149" s="161"/>
      <c r="D149" s="831">
        <f>IF(AND(ISNUMBER('General Info'!D66),ISNUMBER(D147)),'General Info'!D66/D147,"")</f>
        <v>0.1403415615575318</v>
      </c>
      <c r="E149" s="98"/>
      <c r="F149" s="98"/>
      <c r="G149" s="98"/>
      <c r="H149" s="98"/>
      <c r="I149" s="98"/>
      <c r="J149" s="98"/>
      <c r="L149" s="98"/>
      <c r="M149" s="98"/>
      <c r="N149" s="98"/>
      <c r="O149" s="98"/>
      <c r="P149" s="98"/>
      <c r="Q149" s="98"/>
      <c r="R149" s="98"/>
      <c r="S149" s="98"/>
      <c r="U149" s="98"/>
      <c r="V149" s="98"/>
      <c r="W149" s="98"/>
      <c r="X149" s="98"/>
      <c r="Y149" s="98"/>
      <c r="Z149" s="98"/>
      <c r="AA149" s="98"/>
    </row>
    <row r="150" spans="1:28" ht="15" customHeight="1" x14ac:dyDescent="0.35">
      <c r="A150" s="265"/>
      <c r="B150" s="218" t="s">
        <v>273</v>
      </c>
      <c r="C150" s="171"/>
      <c r="D150" s="834">
        <f>IF(AND(ISNUMBER('General Info'!D58),ISNUMBER(D147)),'General Info'!D58/D147,"")</f>
        <v>0.16651929511411898</v>
      </c>
      <c r="E150" s="98"/>
      <c r="F150" s="98"/>
      <c r="G150" s="98"/>
      <c r="H150" s="98"/>
      <c r="I150" s="98"/>
      <c r="J150" s="98"/>
      <c r="L150" s="98"/>
      <c r="M150" s="98"/>
      <c r="N150" s="98"/>
      <c r="O150" s="98"/>
      <c r="P150" s="98"/>
      <c r="Q150" s="98"/>
      <c r="R150" s="98"/>
      <c r="S150" s="98"/>
      <c r="U150" s="98"/>
      <c r="V150" s="98"/>
      <c r="W150" s="98"/>
      <c r="X150" s="98"/>
      <c r="Y150" s="98"/>
      <c r="Z150" s="98"/>
      <c r="AA150" s="98"/>
    </row>
    <row r="151" spans="1:28" ht="15" customHeight="1" x14ac:dyDescent="0.35">
      <c r="A151" s="1362"/>
      <c r="B151" s="424"/>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row>
    <row r="152" spans="1:28" ht="15" hidden="1" customHeight="1" x14ac:dyDescent="0.35">
      <c r="A152" s="1034"/>
      <c r="B152" s="1034"/>
      <c r="C152" s="98"/>
      <c r="D152" s="98"/>
      <c r="E152" s="98"/>
      <c r="F152" s="98"/>
      <c r="G152" s="98"/>
      <c r="H152" s="98"/>
      <c r="I152" s="98"/>
      <c r="J152" s="98"/>
      <c r="L152" s="98"/>
      <c r="M152" s="98"/>
      <c r="N152" s="98"/>
      <c r="O152" s="98"/>
      <c r="P152" s="98"/>
      <c r="Q152" s="98"/>
      <c r="R152" s="98"/>
      <c r="S152" s="98"/>
      <c r="U152" s="98"/>
      <c r="V152" s="98"/>
      <c r="W152" s="98"/>
      <c r="X152" s="98"/>
      <c r="Y152" s="98"/>
      <c r="Z152" s="98"/>
      <c r="AA152" s="98"/>
    </row>
    <row r="153" spans="1:28" ht="15" hidden="1" customHeight="1" x14ac:dyDescent="0.35">
      <c r="A153" s="1034"/>
      <c r="B153" s="1034"/>
      <c r="C153" s="98"/>
      <c r="D153" s="98"/>
      <c r="E153" s="98"/>
      <c r="F153" s="98"/>
      <c r="G153" s="98"/>
      <c r="H153" s="98"/>
      <c r="I153" s="98"/>
      <c r="J153" s="98"/>
      <c r="L153" s="98"/>
      <c r="M153" s="98"/>
      <c r="N153" s="98"/>
      <c r="O153" s="98"/>
      <c r="P153" s="98"/>
      <c r="Q153" s="98"/>
      <c r="R153" s="98"/>
      <c r="S153" s="98"/>
      <c r="U153" s="98"/>
      <c r="V153" s="98"/>
      <c r="W153" s="98"/>
      <c r="X153" s="98"/>
      <c r="Y153" s="98"/>
      <c r="Z153" s="98"/>
      <c r="AA153" s="98"/>
    </row>
    <row r="154" spans="1:28" ht="15" hidden="1" customHeight="1" x14ac:dyDescent="0.35">
      <c r="A154" s="1034"/>
      <c r="B154" s="1034"/>
      <c r="C154" s="98"/>
      <c r="D154" s="98"/>
      <c r="E154" s="98"/>
      <c r="F154" s="98"/>
      <c r="G154" s="98"/>
      <c r="H154" s="98"/>
      <c r="I154" s="98"/>
      <c r="J154" s="98"/>
      <c r="L154" s="98"/>
      <c r="M154" s="98"/>
      <c r="N154" s="98"/>
      <c r="O154" s="98"/>
      <c r="P154" s="98"/>
      <c r="Q154" s="98"/>
      <c r="R154" s="98"/>
      <c r="S154" s="98"/>
      <c r="U154" s="98"/>
      <c r="V154" s="98"/>
      <c r="W154" s="98"/>
      <c r="X154" s="98"/>
      <c r="Y154" s="98"/>
      <c r="Z154" s="98"/>
      <c r="AA154" s="98"/>
    </row>
    <row r="155" spans="1:28" ht="15" hidden="1" customHeight="1" x14ac:dyDescent="0.35">
      <c r="A155" s="1034"/>
      <c r="B155" s="1034"/>
      <c r="C155" s="98"/>
      <c r="D155" s="98"/>
      <c r="E155" s="98"/>
      <c r="F155" s="98"/>
      <c r="G155" s="98"/>
      <c r="H155" s="98"/>
      <c r="I155" s="98"/>
      <c r="J155" s="98"/>
      <c r="L155" s="98"/>
      <c r="M155" s="98"/>
      <c r="N155" s="98"/>
      <c r="O155" s="98"/>
      <c r="P155" s="98"/>
      <c r="Q155" s="98"/>
      <c r="R155" s="98"/>
      <c r="S155" s="98"/>
      <c r="U155" s="98"/>
      <c r="V155" s="98"/>
      <c r="W155" s="98"/>
      <c r="X155" s="98"/>
      <c r="Y155" s="98"/>
      <c r="Z155" s="98"/>
      <c r="AA155" s="98"/>
    </row>
    <row r="156" spans="1:28" ht="15" hidden="1" customHeight="1" x14ac:dyDescent="0.35"/>
    <row r="157" spans="1:28" ht="15" hidden="1" customHeight="1" x14ac:dyDescent="0.35"/>
    <row r="158" spans="1:28" ht="15" hidden="1" customHeight="1" x14ac:dyDescent="0.35"/>
    <row r="159" spans="1:28" ht="15" hidden="1" customHeight="1" x14ac:dyDescent="0.35"/>
  </sheetData>
  <sheetProtection algorithmName="SHA-512" hashValue="4Vaj0CDNlxIZG6dpYQx6pPLTpIQgbHDLKz6c4lrXFhG1N5gU8bRlvcPQ4FUa0tEF2V56IhPHfXQvg/pUeQZtZg==" saltValue="TgFKTsGBBhSrsxk2c17iBQ==" spinCount="100000" sheet="1" objects="1" scenarios="1"/>
  <mergeCells count="65">
    <mergeCell ref="G127:G128"/>
    <mergeCell ref="G134:G135"/>
    <mergeCell ref="J127:J128"/>
    <mergeCell ref="B134:B135"/>
    <mergeCell ref="B127:B128"/>
    <mergeCell ref="C134:C135"/>
    <mergeCell ref="D134:E134"/>
    <mergeCell ref="B106:B108"/>
    <mergeCell ref="C106:E107"/>
    <mergeCell ref="C118:C119"/>
    <mergeCell ref="D118:E118"/>
    <mergeCell ref="C127:C128"/>
    <mergeCell ref="D127:E127"/>
    <mergeCell ref="L43:M43"/>
    <mergeCell ref="O43:P43"/>
    <mergeCell ref="Q43:S43"/>
    <mergeCell ref="U43:X43"/>
    <mergeCell ref="Y43:AA43"/>
    <mergeCell ref="U11:W11"/>
    <mergeCell ref="L12:N12"/>
    <mergeCell ref="O12:P12"/>
    <mergeCell ref="U12:W12"/>
    <mergeCell ref="U42:AA42"/>
    <mergeCell ref="L42:S42"/>
    <mergeCell ref="B11:B13"/>
    <mergeCell ref="C11:E12"/>
    <mergeCell ref="F11:H12"/>
    <mergeCell ref="I11:J12"/>
    <mergeCell ref="L11:P11"/>
    <mergeCell ref="B42:B44"/>
    <mergeCell ref="C42:E43"/>
    <mergeCell ref="F42:G42"/>
    <mergeCell ref="I42:J43"/>
    <mergeCell ref="F43:G43"/>
    <mergeCell ref="B66:B68"/>
    <mergeCell ref="C66:E66"/>
    <mergeCell ref="L66:S66"/>
    <mergeCell ref="U66:AA66"/>
    <mergeCell ref="C67:E67"/>
    <mergeCell ref="F67:H67"/>
    <mergeCell ref="L67:N67"/>
    <mergeCell ref="O67:P67"/>
    <mergeCell ref="I66:J67"/>
    <mergeCell ref="Q67:S67"/>
    <mergeCell ref="U67:X67"/>
    <mergeCell ref="Y67:AA67"/>
    <mergeCell ref="B85:B87"/>
    <mergeCell ref="C85:E85"/>
    <mergeCell ref="I85:J86"/>
    <mergeCell ref="L85:S85"/>
    <mergeCell ref="C86:E86"/>
    <mergeCell ref="O86:P86"/>
    <mergeCell ref="Q86:S86"/>
    <mergeCell ref="U86:X86"/>
    <mergeCell ref="Y86:AA86"/>
    <mergeCell ref="F106:H107"/>
    <mergeCell ref="F66:H66"/>
    <mergeCell ref="F85:G85"/>
    <mergeCell ref="F86:G86"/>
    <mergeCell ref="L106:P106"/>
    <mergeCell ref="U85:AA85"/>
    <mergeCell ref="L86:M86"/>
    <mergeCell ref="L107:N107"/>
    <mergeCell ref="O107:P107"/>
    <mergeCell ref="I106:J107"/>
  </mergeCells>
  <conditionalFormatting sqref="C37:D39 D113:D114 G113:G114 J113:J114 C124 D132 D145 D147 F37:G39 I37:J39">
    <cfRule type="cellIs" dxfId="10099" priority="109" stopIfTrue="1" operator="lessThan">
      <formula>0</formula>
    </cfRule>
  </conditionalFormatting>
  <conditionalFormatting sqref="A1:AB1048576">
    <cfRule type="cellIs" dxfId="10098" priority="106" stopIfTrue="1" operator="equal">
      <formula>"Diff below 30%"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40" max="27" man="1"/>
    <brk id="64" max="27" man="1"/>
  </rowBreaks>
  <colBreaks count="2" manualBreakCount="2">
    <brk id="11" max="1048575" man="1"/>
    <brk id="20" max="98" man="1"/>
  </colBreaks>
  <extLst>
    <ext xmlns:x14="http://schemas.microsoft.com/office/spreadsheetml/2009/9/main" uri="{78C0D931-6437-407d-A8EE-F0AAD7539E65}">
      <x14:conditionalFormattings>
        <x14:conditionalFormatting xmlns:xm="http://schemas.microsoft.com/office/excel/2006/main">
          <x14:cfRule type="beginsWith" priority="35" stopIfTrue="1" operator="beginsWith" id="{733E0582-9018-4FE2-AD2B-E6FB41034AA8}">
            <xm:f>LEFT(A1,LEN("RW change"))="RW change"</xm:f>
            <xm:f>"RW change"</xm:f>
            <x14:dxf>
              <fill>
                <patternFill>
                  <bgColor theme="0"/>
                </patternFill>
              </fill>
            </x14:dxf>
          </x14:cfRule>
          <x14:cfRule type="beginsWith" priority="104" stopIfTrue="1" operator="beginsWith" id="{F8BE1CBB-76F9-430F-8F6D-F8EFF44EBAF3}">
            <xm:f>LEFT(A1,LEN("Error: "))="Error: "</xm:f>
            <xm:f>"Error: "</xm:f>
            <x14:dxf>
              <font>
                <b/>
                <i val="0"/>
                <color rgb="FFAA322F"/>
              </font>
              <fill>
                <patternFill patternType="solid">
                  <bgColor theme="0"/>
                </patternFill>
              </fill>
            </x14:dxf>
          </x14:cfRule>
          <x14:cfRule type="beginsWith" priority="105" stopIfTrue="1" operator="beginsWith" id="{0523153E-4273-4458-B0DA-5D540B046E05}">
            <xm:f>LEFT(A1,LEN("Warning: "))="Warning: "</xm:f>
            <xm:f>"Warning: "</xm:f>
            <x14:dxf>
              <font>
                <color rgb="FFAA322F"/>
              </font>
              <fill>
                <patternFill patternType="solid">
                  <bgColor theme="0"/>
                </patternFill>
              </fill>
            </x14:dxf>
          </x14:cfRule>
          <xm:sqref>A1:AB1048576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EC72"/>
  </sheetPr>
  <dimension ref="A1:G124"/>
  <sheetViews>
    <sheetView zoomScale="70" zoomScaleNormal="70" workbookViewId="0">
      <pane ySplit="4" topLeftCell="A38" activePane="bottomLeft" state="frozen"/>
      <selection activeCell="P35" sqref="P35"/>
      <selection pane="bottomLeft" activeCell="D63" sqref="D63"/>
    </sheetView>
  </sheetViews>
  <sheetFormatPr defaultColWidth="0" defaultRowHeight="0" customHeight="1" zeroHeight="1" x14ac:dyDescent="0.35"/>
  <cols>
    <col min="1" max="1" width="1.6640625" style="55" customWidth="1"/>
    <col min="2" max="2" width="20.6640625" style="2" customWidth="1"/>
    <col min="3" max="3" width="150.6640625" style="2" customWidth="1"/>
    <col min="4" max="6" width="18.6640625" style="2" customWidth="1"/>
    <col min="7" max="7" width="1.6640625" style="85" customWidth="1"/>
    <col min="8" max="16384" width="16.88671875" hidden="1"/>
  </cols>
  <sheetData>
    <row r="1" spans="1:7" ht="30" customHeight="1" x14ac:dyDescent="0.65">
      <c r="A1" s="766" t="s">
        <v>274</v>
      </c>
      <c r="B1" s="767"/>
      <c r="C1" s="767"/>
      <c r="D1" s="739" t="str">
        <f>CONCATENATE("Reporting unit: ", 'General Info'!$C$7, " ", 'General Info'!$C$5)</f>
        <v>Reporting unit: 1000 eur</v>
      </c>
      <c r="E1" s="1766"/>
      <c r="F1" s="1766"/>
      <c r="G1" s="735"/>
    </row>
    <row r="2" spans="1:7" ht="15" customHeight="1" x14ac:dyDescent="0.35">
      <c r="A2" s="1767"/>
      <c r="B2" s="972"/>
      <c r="C2" s="972"/>
      <c r="D2" s="1768"/>
      <c r="E2" s="1768"/>
      <c r="F2" s="120"/>
      <c r="G2" s="279"/>
    </row>
    <row r="3" spans="1:7" ht="15" customHeight="1" x14ac:dyDescent="0.35">
      <c r="A3" s="259"/>
      <c r="B3" s="1769"/>
      <c r="C3" s="1769" t="s">
        <v>275</v>
      </c>
      <c r="D3" s="1770" t="str">
        <f>Parameters!$F$8</f>
        <v>Yes</v>
      </c>
      <c r="E3" s="1771" t="str">
        <f>Parameters!$F$9</f>
        <v>Yes</v>
      </c>
      <c r="F3" s="1772" t="str">
        <f>Parameters!$F$9</f>
        <v>Yes</v>
      </c>
      <c r="G3" s="279"/>
    </row>
    <row r="4" spans="1:7" ht="15" customHeight="1" x14ac:dyDescent="0.35">
      <c r="A4" s="1767"/>
      <c r="B4" s="972"/>
      <c r="C4" s="972"/>
      <c r="D4" s="1768"/>
      <c r="E4" s="1768"/>
      <c r="F4" s="120"/>
      <c r="G4" s="279"/>
    </row>
    <row r="5" spans="1:7" ht="60" customHeight="1" x14ac:dyDescent="0.35">
      <c r="A5" s="601" t="s">
        <v>276</v>
      </c>
      <c r="B5" s="1276"/>
      <c r="C5" s="1276"/>
      <c r="D5" s="1276"/>
      <c r="E5" s="1276"/>
      <c r="F5" s="1179"/>
      <c r="G5" s="1773"/>
    </row>
    <row r="6" spans="1:7" ht="30" customHeight="1" x14ac:dyDescent="0.35">
      <c r="A6" s="259"/>
      <c r="B6" s="1384" t="s">
        <v>277</v>
      </c>
      <c r="C6" s="750" t="s">
        <v>278</v>
      </c>
      <c r="D6" s="957" t="s">
        <v>279</v>
      </c>
      <c r="E6" s="750" t="s">
        <v>131</v>
      </c>
      <c r="F6" s="71"/>
      <c r="G6" s="279"/>
    </row>
    <row r="7" spans="1:7" ht="15" customHeight="1" x14ac:dyDescent="0.35">
      <c r="A7" s="259"/>
      <c r="B7" s="119"/>
      <c r="C7" s="425" t="s">
        <v>280</v>
      </c>
      <c r="D7" s="443"/>
      <c r="E7" s="12"/>
      <c r="F7" s="71"/>
      <c r="G7" s="279"/>
    </row>
    <row r="8" spans="1:7" ht="30" customHeight="1" x14ac:dyDescent="0.35">
      <c r="A8" s="259"/>
      <c r="B8" s="115" t="s">
        <v>281</v>
      </c>
      <c r="C8" s="426" t="s">
        <v>282</v>
      </c>
      <c r="D8" s="292">
        <v>75354</v>
      </c>
      <c r="E8" s="12"/>
      <c r="F8" s="71"/>
      <c r="G8" s="279"/>
    </row>
    <row r="9" spans="1:7" ht="30" customHeight="1" x14ac:dyDescent="0.35">
      <c r="A9" s="259"/>
      <c r="B9" s="115" t="s">
        <v>281</v>
      </c>
      <c r="C9" s="426" t="s">
        <v>283</v>
      </c>
      <c r="D9" s="292">
        <v>112992</v>
      </c>
      <c r="E9" s="12"/>
      <c r="F9" s="71"/>
      <c r="G9" s="279"/>
    </row>
    <row r="10" spans="1:7" ht="30" customHeight="1" x14ac:dyDescent="0.35">
      <c r="A10" s="259"/>
      <c r="B10" s="115" t="s">
        <v>284</v>
      </c>
      <c r="C10" s="426" t="s">
        <v>285</v>
      </c>
      <c r="D10" s="109">
        <v>400112</v>
      </c>
      <c r="E10" s="12"/>
      <c r="F10" s="71"/>
      <c r="G10" s="279"/>
    </row>
    <row r="11" spans="1:7" ht="30" customHeight="1" x14ac:dyDescent="0.35">
      <c r="A11" s="259"/>
      <c r="B11" s="115" t="s">
        <v>284</v>
      </c>
      <c r="C11" s="426" t="s">
        <v>286</v>
      </c>
      <c r="D11" s="109">
        <v>388808</v>
      </c>
      <c r="E11" s="12"/>
      <c r="F11" s="71"/>
      <c r="G11" s="279"/>
    </row>
    <row r="12" spans="1:7" ht="15" customHeight="1" x14ac:dyDescent="0.35">
      <c r="A12" s="259"/>
      <c r="B12" s="53"/>
      <c r="C12" s="426" t="s">
        <v>287</v>
      </c>
      <c r="D12" s="292">
        <v>37638</v>
      </c>
      <c r="E12" s="34">
        <v>37638</v>
      </c>
      <c r="F12" s="85"/>
      <c r="G12" s="279"/>
    </row>
    <row r="13" spans="1:7" ht="15" customHeight="1" x14ac:dyDescent="0.35">
      <c r="A13" s="259"/>
      <c r="B13" s="115" t="s">
        <v>288</v>
      </c>
      <c r="C13" s="427" t="s">
        <v>289</v>
      </c>
      <c r="D13" s="292">
        <v>61117</v>
      </c>
      <c r="E13" s="12"/>
      <c r="F13" s="85"/>
      <c r="G13" s="279"/>
    </row>
    <row r="14" spans="1:7" ht="15" customHeight="1" x14ac:dyDescent="0.35">
      <c r="A14" s="259"/>
      <c r="B14" s="53"/>
      <c r="C14" s="427" t="s">
        <v>290</v>
      </c>
      <c r="D14" s="292">
        <v>11304</v>
      </c>
      <c r="E14" s="34">
        <v>11304</v>
      </c>
      <c r="F14" s="85"/>
      <c r="G14" s="279"/>
    </row>
    <row r="15" spans="1:7" ht="15" customHeight="1" x14ac:dyDescent="0.35">
      <c r="A15" s="259"/>
      <c r="B15" s="53"/>
      <c r="C15" s="428" t="s">
        <v>291</v>
      </c>
      <c r="D15" s="74"/>
      <c r="E15" s="12"/>
      <c r="F15" s="85"/>
      <c r="G15" s="279"/>
    </row>
    <row r="16" spans="1:7" ht="15" customHeight="1" x14ac:dyDescent="0.35">
      <c r="A16" s="259"/>
      <c r="B16" s="115" t="s">
        <v>292</v>
      </c>
      <c r="C16" s="427" t="s">
        <v>293</v>
      </c>
      <c r="D16" s="444">
        <v>0</v>
      </c>
      <c r="E16" s="12"/>
      <c r="F16" s="85"/>
      <c r="G16" s="279"/>
    </row>
    <row r="17" spans="1:7" ht="15" customHeight="1" x14ac:dyDescent="0.35">
      <c r="A17" s="259"/>
      <c r="B17" s="115" t="s">
        <v>292</v>
      </c>
      <c r="C17" s="427" t="s">
        <v>294</v>
      </c>
      <c r="D17" s="292">
        <v>73840</v>
      </c>
      <c r="E17" s="12"/>
      <c r="F17" s="85"/>
      <c r="G17" s="279"/>
    </row>
    <row r="18" spans="1:7" ht="15" customHeight="1" x14ac:dyDescent="0.35">
      <c r="A18" s="259"/>
      <c r="B18" s="53"/>
      <c r="C18" s="427" t="s">
        <v>295</v>
      </c>
      <c r="D18" s="292">
        <v>0</v>
      </c>
      <c r="E18" s="12"/>
      <c r="F18" s="85"/>
      <c r="G18" s="279"/>
    </row>
    <row r="19" spans="1:7" ht="15" customHeight="1" x14ac:dyDescent="0.35">
      <c r="A19" s="259"/>
      <c r="B19" s="53"/>
      <c r="C19" s="428" t="s">
        <v>296</v>
      </c>
      <c r="D19" s="74"/>
      <c r="E19" s="12"/>
      <c r="F19" s="85"/>
      <c r="G19" s="279"/>
    </row>
    <row r="20" spans="1:7" ht="15" customHeight="1" x14ac:dyDescent="0.35">
      <c r="A20" s="259"/>
      <c r="B20" s="53"/>
      <c r="C20" s="427" t="s">
        <v>293</v>
      </c>
      <c r="D20" s="292">
        <v>0</v>
      </c>
      <c r="E20" s="12"/>
      <c r="F20" s="85"/>
      <c r="G20" s="279"/>
    </row>
    <row r="21" spans="1:7" ht="15" customHeight="1" x14ac:dyDescent="0.35">
      <c r="A21" s="259"/>
      <c r="B21" s="53"/>
      <c r="C21" s="427" t="s">
        <v>294</v>
      </c>
      <c r="D21" s="292">
        <v>0</v>
      </c>
      <c r="E21" s="12"/>
      <c r="F21" s="85"/>
      <c r="G21" s="279"/>
    </row>
    <row r="22" spans="1:7" ht="15" customHeight="1" x14ac:dyDescent="0.35">
      <c r="A22" s="259"/>
      <c r="B22" s="60"/>
      <c r="C22" s="652" t="s">
        <v>297</v>
      </c>
      <c r="D22" s="450">
        <v>0</v>
      </c>
      <c r="E22" s="22"/>
      <c r="F22" s="85"/>
      <c r="G22" s="279"/>
    </row>
    <row r="23" spans="1:7" ht="15" customHeight="1" x14ac:dyDescent="0.35">
      <c r="A23" s="259"/>
      <c r="B23" s="62"/>
      <c r="C23" s="437" t="s">
        <v>298</v>
      </c>
      <c r="D23" s="653">
        <f>IF(AND(ISNUMBER(D14),ISNUMBER(D18),ISNUMBER(D22)),D14+D18+D22,"")</f>
        <v>11304</v>
      </c>
      <c r="E23" s="20"/>
      <c r="F23" s="71"/>
      <c r="G23" s="279"/>
    </row>
    <row r="24" spans="1:7" ht="15" customHeight="1" x14ac:dyDescent="0.35">
      <c r="A24" s="259"/>
      <c r="B24" s="56"/>
      <c r="C24" s="57"/>
      <c r="D24" s="58"/>
      <c r="E24" s="58"/>
      <c r="F24" s="58"/>
      <c r="G24" s="279"/>
    </row>
    <row r="25" spans="1:7" ht="60" customHeight="1" x14ac:dyDescent="0.35">
      <c r="A25" s="601" t="s">
        <v>299</v>
      </c>
      <c r="B25" s="1276"/>
      <c r="C25" s="1276"/>
      <c r="D25" s="1276"/>
      <c r="E25" s="1276"/>
      <c r="F25" s="1276"/>
      <c r="G25" s="1773"/>
    </row>
    <row r="26" spans="1:7" ht="30" customHeight="1" x14ac:dyDescent="0.35">
      <c r="A26" s="1211" t="s">
        <v>300</v>
      </c>
      <c r="B26" s="59"/>
      <c r="C26" s="59"/>
      <c r="D26" s="59"/>
      <c r="E26" s="59"/>
      <c r="F26" s="59"/>
      <c r="G26" s="1774"/>
    </row>
    <row r="27" spans="1:7" ht="30" customHeight="1" x14ac:dyDescent="0.35">
      <c r="A27" s="259"/>
      <c r="B27" s="1384" t="s">
        <v>277</v>
      </c>
      <c r="C27" s="1775" t="s">
        <v>278</v>
      </c>
      <c r="D27" s="957" t="s">
        <v>279</v>
      </c>
      <c r="E27" s="1775" t="s">
        <v>131</v>
      </c>
      <c r="F27" s="59"/>
      <c r="G27" s="279"/>
    </row>
    <row r="28" spans="1:7" ht="60" customHeight="1" x14ac:dyDescent="0.35">
      <c r="A28" s="259"/>
      <c r="B28" s="523" t="s">
        <v>301</v>
      </c>
      <c r="C28" s="1776" t="s">
        <v>302</v>
      </c>
      <c r="D28" s="1120">
        <v>302304</v>
      </c>
      <c r="E28" s="872">
        <v>302304</v>
      </c>
      <c r="F28" s="59"/>
      <c r="G28" s="279"/>
    </row>
    <row r="29" spans="1:7" ht="15" customHeight="1" x14ac:dyDescent="0.35">
      <c r="A29" s="259"/>
      <c r="B29" s="115" t="s">
        <v>301</v>
      </c>
      <c r="C29" s="94" t="s">
        <v>303</v>
      </c>
      <c r="D29" s="33">
        <v>2476839</v>
      </c>
      <c r="E29" s="34">
        <v>2476839</v>
      </c>
      <c r="F29" s="59"/>
      <c r="G29" s="279"/>
    </row>
    <row r="30" spans="1:7" ht="15" customHeight="1" x14ac:dyDescent="0.35">
      <c r="A30" s="259"/>
      <c r="B30" s="53"/>
      <c r="C30" s="94" t="s">
        <v>304</v>
      </c>
      <c r="D30" s="371">
        <v>-234547</v>
      </c>
      <c r="E30" s="54">
        <v>-234547</v>
      </c>
      <c r="F30" s="59"/>
      <c r="G30" s="279"/>
    </row>
    <row r="31" spans="1:7" ht="15" customHeight="1" x14ac:dyDescent="0.35">
      <c r="A31" s="259"/>
      <c r="B31" s="53"/>
      <c r="C31" s="94" t="s">
        <v>305</v>
      </c>
      <c r="D31" s="97">
        <f>IF(AND(ISNUMBER(D28),ISNUMBER(D29),ISNUMBER(D30)),SUM(D28:D30),"")</f>
        <v>2544596</v>
      </c>
      <c r="E31" s="9">
        <f>IF(AND(ISNUMBER(E28),ISNUMBER(E29),ISNUMBER(E30)),SUM(E28:E30),"")</f>
        <v>2544596</v>
      </c>
      <c r="F31" s="59"/>
      <c r="G31" s="279"/>
    </row>
    <row r="32" spans="1:7" ht="15" customHeight="1" x14ac:dyDescent="0.35">
      <c r="A32" s="259"/>
      <c r="B32" s="350" t="s">
        <v>306</v>
      </c>
      <c r="C32" s="429" t="s">
        <v>307</v>
      </c>
      <c r="D32" s="445">
        <v>355950</v>
      </c>
      <c r="E32" s="68">
        <v>355950</v>
      </c>
      <c r="F32" s="59"/>
      <c r="G32" s="279"/>
    </row>
    <row r="33" spans="1:7" ht="15" customHeight="1" x14ac:dyDescent="0.35">
      <c r="A33" s="259"/>
      <c r="B33" s="62"/>
      <c r="C33" s="433" t="s">
        <v>308</v>
      </c>
      <c r="D33" s="448">
        <f>IF(AND(ISNUMBER(D31),ISNUMBER(D32)),SUM(D31:D32),"")</f>
        <v>2900546</v>
      </c>
      <c r="E33" s="66">
        <f>IF(AND(ISNUMBER(E31),ISNUMBER(E32)),SUM(E31:E32),"")</f>
        <v>2900546</v>
      </c>
      <c r="F33" s="59"/>
      <c r="G33" s="279"/>
    </row>
    <row r="34" spans="1:7" ht="45" customHeight="1" x14ac:dyDescent="0.35">
      <c r="A34" s="260" t="s">
        <v>309</v>
      </c>
      <c r="B34" s="59"/>
      <c r="C34" s="59"/>
      <c r="D34" s="59"/>
      <c r="E34" s="59"/>
      <c r="F34" s="59"/>
      <c r="G34" s="1774"/>
    </row>
    <row r="35" spans="1:7" ht="30" customHeight="1" x14ac:dyDescent="0.35">
      <c r="A35" s="259"/>
      <c r="B35" s="1384" t="s">
        <v>277</v>
      </c>
      <c r="C35" s="1775" t="s">
        <v>278</v>
      </c>
      <c r="D35" s="957" t="s">
        <v>279</v>
      </c>
      <c r="E35" s="1775" t="s">
        <v>131</v>
      </c>
      <c r="F35" s="750" t="s">
        <v>310</v>
      </c>
      <c r="G35" s="279"/>
    </row>
    <row r="36" spans="1:7" ht="15" customHeight="1" x14ac:dyDescent="0.35">
      <c r="A36" s="259"/>
      <c r="B36" s="523" t="s">
        <v>311</v>
      </c>
      <c r="C36" s="1777" t="s">
        <v>312</v>
      </c>
      <c r="D36" s="1120">
        <v>249679</v>
      </c>
      <c r="E36" s="872">
        <v>249679</v>
      </c>
      <c r="F36" s="872">
        <v>0</v>
      </c>
      <c r="G36" s="279"/>
    </row>
    <row r="37" spans="1:7" ht="15" customHeight="1" x14ac:dyDescent="0.35">
      <c r="A37" s="259"/>
      <c r="B37" s="115" t="s">
        <v>311</v>
      </c>
      <c r="C37" s="430" t="s">
        <v>313</v>
      </c>
      <c r="D37" s="33">
        <v>96988</v>
      </c>
      <c r="E37" s="34">
        <v>96988</v>
      </c>
      <c r="F37" s="34">
        <v>0</v>
      </c>
      <c r="G37" s="279"/>
    </row>
    <row r="38" spans="1:7" ht="15" customHeight="1" x14ac:dyDescent="0.35">
      <c r="A38" s="259"/>
      <c r="B38" s="115" t="s">
        <v>314</v>
      </c>
      <c r="C38" s="431" t="s">
        <v>315</v>
      </c>
      <c r="D38" s="33">
        <v>0</v>
      </c>
      <c r="E38" s="34">
        <v>0</v>
      </c>
      <c r="F38" s="34">
        <v>0</v>
      </c>
      <c r="G38" s="279"/>
    </row>
    <row r="39" spans="1:7" ht="15" customHeight="1" x14ac:dyDescent="0.35">
      <c r="A39" s="259"/>
      <c r="B39" s="289" t="s">
        <v>316</v>
      </c>
      <c r="C39" s="431" t="s">
        <v>317</v>
      </c>
      <c r="D39" s="33">
        <v>3236</v>
      </c>
      <c r="E39" s="34">
        <v>3236</v>
      </c>
      <c r="F39" s="34">
        <v>0</v>
      </c>
      <c r="G39" s="279"/>
    </row>
    <row r="40" spans="1:7" ht="15" customHeight="1" x14ac:dyDescent="0.35">
      <c r="A40" s="259"/>
      <c r="B40" s="289" t="s">
        <v>316</v>
      </c>
      <c r="C40" s="431" t="s">
        <v>318</v>
      </c>
      <c r="D40" s="371">
        <v>0</v>
      </c>
      <c r="E40" s="54">
        <v>0</v>
      </c>
      <c r="F40" s="34">
        <v>0</v>
      </c>
      <c r="G40" s="279"/>
    </row>
    <row r="41" spans="1:7" ht="15" customHeight="1" x14ac:dyDescent="0.35">
      <c r="A41" s="259"/>
      <c r="B41" s="507" t="s">
        <v>281</v>
      </c>
      <c r="C41" s="716" t="s">
        <v>319</v>
      </c>
      <c r="D41" s="80">
        <f>IF(ISNUMBER(D12),D12,"")</f>
        <v>37638</v>
      </c>
      <c r="E41" s="9">
        <f>IF(ISNUMBER(E12),E12,"")</f>
        <v>37638</v>
      </c>
      <c r="F41" s="34">
        <v>0</v>
      </c>
      <c r="G41" s="279"/>
    </row>
    <row r="42" spans="1:7" ht="15" customHeight="1" x14ac:dyDescent="0.35">
      <c r="A42" s="259"/>
      <c r="B42" s="507" t="s">
        <v>320</v>
      </c>
      <c r="C42" s="123" t="s">
        <v>321</v>
      </c>
      <c r="D42" s="371">
        <v>-57058</v>
      </c>
      <c r="E42" s="54">
        <v>-57058</v>
      </c>
      <c r="F42" s="34">
        <v>0</v>
      </c>
      <c r="G42" s="279"/>
    </row>
    <row r="43" spans="1:7" ht="30" customHeight="1" x14ac:dyDescent="0.35">
      <c r="A43" s="259"/>
      <c r="B43" s="115" t="s">
        <v>322</v>
      </c>
      <c r="C43" s="430" t="s">
        <v>323</v>
      </c>
      <c r="D43" s="371">
        <v>0</v>
      </c>
      <c r="E43" s="54">
        <v>0</v>
      </c>
      <c r="F43" s="34">
        <v>0</v>
      </c>
      <c r="G43" s="279"/>
    </row>
    <row r="44" spans="1:7" ht="15" customHeight="1" x14ac:dyDescent="0.35">
      <c r="A44" s="259"/>
      <c r="B44" s="507" t="s">
        <v>324</v>
      </c>
      <c r="C44" s="431" t="s">
        <v>325</v>
      </c>
      <c r="D44" s="371">
        <v>0</v>
      </c>
      <c r="E44" s="54">
        <v>0</v>
      </c>
      <c r="F44" s="34">
        <v>0</v>
      </c>
      <c r="G44" s="279"/>
    </row>
    <row r="45" spans="1:7" ht="15" customHeight="1" x14ac:dyDescent="0.35">
      <c r="A45" s="259"/>
      <c r="B45" s="115" t="s">
        <v>326</v>
      </c>
      <c r="C45" s="421" t="s">
        <v>327</v>
      </c>
      <c r="D45" s="371">
        <v>0</v>
      </c>
      <c r="E45" s="54">
        <v>0</v>
      </c>
      <c r="F45" s="34">
        <v>0</v>
      </c>
      <c r="G45" s="279"/>
    </row>
    <row r="46" spans="1:7" ht="15" customHeight="1" x14ac:dyDescent="0.35">
      <c r="A46" s="259"/>
      <c r="B46" s="115" t="s">
        <v>328</v>
      </c>
      <c r="C46" s="430" t="s">
        <v>329</v>
      </c>
      <c r="D46" s="371">
        <v>8641</v>
      </c>
      <c r="E46" s="29">
        <v>8641</v>
      </c>
      <c r="F46" s="34">
        <v>0</v>
      </c>
      <c r="G46" s="279"/>
    </row>
    <row r="47" spans="1:7" ht="15" customHeight="1" x14ac:dyDescent="0.35">
      <c r="A47" s="259"/>
      <c r="B47" s="93" t="s">
        <v>330</v>
      </c>
      <c r="C47" s="430" t="s">
        <v>331</v>
      </c>
      <c r="D47" s="15">
        <v>0</v>
      </c>
      <c r="E47" s="26"/>
      <c r="F47" s="9">
        <f>IF(ISNUMBER(D47),12.5*D47,"")</f>
        <v>0</v>
      </c>
      <c r="G47" s="279"/>
    </row>
    <row r="48" spans="1:7" ht="15" customHeight="1" x14ac:dyDescent="0.35">
      <c r="A48" s="259"/>
      <c r="B48" s="93" t="s">
        <v>330</v>
      </c>
      <c r="C48" s="430" t="s">
        <v>332</v>
      </c>
      <c r="D48" s="15">
        <v>0</v>
      </c>
      <c r="E48" s="26"/>
      <c r="F48" s="9">
        <f>IF(ISNUMBER(D48),12.5*D48,"")</f>
        <v>0</v>
      </c>
      <c r="G48" s="279"/>
    </row>
    <row r="49" spans="1:7" ht="15" customHeight="1" x14ac:dyDescent="0.35">
      <c r="A49" s="259"/>
      <c r="B49" s="93" t="s">
        <v>330</v>
      </c>
      <c r="C49" s="430" t="s">
        <v>333</v>
      </c>
      <c r="D49" s="15">
        <v>0</v>
      </c>
      <c r="E49" s="26"/>
      <c r="F49" s="9">
        <f>IF(ISNUMBER(D49),12.5*D49,"")</f>
        <v>0</v>
      </c>
      <c r="G49" s="279"/>
    </row>
    <row r="50" spans="1:7" ht="15" customHeight="1" x14ac:dyDescent="0.35">
      <c r="A50" s="259"/>
      <c r="B50" s="93" t="s">
        <v>330</v>
      </c>
      <c r="C50" s="430" t="s">
        <v>334</v>
      </c>
      <c r="D50" s="15">
        <v>0</v>
      </c>
      <c r="E50" s="26"/>
      <c r="F50" s="9">
        <f>IF(ISNUMBER(D50),12.5*D50,"")</f>
        <v>0</v>
      </c>
      <c r="G50" s="279"/>
    </row>
    <row r="51" spans="1:7" ht="15" customHeight="1" x14ac:dyDescent="0.35">
      <c r="A51" s="259"/>
      <c r="B51" s="53"/>
      <c r="C51" s="421" t="s">
        <v>335</v>
      </c>
      <c r="D51" s="446">
        <v>0</v>
      </c>
      <c r="E51" s="446">
        <v>0</v>
      </c>
      <c r="F51" s="26"/>
      <c r="G51" s="279"/>
    </row>
    <row r="52" spans="1:7" ht="15" customHeight="1" x14ac:dyDescent="0.35">
      <c r="A52" s="259"/>
      <c r="B52" s="53"/>
      <c r="C52" s="421" t="str">
        <f>"Other CET1 deductions to be made before the threshold deductions (excluding adjustments reported in row " &amp; ROW(C51) &amp;")"</f>
        <v>Other CET1 deductions to be made before the threshold deductions (excluding adjustments reported in row 51)</v>
      </c>
      <c r="D52" s="446">
        <v>0</v>
      </c>
      <c r="E52" s="28"/>
      <c r="F52" s="108">
        <v>0</v>
      </c>
      <c r="G52" s="279"/>
    </row>
    <row r="53" spans="1:7" ht="15" customHeight="1" x14ac:dyDescent="0.35">
      <c r="A53" s="259"/>
      <c r="B53" s="53"/>
      <c r="C53" s="122" t="s">
        <v>336</v>
      </c>
      <c r="D53" s="447">
        <f>IF(AND(ISNUMBER(D33), COUNT(D36:D46)=ROWS(D36:D46)), D33-SUM(D36:D52), "")</f>
        <v>2561422</v>
      </c>
      <c r="E53" s="70">
        <f>IF(AND(ISNUMBER(E33), COUNT(E36:E46)=ROWS(E36:E46)), E33-SUM(E36:E46, E51), "")</f>
        <v>2561422</v>
      </c>
      <c r="F53" s="70">
        <f>IF(COUNT(F36:F46)=ROWS(F36:F46), SUM(F36:F50, F52), "")</f>
        <v>0</v>
      </c>
      <c r="G53" s="279"/>
    </row>
    <row r="54" spans="1:7" ht="30" x14ac:dyDescent="0.35">
      <c r="A54" s="259"/>
      <c r="B54" s="115" t="s">
        <v>337</v>
      </c>
      <c r="C54" s="716" t="s">
        <v>338</v>
      </c>
      <c r="D54" s="445">
        <v>0</v>
      </c>
      <c r="E54" s="68">
        <v>0</v>
      </c>
      <c r="F54" s="73">
        <v>0</v>
      </c>
      <c r="G54" s="279"/>
    </row>
    <row r="55" spans="1:7" ht="15" customHeight="1" x14ac:dyDescent="0.35">
      <c r="A55" s="259"/>
      <c r="B55" s="53"/>
      <c r="C55" s="122" t="s">
        <v>336</v>
      </c>
      <c r="D55" s="447">
        <f>IF(AND(ISNUMBER(D53),ISNUMBER(D54)),D53-D54,"")</f>
        <v>2561422</v>
      </c>
      <c r="E55" s="70">
        <f>IF(AND(ISNUMBER(E53),ISNUMBER(E54)),E53-E54,"")</f>
        <v>2561422</v>
      </c>
      <c r="F55" s="70">
        <f>IF(AND(ISNUMBER(F53),ISNUMBER(F54)),F53+F54,"")</f>
        <v>0</v>
      </c>
      <c r="G55" s="279"/>
    </row>
    <row r="56" spans="1:7" ht="30" customHeight="1" x14ac:dyDescent="0.35">
      <c r="A56" s="259"/>
      <c r="B56" s="115" t="s">
        <v>339</v>
      </c>
      <c r="C56" s="716" t="s">
        <v>340</v>
      </c>
      <c r="D56" s="371">
        <v>0</v>
      </c>
      <c r="E56" s="54">
        <v>0</v>
      </c>
      <c r="F56" s="73">
        <v>0</v>
      </c>
      <c r="G56" s="279"/>
    </row>
    <row r="57" spans="1:7" ht="15" customHeight="1" x14ac:dyDescent="0.35">
      <c r="A57" s="259"/>
      <c r="B57" s="115" t="s">
        <v>341</v>
      </c>
      <c r="C57" s="123" t="s">
        <v>342</v>
      </c>
      <c r="D57" s="371">
        <v>0</v>
      </c>
      <c r="E57" s="54">
        <v>0</v>
      </c>
      <c r="F57" s="73">
        <v>0</v>
      </c>
      <c r="G57" s="279"/>
    </row>
    <row r="58" spans="1:7" ht="15" customHeight="1" x14ac:dyDescent="0.35">
      <c r="A58" s="259"/>
      <c r="B58" s="53"/>
      <c r="C58" s="123" t="s">
        <v>343</v>
      </c>
      <c r="D58" s="371">
        <v>0</v>
      </c>
      <c r="E58" s="54">
        <v>0</v>
      </c>
      <c r="F58" s="73">
        <v>0</v>
      </c>
      <c r="G58" s="279"/>
    </row>
    <row r="59" spans="1:7" ht="15" customHeight="1" x14ac:dyDescent="0.35">
      <c r="A59" s="259"/>
      <c r="B59" s="53"/>
      <c r="C59" s="122" t="s">
        <v>344</v>
      </c>
      <c r="D59" s="447">
        <f>IF(AND(ISNUMBER(D55),ISNUMBER(D56),ISNUMBER(D57),ISNUMBER(D58)),D55-SUM(D56:D58),"")</f>
        <v>2561422</v>
      </c>
      <c r="E59" s="70">
        <f>IF(AND(ISNUMBER(E55),ISNUMBER(E56),ISNUMBER(E57),ISNUMBER(E58)), E55-SUM(E56:E58),"")</f>
        <v>2561422</v>
      </c>
      <c r="F59" s="70">
        <f>IF(AND(ISNUMBER(F55),ISNUMBER(F56),ISNUMBER(F57),ISNUMBER(F58)), F55+SUM(F56:F58),"")</f>
        <v>0</v>
      </c>
      <c r="G59" s="279"/>
    </row>
    <row r="60" spans="1:7" ht="15" customHeight="1" x14ac:dyDescent="0.35">
      <c r="A60" s="259"/>
      <c r="B60" s="53"/>
      <c r="C60" s="94" t="s">
        <v>345</v>
      </c>
      <c r="D60" s="97">
        <f>IF(AND(ISNUMBER(D81),ISNUMBER(D82)),D81-D82,"")</f>
        <v>0</v>
      </c>
      <c r="E60" s="9">
        <f>IF(AND(ISNUMBER(E81),ISNUMBER(E82)),E81-E82,"")</f>
        <v>0</v>
      </c>
      <c r="F60" s="26"/>
      <c r="G60" s="279"/>
    </row>
    <row r="61" spans="1:7" ht="30" customHeight="1" x14ac:dyDescent="0.35">
      <c r="A61" s="259"/>
      <c r="B61" s="60"/>
      <c r="C61" s="429" t="s">
        <v>346</v>
      </c>
      <c r="D61" s="445">
        <v>0</v>
      </c>
      <c r="E61" s="68">
        <v>0</v>
      </c>
      <c r="F61" s="73">
        <v>0</v>
      </c>
      <c r="G61" s="279"/>
    </row>
    <row r="62" spans="1:7" ht="15" customHeight="1" x14ac:dyDescent="0.35">
      <c r="A62" s="259"/>
      <c r="B62" s="86" t="s">
        <v>330</v>
      </c>
      <c r="C62" s="429" t="s">
        <v>347</v>
      </c>
      <c r="D62" s="446">
        <v>0</v>
      </c>
      <c r="E62" s="26"/>
      <c r="F62" s="9">
        <f>IF(ISNUMBER(D62),-12.5*D62,"")</f>
        <v>0</v>
      </c>
      <c r="G62" s="279"/>
    </row>
    <row r="63" spans="1:7" ht="15" customHeight="1" x14ac:dyDescent="0.35">
      <c r="A63" s="259"/>
      <c r="B63" s="60"/>
      <c r="C63" s="432" t="s">
        <v>348</v>
      </c>
      <c r="D63" s="446">
        <v>37747</v>
      </c>
      <c r="E63" s="28"/>
      <c r="F63" s="32">
        <v>0</v>
      </c>
      <c r="G63" s="279"/>
    </row>
    <row r="64" spans="1:7" ht="15" customHeight="1" x14ac:dyDescent="0.35">
      <c r="A64" s="259"/>
      <c r="B64" s="53"/>
      <c r="C64" s="654" t="s">
        <v>349</v>
      </c>
      <c r="D64" s="447">
        <f>IF(AND(ISNUMBER(D33),ISNUMBER(D65)),D33-D65,"")</f>
        <v>376871</v>
      </c>
      <c r="E64" s="70">
        <f>IF(AND(ISNUMBER(E33),ISNUMBER(E65)),E33-E65,"")</f>
        <v>339124</v>
      </c>
      <c r="F64" s="70">
        <f>IF(AND(ISNUMBER(F59),ISNUMBER(F61)),SUM(F59,F61:F63),"")</f>
        <v>0</v>
      </c>
      <c r="G64" s="279"/>
    </row>
    <row r="65" spans="1:7" ht="15" customHeight="1" x14ac:dyDescent="0.35">
      <c r="A65" s="259"/>
      <c r="B65" s="62"/>
      <c r="C65" s="433" t="s">
        <v>350</v>
      </c>
      <c r="D65" s="448">
        <f>IF(AND(ISNUMBER(D59),ISNUMBER(D60),ISNUMBER(D61)),D59-SUM(D60:D63),"")</f>
        <v>2523675</v>
      </c>
      <c r="E65" s="66">
        <f>IF(AND(ISNUMBER(E59),ISNUMBER(E60),ISNUMBER(E61)),E59-SUM(E60:E61),"")</f>
        <v>2561422</v>
      </c>
      <c r="F65" s="20"/>
      <c r="G65" s="279"/>
    </row>
    <row r="66" spans="1:7" ht="15" customHeight="1" x14ac:dyDescent="0.35">
      <c r="A66" s="259"/>
      <c r="B66" s="63"/>
      <c r="C66" s="63"/>
      <c r="D66" s="130"/>
      <c r="E66" s="130"/>
      <c r="F66" s="130"/>
      <c r="G66" s="279"/>
    </row>
    <row r="67" spans="1:7" ht="60" customHeight="1" x14ac:dyDescent="0.35">
      <c r="A67" s="601" t="s">
        <v>351</v>
      </c>
      <c r="B67" s="1276"/>
      <c r="C67" s="1276"/>
      <c r="D67" s="1276"/>
      <c r="E67" s="1276"/>
      <c r="F67" s="1276"/>
      <c r="G67" s="1773"/>
    </row>
    <row r="68" spans="1:7" ht="30" customHeight="1" x14ac:dyDescent="0.35">
      <c r="A68" s="1211" t="s">
        <v>352</v>
      </c>
      <c r="B68" s="59"/>
      <c r="C68" s="59"/>
      <c r="D68" s="59"/>
      <c r="E68" s="59"/>
      <c r="F68" s="59"/>
      <c r="G68" s="1774"/>
    </row>
    <row r="69" spans="1:7" ht="30" customHeight="1" x14ac:dyDescent="0.35">
      <c r="A69" s="259"/>
      <c r="B69" s="1384" t="s">
        <v>277</v>
      </c>
      <c r="C69" s="656" t="s">
        <v>278</v>
      </c>
      <c r="D69" s="957" t="s">
        <v>279</v>
      </c>
      <c r="E69" s="656" t="s">
        <v>131</v>
      </c>
      <c r="F69" s="59"/>
      <c r="G69" s="279"/>
    </row>
    <row r="70" spans="1:7" ht="15" customHeight="1" x14ac:dyDescent="0.35">
      <c r="A70" s="259"/>
      <c r="B70" s="1778" t="s">
        <v>353</v>
      </c>
      <c r="C70" s="1779" t="s">
        <v>354</v>
      </c>
      <c r="D70" s="1780">
        <v>0</v>
      </c>
      <c r="E70" s="1131">
        <v>0</v>
      </c>
      <c r="F70" s="59"/>
      <c r="G70" s="279"/>
    </row>
    <row r="71" spans="1:7" ht="15" customHeight="1" x14ac:dyDescent="0.35">
      <c r="A71" s="259"/>
      <c r="B71" s="1380" t="s">
        <v>306</v>
      </c>
      <c r="C71" s="434" t="s">
        <v>355</v>
      </c>
      <c r="D71" s="371">
        <v>57938</v>
      </c>
      <c r="E71" s="54">
        <v>57938</v>
      </c>
      <c r="F71" s="59"/>
      <c r="G71" s="279"/>
    </row>
    <row r="72" spans="1:7" ht="15" customHeight="1" x14ac:dyDescent="0.35">
      <c r="A72" s="259"/>
      <c r="B72" s="62"/>
      <c r="C72" s="437" t="s">
        <v>356</v>
      </c>
      <c r="D72" s="448">
        <f>IF(AND(ISNUMBER(D70),ISNUMBER(D71)),SUM(D70:D71),"")</f>
        <v>57938</v>
      </c>
      <c r="E72" s="66">
        <f>IF(AND(ISNUMBER(E70),ISNUMBER(E71)),SUM(E70:E71),"")</f>
        <v>57938</v>
      </c>
      <c r="F72" s="59"/>
      <c r="G72" s="279"/>
    </row>
    <row r="73" spans="1:7" ht="60" customHeight="1" x14ac:dyDescent="0.35">
      <c r="A73" s="260" t="s">
        <v>357</v>
      </c>
      <c r="B73" s="59"/>
      <c r="C73" s="59"/>
      <c r="D73" s="59"/>
      <c r="E73" s="59"/>
      <c r="F73" s="59"/>
      <c r="G73" s="1774"/>
    </row>
    <row r="74" spans="1:7" ht="30" customHeight="1" x14ac:dyDescent="0.35">
      <c r="A74" s="259"/>
      <c r="B74" s="1384" t="s">
        <v>277</v>
      </c>
      <c r="C74" s="656" t="s">
        <v>278</v>
      </c>
      <c r="D74" s="957" t="s">
        <v>279</v>
      </c>
      <c r="E74" s="656" t="s">
        <v>131</v>
      </c>
      <c r="F74" s="1781" t="s">
        <v>310</v>
      </c>
      <c r="G74" s="279"/>
    </row>
    <row r="75" spans="1:7" ht="15" customHeight="1" x14ac:dyDescent="0.35">
      <c r="A75" s="259"/>
      <c r="B75" s="1782" t="s">
        <v>358</v>
      </c>
      <c r="C75" s="1783" t="s">
        <v>359</v>
      </c>
      <c r="D75" s="1780">
        <v>0</v>
      </c>
      <c r="E75" s="1131">
        <v>0</v>
      </c>
      <c r="F75" s="1131">
        <v>0</v>
      </c>
      <c r="G75" s="279"/>
    </row>
    <row r="76" spans="1:7" ht="15" customHeight="1" x14ac:dyDescent="0.35">
      <c r="A76" s="259"/>
      <c r="B76" s="289" t="s">
        <v>316</v>
      </c>
      <c r="C76" s="202" t="s">
        <v>360</v>
      </c>
      <c r="D76" s="371">
        <v>0</v>
      </c>
      <c r="E76" s="54">
        <v>0</v>
      </c>
      <c r="F76" s="54">
        <v>0</v>
      </c>
      <c r="G76" s="279"/>
    </row>
    <row r="77" spans="1:7" ht="30" customHeight="1" x14ac:dyDescent="0.35">
      <c r="A77" s="259"/>
      <c r="B77" s="289" t="s">
        <v>337</v>
      </c>
      <c r="C77" s="1341" t="s">
        <v>338</v>
      </c>
      <c r="D77" s="371">
        <v>0</v>
      </c>
      <c r="E77" s="54">
        <v>0</v>
      </c>
      <c r="F77" s="54">
        <v>0</v>
      </c>
      <c r="G77" s="279"/>
    </row>
    <row r="78" spans="1:7" ht="30" customHeight="1" x14ac:dyDescent="0.35">
      <c r="A78" s="259"/>
      <c r="B78" s="289" t="s">
        <v>339</v>
      </c>
      <c r="C78" s="1341" t="s">
        <v>340</v>
      </c>
      <c r="D78" s="371">
        <v>0</v>
      </c>
      <c r="E78" s="54">
        <v>0</v>
      </c>
      <c r="F78" s="54">
        <v>0</v>
      </c>
      <c r="G78" s="279"/>
    </row>
    <row r="79" spans="1:7" ht="15" customHeight="1" x14ac:dyDescent="0.35">
      <c r="A79" s="259"/>
      <c r="B79" s="53"/>
      <c r="C79" s="287" t="s">
        <v>361</v>
      </c>
      <c r="D79" s="446">
        <v>0</v>
      </c>
      <c r="E79" s="28"/>
      <c r="F79" s="108">
        <v>0</v>
      </c>
      <c r="G79" s="279"/>
    </row>
    <row r="80" spans="1:7" ht="15" customHeight="1" x14ac:dyDescent="0.35">
      <c r="A80" s="259"/>
      <c r="B80" s="60"/>
      <c r="C80" s="69" t="s">
        <v>362</v>
      </c>
      <c r="D80" s="110">
        <f>IF(AND(ISNUMBER(D104),ISNUMBER(D105)),D104-D105,"")</f>
        <v>0</v>
      </c>
      <c r="E80" s="233">
        <f>IF(AND(ISNUMBER(E104),ISNUMBER(E105)),E104-E105,"")</f>
        <v>0</v>
      </c>
      <c r="F80" s="28"/>
      <c r="G80" s="279"/>
    </row>
    <row r="81" spans="1:7" ht="15" customHeight="1" x14ac:dyDescent="0.35">
      <c r="A81" s="259"/>
      <c r="B81" s="60"/>
      <c r="C81" s="655" t="s">
        <v>363</v>
      </c>
      <c r="D81" s="447">
        <f>IF(AND(ISNUMBER(D75),ISNUMBER(D76),ISNUMBER(D77),ISNUMBER(D78),ISNUMBER(D80)),SUM(D75:D80),"")</f>
        <v>0</v>
      </c>
      <c r="E81" s="70">
        <f>IF(AND(ISNUMBER(E75),ISNUMBER(E76),ISNUMBER(E77),ISNUMBER(E78),ISNUMBER(E80)),SUM(E75:E78,E80),"")</f>
        <v>0</v>
      </c>
      <c r="F81" s="70">
        <f>IF(AND(ISNUMBER(F75),ISNUMBER(F76),ISNUMBER(F77),ISNUMBER(F78)),SUM(F75:F79),"")</f>
        <v>0</v>
      </c>
      <c r="G81" s="279"/>
    </row>
    <row r="82" spans="1:7" ht="15" customHeight="1" x14ac:dyDescent="0.35">
      <c r="A82" s="259"/>
      <c r="B82" s="60"/>
      <c r="C82" s="435" t="s">
        <v>364</v>
      </c>
      <c r="D82" s="449">
        <f>IF(AND(ISNUMBER(D72),ISNUMBER(D81)),MIN(D72,D81),"")</f>
        <v>0</v>
      </c>
      <c r="E82" s="77">
        <f>IF(AND(ISNUMBER(E72),ISNUMBER(E81)),MIN(E72,E81),"")</f>
        <v>0</v>
      </c>
      <c r="F82" s="28"/>
      <c r="G82" s="279"/>
    </row>
    <row r="83" spans="1:7" ht="15" customHeight="1" x14ac:dyDescent="0.35">
      <c r="A83" s="259"/>
      <c r="B83" s="62"/>
      <c r="C83" s="433" t="s">
        <v>365</v>
      </c>
      <c r="D83" s="448">
        <f>IF(AND(ISNUMBER(D72),ISNUMBER(D82)),D72-D82,"")</f>
        <v>57938</v>
      </c>
      <c r="E83" s="66">
        <f>IF(AND(ISNUMBER(E72),ISNUMBER(E82)),E72-E82,"")</f>
        <v>57938</v>
      </c>
      <c r="F83" s="20"/>
      <c r="G83" s="279"/>
    </row>
    <row r="84" spans="1:7" ht="15" customHeight="1" x14ac:dyDescent="0.35">
      <c r="A84" s="259"/>
      <c r="B84" s="63"/>
      <c r="C84" s="64"/>
      <c r="D84" s="130"/>
      <c r="E84" s="130"/>
      <c r="F84" s="130"/>
      <c r="G84" s="279"/>
    </row>
    <row r="85" spans="1:7" ht="60" customHeight="1" x14ac:dyDescent="0.35">
      <c r="A85" s="601" t="s">
        <v>366</v>
      </c>
      <c r="B85" s="1276"/>
      <c r="C85" s="1276"/>
      <c r="D85" s="1276"/>
      <c r="E85" s="1276"/>
      <c r="F85" s="1276"/>
      <c r="G85" s="1773"/>
    </row>
    <row r="86" spans="1:7" ht="30" customHeight="1" x14ac:dyDescent="0.35">
      <c r="A86" s="1211" t="s">
        <v>367</v>
      </c>
      <c r="B86" s="59"/>
      <c r="C86" s="59"/>
      <c r="D86" s="59"/>
      <c r="E86" s="59"/>
      <c r="F86" s="59"/>
      <c r="G86" s="1774"/>
    </row>
    <row r="87" spans="1:7" ht="30" customHeight="1" x14ac:dyDescent="0.35">
      <c r="A87" s="259"/>
      <c r="B87" s="1384" t="s">
        <v>277</v>
      </c>
      <c r="C87" s="656" t="s">
        <v>278</v>
      </c>
      <c r="D87" s="957" t="s">
        <v>279</v>
      </c>
      <c r="E87" s="656" t="s">
        <v>131</v>
      </c>
      <c r="F87" s="59"/>
      <c r="G87" s="279"/>
    </row>
    <row r="88" spans="1:7" ht="15" customHeight="1" x14ac:dyDescent="0.35">
      <c r="A88" s="259"/>
      <c r="B88" s="289" t="s">
        <v>368</v>
      </c>
      <c r="C88" s="1341" t="s">
        <v>369</v>
      </c>
      <c r="D88" s="371">
        <v>392990</v>
      </c>
      <c r="E88" s="54">
        <v>392990</v>
      </c>
      <c r="F88" s="59"/>
      <c r="G88" s="279"/>
    </row>
    <row r="89" spans="1:7" ht="15" customHeight="1" x14ac:dyDescent="0.35">
      <c r="A89" s="259"/>
      <c r="B89" s="289" t="s">
        <v>306</v>
      </c>
      <c r="C89" s="1341" t="s">
        <v>370</v>
      </c>
      <c r="D89" s="371">
        <v>77251</v>
      </c>
      <c r="E89" s="54">
        <v>77251</v>
      </c>
      <c r="F89" s="59"/>
      <c r="G89" s="279"/>
    </row>
    <row r="90" spans="1:7" ht="15" customHeight="1" x14ac:dyDescent="0.35">
      <c r="A90" s="259"/>
      <c r="B90" s="25"/>
      <c r="C90" s="67" t="s">
        <v>371</v>
      </c>
      <c r="D90" s="97">
        <f>IF(ISNUMBER($D23),$D23,"")</f>
        <v>11304</v>
      </c>
      <c r="E90" s="9">
        <f>IF(ISNUMBER($D23),$D23,"")</f>
        <v>11304</v>
      </c>
      <c r="F90" s="59"/>
      <c r="G90" s="279"/>
    </row>
    <row r="91" spans="1:7" ht="15" customHeight="1" x14ac:dyDescent="0.35">
      <c r="A91" s="259"/>
      <c r="B91" s="75"/>
      <c r="C91" s="76" t="s">
        <v>372</v>
      </c>
      <c r="D91" s="446">
        <v>0</v>
      </c>
      <c r="E91" s="32">
        <v>0</v>
      </c>
      <c r="G91" s="279"/>
    </row>
    <row r="92" spans="1:7" ht="15" customHeight="1" x14ac:dyDescent="0.35">
      <c r="A92" s="259"/>
      <c r="B92" s="62"/>
      <c r="C92" s="433" t="s">
        <v>373</v>
      </c>
      <c r="D92" s="448">
        <f>IF(AND(ISNUMBER(D88),ISNUMBER(D89),ISNUMBER(D90)),SUM(D88:D91),"")</f>
        <v>481545</v>
      </c>
      <c r="E92" s="66">
        <f>IF(AND(ISNUMBER(E88),ISNUMBER(E89),ISNUMBER(E90)),SUM(E88:E91),"")</f>
        <v>481545</v>
      </c>
      <c r="F92" s="59"/>
      <c r="G92" s="279"/>
    </row>
    <row r="93" spans="1:7" ht="60" customHeight="1" x14ac:dyDescent="0.35">
      <c r="A93" s="260" t="s">
        <v>374</v>
      </c>
      <c r="B93" s="59"/>
      <c r="C93" s="59"/>
      <c r="D93" s="59"/>
      <c r="E93" s="59"/>
      <c r="F93" s="59"/>
      <c r="G93" s="1774"/>
    </row>
    <row r="94" spans="1:7" ht="30" customHeight="1" x14ac:dyDescent="0.35">
      <c r="A94" s="259"/>
      <c r="B94" s="1384" t="s">
        <v>277</v>
      </c>
      <c r="C94" s="656" t="s">
        <v>278</v>
      </c>
      <c r="D94" s="957" t="s">
        <v>279</v>
      </c>
      <c r="E94" s="656" t="s">
        <v>131</v>
      </c>
      <c r="F94" s="1781" t="s">
        <v>310</v>
      </c>
      <c r="G94" s="279"/>
    </row>
    <row r="95" spans="1:7" ht="15" customHeight="1" x14ac:dyDescent="0.35">
      <c r="A95" s="259"/>
      <c r="B95" s="1782" t="s">
        <v>358</v>
      </c>
      <c r="C95" s="1783" t="s">
        <v>375</v>
      </c>
      <c r="D95" s="1120">
        <v>0</v>
      </c>
      <c r="E95" s="874">
        <v>0</v>
      </c>
      <c r="F95" s="872">
        <v>0</v>
      </c>
      <c r="G95" s="279"/>
    </row>
    <row r="96" spans="1:7" ht="15" customHeight="1" x14ac:dyDescent="0.35">
      <c r="A96" s="259"/>
      <c r="B96" s="289" t="s">
        <v>316</v>
      </c>
      <c r="C96" s="202" t="s">
        <v>376</v>
      </c>
      <c r="D96" s="33">
        <v>0</v>
      </c>
      <c r="E96" s="23">
        <v>0</v>
      </c>
      <c r="F96" s="34">
        <v>0</v>
      </c>
      <c r="G96" s="279"/>
    </row>
    <row r="97" spans="1:7" ht="15" customHeight="1" x14ac:dyDescent="0.35">
      <c r="A97" s="259"/>
      <c r="B97" s="289" t="s">
        <v>316</v>
      </c>
      <c r="C97" s="254" t="s">
        <v>377</v>
      </c>
      <c r="D97" s="97">
        <f>IF('Supervisory information'!$C$23="Yes", IF(ISNUMBER('TLAC holdings'!D4), 'TLAC holdings'!D4, ""), 0)</f>
        <v>0</v>
      </c>
      <c r="E97" s="30">
        <f>IF('Supervisory information'!$C$23="Yes", IF(ISNUMBER('TLAC holdings'!E4), 'TLAC holdings'!E4, ""), 0)</f>
        <v>0</v>
      </c>
      <c r="F97" s="9">
        <f>IF('Supervisory information'!$C$23="Yes", IF(ISNUMBER('TLAC holdings'!F4), 'TLAC holdings'!F4, ""), 0)</f>
        <v>0</v>
      </c>
      <c r="G97" s="279"/>
    </row>
    <row r="98" spans="1:7" ht="30" customHeight="1" x14ac:dyDescent="0.35">
      <c r="A98" s="259"/>
      <c r="B98" s="289" t="s">
        <v>337</v>
      </c>
      <c r="C98" s="67" t="s">
        <v>378</v>
      </c>
      <c r="D98" s="33">
        <v>0</v>
      </c>
      <c r="E98" s="23">
        <v>0</v>
      </c>
      <c r="F98" s="34">
        <v>0</v>
      </c>
      <c r="G98" s="279"/>
    </row>
    <row r="99" spans="1:7" ht="45" customHeight="1" x14ac:dyDescent="0.35">
      <c r="A99" s="259"/>
      <c r="B99" s="199" t="s">
        <v>379</v>
      </c>
      <c r="C99" s="1381" t="s">
        <v>380</v>
      </c>
      <c r="D99" s="97">
        <f>IF('Supervisory information'!$C$23="Yes", IF(ISNUMBER('TLAC holdings'!D5), 'TLAC holdings'!D5, ""), 0)</f>
        <v>0</v>
      </c>
      <c r="E99" s="30">
        <f>IF('Supervisory information'!$C$23="Yes", IF(ISNUMBER('TLAC holdings'!E5), 'TLAC holdings'!E5, ""), 0)</f>
        <v>0</v>
      </c>
      <c r="F99" s="9">
        <f>IF('Supervisory information'!$C$23="Yes", IF(ISNUMBER('TLAC holdings'!F5), 'TLAC holdings'!F5, ""), 0)</f>
        <v>0</v>
      </c>
      <c r="G99" s="279"/>
    </row>
    <row r="100" spans="1:7" ht="30" customHeight="1" x14ac:dyDescent="0.35">
      <c r="A100" s="259"/>
      <c r="B100" s="199" t="s">
        <v>381</v>
      </c>
      <c r="C100" s="1341" t="s">
        <v>382</v>
      </c>
      <c r="D100" s="97">
        <f>IF('Supervisory information'!$C$23="Yes", IF(ISNUMBER('TLAC holdings'!D6), 'TLAC holdings'!D6, ""), 0)</f>
        <v>0</v>
      </c>
      <c r="E100" s="30">
        <f>IF('Supervisory information'!$C$23="Yes", IF(ISNUMBER('TLAC holdings'!E6), 'TLAC holdings'!E6, ""), 0)</f>
        <v>0</v>
      </c>
      <c r="F100" s="9">
        <f>IF('Supervisory information'!$C$23="Yes", IF(ISNUMBER('TLAC holdings'!F6), 'TLAC holdings'!F6, ""), 0)</f>
        <v>0</v>
      </c>
      <c r="G100" s="279"/>
    </row>
    <row r="101" spans="1:7" ht="30" customHeight="1" x14ac:dyDescent="0.35">
      <c r="A101" s="259"/>
      <c r="B101" s="289" t="s">
        <v>339</v>
      </c>
      <c r="C101" s="1341" t="s">
        <v>340</v>
      </c>
      <c r="D101" s="33">
        <v>0</v>
      </c>
      <c r="E101" s="23">
        <v>0</v>
      </c>
      <c r="F101" s="34">
        <v>0</v>
      </c>
      <c r="G101" s="279"/>
    </row>
    <row r="102" spans="1:7" ht="45" customHeight="1" x14ac:dyDescent="0.35">
      <c r="A102" s="259"/>
      <c r="B102" s="289" t="s">
        <v>339</v>
      </c>
      <c r="C102" s="1341" t="s">
        <v>383</v>
      </c>
      <c r="D102" s="110">
        <f>IF('Supervisory information'!$C$23="Yes", IF(ISNUMBER('TLAC holdings'!D7), 'TLAC holdings'!D7, ""), 0)</f>
        <v>0</v>
      </c>
      <c r="E102" s="30">
        <f>IF('Supervisory information'!$C$23="Yes", IF(ISNUMBER('TLAC holdings'!E7), 'TLAC holdings'!E7, ""), 0)</f>
        <v>0</v>
      </c>
      <c r="F102" s="9">
        <f>IF('Supervisory information'!$C$23="Yes", IF(ISNUMBER('TLAC holdings'!F7), 'TLAC holdings'!F7, ""), 0)</f>
        <v>0</v>
      </c>
      <c r="G102" s="279"/>
    </row>
    <row r="103" spans="1:7" ht="15" customHeight="1" x14ac:dyDescent="0.35">
      <c r="A103" s="259"/>
      <c r="B103" s="60"/>
      <c r="C103" s="657" t="s">
        <v>384</v>
      </c>
      <c r="D103" s="446">
        <v>0</v>
      </c>
      <c r="E103" s="27"/>
      <c r="F103" s="54">
        <v>0</v>
      </c>
      <c r="G103" s="279"/>
    </row>
    <row r="104" spans="1:7" ht="15" customHeight="1" x14ac:dyDescent="0.35">
      <c r="A104" s="259"/>
      <c r="B104" s="60"/>
      <c r="C104" s="655" t="s">
        <v>385</v>
      </c>
      <c r="D104" s="447">
        <f>IF(COUNT(D95:D102)=ROWS(D95:D102), SUM(D95:D103), "")</f>
        <v>0</v>
      </c>
      <c r="E104" s="70">
        <f>IF(COUNT(E95:E102)=ROWS(E95:E102),SUM(E95:E102),"")</f>
        <v>0</v>
      </c>
      <c r="F104" s="70">
        <f>IF(COUNT(F95:F103)=ROWS(F95:F103), SUM(F95:F103), "")</f>
        <v>0</v>
      </c>
      <c r="G104" s="279"/>
    </row>
    <row r="105" spans="1:7" ht="15" customHeight="1" x14ac:dyDescent="0.35">
      <c r="A105" s="259"/>
      <c r="B105" s="60"/>
      <c r="C105" s="436" t="s">
        <v>386</v>
      </c>
      <c r="D105" s="449">
        <f>IF(AND(ISNUMBER(D92),ISNUMBER(D104)),MIN(D92,D104),"")</f>
        <v>0</v>
      </c>
      <c r="E105" s="77">
        <f>IF(AND(ISNUMBER(E92),ISNUMBER(E104)),MIN(E92,E104),"")</f>
        <v>0</v>
      </c>
      <c r="F105" s="28"/>
      <c r="G105" s="279"/>
    </row>
    <row r="106" spans="1:7" ht="15" customHeight="1" x14ac:dyDescent="0.35">
      <c r="A106" s="259"/>
      <c r="B106" s="62"/>
      <c r="C106" s="437" t="s">
        <v>387</v>
      </c>
      <c r="D106" s="448">
        <f>IF(AND(ISNUMBER(D92),ISNUMBER(D105)),D92-D105,"")</f>
        <v>481545</v>
      </c>
      <c r="E106" s="66">
        <f>IF(AND(ISNUMBER(E92),ISNUMBER(E105)),E92-E105,"")</f>
        <v>481545</v>
      </c>
      <c r="F106" s="20"/>
      <c r="G106" s="279"/>
    </row>
    <row r="107" spans="1:7" ht="15" customHeight="1" x14ac:dyDescent="0.35">
      <c r="A107" s="259"/>
      <c r="B107" s="63"/>
      <c r="C107" s="64"/>
      <c r="D107" s="130"/>
      <c r="E107" s="130"/>
      <c r="F107" s="130"/>
      <c r="G107" s="279"/>
    </row>
    <row r="108" spans="1:7" ht="60" customHeight="1" x14ac:dyDescent="0.35">
      <c r="A108" s="2643" t="s">
        <v>388</v>
      </c>
      <c r="B108" s="2643"/>
      <c r="C108" s="2643"/>
      <c r="D108" s="2643"/>
      <c r="E108" s="2643"/>
      <c r="F108" s="2643"/>
      <c r="G108" s="1773"/>
    </row>
    <row r="109" spans="1:7" ht="30" customHeight="1" x14ac:dyDescent="0.35">
      <c r="A109" s="259"/>
      <c r="B109" s="1384" t="s">
        <v>277</v>
      </c>
      <c r="C109" s="1746"/>
      <c r="D109" s="957" t="s">
        <v>279</v>
      </c>
      <c r="E109" s="656" t="s">
        <v>131</v>
      </c>
      <c r="G109" s="279"/>
    </row>
    <row r="110" spans="1:7" ht="15" customHeight="1" x14ac:dyDescent="0.35">
      <c r="A110" s="259"/>
      <c r="B110" s="1784"/>
      <c r="C110" s="1785" t="s">
        <v>389</v>
      </c>
      <c r="D110" s="1255"/>
      <c r="E110" s="471"/>
      <c r="G110" s="279"/>
    </row>
    <row r="111" spans="1:7" ht="15" customHeight="1" x14ac:dyDescent="0.35">
      <c r="A111" s="259"/>
      <c r="B111" s="53"/>
      <c r="C111" s="438" t="s">
        <v>390</v>
      </c>
      <c r="D111" s="292">
        <v>13521</v>
      </c>
      <c r="E111" s="34">
        <v>13521</v>
      </c>
      <c r="G111" s="279"/>
    </row>
    <row r="112" spans="1:7" ht="15" customHeight="1" x14ac:dyDescent="0.35">
      <c r="A112" s="259"/>
      <c r="B112" s="53"/>
      <c r="C112" s="438" t="s">
        <v>391</v>
      </c>
      <c r="D112" s="292">
        <v>0</v>
      </c>
      <c r="E112" s="34">
        <v>0</v>
      </c>
      <c r="G112" s="279"/>
    </row>
    <row r="113" spans="1:7" ht="15" customHeight="1" x14ac:dyDescent="0.35">
      <c r="A113" s="259"/>
      <c r="B113" s="60"/>
      <c r="C113" s="438" t="s">
        <v>392</v>
      </c>
      <c r="D113" s="450">
        <v>0</v>
      </c>
      <c r="E113" s="54">
        <v>0</v>
      </c>
      <c r="G113" s="279"/>
    </row>
    <row r="114" spans="1:7" ht="15" customHeight="1" x14ac:dyDescent="0.35">
      <c r="A114" s="259"/>
      <c r="B114" s="53"/>
      <c r="C114" s="439" t="s">
        <v>393</v>
      </c>
      <c r="D114" s="33">
        <v>0</v>
      </c>
      <c r="E114" s="34">
        <v>0</v>
      </c>
      <c r="G114" s="279"/>
    </row>
    <row r="115" spans="1:7" ht="15" customHeight="1" x14ac:dyDescent="0.35">
      <c r="A115" s="259"/>
      <c r="B115" s="201" t="s">
        <v>394</v>
      </c>
      <c r="C115" s="440" t="s">
        <v>395</v>
      </c>
      <c r="D115" s="33">
        <v>0</v>
      </c>
      <c r="E115" s="34">
        <v>0</v>
      </c>
      <c r="G115" s="279"/>
    </row>
    <row r="116" spans="1:7" ht="15" customHeight="1" x14ac:dyDescent="0.35">
      <c r="A116" s="259"/>
      <c r="B116" s="62"/>
      <c r="C116" s="441" t="str">
        <f>CONCATENATE("Check: row ", ROW(C115), " ≤ row ", ROW(C114))</f>
        <v>Check: row 115 ≤ row 114</v>
      </c>
      <c r="D116" s="360" t="str">
        <f>IF(AND(ISNUMBER(D114),ISNUMBER(D115)), IF(D115&lt;=SUM(D114), "Pass"," Fail"), "")</f>
        <v>Pass</v>
      </c>
      <c r="E116" s="353" t="str">
        <f>IF(AND(ISNUMBER(E114),ISNUMBER(E115)), IF(E115&lt;=SUM(E114), "Pass"," Fail"), "")</f>
        <v>Pass</v>
      </c>
      <c r="G116" s="279"/>
    </row>
    <row r="117" spans="1:7" ht="15" customHeight="1" x14ac:dyDescent="0.35">
      <c r="A117"/>
      <c r="B117" s="1784"/>
      <c r="C117" s="1785" t="s">
        <v>396</v>
      </c>
      <c r="D117" s="1255"/>
      <c r="E117" s="471"/>
      <c r="F117" s="59"/>
      <c r="G117" s="1774"/>
    </row>
    <row r="118" spans="1:7" ht="15" customHeight="1" x14ac:dyDescent="0.35">
      <c r="A118"/>
      <c r="B118" s="53"/>
      <c r="C118" s="438" t="s">
        <v>390</v>
      </c>
      <c r="D118" s="292">
        <v>50027</v>
      </c>
      <c r="E118" s="34">
        <v>50027</v>
      </c>
      <c r="F118" s="59"/>
      <c r="G118" s="1774"/>
    </row>
    <row r="119" spans="1:7" ht="15" customHeight="1" x14ac:dyDescent="0.35">
      <c r="A119"/>
      <c r="B119" s="53"/>
      <c r="C119" s="438" t="s">
        <v>391</v>
      </c>
      <c r="D119" s="292">
        <v>0</v>
      </c>
      <c r="E119" s="34">
        <v>0</v>
      </c>
      <c r="F119" s="59"/>
      <c r="G119" s="1774"/>
    </row>
    <row r="120" spans="1:7" ht="15" customHeight="1" x14ac:dyDescent="0.35">
      <c r="A120"/>
      <c r="B120" s="60"/>
      <c r="C120" s="438" t="s">
        <v>392</v>
      </c>
      <c r="D120" s="450">
        <v>0</v>
      </c>
      <c r="E120" s="54">
        <v>0</v>
      </c>
      <c r="F120" s="59"/>
      <c r="G120" s="1774"/>
    </row>
    <row r="121" spans="1:7" ht="15" customHeight="1" x14ac:dyDescent="0.35">
      <c r="A121"/>
      <c r="B121" s="53"/>
      <c r="C121" s="439" t="s">
        <v>393</v>
      </c>
      <c r="D121" s="33">
        <v>0</v>
      </c>
      <c r="E121" s="34">
        <v>0</v>
      </c>
      <c r="F121" s="59"/>
      <c r="G121" s="1774"/>
    </row>
    <row r="122" spans="1:7" ht="15" customHeight="1" x14ac:dyDescent="0.35">
      <c r="A122"/>
      <c r="B122" s="201" t="s">
        <v>394</v>
      </c>
      <c r="C122" s="440" t="s">
        <v>395</v>
      </c>
      <c r="D122" s="33">
        <v>0</v>
      </c>
      <c r="E122" s="34">
        <v>0</v>
      </c>
      <c r="F122" s="59"/>
      <c r="G122" s="1774"/>
    </row>
    <row r="123" spans="1:7" ht="15" customHeight="1" x14ac:dyDescent="0.35">
      <c r="A123"/>
      <c r="B123" s="62"/>
      <c r="C123" s="441" t="str">
        <f>CONCATENATE("Check: row ", ROW(C122), " ≤ row ", ROW(C121))</f>
        <v>Check: row 122 ≤ row 121</v>
      </c>
      <c r="D123" s="360" t="str">
        <f>IF(AND(ISNUMBER(D121), ISNUMBER(D122)), IF(D122&lt;=SUM(D121), "Pass", "Fail"), "")</f>
        <v>Pass</v>
      </c>
      <c r="E123" s="353" t="str">
        <f>IF(AND(ISNUMBER(E121), ISNUMBER(E122)), IF(E122&lt;=SUM(E121), "Pass", "Fail"), "")</f>
        <v>Pass</v>
      </c>
      <c r="F123" s="59"/>
      <c r="G123" s="1774"/>
    </row>
    <row r="124" spans="1:7" ht="15" customHeight="1" x14ac:dyDescent="0.35">
      <c r="A124" s="729"/>
      <c r="B124" s="1786"/>
      <c r="C124" s="442"/>
      <c r="D124" s="451"/>
      <c r="E124" s="451"/>
      <c r="F124" s="451"/>
      <c r="G124" s="875"/>
    </row>
  </sheetData>
  <sheetProtection algorithmName="SHA-512" hashValue="s9op24Cz7CB0vFmb+/0yGhbLBGesW1CMAf/Jo7it+hE122LvgRAXPdF6kRMzLt13oFHWgi/engL3bDFXKAEJzg==" saltValue="l5P8818mmkw0aUCXhqKcPA==" spinCount="100000" sheet="1" objects="1" scenarios="1"/>
  <dataConsolidate/>
  <mergeCells count="1">
    <mergeCell ref="A108:F108"/>
  </mergeCells>
  <conditionalFormatting sqref="D8:D14 E12 E14 D16:D18 D20:D22 D31:E32 D36:E40 D44:E46 D47:D50 D52 D54:E54 D56:E58 D61:E61 D62:D63 D70:E71 D75:E78 D79 D88:E89 D91:E91 D103 D111:E115 D118:E122 D95:E102 F97">
    <cfRule type="cellIs" dxfId="10094" priority="17" stopIfTrue="1" operator="lessThan">
      <formula>0</formula>
    </cfRule>
  </conditionalFormatting>
  <conditionalFormatting sqref="A1:G1048576">
    <cfRule type="cellIs" dxfId="10093" priority="2" stopIfTrue="1" operator="equal">
      <formula>"Pass"</formula>
    </cfRule>
    <cfRule type="cellIs" dxfId="10092" priority="4"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5" man="1"/>
    <brk id="66" max="6" man="1"/>
    <brk id="92"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EC72"/>
  </sheetPr>
  <dimension ref="A1:G14"/>
  <sheetViews>
    <sheetView topLeftCell="D1" zoomScale="75" zoomScaleNormal="75" zoomScaleSheetLayoutView="85" workbookViewId="0">
      <pane ySplit="1" topLeftCell="A2" activePane="bottomLeft" state="frozen"/>
      <selection activeCell="P35" sqref="P35"/>
      <selection pane="bottomLeft" activeCell="D4" sqref="D4:F7"/>
    </sheetView>
  </sheetViews>
  <sheetFormatPr defaultColWidth="0" defaultRowHeight="0" customHeight="1" zeroHeight="1" x14ac:dyDescent="0.35"/>
  <cols>
    <col min="1" max="1" width="1.6640625" style="85" customWidth="1"/>
    <col min="2" max="2" width="14.6640625" style="2" customWidth="1"/>
    <col min="3" max="3" width="150.6640625" style="2" customWidth="1"/>
    <col min="4" max="6" width="18.6640625" style="2" customWidth="1"/>
    <col min="7" max="7" width="1.6640625" style="85" customWidth="1"/>
    <col min="8" max="16384" width="9.109375" hidden="1"/>
  </cols>
  <sheetData>
    <row r="1" spans="1:7" ht="30" customHeight="1" x14ac:dyDescent="0.65">
      <c r="A1" s="913" t="s">
        <v>397</v>
      </c>
      <c r="B1" s="884"/>
      <c r="C1" s="884"/>
      <c r="D1" s="739" t="str">
        <f>CONCATENATE("Reporting unit: ", 'General Info'!$C$7, " ", 'General Info'!$C$5)</f>
        <v>Reporting unit: 1000 eur</v>
      </c>
      <c r="E1" s="739"/>
      <c r="F1" s="739"/>
      <c r="G1" s="735"/>
    </row>
    <row r="2" spans="1:7" ht="45" customHeight="1" x14ac:dyDescent="0.45">
      <c r="A2" s="280"/>
      <c r="B2" s="153"/>
      <c r="C2" s="154"/>
      <c r="D2" s="154"/>
      <c r="E2" s="154"/>
      <c r="F2" s="154"/>
      <c r="G2" s="1007"/>
    </row>
    <row r="3" spans="1:7" ht="45" customHeight="1" x14ac:dyDescent="0.35">
      <c r="A3" s="259"/>
      <c r="B3" s="1384" t="s">
        <v>277</v>
      </c>
      <c r="C3" s="750" t="s">
        <v>278</v>
      </c>
      <c r="D3" s="1787" t="s">
        <v>130</v>
      </c>
      <c r="E3" s="1781" t="s">
        <v>131</v>
      </c>
      <c r="F3" s="1781" t="s">
        <v>310</v>
      </c>
      <c r="G3" s="279"/>
    </row>
    <row r="4" spans="1:7" ht="15" customHeight="1" x14ac:dyDescent="0.35">
      <c r="A4" s="259"/>
      <c r="B4" s="1788" t="s">
        <v>316</v>
      </c>
      <c r="C4" s="1789" t="s">
        <v>377</v>
      </c>
      <c r="D4" s="456">
        <v>0</v>
      </c>
      <c r="E4" s="155">
        <v>0</v>
      </c>
      <c r="F4" s="155">
        <v>0</v>
      </c>
      <c r="G4" s="279"/>
    </row>
    <row r="5" spans="1:7" ht="45" customHeight="1" x14ac:dyDescent="0.35">
      <c r="A5" s="259"/>
      <c r="B5" s="199" t="s">
        <v>379</v>
      </c>
      <c r="C5" s="454" t="s">
        <v>398</v>
      </c>
      <c r="D5" s="456">
        <v>0</v>
      </c>
      <c r="E5" s="155">
        <v>0</v>
      </c>
      <c r="F5" s="155">
        <v>0</v>
      </c>
      <c r="G5" s="279"/>
    </row>
    <row r="6" spans="1:7" ht="30" customHeight="1" x14ac:dyDescent="0.35">
      <c r="A6" s="259"/>
      <c r="B6" s="199" t="s">
        <v>381</v>
      </c>
      <c r="C6" s="454" t="s">
        <v>399</v>
      </c>
      <c r="D6" s="456">
        <v>0</v>
      </c>
      <c r="E6" s="155">
        <v>0</v>
      </c>
      <c r="F6" s="155">
        <v>0</v>
      </c>
      <c r="G6" s="279"/>
    </row>
    <row r="7" spans="1:7" ht="45" customHeight="1" x14ac:dyDescent="0.35">
      <c r="A7" s="259"/>
      <c r="B7" s="1790" t="s">
        <v>339</v>
      </c>
      <c r="C7" s="455" t="s">
        <v>383</v>
      </c>
      <c r="D7" s="457">
        <v>0</v>
      </c>
      <c r="E7" s="200">
        <v>0</v>
      </c>
      <c r="F7" s="200">
        <v>0</v>
      </c>
      <c r="G7" s="279"/>
    </row>
    <row r="8" spans="1:7" ht="15" customHeight="1" x14ac:dyDescent="0.35">
      <c r="A8" s="729"/>
      <c r="B8" s="1471"/>
      <c r="C8" s="1791"/>
      <c r="D8" s="1791"/>
      <c r="E8" s="1791"/>
      <c r="F8" s="1791"/>
      <c r="G8" s="875"/>
    </row>
    <row r="9" spans="1:7" ht="15" hidden="1" x14ac:dyDescent="0.35"/>
    <row r="10" spans="1:7" ht="15" hidden="1" x14ac:dyDescent="0.35"/>
    <row r="11" spans="1:7" ht="15" hidden="1" x14ac:dyDescent="0.35"/>
    <row r="12" spans="1:7" ht="15" hidden="1" x14ac:dyDescent="0.35"/>
    <row r="13" spans="1:7" ht="15" hidden="1" x14ac:dyDescent="0.35"/>
    <row r="14" spans="1:7" ht="15" hidden="1" x14ac:dyDescent="0.35"/>
  </sheetData>
  <sheetProtection algorithmName="SHA-512" hashValue="bVuenzP9es4VFjvkzLcP41M9ueoZYysUSsBTgn54HRc/ufwV5UFA1SvD+HQPLZqr1zwrgJ4968mbLiKrP48UJA==" saltValue="ipKd9r4UJS/WCalfmiwc4w==" spinCount="100000" sheet="1" objects="1" scenarios="1"/>
  <conditionalFormatting sqref="D4:F7">
    <cfRule type="cellIs" dxfId="10091"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EC72"/>
  </sheetPr>
  <dimension ref="A1:E38"/>
  <sheetViews>
    <sheetView zoomScale="75" zoomScaleNormal="75" zoomScaleSheetLayoutView="85" workbookViewId="0">
      <pane ySplit="1" topLeftCell="A26" activePane="bottomLeft" state="frozen"/>
      <selection activeCell="P35" sqref="P35"/>
      <selection pane="bottomLeft" activeCell="C29" sqref="C29:D30"/>
    </sheetView>
  </sheetViews>
  <sheetFormatPr defaultColWidth="0" defaultRowHeight="0" customHeight="1" zeroHeight="1" x14ac:dyDescent="0.35"/>
  <cols>
    <col min="1" max="1" width="1.6640625" style="85" customWidth="1"/>
    <col min="2" max="2" width="140.6640625" style="2" customWidth="1"/>
    <col min="3" max="4" width="20.6640625" style="2" customWidth="1"/>
    <col min="5" max="5" width="1.6640625" style="85" customWidth="1"/>
    <col min="6" max="16384" width="9.109375" hidden="1"/>
  </cols>
  <sheetData>
    <row r="1" spans="1:5" ht="30" customHeight="1" x14ac:dyDescent="0.65">
      <c r="A1" s="913" t="s">
        <v>400</v>
      </c>
      <c r="B1" s="884"/>
      <c r="C1" s="739" t="str">
        <f>CONCATENATE("Reporting unit: ", 'General Info'!$C$7, " ", 'General Info'!$C$5)</f>
        <v>Reporting unit: 1000 eur</v>
      </c>
      <c r="D1" s="884"/>
      <c r="E1" s="735"/>
    </row>
    <row r="2" spans="1:5" ht="45" customHeight="1" x14ac:dyDescent="0.45">
      <c r="A2" s="280" t="s">
        <v>401</v>
      </c>
      <c r="B2" s="153"/>
      <c r="C2" s="154"/>
      <c r="D2" s="154"/>
      <c r="E2" s="1007"/>
    </row>
    <row r="3" spans="1:5" ht="30" customHeight="1" x14ac:dyDescent="0.35">
      <c r="A3" s="259"/>
      <c r="B3" s="1792"/>
      <c r="C3" s="1507" t="s">
        <v>402</v>
      </c>
      <c r="D3" s="1116" t="s">
        <v>403</v>
      </c>
      <c r="E3" s="279"/>
    </row>
    <row r="4" spans="1:5" ht="15" customHeight="1" x14ac:dyDescent="0.35">
      <c r="A4" s="259"/>
      <c r="B4" s="901" t="s">
        <v>404</v>
      </c>
      <c r="C4" s="458">
        <v>0</v>
      </c>
      <c r="D4" s="138">
        <v>0</v>
      </c>
      <c r="E4" s="279"/>
    </row>
    <row r="5" spans="1:5" ht="15" customHeight="1" x14ac:dyDescent="0.35">
      <c r="A5" s="259"/>
      <c r="B5" s="901" t="s">
        <v>405</v>
      </c>
      <c r="C5" s="459">
        <f>IF(AND(ISNUMBER(C6), ISNUMBER(C7), ISNUMBER(C8)), SUM(C6:C8), "")</f>
        <v>0</v>
      </c>
      <c r="D5" s="139">
        <f>IF(AND(ISNUMBER(D6), ISNUMBER(D7), ISNUMBER(D8)), SUM(D6:D8), "")</f>
        <v>0</v>
      </c>
      <c r="E5" s="279"/>
    </row>
    <row r="6" spans="1:5" ht="15" customHeight="1" x14ac:dyDescent="0.35">
      <c r="A6" s="259"/>
      <c r="B6" s="902" t="s">
        <v>406</v>
      </c>
      <c r="C6" s="456">
        <v>0</v>
      </c>
      <c r="D6" s="155">
        <v>0</v>
      </c>
      <c r="E6" s="279"/>
    </row>
    <row r="7" spans="1:5" ht="15" customHeight="1" x14ac:dyDescent="0.35">
      <c r="A7" s="259"/>
      <c r="B7" s="902" t="s">
        <v>407</v>
      </c>
      <c r="C7" s="456">
        <v>0</v>
      </c>
      <c r="D7" s="155">
        <v>0</v>
      </c>
      <c r="E7" s="279"/>
    </row>
    <row r="8" spans="1:5" ht="15" customHeight="1" x14ac:dyDescent="0.35">
      <c r="A8" s="259"/>
      <c r="B8" s="902" t="s">
        <v>408</v>
      </c>
      <c r="C8" s="456">
        <v>0</v>
      </c>
      <c r="D8" s="155">
        <v>0</v>
      </c>
      <c r="E8" s="279"/>
    </row>
    <row r="9" spans="1:5" ht="15" customHeight="1" x14ac:dyDescent="0.35">
      <c r="A9" s="259"/>
      <c r="B9" s="1793" t="s">
        <v>409</v>
      </c>
      <c r="C9" s="1794">
        <f>IF(AND(ISNUMBER(C4), ISNUMBER(C5)), C4-C5, "")</f>
        <v>0</v>
      </c>
      <c r="D9" s="1795">
        <f>IF(AND(ISNUMBER(D4), ISNUMBER(D5)), D4-D5, "")</f>
        <v>0</v>
      </c>
      <c r="E9" s="279"/>
    </row>
    <row r="10" spans="1:5" ht="15" customHeight="1" x14ac:dyDescent="0.35">
      <c r="A10" s="729"/>
      <c r="B10" s="1471"/>
      <c r="C10" s="1794"/>
      <c r="D10" s="1794"/>
      <c r="E10" s="875"/>
    </row>
    <row r="11" spans="1:5" ht="45" customHeight="1" x14ac:dyDescent="0.45">
      <c r="A11" s="280" t="s">
        <v>410</v>
      </c>
      <c r="B11" s="153"/>
      <c r="C11" s="154"/>
      <c r="D11" s="154"/>
      <c r="E11" s="1007"/>
    </row>
    <row r="12" spans="1:5" ht="30" customHeight="1" x14ac:dyDescent="0.35">
      <c r="A12" s="259"/>
      <c r="B12" s="1792"/>
      <c r="C12" s="1507" t="s">
        <v>402</v>
      </c>
      <c r="D12" s="1116" t="s">
        <v>403</v>
      </c>
      <c r="E12" s="279"/>
    </row>
    <row r="13" spans="1:5" ht="15" customHeight="1" x14ac:dyDescent="0.35">
      <c r="A13" s="259"/>
      <c r="B13" s="903" t="s">
        <v>411</v>
      </c>
      <c r="C13" s="458">
        <v>0</v>
      </c>
      <c r="D13" s="138">
        <v>0</v>
      </c>
      <c r="E13" s="279"/>
    </row>
    <row r="14" spans="1:5" ht="30" customHeight="1" x14ac:dyDescent="0.35">
      <c r="A14" s="259"/>
      <c r="B14" s="904" t="s">
        <v>412</v>
      </c>
      <c r="C14" s="456">
        <v>0</v>
      </c>
      <c r="D14" s="155">
        <v>0</v>
      </c>
      <c r="E14" s="279"/>
    </row>
    <row r="15" spans="1:5" ht="15" customHeight="1" x14ac:dyDescent="0.35">
      <c r="A15" s="259"/>
      <c r="B15" s="902" t="s">
        <v>413</v>
      </c>
      <c r="C15" s="460">
        <v>0</v>
      </c>
      <c r="D15" s="187">
        <v>0</v>
      </c>
      <c r="E15" s="279"/>
    </row>
    <row r="16" spans="1:5" ht="15" customHeight="1" x14ac:dyDescent="0.35">
      <c r="A16" s="259"/>
      <c r="B16" s="156" t="str">
        <f>CONCATENATE("Check: row ", ROW(B15), " ≤ row ", ROW(B14))</f>
        <v>Check: row 15 ≤ row 14</v>
      </c>
      <c r="C16" s="404" t="str">
        <f>IF(AND(ISNUMBER(C14), ISNUMBER(C15)), IF(C15&lt;=SUM(C14),"Pass","Fail"), "")</f>
        <v>Pass</v>
      </c>
      <c r="D16" s="356" t="str">
        <f>IF(AND(ISNUMBER(D14), ISNUMBER(D15)), IF(D15&lt;=SUM(D14),"Pass","Fail"), "")</f>
        <v>Pass</v>
      </c>
      <c r="E16" s="279"/>
    </row>
    <row r="17" spans="1:5" ht="15" customHeight="1" x14ac:dyDescent="0.35">
      <c r="A17" s="259"/>
      <c r="B17" s="901" t="s">
        <v>414</v>
      </c>
      <c r="C17" s="456">
        <v>0</v>
      </c>
      <c r="D17" s="155">
        <v>0</v>
      </c>
      <c r="E17" s="279"/>
    </row>
    <row r="18" spans="1:5" ht="15" customHeight="1" x14ac:dyDescent="0.35">
      <c r="A18" s="259"/>
      <c r="B18" s="901" t="s">
        <v>415</v>
      </c>
      <c r="C18" s="456">
        <v>0</v>
      </c>
      <c r="D18" s="155">
        <v>0</v>
      </c>
      <c r="E18" s="279"/>
    </row>
    <row r="19" spans="1:5" ht="15" customHeight="1" x14ac:dyDescent="0.35">
      <c r="A19" s="259"/>
      <c r="B19" s="903" t="s">
        <v>416</v>
      </c>
      <c r="C19" s="458">
        <v>0</v>
      </c>
      <c r="D19" s="138">
        <v>0</v>
      </c>
      <c r="E19" s="279"/>
    </row>
    <row r="20" spans="1:5" ht="15" customHeight="1" x14ac:dyDescent="0.35">
      <c r="A20" s="259"/>
      <c r="B20" s="905" t="s">
        <v>417</v>
      </c>
      <c r="C20" s="299">
        <v>0</v>
      </c>
      <c r="D20" s="285"/>
      <c r="E20" s="279"/>
    </row>
    <row r="21" spans="1:5" ht="15" customHeight="1" x14ac:dyDescent="0.35">
      <c r="A21" s="259"/>
      <c r="B21" s="906" t="s">
        <v>418</v>
      </c>
      <c r="C21" s="461">
        <f>IF(AND(ISNUMBER(C13), ISNUMBER(C15), ISNUMBER(C17), ISNUMBER(C18), ISNUMBER(C19), ISNUMBER(C20)), SUM(C13, C15,C17:C18,-C19,-C20), "")</f>
        <v>0</v>
      </c>
      <c r="D21" s="157">
        <f>IF(AND(ISNUMBER(D13), ISNUMBER(D15), ISNUMBER(D17), ISNUMBER(D18), ISNUMBER(D19)), SUM(D13, D15,D17:D18,-D19), "")</f>
        <v>0</v>
      </c>
      <c r="E21" s="279"/>
    </row>
    <row r="22" spans="1:5" ht="15" customHeight="1" x14ac:dyDescent="0.35">
      <c r="A22" s="729"/>
      <c r="B22" s="1471"/>
      <c r="C22" s="1794"/>
      <c r="D22" s="1794"/>
      <c r="E22" s="875"/>
    </row>
    <row r="23" spans="1:5" ht="45" customHeight="1" x14ac:dyDescent="0.45">
      <c r="A23" s="280" t="s">
        <v>419</v>
      </c>
      <c r="B23" s="153"/>
      <c r="C23" s="154"/>
      <c r="D23" s="154"/>
      <c r="E23" s="1007"/>
    </row>
    <row r="24" spans="1:5" ht="30" customHeight="1" x14ac:dyDescent="0.35">
      <c r="A24" s="259"/>
      <c r="B24" s="1792"/>
      <c r="C24" s="1507" t="s">
        <v>402</v>
      </c>
      <c r="D24" s="1116" t="s">
        <v>403</v>
      </c>
      <c r="E24" s="279"/>
    </row>
    <row r="25" spans="1:5" ht="15" customHeight="1" x14ac:dyDescent="0.35">
      <c r="A25" s="259"/>
      <c r="B25" s="1792" t="s">
        <v>420</v>
      </c>
      <c r="C25" s="1796">
        <f>IF(AND(ISNUMBER(C9), ISNUMBER(C21)), C9+C21, "")</f>
        <v>0</v>
      </c>
      <c r="D25" s="1797">
        <f>IF(AND(ISNUMBER(D9), ISNUMBER(D21)), D9+D21, "")</f>
        <v>0</v>
      </c>
      <c r="E25" s="279"/>
    </row>
    <row r="26" spans="1:5" ht="15" customHeight="1" x14ac:dyDescent="0.35">
      <c r="A26" s="729"/>
      <c r="B26" s="278"/>
      <c r="C26" s="278"/>
      <c r="D26" s="278"/>
      <c r="E26" s="875"/>
    </row>
    <row r="27" spans="1:5" ht="45" customHeight="1" x14ac:dyDescent="0.45">
      <c r="A27" s="280" t="s">
        <v>421</v>
      </c>
      <c r="B27" s="153"/>
      <c r="C27" s="154"/>
      <c r="D27" s="154"/>
      <c r="E27" s="1007"/>
    </row>
    <row r="28" spans="1:5" ht="30" customHeight="1" x14ac:dyDescent="0.35">
      <c r="A28" s="259"/>
      <c r="B28" s="1792"/>
      <c r="C28" s="1507" t="s">
        <v>402</v>
      </c>
      <c r="D28" s="1116" t="s">
        <v>403</v>
      </c>
      <c r="E28" s="279"/>
    </row>
    <row r="29" spans="1:5" ht="15" customHeight="1" x14ac:dyDescent="0.35">
      <c r="A29" s="259"/>
      <c r="B29" s="1747" t="s">
        <v>422</v>
      </c>
      <c r="C29" s="496">
        <v>0</v>
      </c>
      <c r="D29" s="1299">
        <v>0</v>
      </c>
      <c r="E29" s="279"/>
    </row>
    <row r="30" spans="1:5" ht="15" customHeight="1" x14ac:dyDescent="0.35">
      <c r="A30" s="259"/>
      <c r="B30" s="905" t="s">
        <v>423</v>
      </c>
      <c r="C30" s="650">
        <v>0</v>
      </c>
      <c r="D30" s="237">
        <v>0</v>
      </c>
      <c r="E30" s="279"/>
    </row>
    <row r="31" spans="1:5" ht="15" customHeight="1" x14ac:dyDescent="0.35">
      <c r="A31" s="259"/>
      <c r="B31" s="651" t="s">
        <v>420</v>
      </c>
      <c r="C31" s="628">
        <f>IF(AND(ISNUMBER(C29), ISNUMBER(C30)), C29+C30, "")</f>
        <v>0</v>
      </c>
      <c r="D31" s="633">
        <f>IF(AND(ISNUMBER(D29), ISNUMBER(D30)), D29+D30, "")</f>
        <v>0</v>
      </c>
      <c r="E31" s="279"/>
    </row>
    <row r="32" spans="1:5" ht="15" customHeight="1" x14ac:dyDescent="0.35">
      <c r="A32" s="729"/>
      <c r="B32" s="278"/>
      <c r="C32" s="278"/>
      <c r="D32" s="278"/>
      <c r="E32" s="875"/>
    </row>
    <row r="33" ht="15" hidden="1" x14ac:dyDescent="0.35"/>
    <row r="34" ht="15" hidden="1" x14ac:dyDescent="0.35"/>
    <row r="35" ht="15" hidden="1" x14ac:dyDescent="0.35"/>
    <row r="36" ht="15" hidden="1" x14ac:dyDescent="0.35"/>
    <row r="37" ht="15" hidden="1" x14ac:dyDescent="0.35"/>
    <row r="38" ht="15" hidden="1" x14ac:dyDescent="0.35"/>
  </sheetData>
  <sheetProtection algorithmName="SHA-512" hashValue="DNQf6SDTKXBKOhe1AHWk2J8H02LgpM6l0i4hgGGWZDx4o7UhpeR3zIpr6feD3HdMf6MotSxjCc1Qgz+qoEPR8Q==" saltValue="f4WmbsM3H7Gley+IjeOJVA==" spinCount="100000" sheet="1" objects="1" scenarios="1"/>
  <conditionalFormatting sqref="A1:E1048576">
    <cfRule type="cellIs" dxfId="10090" priority="1" stopIfTrue="1" operator="equal">
      <formula>"Pass"</formula>
    </cfRule>
    <cfRule type="cellIs" dxfId="10089" priority="3" stopIfTrue="1" operator="equal">
      <formula>"Fail"</formula>
    </cfRule>
  </conditionalFormatting>
  <conditionalFormatting sqref="C4:D4 C6:D8 C13:D15 C17:D20 C29:D31">
    <cfRule type="cellIs" dxfId="10088" priority="7"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EC72"/>
  </sheetPr>
  <dimension ref="A1:M154"/>
  <sheetViews>
    <sheetView zoomScale="75" zoomScaleNormal="75" workbookViewId="0">
      <pane ySplit="1" topLeftCell="A142" activePane="bottomLeft" state="frozen"/>
      <selection activeCell="P35" sqref="P35"/>
      <selection pane="bottomLeft" activeCell="K150" sqref="K150"/>
    </sheetView>
  </sheetViews>
  <sheetFormatPr defaultColWidth="0" defaultRowHeight="15" zeroHeight="1" x14ac:dyDescent="0.35"/>
  <cols>
    <col min="1" max="1" width="1.6640625" style="85" customWidth="1"/>
    <col min="2" max="2" width="24.6640625" style="85" customWidth="1"/>
    <col min="3" max="3" width="70.6640625" style="85" customWidth="1"/>
    <col min="4" max="12" width="18.6640625" style="85" customWidth="1"/>
    <col min="13" max="13" width="1.6640625" style="98" customWidth="1"/>
    <col min="14" max="16384" width="16.88671875" hidden="1"/>
  </cols>
  <sheetData>
    <row r="1" spans="1:13" ht="30.75" customHeight="1" x14ac:dyDescent="0.65">
      <c r="A1" s="913" t="s">
        <v>424</v>
      </c>
      <c r="B1" s="882"/>
      <c r="C1" s="914"/>
      <c r="D1" s="739" t="str">
        <f>CONCATENATE("Reporting unit: ", 'General Info'!$C$7, " ", 'General Info'!$C$5)</f>
        <v>Reporting unit: 1000 eur</v>
      </c>
      <c r="E1" s="914"/>
      <c r="F1" s="914"/>
      <c r="G1" s="914"/>
      <c r="H1" s="914"/>
      <c r="I1" s="914"/>
      <c r="J1" s="914"/>
      <c r="K1" s="914"/>
      <c r="L1" s="914"/>
      <c r="M1" s="537"/>
    </row>
    <row r="2" spans="1:13" ht="45" customHeight="1" x14ac:dyDescent="0.35">
      <c r="A2" s="601" t="s">
        <v>425</v>
      </c>
      <c r="B2" s="845"/>
      <c r="C2" s="846"/>
      <c r="D2" s="846"/>
      <c r="E2" s="846"/>
      <c r="F2" s="846"/>
      <c r="G2" s="846"/>
      <c r="H2" s="846"/>
      <c r="I2" s="846"/>
      <c r="J2" s="846"/>
      <c r="K2" s="846"/>
      <c r="L2" s="846"/>
      <c r="M2" s="315"/>
    </row>
    <row r="3" spans="1:13" ht="45" customHeight="1" x14ac:dyDescent="0.35">
      <c r="A3" s="259"/>
      <c r="B3" s="98" t="s">
        <v>426</v>
      </c>
      <c r="C3" s="98"/>
      <c r="M3" s="315"/>
    </row>
    <row r="4" spans="1:13" ht="45" customHeight="1" x14ac:dyDescent="0.35">
      <c r="A4" s="259"/>
      <c r="B4" s="588" t="s">
        <v>427</v>
      </c>
      <c r="C4" s="915"/>
      <c r="D4" s="752"/>
      <c r="E4" s="752"/>
      <c r="F4" s="752"/>
      <c r="G4" s="848" t="s">
        <v>428</v>
      </c>
      <c r="H4" s="916" t="s">
        <v>429</v>
      </c>
      <c r="I4" s="916" t="s">
        <v>430</v>
      </c>
      <c r="J4" s="917" t="s">
        <v>431</v>
      </c>
      <c r="K4" s="918" t="s">
        <v>432</v>
      </c>
      <c r="L4" s="918" t="s">
        <v>99</v>
      </c>
      <c r="M4" s="315"/>
    </row>
    <row r="5" spans="1:13" ht="15" customHeight="1" x14ac:dyDescent="0.35">
      <c r="A5" s="259"/>
      <c r="B5" s="589"/>
      <c r="C5" s="1785" t="s">
        <v>433</v>
      </c>
      <c r="D5" s="463"/>
      <c r="E5" s="463"/>
      <c r="F5" s="463"/>
      <c r="G5" s="1255"/>
      <c r="H5" s="470"/>
      <c r="I5" s="470"/>
      <c r="J5" s="470"/>
      <c r="K5" s="471"/>
      <c r="L5" s="521"/>
      <c r="M5" s="315"/>
    </row>
    <row r="6" spans="1:13" ht="15" customHeight="1" x14ac:dyDescent="0.35">
      <c r="A6" s="259"/>
      <c r="B6" s="288" t="s">
        <v>434</v>
      </c>
      <c r="C6" s="439" t="s">
        <v>435</v>
      </c>
      <c r="D6" s="161"/>
      <c r="E6" s="161"/>
      <c r="F6" s="161"/>
      <c r="G6" s="74"/>
      <c r="H6" s="14"/>
      <c r="I6" s="14"/>
      <c r="J6" s="14"/>
      <c r="K6" s="34">
        <v>0</v>
      </c>
      <c r="L6" s="178"/>
      <c r="M6" s="315"/>
    </row>
    <row r="7" spans="1:13" ht="15" customHeight="1" x14ac:dyDescent="0.35">
      <c r="A7" s="259"/>
      <c r="B7" s="288" t="s">
        <v>436</v>
      </c>
      <c r="C7" s="440" t="s">
        <v>437</v>
      </c>
      <c r="D7" s="161"/>
      <c r="E7" s="161"/>
      <c r="F7" s="161"/>
      <c r="G7" s="74"/>
      <c r="H7" s="14"/>
      <c r="I7" s="14"/>
      <c r="J7" s="14"/>
      <c r="K7" s="108">
        <v>0</v>
      </c>
      <c r="L7" s="178"/>
      <c r="M7" s="315"/>
    </row>
    <row r="8" spans="1:13" ht="15" customHeight="1" x14ac:dyDescent="0.35">
      <c r="A8" s="259"/>
      <c r="B8" s="45"/>
      <c r="C8" s="591" t="s">
        <v>438</v>
      </c>
      <c r="D8" s="590"/>
      <c r="E8" s="590"/>
      <c r="F8" s="590"/>
      <c r="G8" s="74"/>
      <c r="H8" s="27"/>
      <c r="I8" s="27"/>
      <c r="J8" s="14"/>
      <c r="K8" s="356" t="str">
        <f>IF(AND(ISNUMBER(K6), ISNUMBER(K7)), IF(K6&gt;=K7, "Pass", "Fail"), "")</f>
        <v>Pass</v>
      </c>
      <c r="L8" s="178"/>
      <c r="M8" s="315"/>
    </row>
    <row r="9" spans="1:13" ht="15" customHeight="1" x14ac:dyDescent="0.35">
      <c r="A9" s="259"/>
      <c r="B9" s="45"/>
      <c r="C9" s="938" t="s">
        <v>439</v>
      </c>
      <c r="D9" s="590"/>
      <c r="E9" s="590"/>
      <c r="F9" s="590"/>
      <c r="G9" s="74"/>
      <c r="H9" s="27"/>
      <c r="I9" s="27"/>
      <c r="J9" s="25"/>
      <c r="K9" s="108">
        <v>64509</v>
      </c>
      <c r="L9" s="108">
        <v>64509</v>
      </c>
      <c r="M9" s="315"/>
    </row>
    <row r="10" spans="1:13" ht="15" customHeight="1" x14ac:dyDescent="0.35">
      <c r="A10" s="259"/>
      <c r="B10" s="45"/>
      <c r="C10" s="1306" t="s">
        <v>440</v>
      </c>
      <c r="D10" s="590"/>
      <c r="E10" s="590"/>
      <c r="F10" s="590"/>
      <c r="G10" s="74"/>
      <c r="H10" s="27"/>
      <c r="I10" s="27"/>
      <c r="J10" s="25"/>
      <c r="K10" s="108">
        <v>0</v>
      </c>
      <c r="L10" s="34">
        <v>0</v>
      </c>
      <c r="M10" s="315"/>
    </row>
    <row r="11" spans="1:13" ht="15" customHeight="1" x14ac:dyDescent="0.35">
      <c r="A11" s="259"/>
      <c r="B11" s="288" t="s">
        <v>441</v>
      </c>
      <c r="C11" s="428" t="s">
        <v>442</v>
      </c>
      <c r="D11" s="161"/>
      <c r="E11" s="161"/>
      <c r="F11" s="161"/>
      <c r="G11" s="531"/>
      <c r="H11" s="30">
        <f>IF(AND(ISNUMBER(H12),ISNUMBER(H13)),SUM(H12:H13),"")</f>
        <v>0</v>
      </c>
      <c r="I11" s="30">
        <f t="shared" ref="I11" si="0">IF(AND(ISNUMBER(I12),ISNUMBER(I13)),SUM(I12:I13),"")</f>
        <v>0</v>
      </c>
      <c r="J11" s="25"/>
      <c r="K11" s="178"/>
      <c r="L11" s="178"/>
      <c r="M11" s="315"/>
    </row>
    <row r="12" spans="1:13" ht="15" customHeight="1" x14ac:dyDescent="0.35">
      <c r="A12" s="259"/>
      <c r="B12" s="115" t="s">
        <v>443</v>
      </c>
      <c r="C12" s="462" t="s">
        <v>444</v>
      </c>
      <c r="D12" s="161"/>
      <c r="E12" s="161"/>
      <c r="F12" s="161"/>
      <c r="G12" s="531"/>
      <c r="H12" s="1">
        <v>0</v>
      </c>
      <c r="I12" s="1">
        <v>0</v>
      </c>
      <c r="J12" s="352" t="str">
        <f>IF(AND(ISNUMBER(H12), ISNUMBER(I12)), IF(H12&lt;=I12,"Pass","Fail"), "")</f>
        <v>Pass</v>
      </c>
      <c r="K12" s="178"/>
      <c r="L12" s="178"/>
      <c r="M12" s="315"/>
    </row>
    <row r="13" spans="1:13" ht="15" customHeight="1" x14ac:dyDescent="0.35">
      <c r="A13" s="259"/>
      <c r="B13" s="115" t="s">
        <v>445</v>
      </c>
      <c r="C13" s="462" t="s">
        <v>446</v>
      </c>
      <c r="D13" s="161"/>
      <c r="E13" s="161"/>
      <c r="F13" s="161"/>
      <c r="G13" s="531"/>
      <c r="H13" s="1">
        <v>0</v>
      </c>
      <c r="I13" s="1">
        <v>0</v>
      </c>
      <c r="J13" s="352" t="str">
        <f>IF(AND(ISNUMBER(H13), ISNUMBER(I13)), IF(H13&lt;=I13,"Pass","Fail"), "")</f>
        <v>Pass</v>
      </c>
      <c r="K13" s="178"/>
      <c r="L13" s="178"/>
      <c r="M13" s="315"/>
    </row>
    <row r="14" spans="1:13" ht="15" customHeight="1" x14ac:dyDescent="0.35">
      <c r="A14" s="259"/>
      <c r="B14" s="45"/>
      <c r="C14" s="595" t="s">
        <v>203</v>
      </c>
      <c r="D14" s="161"/>
      <c r="E14" s="161"/>
      <c r="F14" s="161"/>
      <c r="G14" s="531"/>
      <c r="H14" s="180"/>
      <c r="I14" s="180"/>
      <c r="J14" s="180"/>
      <c r="K14" s="178"/>
      <c r="L14" s="178"/>
      <c r="M14" s="315"/>
    </row>
    <row r="15" spans="1:13" ht="15" customHeight="1" x14ac:dyDescent="0.35">
      <c r="A15" s="259"/>
      <c r="B15" s="253" t="s">
        <v>447</v>
      </c>
      <c r="C15" s="438" t="s">
        <v>448</v>
      </c>
      <c r="D15" s="161"/>
      <c r="E15" s="161"/>
      <c r="F15" s="161"/>
      <c r="G15" s="531"/>
      <c r="H15" s="180"/>
      <c r="I15" s="15">
        <v>503992</v>
      </c>
      <c r="J15" s="180"/>
      <c r="K15" s="178"/>
      <c r="L15" s="178"/>
      <c r="M15" s="315"/>
    </row>
    <row r="16" spans="1:13" ht="15" customHeight="1" x14ac:dyDescent="0.35">
      <c r="A16" s="259"/>
      <c r="B16" s="115" t="s">
        <v>447</v>
      </c>
      <c r="C16" s="462" t="s">
        <v>449</v>
      </c>
      <c r="D16" s="161"/>
      <c r="E16" s="161"/>
      <c r="F16" s="161"/>
      <c r="G16" s="531"/>
      <c r="H16" s="180"/>
      <c r="I16" s="169">
        <v>93000</v>
      </c>
      <c r="J16" s="180"/>
      <c r="K16" s="178"/>
      <c r="L16" s="178"/>
      <c r="M16" s="315"/>
    </row>
    <row r="17" spans="1:13" ht="15" customHeight="1" x14ac:dyDescent="0.35">
      <c r="A17" s="259"/>
      <c r="B17" s="115" t="s">
        <v>450</v>
      </c>
      <c r="C17" s="462" t="s">
        <v>451</v>
      </c>
      <c r="D17" s="161"/>
      <c r="E17" s="161"/>
      <c r="F17" s="161"/>
      <c r="G17" s="531"/>
      <c r="H17" s="180"/>
      <c r="I17" s="169">
        <v>8641</v>
      </c>
      <c r="J17" s="180"/>
      <c r="K17" s="178"/>
      <c r="L17" s="178"/>
      <c r="M17" s="315"/>
    </row>
    <row r="18" spans="1:13" ht="15" customHeight="1" x14ac:dyDescent="0.35">
      <c r="A18" s="259"/>
      <c r="B18" s="115" t="s">
        <v>452</v>
      </c>
      <c r="C18" s="462" t="s">
        <v>453</v>
      </c>
      <c r="D18" s="161"/>
      <c r="E18" s="161"/>
      <c r="F18" s="161"/>
      <c r="G18" s="531"/>
      <c r="H18" s="180"/>
      <c r="I18" s="169">
        <v>0</v>
      </c>
      <c r="J18" s="180"/>
      <c r="K18" s="178"/>
      <c r="L18" s="178"/>
      <c r="M18" s="315"/>
    </row>
    <row r="19" spans="1:13" ht="15" customHeight="1" x14ac:dyDescent="0.35">
      <c r="A19" s="259"/>
      <c r="B19" s="115" t="s">
        <v>454</v>
      </c>
      <c r="C19" s="508" t="s">
        <v>455</v>
      </c>
      <c r="D19" s="161"/>
      <c r="E19" s="161"/>
      <c r="F19" s="161"/>
      <c r="G19" s="292">
        <v>0</v>
      </c>
      <c r="H19" s="169">
        <v>0</v>
      </c>
      <c r="I19" s="169">
        <v>0</v>
      </c>
      <c r="J19" s="352" t="str">
        <f>IF(AND(ISNUMBER(H19), ISNUMBER(I19)), IF(H19&lt;=I19,"Pass","Fail"), "")</f>
        <v>Pass</v>
      </c>
      <c r="K19" s="178"/>
      <c r="L19" s="178"/>
      <c r="M19" s="315"/>
    </row>
    <row r="20" spans="1:13" ht="15" customHeight="1" x14ac:dyDescent="0.35">
      <c r="A20" s="259"/>
      <c r="B20" s="115" t="s">
        <v>454</v>
      </c>
      <c r="C20" s="592" t="s">
        <v>456</v>
      </c>
      <c r="D20" s="161"/>
      <c r="E20" s="161"/>
      <c r="F20" s="161"/>
      <c r="G20" s="292">
        <v>0</v>
      </c>
      <c r="H20" s="169">
        <v>0</v>
      </c>
      <c r="I20" s="169">
        <v>0</v>
      </c>
      <c r="J20" s="352" t="str">
        <f>IF(AND(ISNUMBER(H20), ISNUMBER(I20)), IF(H20&lt;=I20,"Pass","Fail"), "")</f>
        <v>Pass</v>
      </c>
      <c r="K20" s="178"/>
      <c r="L20" s="178"/>
      <c r="M20" s="315"/>
    </row>
    <row r="21" spans="1:13" ht="15" customHeight="1" x14ac:dyDescent="0.35">
      <c r="A21" s="259"/>
      <c r="B21" s="45"/>
      <c r="C21" s="591" t="s">
        <v>457</v>
      </c>
      <c r="D21" s="161"/>
      <c r="E21" s="161"/>
      <c r="F21" s="161"/>
      <c r="G21" s="404" t="str">
        <f>IF(AND(ISNUMBER(G19), ISNUMBER(G20)), IF(G19&gt;=G20, "Pass", "Fail"), "")</f>
        <v>Pass</v>
      </c>
      <c r="H21" s="352" t="str">
        <f>IF(AND(ISNUMBER(H19), ISNUMBER(H20)), IF(H19&gt;=H20, "Pass", "Fail"), "")</f>
        <v>Pass</v>
      </c>
      <c r="I21" s="352" t="str">
        <f>IF(AND(ISNUMBER(I19), ISNUMBER(I20)), IF(I19&gt;=I20, "Pass", "Fail"), "")</f>
        <v>Pass</v>
      </c>
      <c r="J21" s="180"/>
      <c r="K21" s="178"/>
      <c r="L21" s="178"/>
      <c r="M21" s="315"/>
    </row>
    <row r="22" spans="1:13" ht="15" customHeight="1" x14ac:dyDescent="0.35">
      <c r="A22" s="259"/>
      <c r="B22" s="45"/>
      <c r="C22" s="596" t="s">
        <v>458</v>
      </c>
      <c r="D22" s="161"/>
      <c r="E22" s="161"/>
      <c r="F22" s="161"/>
      <c r="G22" s="531"/>
      <c r="H22" s="180"/>
      <c r="I22" s="352" t="str">
        <f>IF(AND(ISNUMBER(H19), ISNUMBER(I19), ISNUMBER(G19), ISNUMBER(G20)), IF(AND(H19&lt;=G19,G19&lt;=I19, H20&lt;=G20, G20&lt;=I20), "Pass", "Fail"), "")</f>
        <v>Pass</v>
      </c>
      <c r="J22" s="180"/>
      <c r="K22" s="178"/>
      <c r="L22" s="178"/>
      <c r="M22" s="315"/>
    </row>
    <row r="23" spans="1:13" ht="15" customHeight="1" x14ac:dyDescent="0.35">
      <c r="A23" s="259"/>
      <c r="B23" s="443"/>
      <c r="C23" s="596" t="str">
        <f>"Check: consistent reporting in rows " &amp; ROW(A19) &amp; " and " &amp; ROW(A20)</f>
        <v>Check: consistent reporting in rows 19 and 20</v>
      </c>
      <c r="D23" s="161"/>
      <c r="E23" s="161"/>
      <c r="F23" s="161"/>
      <c r="G23" s="531"/>
      <c r="H23" s="180"/>
      <c r="I23" s="352" t="str">
        <f>IF(AND(ISNUMBER(H19), ISNUMBER(I19), ISNUMBER(H20), ISNUMBER(I20), ISNUMBER(G19), ISNUMBER(G20)), IF(H19=G19, IF(H20=G20, "Pass", "Fail"), IF(I19=G19, IF(I20=G20, "Pass", "Fail"), "Pass")), "")</f>
        <v>Pass</v>
      </c>
      <c r="J23" s="180"/>
      <c r="K23" s="178"/>
      <c r="L23" s="178"/>
      <c r="M23" s="315"/>
    </row>
    <row r="24" spans="1:13" ht="15" customHeight="1" x14ac:dyDescent="0.35">
      <c r="A24" s="259"/>
      <c r="B24" s="182"/>
      <c r="C24" s="438" t="s">
        <v>459</v>
      </c>
      <c r="D24" s="161"/>
      <c r="E24" s="161"/>
      <c r="F24" s="161"/>
      <c r="G24" s="531"/>
      <c r="H24" s="180"/>
      <c r="I24" s="23">
        <v>0</v>
      </c>
      <c r="J24" s="180"/>
      <c r="K24" s="178"/>
      <c r="L24" s="178"/>
      <c r="M24" s="315"/>
    </row>
    <row r="25" spans="1:13" ht="15" customHeight="1" x14ac:dyDescent="0.35">
      <c r="A25" s="259"/>
      <c r="B25" s="443"/>
      <c r="C25" s="911" t="s">
        <v>460</v>
      </c>
      <c r="D25" s="188"/>
      <c r="E25" s="161"/>
      <c r="F25" s="161"/>
      <c r="G25" s="531"/>
      <c r="H25" s="180"/>
      <c r="I25" s="912">
        <v>280694</v>
      </c>
      <c r="J25" s="180"/>
      <c r="K25" s="178"/>
      <c r="L25" s="178"/>
      <c r="M25" s="315"/>
    </row>
    <row r="26" spans="1:13" ht="15" customHeight="1" x14ac:dyDescent="0.35">
      <c r="A26" s="259"/>
      <c r="B26" s="228" t="s">
        <v>461</v>
      </c>
      <c r="C26" s="592" t="s">
        <v>462</v>
      </c>
      <c r="D26" s="161"/>
      <c r="E26" s="161"/>
      <c r="F26" s="161"/>
      <c r="G26" s="531"/>
      <c r="H26" s="180"/>
      <c r="I26" s="919">
        <v>280694</v>
      </c>
      <c r="J26" s="180"/>
      <c r="K26" s="178"/>
      <c r="L26" s="178"/>
      <c r="M26" s="315"/>
    </row>
    <row r="27" spans="1:13" ht="15" customHeight="1" x14ac:dyDescent="0.35">
      <c r="A27" s="259"/>
      <c r="B27" s="696"/>
      <c r="C27" s="697" t="s">
        <v>457</v>
      </c>
      <c r="D27" s="171"/>
      <c r="E27" s="171"/>
      <c r="F27" s="171"/>
      <c r="G27" s="246"/>
      <c r="H27" s="234"/>
      <c r="I27" s="354" t="str">
        <f>IF(AND(ISNUMBER(I25), ISNUMBER(I26)), IF(I25&gt;=I26, "Pass", "Fail"), "")</f>
        <v>Pass</v>
      </c>
      <c r="J27" s="234"/>
      <c r="K27" s="235"/>
      <c r="L27" s="235"/>
      <c r="M27" s="315"/>
    </row>
    <row r="28" spans="1:13" ht="15" customHeight="1" x14ac:dyDescent="0.35">
      <c r="A28" s="729"/>
      <c r="B28" s="385"/>
      <c r="C28" s="386"/>
      <c r="D28" s="387"/>
      <c r="E28" s="387"/>
      <c r="F28" s="387"/>
      <c r="G28" s="278"/>
      <c r="H28" s="275"/>
      <c r="I28" s="275"/>
      <c r="J28" s="275"/>
      <c r="K28" s="275"/>
      <c r="L28" s="275"/>
      <c r="M28" s="567"/>
    </row>
    <row r="29" spans="1:13" ht="45" customHeight="1" x14ac:dyDescent="0.35">
      <c r="A29" s="601" t="s">
        <v>463</v>
      </c>
      <c r="B29" s="845"/>
      <c r="C29" s="846"/>
      <c r="D29" s="846"/>
      <c r="E29" s="846"/>
      <c r="F29" s="846"/>
      <c r="G29" s="846"/>
      <c r="H29" s="846"/>
      <c r="I29" s="846"/>
      <c r="J29" s="846"/>
      <c r="M29" s="315"/>
    </row>
    <row r="30" spans="1:13" ht="105" customHeight="1" x14ac:dyDescent="0.35">
      <c r="A30" s="259"/>
      <c r="B30" s="588" t="s">
        <v>427</v>
      </c>
      <c r="C30" s="1307"/>
      <c r="D30" s="1308"/>
      <c r="E30" s="1308"/>
      <c r="F30" s="1308"/>
      <c r="G30" s="1308"/>
      <c r="H30" s="475" t="s">
        <v>464</v>
      </c>
      <c r="I30" s="918" t="s">
        <v>465</v>
      </c>
      <c r="J30" s="918" t="s">
        <v>432</v>
      </c>
      <c r="K30" s="918" t="s">
        <v>99</v>
      </c>
      <c r="L30" s="917" t="s">
        <v>466</v>
      </c>
      <c r="M30" s="315"/>
    </row>
    <row r="31" spans="1:13" ht="15" customHeight="1" x14ac:dyDescent="0.35">
      <c r="A31" s="259"/>
      <c r="B31" s="1379" t="s">
        <v>467</v>
      </c>
      <c r="C31" s="1798" t="s">
        <v>468</v>
      </c>
      <c r="D31" s="463"/>
      <c r="E31" s="463"/>
      <c r="F31" s="463"/>
      <c r="G31" s="464"/>
      <c r="H31" s="469"/>
      <c r="I31" s="470"/>
      <c r="J31" s="471"/>
      <c r="K31" s="470"/>
      <c r="L31" s="471"/>
      <c r="M31" s="315"/>
    </row>
    <row r="32" spans="1:13" ht="15" customHeight="1" x14ac:dyDescent="0.35">
      <c r="A32" s="259"/>
      <c r="B32" s="115" t="s">
        <v>434</v>
      </c>
      <c r="C32" s="462" t="s">
        <v>469</v>
      </c>
      <c r="D32" s="161"/>
      <c r="E32" s="161"/>
      <c r="F32" s="161"/>
      <c r="G32" s="390"/>
      <c r="H32" s="15">
        <v>0</v>
      </c>
      <c r="I32" s="1">
        <v>0</v>
      </c>
      <c r="J32" s="26"/>
      <c r="K32" s="14"/>
      <c r="L32" s="26"/>
      <c r="M32" s="315"/>
    </row>
    <row r="33" spans="1:13" ht="15" customHeight="1" x14ac:dyDescent="0.35">
      <c r="A33" s="259"/>
      <c r="B33" s="115" t="s">
        <v>470</v>
      </c>
      <c r="C33" s="508" t="s">
        <v>471</v>
      </c>
      <c r="D33" s="161"/>
      <c r="E33" s="161"/>
      <c r="F33" s="161"/>
      <c r="G33" s="390"/>
      <c r="H33" s="25"/>
      <c r="I33" s="14"/>
      <c r="J33" s="136">
        <v>89125</v>
      </c>
      <c r="K33" s="14"/>
      <c r="L33" s="26"/>
      <c r="M33" s="315"/>
    </row>
    <row r="34" spans="1:13" ht="15" customHeight="1" x14ac:dyDescent="0.35">
      <c r="A34" s="259"/>
      <c r="B34" s="115" t="s">
        <v>470</v>
      </c>
      <c r="C34" s="592" t="s">
        <v>472</v>
      </c>
      <c r="D34" s="161"/>
      <c r="E34" s="161"/>
      <c r="F34" s="161"/>
      <c r="G34" s="390"/>
      <c r="H34" s="292">
        <v>0</v>
      </c>
      <c r="I34" s="14"/>
      <c r="J34" s="190">
        <v>0</v>
      </c>
      <c r="K34" s="169">
        <v>0</v>
      </c>
      <c r="L34" s="356" t="str">
        <f>IF(AND(ISNUMBER(J34), ISNUMBER(K34)), IF(J34&gt;=K34, "Pass", "Fail"), "")</f>
        <v>Pass</v>
      </c>
      <c r="M34" s="315"/>
    </row>
    <row r="35" spans="1:13" ht="15" customHeight="1" x14ac:dyDescent="0.35">
      <c r="A35" s="263"/>
      <c r="B35" s="13"/>
      <c r="C35" s="591" t="s">
        <v>457</v>
      </c>
      <c r="D35" s="161"/>
      <c r="E35" s="161"/>
      <c r="F35" s="161"/>
      <c r="G35" s="161"/>
      <c r="H35" s="25"/>
      <c r="I35" s="14"/>
      <c r="J35" s="356" t="str">
        <f>IF(AND(ISNUMBER(J33), ISNUMBER(J34)), IF(J33&gt;=J34, "Pass", "Fail"), "")</f>
        <v>Pass</v>
      </c>
      <c r="K35" s="352" t="str">
        <f>IF(AND(ISNUMBER(J33), ISNUMBER(K34)), IF(J33&gt;=K34, "Pass", "Fail"), "")</f>
        <v>Pass</v>
      </c>
      <c r="L35" s="26"/>
      <c r="M35" s="315"/>
    </row>
    <row r="36" spans="1:13" ht="15" customHeight="1" x14ac:dyDescent="0.35">
      <c r="A36" s="263"/>
      <c r="B36" s="507" t="s">
        <v>434</v>
      </c>
      <c r="C36" s="508" t="s">
        <v>473</v>
      </c>
      <c r="D36" s="161"/>
      <c r="E36" s="161"/>
      <c r="F36" s="161"/>
      <c r="G36" s="161"/>
      <c r="H36" s="25"/>
      <c r="I36" s="14"/>
      <c r="J36" s="136">
        <v>0</v>
      </c>
      <c r="K36" s="14"/>
      <c r="L36" s="26"/>
      <c r="M36" s="315"/>
    </row>
    <row r="37" spans="1:13" ht="15" customHeight="1" x14ac:dyDescent="0.35">
      <c r="A37" s="263"/>
      <c r="B37" s="115" t="s">
        <v>436</v>
      </c>
      <c r="C37" s="592" t="s">
        <v>437</v>
      </c>
      <c r="D37" s="161"/>
      <c r="E37" s="161"/>
      <c r="F37" s="161"/>
      <c r="G37" s="161"/>
      <c r="H37" s="25"/>
      <c r="I37" s="14"/>
      <c r="J37" s="190">
        <v>0</v>
      </c>
      <c r="K37" s="14"/>
      <c r="L37" s="26"/>
      <c r="M37" s="315"/>
    </row>
    <row r="38" spans="1:13" ht="15" customHeight="1" x14ac:dyDescent="0.35">
      <c r="A38" s="263"/>
      <c r="B38" s="13"/>
      <c r="C38" s="591" t="s">
        <v>457</v>
      </c>
      <c r="D38" s="161"/>
      <c r="E38" s="161"/>
      <c r="F38" s="161"/>
      <c r="G38" s="161"/>
      <c r="H38" s="25"/>
      <c r="I38" s="14"/>
      <c r="J38" s="356" t="str">
        <f>IF(AND(ISNUMBER(J36), ISNUMBER(J37)), IF(J36&gt;=J37, "Pass", "Fail"), "")</f>
        <v>Pass</v>
      </c>
      <c r="K38" s="14"/>
      <c r="L38" s="26"/>
      <c r="M38" s="315"/>
    </row>
    <row r="39" spans="1:13" ht="15" customHeight="1" x14ac:dyDescent="0.35">
      <c r="A39" s="259"/>
      <c r="B39" s="115" t="s">
        <v>474</v>
      </c>
      <c r="C39" s="428" t="s">
        <v>475</v>
      </c>
      <c r="D39" s="161"/>
      <c r="E39" s="161"/>
      <c r="F39" s="161"/>
      <c r="G39" s="390"/>
      <c r="H39" s="25"/>
      <c r="I39" s="14"/>
      <c r="J39" s="26"/>
      <c r="K39" s="14"/>
      <c r="L39" s="26"/>
      <c r="M39" s="315"/>
    </row>
    <row r="40" spans="1:13" ht="15" customHeight="1" x14ac:dyDescent="0.35">
      <c r="A40" s="259"/>
      <c r="B40" s="115" t="s">
        <v>476</v>
      </c>
      <c r="C40" s="508" t="s">
        <v>477</v>
      </c>
      <c r="D40" s="161"/>
      <c r="E40" s="161"/>
      <c r="F40" s="161"/>
      <c r="G40" s="390"/>
      <c r="H40" s="25"/>
      <c r="I40" s="1">
        <v>1057535</v>
      </c>
      <c r="J40" s="26"/>
      <c r="K40" s="14"/>
      <c r="L40" s="26"/>
      <c r="M40" s="315"/>
    </row>
    <row r="41" spans="1:13" ht="15" customHeight="1" x14ac:dyDescent="0.35">
      <c r="A41" s="259"/>
      <c r="B41" s="13"/>
      <c r="C41" s="698" t="s">
        <v>478</v>
      </c>
      <c r="D41" s="161"/>
      <c r="E41" s="161"/>
      <c r="F41" s="161"/>
      <c r="G41" s="390"/>
      <c r="H41" s="25"/>
      <c r="I41" s="1">
        <v>0</v>
      </c>
      <c r="J41" s="26"/>
      <c r="K41" s="14"/>
      <c r="L41" s="26"/>
      <c r="M41" s="315"/>
    </row>
    <row r="42" spans="1:13" ht="15" customHeight="1" x14ac:dyDescent="0.35">
      <c r="A42" s="259"/>
      <c r="B42" s="13"/>
      <c r="C42" s="698" t="s">
        <v>479</v>
      </c>
      <c r="D42" s="161"/>
      <c r="E42" s="161"/>
      <c r="F42" s="161"/>
      <c r="G42" s="390"/>
      <c r="H42" s="25"/>
      <c r="I42" s="1">
        <v>1057535</v>
      </c>
      <c r="J42" s="26"/>
      <c r="K42" s="14"/>
      <c r="L42" s="26"/>
      <c r="M42" s="315"/>
    </row>
    <row r="43" spans="1:13" ht="15" customHeight="1" x14ac:dyDescent="0.35">
      <c r="A43" s="259"/>
      <c r="B43" s="115" t="s">
        <v>476</v>
      </c>
      <c r="C43" s="438" t="s">
        <v>480</v>
      </c>
      <c r="D43" s="37"/>
      <c r="E43" s="37"/>
      <c r="F43" s="37"/>
      <c r="G43" s="390"/>
      <c r="H43" s="25"/>
      <c r="I43" s="61">
        <v>0</v>
      </c>
      <c r="J43" s="26"/>
      <c r="K43" s="14"/>
      <c r="L43" s="26"/>
      <c r="M43" s="315"/>
    </row>
    <row r="44" spans="1:13" ht="15" customHeight="1" x14ac:dyDescent="0.35">
      <c r="A44" s="259"/>
      <c r="B44" s="709"/>
      <c r="C44" s="909" t="s">
        <v>481</v>
      </c>
      <c r="D44" s="910"/>
      <c r="E44" s="910"/>
      <c r="F44" s="910"/>
      <c r="G44" s="649"/>
      <c r="H44" s="25"/>
      <c r="I44" s="605" t="s">
        <v>7</v>
      </c>
      <c r="J44" s="26"/>
      <c r="K44" s="14"/>
      <c r="L44" s="26"/>
      <c r="M44" s="315"/>
    </row>
    <row r="45" spans="1:13" ht="15" customHeight="1" x14ac:dyDescent="0.35">
      <c r="A45" s="263"/>
      <c r="B45" s="13"/>
      <c r="C45" s="428" t="s">
        <v>482</v>
      </c>
      <c r="D45" s="161"/>
      <c r="E45" s="161"/>
      <c r="F45" s="161"/>
      <c r="G45" s="161"/>
      <c r="H45" s="25"/>
      <c r="I45" s="13"/>
      <c r="J45" s="26"/>
      <c r="K45" s="14"/>
      <c r="L45" s="26"/>
      <c r="M45" s="315"/>
    </row>
    <row r="46" spans="1:13" ht="15" customHeight="1" x14ac:dyDescent="0.35">
      <c r="A46" s="263"/>
      <c r="B46" s="507" t="s">
        <v>483</v>
      </c>
      <c r="C46" s="508" t="s">
        <v>484</v>
      </c>
      <c r="D46" s="161"/>
      <c r="E46" s="161"/>
      <c r="F46" s="161"/>
      <c r="G46" s="161"/>
      <c r="H46" s="25"/>
      <c r="I46" s="169">
        <v>1057535</v>
      </c>
      <c r="J46" s="26"/>
      <c r="K46" s="14"/>
      <c r="L46" s="26"/>
      <c r="M46" s="315"/>
    </row>
    <row r="47" spans="1:13" ht="15" customHeight="1" x14ac:dyDescent="0.35">
      <c r="A47" s="263"/>
      <c r="B47" s="507" t="s">
        <v>476</v>
      </c>
      <c r="C47" s="508" t="s">
        <v>485</v>
      </c>
      <c r="D47" s="161"/>
      <c r="E47" s="161"/>
      <c r="F47" s="161"/>
      <c r="G47" s="161"/>
      <c r="H47" s="25"/>
      <c r="I47" s="169">
        <v>0</v>
      </c>
      <c r="J47" s="26"/>
      <c r="K47" s="14"/>
      <c r="L47" s="26"/>
      <c r="M47" s="315"/>
    </row>
    <row r="48" spans="1:13" ht="15" customHeight="1" x14ac:dyDescent="0.35">
      <c r="A48" s="263"/>
      <c r="B48" s="507" t="s">
        <v>486</v>
      </c>
      <c r="C48" s="508" t="s">
        <v>487</v>
      </c>
      <c r="D48" s="161"/>
      <c r="E48" s="161"/>
      <c r="F48" s="161"/>
      <c r="G48" s="161"/>
      <c r="H48" s="25"/>
      <c r="I48" s="169">
        <v>25654</v>
      </c>
      <c r="J48" s="26"/>
      <c r="K48" s="14"/>
      <c r="L48" s="26"/>
      <c r="M48" s="315"/>
    </row>
    <row r="49" spans="1:13" ht="15" customHeight="1" x14ac:dyDescent="0.35">
      <c r="A49" s="263"/>
      <c r="B49" s="507" t="s">
        <v>488</v>
      </c>
      <c r="C49" s="508" t="s">
        <v>489</v>
      </c>
      <c r="D49" s="161"/>
      <c r="E49" s="161"/>
      <c r="F49" s="161"/>
      <c r="G49" s="161"/>
      <c r="H49" s="25"/>
      <c r="I49" s="169">
        <v>367720</v>
      </c>
      <c r="J49" s="26"/>
      <c r="K49" s="14"/>
      <c r="L49" s="26"/>
      <c r="M49" s="315"/>
    </row>
    <row r="50" spans="1:13" ht="15" customHeight="1" x14ac:dyDescent="0.35">
      <c r="A50" s="263"/>
      <c r="B50" s="507" t="s">
        <v>490</v>
      </c>
      <c r="C50" s="508" t="s">
        <v>491</v>
      </c>
      <c r="D50" s="364"/>
      <c r="E50" s="364"/>
      <c r="F50" s="364"/>
      <c r="G50" s="364"/>
      <c r="H50" s="25"/>
      <c r="I50" s="169">
        <v>35481</v>
      </c>
      <c r="J50" s="26"/>
      <c r="K50" s="14"/>
      <c r="L50" s="26"/>
      <c r="M50" s="315"/>
    </row>
    <row r="51" spans="1:13" ht="15" customHeight="1" x14ac:dyDescent="0.35">
      <c r="A51" s="263"/>
      <c r="B51" s="507" t="s">
        <v>492</v>
      </c>
      <c r="C51" s="508" t="s">
        <v>493</v>
      </c>
      <c r="D51" s="161"/>
      <c r="E51" s="161"/>
      <c r="F51" s="161"/>
      <c r="G51" s="161"/>
      <c r="H51" s="25"/>
      <c r="I51" s="169">
        <v>0</v>
      </c>
      <c r="J51" s="26"/>
      <c r="K51" s="14"/>
      <c r="L51" s="26"/>
      <c r="M51" s="315"/>
    </row>
    <row r="52" spans="1:13" ht="15" customHeight="1" x14ac:dyDescent="0.35">
      <c r="A52" s="263"/>
      <c r="B52" s="115" t="s">
        <v>494</v>
      </c>
      <c r="C52" s="508" t="s">
        <v>495</v>
      </c>
      <c r="D52" s="161"/>
      <c r="E52" s="161"/>
      <c r="F52" s="161"/>
      <c r="G52" s="161"/>
      <c r="H52" s="25"/>
      <c r="I52" s="169">
        <v>7078</v>
      </c>
      <c r="J52" s="26"/>
      <c r="K52" s="14"/>
      <c r="L52" s="26"/>
      <c r="M52" s="315"/>
    </row>
    <row r="53" spans="1:13" ht="15" customHeight="1" x14ac:dyDescent="0.35">
      <c r="A53" s="263"/>
      <c r="B53" s="507" t="s">
        <v>490</v>
      </c>
      <c r="C53" s="508" t="s">
        <v>496</v>
      </c>
      <c r="D53" s="364"/>
      <c r="E53" s="364"/>
      <c r="F53" s="364"/>
      <c r="G53" s="364"/>
      <c r="H53" s="25"/>
      <c r="I53" s="169">
        <v>0</v>
      </c>
      <c r="J53" s="26"/>
      <c r="K53" s="14"/>
      <c r="L53" s="26"/>
      <c r="M53" s="315"/>
    </row>
    <row r="54" spans="1:13" ht="15" customHeight="1" x14ac:dyDescent="0.35">
      <c r="A54" s="263"/>
      <c r="B54" s="36"/>
      <c r="C54" s="699" t="str">
        <f>"Check: sum of OBS items ≥ deduction of eligible specific and general provisions in row " &amp; ROW(A52)</f>
        <v>Check: sum of OBS items ≥ deduction of eligible specific and general provisions in row 52</v>
      </c>
      <c r="D54" s="363"/>
      <c r="E54" s="363"/>
      <c r="F54" s="363"/>
      <c r="G54" s="363"/>
      <c r="H54" s="36"/>
      <c r="I54" s="353" t="str">
        <f>IF(COUNT(I46:I52)=ROWS(I46:I52), IF(SUM(I46:I51)&gt;=I52,"Pass","Fail"), "")</f>
        <v>Pass</v>
      </c>
      <c r="J54" s="907"/>
      <c r="K54" s="19"/>
      <c r="L54" s="20"/>
      <c r="M54" s="315"/>
    </row>
    <row r="55" spans="1:13" ht="15" customHeight="1" x14ac:dyDescent="0.35">
      <c r="A55" s="259"/>
      <c r="B55" s="278"/>
      <c r="I55" s="98"/>
      <c r="J55" s="98"/>
      <c r="K55" s="98"/>
      <c r="L55" s="98"/>
      <c r="M55" s="567"/>
    </row>
    <row r="56" spans="1:13" ht="45" customHeight="1" x14ac:dyDescent="0.35">
      <c r="A56" s="601" t="s">
        <v>497</v>
      </c>
      <c r="B56" s="845"/>
      <c r="C56" s="741"/>
      <c r="D56" s="741"/>
      <c r="E56" s="741"/>
      <c r="F56" s="741"/>
      <c r="G56" s="741"/>
      <c r="H56" s="741"/>
      <c r="I56" s="741"/>
      <c r="J56" s="741"/>
      <c r="K56" s="741"/>
      <c r="L56" s="741"/>
      <c r="M56" s="537"/>
    </row>
    <row r="57" spans="1:13" ht="105" customHeight="1" x14ac:dyDescent="0.35">
      <c r="A57" s="263"/>
      <c r="B57" s="685" t="s">
        <v>427</v>
      </c>
      <c r="C57" s="2644"/>
      <c r="D57" s="2645"/>
      <c r="E57" s="2645"/>
      <c r="F57" s="2645"/>
      <c r="G57" s="752"/>
      <c r="H57" s="752"/>
      <c r="I57" s="760" t="s">
        <v>498</v>
      </c>
      <c r="J57" s="770" t="s">
        <v>499</v>
      </c>
      <c r="K57" s="765" t="s">
        <v>500</v>
      </c>
      <c r="L57" s="98"/>
      <c r="M57" s="315"/>
    </row>
    <row r="58" spans="1:13" ht="15" customHeight="1" x14ac:dyDescent="0.35">
      <c r="A58" s="263"/>
      <c r="B58" s="288" t="s">
        <v>501</v>
      </c>
      <c r="C58" s="425" t="s">
        <v>502</v>
      </c>
      <c r="D58" s="188"/>
      <c r="E58" s="188"/>
      <c r="F58" s="188"/>
      <c r="G58" s="463"/>
      <c r="H58" s="463"/>
      <c r="I58" s="599">
        <f>IF(ISNUMBER(I59), I59+I61, "")</f>
        <v>0</v>
      </c>
      <c r="J58" s="245"/>
      <c r="K58" s="374"/>
      <c r="L58" s="98"/>
      <c r="M58" s="315"/>
    </row>
    <row r="59" spans="1:13" ht="15" customHeight="1" x14ac:dyDescent="0.35">
      <c r="A59" s="263"/>
      <c r="B59" s="182"/>
      <c r="C59" s="508" t="s">
        <v>503</v>
      </c>
      <c r="D59" s="161"/>
      <c r="E59" s="161"/>
      <c r="F59" s="161"/>
      <c r="G59" s="161"/>
      <c r="H59" s="161"/>
      <c r="I59" s="175">
        <v>0</v>
      </c>
      <c r="J59" s="180"/>
      <c r="K59" s="178"/>
      <c r="L59" s="98"/>
      <c r="M59" s="315"/>
    </row>
    <row r="60" spans="1:13" ht="15" customHeight="1" x14ac:dyDescent="0.35">
      <c r="A60" s="263"/>
      <c r="B60" s="182"/>
      <c r="C60" s="592" t="s">
        <v>504</v>
      </c>
      <c r="D60" s="161"/>
      <c r="E60" s="161"/>
      <c r="F60" s="161"/>
      <c r="G60" s="161"/>
      <c r="H60" s="161"/>
      <c r="I60" s="175">
        <v>0</v>
      </c>
      <c r="J60" s="180"/>
      <c r="K60" s="178"/>
      <c r="L60" s="98"/>
      <c r="M60" s="315"/>
    </row>
    <row r="61" spans="1:13" ht="15" customHeight="1" x14ac:dyDescent="0.35">
      <c r="A61" s="263"/>
      <c r="B61" s="182"/>
      <c r="C61" s="508" t="s">
        <v>505</v>
      </c>
      <c r="D61" s="161"/>
      <c r="E61" s="161"/>
      <c r="F61" s="161"/>
      <c r="G61" s="161"/>
      <c r="H61" s="161"/>
      <c r="I61" s="173">
        <v>0</v>
      </c>
      <c r="J61" s="172">
        <v>0</v>
      </c>
      <c r="K61" s="136">
        <v>0</v>
      </c>
      <c r="L61" s="98"/>
      <c r="M61" s="315"/>
    </row>
    <row r="62" spans="1:13" ht="15" customHeight="1" x14ac:dyDescent="0.35">
      <c r="A62" s="263"/>
      <c r="B62" s="183"/>
      <c r="C62" s="508" t="s">
        <v>506</v>
      </c>
      <c r="D62" s="161"/>
      <c r="E62" s="161"/>
      <c r="F62" s="161"/>
      <c r="G62" s="161"/>
      <c r="H62" s="161"/>
      <c r="I62" s="181"/>
      <c r="J62" s="176">
        <f>IF(AND(ISNUMBER(I59), ISNUMBER(I60), ISNUMBER(J61)), I59-I60-J61, "")</f>
        <v>0</v>
      </c>
      <c r="K62" s="177">
        <f>IF(AND(ISNUMBER(I59), ISNUMBER(I60), ISNUMBER(K61)), I59-I60-K61, "")</f>
        <v>0</v>
      </c>
      <c r="L62" s="98"/>
      <c r="M62" s="315"/>
    </row>
    <row r="63" spans="1:13" ht="15" customHeight="1" x14ac:dyDescent="0.35">
      <c r="A63" s="263"/>
      <c r="B63" s="184"/>
      <c r="C63" s="2648" t="s">
        <v>507</v>
      </c>
      <c r="D63" s="2649"/>
      <c r="E63" s="2649"/>
      <c r="F63" s="2649"/>
      <c r="G63" s="2649"/>
      <c r="H63" s="2649"/>
      <c r="I63" s="360" t="str">
        <f>IF(AND(ISNUMBER(I59), ISNUMBER(I60)), IF(I60&lt;=I59,"Pass","Fail"), "")</f>
        <v>Pass</v>
      </c>
      <c r="J63" s="354" t="str">
        <f>IF(AND(ISNUMBER(I59), ISNUMBER(I60), ISNUMBER(I61), ISNUMBER(J61)), IF(AND(J61&lt;=I61, I59-I60&gt;=J61), "Pass", "Fail"), "")</f>
        <v>Pass</v>
      </c>
      <c r="K63" s="353" t="str">
        <f>IF(AND(ISNUMBER(J61), ISNUMBER(K61)), IF(K61&lt;=J61, "Pass", "Fail"), "")</f>
        <v>Pass</v>
      </c>
      <c r="L63" s="98"/>
      <c r="M63" s="315"/>
    </row>
    <row r="64" spans="1:13" ht="15" customHeight="1" x14ac:dyDescent="0.35">
      <c r="A64" s="717"/>
      <c r="B64" s="402"/>
      <c r="C64" s="403"/>
      <c r="D64" s="275"/>
      <c r="E64" s="275"/>
      <c r="F64" s="275"/>
      <c r="G64" s="275"/>
      <c r="H64" s="275"/>
      <c r="I64" s="275"/>
      <c r="J64" s="275"/>
      <c r="K64" s="275"/>
      <c r="L64" s="275"/>
      <c r="M64" s="567"/>
    </row>
    <row r="65" spans="1:13" ht="45" hidden="1" customHeight="1" x14ac:dyDescent="0.35">
      <c r="A65" s="98"/>
      <c r="B65"/>
      <c r="C65"/>
      <c r="D65"/>
      <c r="E65"/>
      <c r="F65"/>
      <c r="G65"/>
      <c r="H65"/>
      <c r="I65"/>
      <c r="J65"/>
      <c r="K65"/>
      <c r="L65"/>
      <c r="M65"/>
    </row>
    <row r="66" spans="1:13" ht="15" hidden="1" customHeight="1" x14ac:dyDescent="0.35">
      <c r="A66" s="98"/>
      <c r="B66"/>
      <c r="C66"/>
      <c r="D66"/>
      <c r="E66"/>
      <c r="F66"/>
      <c r="G66"/>
      <c r="H66"/>
      <c r="I66"/>
      <c r="J66"/>
      <c r="K66"/>
      <c r="L66"/>
      <c r="M66"/>
    </row>
    <row r="67" spans="1:13" ht="15" hidden="1" customHeight="1" x14ac:dyDescent="0.35">
      <c r="A67" s="98"/>
      <c r="B67"/>
      <c r="C67"/>
      <c r="D67"/>
      <c r="E67"/>
      <c r="F67"/>
      <c r="G67"/>
      <c r="H67"/>
      <c r="I67"/>
      <c r="J67"/>
      <c r="K67"/>
      <c r="L67"/>
      <c r="M67"/>
    </row>
    <row r="68" spans="1:13" ht="15" hidden="1" customHeight="1" x14ac:dyDescent="0.35">
      <c r="A68" s="98"/>
      <c r="B68"/>
      <c r="C68"/>
      <c r="D68"/>
      <c r="E68"/>
      <c r="F68"/>
      <c r="G68"/>
      <c r="H68"/>
      <c r="I68"/>
      <c r="J68"/>
      <c r="K68"/>
      <c r="L68"/>
      <c r="M68"/>
    </row>
    <row r="69" spans="1:13" ht="15" hidden="1" customHeight="1" x14ac:dyDescent="0.35">
      <c r="A69" s="98"/>
      <c r="B69"/>
      <c r="C69"/>
      <c r="D69"/>
      <c r="E69"/>
      <c r="F69"/>
      <c r="G69"/>
      <c r="H69"/>
      <c r="I69"/>
      <c r="J69"/>
      <c r="K69"/>
      <c r="L69"/>
      <c r="M69"/>
    </row>
    <row r="70" spans="1:13" ht="15" hidden="1" customHeight="1" x14ac:dyDescent="0.35">
      <c r="A70" s="98"/>
      <c r="B70"/>
      <c r="C70"/>
      <c r="D70"/>
      <c r="E70"/>
      <c r="F70"/>
      <c r="G70"/>
      <c r="H70"/>
      <c r="I70"/>
      <c r="J70"/>
      <c r="K70"/>
      <c r="L70"/>
      <c r="M70"/>
    </row>
    <row r="71" spans="1:13" ht="15" hidden="1" customHeight="1" x14ac:dyDescent="0.35">
      <c r="A71" s="98"/>
      <c r="B71"/>
      <c r="C71"/>
      <c r="D71"/>
      <c r="E71"/>
      <c r="F71"/>
      <c r="G71"/>
      <c r="H71"/>
      <c r="I71"/>
      <c r="J71"/>
      <c r="K71"/>
      <c r="L71"/>
      <c r="M71"/>
    </row>
    <row r="72" spans="1:13" ht="15" hidden="1" customHeight="1" x14ac:dyDescent="0.35">
      <c r="A72" s="98"/>
      <c r="B72"/>
      <c r="C72"/>
      <c r="D72"/>
      <c r="E72"/>
      <c r="F72"/>
      <c r="G72"/>
      <c r="H72"/>
      <c r="I72"/>
      <c r="J72"/>
      <c r="K72"/>
      <c r="L72"/>
      <c r="M72"/>
    </row>
    <row r="73" spans="1:13" ht="15" hidden="1" customHeight="1" x14ac:dyDescent="0.35">
      <c r="A73" s="98"/>
      <c r="B73"/>
      <c r="C73"/>
      <c r="D73"/>
      <c r="E73"/>
      <c r="F73"/>
      <c r="G73"/>
      <c r="H73"/>
      <c r="I73"/>
      <c r="J73"/>
      <c r="K73"/>
      <c r="L73"/>
      <c r="M73"/>
    </row>
    <row r="74" spans="1:13" ht="15" hidden="1" customHeight="1" x14ac:dyDescent="0.35">
      <c r="A74" s="98"/>
      <c r="B74"/>
      <c r="C74"/>
      <c r="D74"/>
      <c r="E74"/>
      <c r="F74"/>
      <c r="G74"/>
      <c r="H74"/>
      <c r="I74"/>
      <c r="J74"/>
      <c r="K74"/>
      <c r="L74"/>
      <c r="M74"/>
    </row>
    <row r="75" spans="1:13" ht="15" hidden="1" customHeight="1" x14ac:dyDescent="0.35">
      <c r="A75" s="98"/>
      <c r="B75"/>
      <c r="C75"/>
      <c r="D75"/>
      <c r="E75"/>
      <c r="F75"/>
      <c r="G75"/>
      <c r="H75"/>
      <c r="I75"/>
      <c r="J75"/>
      <c r="K75"/>
      <c r="L75"/>
      <c r="M75"/>
    </row>
    <row r="76" spans="1:13" ht="15" hidden="1" customHeight="1" x14ac:dyDescent="0.35">
      <c r="A76" s="98"/>
      <c r="B76"/>
      <c r="C76"/>
      <c r="D76"/>
      <c r="E76"/>
      <c r="F76"/>
      <c r="G76"/>
      <c r="H76"/>
      <c r="I76"/>
      <c r="J76"/>
      <c r="K76"/>
      <c r="L76"/>
      <c r="M76"/>
    </row>
    <row r="77" spans="1:13" ht="15" hidden="1" customHeight="1" x14ac:dyDescent="0.35">
      <c r="A77" s="98"/>
      <c r="B77"/>
      <c r="C77"/>
      <c r="D77"/>
      <c r="E77"/>
      <c r="F77"/>
      <c r="G77"/>
      <c r="H77"/>
      <c r="I77"/>
      <c r="J77"/>
      <c r="K77"/>
      <c r="L77"/>
      <c r="M77"/>
    </row>
    <row r="78" spans="1:13" ht="15" hidden="1" customHeight="1" x14ac:dyDescent="0.35">
      <c r="A78" s="98"/>
      <c r="B78"/>
      <c r="C78"/>
      <c r="D78"/>
      <c r="E78"/>
      <c r="F78"/>
      <c r="G78"/>
      <c r="H78"/>
      <c r="I78"/>
      <c r="J78"/>
      <c r="K78"/>
      <c r="L78"/>
      <c r="M78"/>
    </row>
    <row r="79" spans="1:13" ht="15" hidden="1" customHeight="1" x14ac:dyDescent="0.35">
      <c r="A79" s="98"/>
      <c r="B79"/>
      <c r="C79"/>
      <c r="D79"/>
      <c r="E79"/>
      <c r="F79"/>
      <c r="G79"/>
      <c r="H79"/>
      <c r="I79"/>
      <c r="J79"/>
      <c r="K79"/>
      <c r="L79"/>
      <c r="M79"/>
    </row>
    <row r="80" spans="1:13" ht="15" hidden="1" customHeight="1" x14ac:dyDescent="0.35">
      <c r="A80" s="98"/>
      <c r="B80"/>
      <c r="C80"/>
      <c r="D80"/>
      <c r="E80"/>
      <c r="F80"/>
      <c r="G80"/>
      <c r="H80"/>
      <c r="I80"/>
      <c r="J80"/>
      <c r="K80"/>
      <c r="L80"/>
      <c r="M80"/>
    </row>
    <row r="81" spans="1:13" ht="15" hidden="1" customHeight="1" x14ac:dyDescent="0.35">
      <c r="A81" s="98"/>
      <c r="B81"/>
      <c r="C81"/>
      <c r="D81"/>
      <c r="E81"/>
      <c r="F81"/>
      <c r="G81"/>
      <c r="H81"/>
      <c r="I81"/>
      <c r="J81"/>
      <c r="K81"/>
      <c r="L81"/>
      <c r="M81"/>
    </row>
    <row r="82" spans="1:13" ht="15" hidden="1" customHeight="1" x14ac:dyDescent="0.35">
      <c r="A82" s="98"/>
      <c r="B82"/>
      <c r="C82"/>
      <c r="D82"/>
      <c r="E82"/>
      <c r="F82"/>
      <c r="G82"/>
      <c r="H82"/>
      <c r="I82"/>
      <c r="J82"/>
      <c r="K82"/>
      <c r="L82"/>
      <c r="M82"/>
    </row>
    <row r="83" spans="1:13" ht="15" hidden="1" customHeight="1" x14ac:dyDescent="0.35">
      <c r="A83" s="98"/>
      <c r="B83"/>
      <c r="C83"/>
      <c r="D83"/>
      <c r="E83"/>
      <c r="F83"/>
      <c r="G83"/>
      <c r="H83"/>
      <c r="I83"/>
      <c r="J83"/>
      <c r="K83"/>
      <c r="L83"/>
      <c r="M83"/>
    </row>
    <row r="84" spans="1:13" ht="15" hidden="1" customHeight="1" x14ac:dyDescent="0.35">
      <c r="A84" s="98"/>
      <c r="B84"/>
      <c r="C84"/>
      <c r="D84"/>
      <c r="E84"/>
      <c r="F84"/>
      <c r="G84"/>
      <c r="H84"/>
      <c r="I84"/>
      <c r="J84"/>
      <c r="K84"/>
      <c r="L84"/>
      <c r="M84"/>
    </row>
    <row r="85" spans="1:13" ht="15" hidden="1" customHeight="1" x14ac:dyDescent="0.35">
      <c r="A85" s="98"/>
      <c r="B85"/>
      <c r="C85"/>
      <c r="D85"/>
      <c r="E85"/>
      <c r="F85"/>
      <c r="G85"/>
      <c r="H85"/>
      <c r="I85"/>
      <c r="J85"/>
      <c r="K85"/>
      <c r="L85"/>
      <c r="M85"/>
    </row>
    <row r="86" spans="1:13" ht="15" hidden="1" customHeight="1" x14ac:dyDescent="0.35">
      <c r="A86" s="98"/>
      <c r="B86"/>
      <c r="C86"/>
      <c r="D86"/>
      <c r="E86"/>
      <c r="F86"/>
      <c r="G86"/>
      <c r="H86"/>
      <c r="I86"/>
      <c r="J86"/>
      <c r="K86"/>
      <c r="L86"/>
      <c r="M86"/>
    </row>
    <row r="87" spans="1:13" ht="15" hidden="1" customHeight="1" x14ac:dyDescent="0.35">
      <c r="A87" s="98"/>
      <c r="B87"/>
      <c r="C87"/>
      <c r="D87"/>
      <c r="E87"/>
      <c r="F87"/>
      <c r="G87"/>
      <c r="H87"/>
      <c r="I87"/>
      <c r="J87"/>
      <c r="K87"/>
      <c r="L87"/>
      <c r="M87"/>
    </row>
    <row r="88" spans="1:13" ht="15" hidden="1" customHeight="1" x14ac:dyDescent="0.35">
      <c r="A88" s="98"/>
      <c r="B88"/>
      <c r="C88"/>
      <c r="D88"/>
      <c r="E88"/>
      <c r="F88"/>
      <c r="G88"/>
      <c r="H88"/>
      <c r="I88"/>
      <c r="J88"/>
      <c r="K88"/>
      <c r="L88"/>
      <c r="M88"/>
    </row>
    <row r="89" spans="1:13" ht="15" hidden="1" customHeight="1" x14ac:dyDescent="0.35">
      <c r="A89" s="98"/>
      <c r="B89"/>
      <c r="C89"/>
      <c r="D89"/>
      <c r="E89"/>
      <c r="F89"/>
      <c r="G89"/>
      <c r="H89"/>
      <c r="I89"/>
      <c r="J89"/>
      <c r="K89"/>
      <c r="L89"/>
      <c r="M89"/>
    </row>
    <row r="90" spans="1:13" ht="15" hidden="1" customHeight="1" x14ac:dyDescent="0.35">
      <c r="A90" s="98"/>
      <c r="B90"/>
      <c r="C90"/>
      <c r="D90"/>
      <c r="E90"/>
      <c r="F90"/>
      <c r="G90"/>
      <c r="H90"/>
      <c r="I90"/>
      <c r="J90"/>
      <c r="K90"/>
      <c r="L90"/>
      <c r="M90"/>
    </row>
    <row r="91" spans="1:13" ht="45" customHeight="1" x14ac:dyDescent="0.35">
      <c r="A91" s="601" t="s">
        <v>508</v>
      </c>
      <c r="B91" s="845"/>
      <c r="C91" s="846"/>
      <c r="D91" s="846"/>
      <c r="E91" s="846"/>
      <c r="F91" s="846"/>
      <c r="G91" s="846"/>
      <c r="H91" s="846"/>
      <c r="I91" s="846"/>
      <c r="J91" s="846"/>
      <c r="K91" s="846"/>
      <c r="L91" s="846"/>
      <c r="M91" s="537"/>
    </row>
    <row r="92" spans="1:13" ht="45" customHeight="1" x14ac:dyDescent="0.35">
      <c r="A92" s="259"/>
      <c r="B92" s="760" t="s">
        <v>509</v>
      </c>
      <c r="C92" s="920"/>
      <c r="D92" s="921"/>
      <c r="E92" s="921"/>
      <c r="F92" s="921"/>
      <c r="G92" s="760" t="s">
        <v>430</v>
      </c>
      <c r="H92" s="770" t="s">
        <v>510</v>
      </c>
      <c r="I92" s="770" t="s">
        <v>465</v>
      </c>
      <c r="J92" s="770" t="s">
        <v>279</v>
      </c>
      <c r="K92" s="765" t="s">
        <v>131</v>
      </c>
      <c r="L92" s="98"/>
      <c r="M92" s="315"/>
    </row>
    <row r="93" spans="1:13" ht="15" customHeight="1" x14ac:dyDescent="0.35">
      <c r="A93" s="259"/>
      <c r="B93" s="515"/>
      <c r="C93" s="1572" t="s">
        <v>511</v>
      </c>
      <c r="D93" s="1289"/>
      <c r="E93" s="1289"/>
      <c r="F93" s="1573"/>
      <c r="G93" s="792"/>
      <c r="H93" s="470"/>
      <c r="I93" s="470"/>
      <c r="J93" s="470"/>
      <c r="K93" s="471"/>
      <c r="L93" s="98"/>
      <c r="M93" s="315"/>
    </row>
    <row r="94" spans="1:13" ht="15" customHeight="1" x14ac:dyDescent="0.35">
      <c r="A94" s="259"/>
      <c r="B94" s="182"/>
      <c r="C94" s="2650" t="s">
        <v>512</v>
      </c>
      <c r="D94" s="2651"/>
      <c r="E94" s="2651"/>
      <c r="F94" s="2652"/>
      <c r="G94" s="793"/>
      <c r="H94" s="1">
        <v>0</v>
      </c>
      <c r="I94" s="14"/>
      <c r="J94" s="14"/>
      <c r="K94" s="26"/>
      <c r="L94" s="98"/>
      <c r="M94" s="315"/>
    </row>
    <row r="95" spans="1:13" ht="15" customHeight="1" x14ac:dyDescent="0.35">
      <c r="A95" s="259"/>
      <c r="B95" s="182"/>
      <c r="C95" s="2650" t="s">
        <v>513</v>
      </c>
      <c r="D95" s="2651"/>
      <c r="E95" s="2651"/>
      <c r="F95" s="2652"/>
      <c r="G95" s="808"/>
      <c r="H95" s="1">
        <v>404789</v>
      </c>
      <c r="I95" s="808"/>
      <c r="J95" s="808"/>
      <c r="K95" s="810"/>
      <c r="L95" s="98"/>
      <c r="M95" s="315"/>
    </row>
    <row r="96" spans="1:13" ht="15" hidden="1" customHeight="1" x14ac:dyDescent="0.35">
      <c r="A96" s="259"/>
      <c r="B96" s="182"/>
      <c r="C96" s="178"/>
      <c r="D96" s="531"/>
      <c r="E96" s="531"/>
      <c r="F96" s="182"/>
      <c r="G96" s="180"/>
      <c r="H96" s="180"/>
      <c r="I96" s="180"/>
      <c r="J96" s="180"/>
      <c r="K96" s="178"/>
      <c r="L96" s="98"/>
      <c r="M96" s="315"/>
    </row>
    <row r="97" spans="1:13" ht="15" customHeight="1" x14ac:dyDescent="0.35">
      <c r="A97" s="259"/>
      <c r="B97" s="182"/>
      <c r="C97" s="1574" t="s">
        <v>514</v>
      </c>
      <c r="D97" s="1575"/>
      <c r="E97" s="1575"/>
      <c r="F97" s="1576"/>
      <c r="G97" s="793"/>
      <c r="H97" s="14"/>
      <c r="I97" s="14"/>
      <c r="J97" s="14"/>
      <c r="K97" s="26"/>
      <c r="L97" s="98"/>
      <c r="M97" s="315"/>
    </row>
    <row r="98" spans="1:13" ht="15" customHeight="1" x14ac:dyDescent="0.35">
      <c r="A98" s="259"/>
      <c r="B98" s="1579" t="s">
        <v>515</v>
      </c>
      <c r="C98" s="438" t="s">
        <v>516</v>
      </c>
      <c r="D98" s="196"/>
      <c r="E98" s="196"/>
      <c r="F98" s="1577"/>
      <c r="G98" s="793"/>
      <c r="H98" s="14"/>
      <c r="I98" s="14"/>
      <c r="J98" s="1">
        <v>57058</v>
      </c>
      <c r="K98" s="34">
        <v>57058</v>
      </c>
      <c r="L98" s="98"/>
      <c r="M98" s="315"/>
    </row>
    <row r="99" spans="1:13" ht="15" customHeight="1" x14ac:dyDescent="0.35">
      <c r="A99" s="259"/>
      <c r="B99" s="1580" t="s">
        <v>328</v>
      </c>
      <c r="C99" s="700" t="s">
        <v>517</v>
      </c>
      <c r="D99" s="608"/>
      <c r="E99" s="608"/>
      <c r="F99" s="1578"/>
      <c r="G99" s="1581"/>
      <c r="H99" s="19"/>
      <c r="I99" s="19"/>
      <c r="J99" s="24">
        <v>8641</v>
      </c>
      <c r="K99" s="72">
        <v>8641</v>
      </c>
      <c r="L99" s="98"/>
      <c r="M99" s="315"/>
    </row>
    <row r="100" spans="1:13" ht="15" customHeight="1" x14ac:dyDescent="0.35">
      <c r="A100" s="259"/>
      <c r="M100" s="315"/>
    </row>
    <row r="101" spans="1:13" ht="45" customHeight="1" x14ac:dyDescent="0.35">
      <c r="A101" s="601" t="s">
        <v>518</v>
      </c>
      <c r="B101" s="845"/>
      <c r="C101" s="846"/>
      <c r="D101" s="846"/>
      <c r="E101" s="846"/>
      <c r="F101" s="846"/>
      <c r="G101" s="846"/>
      <c r="H101" s="741"/>
      <c r="I101" s="741"/>
      <c r="J101" s="846"/>
      <c r="K101" s="846"/>
      <c r="L101" s="846"/>
      <c r="M101" s="537"/>
    </row>
    <row r="102" spans="1:13" ht="45" customHeight="1" x14ac:dyDescent="0.35">
      <c r="A102" s="260"/>
      <c r="B102" s="845"/>
      <c r="C102" s="846"/>
      <c r="D102" s="846"/>
      <c r="E102" s="846"/>
      <c r="F102" s="846"/>
      <c r="G102" s="846"/>
      <c r="H102" s="848" t="s">
        <v>519</v>
      </c>
      <c r="I102" s="918" t="s">
        <v>520</v>
      </c>
      <c r="J102" s="918" t="s">
        <v>521</v>
      </c>
      <c r="K102" s="918" t="s">
        <v>522</v>
      </c>
      <c r="L102" s="918" t="s">
        <v>523</v>
      </c>
      <c r="M102" s="315"/>
    </row>
    <row r="103" spans="1:13" ht="15" customHeight="1" x14ac:dyDescent="0.35">
      <c r="A103" s="259"/>
      <c r="B103" s="515"/>
      <c r="C103" s="804" t="str">
        <f>"Leverage ratio exposure measure post regulatory adjustments but pre exclusions reported in row " &amp; ROW(H95)</f>
        <v>Leverage ratio exposure measure post regulatory adjustments but pre exclusions reported in row 95</v>
      </c>
      <c r="D103" s="607"/>
      <c r="E103" s="607"/>
      <c r="F103" s="607"/>
      <c r="G103" s="463"/>
      <c r="H103" s="606">
        <v>56510977</v>
      </c>
      <c r="I103" s="527"/>
      <c r="J103" s="527"/>
      <c r="K103" s="527"/>
      <c r="L103" s="521"/>
      <c r="M103" s="315"/>
    </row>
    <row r="104" spans="1:13" ht="15" customHeight="1" x14ac:dyDescent="0.35">
      <c r="A104" s="259"/>
      <c r="B104" s="25"/>
      <c r="C104" s="151" t="s">
        <v>524</v>
      </c>
      <c r="D104" s="37"/>
      <c r="E104" s="37"/>
      <c r="F104" s="37"/>
      <c r="G104" s="161"/>
      <c r="H104" s="173">
        <v>163866</v>
      </c>
      <c r="I104" s="186">
        <f>IF(AND(ISNUMBER(H104), ISNUMBER(K6)), 0.4*H104-1.4*K6, "")</f>
        <v>65546.400000000009</v>
      </c>
      <c r="J104" s="180"/>
      <c r="K104" s="180"/>
      <c r="L104" s="178"/>
      <c r="M104" s="315"/>
    </row>
    <row r="105" spans="1:13" ht="15" customHeight="1" x14ac:dyDescent="0.35">
      <c r="A105" s="259"/>
      <c r="B105" s="25"/>
      <c r="C105" s="151" t="s">
        <v>525</v>
      </c>
      <c r="D105" s="37"/>
      <c r="E105" s="37"/>
      <c r="F105" s="37"/>
      <c r="G105" s="161"/>
      <c r="H105" s="173">
        <v>89125</v>
      </c>
      <c r="I105" s="186">
        <f>IF(AND(ISNUMBER(J33), ISNUMBER(J36), ISNUMBER(H105)), 1.4*(J33-J36)-H105+IF(AND(ISNUMBER(K34), ISNUMBER(J34)), K34-J34, IF(AND(ISNUMBER(K34), ISNUMBER(H34)), K34-H34, "")), "")</f>
        <v>35649.999999999985</v>
      </c>
      <c r="J105" s="180"/>
      <c r="K105" s="180"/>
      <c r="L105" s="178"/>
      <c r="M105" s="315"/>
    </row>
    <row r="106" spans="1:13" ht="15" customHeight="1" x14ac:dyDescent="0.35">
      <c r="A106" s="259"/>
      <c r="B106" s="25"/>
      <c r="C106" s="151" t="s">
        <v>526</v>
      </c>
      <c r="D106" s="37"/>
      <c r="E106" s="37"/>
      <c r="F106" s="37"/>
      <c r="G106" s="161"/>
      <c r="H106" s="173">
        <v>0</v>
      </c>
      <c r="I106" s="186">
        <f>IF(AND(ISNUMBER(K62), ISNUMBER(H106)), K62-H106, "")</f>
        <v>0</v>
      </c>
      <c r="J106" s="180"/>
      <c r="K106" s="180"/>
      <c r="L106" s="178"/>
      <c r="M106" s="315"/>
    </row>
    <row r="107" spans="1:13" ht="15" customHeight="1" x14ac:dyDescent="0.35">
      <c r="A107" s="259"/>
      <c r="B107" s="25"/>
      <c r="C107" s="151" t="s">
        <v>203</v>
      </c>
      <c r="D107" s="37"/>
      <c r="E107" s="37"/>
      <c r="F107" s="37"/>
      <c r="G107" s="161"/>
      <c r="H107" s="182"/>
      <c r="I107" s="186">
        <f>IF(AND(ISNUMBER(I16), ISNUMBER(I17), ISNUMBER(I18), ISNUMBER(I19), ISNUMBER(H20), ISNUMBER(I20), ISNUMBER(I26),ISNUMBER(G19), ISNUMBER(G20)), -I16-I17+I18-I26+IF(I19=G19, -G20+H20, -G19+I19-I20+H20), "")</f>
        <v>-382335</v>
      </c>
      <c r="J107" s="180"/>
      <c r="K107" s="180"/>
      <c r="L107" s="178"/>
      <c r="M107" s="315"/>
    </row>
    <row r="108" spans="1:13" ht="15" customHeight="1" x14ac:dyDescent="0.35">
      <c r="A108" s="259"/>
      <c r="B108" s="25"/>
      <c r="C108" s="151" t="s">
        <v>527</v>
      </c>
      <c r="D108" s="37"/>
      <c r="E108" s="37"/>
      <c r="F108" s="37"/>
      <c r="G108" s="161"/>
      <c r="H108" s="173">
        <v>1057535</v>
      </c>
      <c r="I108" s="180"/>
      <c r="J108" s="180"/>
      <c r="K108" s="180"/>
      <c r="L108" s="178"/>
      <c r="M108" s="315"/>
    </row>
    <row r="109" spans="1:13" ht="15" customHeight="1" x14ac:dyDescent="0.35">
      <c r="A109" s="259"/>
      <c r="B109" s="25"/>
      <c r="C109" s="217" t="s">
        <v>528</v>
      </c>
      <c r="D109" s="37"/>
      <c r="E109" s="37"/>
      <c r="F109" s="37"/>
      <c r="G109" s="161"/>
      <c r="H109" s="173">
        <v>25654</v>
      </c>
      <c r="I109" s="180"/>
      <c r="J109" s="180"/>
      <c r="K109" s="180"/>
      <c r="L109" s="178"/>
      <c r="M109" s="315"/>
    </row>
    <row r="110" spans="1:13" ht="15" customHeight="1" x14ac:dyDescent="0.35">
      <c r="A110" s="259"/>
      <c r="B110" s="25"/>
      <c r="C110" s="217" t="s">
        <v>529</v>
      </c>
      <c r="D110" s="37"/>
      <c r="E110" s="37"/>
      <c r="F110" s="37"/>
      <c r="G110" s="161"/>
      <c r="H110" s="173">
        <v>367720</v>
      </c>
      <c r="I110" s="180"/>
      <c r="J110" s="180"/>
      <c r="K110" s="180"/>
      <c r="L110" s="178"/>
      <c r="M110" s="315"/>
    </row>
    <row r="111" spans="1:13" ht="15" customHeight="1" x14ac:dyDescent="0.35">
      <c r="A111" s="259"/>
      <c r="B111" s="25"/>
      <c r="C111" s="217" t="s">
        <v>530</v>
      </c>
      <c r="D111" s="37"/>
      <c r="E111" s="37"/>
      <c r="F111" s="37"/>
      <c r="G111" s="161"/>
      <c r="H111" s="173">
        <v>35481</v>
      </c>
      <c r="I111" s="186">
        <f>IF(AND(ISNUMBER(I46),ISNUMBER(I47),ISNUMBER(I48),ISNUMBER(I49),ISNUMBER(I50),ISNUMBER(I51),ISNUMBER(I52),ISNUMBER(I53),ISNUMBER(H108),ISNUMBER(H109),ISNUMBER(H110),ISNUMBER(H111)), 0.1*I46+0.2*I47+0.4*I48+0.5*I49+I50+I51-I52+I53-0.1*H108-0.2*H109-0.5*H110-H111, "")</f>
        <v>-1947.2000000000116</v>
      </c>
      <c r="J111" s="180"/>
      <c r="K111" s="180"/>
      <c r="L111" s="178"/>
      <c r="M111" s="315"/>
    </row>
    <row r="112" spans="1:13" ht="15" customHeight="1" x14ac:dyDescent="0.35">
      <c r="A112" s="259"/>
      <c r="B112" s="25"/>
      <c r="C112" s="290" t="s">
        <v>531</v>
      </c>
      <c r="D112" s="37"/>
      <c r="E112" s="37"/>
      <c r="F112" s="37"/>
      <c r="G112" s="161"/>
      <c r="H112" s="711"/>
      <c r="I112" s="180"/>
      <c r="J112" s="573">
        <f>IF(AND(ISNUMBER(H103), ISNUMBER(I104), ISNUMBER(I105), ISNUMBER(I106), ISNUMBER(I107), ISNUMBER(I111)), H103+I104+I105+I106+I107+I111, "")</f>
        <v>56227891.199999996</v>
      </c>
      <c r="K112" s="186">
        <f>IF(ISNUMBER(H95), H95, 0)</f>
        <v>404789</v>
      </c>
      <c r="L112" s="847">
        <f>IF(AND(ISNUMBER(H103), ISNUMBER(I104), ISNUMBER(I105), ISNUMBER(I106), ISNUMBER(I107), ISNUMBER(I111)), H103+I104+I105+I106+I107+I111-K112, "")</f>
        <v>55823102.199999996</v>
      </c>
      <c r="M112" s="315"/>
    </row>
    <row r="113" spans="1:13" ht="15" customHeight="1" x14ac:dyDescent="0.35">
      <c r="A113" s="259"/>
      <c r="B113" s="36"/>
      <c r="C113" s="216" t="s">
        <v>532</v>
      </c>
      <c r="D113" s="608"/>
      <c r="E113" s="608"/>
      <c r="F113" s="608"/>
      <c r="G113" s="171"/>
      <c r="H113" s="179"/>
      <c r="I113" s="234"/>
      <c r="J113" s="835">
        <f>IF(AND(ISNUMBER('General Info'!$D$66), ISNUMBER(J112)), 'General Info'!$D$66/J112, "")</f>
        <v>4.5913388265217389E-2</v>
      </c>
      <c r="K113" s="234"/>
      <c r="L113" s="836">
        <f>IF(AND(ISNUMBER('General Info'!$D$66), ISNUMBER(L112)), 'General Info'!$D$66/L112, "")</f>
        <v>4.6246319144907719E-2</v>
      </c>
      <c r="M113" s="315"/>
    </row>
    <row r="114" spans="1:13" ht="15" customHeight="1" x14ac:dyDescent="0.35">
      <c r="A114" s="729"/>
      <c r="B114" s="278"/>
      <c r="C114" s="278"/>
      <c r="D114" s="278"/>
      <c r="E114" s="278"/>
      <c r="F114" s="278"/>
      <c r="G114" s="278"/>
      <c r="H114" s="278"/>
      <c r="I114" s="278"/>
      <c r="J114" s="388"/>
      <c r="K114" s="388"/>
      <c r="L114" s="388"/>
      <c r="M114" s="567"/>
    </row>
    <row r="115" spans="1:13" ht="45" customHeight="1" x14ac:dyDescent="0.35">
      <c r="A115" s="601" t="s">
        <v>533</v>
      </c>
      <c r="B115" s="845"/>
      <c r="C115" s="846"/>
      <c r="D115" s="846"/>
      <c r="E115" s="846"/>
      <c r="F115" s="846"/>
      <c r="G115" s="846"/>
      <c r="H115" s="846"/>
      <c r="I115" s="846"/>
      <c r="J115" s="846"/>
      <c r="K115" s="846"/>
      <c r="L115" s="846"/>
      <c r="M115" s="537"/>
    </row>
    <row r="116" spans="1:13" ht="15" customHeight="1" x14ac:dyDescent="0.35">
      <c r="A116" s="259"/>
      <c r="B116" s="602"/>
      <c r="C116" s="922" t="s">
        <v>534</v>
      </c>
      <c r="D116" s="884"/>
      <c r="E116" s="884"/>
      <c r="F116" s="884"/>
      <c r="G116" s="884"/>
      <c r="H116" s="884"/>
      <c r="I116" s="884"/>
      <c r="J116" s="884"/>
      <c r="K116" s="848" t="s">
        <v>535</v>
      </c>
      <c r="M116" s="315"/>
    </row>
    <row r="117" spans="1:13" ht="15" customHeight="1" x14ac:dyDescent="0.35">
      <c r="A117" s="259"/>
      <c r="B117" s="603"/>
      <c r="C117" s="1799" t="s">
        <v>536</v>
      </c>
      <c r="D117" s="464"/>
      <c r="E117" s="464"/>
      <c r="F117" s="464"/>
      <c r="G117" s="464"/>
      <c r="H117" s="464"/>
      <c r="I117" s="464"/>
      <c r="J117" s="464"/>
      <c r="K117" s="604">
        <f>IF(AND(ISNUMBER(K118),ISNUMBER(K122),ISNUMBER(K149)),K118+K122+K149,"")</f>
        <v>56510976.894999996</v>
      </c>
      <c r="M117" s="315"/>
    </row>
    <row r="118" spans="1:13" ht="15" customHeight="1" x14ac:dyDescent="0.35">
      <c r="A118" s="259"/>
      <c r="B118" s="13"/>
      <c r="C118" s="389" t="s">
        <v>537</v>
      </c>
      <c r="D118" s="390"/>
      <c r="E118" s="390"/>
      <c r="F118" s="390"/>
      <c r="G118" s="390"/>
      <c r="H118" s="390"/>
      <c r="I118" s="390"/>
      <c r="J118" s="390"/>
      <c r="K118" s="80">
        <f>IF(AND(ISNUMBER(K119),ISNUMBER(K120),ISNUMBER(K121)),SUM(K119:K121),"")</f>
        <v>63284</v>
      </c>
      <c r="M118" s="315"/>
    </row>
    <row r="119" spans="1:13" ht="15" customHeight="1" x14ac:dyDescent="0.35">
      <c r="A119" s="259"/>
      <c r="B119" s="13"/>
      <c r="C119" s="391" t="s">
        <v>468</v>
      </c>
      <c r="D119" s="390"/>
      <c r="E119" s="390"/>
      <c r="F119" s="390"/>
      <c r="G119" s="390"/>
      <c r="H119" s="390"/>
      <c r="I119" s="390"/>
      <c r="J119" s="390"/>
      <c r="K119" s="109">
        <v>4896</v>
      </c>
      <c r="M119" s="315"/>
    </row>
    <row r="120" spans="1:13" ht="15" customHeight="1" x14ac:dyDescent="0.35">
      <c r="A120" s="259"/>
      <c r="B120" s="13"/>
      <c r="C120" s="391" t="s">
        <v>538</v>
      </c>
      <c r="D120" s="390"/>
      <c r="E120" s="390"/>
      <c r="F120" s="390"/>
      <c r="G120" s="390"/>
      <c r="H120" s="390"/>
      <c r="I120" s="390"/>
      <c r="J120" s="390"/>
      <c r="K120" s="109">
        <v>0</v>
      </c>
      <c r="M120" s="315"/>
    </row>
    <row r="121" spans="1:13" ht="15" customHeight="1" x14ac:dyDescent="0.35">
      <c r="A121" s="259"/>
      <c r="B121" s="13"/>
      <c r="C121" s="392" t="s">
        <v>539</v>
      </c>
      <c r="D121" s="390"/>
      <c r="E121" s="390"/>
      <c r="F121" s="390"/>
      <c r="G121" s="390"/>
      <c r="H121" s="390"/>
      <c r="I121" s="390"/>
      <c r="J121" s="390"/>
      <c r="K121" s="109">
        <v>58388</v>
      </c>
      <c r="M121" s="315"/>
    </row>
    <row r="122" spans="1:13" ht="15" customHeight="1" x14ac:dyDescent="0.35">
      <c r="A122" s="259"/>
      <c r="B122" s="13"/>
      <c r="C122" s="389" t="s">
        <v>540</v>
      </c>
      <c r="D122" s="390"/>
      <c r="E122" s="390"/>
      <c r="F122" s="390"/>
      <c r="G122" s="390"/>
      <c r="H122" s="390"/>
      <c r="I122" s="390"/>
      <c r="J122" s="390"/>
      <c r="K122" s="80">
        <f>IF(AND(ISNUMBER(K123),ISNUMBER(K124),ISNUMBER(K125),ISNUMBER(K126)),SUM(K123:K126),"")</f>
        <v>56447692.894999996</v>
      </c>
      <c r="M122" s="315"/>
    </row>
    <row r="123" spans="1:13" ht="15" customHeight="1" x14ac:dyDescent="0.35">
      <c r="A123" s="259"/>
      <c r="B123" s="13"/>
      <c r="C123" s="391" t="s">
        <v>468</v>
      </c>
      <c r="D123" s="390"/>
      <c r="E123" s="390"/>
      <c r="F123" s="390"/>
      <c r="G123" s="390"/>
      <c r="H123" s="390"/>
      <c r="I123" s="390"/>
      <c r="J123" s="390"/>
      <c r="K123" s="109">
        <v>148739</v>
      </c>
      <c r="M123" s="315"/>
    </row>
    <row r="124" spans="1:13" ht="15" customHeight="1" x14ac:dyDescent="0.35">
      <c r="A124" s="259"/>
      <c r="B124" s="13"/>
      <c r="C124" s="391" t="s">
        <v>538</v>
      </c>
      <c r="D124" s="390"/>
      <c r="E124" s="390"/>
      <c r="F124" s="390"/>
      <c r="G124" s="390"/>
      <c r="H124" s="390"/>
      <c r="I124" s="390"/>
      <c r="J124" s="390"/>
      <c r="K124" s="109">
        <v>0</v>
      </c>
      <c r="M124" s="315"/>
    </row>
    <row r="125" spans="1:13" ht="15" customHeight="1" x14ac:dyDescent="0.35">
      <c r="A125" s="259"/>
      <c r="B125" s="13"/>
      <c r="C125" s="392" t="s">
        <v>541</v>
      </c>
      <c r="D125" s="390"/>
      <c r="E125" s="390"/>
      <c r="F125" s="390"/>
      <c r="G125" s="390"/>
      <c r="H125" s="390"/>
      <c r="I125" s="390"/>
      <c r="J125" s="390"/>
      <c r="K125" s="109">
        <v>0</v>
      </c>
      <c r="M125" s="315"/>
    </row>
    <row r="126" spans="1:13" ht="15" customHeight="1" x14ac:dyDescent="0.35">
      <c r="A126" s="259"/>
      <c r="B126" s="13"/>
      <c r="C126" s="392" t="s">
        <v>542</v>
      </c>
      <c r="D126" s="390"/>
      <c r="E126" s="390"/>
      <c r="F126" s="390"/>
      <c r="G126" s="390"/>
      <c r="H126" s="390"/>
      <c r="I126" s="390"/>
      <c r="J126" s="390"/>
      <c r="K126" s="80">
        <f>IF(AND(ISNUMBER(K127),ISNUMBER(K134),ISNUMBER(K135),ISNUMBER(K140),ISNUMBER(K146)),SUM(K127,K134,K135,K140,K146),"")</f>
        <v>56298953.894999996</v>
      </c>
      <c r="M126" s="315"/>
    </row>
    <row r="127" spans="1:13" ht="15" customHeight="1" x14ac:dyDescent="0.35">
      <c r="A127" s="259"/>
      <c r="B127" s="13"/>
      <c r="C127" s="393" t="s">
        <v>543</v>
      </c>
      <c r="D127" s="390"/>
      <c r="E127" s="390"/>
      <c r="F127" s="390"/>
      <c r="G127" s="390"/>
      <c r="H127" s="390"/>
      <c r="I127" s="390"/>
      <c r="J127" s="390"/>
      <c r="K127" s="80">
        <f>IF(AND(ISNUMBER(K128),ISNUMBER(K132),ISNUMBER(K133)),SUM(K128,K132:K133),"")</f>
        <v>19483886.938000001</v>
      </c>
      <c r="M127" s="315"/>
    </row>
    <row r="128" spans="1:13" ht="15" customHeight="1" x14ac:dyDescent="0.35">
      <c r="A128" s="259"/>
      <c r="B128" s="13"/>
      <c r="C128" s="394" t="s">
        <v>544</v>
      </c>
      <c r="D128" s="390"/>
      <c r="E128" s="390"/>
      <c r="F128" s="390"/>
      <c r="G128" s="390"/>
      <c r="H128" s="390"/>
      <c r="I128" s="390"/>
      <c r="J128" s="390"/>
      <c r="K128" s="109">
        <v>148840</v>
      </c>
      <c r="M128" s="315"/>
    </row>
    <row r="129" spans="1:13" ht="15" customHeight="1" x14ac:dyDescent="0.35">
      <c r="A129" s="259"/>
      <c r="B129" s="13"/>
      <c r="C129" s="908" t="s">
        <v>545</v>
      </c>
      <c r="D129" s="390"/>
      <c r="E129" s="390"/>
      <c r="F129" s="390"/>
      <c r="G129" s="390"/>
      <c r="H129" s="390"/>
      <c r="I129" s="390"/>
      <c r="J129" s="390"/>
      <c r="K129" s="109">
        <v>148840</v>
      </c>
      <c r="M129" s="315"/>
    </row>
    <row r="130" spans="1:13" ht="15" customHeight="1" x14ac:dyDescent="0.35">
      <c r="A130" s="259"/>
      <c r="B130" s="13"/>
      <c r="C130" s="2646" t="s">
        <v>546</v>
      </c>
      <c r="D130" s="2647"/>
      <c r="E130" s="2647"/>
      <c r="F130" s="2647"/>
      <c r="G130" s="2647"/>
      <c r="H130" s="2647"/>
      <c r="I130" s="390"/>
      <c r="J130" s="390"/>
      <c r="K130" s="109">
        <v>0</v>
      </c>
      <c r="M130" s="315"/>
    </row>
    <row r="131" spans="1:13" ht="15" customHeight="1" x14ac:dyDescent="0.35">
      <c r="A131" s="259"/>
      <c r="B131" s="13"/>
      <c r="C131" s="395" t="str">
        <f>CONCATENATE("Check: PSEs in rows ", ROW(C129), " and ", ROW(C130), " should be less than or equal to overall PSEs in row ", ROW(C128))</f>
        <v>Check: PSEs in rows 129 and 130 should be less than or equal to overall PSEs in row 128</v>
      </c>
      <c r="D131" s="390"/>
      <c r="E131" s="390"/>
      <c r="F131" s="390"/>
      <c r="G131" s="390"/>
      <c r="H131" s="390"/>
      <c r="I131" s="390"/>
      <c r="J131" s="390"/>
      <c r="K131" s="404" t="str">
        <f>IF(AND(ISNUMBER(K128),ISNUMBER(K129),ISNUMBER(K130)),IF(K129+K130&lt;=K128,"Pass","Fail"),"")</f>
        <v>Pass</v>
      </c>
      <c r="M131" s="315"/>
    </row>
    <row r="132" spans="1:13" ht="15" customHeight="1" x14ac:dyDescent="0.35">
      <c r="A132" s="259"/>
      <c r="B132" s="13"/>
      <c r="C132" s="394" t="s">
        <v>547</v>
      </c>
      <c r="D132" s="390"/>
      <c r="E132" s="390"/>
      <c r="F132" s="390"/>
      <c r="G132" s="390"/>
      <c r="H132" s="390"/>
      <c r="I132" s="390"/>
      <c r="J132" s="390"/>
      <c r="K132" s="109">
        <v>226510.26800000001</v>
      </c>
      <c r="M132" s="315"/>
    </row>
    <row r="133" spans="1:13" ht="15" customHeight="1" x14ac:dyDescent="0.35">
      <c r="A133" s="259"/>
      <c r="B133" s="13"/>
      <c r="C133" s="394" t="s">
        <v>548</v>
      </c>
      <c r="D133" s="390"/>
      <c r="E133" s="390"/>
      <c r="F133" s="390"/>
      <c r="G133" s="390"/>
      <c r="H133" s="390"/>
      <c r="I133" s="390"/>
      <c r="J133" s="390"/>
      <c r="K133" s="109">
        <v>19108536.670000002</v>
      </c>
      <c r="M133" s="315"/>
    </row>
    <row r="134" spans="1:13" ht="15" customHeight="1" x14ac:dyDescent="0.35">
      <c r="A134" s="259"/>
      <c r="B134" s="13"/>
      <c r="C134" s="393" t="s">
        <v>549</v>
      </c>
      <c r="D134" s="390"/>
      <c r="E134" s="390"/>
      <c r="F134" s="390"/>
      <c r="G134" s="390"/>
      <c r="H134" s="390"/>
      <c r="I134" s="390"/>
      <c r="J134" s="390"/>
      <c r="K134" s="109">
        <v>1811870.9569999999</v>
      </c>
      <c r="M134" s="315"/>
    </row>
    <row r="135" spans="1:13" ht="15" customHeight="1" x14ac:dyDescent="0.35">
      <c r="A135" s="259"/>
      <c r="B135" s="13"/>
      <c r="C135" s="396" t="s">
        <v>550</v>
      </c>
      <c r="D135" s="390"/>
      <c r="E135" s="390"/>
      <c r="F135" s="390"/>
      <c r="G135" s="390"/>
      <c r="H135" s="390"/>
      <c r="I135" s="390"/>
      <c r="J135" s="390"/>
      <c r="K135" s="80">
        <f>IF(AND(ISNUMBER(K136),ISNUMBER(K137),ISNUMBER(K138),ISNUMBER(K139)),SUM(K136:K139),"")</f>
        <v>16410513</v>
      </c>
      <c r="M135" s="315"/>
    </row>
    <row r="136" spans="1:13" ht="15" customHeight="1" x14ac:dyDescent="0.35">
      <c r="A136" s="259"/>
      <c r="B136" s="13"/>
      <c r="C136" s="394" t="s">
        <v>551</v>
      </c>
      <c r="D136" s="390"/>
      <c r="E136" s="390"/>
      <c r="F136" s="390"/>
      <c r="G136" s="390"/>
      <c r="H136" s="390"/>
      <c r="I136" s="390"/>
      <c r="J136" s="390"/>
      <c r="K136" s="109">
        <v>9060271</v>
      </c>
      <c r="M136" s="315"/>
    </row>
    <row r="137" spans="1:13" ht="15" customHeight="1" x14ac:dyDescent="0.35">
      <c r="A137" s="259"/>
      <c r="B137" s="13"/>
      <c r="C137" s="394" t="s">
        <v>552</v>
      </c>
      <c r="D137" s="390"/>
      <c r="E137" s="390"/>
      <c r="F137" s="390"/>
      <c r="G137" s="390"/>
      <c r="H137" s="390"/>
      <c r="I137" s="390"/>
      <c r="J137" s="390"/>
      <c r="K137" s="109">
        <v>1668397</v>
      </c>
      <c r="M137" s="315"/>
    </row>
    <row r="138" spans="1:13" ht="15" customHeight="1" x14ac:dyDescent="0.35">
      <c r="A138" s="259"/>
      <c r="B138" s="13"/>
      <c r="C138" s="394" t="s">
        <v>553</v>
      </c>
      <c r="D138" s="390"/>
      <c r="E138" s="390"/>
      <c r="F138" s="390"/>
      <c r="G138" s="390"/>
      <c r="H138" s="390"/>
      <c r="I138" s="390"/>
      <c r="J138" s="390"/>
      <c r="K138" s="109">
        <v>389431</v>
      </c>
      <c r="M138" s="315"/>
    </row>
    <row r="139" spans="1:13" ht="15" customHeight="1" x14ac:dyDescent="0.35">
      <c r="A139" s="259"/>
      <c r="B139" s="13"/>
      <c r="C139" s="394" t="s">
        <v>554</v>
      </c>
      <c r="D139" s="390"/>
      <c r="E139" s="390"/>
      <c r="F139" s="390"/>
      <c r="G139" s="390"/>
      <c r="H139" s="390"/>
      <c r="I139" s="390"/>
      <c r="J139" s="390"/>
      <c r="K139" s="109">
        <v>5292414</v>
      </c>
      <c r="M139" s="315"/>
    </row>
    <row r="140" spans="1:13" ht="15" customHeight="1" x14ac:dyDescent="0.35">
      <c r="A140" s="259"/>
      <c r="B140" s="13"/>
      <c r="C140" s="396" t="s">
        <v>555</v>
      </c>
      <c r="D140" s="390"/>
      <c r="E140" s="390"/>
      <c r="F140" s="390"/>
      <c r="G140" s="390"/>
      <c r="H140" s="390"/>
      <c r="I140" s="390"/>
      <c r="J140" s="390"/>
      <c r="K140" s="80">
        <f>IF(AND(ISNUMBER(K141),ISNUMBER(K142)),SUM(K141:K142),"")</f>
        <v>16761997</v>
      </c>
      <c r="M140" s="315"/>
    </row>
    <row r="141" spans="1:13" ht="15" customHeight="1" x14ac:dyDescent="0.35">
      <c r="A141" s="259"/>
      <c r="B141" s="13"/>
      <c r="C141" s="394" t="s">
        <v>556</v>
      </c>
      <c r="D141" s="390"/>
      <c r="E141" s="390"/>
      <c r="F141" s="390"/>
      <c r="G141" s="390"/>
      <c r="H141" s="390"/>
      <c r="I141" s="390"/>
      <c r="J141" s="390"/>
      <c r="K141" s="109">
        <v>268586</v>
      </c>
      <c r="M141" s="315"/>
    </row>
    <row r="142" spans="1:13" ht="15" customHeight="1" x14ac:dyDescent="0.35">
      <c r="A142" s="259"/>
      <c r="B142" s="13"/>
      <c r="C142" s="394" t="s">
        <v>557</v>
      </c>
      <c r="D142" s="390"/>
      <c r="E142" s="390"/>
      <c r="F142" s="390"/>
      <c r="G142" s="390"/>
      <c r="H142" s="390"/>
      <c r="I142" s="390"/>
      <c r="J142" s="390"/>
      <c r="K142" s="80">
        <f>IF(AND(ISNUMBER(K143),ISNUMBER(K144),ISNUMBER(K145)),SUM(K143:K145),"")</f>
        <v>16493411</v>
      </c>
      <c r="M142" s="315"/>
    </row>
    <row r="143" spans="1:13" ht="15" customHeight="1" x14ac:dyDescent="0.35">
      <c r="A143" s="259"/>
      <c r="B143" s="13"/>
      <c r="C143" s="908" t="s">
        <v>552</v>
      </c>
      <c r="D143" s="390"/>
      <c r="E143" s="390"/>
      <c r="F143" s="390"/>
      <c r="G143" s="390"/>
      <c r="H143" s="390"/>
      <c r="I143" s="390"/>
      <c r="J143" s="390"/>
      <c r="K143" s="109">
        <v>6845273</v>
      </c>
      <c r="M143" s="315"/>
    </row>
    <row r="144" spans="1:13" ht="15" customHeight="1" x14ac:dyDescent="0.35">
      <c r="A144" s="259"/>
      <c r="B144" s="13"/>
      <c r="C144" s="908" t="s">
        <v>558</v>
      </c>
      <c r="D144" s="390"/>
      <c r="E144" s="390"/>
      <c r="F144" s="390"/>
      <c r="G144" s="390"/>
      <c r="H144" s="390"/>
      <c r="I144" s="390"/>
      <c r="J144" s="390"/>
      <c r="K144" s="109">
        <v>13477</v>
      </c>
      <c r="M144" s="315"/>
    </row>
    <row r="145" spans="1:13" ht="15" customHeight="1" x14ac:dyDescent="0.35">
      <c r="A145" s="259"/>
      <c r="B145" s="13"/>
      <c r="C145" s="908" t="s">
        <v>559</v>
      </c>
      <c r="D145" s="390"/>
      <c r="E145" s="390"/>
      <c r="F145" s="390"/>
      <c r="G145" s="390"/>
      <c r="H145" s="390"/>
      <c r="I145" s="390"/>
      <c r="J145" s="390"/>
      <c r="K145" s="109">
        <v>9634661</v>
      </c>
      <c r="M145" s="315"/>
    </row>
    <row r="146" spans="1:13" ht="15" customHeight="1" x14ac:dyDescent="0.35">
      <c r="A146" s="259"/>
      <c r="B146" s="13"/>
      <c r="C146" s="393" t="s">
        <v>560</v>
      </c>
      <c r="D146" s="390"/>
      <c r="E146" s="390"/>
      <c r="F146" s="390"/>
      <c r="G146" s="390"/>
      <c r="H146" s="390"/>
      <c r="I146" s="390"/>
      <c r="J146" s="390"/>
      <c r="K146" s="109">
        <v>1830686</v>
      </c>
      <c r="M146" s="315"/>
    </row>
    <row r="147" spans="1:13" ht="15" customHeight="1" x14ac:dyDescent="0.35">
      <c r="A147" s="259"/>
      <c r="B147" s="13"/>
      <c r="C147" s="394" t="s">
        <v>561</v>
      </c>
      <c r="D147" s="390"/>
      <c r="E147" s="390"/>
      <c r="F147" s="390"/>
      <c r="G147" s="390"/>
      <c r="H147" s="390"/>
      <c r="I147" s="390"/>
      <c r="J147" s="390"/>
      <c r="K147" s="109">
        <v>611063</v>
      </c>
      <c r="M147" s="315"/>
    </row>
    <row r="148" spans="1:13" ht="15" customHeight="1" x14ac:dyDescent="0.35">
      <c r="A148" s="259"/>
      <c r="B148" s="13"/>
      <c r="C148" s="397" t="s">
        <v>562</v>
      </c>
      <c r="D148" s="390"/>
      <c r="E148" s="390"/>
      <c r="F148" s="390"/>
      <c r="G148" s="390"/>
      <c r="H148" s="390"/>
      <c r="I148" s="390"/>
      <c r="J148" s="390"/>
      <c r="K148" s="404" t="str">
        <f>IF(AND(ISNUMBER(K146), ISNUMBER(K147)), IF(K147&lt;=K146, "Pass", "Fail"), "")</f>
        <v>Pass</v>
      </c>
      <c r="M148" s="315"/>
    </row>
    <row r="149" spans="1:13" ht="15" customHeight="1" x14ac:dyDescent="0.35">
      <c r="A149" s="259"/>
      <c r="B149" s="31"/>
      <c r="C149" s="398" t="s">
        <v>563</v>
      </c>
      <c r="D149" s="101"/>
      <c r="E149" s="101"/>
      <c r="F149" s="101"/>
      <c r="G149" s="101"/>
      <c r="H149" s="101"/>
      <c r="I149" s="101"/>
      <c r="J149" s="101"/>
      <c r="K149" s="127">
        <v>0</v>
      </c>
      <c r="M149" s="315"/>
    </row>
    <row r="150" spans="1:13" ht="15" customHeight="1" x14ac:dyDescent="0.35">
      <c r="A150" s="259"/>
      <c r="K150" s="278"/>
      <c r="M150" s="315"/>
    </row>
    <row r="151" spans="1:13" ht="15" customHeight="1" x14ac:dyDescent="0.35">
      <c r="A151" s="259"/>
      <c r="B151" s="603"/>
      <c r="C151" s="1800" t="s">
        <v>564</v>
      </c>
      <c r="D151" s="464"/>
      <c r="E151" s="464"/>
      <c r="F151" s="464"/>
      <c r="G151" s="464"/>
      <c r="H151" s="464"/>
      <c r="I151" s="464"/>
      <c r="J151" s="464"/>
      <c r="K151" s="600">
        <v>102442</v>
      </c>
      <c r="M151" s="315"/>
    </row>
    <row r="152" spans="1:13" ht="15" customHeight="1" x14ac:dyDescent="0.35">
      <c r="A152" s="259"/>
      <c r="B152" s="251"/>
      <c r="C152" s="399" t="s">
        <v>565</v>
      </c>
      <c r="D152" s="390"/>
      <c r="E152" s="390"/>
      <c r="F152" s="390"/>
      <c r="G152" s="390"/>
      <c r="H152" s="390"/>
      <c r="I152" s="390"/>
      <c r="J152" s="390"/>
      <c r="K152" s="109">
        <v>0</v>
      </c>
      <c r="M152" s="315"/>
    </row>
    <row r="153" spans="1:13" ht="15" customHeight="1" x14ac:dyDescent="0.35">
      <c r="A153" s="259"/>
      <c r="B153" s="252"/>
      <c r="C153" s="400" t="s">
        <v>566</v>
      </c>
      <c r="D153" s="101"/>
      <c r="E153" s="101"/>
      <c r="F153" s="101"/>
      <c r="G153" s="101"/>
      <c r="H153" s="101"/>
      <c r="I153" s="101"/>
      <c r="J153" s="101"/>
      <c r="K153" s="127">
        <v>0</v>
      </c>
      <c r="M153" s="315"/>
    </row>
    <row r="154" spans="1:13" ht="15" customHeight="1" x14ac:dyDescent="0.35">
      <c r="A154" s="729"/>
      <c r="B154" s="278"/>
      <c r="C154" s="278"/>
      <c r="D154" s="278"/>
      <c r="E154" s="278"/>
      <c r="F154" s="278"/>
      <c r="G154" s="278"/>
      <c r="H154" s="278"/>
      <c r="I154" s="278"/>
      <c r="J154" s="278"/>
      <c r="K154" s="278"/>
      <c r="L154" s="278"/>
      <c r="M154" s="567"/>
    </row>
  </sheetData>
  <sheetProtection algorithmName="SHA-512" hashValue="aO+AnEMuFdiz82TYqAkNiq1TVvT1+YW4ShUAuoYxFG1sjkfoIm0eBPKoFGkE3gRbmNor0blPS8HjmV1CG9e4wg==" saltValue="BIpZfdgu7hoJGAaJB+8Xqg==" spinCount="100000" sheet="1" objects="1" scenarios="1"/>
  <mergeCells count="5">
    <mergeCell ref="C57:F57"/>
    <mergeCell ref="C130:H130"/>
    <mergeCell ref="C63:H63"/>
    <mergeCell ref="C95:F95"/>
    <mergeCell ref="C94:F94"/>
  </mergeCells>
  <conditionalFormatting sqref="K6:K7 K9:L10 H12:I13 H32:I32 H34 J36:J37 I40:I44 I46:I53 I58:K61 K119:K121 K123:K125 K128:K130 K132:K134 K136:K139 K141 K143:K147 K151:K153 K149 I15:I18 G19:I20 J33:J34 I24:I26 K34 H103:H106 H108:H111 J99:K99">
    <cfRule type="cellIs" dxfId="10087" priority="66" stopIfTrue="1" operator="lessThan">
      <formula>0</formula>
    </cfRule>
  </conditionalFormatting>
  <conditionalFormatting sqref="A1:M1048576">
    <cfRule type="cellIs" dxfId="10086" priority="36" stopIfTrue="1" operator="equal">
      <formula>"Pass"</formula>
    </cfRule>
    <cfRule type="cellIs" dxfId="10085" priority="37" stopIfTrue="1" operator="equal">
      <formula>"Fail"</formula>
    </cfRule>
  </conditionalFormatting>
  <dataValidations disablePrompts="1" count="1">
    <dataValidation type="list" allowBlank="1" showInputMessage="1" showErrorMessage="1" sqref="I44">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8" max="16383" man="1"/>
    <brk id="114"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p:properties xmlns:p="http://schemas.microsoft.com/office/2006/metadata/properties" xmlns:xsi="http://www.w3.org/2001/XMLSchema-instance" xmlns:pc="http://schemas.microsoft.com/office/infopath/2007/PartnerControls">
  <documentManagement>
    <Tool xmlns="5c45d74b-b221-4eca-a547-932cef88fab2">1. Workbook and instructions</Tool>
    <Period xmlns="5c45d74b-b221-4eca-a547-932cef88fab2">224</Period>
    <Description0 xmlns="5c45d74b-b221-4eca-a547-932cef88fab2">Version 4.6.0 from 23 January 2023</Description0>
    <Sort_x0020_order xmlns="5c45d74b-b221-4eca-a547-932cef88fab2">1</Sort_x0020_order>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1BAA01472CDC5459CFF581BA564DC9D" ma:contentTypeVersion="13" ma:contentTypeDescription="Create a new document." ma:contentTypeScope="" ma:versionID="6818ec00969b3ce9a4966fb10dafcbac">
  <xsd:schema xmlns:xsd="http://www.w3.org/2001/XMLSchema" xmlns:xs="http://www.w3.org/2001/XMLSchema" xmlns:p="http://schemas.microsoft.com/office/2006/metadata/properties" xmlns:ns2="5c45d74b-b221-4eca-a547-932cef88fab2" targetNamespace="http://schemas.microsoft.com/office/2006/metadata/properties" ma:root="true" ma:fieldsID="5a3520413bb31fec18302944696e30f5" ns2:_="">
    <xsd:import namespace="5c45d74b-b221-4eca-a547-932cef88fab2"/>
    <xsd:element name="properties">
      <xsd:complexType>
        <xsd:sequence>
          <xsd:element name="documentManagement">
            <xsd:complexType>
              <xsd:all>
                <xsd:element ref="ns2:Description0" minOccurs="0"/>
                <xsd:element ref="ns2:Sort_x0020_order" minOccurs="0"/>
                <xsd:element ref="ns2:Tool" minOccurs="0"/>
                <xsd:element ref="ns2:Perio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45d74b-b221-4eca-a547-932cef88fab2" elementFormDefault="qualified">
    <xsd:import namespace="http://schemas.microsoft.com/office/2006/documentManagement/types"/>
    <xsd:import namespace="http://schemas.microsoft.com/office/infopath/2007/PartnerControls"/>
    <xsd:element name="Description0" ma:index="2" nillable="true" ma:displayName="Description" ma:internalName="Description0" ma:readOnly="false">
      <xsd:simpleType>
        <xsd:restriction base="dms:Note">
          <xsd:maxLength value="255"/>
        </xsd:restriction>
      </xsd:simpleType>
    </xsd:element>
    <xsd:element name="Sort_x0020_order" ma:index="5" nillable="true" ma:displayName="Sort order" ma:internalName="Sort_x0020_order" ma:readOnly="false" ma:percentage="FALSE">
      <xsd:simpleType>
        <xsd:restriction base="dms:Number"/>
      </xsd:simpleType>
    </xsd:element>
    <xsd:element name="Tool" ma:index="6" nillable="true" ma:displayName="Tool" ma:default="1. Workbook and instructions" ma:format="Dropdown" ma:internalName="Tool0" ma:readOnly="false">
      <xsd:simpleType>
        <xsd:restriction base="dms:Choice">
          <xsd:enumeration value="1. Workbook and instructions"/>
          <xsd:enumeration value="1.5 eBIS Automation"/>
          <xsd:enumeration value="2.0 Basel III monitoring workshop February 2018"/>
          <xsd:enumeration value="2.1 Basel III monitoring workshop February 2015"/>
          <xsd:enumeration value="2.2 Basel III monitoring workshop 2014"/>
          <xsd:enumeration value="2.3 Basel III monitoring workshop 2013"/>
          <xsd:enumeration value="2.4 QIS workshop 2011"/>
          <xsd:enumeration value="3. Other training material"/>
          <xsd:enumeration value="4. Historic workbooks and instructions"/>
          <xsd:enumeration value="5. RMMG CCP QIS"/>
        </xsd:restriction>
      </xsd:simpleType>
    </xsd:element>
    <xsd:element name="Period" ma:index="7" nillable="true" ma:displayName="Period" ma:internalName="Period" ma:readOnly="fal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14A59B-7CA4-48BF-89E7-A9BDC5B80242}">
  <ds:schemaRefs>
    <ds:schemaRef ds:uri="http://schemas.microsoft.com/sharepoint/v3/contenttype/forms"/>
  </ds:schemaRefs>
</ds:datastoreItem>
</file>

<file path=customXml/itemProps2.xml><?xml version="1.0" encoding="utf-8"?>
<ds:datastoreItem xmlns:ds="http://schemas.openxmlformats.org/officeDocument/2006/customXml" ds:itemID="{BD7C74BF-85BC-459D-8269-5DBED4D5B1A7}">
  <ds:schemaRefs>
    <ds:schemaRef ds:uri="http://schemas.microsoft.com/office/infopath/2007/PartnerControls"/>
    <ds:schemaRef ds:uri="http://purl.org/dc/term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5c45d74b-b221-4eca-a547-932cef88fab2"/>
    <ds:schemaRef ds:uri="http://www.w3.org/XML/1998/namespace"/>
    <ds:schemaRef ds:uri="http://purl.org/dc/dcmitype/"/>
  </ds:schemaRefs>
</ds:datastoreItem>
</file>

<file path=customXml/itemProps3.xml><?xml version="1.0" encoding="utf-8"?>
<ds:datastoreItem xmlns:ds="http://schemas.openxmlformats.org/officeDocument/2006/customXml" ds:itemID="{40EDDD7F-3E43-41A2-8887-60982BF984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45d74b-b221-4eca-a547-932cef88fa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c7eb9de-735b-4a68-8fe4-c9c62709b012}" enabled="1" method="Standard" siteId="{3bacb4ff-f1a2-4c92-b96c-e99fec826b68}"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39</vt:i4>
      </vt:variant>
      <vt:variant>
        <vt:lpstr>Intervalli denominati</vt:lpstr>
      </vt:variant>
      <vt:variant>
        <vt:i4>183</vt:i4>
      </vt:variant>
    </vt:vector>
  </HeadingPairs>
  <TitlesOfParts>
    <vt:vector size="222" baseType="lpstr">
      <vt:lpstr>Supervisory information</vt:lpstr>
      <vt:lpstr>Checks</vt:lpstr>
      <vt:lpstr>General Info</vt:lpstr>
      <vt:lpstr>EU General Info</vt:lpstr>
      <vt:lpstr>Requirements</vt:lpstr>
      <vt:lpstr>DefCap</vt:lpstr>
      <vt:lpstr>TLAC holdings</vt:lpstr>
      <vt:lpstr>TLAC</vt:lpstr>
      <vt:lpstr>Leverage ratio</vt:lpstr>
      <vt:lpstr>Leverage ratio additional</vt:lpstr>
      <vt:lpstr>NSFR</vt:lpstr>
      <vt:lpstr>Credit risk (SA)</vt:lpstr>
      <vt:lpstr>Credit risk (IRB)</vt:lpstr>
      <vt:lpstr>EU RRE</vt:lpstr>
      <vt:lpstr>Securitisation</vt:lpstr>
      <vt:lpstr>CCR and CVA</vt:lpstr>
      <vt:lpstr>EU CVA</vt:lpstr>
      <vt:lpstr>EUCCP</vt:lpstr>
      <vt:lpstr>TB</vt:lpstr>
      <vt:lpstr>TB risk class</vt:lpstr>
      <vt:lpstr>EU TB SSRM</vt:lpstr>
      <vt:lpstr>TB IMA Backtesting-P&amp;L</vt:lpstr>
      <vt:lpstr>Crypto</vt:lpstr>
      <vt:lpstr>Sovereigns</vt:lpstr>
      <vt:lpstr>OpRisk</vt:lpstr>
      <vt:lpstr>Index</vt:lpstr>
      <vt:lpstr>A. IRRBB results</vt:lpstr>
      <vt:lpstr>B. Balance Sheet Structure</vt:lpstr>
      <vt:lpstr>C. IRRBB Results Breakdown</vt:lpstr>
      <vt:lpstr>D. NMDs Behavioral assumpt</vt:lpstr>
      <vt:lpstr>E. Stratification Retail NMDs</vt:lpstr>
      <vt:lpstr>F. Other Behavioral Models</vt:lpstr>
      <vt:lpstr>G. Basis risk</vt:lpstr>
      <vt:lpstr>H. CSRBB</vt:lpstr>
      <vt:lpstr>I. ECB MP and MT</vt:lpstr>
      <vt:lpstr>J. Qualitative Question_Final</vt:lpstr>
      <vt:lpstr>Parameters</vt:lpstr>
      <vt:lpstr>EU Parameters</vt:lpstr>
      <vt:lpstr>fx_triang</vt:lpstr>
      <vt:lpstr>'EU General Info'!Accounting</vt:lpstr>
      <vt:lpstr>'EU RRE'!Accounting</vt:lpstr>
      <vt:lpstr>'EU TB SSRM'!Accounting</vt:lpstr>
      <vt:lpstr>EUCCP!Accounting</vt:lpstr>
      <vt:lpstr>Accounting</vt:lpstr>
      <vt:lpstr>'CCR and CVA'!Area_stampa</vt:lpstr>
      <vt:lpstr>Checks!Area_stampa</vt:lpstr>
      <vt:lpstr>'Credit risk (IRB)'!Area_stampa</vt:lpstr>
      <vt:lpstr>'Credit risk (SA)'!Area_stampa</vt:lpstr>
      <vt:lpstr>Crypto!Area_stampa</vt:lpstr>
      <vt:lpstr>DefCap!Area_stampa</vt:lpstr>
      <vt:lpstr>'General Info'!Area_stampa</vt:lpstr>
      <vt:lpstr>'Leverage ratio'!Area_stampa</vt:lpstr>
      <vt:lpstr>'Leverage ratio additional'!Area_stampa</vt:lpstr>
      <vt:lpstr>NSFR!Area_stampa</vt:lpstr>
      <vt:lpstr>OpRisk!Area_stampa</vt:lpstr>
      <vt:lpstr>Parameters!Area_stampa</vt:lpstr>
      <vt:lpstr>Requirements!Area_stampa</vt:lpstr>
      <vt:lpstr>Securitisation!Area_stampa</vt:lpstr>
      <vt:lpstr>'Supervisory information'!Area_stampa</vt:lpstr>
      <vt:lpstr>TB!Area_stampa</vt:lpstr>
      <vt:lpstr>'TB IMA Backtesting-P&amp;L'!Area_stampa</vt:lpstr>
      <vt:lpstr>'TB risk class'!Area_stampa</vt:lpstr>
      <vt:lpstr>TLAC!Area_stampa</vt:lpstr>
      <vt:lpstr>'TLAC holdings'!Area_stampa</vt:lpstr>
      <vt:lpstr>'EU General Info'!BankType</vt:lpstr>
      <vt:lpstr>'EU RRE'!BankType</vt:lpstr>
      <vt:lpstr>'EU TB SSRM'!BankType</vt:lpstr>
      <vt:lpstr>EUCCP!BankType</vt:lpstr>
      <vt:lpstr>BankType</vt:lpstr>
      <vt:lpstr>'EU General Info'!BankTypeNumeric</vt:lpstr>
      <vt:lpstr>'EU RRE'!BankTypeNumeric</vt:lpstr>
      <vt:lpstr>'EU TB SSRM'!BankTypeNumeric</vt:lpstr>
      <vt:lpstr>EUCCP!BankTypeNumeric</vt:lpstr>
      <vt:lpstr>BankTypeNumeric</vt:lpstr>
      <vt:lpstr>Basel12</vt:lpstr>
      <vt:lpstr>CCROTC</vt:lpstr>
      <vt:lpstr>CCRSFT</vt:lpstr>
      <vt:lpstr>CreditRisk</vt:lpstr>
      <vt:lpstr>CreditRiskEquity</vt:lpstr>
      <vt:lpstr>CRMApproach</vt:lpstr>
      <vt:lpstr>'EU General Info'!CRMCCF</vt:lpstr>
      <vt:lpstr>'EU RRE'!CRMCCF</vt:lpstr>
      <vt:lpstr>'EU TB SSRM'!CRMCCF</vt:lpstr>
      <vt:lpstr>EUCCP!CRMCCF</vt:lpstr>
      <vt:lpstr>CRMCCF</vt:lpstr>
      <vt:lpstr>'EU General Info'!CryptoActivity</vt:lpstr>
      <vt:lpstr>'EU RRE'!CryptoActivity</vt:lpstr>
      <vt:lpstr>'EU TB SSRM'!CryptoActivity</vt:lpstr>
      <vt:lpstr>EUCCP!CryptoActivity</vt:lpstr>
      <vt:lpstr>CryptoActivity</vt:lpstr>
      <vt:lpstr>'EU General Info'!CryptoAssetCLasses</vt:lpstr>
      <vt:lpstr>'EU RRE'!CryptoAssetCLasses</vt:lpstr>
      <vt:lpstr>'EU TB SSRM'!CryptoAssetCLasses</vt:lpstr>
      <vt:lpstr>EUCCP!CryptoAssetCLasses</vt:lpstr>
      <vt:lpstr>CryptoAssetCLasses</vt:lpstr>
      <vt:lpstr>'EU General Info'!CryptoFrequency</vt:lpstr>
      <vt:lpstr>'EU RRE'!CryptoFrequency</vt:lpstr>
      <vt:lpstr>'EU TB SSRM'!CryptoFrequency</vt:lpstr>
      <vt:lpstr>EUCCP!CryptoFrequency</vt:lpstr>
      <vt:lpstr>CryptoFrequency</vt:lpstr>
      <vt:lpstr>'EU General Info'!CryptoGroup</vt:lpstr>
      <vt:lpstr>'EU RRE'!CryptoGroup</vt:lpstr>
      <vt:lpstr>'EU TB SSRM'!CryptoGroup</vt:lpstr>
      <vt:lpstr>EUCCP!CryptoGroup</vt:lpstr>
      <vt:lpstr>CryptoGroup</vt:lpstr>
      <vt:lpstr>'EU General Info'!CryptoHQLA</vt:lpstr>
      <vt:lpstr>'EU RRE'!CryptoHQLA</vt:lpstr>
      <vt:lpstr>'EU TB SSRM'!CryptoHQLA</vt:lpstr>
      <vt:lpstr>EUCCP!CryptoHQLA</vt:lpstr>
      <vt:lpstr>CryptoHQLA</vt:lpstr>
      <vt:lpstr>'EU General Info'!CryptoTicker</vt:lpstr>
      <vt:lpstr>'EU RRE'!CryptoTicker</vt:lpstr>
      <vt:lpstr>'EU TB SSRM'!CryptoTicker</vt:lpstr>
      <vt:lpstr>EUCCP!CryptoTicker</vt:lpstr>
      <vt:lpstr>CryptoTicker</vt:lpstr>
      <vt:lpstr>CurrencyMismatch</vt:lpstr>
      <vt:lpstr>Enforceability</vt:lpstr>
      <vt:lpstr>EUCCP!EUCCPCCRapproachused</vt:lpstr>
      <vt:lpstr>EUCCP!EUCCPcountryclearingmember</vt:lpstr>
      <vt:lpstr>EUCCP!EUCCPownfundsapproach</vt:lpstr>
      <vt:lpstr>EUCCP!EUCCPparticipation</vt:lpstr>
      <vt:lpstr>EUCCP!EUCCPreached</vt:lpstr>
      <vt:lpstr>'EU General Info'!Group</vt:lpstr>
      <vt:lpstr>'EU RRE'!Group</vt:lpstr>
      <vt:lpstr>'EU TB SSRM'!Group</vt:lpstr>
      <vt:lpstr>EUCCP!Group</vt:lpstr>
      <vt:lpstr>Group</vt:lpstr>
      <vt:lpstr>IndividualGroup</vt:lpstr>
      <vt:lpstr>Jurisdiction</vt:lpstr>
      <vt:lpstr>LRPanelMfrequencyM</vt:lpstr>
      <vt:lpstr>LRPanelMfrequencyO</vt:lpstr>
      <vt:lpstr>LRPanelMfrequencyQ</vt:lpstr>
      <vt:lpstr>MethodTradeExposures</vt:lpstr>
      <vt:lpstr>ObservedBestEstimates</vt:lpstr>
      <vt:lpstr>OpRisk</vt:lpstr>
      <vt:lpstr>'EU General Info'!OpRiskData</vt:lpstr>
      <vt:lpstr>'EU RRE'!OpRiskData</vt:lpstr>
      <vt:lpstr>'EU TB SSRM'!OpRiskData</vt:lpstr>
      <vt:lpstr>EUCCP!OpRiskData</vt:lpstr>
      <vt:lpstr>OpRiskData</vt:lpstr>
      <vt:lpstr>'EU General Info'!OpRiskLossThreshold</vt:lpstr>
      <vt:lpstr>'EU RRE'!OpRiskLossThreshold</vt:lpstr>
      <vt:lpstr>'EU TB SSRM'!OpRiskLossThreshold</vt:lpstr>
      <vt:lpstr>EUCCP!OpRiskLossThreshold</vt:lpstr>
      <vt:lpstr>OpRiskLossThreshold</vt:lpstr>
      <vt:lpstr>QNumeric100</vt:lpstr>
      <vt:lpstr>QNumeric11</vt:lpstr>
      <vt:lpstr>QNumeric14</vt:lpstr>
      <vt:lpstr>QNumeric3</vt:lpstr>
      <vt:lpstr>QNumeric5</vt:lpstr>
      <vt:lpstr>QNumeric6</vt:lpstr>
      <vt:lpstr>QNumeric7</vt:lpstr>
      <vt:lpstr>QNumeric9</vt:lpstr>
      <vt:lpstr>QNumericZ10</vt:lpstr>
      <vt:lpstr>'EU General Info'!QNumericZ100</vt:lpstr>
      <vt:lpstr>'EU RRE'!QNumericZ100</vt:lpstr>
      <vt:lpstr>'EU TB SSRM'!QNumericZ100</vt:lpstr>
      <vt:lpstr>EUCCP!QNumericZ100</vt:lpstr>
      <vt:lpstr>QNumericZ100</vt:lpstr>
      <vt:lpstr>'EU General Info'!RegDesks</vt:lpstr>
      <vt:lpstr>'EU RRE'!RegDesks</vt:lpstr>
      <vt:lpstr>'EU TB SSRM'!RegDesks</vt:lpstr>
      <vt:lpstr>EUCCP!RegDesks</vt:lpstr>
      <vt:lpstr>RegDesks</vt:lpstr>
      <vt:lpstr>SACCRCEM</vt:lpstr>
      <vt:lpstr>SlottingUsage</vt:lpstr>
      <vt:lpstr>'EU General Info'!TBRCCurrency</vt:lpstr>
      <vt:lpstr>'EU RRE'!TBRCCurrency</vt:lpstr>
      <vt:lpstr>'EU TB SSRM'!TBRCCurrency</vt:lpstr>
      <vt:lpstr>EUCCP!TBRCCurrency</vt:lpstr>
      <vt:lpstr>TBRCCurrency</vt:lpstr>
      <vt:lpstr>'EU General Info'!TBRCScalar</vt:lpstr>
      <vt:lpstr>'EU RRE'!TBRCScalar</vt:lpstr>
      <vt:lpstr>'EU TB SSRM'!TBRCScalar</vt:lpstr>
      <vt:lpstr>EUCCP!TBRCScalar</vt:lpstr>
      <vt:lpstr>TBRCScalar</vt:lpstr>
      <vt:lpstr>TBreliability</vt:lpstr>
      <vt:lpstr>'CCR and CVA'!Titoli_stampa</vt:lpstr>
      <vt:lpstr>Checks!Titoli_stampa</vt:lpstr>
      <vt:lpstr>'Credit risk (IRB)'!Titoli_stampa</vt:lpstr>
      <vt:lpstr>'Credit risk (SA)'!Titoli_stampa</vt:lpstr>
      <vt:lpstr>Crypto!Titoli_stampa</vt:lpstr>
      <vt:lpstr>'General Info'!Titoli_stampa</vt:lpstr>
      <vt:lpstr>'Leverage ratio'!Titoli_stampa</vt:lpstr>
      <vt:lpstr>'Leverage ratio additional'!Titoli_stampa</vt:lpstr>
      <vt:lpstr>OpRisk!Titoli_stampa</vt:lpstr>
      <vt:lpstr>Parameters!Titoli_stampa</vt:lpstr>
      <vt:lpstr>Requirements!Titoli_stampa</vt:lpstr>
      <vt:lpstr>'Supervisory information'!Titoli_stampa</vt:lpstr>
      <vt:lpstr>TB!Titoli_stampa</vt:lpstr>
      <vt:lpstr>'TB IMA Backtesting-P&amp;L'!Titoli_stampa</vt:lpstr>
      <vt:lpstr>'TB risk class'!Titoli_stampa</vt:lpstr>
      <vt:lpstr>'EU General Info'!UnitT</vt:lpstr>
      <vt:lpstr>'EU RRE'!UnitT</vt:lpstr>
      <vt:lpstr>'EU TB SSRM'!UnitT</vt:lpstr>
      <vt:lpstr>EUCCP!UnitT</vt:lpstr>
      <vt:lpstr>UnitT</vt:lpstr>
      <vt:lpstr>'EU General Info'!UnitW</vt:lpstr>
      <vt:lpstr>'EU RRE'!UnitW</vt:lpstr>
      <vt:lpstr>'EU TB SSRM'!UnitW</vt:lpstr>
      <vt:lpstr>EUCCP!UnitW</vt:lpstr>
      <vt:lpstr>UnitW</vt:lpstr>
      <vt:lpstr>'EU General Info'!YesNo</vt:lpstr>
      <vt:lpstr>'EU RRE'!YesNo</vt:lpstr>
      <vt:lpstr>'EU TB SSRM'!YesNo</vt:lpstr>
      <vt:lpstr>EUCCP!YesNo</vt:lpstr>
      <vt:lpstr>YesNo</vt:lpstr>
      <vt:lpstr>'EU General Info'!YesNoDontKnow</vt:lpstr>
      <vt:lpstr>'EU RRE'!YesNoDontKnow</vt:lpstr>
      <vt:lpstr>'EU TB SSRM'!YesNoDontKnow</vt:lpstr>
      <vt:lpstr>EUCCP!YesNoDontKnow</vt:lpstr>
      <vt:lpstr>YesNoDontKnow</vt:lpstr>
      <vt:lpstr>YesNoNA</vt:lpstr>
      <vt:lpstr>'EU General Info'!YesNoSimplified</vt:lpstr>
      <vt:lpstr>'EU RRE'!YesNoSimplified</vt:lpstr>
      <vt:lpstr>'EU TB SSRM'!YesNoSimplified</vt:lpstr>
      <vt:lpstr>EUCCP!YesNoSimplified</vt:lpstr>
      <vt:lpstr>YesNoSimplified</vt:lpstr>
      <vt:lpstr>'TB IMA Backtesting-P&amp;L'!Z_3D2E4C4C_55B0_42AD_9B20_28C028F4BEE7_.wvu.Cols</vt:lpstr>
      <vt:lpstr>'TB IMA Backtesting-P&amp;L'!Z_3D2E4C4C_55B0_42AD_9B20_28C028F4BEE7_.wvu.PrintArea</vt:lpstr>
      <vt:lpstr>'TB IMA Backtesting-P&amp;L'!Z_3D2E4C4C_55B0_42AD_9B20_28C028F4BEE7_.wvu.PrintTitles</vt:lpstr>
      <vt:lpstr>'TB IMA Backtesting-P&amp;L'!Z_3D2E4C4C_55B0_42AD_9B20_28C028F4BEE7_.wvu.Rows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Basel III monitoring reporting template</dc:title>
  <dc:subject/>
  <dc:creator/>
  <cp:keywords>Quantitative Impact Study Group</cp:keywords>
  <dc:description/>
  <cp:lastModifiedBy>Mauro Marinelli</cp:lastModifiedBy>
  <cp:revision/>
  <dcterms:created xsi:type="dcterms:W3CDTF">2022-08-03T08:25:17Z</dcterms:created>
  <dcterms:modified xsi:type="dcterms:W3CDTF">2023-04-06T08:02:32Z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isBCBSPurpose">
    <vt:lpwstr/>
  </property>
  <property fmtid="{D5CDD505-2E9C-101B-9397-08002B2CF9AE}" pid="3" name="TaxKeyword">
    <vt:lpwstr>145;#Quantitative Impact Study Group|1b7f8bb2-4399-4769-ac91-9d7b68bf6acc</vt:lpwstr>
  </property>
  <property fmtid="{D5CDD505-2E9C-101B-9397-08002B2CF9AE}" pid="4" name="ContentTypeId">
    <vt:lpwstr>0x01010081BAA01472CDC5459CFF581BA564DC9D</vt:lpwstr>
  </property>
  <property fmtid="{D5CDD505-2E9C-101B-9397-08002B2CF9AE}" pid="5" name="BisDocumentType">
    <vt:lpwstr>154;#Survey|fdfb3e1a-acda-40bf-9c58-dd08945413cb</vt:lpwstr>
  </property>
  <property fmtid="{D5CDD505-2E9C-101B-9397-08002B2CF9AE}" pid="6" name="BisInstitution">
    <vt:lpwstr>144;#Bank for International Settlements - Basel - Switzerland|4ddbbaff-5b98-417c-9a81-6ed3a6c4afd7</vt:lpwstr>
  </property>
  <property fmtid="{D5CDD505-2E9C-101B-9397-08002B2CF9AE}" pid="7" name="BisAuthors">
    <vt:lpwstr>142;#Birn Martin [cbmebima]|bf4967fc-feeb-4e78-a571-975b87ab6b84</vt:lpwstr>
  </property>
  <property fmtid="{D5CDD505-2E9C-101B-9397-08002B2CF9AE}" pid="8" name="BisDocumentumVersionCreated">
    <vt:filetime>2019-01-28T06:06:00Z</vt:filetime>
  </property>
  <property fmtid="{D5CDD505-2E9C-101B-9397-08002B2CF9AE}" pid="9" name="BisRecipients">
    <vt:lpwstr>6;#bcbs|a55ca13a-4bf8-4ec7-a61c-fcb252a22108</vt:lpwstr>
  </property>
  <property fmtid="{D5CDD505-2E9C-101B-9397-08002B2CF9AE}" pid="10" name="be13f3b77f004abdbb1a94a167ea1d0d">
    <vt:lpwstr>cbmebima|bf4967fc-feeb-4e78-a571-975b87ab6b84</vt:lpwstr>
  </property>
  <property fmtid="{D5CDD505-2E9C-101B-9397-08002B2CF9AE}" pid="11" name="{A44787D4-0540-4523-9961-78E4036D8C6D}">
    <vt:lpwstr>{B56D2D3B-327C-4CD0-A964-63547D6FEE62}</vt:lpwstr>
  </property>
  <property fmtid="{D5CDD505-2E9C-101B-9397-08002B2CF9AE}" pid="12" name="_dlc_DocIdItemGuid">
    <vt:lpwstr>633d6722-2fd8-4596-b690-28f738cc213a</vt:lpwstr>
  </property>
  <property fmtid="{D5CDD505-2E9C-101B-9397-08002B2CF9AE}" pid="13" name="BisDocumentumVersionCreatedBy">
    <vt:lpwstr>142;#cbmebima|bf4967fc-feeb-4e78-a571-975b87ab6b84</vt:lpwstr>
  </property>
  <property fmtid="{D5CDD505-2E9C-101B-9397-08002B2CF9AE}" pid="14" name="_NewReviewCycle">
    <vt:lpwstr/>
  </property>
  <property fmtid="{D5CDD505-2E9C-101B-9397-08002B2CF9AE}" pid="15" name="TaxCatchAllLabel">
    <vt:lpwstr>148;#TLAC QIS#Љ|;#147;#QIS monitoring package#Љ|;#144;#Bank for International Settlements - Basel - Switz#Љ|;#142;#Birn Martin [cbmebima]#Љ|;#154;#Survey#Љ|</vt:lpwstr>
  </property>
</Properties>
</file>